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drawings/drawing2.xml" ContentType="application/vnd.openxmlformats-officedocument.drawing+xml"/>
  <Override PartName="/xl/charts/chart3.xml" ContentType="application/vnd.openxmlformats-officedocument.drawingml.chart+xml"/>
  <Override PartName="/xl/charts/chart4.xml" ContentType="application/vnd.openxmlformats-officedocument.drawingml.chart+xml"/>
  <Override PartName="/xl/tables/table6.xml" ContentType="application/vnd.openxmlformats-officedocument.spreadsheetml.table+xml"/>
  <Override PartName="/xl/comments2.xml" ContentType="application/vnd.openxmlformats-officedocument.spreadsheetml.comments+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drawings/drawing3.xml" ContentType="application/vnd.openxmlformats-officedocument.drawing+xml"/>
  <Override PartName="/xl/tables/table7.xml" ContentType="application/vnd.openxmlformats-officedocument.spreadsheetml.table+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D:\Meu Drive\GUARANI\COMERCIAL\VENDAS\"/>
    </mc:Choice>
  </mc:AlternateContent>
  <xr:revisionPtr revIDLastSave="0" documentId="13_ncr:1_{9E964346-9A70-4923-80C3-8F0A25F4A38A}" xr6:coauthVersionLast="47" xr6:coauthVersionMax="47" xr10:uidLastSave="{00000000-0000-0000-0000-000000000000}"/>
  <bookViews>
    <workbookView xWindow="-38520" yWindow="-855" windowWidth="38640" windowHeight="15840" tabRatio="1000" activeTab="3" xr2:uid="{00000000-000D-0000-FFFF-FFFF00000000}"/>
  </bookViews>
  <sheets>
    <sheet name="Pendentes" sheetId="1" r:id="rId1"/>
    <sheet name="2026" sheetId="2" r:id="rId2"/>
    <sheet name="Metas Quadro" sheetId="3" r:id="rId3"/>
    <sheet name="QtdeMetas" sheetId="4" r:id="rId4"/>
    <sheet name="KPI" sheetId="5" r:id="rId5"/>
    <sheet name="Forecast" sheetId="6" r:id="rId6"/>
    <sheet name="||" sheetId="7" r:id="rId7"/>
    <sheet name="KPI-Metas" sheetId="8" r:id="rId8"/>
    <sheet name="FU - Vendas2026-fev" sheetId="9" r:id="rId9"/>
    <sheet name="FU - Vendas2026-jan" sheetId="10" r:id="rId10"/>
    <sheet name="AnaliseT1" sheetId="11" r:id="rId11"/>
    <sheet name="Resumo de Vendas" sheetId="12" r:id="rId12"/>
    <sheet name="2025" sheetId="13" r:id="rId13"/>
    <sheet name="Comissao Pagas" sheetId="14" r:id="rId14"/>
    <sheet name="opportunity_12_01_2026_22_48_52" sheetId="15" state="hidden" r:id="rId15"/>
    <sheet name="after_sale_12_01_2026_23_39_32" sheetId="16" state="hidden" r:id="rId16"/>
    <sheet name="posvenda" sheetId="17" r:id="rId17"/>
    <sheet name="oportunidade" sheetId="18" r:id="rId18"/>
    <sheet name="325-oportunidade" sheetId="19" r:id="rId19"/>
    <sheet name="pos" sheetId="20" r:id="rId20"/>
  </sheets>
  <externalReferences>
    <externalReference r:id="rId21"/>
  </externalReferences>
  <definedNames>
    <definedName name="_xlnm.Print_Area" localSheetId="8">'FU - Vendas2026-fev'!$A$1:$U$121</definedName>
    <definedName name="_xlnm.Print_Area" localSheetId="9">'FU - Vendas2026-jan'!$A$1:$T$99</definedName>
    <definedName name="_xlnm.Print_Area" localSheetId="4">KPI!$A$1:$N$32</definedName>
    <definedName name="_xlnm.Print_Area" localSheetId="7">'KPI-Metas'!$CW$1:$DK$30</definedName>
    <definedName name="DadosExternos_1" localSheetId="15" hidden="1">after_sale_12_01_2026_23_39_32!$A$1:$AP$594</definedName>
    <definedName name="DadosExternos_1" localSheetId="17" hidden="1">oportunidade!$A$1:$AX$606</definedName>
    <definedName name="DadosExternos_1" localSheetId="14" hidden="1">opportunity_12_01_2026_22_48_52!$A$1:$AW$473</definedName>
    <definedName name="DadosExternos_1" localSheetId="19" hidden="1">pos!$A$1:$AP$503</definedName>
    <definedName name="DadosExternos_1" localSheetId="16" hidden="1">posvenda!$A$1:$AQ$491</definedName>
    <definedName name="DadosExternos_2" localSheetId="18" hidden="1">'325-oportunidade'!$A$1:$AW$717</definedName>
  </definedNames>
  <calcPr calcId="191029"/>
  <pivotCaches>
    <pivotCache cacheId="0" r:id="rId22"/>
    <pivotCache cacheId="1" r:id="rId23"/>
    <pivotCache cacheId="2" r:id="rId24"/>
    <pivotCache cacheId="3" r:id="rId25"/>
    <pivotCache cacheId="4" r:id="rId26"/>
    <pivotCache cacheId="5" r:id="rId27"/>
    <pivotCache cacheId="6" r:id="rId28"/>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C58" i="4" l="1"/>
  <c r="AC61" i="4"/>
  <c r="AC60" i="4"/>
  <c r="AC59" i="4"/>
  <c r="AB61" i="4"/>
  <c r="AB60" i="4"/>
  <c r="AB59" i="4"/>
  <c r="AB58" i="4"/>
  <c r="U61" i="4"/>
  <c r="U60" i="4"/>
  <c r="U59" i="4"/>
  <c r="U58" i="4"/>
  <c r="T61" i="4"/>
  <c r="T60" i="4"/>
  <c r="T59" i="4"/>
  <c r="T58" i="4"/>
  <c r="S61" i="4"/>
  <c r="S60" i="4"/>
  <c r="S59" i="4"/>
  <c r="S58" i="4"/>
  <c r="C25" i="3"/>
  <c r="C29" i="3"/>
  <c r="B29" i="3"/>
  <c r="B24" i="3"/>
  <c r="B28" i="3"/>
  <c r="C28" i="3"/>
  <c r="D28" i="3" s="1"/>
  <c r="D25" i="3"/>
  <c r="B25" i="3"/>
  <c r="C1038" i="14"/>
  <c r="C1037" i="14"/>
  <c r="C1036" i="14"/>
  <c r="C1035" i="14"/>
  <c r="C1034" i="14"/>
  <c r="C1033" i="14"/>
  <c r="C1032" i="14"/>
  <c r="C1031" i="14"/>
  <c r="C1030" i="14"/>
  <c r="C1029" i="14"/>
  <c r="C1028" i="14"/>
  <c r="C1027" i="14"/>
  <c r="C1026" i="14"/>
  <c r="C1025" i="14"/>
  <c r="C1023" i="14"/>
  <c r="C1022" i="14"/>
  <c r="C1021" i="14"/>
  <c r="C1020" i="14"/>
  <c r="C1019" i="14"/>
  <c r="C1018" i="14"/>
  <c r="C1017" i="14"/>
  <c r="C1016" i="14"/>
  <c r="C1015" i="14"/>
  <c r="C1014" i="14"/>
  <c r="C1013" i="14"/>
  <c r="C1012" i="14"/>
  <c r="C1011" i="14"/>
  <c r="C1010" i="14"/>
  <c r="C1009" i="14"/>
  <c r="C1008" i="14"/>
  <c r="C1007" i="14"/>
  <c r="C1006" i="14"/>
  <c r="C1005" i="14"/>
  <c r="C1004" i="14"/>
  <c r="C1001" i="14"/>
  <c r="C1000" i="14"/>
  <c r="C998" i="14"/>
  <c r="C997" i="14"/>
  <c r="C996" i="14"/>
  <c r="C994" i="14"/>
  <c r="C993" i="14"/>
  <c r="C992" i="14"/>
  <c r="C991" i="14"/>
  <c r="C990" i="14"/>
  <c r="C989" i="14"/>
  <c r="C987" i="14"/>
  <c r="C986" i="14"/>
  <c r="C985" i="14"/>
  <c r="C983" i="14"/>
  <c r="C982" i="14"/>
  <c r="C976" i="14"/>
  <c r="C975" i="14"/>
  <c r="C974" i="14"/>
  <c r="C973" i="14"/>
  <c r="C970" i="14"/>
  <c r="C969" i="14"/>
  <c r="C945" i="14"/>
  <c r="C942" i="14"/>
  <c r="C941" i="14"/>
  <c r="C940" i="14"/>
  <c r="C939" i="14"/>
  <c r="C938" i="14"/>
  <c r="D937" i="14"/>
  <c r="C936" i="14"/>
  <c r="C935" i="14"/>
  <c r="D934" i="14"/>
  <c r="C934" i="14"/>
  <c r="C933" i="14"/>
  <c r="C932" i="14"/>
  <c r="D931" i="14"/>
  <c r="C931" i="14"/>
  <c r="C930" i="14"/>
  <c r="C929" i="14"/>
  <c r="D928" i="14"/>
  <c r="C928" i="14"/>
  <c r="C927" i="14"/>
  <c r="C926" i="14"/>
  <c r="D925" i="14"/>
  <c r="C925" i="14"/>
  <c r="C924" i="14"/>
  <c r="C923" i="14"/>
  <c r="D922" i="14"/>
  <c r="C922" i="14"/>
  <c r="C921" i="14"/>
  <c r="C920" i="14"/>
  <c r="D919" i="14"/>
  <c r="C919" i="14"/>
  <c r="C918" i="14"/>
  <c r="C917" i="14"/>
  <c r="D916" i="14"/>
  <c r="C915" i="14"/>
  <c r="D913" i="14"/>
  <c r="C912" i="14"/>
  <c r="C911" i="14"/>
  <c r="D910" i="14"/>
  <c r="AC908" i="14"/>
  <c r="AB908" i="14"/>
  <c r="AA908" i="14"/>
  <c r="C908" i="14"/>
  <c r="AC907" i="14"/>
  <c r="AB907" i="14"/>
  <c r="AA907" i="14"/>
  <c r="D907" i="14"/>
  <c r="C907" i="14"/>
  <c r="C906" i="14"/>
  <c r="C905" i="14"/>
  <c r="D904" i="14"/>
  <c r="AC903" i="14"/>
  <c r="AB903" i="14"/>
  <c r="AA903" i="14"/>
  <c r="D903" i="14"/>
  <c r="AC902" i="14"/>
  <c r="AB902" i="14"/>
  <c r="AA902" i="14"/>
  <c r="D902" i="14"/>
  <c r="D901" i="14"/>
  <c r="D900" i="14"/>
  <c r="D899" i="14"/>
  <c r="D898" i="14"/>
  <c r="D897" i="14"/>
  <c r="D896" i="14"/>
  <c r="D895" i="14"/>
  <c r="D894" i="14"/>
  <c r="D893" i="14"/>
  <c r="D892" i="14"/>
  <c r="AB890" i="14"/>
  <c r="Q872" i="14"/>
  <c r="R871" i="14"/>
  <c r="R872" i="14" s="1"/>
  <c r="AI18" i="14"/>
  <c r="AO8" i="14" s="1"/>
  <c r="AF18" i="14"/>
  <c r="AC18" i="14"/>
  <c r="Z18" i="14"/>
  <c r="W17" i="14"/>
  <c r="J16" i="14"/>
  <c r="H16" i="14"/>
  <c r="M9" i="14"/>
  <c r="M7" i="14"/>
  <c r="R3" i="14"/>
  <c r="T473" i="13"/>
  <c r="G473" i="13"/>
  <c r="K472" i="13"/>
  <c r="I472" i="13"/>
  <c r="K471" i="13"/>
  <c r="I471" i="13"/>
  <c r="K470" i="13"/>
  <c r="I470" i="13"/>
  <c r="K469" i="13"/>
  <c r="I469" i="13"/>
  <c r="K468" i="13"/>
  <c r="I468" i="13"/>
  <c r="K467" i="13"/>
  <c r="I467" i="13"/>
  <c r="K466" i="13"/>
  <c r="I466" i="13"/>
  <c r="K465" i="13"/>
  <c r="I465" i="13"/>
  <c r="K464" i="13"/>
  <c r="I464" i="13"/>
  <c r="I463" i="13"/>
  <c r="I462" i="13"/>
  <c r="K461" i="13"/>
  <c r="I461" i="13"/>
  <c r="K460" i="13"/>
  <c r="I460" i="13"/>
  <c r="K459" i="13"/>
  <c r="I459" i="13"/>
  <c r="K458" i="13"/>
  <c r="I458" i="13"/>
  <c r="K457" i="13"/>
  <c r="I457" i="13"/>
  <c r="K456" i="13"/>
  <c r="I456" i="13"/>
  <c r="K455" i="13"/>
  <c r="I455" i="13"/>
  <c r="K454" i="13"/>
  <c r="I454" i="13"/>
  <c r="K453" i="13"/>
  <c r="I453" i="13"/>
  <c r="K452" i="13"/>
  <c r="I452" i="13"/>
  <c r="K451" i="13"/>
  <c r="I451" i="13"/>
  <c r="K450" i="13"/>
  <c r="I450" i="13"/>
  <c r="K449" i="13"/>
  <c r="I449" i="13"/>
  <c r="K448" i="13"/>
  <c r="I448" i="13"/>
  <c r="K447" i="13"/>
  <c r="I447" i="13"/>
  <c r="K446" i="13"/>
  <c r="I446" i="13"/>
  <c r="K445" i="13"/>
  <c r="I445" i="13"/>
  <c r="K444" i="13"/>
  <c r="I444" i="13"/>
  <c r="K443" i="13"/>
  <c r="I443" i="13"/>
  <c r="I442" i="13"/>
  <c r="I441" i="13"/>
  <c r="I440" i="13"/>
  <c r="K439" i="13"/>
  <c r="I439" i="13"/>
  <c r="K438" i="13"/>
  <c r="I438" i="13"/>
  <c r="K437" i="13"/>
  <c r="I437" i="13"/>
  <c r="K436" i="13"/>
  <c r="I436" i="13"/>
  <c r="K435" i="13"/>
  <c r="I435" i="13"/>
  <c r="K434" i="13"/>
  <c r="I434" i="13"/>
  <c r="K433" i="13"/>
  <c r="I433" i="13"/>
  <c r="K432" i="13"/>
  <c r="I432" i="13"/>
  <c r="K431" i="13"/>
  <c r="I431" i="13"/>
  <c r="K430" i="13"/>
  <c r="I430" i="13"/>
  <c r="K429" i="13"/>
  <c r="I429" i="13"/>
  <c r="K428" i="13"/>
  <c r="I428" i="13"/>
  <c r="K427" i="13"/>
  <c r="I427" i="13"/>
  <c r="K426" i="13"/>
  <c r="I426" i="13"/>
  <c r="K425" i="13"/>
  <c r="I425" i="13"/>
  <c r="K424" i="13"/>
  <c r="I424" i="13"/>
  <c r="K423" i="13"/>
  <c r="I423" i="13"/>
  <c r="K422" i="13"/>
  <c r="I422" i="13"/>
  <c r="K421" i="13"/>
  <c r="I421" i="13"/>
  <c r="K420" i="13"/>
  <c r="I420" i="13"/>
  <c r="K419" i="13"/>
  <c r="I419" i="13"/>
  <c r="K418" i="13"/>
  <c r="I418" i="13"/>
  <c r="K417" i="13"/>
  <c r="I417" i="13"/>
  <c r="K416" i="13"/>
  <c r="I416" i="13"/>
  <c r="K415" i="13"/>
  <c r="I415" i="13"/>
  <c r="K414" i="13"/>
  <c r="I414" i="13"/>
  <c r="K413" i="13"/>
  <c r="I413" i="13"/>
  <c r="K412" i="13"/>
  <c r="I412" i="13"/>
  <c r="K411" i="13"/>
  <c r="I411" i="13"/>
  <c r="K410" i="13"/>
  <c r="I410" i="13"/>
  <c r="K409" i="13"/>
  <c r="I409" i="13"/>
  <c r="K408" i="13"/>
  <c r="I408" i="13"/>
  <c r="K407" i="13"/>
  <c r="I407" i="13"/>
  <c r="K406" i="13"/>
  <c r="I406" i="13"/>
  <c r="I405" i="13"/>
  <c r="I404" i="13"/>
  <c r="I403" i="13"/>
  <c r="I402" i="13"/>
  <c r="K401" i="13"/>
  <c r="I401" i="13"/>
  <c r="K400" i="13"/>
  <c r="I400" i="13"/>
  <c r="K399" i="13"/>
  <c r="I399" i="13"/>
  <c r="K398" i="13"/>
  <c r="I398" i="13"/>
  <c r="K397" i="13"/>
  <c r="I397" i="13"/>
  <c r="K396" i="13"/>
  <c r="I396" i="13"/>
  <c r="K395" i="13"/>
  <c r="I395" i="13"/>
  <c r="K394" i="13"/>
  <c r="I394" i="13"/>
  <c r="K393" i="13"/>
  <c r="I393" i="13"/>
  <c r="K392" i="13"/>
  <c r="I392" i="13"/>
  <c r="K391" i="13"/>
  <c r="I391" i="13"/>
  <c r="K390" i="13"/>
  <c r="I390" i="13"/>
  <c r="K389" i="13"/>
  <c r="I389" i="13"/>
  <c r="K388" i="13"/>
  <c r="I388" i="13"/>
  <c r="K387" i="13"/>
  <c r="I387" i="13"/>
  <c r="K386" i="13"/>
  <c r="I386" i="13"/>
  <c r="K385" i="13"/>
  <c r="I385" i="13"/>
  <c r="K384" i="13"/>
  <c r="I384" i="13"/>
  <c r="K383" i="13"/>
  <c r="I383" i="13"/>
  <c r="K382" i="13"/>
  <c r="I382" i="13"/>
  <c r="K381" i="13"/>
  <c r="I381" i="13"/>
  <c r="K380" i="13"/>
  <c r="I380" i="13"/>
  <c r="K379" i="13"/>
  <c r="I379" i="13"/>
  <c r="K378" i="13"/>
  <c r="I378" i="13"/>
  <c r="K377" i="13"/>
  <c r="I377" i="13"/>
  <c r="K376" i="13"/>
  <c r="I376" i="13"/>
  <c r="K375" i="13"/>
  <c r="I375" i="13"/>
  <c r="K374" i="13"/>
  <c r="I374" i="13"/>
  <c r="K373" i="13"/>
  <c r="I373" i="13"/>
  <c r="K372" i="13"/>
  <c r="I372" i="13"/>
  <c r="K371" i="13"/>
  <c r="I371" i="13"/>
  <c r="K370" i="13"/>
  <c r="I370" i="13"/>
  <c r="K369" i="13"/>
  <c r="I369" i="13"/>
  <c r="K368" i="13"/>
  <c r="I368" i="13"/>
  <c r="K367" i="13"/>
  <c r="I367" i="13"/>
  <c r="K366" i="13"/>
  <c r="I366" i="13"/>
  <c r="K365" i="13"/>
  <c r="I365" i="13"/>
  <c r="K364" i="13"/>
  <c r="I364" i="13"/>
  <c r="K363" i="13"/>
  <c r="I363" i="13"/>
  <c r="K362" i="13"/>
  <c r="I362" i="13"/>
  <c r="K361" i="13"/>
  <c r="H361" i="13"/>
  <c r="I361" i="13" s="1"/>
  <c r="K360" i="13"/>
  <c r="I360" i="13"/>
  <c r="K359" i="13"/>
  <c r="I359" i="13"/>
  <c r="K358" i="13"/>
  <c r="I358" i="13"/>
  <c r="K357" i="13"/>
  <c r="I357" i="13"/>
  <c r="K356" i="13"/>
  <c r="I356" i="13"/>
  <c r="K355" i="13"/>
  <c r="I355" i="13"/>
  <c r="K354" i="13"/>
  <c r="I354" i="13"/>
  <c r="K353" i="13"/>
  <c r="I353" i="13"/>
  <c r="K352" i="13"/>
  <c r="I352" i="13"/>
  <c r="K351" i="13"/>
  <c r="I351" i="13"/>
  <c r="I350" i="13"/>
  <c r="I349" i="13"/>
  <c r="I348" i="13"/>
  <c r="I347" i="13"/>
  <c r="I346" i="13"/>
  <c r="I345" i="13"/>
  <c r="I344" i="13"/>
  <c r="K343" i="13"/>
  <c r="I343" i="13"/>
  <c r="K342" i="13"/>
  <c r="I342" i="13"/>
  <c r="K341" i="13"/>
  <c r="I341" i="13"/>
  <c r="K340" i="13"/>
  <c r="I340" i="13"/>
  <c r="K339" i="13"/>
  <c r="I339" i="13"/>
  <c r="K338" i="13"/>
  <c r="I338" i="13"/>
  <c r="K337" i="13"/>
  <c r="I337" i="13"/>
  <c r="K336" i="13"/>
  <c r="I336" i="13"/>
  <c r="K335" i="13"/>
  <c r="I335" i="13"/>
  <c r="K334" i="13"/>
  <c r="I334" i="13"/>
  <c r="K333" i="13"/>
  <c r="I333" i="13"/>
  <c r="K332" i="13"/>
  <c r="I332" i="13"/>
  <c r="K331" i="13"/>
  <c r="I331" i="13"/>
  <c r="K330" i="13"/>
  <c r="I330" i="13"/>
  <c r="K329" i="13"/>
  <c r="I329" i="13"/>
  <c r="K328" i="13"/>
  <c r="I328" i="13"/>
  <c r="K327" i="13"/>
  <c r="I327" i="13"/>
  <c r="K326" i="13"/>
  <c r="I326" i="13"/>
  <c r="K325" i="13"/>
  <c r="I325" i="13"/>
  <c r="I324" i="13"/>
  <c r="K323" i="13"/>
  <c r="I323" i="13"/>
  <c r="K322" i="13"/>
  <c r="I322" i="13"/>
  <c r="K321" i="13"/>
  <c r="I321" i="13"/>
  <c r="K320" i="13"/>
  <c r="I320" i="13"/>
  <c r="K319" i="13"/>
  <c r="I319" i="13"/>
  <c r="K318" i="13"/>
  <c r="I318" i="13"/>
  <c r="K317" i="13"/>
  <c r="I317" i="13"/>
  <c r="K316" i="13"/>
  <c r="I316" i="13"/>
  <c r="K315" i="13"/>
  <c r="I315" i="13"/>
  <c r="K314" i="13"/>
  <c r="I314" i="13"/>
  <c r="K313" i="13"/>
  <c r="I313" i="13"/>
  <c r="K312" i="13"/>
  <c r="I312" i="13"/>
  <c r="K311" i="13"/>
  <c r="I311" i="13"/>
  <c r="K310" i="13"/>
  <c r="I310" i="13"/>
  <c r="K309" i="13"/>
  <c r="I309" i="13"/>
  <c r="K308" i="13"/>
  <c r="I308" i="13"/>
  <c r="K307" i="13"/>
  <c r="I307" i="13"/>
  <c r="K306" i="13"/>
  <c r="I306" i="13"/>
  <c r="K305" i="13"/>
  <c r="I305" i="13"/>
  <c r="K304" i="13"/>
  <c r="I304" i="13"/>
  <c r="K303" i="13"/>
  <c r="I303" i="13"/>
  <c r="I302" i="13"/>
  <c r="I301" i="13"/>
  <c r="I300" i="13"/>
  <c r="I299" i="13"/>
  <c r="I298" i="13"/>
  <c r="I297" i="13"/>
  <c r="I296" i="13"/>
  <c r="M295" i="13"/>
  <c r="I295" i="13"/>
  <c r="N295" i="13" s="1"/>
  <c r="I294" i="13"/>
  <c r="M293" i="13"/>
  <c r="I293" i="13"/>
  <c r="N293" i="13" s="1"/>
  <c r="K292" i="13"/>
  <c r="I292" i="13"/>
  <c r="I291" i="13"/>
  <c r="K290" i="13"/>
  <c r="I290" i="13"/>
  <c r="K289" i="13"/>
  <c r="I289" i="13"/>
  <c r="K288" i="13"/>
  <c r="I288" i="13"/>
  <c r="I287" i="13"/>
  <c r="I286" i="13"/>
  <c r="I285" i="13"/>
  <c r="K284" i="13"/>
  <c r="I284" i="13"/>
  <c r="I283" i="13"/>
  <c r="I282" i="13"/>
  <c r="K281" i="13"/>
  <c r="I281" i="13"/>
  <c r="N280" i="13"/>
  <c r="M280" i="13"/>
  <c r="I280" i="13"/>
  <c r="I279" i="13"/>
  <c r="K278" i="13"/>
  <c r="I278" i="13"/>
  <c r="K277" i="13"/>
  <c r="I277" i="13"/>
  <c r="K276" i="13"/>
  <c r="I276" i="13"/>
  <c r="K275" i="13"/>
  <c r="I275" i="13"/>
  <c r="K274" i="13"/>
  <c r="I274" i="13"/>
  <c r="K273" i="13"/>
  <c r="I273" i="13"/>
  <c r="K272" i="13"/>
  <c r="I272" i="13"/>
  <c r="K271" i="13"/>
  <c r="I271" i="13"/>
  <c r="K270" i="13"/>
  <c r="I270" i="13"/>
  <c r="K269" i="13"/>
  <c r="I269" i="13"/>
  <c r="K268" i="13"/>
  <c r="I268" i="13"/>
  <c r="K267" i="13"/>
  <c r="I267" i="13"/>
  <c r="K266" i="13"/>
  <c r="I266" i="13"/>
  <c r="K265" i="13"/>
  <c r="I265" i="13"/>
  <c r="K264" i="13"/>
  <c r="I264" i="13"/>
  <c r="K263" i="13"/>
  <c r="I263" i="13"/>
  <c r="I262" i="13"/>
  <c r="I261" i="13"/>
  <c r="I260" i="13"/>
  <c r="I259" i="13"/>
  <c r="I258" i="13"/>
  <c r="I257" i="13"/>
  <c r="I256" i="13"/>
  <c r="I255" i="13"/>
  <c r="I254" i="13"/>
  <c r="I253" i="13"/>
  <c r="I252" i="13"/>
  <c r="I251" i="13"/>
  <c r="I250" i="13"/>
  <c r="I249" i="13"/>
  <c r="I248" i="13"/>
  <c r="I247" i="13"/>
  <c r="I246" i="13"/>
  <c r="I245" i="13"/>
  <c r="I244" i="13"/>
  <c r="I243" i="13"/>
  <c r="I242" i="13"/>
  <c r="I241" i="13"/>
  <c r="K240" i="13"/>
  <c r="I240" i="13"/>
  <c r="K239" i="13"/>
  <c r="I239" i="13"/>
  <c r="K238" i="13"/>
  <c r="I238" i="13"/>
  <c r="K237" i="13"/>
  <c r="I237" i="13"/>
  <c r="K236" i="13"/>
  <c r="I236" i="13"/>
  <c r="K235" i="13"/>
  <c r="I235" i="13"/>
  <c r="K234" i="13"/>
  <c r="I234" i="13"/>
  <c r="K233" i="13"/>
  <c r="I233" i="13"/>
  <c r="K232" i="13"/>
  <c r="I232" i="13"/>
  <c r="K231" i="13"/>
  <c r="I231" i="13"/>
  <c r="K230" i="13"/>
  <c r="I230" i="13"/>
  <c r="K229" i="13"/>
  <c r="I229" i="13"/>
  <c r="K228" i="13"/>
  <c r="I228" i="13"/>
  <c r="K227" i="13"/>
  <c r="I227" i="13"/>
  <c r="I226" i="13"/>
  <c r="I225" i="13"/>
  <c r="K224" i="13"/>
  <c r="I224" i="13"/>
  <c r="K223" i="13"/>
  <c r="I223" i="13"/>
  <c r="K222" i="13"/>
  <c r="I222" i="13"/>
  <c r="K221" i="13"/>
  <c r="I221" i="13"/>
  <c r="K220" i="13"/>
  <c r="I220" i="13"/>
  <c r="K219" i="13"/>
  <c r="I219" i="13"/>
  <c r="K218" i="13"/>
  <c r="I218" i="13"/>
  <c r="K217" i="13"/>
  <c r="I217" i="13"/>
  <c r="K216" i="13"/>
  <c r="I216" i="13"/>
  <c r="K215" i="13"/>
  <c r="I215" i="13"/>
  <c r="K214" i="13"/>
  <c r="I214" i="13"/>
  <c r="K213" i="13"/>
  <c r="I213" i="13"/>
  <c r="K212" i="13"/>
  <c r="I212" i="13"/>
  <c r="I211" i="13"/>
  <c r="K210" i="13"/>
  <c r="I210" i="13"/>
  <c r="K209" i="13"/>
  <c r="I209" i="13"/>
  <c r="K208" i="13"/>
  <c r="I208" i="13"/>
  <c r="K207" i="13"/>
  <c r="I207" i="13"/>
  <c r="I206" i="13"/>
  <c r="K205" i="13"/>
  <c r="I205" i="13"/>
  <c r="K204" i="13"/>
  <c r="I204" i="13"/>
  <c r="K203" i="13"/>
  <c r="I203" i="13"/>
  <c r="K202" i="13"/>
  <c r="I202" i="13"/>
  <c r="K201" i="13"/>
  <c r="I201" i="13"/>
  <c r="K200" i="13"/>
  <c r="I200" i="13"/>
  <c r="K199" i="13"/>
  <c r="I199" i="13"/>
  <c r="K198" i="13"/>
  <c r="I198" i="13"/>
  <c r="K197" i="13"/>
  <c r="I197" i="13"/>
  <c r="K196" i="13"/>
  <c r="I196" i="13"/>
  <c r="K195" i="13"/>
  <c r="I195" i="13"/>
  <c r="K194" i="13"/>
  <c r="I194" i="13"/>
  <c r="K193" i="13"/>
  <c r="I193" i="13"/>
  <c r="K192" i="13"/>
  <c r="I192" i="13"/>
  <c r="K191" i="13"/>
  <c r="I191" i="13"/>
  <c r="K190" i="13"/>
  <c r="I190" i="13"/>
  <c r="K189" i="13"/>
  <c r="I189" i="13"/>
  <c r="K188" i="13"/>
  <c r="I188" i="13"/>
  <c r="K187" i="13"/>
  <c r="I187" i="13"/>
  <c r="K186" i="13"/>
  <c r="I186" i="13"/>
  <c r="I185" i="13"/>
  <c r="I184" i="13"/>
  <c r="I183" i="13"/>
  <c r="I182" i="13"/>
  <c r="I181" i="13"/>
  <c r="K180" i="13"/>
  <c r="I180" i="13"/>
  <c r="K179" i="13"/>
  <c r="I179" i="13"/>
  <c r="K178" i="13"/>
  <c r="I178" i="13"/>
  <c r="K177" i="13"/>
  <c r="I177" i="13"/>
  <c r="M176" i="13"/>
  <c r="K176" i="13"/>
  <c r="N176" i="13" s="1"/>
  <c r="H176" i="13"/>
  <c r="K175" i="13"/>
  <c r="I175" i="13"/>
  <c r="K174" i="13"/>
  <c r="I174" i="13"/>
  <c r="K173" i="13"/>
  <c r="I173" i="13"/>
  <c r="K172" i="13"/>
  <c r="I172" i="13"/>
  <c r="K171" i="13"/>
  <c r="I171" i="13"/>
  <c r="K170" i="13"/>
  <c r="I170" i="13"/>
  <c r="K169" i="13"/>
  <c r="I169" i="13"/>
  <c r="I168" i="13"/>
  <c r="K167" i="13"/>
  <c r="I167" i="13"/>
  <c r="K166" i="13"/>
  <c r="I166" i="13"/>
  <c r="K165" i="13"/>
  <c r="I165" i="13"/>
  <c r="I164" i="13"/>
  <c r="I163" i="13"/>
  <c r="K162" i="13"/>
  <c r="I162" i="13"/>
  <c r="K161" i="13"/>
  <c r="I161" i="13"/>
  <c r="K160" i="13"/>
  <c r="I160" i="13"/>
  <c r="K159" i="13"/>
  <c r="I159" i="13"/>
  <c r="K158" i="13"/>
  <c r="I158" i="13"/>
  <c r="M157" i="13"/>
  <c r="K157" i="13"/>
  <c r="N157" i="13" s="1"/>
  <c r="K156" i="13"/>
  <c r="I156" i="13"/>
  <c r="K155" i="13"/>
  <c r="I155" i="13"/>
  <c r="K154" i="13"/>
  <c r="I154" i="13"/>
  <c r="K153" i="13"/>
  <c r="I153" i="13"/>
  <c r="K152" i="13"/>
  <c r="G152" i="13"/>
  <c r="I152" i="13" s="1"/>
  <c r="K151" i="13"/>
  <c r="I151" i="13"/>
  <c r="K150" i="13"/>
  <c r="I150" i="13"/>
  <c r="K149" i="13"/>
  <c r="I149" i="13"/>
  <c r="K148" i="13"/>
  <c r="I148" i="13"/>
  <c r="K147" i="13"/>
  <c r="I147" i="13"/>
  <c r="K146" i="13"/>
  <c r="I146" i="13"/>
  <c r="K145" i="13"/>
  <c r="I145" i="13"/>
  <c r="K144" i="13"/>
  <c r="I144" i="13"/>
  <c r="K143" i="13"/>
  <c r="I143" i="13"/>
  <c r="K142" i="13"/>
  <c r="I142" i="13"/>
  <c r="K141" i="13"/>
  <c r="I141" i="13"/>
  <c r="K140" i="13"/>
  <c r="I140" i="13"/>
  <c r="K139" i="13"/>
  <c r="H139" i="13"/>
  <c r="I139" i="13" s="1"/>
  <c r="K138" i="13"/>
  <c r="I138" i="13"/>
  <c r="K137" i="13"/>
  <c r="I137" i="13"/>
  <c r="K136" i="13"/>
  <c r="I136" i="13"/>
  <c r="K135" i="13"/>
  <c r="I135" i="13"/>
  <c r="K134" i="13"/>
  <c r="I134" i="13"/>
  <c r="K133" i="13"/>
  <c r="H133" i="13"/>
  <c r="I133" i="13" s="1"/>
  <c r="K132" i="13"/>
  <c r="I132" i="13"/>
  <c r="K131" i="13"/>
  <c r="I131" i="13"/>
  <c r="K130" i="13"/>
  <c r="I130" i="13"/>
  <c r="K129" i="13"/>
  <c r="I129" i="13"/>
  <c r="K128" i="13"/>
  <c r="I128" i="13"/>
  <c r="K127" i="13"/>
  <c r="I127" i="13"/>
  <c r="K126" i="13"/>
  <c r="I126" i="13"/>
  <c r="I125" i="13"/>
  <c r="I124" i="13"/>
  <c r="I123" i="13"/>
  <c r="I122" i="13"/>
  <c r="I121" i="13"/>
  <c r="I120" i="13"/>
  <c r="I119" i="13"/>
  <c r="K118" i="13"/>
  <c r="I118" i="13"/>
  <c r="I117" i="13"/>
  <c r="M117" i="13" s="1"/>
  <c r="K116" i="13"/>
  <c r="I116" i="13"/>
  <c r="K115" i="13"/>
  <c r="I115" i="13"/>
  <c r="K114" i="13"/>
  <c r="I114" i="13"/>
  <c r="M114" i="13" s="1"/>
  <c r="M113" i="13"/>
  <c r="K113" i="13"/>
  <c r="N113" i="13" s="1"/>
  <c r="H113" i="13"/>
  <c r="K112" i="13"/>
  <c r="I112" i="13"/>
  <c r="K111" i="13"/>
  <c r="I111" i="13"/>
  <c r="K110" i="13"/>
  <c r="I110" i="13"/>
  <c r="K109" i="13"/>
  <c r="I109" i="13"/>
  <c r="K108" i="13"/>
  <c r="I108" i="13"/>
  <c r="K107" i="13"/>
  <c r="I107" i="13"/>
  <c r="K106" i="13"/>
  <c r="I106" i="13"/>
  <c r="K105" i="13"/>
  <c r="I105" i="13"/>
  <c r="K104" i="13"/>
  <c r="I104" i="13"/>
  <c r="K103" i="13"/>
  <c r="I103" i="13"/>
  <c r="K102" i="13"/>
  <c r="I102" i="13"/>
  <c r="K101" i="13"/>
  <c r="I101" i="13"/>
  <c r="K100" i="13"/>
  <c r="I100" i="13"/>
  <c r="K99" i="13"/>
  <c r="I99" i="13"/>
  <c r="K98" i="13"/>
  <c r="I98" i="13"/>
  <c r="N97" i="13"/>
  <c r="K96" i="13"/>
  <c r="I96" i="13"/>
  <c r="K95" i="13"/>
  <c r="I95" i="13"/>
  <c r="K94" i="13"/>
  <c r="I94" i="13"/>
  <c r="K93" i="13"/>
  <c r="I93" i="13"/>
  <c r="K92" i="13"/>
  <c r="I92" i="13"/>
  <c r="K91" i="13"/>
  <c r="I91" i="13"/>
  <c r="K90" i="13"/>
  <c r="I90" i="13"/>
  <c r="K89" i="13"/>
  <c r="I89" i="13"/>
  <c r="K88" i="13"/>
  <c r="I88" i="13"/>
  <c r="K87" i="13"/>
  <c r="I87" i="13"/>
  <c r="K86" i="13"/>
  <c r="I86" i="13"/>
  <c r="K85" i="13"/>
  <c r="I85" i="13"/>
  <c r="K84" i="13"/>
  <c r="I84" i="13"/>
  <c r="K83" i="13"/>
  <c r="I83" i="13"/>
  <c r="I82" i="13"/>
  <c r="I81" i="13"/>
  <c r="I80" i="13"/>
  <c r="I79" i="13"/>
  <c r="I78" i="13"/>
  <c r="K77" i="13"/>
  <c r="I77" i="13"/>
  <c r="K76" i="13"/>
  <c r="I76" i="13"/>
  <c r="K75" i="13"/>
  <c r="I75" i="13"/>
  <c r="K74" i="13"/>
  <c r="I74" i="13"/>
  <c r="K73" i="13"/>
  <c r="I73" i="13"/>
  <c r="K72" i="13"/>
  <c r="I72" i="13"/>
  <c r="I71" i="13"/>
  <c r="K70" i="13"/>
  <c r="I70" i="13"/>
  <c r="I69" i="13"/>
  <c r="K68" i="13"/>
  <c r="I68" i="13"/>
  <c r="K67" i="13"/>
  <c r="I67" i="13"/>
  <c r="K66" i="13"/>
  <c r="I66" i="13"/>
  <c r="K65" i="13"/>
  <c r="I65" i="13"/>
  <c r="K64" i="13"/>
  <c r="I64" i="13"/>
  <c r="K63" i="13"/>
  <c r="I63" i="13"/>
  <c r="K62" i="13"/>
  <c r="I62" i="13"/>
  <c r="K61" i="13"/>
  <c r="I61" i="13"/>
  <c r="K60" i="13"/>
  <c r="I60" i="13"/>
  <c r="K59" i="13"/>
  <c r="I59" i="13"/>
  <c r="K58" i="13"/>
  <c r="I58" i="13"/>
  <c r="K57" i="13"/>
  <c r="I57" i="13"/>
  <c r="K56" i="13"/>
  <c r="I56" i="13"/>
  <c r="K55" i="13"/>
  <c r="I55" i="13"/>
  <c r="K54" i="13"/>
  <c r="I54" i="13"/>
  <c r="K53" i="13"/>
  <c r="I53" i="13"/>
  <c r="K52" i="13"/>
  <c r="I52" i="13"/>
  <c r="K51" i="13"/>
  <c r="I51" i="13"/>
  <c r="I50" i="13"/>
  <c r="K49" i="13"/>
  <c r="I49" i="13"/>
  <c r="K48" i="13"/>
  <c r="I48" i="13"/>
  <c r="K47" i="13"/>
  <c r="I47" i="13"/>
  <c r="K46" i="13"/>
  <c r="I46" i="13"/>
  <c r="K45" i="13"/>
  <c r="I45" i="13"/>
  <c r="N44" i="13"/>
  <c r="M44" i="13"/>
  <c r="K44" i="13"/>
  <c r="I44" i="13"/>
  <c r="K43" i="13"/>
  <c r="I43" i="13"/>
  <c r="K42" i="13"/>
  <c r="I42" i="13"/>
  <c r="K41" i="13"/>
  <c r="I41" i="13"/>
  <c r="K40" i="13"/>
  <c r="I40" i="13"/>
  <c r="K39" i="13"/>
  <c r="I39" i="13"/>
  <c r="K38" i="13"/>
  <c r="I38" i="13"/>
  <c r="K37" i="13"/>
  <c r="I37" i="13"/>
  <c r="K36" i="13"/>
  <c r="I36" i="13"/>
  <c r="K35" i="13"/>
  <c r="I35" i="13"/>
  <c r="K34" i="13"/>
  <c r="I34" i="13"/>
  <c r="K33" i="13"/>
  <c r="I33" i="13"/>
  <c r="K32" i="13"/>
  <c r="I32" i="13"/>
  <c r="K31" i="13"/>
  <c r="I31" i="13"/>
  <c r="I30" i="13"/>
  <c r="I29" i="13"/>
  <c r="I28" i="13"/>
  <c r="M28" i="13" s="1"/>
  <c r="K27" i="13"/>
  <c r="I27" i="13"/>
  <c r="I26" i="13"/>
  <c r="K25" i="13"/>
  <c r="I25" i="13"/>
  <c r="K24" i="13"/>
  <c r="I24" i="13"/>
  <c r="I23" i="13"/>
  <c r="K22" i="13"/>
  <c r="I22" i="13"/>
  <c r="K21" i="13"/>
  <c r="I21" i="13"/>
  <c r="K20" i="13"/>
  <c r="I20" i="13"/>
  <c r="K19" i="13"/>
  <c r="I19" i="13"/>
  <c r="K18" i="13"/>
  <c r="I18" i="13"/>
  <c r="K17" i="13"/>
  <c r="I17" i="13"/>
  <c r="K16" i="13"/>
  <c r="I16" i="13"/>
  <c r="K15" i="13"/>
  <c r="I15" i="13"/>
  <c r="K14" i="13"/>
  <c r="I14" i="13"/>
  <c r="K13" i="13"/>
  <c r="I13" i="13"/>
  <c r="K12" i="13"/>
  <c r="I12" i="13"/>
  <c r="K11" i="13"/>
  <c r="I11" i="13"/>
  <c r="K10" i="13"/>
  <c r="I10" i="13"/>
  <c r="K9" i="13"/>
  <c r="I9" i="13"/>
  <c r="K8" i="13"/>
  <c r="I8" i="13"/>
  <c r="K7" i="13"/>
  <c r="I7" i="13"/>
  <c r="K6" i="13"/>
  <c r="I6" i="13"/>
  <c r="K5" i="13"/>
  <c r="I5" i="13"/>
  <c r="K4" i="13"/>
  <c r="I4" i="13"/>
  <c r="K3" i="13"/>
  <c r="I3" i="13"/>
  <c r="K2" i="13"/>
  <c r="I2" i="13"/>
  <c r="F84" i="10"/>
  <c r="E84" i="10"/>
  <c r="F97" i="10" s="1"/>
  <c r="G83" i="10"/>
  <c r="F83" i="10"/>
  <c r="E83" i="10"/>
  <c r="F93" i="10" s="1"/>
  <c r="N78" i="10"/>
  <c r="H78" i="10"/>
  <c r="F78" i="10"/>
  <c r="E78" i="10"/>
  <c r="K77" i="10"/>
  <c r="G77" i="10"/>
  <c r="K76" i="10"/>
  <c r="G76" i="10"/>
  <c r="K75" i="10"/>
  <c r="L75" i="10" s="1"/>
  <c r="G75" i="10"/>
  <c r="G78" i="10" s="1"/>
  <c r="G72" i="10"/>
  <c r="F72" i="10"/>
  <c r="E72" i="10"/>
  <c r="K71" i="10"/>
  <c r="L71" i="10" s="1"/>
  <c r="H71" i="10"/>
  <c r="K70" i="10"/>
  <c r="H70" i="10"/>
  <c r="K69" i="10"/>
  <c r="L69" i="10" s="1"/>
  <c r="H69" i="10"/>
  <c r="H72" i="10" s="1"/>
  <c r="M76" i="10" s="1"/>
  <c r="G66" i="10"/>
  <c r="F66" i="10"/>
  <c r="F82" i="10" s="1"/>
  <c r="E66" i="10"/>
  <c r="E82" i="10" s="1"/>
  <c r="K65" i="10"/>
  <c r="H65" i="10"/>
  <c r="K64" i="10"/>
  <c r="L64" i="10" s="1"/>
  <c r="H64" i="10"/>
  <c r="H66" i="10" s="1"/>
  <c r="M75" i="10" s="1"/>
  <c r="M50" i="10"/>
  <c r="N50" i="10" s="1"/>
  <c r="I50" i="10"/>
  <c r="J50" i="10" s="1"/>
  <c r="E50" i="10"/>
  <c r="F50" i="10" s="1"/>
  <c r="M48" i="10"/>
  <c r="N48" i="10" s="1"/>
  <c r="I75" i="10" s="1"/>
  <c r="I48" i="10"/>
  <c r="J48" i="10" s="1"/>
  <c r="I64" i="10" s="1"/>
  <c r="E48" i="10"/>
  <c r="N47" i="10"/>
  <c r="J47" i="10"/>
  <c r="F47" i="10"/>
  <c r="N46" i="10"/>
  <c r="J46" i="10"/>
  <c r="F46" i="10"/>
  <c r="T40" i="10"/>
  <c r="N40" i="10"/>
  <c r="M40" i="10"/>
  <c r="I40" i="10"/>
  <c r="F107" i="9"/>
  <c r="E107" i="9"/>
  <c r="F120" i="9" s="1"/>
  <c r="F106" i="9"/>
  <c r="E106" i="9"/>
  <c r="F116" i="9" s="1"/>
  <c r="N101" i="9"/>
  <c r="H101" i="9"/>
  <c r="F101" i="9"/>
  <c r="E101" i="9"/>
  <c r="K100" i="9"/>
  <c r="G100" i="9"/>
  <c r="K99" i="9"/>
  <c r="G99" i="9"/>
  <c r="K98" i="9"/>
  <c r="G98" i="9"/>
  <c r="G101" i="9" s="1"/>
  <c r="G95" i="9"/>
  <c r="F95" i="9"/>
  <c r="E95" i="9"/>
  <c r="K94" i="9"/>
  <c r="H94" i="9"/>
  <c r="K93" i="9"/>
  <c r="H93" i="9"/>
  <c r="K92" i="9"/>
  <c r="H92" i="9"/>
  <c r="H95" i="9" s="1"/>
  <c r="M99" i="9" s="1"/>
  <c r="H89" i="9"/>
  <c r="F89" i="9"/>
  <c r="F105" i="9" s="1"/>
  <c r="E89" i="9"/>
  <c r="E105" i="9" s="1"/>
  <c r="K88" i="9"/>
  <c r="G88" i="9"/>
  <c r="K87" i="9"/>
  <c r="G87" i="9"/>
  <c r="G89" i="9" s="1"/>
  <c r="N73" i="9"/>
  <c r="J73" i="9"/>
  <c r="F73" i="9"/>
  <c r="E72" i="9"/>
  <c r="N71" i="9"/>
  <c r="I98" i="9" s="1"/>
  <c r="J71" i="9"/>
  <c r="I87" i="9" s="1"/>
  <c r="F71" i="9"/>
  <c r="I92" i="9" s="1"/>
  <c r="N70" i="9"/>
  <c r="J70" i="9"/>
  <c r="F70" i="9"/>
  <c r="N69" i="9"/>
  <c r="J69" i="9"/>
  <c r="F69" i="9"/>
  <c r="U62" i="9"/>
  <c r="O62" i="9"/>
  <c r="N62" i="9"/>
  <c r="J62" i="9"/>
  <c r="I62" i="9"/>
  <c r="C47" i="8"/>
  <c r="AZ42" i="8"/>
  <c r="BP38" i="8"/>
  <c r="S37" i="8"/>
  <c r="AJ36" i="8"/>
  <c r="CG27" i="8"/>
  <c r="DK23" i="8"/>
  <c r="DJ23" i="8"/>
  <c r="ER18" i="8"/>
  <c r="EQ18" i="8"/>
  <c r="CF14" i="8"/>
  <c r="AH14" i="8"/>
  <c r="ED13" i="8"/>
  <c r="DM13" i="8"/>
  <c r="CW13" i="8"/>
  <c r="CF13" i="8"/>
  <c r="BO13" i="8"/>
  <c r="AY13" i="8"/>
  <c r="Q13" i="8"/>
  <c r="A13" i="8"/>
  <c r="EE12" i="8"/>
  <c r="DN12" i="8"/>
  <c r="CY12" i="8"/>
  <c r="CX12" i="8"/>
  <c r="CG12" i="8"/>
  <c r="BP12" i="8"/>
  <c r="BA12" i="8"/>
  <c r="AZ12" i="8"/>
  <c r="AI12" i="8"/>
  <c r="R12" i="8"/>
  <c r="C12" i="8"/>
  <c r="B12" i="8"/>
  <c r="EG11" i="8"/>
  <c r="EB11" i="8"/>
  <c r="EA11" i="8"/>
  <c r="DP11" i="8"/>
  <c r="CZ11" i="8"/>
  <c r="CI11" i="8"/>
  <c r="BR11" i="8"/>
  <c r="BB11" i="8"/>
  <c r="AK11" i="8"/>
  <c r="T11" i="8"/>
  <c r="D11" i="8"/>
  <c r="CY10" i="8"/>
  <c r="BA10" i="8"/>
  <c r="C10" i="8"/>
  <c r="EG9" i="8"/>
  <c r="DP9" i="8"/>
  <c r="CZ9" i="8"/>
  <c r="CI9" i="8"/>
  <c r="BR9" i="8"/>
  <c r="BB9" i="8"/>
  <c r="AK9" i="8"/>
  <c r="T9" i="8"/>
  <c r="D9" i="8"/>
  <c r="EG8" i="8"/>
  <c r="DP8" i="8"/>
  <c r="CZ8" i="8"/>
  <c r="CI8" i="8"/>
  <c r="BR8" i="8"/>
  <c r="BB8" i="8"/>
  <c r="AK8" i="8"/>
  <c r="T8" i="8"/>
  <c r="D8" i="8"/>
  <c r="EG7" i="8"/>
  <c r="DP7" i="8"/>
  <c r="CZ7" i="8"/>
  <c r="CI7" i="8"/>
  <c r="BR7" i="8"/>
  <c r="BB7" i="8"/>
  <c r="AK7" i="8"/>
  <c r="T7" i="8"/>
  <c r="D7" i="8"/>
  <c r="DM3" i="8"/>
  <c r="ED3" i="8" s="1"/>
  <c r="BO3" i="8"/>
  <c r="CF3" i="8" s="1"/>
  <c r="Q3" i="8"/>
  <c r="AH3" i="8" s="1"/>
  <c r="DM2" i="8"/>
  <c r="ED2" i="8" s="1"/>
  <c r="BO2" i="8"/>
  <c r="CF2" i="8" s="1"/>
  <c r="Q2" i="8"/>
  <c r="AH2" i="8" s="1"/>
  <c r="DM1" i="8"/>
  <c r="ED1" i="8" s="1"/>
  <c r="BO1" i="8"/>
  <c r="CF1" i="8" s="1"/>
  <c r="Q1" i="8"/>
  <c r="AH1" i="8" s="1"/>
  <c r="E19" i="6"/>
  <c r="AB57" i="4"/>
  <c r="AB56" i="4"/>
  <c r="AB55" i="4"/>
  <c r="AB54" i="4"/>
  <c r="AC53" i="4"/>
  <c r="AB53" i="4"/>
  <c r="AC52" i="4"/>
  <c r="AB52" i="4"/>
  <c r="AC51" i="4"/>
  <c r="AB51" i="4"/>
  <c r="AC50" i="4"/>
  <c r="AB50" i="4"/>
  <c r="AC49" i="4"/>
  <c r="AB49" i="4"/>
  <c r="AC48" i="4"/>
  <c r="AB48" i="4"/>
  <c r="AC47" i="4"/>
  <c r="AB47" i="4"/>
  <c r="AC46" i="4"/>
  <c r="AB46" i="4"/>
  <c r="AC45" i="4"/>
  <c r="AB45" i="4"/>
  <c r="AC44" i="4"/>
  <c r="AB44" i="4"/>
  <c r="AC43" i="4"/>
  <c r="AB43" i="4"/>
  <c r="AC42" i="4"/>
  <c r="AB42" i="4"/>
  <c r="AC41" i="4"/>
  <c r="AB41" i="4"/>
  <c r="AC40" i="4"/>
  <c r="AB40" i="4"/>
  <c r="AC39" i="4"/>
  <c r="AB39" i="4"/>
  <c r="AC38" i="4"/>
  <c r="AB38" i="4"/>
  <c r="AC37" i="4"/>
  <c r="AB37" i="4"/>
  <c r="U37" i="4"/>
  <c r="AC36" i="4"/>
  <c r="AB36" i="4"/>
  <c r="AC35" i="4"/>
  <c r="AB35" i="4"/>
  <c r="U34" i="4"/>
  <c r="T34" i="4"/>
  <c r="AC34" i="4" s="1"/>
  <c r="S34" i="4"/>
  <c r="AB34" i="4" s="1"/>
  <c r="R34" i="4"/>
  <c r="Q34" i="4"/>
  <c r="U33" i="4"/>
  <c r="T33" i="4"/>
  <c r="AC33" i="4" s="1"/>
  <c r="S33" i="4"/>
  <c r="AB33" i="4" s="1"/>
  <c r="R33" i="4"/>
  <c r="Q33" i="4"/>
  <c r="U32" i="4"/>
  <c r="T32" i="4"/>
  <c r="AC32" i="4" s="1"/>
  <c r="S32" i="4"/>
  <c r="AB32" i="4" s="1"/>
  <c r="R32" i="4"/>
  <c r="Q32" i="4"/>
  <c r="U31" i="4"/>
  <c r="T31" i="4"/>
  <c r="AC31" i="4" s="1"/>
  <c r="S31" i="4"/>
  <c r="AB31" i="4" s="1"/>
  <c r="R31" i="4"/>
  <c r="Q31" i="4"/>
  <c r="U30" i="4"/>
  <c r="T30" i="4"/>
  <c r="AC30" i="4" s="1"/>
  <c r="S30" i="4"/>
  <c r="AB30" i="4" s="1"/>
  <c r="R30" i="4"/>
  <c r="Q30" i="4"/>
  <c r="U29" i="4"/>
  <c r="T29" i="4"/>
  <c r="AC29" i="4" s="1"/>
  <c r="S29" i="4"/>
  <c r="AB29" i="4" s="1"/>
  <c r="R29" i="4"/>
  <c r="Q29" i="4"/>
  <c r="U28" i="4"/>
  <c r="T28" i="4"/>
  <c r="AC28" i="4" s="1"/>
  <c r="S28" i="4"/>
  <c r="AB28" i="4" s="1"/>
  <c r="R28" i="4"/>
  <c r="Q28" i="4"/>
  <c r="U27" i="4"/>
  <c r="T27" i="4"/>
  <c r="AC27" i="4" s="1"/>
  <c r="S27" i="4"/>
  <c r="AB27" i="4" s="1"/>
  <c r="R27" i="4"/>
  <c r="Q27" i="4"/>
  <c r="U26" i="4"/>
  <c r="T26" i="4"/>
  <c r="AC26" i="4" s="1"/>
  <c r="S26" i="4"/>
  <c r="AB26" i="4" s="1"/>
  <c r="R26" i="4"/>
  <c r="Q26" i="4"/>
  <c r="U25" i="4"/>
  <c r="T25" i="4"/>
  <c r="AC25" i="4" s="1"/>
  <c r="S25" i="4"/>
  <c r="AB25" i="4" s="1"/>
  <c r="R25" i="4"/>
  <c r="Q25" i="4"/>
  <c r="U24" i="4"/>
  <c r="T24" i="4"/>
  <c r="AC24" i="4" s="1"/>
  <c r="S24" i="4"/>
  <c r="AB24" i="4" s="1"/>
  <c r="R24" i="4"/>
  <c r="Q24" i="4"/>
  <c r="U23" i="4"/>
  <c r="T23" i="4"/>
  <c r="AC23" i="4" s="1"/>
  <c r="S23" i="4"/>
  <c r="AB23" i="4" s="1"/>
  <c r="R23" i="4"/>
  <c r="Q23" i="4"/>
  <c r="U22" i="4"/>
  <c r="T22" i="4"/>
  <c r="AC22" i="4" s="1"/>
  <c r="S22" i="4"/>
  <c r="AB22" i="4" s="1"/>
  <c r="R22" i="4"/>
  <c r="Q22" i="4"/>
  <c r="U21" i="4"/>
  <c r="T21" i="4"/>
  <c r="AC21" i="4" s="1"/>
  <c r="S21" i="4"/>
  <c r="AB21" i="4" s="1"/>
  <c r="R21" i="4"/>
  <c r="Q21" i="4"/>
  <c r="U20" i="4"/>
  <c r="T20" i="4"/>
  <c r="AC20" i="4" s="1"/>
  <c r="S20" i="4"/>
  <c r="AB20" i="4" s="1"/>
  <c r="R20" i="4"/>
  <c r="Q20" i="4"/>
  <c r="U19" i="4"/>
  <c r="T19" i="4"/>
  <c r="AC19" i="4" s="1"/>
  <c r="S19" i="4"/>
  <c r="AB19" i="4" s="1"/>
  <c r="R19" i="4"/>
  <c r="Q19" i="4"/>
  <c r="U18" i="4"/>
  <c r="T18" i="4"/>
  <c r="AC18" i="4" s="1"/>
  <c r="S18" i="4"/>
  <c r="AB18" i="4" s="1"/>
  <c r="R18" i="4"/>
  <c r="Q18" i="4"/>
  <c r="U17" i="4"/>
  <c r="T17" i="4"/>
  <c r="AC17" i="4" s="1"/>
  <c r="S17" i="4"/>
  <c r="AB17" i="4" s="1"/>
  <c r="R17" i="4"/>
  <c r="Q17" i="4"/>
  <c r="U16" i="4"/>
  <c r="T16" i="4"/>
  <c r="AC16" i="4" s="1"/>
  <c r="S16" i="4"/>
  <c r="AB16" i="4" s="1"/>
  <c r="R16" i="4"/>
  <c r="Q16" i="4"/>
  <c r="U15" i="4"/>
  <c r="T15" i="4"/>
  <c r="AC15" i="4" s="1"/>
  <c r="S15" i="4"/>
  <c r="AB15" i="4" s="1"/>
  <c r="R15" i="4"/>
  <c r="Q15" i="4"/>
  <c r="U14" i="4"/>
  <c r="T14" i="4"/>
  <c r="AC14" i="4" s="1"/>
  <c r="S14" i="4"/>
  <c r="AB14" i="4" s="1"/>
  <c r="R14" i="4"/>
  <c r="Q14" i="4"/>
  <c r="U13" i="4"/>
  <c r="T13" i="4"/>
  <c r="AC13" i="4" s="1"/>
  <c r="S13" i="4"/>
  <c r="AB13" i="4" s="1"/>
  <c r="R13" i="4"/>
  <c r="Q13" i="4"/>
  <c r="U12" i="4"/>
  <c r="T12" i="4"/>
  <c r="AC12" i="4" s="1"/>
  <c r="S12" i="4"/>
  <c r="AB12" i="4" s="1"/>
  <c r="R12" i="4"/>
  <c r="Q12" i="4"/>
  <c r="AB11" i="4"/>
  <c r="U11" i="4"/>
  <c r="T11" i="4"/>
  <c r="AC11" i="4" s="1"/>
  <c r="S11" i="4"/>
  <c r="R11" i="4"/>
  <c r="Q11" i="4"/>
  <c r="U10" i="4"/>
  <c r="T10" i="4"/>
  <c r="AC10" i="4" s="1"/>
  <c r="S10" i="4"/>
  <c r="AB10" i="4" s="1"/>
  <c r="R10" i="4"/>
  <c r="Q10" i="4"/>
  <c r="U9" i="4"/>
  <c r="T9" i="4"/>
  <c r="AC9" i="4" s="1"/>
  <c r="S9" i="4"/>
  <c r="AB9" i="4" s="1"/>
  <c r="R9" i="4"/>
  <c r="Q9" i="4"/>
  <c r="U8" i="4"/>
  <c r="T8" i="4"/>
  <c r="AC8" i="4" s="1"/>
  <c r="S8" i="4"/>
  <c r="AB8" i="4" s="1"/>
  <c r="R8" i="4"/>
  <c r="Q8" i="4"/>
  <c r="U7" i="4"/>
  <c r="T7" i="4"/>
  <c r="AC7" i="4" s="1"/>
  <c r="S7" i="4"/>
  <c r="AB7" i="4" s="1"/>
  <c r="R7" i="4"/>
  <c r="Q7" i="4"/>
  <c r="U6" i="4"/>
  <c r="T6" i="4"/>
  <c r="AC6" i="4" s="1"/>
  <c r="S6" i="4"/>
  <c r="AB6" i="4" s="1"/>
  <c r="R6" i="4"/>
  <c r="Q6" i="4"/>
  <c r="U5" i="4"/>
  <c r="T5" i="4"/>
  <c r="AC5" i="4" s="1"/>
  <c r="S5" i="4"/>
  <c r="AB5" i="4" s="1"/>
  <c r="R5" i="4"/>
  <c r="Q5" i="4"/>
  <c r="U4" i="4"/>
  <c r="T4" i="4"/>
  <c r="AC4" i="4" s="1"/>
  <c r="S4" i="4"/>
  <c r="AB4" i="4" s="1"/>
  <c r="R4" i="4"/>
  <c r="Q4" i="4"/>
  <c r="U3" i="4"/>
  <c r="T3" i="4"/>
  <c r="AC3" i="4" s="1"/>
  <c r="S3" i="4"/>
  <c r="AB3" i="4" s="1"/>
  <c r="R3" i="4"/>
  <c r="Q3" i="4"/>
  <c r="U2" i="4"/>
  <c r="T2" i="4"/>
  <c r="AC2" i="4" s="1"/>
  <c r="S2" i="4"/>
  <c r="AB2" i="4" s="1"/>
  <c r="R2" i="4"/>
  <c r="Q2" i="4"/>
  <c r="C24" i="3"/>
  <c r="D24" i="3" s="1"/>
  <c r="D22" i="3"/>
  <c r="D21" i="3"/>
  <c r="D18" i="3"/>
  <c r="D17" i="3"/>
  <c r="D14" i="3"/>
  <c r="D13" i="3"/>
  <c r="D9" i="3"/>
  <c r="D8" i="3"/>
  <c r="D5" i="3"/>
  <c r="D4" i="3"/>
  <c r="L5" i="1"/>
  <c r="I5" i="1"/>
  <c r="L4" i="1"/>
  <c r="I4" i="1"/>
  <c r="O3" i="1"/>
  <c r="N3" i="1"/>
  <c r="L3" i="1"/>
  <c r="J3" i="1"/>
  <c r="I3" i="1"/>
  <c r="O2" i="1"/>
  <c r="N2" i="1"/>
  <c r="L2" i="1"/>
  <c r="J2" i="1"/>
  <c r="I2" i="1"/>
  <c r="V224" i="2"/>
  <c r="G224" i="2"/>
  <c r="L219" i="2"/>
  <c r="I219" i="2"/>
  <c r="L218" i="2"/>
  <c r="I218" i="2"/>
  <c r="L217" i="2"/>
  <c r="I217" i="2"/>
  <c r="L223" i="2"/>
  <c r="I223" i="2"/>
  <c r="L216" i="2"/>
  <c r="I216" i="2"/>
  <c r="L215" i="2"/>
  <c r="I215" i="2"/>
  <c r="L214" i="2"/>
  <c r="I214" i="2"/>
  <c r="L213" i="2"/>
  <c r="I213" i="2"/>
  <c r="L212" i="2"/>
  <c r="I212" i="2"/>
  <c r="L211" i="2"/>
  <c r="I211" i="2"/>
  <c r="L210" i="2"/>
  <c r="I210" i="2"/>
  <c r="L209" i="2"/>
  <c r="I209" i="2"/>
  <c r="L208" i="2"/>
  <c r="I208" i="2"/>
  <c r="L207" i="2"/>
  <c r="I207" i="2"/>
  <c r="L206" i="2"/>
  <c r="I206" i="2"/>
  <c r="L205" i="2"/>
  <c r="I205" i="2"/>
  <c r="L204" i="2"/>
  <c r="I204" i="2"/>
  <c r="L203" i="2"/>
  <c r="I203" i="2"/>
  <c r="L202" i="2"/>
  <c r="I202" i="2"/>
  <c r="L201" i="2"/>
  <c r="I201" i="2"/>
  <c r="L200" i="2"/>
  <c r="I200" i="2"/>
  <c r="L199" i="2"/>
  <c r="I199" i="2"/>
  <c r="L198" i="2"/>
  <c r="I198" i="2"/>
  <c r="L197" i="2"/>
  <c r="I197" i="2"/>
  <c r="L196" i="2"/>
  <c r="I196" i="2"/>
  <c r="L195" i="2"/>
  <c r="I195" i="2"/>
  <c r="I194" i="2"/>
  <c r="L193" i="2"/>
  <c r="I193" i="2"/>
  <c r="L192" i="2"/>
  <c r="I192" i="2"/>
  <c r="L191" i="2"/>
  <c r="I191" i="2"/>
  <c r="L190" i="2"/>
  <c r="I190" i="2"/>
  <c r="L189" i="2"/>
  <c r="I189" i="2"/>
  <c r="L188" i="2"/>
  <c r="I188" i="2"/>
  <c r="L187" i="2"/>
  <c r="I187" i="2"/>
  <c r="L186" i="2"/>
  <c r="I186" i="2"/>
  <c r="L185" i="2"/>
  <c r="I185" i="2"/>
  <c r="L184" i="2"/>
  <c r="I184" i="2"/>
  <c r="L183" i="2"/>
  <c r="I183" i="2"/>
  <c r="L182" i="2"/>
  <c r="I182" i="2"/>
  <c r="L181" i="2"/>
  <c r="I181" i="2"/>
  <c r="L180" i="2"/>
  <c r="I180" i="2"/>
  <c r="L179" i="2"/>
  <c r="I179" i="2"/>
  <c r="L178" i="2"/>
  <c r="I178" i="2"/>
  <c r="L177" i="2"/>
  <c r="I177" i="2"/>
  <c r="L176" i="2"/>
  <c r="I176" i="2"/>
  <c r="L175" i="2"/>
  <c r="I175" i="2"/>
  <c r="L174" i="2"/>
  <c r="I174" i="2"/>
  <c r="L173" i="2"/>
  <c r="I173" i="2"/>
  <c r="L172" i="2"/>
  <c r="I172" i="2"/>
  <c r="L171" i="2"/>
  <c r="I171" i="2"/>
  <c r="L170" i="2"/>
  <c r="I170" i="2"/>
  <c r="L169" i="2"/>
  <c r="I169" i="2"/>
  <c r="L168" i="2"/>
  <c r="I168" i="2"/>
  <c r="L167" i="2"/>
  <c r="I167" i="2"/>
  <c r="I166" i="2"/>
  <c r="L165" i="2"/>
  <c r="I165" i="2"/>
  <c r="L164" i="2"/>
  <c r="I164" i="2"/>
  <c r="L163" i="2"/>
  <c r="I163" i="2"/>
  <c r="L162" i="2"/>
  <c r="I162" i="2"/>
  <c r="L161" i="2"/>
  <c r="I161" i="2"/>
  <c r="L160" i="2"/>
  <c r="I160" i="2"/>
  <c r="I159" i="2"/>
  <c r="I158" i="2"/>
  <c r="I157" i="2"/>
  <c r="I156" i="2"/>
  <c r="I155" i="2"/>
  <c r="I154" i="2"/>
  <c r="L153" i="2"/>
  <c r="I153" i="2"/>
  <c r="L152" i="2"/>
  <c r="I152" i="2"/>
  <c r="L151" i="2"/>
  <c r="I151" i="2"/>
  <c r="L150" i="2"/>
  <c r="I150" i="2"/>
  <c r="I149" i="2"/>
  <c r="I148" i="2"/>
  <c r="L147" i="2"/>
  <c r="I147" i="2"/>
  <c r="I146" i="2"/>
  <c r="L145" i="2"/>
  <c r="I145" i="2"/>
  <c r="L144" i="2"/>
  <c r="I144" i="2"/>
  <c r="L143" i="2"/>
  <c r="I143" i="2"/>
  <c r="L142" i="2"/>
  <c r="I142" i="2"/>
  <c r="L141" i="2"/>
  <c r="I141" i="2"/>
  <c r="L140" i="2"/>
  <c r="I140" i="2"/>
  <c r="L139" i="2"/>
  <c r="I139" i="2"/>
  <c r="L138" i="2"/>
  <c r="I138" i="2"/>
  <c r="L137" i="2"/>
  <c r="I137" i="2"/>
  <c r="L136" i="2"/>
  <c r="I136" i="2"/>
  <c r="L135" i="2"/>
  <c r="I135" i="2"/>
  <c r="L134" i="2"/>
  <c r="I134" i="2"/>
  <c r="L133" i="2"/>
  <c r="I133" i="2"/>
  <c r="L132" i="2"/>
  <c r="I132" i="2"/>
  <c r="L131" i="2"/>
  <c r="I131" i="2"/>
  <c r="L130" i="2"/>
  <c r="I130" i="2"/>
  <c r="I129" i="2"/>
  <c r="L128" i="2"/>
  <c r="I128" i="2"/>
  <c r="L127" i="2"/>
  <c r="I127" i="2"/>
  <c r="L126" i="2"/>
  <c r="I126" i="2"/>
  <c r="L125" i="2"/>
  <c r="I125" i="2"/>
  <c r="L124" i="2"/>
  <c r="I124" i="2"/>
  <c r="L123" i="2"/>
  <c r="I123" i="2"/>
  <c r="L122" i="2"/>
  <c r="I122" i="2"/>
  <c r="L121" i="2"/>
  <c r="I121" i="2"/>
  <c r="L120" i="2"/>
  <c r="I120" i="2"/>
  <c r="L119" i="2"/>
  <c r="I119" i="2"/>
  <c r="L118" i="2"/>
  <c r="I118" i="2"/>
  <c r="I117" i="2"/>
  <c r="L116" i="2"/>
  <c r="I116" i="2"/>
  <c r="L115" i="2"/>
  <c r="I115" i="2"/>
  <c r="L114" i="2"/>
  <c r="I114" i="2"/>
  <c r="L113" i="2"/>
  <c r="I113" i="2"/>
  <c r="L112" i="2"/>
  <c r="I112" i="2"/>
  <c r="N111" i="2"/>
  <c r="L111" i="2"/>
  <c r="O111" i="2" s="1"/>
  <c r="L110" i="2"/>
  <c r="I110" i="2"/>
  <c r="L109" i="2"/>
  <c r="I109" i="2"/>
  <c r="L108" i="2"/>
  <c r="I108" i="2"/>
  <c r="L107" i="2"/>
  <c r="I107" i="2"/>
  <c r="L106" i="2"/>
  <c r="I106" i="2"/>
  <c r="L105" i="2"/>
  <c r="I105" i="2"/>
  <c r="L104" i="2"/>
  <c r="I104" i="2"/>
  <c r="L103" i="2"/>
  <c r="I103" i="2"/>
  <c r="L102" i="2"/>
  <c r="I102" i="2"/>
  <c r="L101" i="2"/>
  <c r="I101" i="2"/>
  <c r="L100" i="2"/>
  <c r="I100" i="2"/>
  <c r="L99" i="2"/>
  <c r="I99" i="2"/>
  <c r="L98" i="2"/>
  <c r="I98" i="2"/>
  <c r="L97" i="2"/>
  <c r="I97" i="2"/>
  <c r="L96" i="2"/>
  <c r="I96" i="2"/>
  <c r="L95" i="2"/>
  <c r="I95" i="2"/>
  <c r="I94" i="2"/>
  <c r="I93" i="2"/>
  <c r="I92" i="2"/>
  <c r="I91" i="2"/>
  <c r="I90" i="2"/>
  <c r="I89" i="2"/>
  <c r="I88" i="2"/>
  <c r="I87" i="2"/>
  <c r="I86" i="2"/>
  <c r="I85" i="2"/>
  <c r="I84" i="2"/>
  <c r="I83" i="2"/>
  <c r="I82" i="2"/>
  <c r="I81" i="2"/>
  <c r="I80" i="2"/>
  <c r="I79" i="2"/>
  <c r="I78" i="2"/>
  <c r="I77" i="2"/>
  <c r="I76" i="2"/>
  <c r="I75" i="2"/>
  <c r="I74" i="2"/>
  <c r="I73" i="2"/>
  <c r="I72" i="2"/>
  <c r="I71" i="2"/>
  <c r="I70" i="2"/>
  <c r="I69" i="2"/>
  <c r="I68" i="2"/>
  <c r="I67" i="2"/>
  <c r="I66" i="2"/>
  <c r="I65" i="2"/>
  <c r="I64" i="2"/>
  <c r="I63" i="2"/>
  <c r="I62" i="2"/>
  <c r="I61" i="2"/>
  <c r="L60" i="2"/>
  <c r="I60" i="2"/>
  <c r="L59" i="2"/>
  <c r="I59" i="2"/>
  <c r="L58" i="2"/>
  <c r="I58" i="2"/>
  <c r="L57" i="2"/>
  <c r="I57" i="2"/>
  <c r="L56" i="2"/>
  <c r="I56" i="2"/>
  <c r="I55" i="2"/>
  <c r="L54" i="2"/>
  <c r="I54" i="2"/>
  <c r="L53" i="2"/>
  <c r="I53" i="2"/>
  <c r="L52" i="2"/>
  <c r="I52" i="2"/>
  <c r="L51" i="2"/>
  <c r="I51" i="2"/>
  <c r="L50" i="2"/>
  <c r="I50" i="2"/>
  <c r="L49" i="2"/>
  <c r="I49" i="2"/>
  <c r="L48" i="2"/>
  <c r="I48" i="2"/>
  <c r="L47" i="2"/>
  <c r="I47" i="2"/>
  <c r="L46" i="2"/>
  <c r="I46" i="2"/>
  <c r="L45" i="2"/>
  <c r="I45" i="2"/>
  <c r="I44" i="2"/>
  <c r="N44" i="2" s="1"/>
  <c r="I43" i="2"/>
  <c r="N43" i="2" s="1"/>
  <c r="I42" i="2"/>
  <c r="N42" i="2" s="1"/>
  <c r="L41" i="2"/>
  <c r="I41" i="2"/>
  <c r="L40" i="2"/>
  <c r="I40" i="2"/>
  <c r="I39" i="2"/>
  <c r="L38" i="2"/>
  <c r="I38" i="2"/>
  <c r="L37" i="2"/>
  <c r="I37" i="2"/>
  <c r="L36" i="2"/>
  <c r="I36" i="2"/>
  <c r="L35" i="2"/>
  <c r="I35" i="2"/>
  <c r="L34" i="2"/>
  <c r="I34" i="2"/>
  <c r="L33" i="2"/>
  <c r="I33" i="2"/>
  <c r="L32" i="2"/>
  <c r="I32" i="2"/>
  <c r="L31" i="2"/>
  <c r="I31" i="2"/>
  <c r="L30" i="2"/>
  <c r="I30" i="2"/>
  <c r="L29" i="2"/>
  <c r="I29" i="2"/>
  <c r="L28" i="2"/>
  <c r="I28" i="2"/>
  <c r="L27" i="2"/>
  <c r="I27" i="2"/>
  <c r="L26" i="2"/>
  <c r="I26" i="2"/>
  <c r="L25" i="2"/>
  <c r="I25" i="2"/>
  <c r="L24" i="2"/>
  <c r="I24" i="2"/>
  <c r="I23" i="2"/>
  <c r="I22" i="2"/>
  <c r="I21" i="2"/>
  <c r="I20" i="2"/>
  <c r="I19" i="2"/>
  <c r="I18" i="2"/>
  <c r="I17" i="2"/>
  <c r="I16" i="2"/>
  <c r="I15" i="2"/>
  <c r="I14" i="2"/>
  <c r="L13" i="2"/>
  <c r="I13" i="2"/>
  <c r="L12" i="2"/>
  <c r="I12" i="2"/>
  <c r="L11" i="2"/>
  <c r="I11" i="2"/>
  <c r="L10" i="2"/>
  <c r="I10" i="2"/>
  <c r="L9" i="2"/>
  <c r="I9" i="2"/>
  <c r="I8" i="2"/>
  <c r="I7" i="2"/>
  <c r="L6" i="2"/>
  <c r="I6" i="2"/>
  <c r="L5" i="2"/>
  <c r="I5" i="2"/>
  <c r="L4" i="2"/>
  <c r="I4" i="2"/>
  <c r="AB889" i="14" l="1"/>
  <c r="AO7" i="14"/>
  <c r="AB888" i="14"/>
  <c r="AO6" i="14"/>
  <c r="Z887" i="14"/>
  <c r="AO5" i="14"/>
  <c r="N472" i="13"/>
  <c r="M472" i="13"/>
  <c r="N471" i="13"/>
  <c r="M471" i="13"/>
  <c r="N470" i="13"/>
  <c r="M470" i="13"/>
  <c r="N469" i="13"/>
  <c r="M469" i="13"/>
  <c r="N468" i="13"/>
  <c r="M468" i="13"/>
  <c r="N467" i="13"/>
  <c r="M467" i="13"/>
  <c r="N466" i="13"/>
  <c r="M466" i="13"/>
  <c r="M465" i="13"/>
  <c r="N465" i="13"/>
  <c r="N464" i="13"/>
  <c r="M464" i="13"/>
  <c r="N463" i="13"/>
  <c r="M463" i="13"/>
  <c r="M462" i="13"/>
  <c r="N462" i="13"/>
  <c r="N461" i="13"/>
  <c r="M461" i="13"/>
  <c r="N460" i="13"/>
  <c r="M460" i="13"/>
  <c r="M459" i="13"/>
  <c r="N459" i="13"/>
  <c r="N458" i="13"/>
  <c r="M458" i="13"/>
  <c r="N457" i="13"/>
  <c r="M457" i="13"/>
  <c r="M456" i="13"/>
  <c r="N456" i="13"/>
  <c r="N455" i="13"/>
  <c r="M455" i="13"/>
  <c r="N454" i="13"/>
  <c r="M454" i="13"/>
  <c r="M453" i="13"/>
  <c r="N453" i="13"/>
  <c r="M452" i="13"/>
  <c r="N452" i="13"/>
  <c r="N451" i="13"/>
  <c r="M451" i="13"/>
  <c r="M450" i="13"/>
  <c r="N450" i="13"/>
  <c r="M449" i="13"/>
  <c r="N449" i="13"/>
  <c r="N448" i="13"/>
  <c r="M448" i="13"/>
  <c r="M447" i="13"/>
  <c r="N447" i="13"/>
  <c r="N446" i="13"/>
  <c r="M446" i="13"/>
  <c r="M445" i="13"/>
  <c r="N445" i="13"/>
  <c r="M444" i="13"/>
  <c r="N444" i="13"/>
  <c r="M443" i="13"/>
  <c r="N443" i="13"/>
  <c r="N442" i="13"/>
  <c r="M442" i="13"/>
  <c r="N441" i="13"/>
  <c r="M441" i="13"/>
  <c r="M440" i="13"/>
  <c r="N440" i="13"/>
  <c r="M439" i="13"/>
  <c r="N439" i="13"/>
  <c r="N438" i="13"/>
  <c r="M438" i="13"/>
  <c r="N437" i="13"/>
  <c r="M437" i="13"/>
  <c r="M436" i="13"/>
  <c r="N436" i="13"/>
  <c r="M435" i="13"/>
  <c r="N435" i="13"/>
  <c r="M434" i="13"/>
  <c r="N434" i="13"/>
  <c r="N433" i="13"/>
  <c r="M433" i="13"/>
  <c r="M432" i="13"/>
  <c r="N432" i="13"/>
  <c r="M431" i="13"/>
  <c r="N431" i="13"/>
  <c r="N430" i="13"/>
  <c r="M430" i="13"/>
  <c r="N429" i="13"/>
  <c r="M429" i="13"/>
  <c r="M428" i="13"/>
  <c r="N428" i="13"/>
  <c r="N427" i="13"/>
  <c r="M427" i="13"/>
  <c r="N426" i="13"/>
  <c r="M426" i="13"/>
  <c r="N425" i="13"/>
  <c r="M425" i="13"/>
  <c r="M424" i="13"/>
  <c r="N424" i="13"/>
  <c r="M423" i="13"/>
  <c r="N423" i="13"/>
  <c r="N422" i="13"/>
  <c r="M422" i="13"/>
  <c r="M421" i="13"/>
  <c r="N421" i="13"/>
  <c r="M420" i="13"/>
  <c r="N420" i="13"/>
  <c r="N419" i="13"/>
  <c r="M419" i="13"/>
  <c r="M418" i="13"/>
  <c r="N418" i="13"/>
  <c r="M417" i="13"/>
  <c r="N417" i="13"/>
  <c r="M416" i="13"/>
  <c r="N416" i="13"/>
  <c r="N415" i="13"/>
  <c r="M415" i="13"/>
  <c r="M414" i="13"/>
  <c r="N414" i="13"/>
  <c r="M413" i="13"/>
  <c r="N413" i="13"/>
  <c r="M412" i="13"/>
  <c r="N412" i="13"/>
  <c r="M411" i="13"/>
  <c r="N411" i="13"/>
  <c r="M410" i="13"/>
  <c r="N410" i="13"/>
  <c r="M409" i="13"/>
  <c r="N409" i="13"/>
  <c r="M408" i="13"/>
  <c r="N408" i="13"/>
  <c r="N407" i="13"/>
  <c r="M407" i="13"/>
  <c r="N406" i="13"/>
  <c r="M406" i="13"/>
  <c r="M405" i="13"/>
  <c r="N405" i="13"/>
  <c r="N404" i="13"/>
  <c r="M404" i="13"/>
  <c r="M403" i="13"/>
  <c r="N403" i="13"/>
  <c r="N402" i="13"/>
  <c r="M402" i="13"/>
  <c r="N401" i="13"/>
  <c r="M401" i="13"/>
  <c r="N400" i="13"/>
  <c r="M400" i="13"/>
  <c r="N399" i="13"/>
  <c r="M399" i="13"/>
  <c r="M398" i="13"/>
  <c r="N398" i="13"/>
  <c r="M397" i="13"/>
  <c r="N397" i="13"/>
  <c r="M396" i="13"/>
  <c r="N396" i="13"/>
  <c r="N395" i="13"/>
  <c r="M395" i="13"/>
  <c r="M394" i="13"/>
  <c r="N394" i="13"/>
  <c r="N393" i="13"/>
  <c r="M393" i="13"/>
  <c r="M392" i="13"/>
  <c r="N392" i="13"/>
  <c r="N391" i="13"/>
  <c r="M391" i="13"/>
  <c r="N390" i="13"/>
  <c r="M390" i="13"/>
  <c r="M389" i="13"/>
  <c r="N389" i="13"/>
  <c r="M388" i="13"/>
  <c r="N388" i="13"/>
  <c r="N387" i="13"/>
  <c r="M387" i="13"/>
  <c r="M386" i="13"/>
  <c r="N386" i="13"/>
  <c r="N385" i="13"/>
  <c r="M385" i="13"/>
  <c r="N384" i="13"/>
  <c r="M384" i="13"/>
  <c r="N383" i="13"/>
  <c r="M383" i="13"/>
  <c r="N382" i="13"/>
  <c r="M382" i="13"/>
  <c r="N381" i="13"/>
  <c r="M381" i="13"/>
  <c r="M380" i="13"/>
  <c r="N380" i="13"/>
  <c r="M379" i="13"/>
  <c r="N379" i="13"/>
  <c r="M378" i="13"/>
  <c r="N378" i="13"/>
  <c r="M377" i="13"/>
  <c r="N377" i="13"/>
  <c r="M376" i="13"/>
  <c r="N376" i="13"/>
  <c r="N375" i="13"/>
  <c r="M375" i="13"/>
  <c r="M374" i="13"/>
  <c r="N374" i="13"/>
  <c r="N373" i="13"/>
  <c r="M373" i="13"/>
  <c r="N372" i="13"/>
  <c r="M372" i="13"/>
  <c r="N371" i="13"/>
  <c r="M371" i="13"/>
  <c r="N370" i="13"/>
  <c r="M370" i="13"/>
  <c r="M369" i="13"/>
  <c r="N369" i="13"/>
  <c r="M368" i="13"/>
  <c r="N368" i="13"/>
  <c r="N367" i="13"/>
  <c r="M367" i="13"/>
  <c r="N366" i="13"/>
  <c r="M366" i="13"/>
  <c r="N365" i="13"/>
  <c r="M365" i="13"/>
  <c r="M364" i="13"/>
  <c r="N364" i="13"/>
  <c r="M363" i="13"/>
  <c r="N363" i="13"/>
  <c r="M362" i="13"/>
  <c r="N362" i="13"/>
  <c r="M361" i="13"/>
  <c r="N361" i="13"/>
  <c r="N360" i="13"/>
  <c r="M360" i="13"/>
  <c r="N359" i="13"/>
  <c r="M359" i="13"/>
  <c r="M358" i="13"/>
  <c r="N358" i="13"/>
  <c r="N357" i="13"/>
  <c r="M357" i="13"/>
  <c r="N356" i="13"/>
  <c r="M356" i="13"/>
  <c r="M355" i="13"/>
  <c r="N355" i="13"/>
  <c r="M354" i="13"/>
  <c r="N354" i="13"/>
  <c r="N353" i="13"/>
  <c r="M353" i="13"/>
  <c r="M352" i="13"/>
  <c r="N352" i="13"/>
  <c r="N351" i="13"/>
  <c r="M351" i="13"/>
  <c r="M350" i="13"/>
  <c r="N350" i="13"/>
  <c r="M349" i="13"/>
  <c r="N349" i="13"/>
  <c r="M348" i="13"/>
  <c r="N348" i="13"/>
  <c r="M347" i="13"/>
  <c r="N347" i="13"/>
  <c r="M346" i="13"/>
  <c r="N346" i="13"/>
  <c r="N345" i="13"/>
  <c r="M345" i="13"/>
  <c r="N344" i="13"/>
  <c r="M344" i="13"/>
  <c r="M343" i="13"/>
  <c r="N343" i="13"/>
  <c r="M342" i="13"/>
  <c r="N342" i="13"/>
  <c r="M341" i="13"/>
  <c r="N341" i="13"/>
  <c r="N340" i="13"/>
  <c r="M340" i="13"/>
  <c r="M339" i="13"/>
  <c r="N339" i="13"/>
  <c r="M338" i="13"/>
  <c r="N338" i="13"/>
  <c r="N337" i="13"/>
  <c r="M337" i="13"/>
  <c r="M336" i="13"/>
  <c r="N336" i="13"/>
  <c r="N335" i="13"/>
  <c r="M335" i="13"/>
  <c r="M334" i="13"/>
  <c r="N334" i="13"/>
  <c r="N333" i="13"/>
  <c r="M333" i="13"/>
  <c r="N332" i="13"/>
  <c r="M332" i="13"/>
  <c r="M331" i="13"/>
  <c r="N331" i="13"/>
  <c r="N330" i="13"/>
  <c r="M330" i="13"/>
  <c r="M329" i="13"/>
  <c r="N329" i="13"/>
  <c r="M328" i="13"/>
  <c r="N328" i="13"/>
  <c r="N327" i="13"/>
  <c r="M327" i="13"/>
  <c r="M326" i="13"/>
  <c r="N326" i="13"/>
  <c r="N325" i="13"/>
  <c r="M325" i="13"/>
  <c r="M324" i="13"/>
  <c r="N324" i="13"/>
  <c r="M323" i="13"/>
  <c r="N323" i="13"/>
  <c r="N322" i="13"/>
  <c r="M322" i="13"/>
  <c r="N321" i="13"/>
  <c r="M321" i="13"/>
  <c r="N320" i="13"/>
  <c r="M320" i="13"/>
  <c r="N319" i="13"/>
  <c r="M319" i="13"/>
  <c r="M318" i="13"/>
  <c r="N318" i="13"/>
  <c r="M317" i="13"/>
  <c r="N317" i="13"/>
  <c r="N316" i="13"/>
  <c r="M316" i="13"/>
  <c r="M315" i="13"/>
  <c r="N315" i="13"/>
  <c r="N314" i="13"/>
  <c r="M314" i="13"/>
  <c r="M313" i="13"/>
  <c r="N313" i="13"/>
  <c r="M312" i="13"/>
  <c r="N312" i="13"/>
  <c r="M311" i="13"/>
  <c r="N311" i="13"/>
  <c r="M310" i="13"/>
  <c r="N310" i="13"/>
  <c r="M309" i="13"/>
  <c r="N309" i="13"/>
  <c r="M308" i="13"/>
  <c r="N308" i="13"/>
  <c r="M307" i="13"/>
  <c r="N307" i="13"/>
  <c r="N306" i="13"/>
  <c r="M306" i="13"/>
  <c r="N305" i="13"/>
  <c r="M305" i="13"/>
  <c r="M304" i="13"/>
  <c r="N304" i="13"/>
  <c r="N303" i="13"/>
  <c r="M303" i="13"/>
  <c r="N302" i="13"/>
  <c r="M302" i="13"/>
  <c r="N301" i="13"/>
  <c r="M301" i="13"/>
  <c r="N300" i="13"/>
  <c r="M300" i="13"/>
  <c r="M299" i="13"/>
  <c r="N299" i="13"/>
  <c r="N298" i="13"/>
  <c r="M298" i="13"/>
  <c r="M297" i="13"/>
  <c r="N297" i="13"/>
  <c r="M296" i="13"/>
  <c r="N296" i="13"/>
  <c r="N294" i="13"/>
  <c r="M294" i="13"/>
  <c r="M292" i="13"/>
  <c r="N292" i="13"/>
  <c r="M291" i="13"/>
  <c r="N291" i="13"/>
  <c r="M290" i="13"/>
  <c r="N290" i="13"/>
  <c r="M289" i="13"/>
  <c r="N289" i="13"/>
  <c r="N288" i="13"/>
  <c r="M288" i="13"/>
  <c r="N287" i="13"/>
  <c r="M287" i="13"/>
  <c r="M286" i="13"/>
  <c r="N286" i="13"/>
  <c r="M285" i="13"/>
  <c r="N285" i="13"/>
  <c r="M284" i="13"/>
  <c r="N284" i="13"/>
  <c r="M283" i="13"/>
  <c r="N283" i="13"/>
  <c r="M282" i="13"/>
  <c r="N282" i="13"/>
  <c r="M281" i="13"/>
  <c r="N281" i="13"/>
  <c r="N279" i="13"/>
  <c r="M279" i="13"/>
  <c r="N278" i="13"/>
  <c r="M278" i="13"/>
  <c r="N277" i="13"/>
  <c r="M277" i="13"/>
  <c r="N276" i="13"/>
  <c r="M276" i="13"/>
  <c r="N275" i="13"/>
  <c r="M275" i="13"/>
  <c r="N274" i="13"/>
  <c r="M274" i="13"/>
  <c r="N273" i="13"/>
  <c r="M273" i="13"/>
  <c r="N272" i="13"/>
  <c r="M272" i="13"/>
  <c r="N271" i="13"/>
  <c r="M271" i="13"/>
  <c r="N270" i="13"/>
  <c r="M270" i="13"/>
  <c r="M269" i="13"/>
  <c r="N269" i="13"/>
  <c r="M268" i="13"/>
  <c r="N268" i="13"/>
  <c r="M267" i="13"/>
  <c r="N267" i="13"/>
  <c r="M266" i="13"/>
  <c r="N266" i="13"/>
  <c r="N265" i="13"/>
  <c r="M265" i="13"/>
  <c r="N264" i="13"/>
  <c r="M264" i="13"/>
  <c r="N263" i="13"/>
  <c r="M263" i="13"/>
  <c r="N262" i="13"/>
  <c r="M262" i="13"/>
  <c r="N261" i="13"/>
  <c r="M261" i="13"/>
  <c r="N260" i="13"/>
  <c r="M260" i="13"/>
  <c r="N259" i="13"/>
  <c r="M259" i="13"/>
  <c r="N258" i="13"/>
  <c r="M258" i="13"/>
  <c r="N257" i="13"/>
  <c r="M257" i="13"/>
  <c r="N256" i="13"/>
  <c r="M256" i="13"/>
  <c r="N255" i="13"/>
  <c r="M255" i="13"/>
  <c r="N254" i="13"/>
  <c r="M254" i="13"/>
  <c r="N253" i="13"/>
  <c r="M253" i="13"/>
  <c r="N252" i="13"/>
  <c r="M252" i="13"/>
  <c r="N251" i="13"/>
  <c r="M251" i="13"/>
  <c r="N250" i="13"/>
  <c r="M250" i="13"/>
  <c r="N249" i="13"/>
  <c r="M249" i="13"/>
  <c r="N248" i="13"/>
  <c r="M248" i="13"/>
  <c r="N247" i="13"/>
  <c r="M247" i="13"/>
  <c r="N246" i="13"/>
  <c r="M246" i="13"/>
  <c r="N245" i="13"/>
  <c r="M245" i="13"/>
  <c r="N244" i="13"/>
  <c r="M244" i="13"/>
  <c r="N243" i="13"/>
  <c r="M243" i="13"/>
  <c r="N242" i="13"/>
  <c r="M242" i="13"/>
  <c r="N241" i="13"/>
  <c r="M241" i="13"/>
  <c r="N240" i="13"/>
  <c r="M240" i="13"/>
  <c r="M239" i="13"/>
  <c r="N239" i="13"/>
  <c r="N238" i="13"/>
  <c r="M238" i="13"/>
  <c r="M237" i="13"/>
  <c r="N237" i="13"/>
  <c r="N236" i="13"/>
  <c r="M236" i="13"/>
  <c r="N235" i="13"/>
  <c r="M235" i="13"/>
  <c r="N234" i="13"/>
  <c r="M234" i="13"/>
  <c r="M233" i="13"/>
  <c r="N233" i="13"/>
  <c r="M232" i="13"/>
  <c r="N232" i="13"/>
  <c r="M231" i="13"/>
  <c r="N231" i="13"/>
  <c r="M230" i="13"/>
  <c r="N230" i="13"/>
  <c r="N229" i="13"/>
  <c r="M229" i="13"/>
  <c r="N228" i="13"/>
  <c r="M228" i="13"/>
  <c r="N227" i="13"/>
  <c r="M227" i="13"/>
  <c r="N226" i="13"/>
  <c r="M226" i="13"/>
  <c r="N225" i="13"/>
  <c r="M225" i="13"/>
  <c r="M224" i="13"/>
  <c r="N224" i="13"/>
  <c r="M223" i="13"/>
  <c r="N223" i="13"/>
  <c r="M222" i="13"/>
  <c r="N222" i="13"/>
  <c r="M221" i="13"/>
  <c r="N221" i="13"/>
  <c r="M220" i="13"/>
  <c r="N220" i="13"/>
  <c r="N219" i="13"/>
  <c r="M219" i="13"/>
  <c r="N218" i="13"/>
  <c r="M218" i="13"/>
  <c r="M217" i="13"/>
  <c r="N217" i="13"/>
  <c r="N216" i="13"/>
  <c r="M216" i="13"/>
  <c r="N215" i="13"/>
  <c r="M215" i="13"/>
  <c r="M214" i="13"/>
  <c r="N214" i="13"/>
  <c r="M213" i="13"/>
  <c r="N213" i="13"/>
  <c r="M212" i="13"/>
  <c r="N212" i="13"/>
  <c r="M211" i="13"/>
  <c r="N211" i="13"/>
  <c r="N210" i="13"/>
  <c r="M210" i="13"/>
  <c r="M209" i="13"/>
  <c r="N209" i="13"/>
  <c r="M208" i="13"/>
  <c r="N208" i="13"/>
  <c r="N207" i="13"/>
  <c r="M207" i="13"/>
  <c r="N206" i="13"/>
  <c r="M206" i="13"/>
  <c r="N205" i="13"/>
  <c r="M205" i="13"/>
  <c r="M204" i="13"/>
  <c r="N204" i="13"/>
  <c r="M203" i="13"/>
  <c r="N203" i="13"/>
  <c r="N202" i="13"/>
  <c r="M202" i="13"/>
  <c r="N201" i="13"/>
  <c r="M201" i="13"/>
  <c r="N200" i="13"/>
  <c r="M200" i="13"/>
  <c r="N199" i="13"/>
  <c r="M199" i="13"/>
  <c r="N198" i="13"/>
  <c r="M198" i="13"/>
  <c r="M197" i="13"/>
  <c r="N197" i="13"/>
  <c r="N196" i="13"/>
  <c r="M196" i="13"/>
  <c r="N195" i="13"/>
  <c r="M195" i="13"/>
  <c r="N194" i="13"/>
  <c r="M194" i="13"/>
  <c r="N193" i="13"/>
  <c r="M193" i="13"/>
  <c r="N192" i="13"/>
  <c r="M192" i="13"/>
  <c r="N191" i="13"/>
  <c r="M191" i="13"/>
  <c r="N190" i="13"/>
  <c r="M190" i="13"/>
  <c r="N189" i="13"/>
  <c r="M189" i="13"/>
  <c r="N188" i="13"/>
  <c r="M188" i="13"/>
  <c r="M187" i="13"/>
  <c r="N187" i="13"/>
  <c r="M186" i="13"/>
  <c r="N186" i="13"/>
  <c r="M185" i="13"/>
  <c r="N185" i="13"/>
  <c r="M184" i="13"/>
  <c r="N184" i="13"/>
  <c r="M183" i="13"/>
  <c r="N183" i="13"/>
  <c r="M182" i="13"/>
  <c r="N182" i="13"/>
  <c r="N181" i="13"/>
  <c r="M181" i="13"/>
  <c r="N180" i="13"/>
  <c r="M180" i="13"/>
  <c r="N179" i="13"/>
  <c r="M179" i="13"/>
  <c r="M178" i="13"/>
  <c r="N178" i="13"/>
  <c r="M177" i="13"/>
  <c r="N177" i="13"/>
  <c r="N175" i="13"/>
  <c r="M175" i="13"/>
  <c r="N174" i="13"/>
  <c r="M174" i="13"/>
  <c r="M173" i="13"/>
  <c r="N173" i="13"/>
  <c r="M172" i="13"/>
  <c r="N172" i="13"/>
  <c r="M171" i="13"/>
  <c r="N171" i="13"/>
  <c r="M170" i="13"/>
  <c r="N170" i="13"/>
  <c r="N169" i="13"/>
  <c r="M169" i="13"/>
  <c r="N168" i="13"/>
  <c r="M168" i="13"/>
  <c r="M167" i="13"/>
  <c r="N167" i="13"/>
  <c r="N166" i="13"/>
  <c r="M166" i="13"/>
  <c r="M165" i="13"/>
  <c r="N165" i="13"/>
  <c r="M164" i="13"/>
  <c r="N164" i="13"/>
  <c r="M163" i="13"/>
  <c r="N163" i="13"/>
  <c r="M162" i="13"/>
  <c r="N162" i="13"/>
  <c r="M161" i="13"/>
  <c r="N161" i="13"/>
  <c r="M160" i="13"/>
  <c r="N160" i="13"/>
  <c r="N159" i="13"/>
  <c r="M159" i="13"/>
  <c r="M158" i="13"/>
  <c r="N158" i="13"/>
  <c r="N156" i="13"/>
  <c r="M156" i="13"/>
  <c r="N155" i="13"/>
  <c r="M155" i="13"/>
  <c r="N154" i="13"/>
  <c r="M154" i="13"/>
  <c r="N153" i="13"/>
  <c r="M153" i="13"/>
  <c r="M152" i="13"/>
  <c r="N152" i="13"/>
  <c r="N151" i="13"/>
  <c r="M151" i="13"/>
  <c r="N150" i="13"/>
  <c r="M150" i="13"/>
  <c r="N149" i="13"/>
  <c r="M149" i="13"/>
  <c r="N148" i="13"/>
  <c r="M148" i="13"/>
  <c r="N147" i="13"/>
  <c r="M147" i="13"/>
  <c r="N146" i="13"/>
  <c r="M146" i="13"/>
  <c r="N145" i="13"/>
  <c r="M145" i="13"/>
  <c r="N144" i="13"/>
  <c r="M144" i="13"/>
  <c r="N143" i="13"/>
  <c r="M143" i="13"/>
  <c r="N142" i="13"/>
  <c r="M142" i="13"/>
  <c r="N141" i="13"/>
  <c r="M141" i="13"/>
  <c r="N140" i="13"/>
  <c r="M140" i="13"/>
  <c r="M139" i="13"/>
  <c r="N139" i="13"/>
  <c r="N138" i="13"/>
  <c r="M138" i="13"/>
  <c r="M137" i="13"/>
  <c r="N137" i="13"/>
  <c r="M136" i="13"/>
  <c r="N136" i="13"/>
  <c r="M135" i="13"/>
  <c r="N135" i="13"/>
  <c r="N134" i="13"/>
  <c r="M134" i="13"/>
  <c r="M133" i="13"/>
  <c r="N133" i="13"/>
  <c r="I473" i="13"/>
  <c r="N132" i="13"/>
  <c r="M132" i="13"/>
  <c r="N131" i="13"/>
  <c r="M131" i="13"/>
  <c r="N130" i="13"/>
  <c r="M130" i="13"/>
  <c r="N129" i="13"/>
  <c r="M129" i="13"/>
  <c r="M128" i="13"/>
  <c r="N128" i="13"/>
  <c r="M127" i="13"/>
  <c r="N127" i="13"/>
  <c r="M126" i="13"/>
  <c r="N126" i="13"/>
  <c r="N125" i="13"/>
  <c r="M125" i="13"/>
  <c r="N124" i="13"/>
  <c r="M124" i="13"/>
  <c r="N123" i="13"/>
  <c r="M123" i="13"/>
  <c r="N122" i="13"/>
  <c r="M122" i="13"/>
  <c r="N121" i="13"/>
  <c r="M121" i="13"/>
  <c r="M120" i="13"/>
  <c r="N120" i="13"/>
  <c r="M119" i="13"/>
  <c r="N119" i="13"/>
  <c r="M118" i="13"/>
  <c r="N118" i="13"/>
  <c r="N116" i="13"/>
  <c r="M116" i="13"/>
  <c r="N115" i="13"/>
  <c r="M115" i="13"/>
  <c r="N112" i="13"/>
  <c r="M112" i="13"/>
  <c r="N111" i="13"/>
  <c r="M111" i="13"/>
  <c r="N110" i="13"/>
  <c r="M110" i="13"/>
  <c r="N109" i="13"/>
  <c r="M109" i="13"/>
  <c r="M108" i="13"/>
  <c r="N108" i="13"/>
  <c r="N107" i="13"/>
  <c r="M107" i="13"/>
  <c r="N106" i="13"/>
  <c r="M106" i="13"/>
  <c r="N105" i="13"/>
  <c r="M105" i="13"/>
  <c r="N104" i="13"/>
  <c r="M104" i="13"/>
  <c r="N103" i="13"/>
  <c r="M103" i="13"/>
  <c r="N102" i="13"/>
  <c r="M102" i="13"/>
  <c r="N101" i="13"/>
  <c r="M101" i="13"/>
  <c r="M100" i="13"/>
  <c r="N100" i="13"/>
  <c r="M99" i="13"/>
  <c r="N99" i="13"/>
  <c r="M98" i="13"/>
  <c r="N98" i="13"/>
  <c r="M96" i="13"/>
  <c r="N96" i="13"/>
  <c r="N95" i="13"/>
  <c r="M95" i="13"/>
  <c r="N94" i="13"/>
  <c r="M94" i="13"/>
  <c r="N93" i="13"/>
  <c r="M93" i="13"/>
  <c r="N92" i="13"/>
  <c r="M92" i="13"/>
  <c r="N91" i="13"/>
  <c r="M91" i="13"/>
  <c r="N90" i="13"/>
  <c r="M90" i="13"/>
  <c r="M89" i="13"/>
  <c r="N89" i="13"/>
  <c r="M88" i="13"/>
  <c r="N88" i="13"/>
  <c r="M87" i="13"/>
  <c r="N87" i="13"/>
  <c r="N86" i="13"/>
  <c r="M86" i="13"/>
  <c r="N85" i="13"/>
  <c r="M85" i="13"/>
  <c r="M84" i="13"/>
  <c r="N84" i="13"/>
  <c r="N83" i="13"/>
  <c r="M83" i="13"/>
  <c r="M82" i="13"/>
  <c r="N82" i="13"/>
  <c r="N81" i="13"/>
  <c r="M81" i="13"/>
  <c r="N80" i="13"/>
  <c r="M80" i="13"/>
  <c r="N79" i="13"/>
  <c r="M79" i="13"/>
  <c r="M78" i="13"/>
  <c r="N78" i="13"/>
  <c r="N77" i="13"/>
  <c r="M77" i="13"/>
  <c r="M76" i="13"/>
  <c r="N76" i="13"/>
  <c r="N75" i="13"/>
  <c r="M75" i="13"/>
  <c r="M74" i="13"/>
  <c r="N74" i="13"/>
  <c r="N73" i="13"/>
  <c r="M73" i="13"/>
  <c r="N72" i="13"/>
  <c r="M72" i="13"/>
  <c r="N71" i="13"/>
  <c r="M71" i="13"/>
  <c r="N70" i="13"/>
  <c r="M70" i="13"/>
  <c r="N69" i="13"/>
  <c r="M69" i="13"/>
  <c r="N68" i="13"/>
  <c r="M68" i="13"/>
  <c r="M67" i="13"/>
  <c r="N67" i="13"/>
  <c r="M66" i="13"/>
  <c r="N66" i="13"/>
  <c r="N65" i="13"/>
  <c r="M65" i="13"/>
  <c r="M64" i="13"/>
  <c r="N64" i="13"/>
  <c r="M63" i="13"/>
  <c r="N63" i="13"/>
  <c r="M62" i="13"/>
  <c r="N62" i="13"/>
  <c r="M61" i="13"/>
  <c r="N61" i="13"/>
  <c r="M60" i="13"/>
  <c r="N60" i="13"/>
  <c r="M59" i="13"/>
  <c r="N59" i="13"/>
  <c r="M58" i="13"/>
  <c r="N58" i="13"/>
  <c r="M57" i="13"/>
  <c r="N57" i="13"/>
  <c r="M56" i="13"/>
  <c r="N56" i="13"/>
  <c r="M55" i="13"/>
  <c r="N55" i="13"/>
  <c r="N54" i="13"/>
  <c r="M54" i="13"/>
  <c r="N53" i="13"/>
  <c r="M53" i="13"/>
  <c r="N52" i="13"/>
  <c r="M52" i="13"/>
  <c r="N51" i="13"/>
  <c r="M51" i="13"/>
  <c r="N50" i="13"/>
  <c r="M50" i="13"/>
  <c r="M49" i="13"/>
  <c r="N49" i="13"/>
  <c r="N48" i="13"/>
  <c r="M48" i="13"/>
  <c r="N47" i="13"/>
  <c r="M47" i="13"/>
  <c r="M46" i="13"/>
  <c r="N46" i="13"/>
  <c r="M45" i="13"/>
  <c r="N45" i="13"/>
  <c r="N43" i="13"/>
  <c r="M43" i="13"/>
  <c r="M42" i="13"/>
  <c r="N42" i="13"/>
  <c r="N41" i="13"/>
  <c r="M41" i="13"/>
  <c r="N40" i="13"/>
  <c r="M40" i="13"/>
  <c r="N39" i="13"/>
  <c r="M39" i="13"/>
  <c r="M38" i="13"/>
  <c r="N38" i="13"/>
  <c r="M37" i="13"/>
  <c r="N37" i="13"/>
  <c r="N36" i="13"/>
  <c r="M36" i="13"/>
  <c r="M35" i="13"/>
  <c r="N35" i="13"/>
  <c r="N34" i="13"/>
  <c r="M34" i="13"/>
  <c r="N33" i="13"/>
  <c r="M33" i="13"/>
  <c r="M32" i="13"/>
  <c r="N32" i="13"/>
  <c r="M31" i="13"/>
  <c r="N31" i="13"/>
  <c r="N30" i="13"/>
  <c r="M30" i="13"/>
  <c r="N29" i="13"/>
  <c r="M29" i="13"/>
  <c r="M27" i="13"/>
  <c r="N27" i="13"/>
  <c r="M26" i="13"/>
  <c r="N26" i="13"/>
  <c r="M25" i="13"/>
  <c r="N25" i="13"/>
  <c r="M24" i="13"/>
  <c r="N24" i="13"/>
  <c r="M23" i="13"/>
  <c r="N23" i="13"/>
  <c r="N22" i="13"/>
  <c r="M22" i="13"/>
  <c r="N21" i="13"/>
  <c r="M21" i="13"/>
  <c r="M20" i="13"/>
  <c r="N20" i="13"/>
  <c r="N19" i="13"/>
  <c r="M19" i="13"/>
  <c r="M18" i="13"/>
  <c r="N18" i="13"/>
  <c r="M17" i="13"/>
  <c r="N17" i="13"/>
  <c r="M16" i="13"/>
  <c r="N16" i="13"/>
  <c r="M15" i="13"/>
  <c r="N15" i="13"/>
  <c r="M14" i="13"/>
  <c r="N14" i="13"/>
  <c r="N13" i="13"/>
  <c r="M13" i="13"/>
  <c r="N12" i="13"/>
  <c r="M12" i="13"/>
  <c r="N11" i="13"/>
  <c r="M11" i="13"/>
  <c r="M10" i="13"/>
  <c r="N10" i="13"/>
  <c r="M9" i="13"/>
  <c r="N9" i="13"/>
  <c r="N8" i="13"/>
  <c r="M8" i="13"/>
  <c r="M7" i="13"/>
  <c r="N7" i="13"/>
  <c r="N6" i="13"/>
  <c r="M6" i="13"/>
  <c r="N5" i="13"/>
  <c r="M5" i="13"/>
  <c r="N4" i="13"/>
  <c r="M4" i="13"/>
  <c r="N3" i="13"/>
  <c r="M3" i="13"/>
  <c r="M2" i="13"/>
  <c r="N2" i="13"/>
  <c r="F98" i="10"/>
  <c r="G84" i="10"/>
  <c r="M77" i="10"/>
  <c r="M78" i="10" s="1"/>
  <c r="L77" i="10"/>
  <c r="E49" i="10"/>
  <c r="F48" i="10"/>
  <c r="I69" i="10" s="1"/>
  <c r="F121" i="9"/>
  <c r="G107" i="9"/>
  <c r="F117" i="9"/>
  <c r="G106" i="9"/>
  <c r="M100" i="9"/>
  <c r="L100" i="9"/>
  <c r="M98" i="9"/>
  <c r="M101" i="9" s="1"/>
  <c r="I72" i="9"/>
  <c r="J72" i="9" s="1"/>
  <c r="J87" i="9" s="1"/>
  <c r="F72" i="9"/>
  <c r="J92" i="9" s="1"/>
  <c r="M72" i="9"/>
  <c r="N72" i="9" s="1"/>
  <c r="J98" i="9" s="1"/>
  <c r="EF12" i="8"/>
  <c r="EG12" i="8" s="1"/>
  <c r="DO12" i="8"/>
  <c r="DP12" i="8" s="1"/>
  <c r="CZ12" i="8"/>
  <c r="BQ12" i="8"/>
  <c r="BR12" i="8" s="1"/>
  <c r="BB12" i="8"/>
  <c r="CH12" i="8"/>
  <c r="CI12" i="8" s="1"/>
  <c r="D12" i="8"/>
  <c r="AJ12" i="8"/>
  <c r="AK12" i="8" s="1"/>
  <c r="S12" i="8"/>
  <c r="T12" i="8" s="1"/>
  <c r="EF10" i="8"/>
  <c r="DO10" i="8"/>
  <c r="CW14" i="8"/>
  <c r="CZ10" i="8"/>
  <c r="BB10" i="8"/>
  <c r="BQ10" i="8"/>
  <c r="CH10" i="8"/>
  <c r="CI10" i="8" s="1"/>
  <c r="AY14" i="8"/>
  <c r="A14" i="8"/>
  <c r="S10" i="8"/>
  <c r="D10" i="8"/>
  <c r="AJ10" i="8"/>
  <c r="AC55" i="4"/>
  <c r="AC56" i="4"/>
  <c r="AC57" i="4"/>
  <c r="AC54" i="4"/>
  <c r="O219" i="2"/>
  <c r="N219" i="2"/>
  <c r="J219" i="2"/>
  <c r="O218" i="2"/>
  <c r="N218" i="2"/>
  <c r="J218" i="2"/>
  <c r="N217" i="2"/>
  <c r="O217" i="2"/>
  <c r="J217" i="2"/>
  <c r="O223" i="2"/>
  <c r="J223" i="2"/>
  <c r="N223" i="2"/>
  <c r="J216" i="2"/>
  <c r="N216" i="2"/>
  <c r="O216" i="2"/>
  <c r="O215" i="2"/>
  <c r="N215" i="2"/>
  <c r="J215" i="2"/>
  <c r="N214" i="2"/>
  <c r="J214" i="2"/>
  <c r="O214" i="2"/>
  <c r="N213" i="2"/>
  <c r="J213" i="2"/>
  <c r="O213" i="2"/>
  <c r="O212" i="2"/>
  <c r="J212" i="2"/>
  <c r="N212" i="2"/>
  <c r="J211" i="2"/>
  <c r="O211" i="2"/>
  <c r="O210" i="2"/>
  <c r="J210" i="2"/>
  <c r="O209" i="2"/>
  <c r="J209" i="2"/>
  <c r="J208" i="2"/>
  <c r="O208" i="2"/>
  <c r="I224" i="2"/>
  <c r="J207" i="2"/>
  <c r="O207" i="2"/>
  <c r="J206" i="2"/>
  <c r="O206" i="2"/>
  <c r="J205" i="2"/>
  <c r="O205" i="2"/>
  <c r="O204" i="2"/>
  <c r="J204" i="2"/>
  <c r="J203" i="2"/>
  <c r="O203" i="2"/>
  <c r="J202" i="2"/>
  <c r="O202" i="2"/>
  <c r="O201" i="2"/>
  <c r="N201" i="2"/>
  <c r="J201" i="2"/>
  <c r="N200" i="2"/>
  <c r="O200" i="2"/>
  <c r="J200" i="2"/>
  <c r="N199" i="2"/>
  <c r="J199" i="2"/>
  <c r="O199" i="2"/>
  <c r="J198" i="2"/>
  <c r="O198" i="2"/>
  <c r="N198" i="2"/>
  <c r="J197" i="2"/>
  <c r="O197" i="2"/>
  <c r="N197" i="2"/>
  <c r="N196" i="2"/>
  <c r="O196" i="2"/>
  <c r="J196" i="2"/>
  <c r="O195" i="2"/>
  <c r="J195" i="2"/>
  <c r="N195" i="2"/>
  <c r="O194" i="2"/>
  <c r="J194" i="2"/>
  <c r="N194" i="2"/>
  <c r="J193" i="2"/>
  <c r="N193" i="2"/>
  <c r="O193" i="2"/>
  <c r="N192" i="2"/>
  <c r="O192" i="2"/>
  <c r="J192" i="2"/>
  <c r="N191" i="2"/>
  <c r="J191" i="2"/>
  <c r="O191" i="2"/>
  <c r="O190" i="2"/>
  <c r="J190" i="2"/>
  <c r="N190" i="2"/>
  <c r="J189" i="2"/>
  <c r="N189" i="2"/>
  <c r="O189" i="2"/>
  <c r="O188" i="2"/>
  <c r="J188" i="2"/>
  <c r="N188" i="2"/>
  <c r="N187" i="2"/>
  <c r="J187" i="2"/>
  <c r="O187" i="2"/>
  <c r="O186" i="2"/>
  <c r="J186" i="2"/>
  <c r="N186" i="2"/>
  <c r="J185" i="2"/>
  <c r="N185" i="2"/>
  <c r="O185" i="2"/>
  <c r="N184" i="2"/>
  <c r="J184" i="2"/>
  <c r="O184" i="2"/>
  <c r="J183" i="2"/>
  <c r="N183" i="2"/>
  <c r="O183" i="2"/>
  <c r="N182" i="2"/>
  <c r="J182" i="2"/>
  <c r="O182" i="2"/>
  <c r="O181" i="2"/>
  <c r="N181" i="2"/>
  <c r="J181" i="2"/>
  <c r="O180" i="2"/>
  <c r="N180" i="2"/>
  <c r="J180" i="2"/>
  <c r="O179" i="2"/>
  <c r="N179" i="2"/>
  <c r="J179" i="2"/>
  <c r="O178" i="2"/>
  <c r="N178" i="2"/>
  <c r="J178" i="2"/>
  <c r="O177" i="2"/>
  <c r="N177" i="2"/>
  <c r="J177" i="2"/>
  <c r="O176" i="2"/>
  <c r="N176" i="2"/>
  <c r="J176" i="2"/>
  <c r="O175" i="2"/>
  <c r="N175" i="2"/>
  <c r="J175" i="2"/>
  <c r="O174" i="2"/>
  <c r="N174" i="2"/>
  <c r="J174" i="2"/>
  <c r="O173" i="2"/>
  <c r="N173" i="2"/>
  <c r="J173" i="2"/>
  <c r="O172" i="2"/>
  <c r="N172" i="2"/>
  <c r="J172" i="2"/>
  <c r="O171" i="2"/>
  <c r="N171" i="2"/>
  <c r="J171" i="2"/>
  <c r="O170" i="2"/>
  <c r="N170" i="2"/>
  <c r="J170" i="2"/>
  <c r="O169" i="2"/>
  <c r="N169" i="2"/>
  <c r="J169" i="2"/>
  <c r="O168" i="2"/>
  <c r="N168" i="2"/>
  <c r="J168" i="2"/>
  <c r="O167" i="2"/>
  <c r="N167" i="2"/>
  <c r="J167" i="2"/>
  <c r="O166" i="2"/>
  <c r="N166" i="2"/>
  <c r="J166" i="2"/>
  <c r="O165" i="2"/>
  <c r="N165" i="2"/>
  <c r="J165" i="2"/>
  <c r="O164" i="2"/>
  <c r="N164" i="2"/>
  <c r="J164" i="2"/>
  <c r="O163" i="2"/>
  <c r="N163" i="2"/>
  <c r="J163" i="2"/>
  <c r="J162" i="2"/>
  <c r="O162" i="2"/>
  <c r="N162" i="2"/>
  <c r="O161" i="2"/>
  <c r="N161" i="2"/>
  <c r="J161" i="2"/>
  <c r="O160" i="2"/>
  <c r="N160" i="2"/>
  <c r="J160" i="2"/>
  <c r="O159" i="2"/>
  <c r="N159" i="2"/>
  <c r="J159" i="2"/>
  <c r="O158" i="2"/>
  <c r="N158" i="2"/>
  <c r="J158" i="2"/>
  <c r="J157" i="2"/>
  <c r="N157" i="2"/>
  <c r="O157" i="2"/>
  <c r="N156" i="2"/>
  <c r="J156" i="2"/>
  <c r="O156" i="2"/>
  <c r="O155" i="2"/>
  <c r="N155" i="2"/>
  <c r="J155" i="2"/>
  <c r="J154" i="2"/>
  <c r="O154" i="2"/>
  <c r="N154" i="2"/>
  <c r="N153" i="2"/>
  <c r="J153" i="2"/>
  <c r="O153" i="2"/>
  <c r="J152" i="2"/>
  <c r="N152" i="2"/>
  <c r="O152" i="2"/>
  <c r="J151" i="2"/>
  <c r="N151" i="2"/>
  <c r="O151" i="2"/>
  <c r="O150" i="2"/>
  <c r="J150" i="2"/>
  <c r="N150" i="2"/>
  <c r="J149" i="2"/>
  <c r="N149" i="2"/>
  <c r="O149" i="2"/>
  <c r="J148" i="2"/>
  <c r="N148" i="2"/>
  <c r="O148" i="2"/>
  <c r="N147" i="2"/>
  <c r="J147" i="2"/>
  <c r="O147" i="2"/>
  <c r="O146" i="2"/>
  <c r="N146" i="2"/>
  <c r="J146" i="2"/>
  <c r="O145" i="2"/>
  <c r="N145" i="2"/>
  <c r="J145" i="2"/>
  <c r="O144" i="2"/>
  <c r="N144" i="2"/>
  <c r="J144" i="2"/>
  <c r="O143" i="2"/>
  <c r="N143" i="2"/>
  <c r="J143" i="2"/>
  <c r="O142" i="2"/>
  <c r="J142" i="2"/>
  <c r="N142" i="2"/>
  <c r="N141" i="2"/>
  <c r="O141" i="2"/>
  <c r="J141" i="2"/>
  <c r="J140" i="2"/>
  <c r="N140" i="2"/>
  <c r="O140" i="2"/>
  <c r="J139" i="2"/>
  <c r="N139" i="2"/>
  <c r="O139" i="2"/>
  <c r="N138" i="2"/>
  <c r="O138" i="2"/>
  <c r="J138" i="2"/>
  <c r="O137" i="2"/>
  <c r="N137" i="2"/>
  <c r="O136" i="2"/>
  <c r="N136" i="2"/>
  <c r="J136" i="2"/>
  <c r="O135" i="2"/>
  <c r="N135" i="2"/>
  <c r="J135" i="2"/>
  <c r="O134" i="2"/>
  <c r="N134" i="2"/>
  <c r="J134" i="2"/>
  <c r="J133" i="2"/>
  <c r="N133" i="2"/>
  <c r="O133" i="2"/>
  <c r="J132" i="2"/>
  <c r="N132" i="2"/>
  <c r="O132" i="2"/>
  <c r="J131" i="2"/>
  <c r="N131" i="2"/>
  <c r="O131" i="2"/>
  <c r="O130" i="2"/>
  <c r="J130" i="2"/>
  <c r="N130" i="2"/>
  <c r="O129" i="2"/>
  <c r="N129" i="2"/>
  <c r="J129" i="2"/>
  <c r="N128" i="2"/>
  <c r="O128" i="2"/>
  <c r="J128" i="2"/>
  <c r="N127" i="2"/>
  <c r="J127" i="2"/>
  <c r="O127" i="2"/>
  <c r="O126" i="2"/>
  <c r="N126" i="2"/>
  <c r="J126" i="2"/>
  <c r="N125" i="2"/>
  <c r="O125" i="2"/>
  <c r="J125" i="2"/>
  <c r="N124" i="2"/>
  <c r="J124" i="2"/>
  <c r="O124" i="2"/>
  <c r="O123" i="2"/>
  <c r="J123" i="2"/>
  <c r="N123" i="2"/>
  <c r="O122" i="2"/>
  <c r="N122" i="2"/>
  <c r="J122" i="2"/>
  <c r="O121" i="2"/>
  <c r="N121" i="2"/>
  <c r="J121" i="2"/>
  <c r="O120" i="2"/>
  <c r="N120" i="2"/>
  <c r="J120" i="2"/>
  <c r="J119" i="2"/>
  <c r="N119" i="2"/>
  <c r="O119" i="2"/>
  <c r="J118" i="2"/>
  <c r="N118" i="2"/>
  <c r="O118" i="2"/>
  <c r="O117" i="2"/>
  <c r="N117" i="2"/>
  <c r="O116" i="2"/>
  <c r="N116" i="2"/>
  <c r="J116" i="2"/>
  <c r="O115" i="2"/>
  <c r="N115" i="2"/>
  <c r="J115" i="2"/>
  <c r="N114" i="2"/>
  <c r="J114" i="2"/>
  <c r="O114" i="2"/>
  <c r="O113" i="2"/>
  <c r="N113" i="2"/>
  <c r="J113" i="2"/>
  <c r="O112" i="2"/>
  <c r="N112" i="2"/>
  <c r="J112" i="2"/>
  <c r="O110" i="2"/>
  <c r="N110" i="2"/>
  <c r="J110" i="2"/>
  <c r="O109" i="2"/>
  <c r="N109" i="2"/>
  <c r="J109" i="2"/>
  <c r="O108" i="2"/>
  <c r="N108" i="2"/>
  <c r="O107" i="2"/>
  <c r="N107" i="2"/>
  <c r="N106" i="2"/>
  <c r="O106" i="2"/>
  <c r="N105" i="2"/>
  <c r="O105" i="2"/>
  <c r="O104" i="2"/>
  <c r="N104" i="2"/>
  <c r="J104" i="2"/>
  <c r="J103" i="2"/>
  <c r="O103" i="2"/>
  <c r="N103" i="2"/>
  <c r="N102" i="2"/>
  <c r="J102" i="2"/>
  <c r="O102" i="2"/>
  <c r="N101" i="2"/>
  <c r="J101" i="2"/>
  <c r="O101" i="2"/>
  <c r="O100" i="2"/>
  <c r="N100" i="2"/>
  <c r="J100" i="2"/>
  <c r="N99" i="2"/>
  <c r="J99" i="2"/>
  <c r="O99" i="2"/>
  <c r="O98" i="2"/>
  <c r="N98" i="2"/>
  <c r="J98" i="2"/>
  <c r="N97" i="2"/>
  <c r="J97" i="2"/>
  <c r="O97" i="2"/>
  <c r="N96" i="2"/>
  <c r="J96" i="2"/>
  <c r="O96" i="2"/>
  <c r="N95" i="2"/>
  <c r="O95" i="2"/>
  <c r="J95" i="2"/>
  <c r="N94" i="2"/>
  <c r="O94" i="2"/>
  <c r="J94" i="2"/>
  <c r="J93" i="2"/>
  <c r="N93" i="2"/>
  <c r="O93" i="2"/>
  <c r="O92" i="2"/>
  <c r="N92" i="2"/>
  <c r="J92" i="2"/>
  <c r="O91" i="2"/>
  <c r="N91" i="2"/>
  <c r="J91" i="2"/>
  <c r="O90" i="2"/>
  <c r="N90" i="2"/>
  <c r="J90" i="2"/>
  <c r="O89" i="2"/>
  <c r="N89" i="2"/>
  <c r="J89" i="2"/>
  <c r="N88" i="2"/>
  <c r="O88" i="2"/>
  <c r="J88" i="2"/>
  <c r="J87" i="2"/>
  <c r="N87" i="2"/>
  <c r="O87" i="2"/>
  <c r="N86" i="2"/>
  <c r="J86" i="2"/>
  <c r="O86" i="2"/>
  <c r="N85" i="2"/>
  <c r="J85" i="2"/>
  <c r="O85" i="2"/>
  <c r="O84" i="2"/>
  <c r="J84" i="2"/>
  <c r="N84" i="2"/>
  <c r="O83" i="2"/>
  <c r="N83" i="2"/>
  <c r="J83" i="2"/>
  <c r="O82" i="2"/>
  <c r="J82" i="2"/>
  <c r="N82" i="2"/>
  <c r="J81" i="2"/>
  <c r="N81" i="2"/>
  <c r="O81" i="2"/>
  <c r="O80" i="2"/>
  <c r="J80" i="2"/>
  <c r="N80" i="2"/>
  <c r="J79" i="2"/>
  <c r="N79" i="2"/>
  <c r="O79" i="2"/>
  <c r="O78" i="2"/>
  <c r="J78" i="2"/>
  <c r="N78" i="2"/>
  <c r="N77" i="2"/>
  <c r="J77" i="2"/>
  <c r="O77" i="2"/>
  <c r="J76" i="2"/>
  <c r="N76" i="2"/>
  <c r="O76" i="2"/>
  <c r="O75" i="2"/>
  <c r="N75" i="2"/>
  <c r="J75" i="2"/>
  <c r="O74" i="2"/>
  <c r="N74" i="2"/>
  <c r="J74" i="2"/>
  <c r="O73" i="2"/>
  <c r="N73" i="2"/>
  <c r="J73" i="2"/>
  <c r="J72" i="2"/>
  <c r="N72" i="2"/>
  <c r="O72" i="2"/>
  <c r="N71" i="2"/>
  <c r="O71" i="2"/>
  <c r="J71" i="2"/>
  <c r="J70" i="2"/>
  <c r="N70" i="2"/>
  <c r="O70" i="2"/>
  <c r="J69" i="2"/>
  <c r="N69" i="2"/>
  <c r="O69" i="2"/>
  <c r="N68" i="2"/>
  <c r="O68" i="2"/>
  <c r="J68" i="2"/>
  <c r="O67" i="2"/>
  <c r="N67" i="2"/>
  <c r="J67" i="2"/>
  <c r="O66" i="2"/>
  <c r="N66" i="2"/>
  <c r="J66" i="2"/>
  <c r="N65" i="2"/>
  <c r="J65" i="2"/>
  <c r="O65" i="2"/>
  <c r="O64" i="2"/>
  <c r="N64" i="2"/>
  <c r="J64" i="2"/>
  <c r="O63" i="2"/>
  <c r="J63" i="2"/>
  <c r="N63" i="2"/>
  <c r="N62" i="2"/>
  <c r="O62" i="2"/>
  <c r="J62" i="2"/>
  <c r="J61" i="2"/>
  <c r="N61" i="2"/>
  <c r="O61" i="2"/>
  <c r="O60" i="2"/>
  <c r="N60" i="2"/>
  <c r="J60" i="2"/>
  <c r="O59" i="2"/>
  <c r="N59" i="2"/>
  <c r="J59" i="2"/>
  <c r="O58" i="2"/>
  <c r="N58" i="2"/>
  <c r="J58" i="2"/>
  <c r="O57" i="2"/>
  <c r="N57" i="2"/>
  <c r="J57" i="2"/>
  <c r="O56" i="2"/>
  <c r="N56" i="2"/>
  <c r="J56" i="2"/>
  <c r="N55" i="2"/>
  <c r="J55" i="2"/>
  <c r="O55" i="2"/>
  <c r="O54" i="2"/>
  <c r="N54" i="2"/>
  <c r="N53" i="2"/>
  <c r="O53" i="2"/>
  <c r="J52" i="2"/>
  <c r="O52" i="2"/>
  <c r="N52" i="2"/>
  <c r="O51" i="2"/>
  <c r="N51" i="2"/>
  <c r="J51" i="2"/>
  <c r="O50" i="2"/>
  <c r="N50" i="2"/>
  <c r="J50" i="2"/>
  <c r="N49" i="2"/>
  <c r="O49" i="2"/>
  <c r="J49" i="2"/>
  <c r="O48" i="2"/>
  <c r="N48" i="2"/>
  <c r="N47" i="2"/>
  <c r="O47" i="2"/>
  <c r="N46" i="2"/>
  <c r="O46" i="2"/>
  <c r="N45" i="2"/>
  <c r="O45" i="2"/>
  <c r="J41" i="2"/>
  <c r="N41" i="2"/>
  <c r="O41" i="2"/>
  <c r="O40" i="2"/>
  <c r="J40" i="2"/>
  <c r="N40" i="2"/>
  <c r="O39" i="2"/>
  <c r="N39" i="2"/>
  <c r="O38" i="2"/>
  <c r="N38" i="2"/>
  <c r="N37" i="2"/>
  <c r="O37" i="2"/>
  <c r="O36" i="2"/>
  <c r="N36" i="2"/>
  <c r="O35" i="2"/>
  <c r="N35" i="2"/>
  <c r="O34" i="2"/>
  <c r="N34" i="2"/>
  <c r="N33" i="2"/>
  <c r="O33" i="2"/>
  <c r="O32" i="2"/>
  <c r="N32" i="2"/>
  <c r="O31" i="2"/>
  <c r="N31" i="2"/>
  <c r="N30" i="2"/>
  <c r="O30" i="2"/>
  <c r="O29" i="2"/>
  <c r="N29" i="2"/>
  <c r="N28" i="2"/>
  <c r="O28" i="2"/>
  <c r="N27" i="2"/>
  <c r="O27" i="2"/>
  <c r="N26" i="2"/>
  <c r="O26" i="2"/>
  <c r="O25" i="2"/>
  <c r="N25" i="2"/>
  <c r="N24" i="2"/>
  <c r="O24" i="2"/>
  <c r="N23" i="2"/>
  <c r="O23" i="2"/>
  <c r="N22" i="2"/>
  <c r="O22" i="2"/>
  <c r="O21" i="2"/>
  <c r="N21" i="2"/>
  <c r="O20" i="2"/>
  <c r="N20" i="2"/>
  <c r="N19" i="2"/>
  <c r="O19" i="2"/>
  <c r="O18" i="2"/>
  <c r="N18" i="2"/>
  <c r="O17" i="2"/>
  <c r="N17" i="2"/>
  <c r="O16" i="2"/>
  <c r="N16" i="2"/>
  <c r="O15" i="2"/>
  <c r="N15" i="2"/>
  <c r="O14" i="2"/>
  <c r="N14" i="2"/>
  <c r="O13" i="2"/>
  <c r="N13" i="2"/>
  <c r="N12" i="2"/>
  <c r="O12" i="2"/>
  <c r="O11" i="2"/>
  <c r="N11" i="2"/>
  <c r="O10" i="2"/>
  <c r="N10" i="2"/>
  <c r="N9" i="2"/>
  <c r="O9" i="2"/>
  <c r="O8" i="2"/>
  <c r="N8" i="2"/>
  <c r="O7" i="2"/>
  <c r="N7" i="2"/>
  <c r="O6" i="2"/>
  <c r="N6" i="2"/>
  <c r="O5" i="2"/>
  <c r="N5" i="2"/>
  <c r="N5" i="1"/>
  <c r="O5" i="1"/>
  <c r="J5" i="1"/>
  <c r="O4" i="2"/>
  <c r="N4" i="2"/>
  <c r="J4" i="1"/>
  <c r="N4" i="1"/>
  <c r="O4" i="1"/>
  <c r="F94" i="10"/>
  <c r="D29" i="3"/>
  <c r="O224" i="2" l="1"/>
  <c r="N224" i="2"/>
  <c r="J224" i="2"/>
  <c r="L76" i="10"/>
  <c r="L78" i="10" s="1"/>
  <c r="N79" i="10" s="1"/>
  <c r="E90" i="10" s="1"/>
  <c r="L70" i="10"/>
  <c r="L72" i="10" s="1"/>
  <c r="M72" i="10" s="1"/>
  <c r="E89" i="10" s="1"/>
  <c r="L65" i="10"/>
  <c r="L66" i="10" s="1"/>
  <c r="M66" i="10" s="1"/>
  <c r="E88" i="10" s="1"/>
  <c r="G82" i="10"/>
  <c r="F49" i="10"/>
  <c r="J69" i="10" s="1"/>
  <c r="I49" i="10"/>
  <c r="J49" i="10" s="1"/>
  <c r="J64" i="10" s="1"/>
  <c r="M49" i="10"/>
  <c r="N49" i="10" s="1"/>
  <c r="J75" i="10" s="1"/>
  <c r="L93" i="9"/>
  <c r="L99" i="9"/>
  <c r="L88" i="9"/>
  <c r="L92" i="9"/>
  <c r="L95" i="9" s="1"/>
  <c r="M95" i="9" s="1"/>
  <c r="E112" i="9" s="1"/>
  <c r="L94" i="9"/>
  <c r="L98" i="9"/>
  <c r="L87" i="9"/>
  <c r="G105" i="9"/>
  <c r="EG10" i="8"/>
  <c r="ED14" i="8"/>
  <c r="DP10" i="8"/>
  <c r="DM14" i="8"/>
  <c r="BR10" i="8"/>
  <c r="BO14" i="8"/>
  <c r="T10" i="8"/>
  <c r="Q14" i="8"/>
  <c r="AK10" i="8"/>
  <c r="AH13" i="8"/>
  <c r="M473" i="13"/>
  <c r="N473" i="13"/>
  <c r="L101" i="9" l="1"/>
  <c r="N102" i="9" s="1"/>
  <c r="E113" i="9" s="1"/>
  <c r="L89" i="9"/>
  <c r="M89" i="9" s="1"/>
  <c r="E111" i="9" s="1"/>
  <c r="EE23" i="8" l="1"/>
  <c r="DN28" i="8"/>
  <c r="CX30"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Paulo Souza</author>
  </authors>
  <commentList>
    <comment ref="Y1" authorId="0" shapeId="0" xr:uid="{00000000-0006-0000-0300-000001000000}">
      <text>
        <r>
          <rPr>
            <sz val="11"/>
            <color theme="1"/>
            <rFont val="Aptos Narrow"/>
            <family val="2"/>
            <scheme val="minor"/>
          </rPr>
          <t>Paulo Souza:
Objetivo Individual 
10 k sendo rayssa :
jan = 6000
fev = 6500
impte? Conversão para mascarar
10 = 10 mil
6 = 6 mil</t>
        </r>
      </text>
    </comment>
    <comment ref="Z1" authorId="0" shapeId="0" xr:uid="{00000000-0006-0000-0300-000002000000}">
      <text>
        <r>
          <rPr>
            <sz val="11"/>
            <color theme="1"/>
            <rFont val="Aptos Narrow"/>
            <family val="2"/>
            <scheme val="minor"/>
          </rPr>
          <t xml:space="preserve">Paulo Souza:
objetivo 30k
2026 = 26k escalando em 500 ate chegar 30k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Paulo Santos de Souza</author>
  </authors>
  <commentList>
    <comment ref="E110" authorId="0" shapeId="0" xr:uid="{00000000-0006-0000-0C00-000001000000}">
      <text>
        <r>
          <rPr>
            <sz val="11"/>
            <color theme="1"/>
            <rFont val="Aptos Narrow"/>
            <family val="2"/>
            <scheme val="minor"/>
          </rPr>
          <t>Paulo Santos de Souza:
não foi negociadmo mensalidade pois a implantação ficará para uma segunda onda.</t>
        </r>
      </text>
    </comment>
  </commentList>
</comments>
</file>

<file path=xl/sharedStrings.xml><?xml version="1.0" encoding="utf-8"?>
<sst xmlns="http://schemas.openxmlformats.org/spreadsheetml/2006/main" count="58458" uniqueCount="6559">
  <si>
    <t>Data</t>
  </si>
  <si>
    <t>Ticket</t>
  </si>
  <si>
    <t>Vendedor</t>
  </si>
  <si>
    <t>Cliente</t>
  </si>
  <si>
    <t>Produto</t>
  </si>
  <si>
    <t>TipoReceita</t>
  </si>
  <si>
    <t>Qtde</t>
  </si>
  <si>
    <t>VlrUnitário</t>
  </si>
  <si>
    <t>VlrTotal</t>
  </si>
  <si>
    <t>Vlr Meta</t>
  </si>
  <si>
    <t>%Comissão</t>
  </si>
  <si>
    <t>%ComissãoSupervisor</t>
  </si>
  <si>
    <t>Base</t>
  </si>
  <si>
    <t xml:space="preserve">ComissãoVendedor </t>
  </si>
  <si>
    <t>ComissãoSupervisor</t>
  </si>
  <si>
    <t>Clicksign</t>
  </si>
  <si>
    <t>Contrato_Termo Aditivo</t>
  </si>
  <si>
    <t>Obs</t>
  </si>
  <si>
    <t>Parcelas</t>
  </si>
  <si>
    <t>Data Contrato</t>
  </si>
  <si>
    <t>Contrato</t>
  </si>
  <si>
    <t>SDR_RESPONSÁVEL</t>
  </si>
  <si>
    <t>Paulo Souza</t>
  </si>
  <si>
    <t>PlastCap</t>
  </si>
  <si>
    <t>Treinamento</t>
  </si>
  <si>
    <t>Treinamentos e Implantações</t>
  </si>
  <si>
    <t>Sim</t>
  </si>
  <si>
    <t>Feito</t>
  </si>
  <si>
    <t>Assinado</t>
  </si>
  <si>
    <t>ERP-PDV</t>
  </si>
  <si>
    <t>Mensalidade</t>
  </si>
  <si>
    <t>Rayssa Karapeticov</t>
  </si>
  <si>
    <t>MB Plasticos</t>
  </si>
  <si>
    <t>AFV Proposta WEB</t>
  </si>
  <si>
    <t>Dolce Home</t>
  </si>
  <si>
    <t>Melhoria</t>
  </si>
  <si>
    <t>Não tem</t>
  </si>
  <si>
    <t>não tem</t>
  </si>
  <si>
    <t xml:space="preserve">não tem </t>
  </si>
  <si>
    <t xml:space="preserve">Akitem </t>
  </si>
  <si>
    <t>CNPJ</t>
  </si>
  <si>
    <t>CDU</t>
  </si>
  <si>
    <t xml:space="preserve">ERP  </t>
  </si>
  <si>
    <t>Keita</t>
  </si>
  <si>
    <t>Junior Lopes</t>
  </si>
  <si>
    <t>Amilplast</t>
  </si>
  <si>
    <t>Não</t>
  </si>
  <si>
    <t>ERP</t>
  </si>
  <si>
    <t>MDE</t>
  </si>
  <si>
    <t>Nixhouse</t>
  </si>
  <si>
    <t>136717,136720,136721</t>
  </si>
  <si>
    <t>NVT Importadora</t>
  </si>
  <si>
    <t>BI</t>
  </si>
  <si>
    <t>CLOUD</t>
  </si>
  <si>
    <t>WMS</t>
  </si>
  <si>
    <t xml:space="preserve">AFV  </t>
  </si>
  <si>
    <t>Envio Boleto Whatsapp</t>
  </si>
  <si>
    <t>Culturama</t>
  </si>
  <si>
    <t>Rischiotto</t>
  </si>
  <si>
    <t>Adicional Intelipost</t>
  </si>
  <si>
    <t>Qualyplast</t>
  </si>
  <si>
    <t>GP Inox</t>
  </si>
  <si>
    <t>RN Porcelanas</t>
  </si>
  <si>
    <t>AFV</t>
  </si>
  <si>
    <t>Pupi</t>
  </si>
  <si>
    <t>Paramount</t>
  </si>
  <si>
    <t>ArcaPlast</t>
  </si>
  <si>
    <t>Agua Sana</t>
  </si>
  <si>
    <t>Tiago eletronicos</t>
  </si>
  <si>
    <t>B2B</t>
  </si>
  <si>
    <t>Sagol</t>
  </si>
  <si>
    <t>AFV Preposto</t>
  </si>
  <si>
    <t>Conthey</t>
  </si>
  <si>
    <t>Textil Regimara</t>
  </si>
  <si>
    <t>Shock Import</t>
  </si>
  <si>
    <t>Kascao</t>
  </si>
  <si>
    <t>Orbhes Colchoes</t>
  </si>
  <si>
    <t>Univendas</t>
  </si>
  <si>
    <t>135881...65</t>
  </si>
  <si>
    <t>Inga</t>
  </si>
  <si>
    <t>Universal Quimica</t>
  </si>
  <si>
    <t>138540 ..138541</t>
  </si>
  <si>
    <t>Iracema</t>
  </si>
  <si>
    <t>Contabil</t>
  </si>
  <si>
    <t>Rd Station</t>
  </si>
  <si>
    <t>138575..138580</t>
  </si>
  <si>
    <t>Casart</t>
  </si>
  <si>
    <t>Dinatale</t>
  </si>
  <si>
    <t>MC Flore</t>
  </si>
  <si>
    <t>MDe</t>
  </si>
  <si>
    <t>Fu Xing</t>
  </si>
  <si>
    <t>AD &amp; AD</t>
  </si>
  <si>
    <t>Dcarte</t>
  </si>
  <si>
    <t>Millenium</t>
  </si>
  <si>
    <t>FWB</t>
  </si>
  <si>
    <t>Dasplast</t>
  </si>
  <si>
    <t>Gyn</t>
  </si>
  <si>
    <t>Brl Alimentos</t>
  </si>
  <si>
    <t>Flora nectar</t>
  </si>
  <si>
    <t>137612...137592</t>
  </si>
  <si>
    <t>MTA</t>
  </si>
  <si>
    <t>Clean Tech</t>
  </si>
  <si>
    <t>Cloud</t>
  </si>
  <si>
    <t>15 + 5</t>
  </si>
  <si>
    <t>40 +5</t>
  </si>
  <si>
    <t>Preciza</t>
  </si>
  <si>
    <t>Brasimpex</t>
  </si>
  <si>
    <t>Genex</t>
  </si>
  <si>
    <t>Parolar</t>
  </si>
  <si>
    <t>Mares</t>
  </si>
  <si>
    <t>Rafinha Alimentos</t>
  </si>
  <si>
    <t>Cloud Upgrade</t>
  </si>
  <si>
    <t>Dute</t>
  </si>
  <si>
    <t>Plasberg</t>
  </si>
  <si>
    <t>Mundi</t>
  </si>
  <si>
    <t>Mokfa</t>
  </si>
  <si>
    <t>Interponte</t>
  </si>
  <si>
    <t>Proposta WEB</t>
  </si>
  <si>
    <t>Açomix</t>
  </si>
  <si>
    <t>Porto Brasil</t>
  </si>
  <si>
    <t>Rio Home</t>
  </si>
  <si>
    <t>Znia</t>
  </si>
  <si>
    <t>Aliança</t>
  </si>
  <si>
    <t>addon Loja B2B</t>
  </si>
  <si>
    <t>NDI</t>
  </si>
  <si>
    <t>Mc Flores</t>
  </si>
  <si>
    <t>Aço Mix</t>
  </si>
  <si>
    <t>Rischioto</t>
  </si>
  <si>
    <t>Kascão</t>
  </si>
  <si>
    <t>139032...39551</t>
  </si>
  <si>
    <t>140202..138462</t>
  </si>
  <si>
    <t>Vic Import</t>
  </si>
  <si>
    <t>142867...142869</t>
  </si>
  <si>
    <t>Istok</t>
  </si>
  <si>
    <t>ClassHome</t>
  </si>
  <si>
    <t>142114..142120</t>
  </si>
  <si>
    <t>Quality</t>
  </si>
  <si>
    <t>MDL</t>
  </si>
  <si>
    <t>Preposto</t>
  </si>
  <si>
    <t>Koisas Kozinha</t>
  </si>
  <si>
    <t>Baag</t>
  </si>
  <si>
    <t>Marilar</t>
  </si>
  <si>
    <t>Ronaldo Nascimento</t>
  </si>
  <si>
    <t>Litoral Sul (Ricali)</t>
  </si>
  <si>
    <t>Routeasy</t>
  </si>
  <si>
    <t>Telemarketing</t>
  </si>
  <si>
    <t>Colorflex</t>
  </si>
  <si>
    <t>Pendente</t>
  </si>
  <si>
    <t>Pino Lar</t>
  </si>
  <si>
    <t>Clio Style  (ABR ART)</t>
  </si>
  <si>
    <t>Total</t>
  </si>
  <si>
    <t>Zein</t>
  </si>
  <si>
    <t>loja B2B</t>
  </si>
  <si>
    <t>Maquimp</t>
  </si>
  <si>
    <t>TABELA 1.1</t>
  </si>
  <si>
    <t>Juca</t>
  </si>
  <si>
    <t>Meta</t>
  </si>
  <si>
    <t>Alvo</t>
  </si>
  <si>
    <t>Cobertura</t>
  </si>
  <si>
    <t xml:space="preserve">Projeto </t>
  </si>
  <si>
    <t>Recorrente</t>
  </si>
  <si>
    <t>Rayssa</t>
  </si>
  <si>
    <t>Paulo</t>
  </si>
  <si>
    <t>Fábio</t>
  </si>
  <si>
    <t>Total Projeto Equipe</t>
  </si>
  <si>
    <t>Total RecorrenteEquipe</t>
  </si>
  <si>
    <t>Meta Equipe</t>
  </si>
  <si>
    <t>FECHAMENTO DE: 01/01/2025 até 31/01/2025</t>
  </si>
  <si>
    <t>Ano</t>
  </si>
  <si>
    <t>Mês</t>
  </si>
  <si>
    <t>Lead</t>
  </si>
  <si>
    <t>Propsota</t>
  </si>
  <si>
    <t>Apresentação</t>
  </si>
  <si>
    <t>Meta Individual</t>
  </si>
  <si>
    <t>Meta Projetos</t>
  </si>
  <si>
    <t>OBLead</t>
  </si>
  <si>
    <t xml:space="preserve">OB Proposta </t>
  </si>
  <si>
    <t>OB Apresentação</t>
  </si>
  <si>
    <t>OB Individual</t>
  </si>
  <si>
    <t>OBEquipe</t>
  </si>
  <si>
    <t>OB Projetos</t>
  </si>
  <si>
    <t>OBI</t>
  </si>
  <si>
    <t>OBE</t>
  </si>
  <si>
    <t>COBERTURA DE METAS</t>
  </si>
  <si>
    <t>2025</t>
  </si>
  <si>
    <t>RAYSSA</t>
  </si>
  <si>
    <t>JUNIOR</t>
  </si>
  <si>
    <t>PAULO</t>
  </si>
  <si>
    <t>Realizado</t>
  </si>
  <si>
    <t>Proposta</t>
  </si>
  <si>
    <t>Apresentações</t>
  </si>
  <si>
    <t>FECHAMENTO DE: 01/02/2025 até 28/02/2025</t>
  </si>
  <si>
    <t>FECHAMENTO DE: 01/03/2025 até 31/03/2025</t>
  </si>
  <si>
    <t>FECHAMENTO DE: 01/04/2025 até 30/04/2025</t>
  </si>
  <si>
    <t>2026</t>
  </si>
  <si>
    <t>FECHAMENTO DE: 01/05/2025 até 31/05/2025</t>
  </si>
  <si>
    <t>FECHAMENTO DE: 01/06/2025 até 30/06/2025</t>
  </si>
  <si>
    <t>FECHAMENTO DE: 01/07/2025 até 31/07/2025</t>
  </si>
  <si>
    <t>FECHAMENTO DE: 01/08/2025 até 31/08/2025</t>
  </si>
  <si>
    <t>FECHAMENTO DE: 01/09/2025 até 30/09/2025</t>
  </si>
  <si>
    <t>FECHAMENTO DE: 01/10/2025 até 31/10/2025</t>
  </si>
  <si>
    <t>FECHAMENTO DE: 01/11/2025 até 31/11/2025</t>
  </si>
  <si>
    <t>RAYSSA KARAPETICOV</t>
  </si>
  <si>
    <t>COBERTURA METAS</t>
  </si>
  <si>
    <t>COBERTURA METAS EQUIPES</t>
  </si>
  <si>
    <t>APRESENTAÇÃO RAYSSA</t>
  </si>
  <si>
    <t>APRESENTAÇÃO JUNIOR LOPES</t>
  </si>
  <si>
    <t>APRESENTAÇÃO PAULO</t>
  </si>
  <si>
    <t>APRESENTAÇÃO RONALDO</t>
  </si>
  <si>
    <t>APRESENTAÇÃO BASE RAYSSA</t>
  </si>
  <si>
    <t>APRESENTAÇÃO BASE PAULO</t>
  </si>
  <si>
    <t>(Vários itens)</t>
  </si>
  <si>
    <t>Responsável</t>
  </si>
  <si>
    <t>(Tudo)</t>
  </si>
  <si>
    <t>DataApresentação1</t>
  </si>
  <si>
    <t>Rótulos de Linha</t>
  </si>
  <si>
    <t>Objetivo</t>
  </si>
  <si>
    <t>Soma de qtde</t>
  </si>
  <si>
    <t>Soma de QTDE</t>
  </si>
  <si>
    <t>Soma de Qdte</t>
  </si>
  <si>
    <t>jan</t>
  </si>
  <si>
    <t>max led</t>
  </si>
  <si>
    <t>startools ferramentas, comercio, importacao e exportacao ltda</t>
  </si>
  <si>
    <t>Total Geral</t>
  </si>
  <si>
    <t>estilo ar</t>
  </si>
  <si>
    <t>Mta Panelas</t>
  </si>
  <si>
    <t>fev</t>
  </si>
  <si>
    <t>encartelados nina - erp</t>
  </si>
  <si>
    <t>fikssar distribuidora</t>
  </si>
  <si>
    <t>Campeao</t>
  </si>
  <si>
    <t>mar</t>
  </si>
  <si>
    <t>encartelados nina - cloud</t>
  </si>
  <si>
    <t>marden medical</t>
  </si>
  <si>
    <t>QUALITY HOUSE - WMS</t>
  </si>
  <si>
    <t>abr</t>
  </si>
  <si>
    <t>tecelagem castilho (e-commerce)</t>
  </si>
  <si>
    <t>SUTT IMPORTADORA - Cloud</t>
  </si>
  <si>
    <t>mai</t>
  </si>
  <si>
    <t>istok comercio importacao (erp)</t>
  </si>
  <si>
    <t>Univendas - BI</t>
  </si>
  <si>
    <t>istok comercio importação (cloud)</t>
  </si>
  <si>
    <t>SHOCK IMPORTS - Tray</t>
  </si>
  <si>
    <t>startools ferramentas (erp)</t>
  </si>
  <si>
    <t>mdl - boleto whats</t>
  </si>
  <si>
    <t>star distribuidora - boleto whats</t>
  </si>
  <si>
    <t>PROPOSTA RAYSSA</t>
  </si>
  <si>
    <t>PROPOSTA JUNIOR LOPES</t>
  </si>
  <si>
    <t>PROPOSTA PAULO</t>
  </si>
  <si>
    <t>PROPOSTA RONALDO</t>
  </si>
  <si>
    <t>Data Proposta</t>
  </si>
  <si>
    <t>simao distribuidora</t>
  </si>
  <si>
    <t>hober artefatos plasticos ltda</t>
  </si>
  <si>
    <t>fernandopolis industria e comercio de piscinas e acessorios ltda</t>
  </si>
  <si>
    <t>mdl (horas)</t>
  </si>
  <si>
    <t>baag - horas</t>
  </si>
  <si>
    <t>Precisa Import - Power BI</t>
  </si>
  <si>
    <t>mdl - comex</t>
  </si>
  <si>
    <t>Vlr Projeto</t>
  </si>
  <si>
    <t>Horas</t>
  </si>
  <si>
    <t>Pipeline</t>
  </si>
  <si>
    <t>Temperatura</t>
  </si>
  <si>
    <t>Porto Brasil Cerâmica – AFV</t>
  </si>
  <si>
    <t>Vendas</t>
  </si>
  <si>
    <t>Renovação Porcelanas – AFV</t>
  </si>
  <si>
    <t>Tiago Eletrônicos – B2B</t>
  </si>
  <si>
    <t>Amilplast Ind – ERP</t>
  </si>
  <si>
    <t>MDL Import – Cloud</t>
  </si>
  <si>
    <t>Plasbrink Embalagens Plásticas Ltda – ERP</t>
  </si>
  <si>
    <t>Plasbrink Embalagens Plásticas Ltda – Cloud</t>
  </si>
  <si>
    <t>Preciza Import – Boleto WhatsApp</t>
  </si>
  <si>
    <t>ADDON BOLETO WHATSAPP</t>
  </si>
  <si>
    <t>Marka Têxtil – ERP</t>
  </si>
  <si>
    <t>Marka Têxtil – Cloud</t>
  </si>
  <si>
    <t>Sevilla Trade – ERP</t>
  </si>
  <si>
    <t>Sevilla Trade – Cloud</t>
  </si>
  <si>
    <t>Fafá Import – WMS</t>
  </si>
  <si>
    <t>VIC Import – ERP</t>
  </si>
  <si>
    <t>VIC Import – AFV</t>
  </si>
  <si>
    <t>VIC Import – Cloud</t>
  </si>
  <si>
    <t>Conthey – ERP</t>
  </si>
  <si>
    <t>Conthey – AFV</t>
  </si>
  <si>
    <t>Conthey – Cloud</t>
  </si>
  <si>
    <t>Star – B2B</t>
  </si>
  <si>
    <t>Erca Alumínio – Imp. XML</t>
  </si>
  <si>
    <t>ADDON IMPORTAÇÃO XML</t>
  </si>
  <si>
    <t>Toptem – ERP</t>
  </si>
  <si>
    <t>Toptem – AFV</t>
  </si>
  <si>
    <t>Chavetas Comércio de Peças e Ferramentas Ltda</t>
  </si>
  <si>
    <t>QUALIFICANDO</t>
  </si>
  <si>
    <t>apresentando</t>
  </si>
  <si>
    <t>Color Unhas</t>
  </si>
  <si>
    <t>Folha Dourada Tabacos Ltda</t>
  </si>
  <si>
    <t>Atacadão Delfino</t>
  </si>
  <si>
    <t>qualificando</t>
  </si>
  <si>
    <t>BK Comércio</t>
  </si>
  <si>
    <t>Sunguider Importador/Distribuidor</t>
  </si>
  <si>
    <t>Indústria Oyshi</t>
  </si>
  <si>
    <t>Alumínio Ramos</t>
  </si>
  <si>
    <t>Wellmix – ERP</t>
  </si>
  <si>
    <t>Medihosp</t>
  </si>
  <si>
    <t>Bela Flor</t>
  </si>
  <si>
    <t>ERP, AFV, WMS</t>
  </si>
  <si>
    <t>Imev Proteínas</t>
  </si>
  <si>
    <t>AIH Importadora de Artigos de Presentes Ltda</t>
  </si>
  <si>
    <t xml:space="preserve">ERP, AFV </t>
  </si>
  <si>
    <t>Maia 4</t>
  </si>
  <si>
    <t>Zomax</t>
  </si>
  <si>
    <t>Val Port</t>
  </si>
  <si>
    <t>ERP, PDV</t>
  </si>
  <si>
    <t>Tron</t>
  </si>
  <si>
    <t>HF Utilidades</t>
  </si>
  <si>
    <t>Valport – B2B</t>
  </si>
  <si>
    <t>Atual Mix</t>
  </si>
  <si>
    <t>Union Ind</t>
  </si>
  <si>
    <t>Distribuidora do Wicca</t>
  </si>
  <si>
    <t>JP Distribuidora – Agenda Visita</t>
  </si>
  <si>
    <t xml:space="preserve">ADDON AGENDA </t>
  </si>
  <si>
    <t>Alumínio Nacional</t>
  </si>
  <si>
    <t>TREINAMENTO</t>
  </si>
  <si>
    <t>Upselling</t>
  </si>
  <si>
    <t>Afey Peças</t>
  </si>
  <si>
    <t>ERP, AFV</t>
  </si>
  <si>
    <t>Olé Alimentos</t>
  </si>
  <si>
    <t>Loggix Serviços Material Escolar</t>
  </si>
  <si>
    <t>Zini Home</t>
  </si>
  <si>
    <t>Russa 7 Berg Distribuidora</t>
  </si>
  <si>
    <t>Stok Frios</t>
  </si>
  <si>
    <t>Deltamed Comércio</t>
  </si>
  <si>
    <t>Evolux – ERP · PCP · WMS · AFV</t>
  </si>
  <si>
    <t>ERP, PCP, WMS, AFV</t>
  </si>
  <si>
    <t>Doce Festa – ERP · AFV</t>
  </si>
  <si>
    <t>Irriga House</t>
  </si>
  <si>
    <t>CLS Indústria de Produtos Químicos Ltda</t>
  </si>
  <si>
    <t>Maral</t>
  </si>
  <si>
    <t>Fisiohosp</t>
  </si>
  <si>
    <t>Vida Fitness</t>
  </si>
  <si>
    <t>Horto das Acácias</t>
  </si>
  <si>
    <t>Devons Hair</t>
  </si>
  <si>
    <t>Alpinpro</t>
  </si>
  <si>
    <t>DUS – Mercado Livre Full</t>
  </si>
  <si>
    <t>Addon Mercado Livrefull</t>
  </si>
  <si>
    <t>Gyn Atacado Ltda – Integrador E-commerce</t>
  </si>
  <si>
    <t>Hub Ecommerce</t>
  </si>
  <si>
    <t>Univendas – Cloud</t>
  </si>
  <si>
    <t>Qualyplas – PCP</t>
  </si>
  <si>
    <t>PCP</t>
  </si>
  <si>
    <t>Qualyplas – MDE</t>
  </si>
  <si>
    <t>Qualyplas – Contábil</t>
  </si>
  <si>
    <t>Contábil</t>
  </si>
  <si>
    <t>Rischioto – Routeasy</t>
  </si>
  <si>
    <t>Colorflex – AFV</t>
  </si>
  <si>
    <t>Parolar – Checkout</t>
  </si>
  <si>
    <t>Checkout</t>
  </si>
  <si>
    <t>Multipresentes Presentes e Brinquedos Ltda</t>
  </si>
  <si>
    <t>Chahin – Alteração Empresa Integrador</t>
  </si>
  <si>
    <t>Gyn Atacado Ltda – B2B</t>
  </si>
  <si>
    <t>Gyn Atacado Ltda – BI</t>
  </si>
  <si>
    <t>Rischioto – CNPJ</t>
  </si>
  <si>
    <t>Quality House – BI</t>
  </si>
  <si>
    <t>Quality House – WMS</t>
  </si>
  <si>
    <t>Dvidros – Estoque Futuro</t>
  </si>
  <si>
    <t>RELATÓTIO APURAÇÃO OBJETIVOS DE FEVEREIRO 2026</t>
  </si>
  <si>
    <t>RELATÓTIO APURAÇÃO OBJETIVOS DE MARÇO 2026</t>
  </si>
  <si>
    <t>APURAÇÃO: 02/03/2026</t>
  </si>
  <si>
    <t>APURAÇÃO: 02/04/2026</t>
  </si>
  <si>
    <t>APURAÇÃO: 03/05/2026</t>
  </si>
  <si>
    <t>PERÍODO: 01/02/2026 até 28/02/2026</t>
  </si>
  <si>
    <t>PERÍODO: 01/03/2026 até 31/03/2026</t>
  </si>
  <si>
    <t>PERÍODO: 01/04/2026 até 30/04/2026</t>
  </si>
  <si>
    <t>VENDAS</t>
  </si>
  <si>
    <t>Proposta (15)</t>
  </si>
  <si>
    <t>Apresentações (12)</t>
  </si>
  <si>
    <t>Meta Individual (6,5k)</t>
  </si>
  <si>
    <t>Meta Individual (7k)</t>
  </si>
  <si>
    <t>Meta Equipe (26,5k)</t>
  </si>
  <si>
    <t>Meta Projetos (90k)</t>
  </si>
  <si>
    <t>Total Projetos (270k)</t>
  </si>
  <si>
    <t>PROPOSTA</t>
  </si>
  <si>
    <t>Título</t>
  </si>
  <si>
    <t>rg distribuidora de bebidas ltda</t>
  </si>
  <si>
    <t>25/02/2026</t>
  </si>
  <si>
    <t>colorunhas</t>
  </si>
  <si>
    <t>05/02/2026</t>
  </si>
  <si>
    <t>futuro brasil</t>
  </si>
  <si>
    <t>06/02/2026</t>
  </si>
  <si>
    <t>purai souvenirs ltda</t>
  </si>
  <si>
    <t>goal comercial ltda</t>
  </si>
  <si>
    <t>metal adm</t>
  </si>
  <si>
    <t>ags administracao de bens sociedade unipessoal ltda</t>
  </si>
  <si>
    <t>simas</t>
  </si>
  <si>
    <t>kopermax</t>
  </si>
  <si>
    <t>micromax industria e comercio ltda</t>
  </si>
  <si>
    <t>23/02/2026</t>
  </si>
  <si>
    <t>20/02/2026</t>
  </si>
  <si>
    <t>russa 7 berg distribuidora</t>
  </si>
  <si>
    <t>27/02/2026</t>
  </si>
  <si>
    <t>on import ltda</t>
  </si>
  <si>
    <t>plastianna</t>
  </si>
  <si>
    <t>ns iguacu eletronicos ltda</t>
  </si>
  <si>
    <t>logrosoft comercio erp</t>
  </si>
  <si>
    <t>home brands - erp - afv</t>
  </si>
  <si>
    <t>20/02/2026 00:00</t>
  </si>
  <si>
    <t>ad &amp; ad (comex)</t>
  </si>
  <si>
    <t>11/02/2026</t>
  </si>
  <si>
    <t xml:space="preserve">ramfisa participacoes </t>
  </si>
  <si>
    <t>13/02/2026</t>
  </si>
  <si>
    <t>matrix brinquedos</t>
  </si>
  <si>
    <t>plug lar u.d.</t>
  </si>
  <si>
    <t>union rebite</t>
  </si>
  <si>
    <t>sqcomercio</t>
  </si>
  <si>
    <t>logro soft</t>
  </si>
  <si>
    <t>home brands - afv</t>
  </si>
  <si>
    <t>ck hospitalar</t>
  </si>
  <si>
    <t>dinatale import ltda</t>
  </si>
  <si>
    <t>verti flores e plantas permanentes</t>
  </si>
  <si>
    <t>vaeso</t>
  </si>
  <si>
    <t>brl alimentos wms</t>
  </si>
  <si>
    <t>marcamix (comex)</t>
  </si>
  <si>
    <t>baag - bi</t>
  </si>
  <si>
    <t>FACINATO - Comex</t>
  </si>
  <si>
    <t>12/02/2026</t>
  </si>
  <si>
    <t>atacadão das tripas - erp</t>
  </si>
  <si>
    <t>auto volth</t>
  </si>
  <si>
    <t>02/02/2026</t>
  </si>
  <si>
    <t>plus atacadista</t>
  </si>
  <si>
    <t>fratelli / euroquadros</t>
  </si>
  <si>
    <t>comercial gaviao</t>
  </si>
  <si>
    <t>Arcaplast</t>
  </si>
  <si>
    <t>MARES  - WMS</t>
  </si>
  <si>
    <t>startools ferramentas</t>
  </si>
  <si>
    <t>atacado forte vale</t>
  </si>
  <si>
    <t>auto peças taurus</t>
  </si>
  <si>
    <t>globalmix - erp</t>
  </si>
  <si>
    <t>bene tu confeccoes ltda</t>
  </si>
  <si>
    <t>C.R.I (Gnex)</t>
  </si>
  <si>
    <t>SORVETES KASCAO - compras</t>
  </si>
  <si>
    <t>02/02/2026 00:00</t>
  </si>
  <si>
    <t>clean tech - erp</t>
  </si>
  <si>
    <t xml:space="preserve">armando nacionais </t>
  </si>
  <si>
    <t>ATIVA ATACADO - CNPJ</t>
  </si>
  <si>
    <t>banana toys - erp</t>
  </si>
  <si>
    <t>RIO HOME - ZNIA</t>
  </si>
  <si>
    <t>logro soft - comex</t>
  </si>
  <si>
    <t>Wellmix - B2B</t>
  </si>
  <si>
    <t>ama</t>
  </si>
  <si>
    <t>iracema importadora</t>
  </si>
  <si>
    <t>preciza imports</t>
  </si>
  <si>
    <t>DAS'PLAST - Comex</t>
  </si>
  <si>
    <t>SHOCK IMPORTS- AFV</t>
  </si>
  <si>
    <t>05/02/2026 00:00</t>
  </si>
  <si>
    <t>vitta estrutural</t>
  </si>
  <si>
    <t>casart importadora</t>
  </si>
  <si>
    <t>06/02/2026 00:00</t>
  </si>
  <si>
    <t>FACINATO - BI</t>
  </si>
  <si>
    <t xml:space="preserve">globalmix - cloud </t>
  </si>
  <si>
    <t>Fwb - Comex</t>
  </si>
  <si>
    <t>PAROLAR - RD Station</t>
  </si>
  <si>
    <t>teodoro cosmeticos - erp</t>
  </si>
  <si>
    <t>26/02/2026</t>
  </si>
  <si>
    <t>reobote mult-service</t>
  </si>
  <si>
    <t>MILLENIUM DISTRIBUIDORA - CNPJ</t>
  </si>
  <si>
    <t>globalmix - b2b</t>
  </si>
  <si>
    <t xml:space="preserve">MULTIPRESENTES PRESENTES </t>
  </si>
  <si>
    <t>11/02/2026 00:00</t>
  </si>
  <si>
    <t xml:space="preserve">teodoro cosméticos - afv  </t>
  </si>
  <si>
    <t>agropecuaria agromais</t>
  </si>
  <si>
    <t>ZEIN IMPORTACAO E COMERCIO LTDA</t>
  </si>
  <si>
    <t xml:space="preserve">banana toys - cloud </t>
  </si>
  <si>
    <t>NEDO - RD Stantion</t>
  </si>
  <si>
    <t xml:space="preserve">teodoro cosméticos - cloud </t>
  </si>
  <si>
    <t>sucos prats</t>
  </si>
  <si>
    <t>SHOCK IMPORTS COMERCIAL LTDA</t>
  </si>
  <si>
    <t xml:space="preserve">util ud - pcp / wms </t>
  </si>
  <si>
    <t>PAROLAR - CRM RD Stantion</t>
  </si>
  <si>
    <t xml:space="preserve">encartelados nina - cloud </t>
  </si>
  <si>
    <t>mc flores</t>
  </si>
  <si>
    <t>MOKFA IMPORT - BI</t>
  </si>
  <si>
    <t xml:space="preserve">weck - horas </t>
  </si>
  <si>
    <t>Universal Quimica - BI</t>
  </si>
  <si>
    <t>atacadão das tripas - cloud</t>
  </si>
  <si>
    <t>19/02/2026</t>
  </si>
  <si>
    <t>azul importadora</t>
  </si>
  <si>
    <t>SULTEX - B2B</t>
  </si>
  <si>
    <t>casabella claudio teixeira - erp</t>
  </si>
  <si>
    <t>09/02/2026 00:00</t>
  </si>
  <si>
    <t>clean tech - comex</t>
  </si>
  <si>
    <t>RUVOLO - Comex</t>
  </si>
  <si>
    <t xml:space="preserve">casabella claudio teixeira - cloud </t>
  </si>
  <si>
    <t>Universal Quimica - Cloud</t>
  </si>
  <si>
    <t>startools - comex</t>
  </si>
  <si>
    <t>Arqplast - Md-e</t>
  </si>
  <si>
    <t xml:space="preserve">baag - cloud </t>
  </si>
  <si>
    <t>DUTE - B2B</t>
  </si>
  <si>
    <t>16/02/2026 00:00</t>
  </si>
  <si>
    <t>Dislar - Treinamento de Custos</t>
  </si>
  <si>
    <t>baag - televendas</t>
  </si>
  <si>
    <t>MILLENIUM DISTRIBUIDORA</t>
  </si>
  <si>
    <t>17/02/2026 00:00</t>
  </si>
  <si>
    <t>INGA - Contábil</t>
  </si>
  <si>
    <t>SORVETES KASCAO  - Cloud</t>
  </si>
  <si>
    <t>12/02/2026 00:00</t>
  </si>
  <si>
    <t>Interponte - Proposta WEB</t>
  </si>
  <si>
    <t>INGA - Reciclagem</t>
  </si>
  <si>
    <t>NIX HOUSE - Rd Station</t>
  </si>
  <si>
    <t>Ingá -  redimensionamento de picking</t>
  </si>
  <si>
    <t>CULTURAMA - B2B</t>
  </si>
  <si>
    <t>QUALITY HOUSE - BI</t>
  </si>
  <si>
    <t>18/02/2026 00:00</t>
  </si>
  <si>
    <t>AD &amp; AD COMERCIO DE IMPORTACAO E EXPORTACAO LTDA</t>
  </si>
  <si>
    <t>Embalavi - Tray</t>
  </si>
  <si>
    <t>DAS'PLAST - Mde</t>
  </si>
  <si>
    <t>26/02/2026 00:00</t>
  </si>
  <si>
    <t>FECHAMENTO DE: 01/02/2026 até 28/02/2026</t>
  </si>
  <si>
    <t>REFERÊNCIAS</t>
  </si>
  <si>
    <t>Bônus ou Ônus se cobrir Meta Recorrente</t>
  </si>
  <si>
    <t>Percentual</t>
  </si>
  <si>
    <t>Hora</t>
  </si>
  <si>
    <t>Cobriu Meta +</t>
  </si>
  <si>
    <t>Cobriu Meta Equipe +</t>
  </si>
  <si>
    <t>Não Cobriu Meta -</t>
  </si>
  <si>
    <t>COMISSÃO</t>
  </si>
  <si>
    <t>JÚNIOR</t>
  </si>
  <si>
    <t>VALOR VENDIDO</t>
  </si>
  <si>
    <t xml:space="preserve">COMISSÃO </t>
  </si>
  <si>
    <t>BÔNUS META</t>
  </si>
  <si>
    <t>ÔNUS META</t>
  </si>
  <si>
    <t>META RECORRENTE</t>
  </si>
  <si>
    <t>META EQUIPE</t>
  </si>
  <si>
    <t>% COLABORAÇÃO META</t>
  </si>
  <si>
    <t>BÔNUS TIME</t>
  </si>
  <si>
    <t xml:space="preserve">VALOR VENDIDO </t>
  </si>
  <si>
    <t>BÔNUS/ÔNUS META</t>
  </si>
  <si>
    <t>COMISSÃO SUPERVISOR</t>
  </si>
  <si>
    <t>BÔNUS DO</t>
  </si>
  <si>
    <t>TOTAIS</t>
  </si>
  <si>
    <t>TIME</t>
  </si>
  <si>
    <t>HORAS</t>
  </si>
  <si>
    <t>MENSALIDADE</t>
  </si>
  <si>
    <t>LANÇAMENTOS ÚNICOS NA FOLHA COMISSÃO</t>
  </si>
  <si>
    <t xml:space="preserve">Comissão  </t>
  </si>
  <si>
    <t>Júnior Lopes</t>
  </si>
  <si>
    <t>Rayssa Oliveira</t>
  </si>
  <si>
    <t>Pagamento Único</t>
  </si>
  <si>
    <t>Valor Total Vendido</t>
  </si>
  <si>
    <t>% Comissão Vendedor + Supervisor</t>
  </si>
  <si>
    <t>Valor Total de Mensalidade</t>
  </si>
  <si>
    <t>FECHAMENTO DE: 01/01/2026 até 31/01/2026</t>
  </si>
  <si>
    <t>RECORRENTE 4T DE 2025</t>
  </si>
  <si>
    <t>RECEITA GERADA NO 4T DE 2025</t>
  </si>
  <si>
    <t>HORAS DO 4T 2025</t>
  </si>
  <si>
    <t>Meses (Data)</t>
  </si>
  <si>
    <t>out</t>
  </si>
  <si>
    <t>RECORRENTE</t>
  </si>
  <si>
    <t>Soma de VlrTotal</t>
  </si>
  <si>
    <t>Treinamentos</t>
  </si>
  <si>
    <t>nov</t>
  </si>
  <si>
    <t>dez</t>
  </si>
  <si>
    <t>FORECAST 1T 2026</t>
  </si>
  <si>
    <t>RECEITA POR PRODUTO 4T DE 2025</t>
  </si>
  <si>
    <t>VENDA</t>
  </si>
  <si>
    <t>Escolha aqui a temperatura</t>
  </si>
  <si>
    <t>Soma de Qtde</t>
  </si>
  <si>
    <t>_Vlr Projeto</t>
  </si>
  <si>
    <t>_Mensalidade</t>
  </si>
  <si>
    <t>_Horas</t>
  </si>
  <si>
    <t>Magis</t>
  </si>
  <si>
    <t>MDFe</t>
  </si>
  <si>
    <t>Intelipost</t>
  </si>
  <si>
    <t>VENDAS  POR TIPOS DE RECEITA 2025</t>
  </si>
  <si>
    <t>VENDAS  POR VENDEDOR 2025</t>
  </si>
  <si>
    <t>_VlrTotal</t>
  </si>
  <si>
    <t>_Qtde</t>
  </si>
  <si>
    <t>Rótulos de Coluna</t>
  </si>
  <si>
    <t>VENDAS USUÁRIOS 2025</t>
  </si>
  <si>
    <t>VENDAS METAS 2026</t>
  </si>
  <si>
    <t>Addon Propsta WEB</t>
  </si>
  <si>
    <t>Addon Iara</t>
  </si>
  <si>
    <t>PDV Pre Venda</t>
  </si>
  <si>
    <t>PDV</t>
  </si>
  <si>
    <t>PDV ERP</t>
  </si>
  <si>
    <t>Link de Pagamento</t>
  </si>
  <si>
    <t>Addon Multilojas</t>
  </si>
  <si>
    <t>PDV Server</t>
  </si>
  <si>
    <t>CTE</t>
  </si>
  <si>
    <t>Importação XML</t>
  </si>
  <si>
    <t>CRM RD Station</t>
  </si>
  <si>
    <t>Envio de Boleto</t>
  </si>
  <si>
    <t>MDFE e CTE</t>
  </si>
  <si>
    <t>CIAP</t>
  </si>
  <si>
    <t>Tray</t>
  </si>
  <si>
    <t>Lexos</t>
  </si>
  <si>
    <t>Guarani B2B</t>
  </si>
  <si>
    <t>GB Importadora</t>
  </si>
  <si>
    <t>Elmo</t>
  </si>
  <si>
    <t>Débora Duarte</t>
  </si>
  <si>
    <t>Polimax</t>
  </si>
  <si>
    <t>Terra Boa</t>
  </si>
  <si>
    <t>Não têm</t>
  </si>
  <si>
    <t>Parolimp</t>
  </si>
  <si>
    <t>117327/117329</t>
  </si>
  <si>
    <t>GiftUtil</t>
  </si>
  <si>
    <t>Rishioto</t>
  </si>
  <si>
    <t>Marcamix</t>
  </si>
  <si>
    <t>Panamby</t>
  </si>
  <si>
    <t>Scotti</t>
  </si>
  <si>
    <t>Dvidros</t>
  </si>
  <si>
    <t>117550/117553</t>
  </si>
  <si>
    <t>Star Distribuidora</t>
  </si>
  <si>
    <t>Full Fit</t>
  </si>
  <si>
    <t>Bella Vista</t>
  </si>
  <si>
    <t>Newell Brands</t>
  </si>
  <si>
    <t>Lira Distribuidora</t>
  </si>
  <si>
    <t>JP Representação</t>
  </si>
  <si>
    <t>Sultex</t>
  </si>
  <si>
    <t>Aluminio Nacional</t>
  </si>
  <si>
    <t>Nedo</t>
  </si>
  <si>
    <t>118689/118889</t>
  </si>
  <si>
    <t>Ingá</t>
  </si>
  <si>
    <t>Ad &amp; Ad Importadora</t>
  </si>
  <si>
    <t>Gp Inox</t>
  </si>
  <si>
    <t>Gyn Atacado</t>
  </si>
  <si>
    <t>Akitem</t>
  </si>
  <si>
    <t>Erca Aluminio</t>
  </si>
  <si>
    <t>Mdfe</t>
  </si>
  <si>
    <t>Plastutti</t>
  </si>
  <si>
    <t>Wellmix</t>
  </si>
  <si>
    <t>JLK Plasticos</t>
  </si>
  <si>
    <t>Vaso Forte</t>
  </si>
  <si>
    <t>Color Flex</t>
  </si>
  <si>
    <t>Montebello</t>
  </si>
  <si>
    <t>MaxxiHouse (Fika)</t>
  </si>
  <si>
    <t>Pupi Imports</t>
  </si>
  <si>
    <t>Best Kaza</t>
  </si>
  <si>
    <t>Aço mix</t>
  </si>
  <si>
    <t>NixHouse</t>
  </si>
  <si>
    <t>Mares Importadora</t>
  </si>
  <si>
    <t xml:space="preserve">Ponto 10 </t>
  </si>
  <si>
    <t>Duarte (Fika)</t>
  </si>
  <si>
    <t>Kozi Plast</t>
  </si>
  <si>
    <t>Plastico MB</t>
  </si>
  <si>
    <t>L&amp;T Importadora</t>
  </si>
  <si>
    <t>Sakes</t>
  </si>
  <si>
    <t>Tritec</t>
  </si>
  <si>
    <t>Multiflon</t>
  </si>
  <si>
    <t>Unik Importadora</t>
  </si>
  <si>
    <t>Util UD</t>
  </si>
  <si>
    <t>Creative (Fermabel)</t>
  </si>
  <si>
    <t>Vitazza</t>
  </si>
  <si>
    <t>Tecelagem Castilho</t>
  </si>
  <si>
    <t>Vitoria Cortinas</t>
  </si>
  <si>
    <t>Mercosur Pakiplast</t>
  </si>
  <si>
    <t>Flor de Seda</t>
  </si>
  <si>
    <t>Luz Industria</t>
  </si>
  <si>
    <t>MDFE</t>
  </si>
  <si>
    <t>Fa Fa Import</t>
  </si>
  <si>
    <t>Chahim</t>
  </si>
  <si>
    <t>Qfesta</t>
  </si>
  <si>
    <t>Classhome</t>
  </si>
  <si>
    <t>Quality House</t>
  </si>
  <si>
    <t>Sutt</t>
  </si>
  <si>
    <t>Aliança Importadora</t>
  </si>
  <si>
    <t>Mundi EPS</t>
  </si>
  <si>
    <t>Reunidas</t>
  </si>
  <si>
    <t>126563/125926</t>
  </si>
  <si>
    <t>BRL Alimentos</t>
  </si>
  <si>
    <t>Elmo Atacado</t>
  </si>
  <si>
    <t>Ativa</t>
  </si>
  <si>
    <t>Koizas Lozinha</t>
  </si>
  <si>
    <t>Nanox</t>
  </si>
  <si>
    <t>Dislar</t>
  </si>
  <si>
    <t>Mypa</t>
  </si>
  <si>
    <t>Casa Freitas</t>
  </si>
  <si>
    <t>126943/126955</t>
  </si>
  <si>
    <t>YOSS</t>
  </si>
  <si>
    <t>Fazzio</t>
  </si>
  <si>
    <t>Delta Max (Sagol)</t>
  </si>
  <si>
    <t>Koisa Kozinha</t>
  </si>
  <si>
    <t>Ruvolo</t>
  </si>
  <si>
    <t>Giftutil</t>
  </si>
  <si>
    <t>Arqplast</t>
  </si>
  <si>
    <t>Chahin</t>
  </si>
  <si>
    <t>Chame Rio</t>
  </si>
  <si>
    <t>DCARTE</t>
  </si>
  <si>
    <t>Fuzipar</t>
  </si>
  <si>
    <t>Tiago Eletrônicos (AS Eletronicos)</t>
  </si>
  <si>
    <t>Shinyt Importadora</t>
  </si>
  <si>
    <t>Lyke</t>
  </si>
  <si>
    <t>Qhouse</t>
  </si>
  <si>
    <t>Newell</t>
  </si>
  <si>
    <t>Bezavel</t>
  </si>
  <si>
    <t>Inga Import</t>
  </si>
  <si>
    <t>130935/131269</t>
  </si>
  <si>
    <t>Yes Mall</t>
  </si>
  <si>
    <t>MDL Import</t>
  </si>
  <si>
    <t>Sagol (Delta Max)</t>
  </si>
  <si>
    <t>Monte Belo</t>
  </si>
  <si>
    <t>Fenima</t>
  </si>
  <si>
    <t>Bruto</t>
  </si>
  <si>
    <t>Líquido</t>
  </si>
  <si>
    <t>ANO</t>
  </si>
  <si>
    <t>VALOR</t>
  </si>
  <si>
    <t>Supervisor</t>
  </si>
  <si>
    <t>Soma de Comissão</t>
  </si>
  <si>
    <t>Soma de media</t>
  </si>
  <si>
    <t>Junior</t>
  </si>
  <si>
    <t>Débora</t>
  </si>
  <si>
    <t>Vendeor</t>
  </si>
  <si>
    <t>Mariana</t>
  </si>
  <si>
    <t>Média</t>
  </si>
  <si>
    <t>jun</t>
  </si>
  <si>
    <t>REF 05/2021</t>
  </si>
  <si>
    <t>jul</t>
  </si>
  <si>
    <t>ago</t>
  </si>
  <si>
    <t>set</t>
  </si>
  <si>
    <t>Média Todos os Anos</t>
  </si>
  <si>
    <t>Média no Ano 2025</t>
  </si>
  <si>
    <t>Dados</t>
  </si>
  <si>
    <t>Comissão</t>
  </si>
  <si>
    <t>Pago em</t>
  </si>
  <si>
    <t>Count</t>
  </si>
  <si>
    <t>Comissão Média</t>
  </si>
  <si>
    <t xml:space="preserve">VENDAS </t>
  </si>
  <si>
    <t>VENDEDOR</t>
  </si>
  <si>
    <t>SUPERVISOR</t>
  </si>
  <si>
    <t>Totais</t>
  </si>
  <si>
    <t xml:space="preserve">Valor único </t>
  </si>
  <si>
    <t>Valor recorrente mês</t>
  </si>
  <si>
    <t>Referência</t>
  </si>
  <si>
    <t>COMPARATIVO DE CRESIMENTO ( VENDAS COMO VENDEDOR VS SUPERVISOR)</t>
  </si>
  <si>
    <t>Valor único</t>
  </si>
  <si>
    <t>COMPARATIVO DE CRESCIMENTO (VENDAS ANO CONTRA ANO)</t>
  </si>
  <si>
    <t>ID Oportunidade</t>
  </si>
  <si>
    <t>ID Cliente</t>
  </si>
  <si>
    <t>ID Contato</t>
  </si>
  <si>
    <t>Descrição</t>
  </si>
  <si>
    <t>Razão social</t>
  </si>
  <si>
    <t>Título do negócio</t>
  </si>
  <si>
    <t>Nome do Cliente</t>
  </si>
  <si>
    <t>Nome do Contato</t>
  </si>
  <si>
    <t>Telefone do Contato</t>
  </si>
  <si>
    <t>Celular do Contato</t>
  </si>
  <si>
    <t>E-mail do contato</t>
  </si>
  <si>
    <t>Grupo do cliente</t>
  </si>
  <si>
    <t>Contatos</t>
  </si>
  <si>
    <t>Endereço</t>
  </si>
  <si>
    <t>Cidade</t>
  </si>
  <si>
    <t>Estado</t>
  </si>
  <si>
    <t>Origem</t>
  </si>
  <si>
    <t>Origem do cliente</t>
  </si>
  <si>
    <t>Categoria do cliente</t>
  </si>
  <si>
    <t>TAGS</t>
  </si>
  <si>
    <t>Funil de vendas</t>
  </si>
  <si>
    <t>Etapa do funil de vendas</t>
  </si>
  <si>
    <t>Forma de Pagamento</t>
  </si>
  <si>
    <t>Data esperada de fechamento</t>
  </si>
  <si>
    <t>Valor Total</t>
  </si>
  <si>
    <t>Valor mensal</t>
  </si>
  <si>
    <t>Tempo como oportunidade</t>
  </si>
  <si>
    <t>Criado por</t>
  </si>
  <si>
    <t>Data de Criação</t>
  </si>
  <si>
    <t>Hora de Criação</t>
  </si>
  <si>
    <t>Código externo</t>
  </si>
  <si>
    <t>Status</t>
  </si>
  <si>
    <t>Data de Perda/Ganho</t>
  </si>
  <si>
    <t>Hora de Perda/Ganho</t>
  </si>
  <si>
    <t>Motivo de perda</t>
  </si>
  <si>
    <t>Razão de Perda</t>
  </si>
  <si>
    <t>Data Venda  Agenda</t>
  </si>
  <si>
    <t>SDRResponsável</t>
  </si>
  <si>
    <t>DataApresentação2</t>
  </si>
  <si>
    <t>Data UltContato</t>
  </si>
  <si>
    <t>Produtos</t>
  </si>
  <si>
    <t>Vlr Mensalidade</t>
  </si>
  <si>
    <t>QTDE</t>
  </si>
  <si>
    <t>teste paulo</t>
  </si>
  <si>
    <t>Paulo Teste</t>
  </si>
  <si>
    <t>16997181604</t>
  </si>
  <si>
    <t>paulo.souza@guaranisistemas.com.br</t>
  </si>
  <si>
    <t xml:space="preserve">  </t>
  </si>
  <si>
    <t>Guarani AFV;SDRPaulo</t>
  </si>
  <si>
    <t>Pipeline de Vendas</t>
  </si>
  <si>
    <t>Agendamento (0%)</t>
  </si>
  <si>
    <t>Ativo</t>
  </si>
  <si>
    <t>EDDI INDUSTRIA E COMERCIO DE ARTEFATOS PLASTICOS LTDA</t>
  </si>
  <si>
    <t xml:space="preserve">eddi casa - afv </t>
  </si>
  <si>
    <t>EDDI CASA</t>
  </si>
  <si>
    <t>16997246190</t>
  </si>
  <si>
    <t>comercial@eddicasa.com</t>
  </si>
  <si>
    <t>EDDI CASA;Bruno</t>
  </si>
  <si>
    <t>Ibitinga - SP</t>
  </si>
  <si>
    <t>SP</t>
  </si>
  <si>
    <t>Outbound</t>
  </si>
  <si>
    <t>Importado a partir de lista;Guarani AFV;SDRFernanda</t>
  </si>
  <si>
    <t>Apresentar Proposta (50%)</t>
  </si>
  <si>
    <t>Fernanda Santiago</t>
  </si>
  <si>
    <t>Perdido</t>
  </si>
  <si>
    <t>Não é o momento certo</t>
  </si>
  <si>
    <t xml:space="preserve">sem retorno do cliente </t>
  </si>
  <si>
    <t>27/11/2024</t>
  </si>
  <si>
    <t>29/11/2024</t>
  </si>
  <si>
    <t>APÓS PESQUISA ENCONTREI O TELEFONE 88 98114-7695 NO CATALAGO DIGITAL DA EMPRESA, MANDEI MSG PARA VALIDAR E CONVERSEI COM LUCAS, ELE DISSE QUE NO PASSADO JA NOS PROCUROU PARA CONHECER NOSSO ERP, POIS QUEREM MUDAR DE SISTEMA, O GERENTE DELES DE PRODUÇÃO JA TRABALHOU CONOSCO NA ARCA PLAST E INDICOU. ATUALMENTE USA SISTEMA CHAMADO WSHOP, MAS NÃO ATENDE ELES BEM. QUER VER TODA PARTE DE PRODUÇÃO, PRODUTOS, CUSTOS, FATURAMENTO... POSSUEM POUCOS REPRESENTANTES, FOCO NO MOMENTO É O ERP, APÓS ELE VE O FORÇA DE VENDAS.
AGENDADO APRESENTAÇÃO COM O PAULO DIA 27/11 AS 15H</t>
  </si>
  <si>
    <t>plascity - erp</t>
  </si>
  <si>
    <t>Lucas</t>
  </si>
  <si>
    <t>(88) 98114-7695</t>
  </si>
  <si>
    <t>lucasnewway@gmail.com</t>
  </si>
  <si>
    <t>Base de empresas Leads2b</t>
  </si>
  <si>
    <t>SDRDébora</t>
  </si>
  <si>
    <t>Em negociação (75%)</t>
  </si>
  <si>
    <t>Cliente não quer contato LGPD</t>
  </si>
  <si>
    <t>FALEI COM SILDÁCIO, ATUALMENTE USAM SISTEMA PROPRIO, MAS BUSCAM MELHORIAS E CONFORMA PLANEJAMENTO PARA 2025 ESTÁ COTANDO COM SOLUÇÕES DO MERCADO, OUVI DE OUTRAS IMPORTADORAS QUE USAM NOSSA SISTEMA PARA FORÇA DE VENDAS. HOJE SÃO 5 RCA, MAS ESTÃO EXPANDIDO O ATENDIMENTO PARA OUTROS ESTADOS E AUMENTANDO A EQUIPE. USAM ERP TOTVS. SÃO IMPORTADORA UD/BRINQUEDOS/DECOR
AGENDADO APRESENTAÇÃO DIA 21/11 AS 11H30
INCLUIR NO INVITE jacqueline.santos@casafreitas.com.br</t>
  </si>
  <si>
    <t>casa freitas - afv</t>
  </si>
  <si>
    <t>Sildácio Amaral</t>
  </si>
  <si>
    <t>(85) 99797-0405</t>
  </si>
  <si>
    <t>sildacio.amaral@casafreitas.com.br</t>
  </si>
  <si>
    <t>Site</t>
  </si>
  <si>
    <t>SDRInbound;Guarani AFV;SDRDébora;90%</t>
  </si>
  <si>
    <t>Em Fechamento (100%)</t>
  </si>
  <si>
    <t>6x sem juros (0/30/60/90/120/150...)</t>
  </si>
  <si>
    <t>Ganho</t>
  </si>
  <si>
    <t>19/11/2024 00:00</t>
  </si>
  <si>
    <t>07/03/2025</t>
  </si>
  <si>
    <t>05/12/2024</t>
  </si>
  <si>
    <t>Então, eu conheci o sistema AFV por um fornecedor nosso e ficamos interessados pelo recursos que você possui em realizar vendas e consultar estoques pelo celular
Somos um grupo o KWI, que é composto por 3 empresas, 2 é varejista e não fazemos vendas externas e nem representantes. E 1 é Atacadista, no momento é uma empresa nova, mas estamos nos organizando para incorporar vendas externas
Varejista e Atacadista
Porque ficamos interessamos em por exemplo quando estamos na feira para expor ao invés de fazer pedido no papel, utilizar um celular que é mais pratico
Ultimamos o ERP Verup
Ah então pode ser quinta 10hrs? Sou Supervisora do T.I
Recebi. Muito obrigada!!</t>
  </si>
  <si>
    <t>grupo kwi - afv</t>
  </si>
  <si>
    <t xml:space="preserve"> Giovanna Seguette</t>
  </si>
  <si>
    <t>(11) 94444-8474</t>
  </si>
  <si>
    <t>suppliers@bongmoon.com</t>
  </si>
  <si>
    <t>SDRInbound;Guarani AFV;SDRDébora</t>
  </si>
  <si>
    <t>25/11/2024 00:00</t>
  </si>
  <si>
    <t>04/12/2024</t>
  </si>
  <si>
    <t>02/12/2024</t>
  </si>
  <si>
    <t>APÓS INDICAÇÃO DO TEL 16 99776-7635 CONTATO PASSOU O Nº DA JESSICA, FALEI COM ELA POR WHATS, ATUALMENTE USAM SISTEMA DA IDEIA, MAS ELA ACEITOU VER UMA DEMONSTRAÇÃO DO NOSSO FORÇA DE VENDAS.
EMPRESA É DE ARARAQUARA, INDUSTRIA DE UD
AGENDADO APRESENTAÇÃO DIA 03/12 AS 10H COM O JUCA</t>
  </si>
  <si>
    <t>Utiliplas Fabricacao E Comercio De Artefatos Plasticos Ltda</t>
  </si>
  <si>
    <t>utiliplas - afv</t>
  </si>
  <si>
    <t>Jessica Edevania</t>
  </si>
  <si>
    <t>(16) 3332-7378</t>
  </si>
  <si>
    <t>comercialutiliplas@gmail.com</t>
  </si>
  <si>
    <t>ARARAQUARA</t>
  </si>
  <si>
    <t>Guarani AFV;SDRDébora</t>
  </si>
  <si>
    <t xml:space="preserve">cliente não da retorno </t>
  </si>
  <si>
    <t>26/11/2024 00:00</t>
  </si>
  <si>
    <t>09/12/2024</t>
  </si>
  <si>
    <t>A Primu's Rio é uma rede de lojas especializada em Brinquedos, Cama, Mesa e Banho, Utensílios domésticos, Papelaria, Plástico, Vidro, Alumínio e muito mais.
São mais de 25 anos no mercado, oferecendo os melhores produtos com os melhores preços, tanto para o consumidor varejista, quanto para o atacadista.
Site: Loja online de Primu's Rio - Quem Somos
O Grupo primus é um grupo econômico com 7 empresas, e estão divididas da seguinte maneira:
Distribuidora/Importadora
ERP = 10
AFV = 2
PDV = 10
7 CNPJ
Produtos de Interesse (ERP, AFV, PDV, MDFE, MDE, B2B)
Atacado e Lojas
4 lojas com 28 PDV, sendo que uma dessa loja é atacado.
ASSUNTOS A SER DETALHANDOS NA APRESENTAÇÃO:
Política de preço, eles fazer 3 tipos de preço T1 (9,90), T2 (8,90), T3 (7,90), a regra é que com determinado volume financeiro na compra o preço flute entre as tabelas;
Tem dois tipos de custo quando a mercadoria entra pela importadora é um e pela distribuidora é outro, entender melhor isso
A apresentação dever ser focada na distribuidora e seus processos diários. Seguir o fluxo apresentando a Estoque, Financeiro, Fiscal, Politicas de Preço, Faturamento e Gerenciamento da Operação.</t>
  </si>
  <si>
    <t xml:space="preserve">lojas primus </t>
  </si>
  <si>
    <t>Celso</t>
  </si>
  <si>
    <t>21964236193</t>
  </si>
  <si>
    <t>celsomsc@gmail.com</t>
  </si>
  <si>
    <t>RIO DE JANEIRO</t>
  </si>
  <si>
    <t>RJ</t>
  </si>
  <si>
    <t>Guarani AFV;Guarani ERP;Guarani B2B;Guarani PDV;SDRPaulo;MORNO</t>
  </si>
  <si>
    <t>cliente não tem mais interesse.</t>
  </si>
  <si>
    <t>GA CERAMICA ARTISTICA</t>
  </si>
  <si>
    <t>ga ceramica - afv</t>
  </si>
  <si>
    <t>GA CERAMICA</t>
  </si>
  <si>
    <t>1935815351</t>
  </si>
  <si>
    <t>atendimento@gaceramica.com.br</t>
  </si>
  <si>
    <t>GA CERAMICA;GA CERAMICA, Jorge</t>
  </si>
  <si>
    <t>Apresentar Solução (35%)</t>
  </si>
  <si>
    <t>Não quer mudar a solução atual</t>
  </si>
  <si>
    <t>Falei com o Jorge, ele disse que esta acontecendo umas mudanças administrativas um dos socios esta saindo, então toda previsao de alterar sistemas ficou em stand by, disse para falarmos em fevereiro. Até a feira ele falou que pode ser que ja tenha resolvido entao falamos depois.</t>
  </si>
  <si>
    <t>02/12/2024 10:00</t>
  </si>
  <si>
    <t>Resumo de envio do Formulário Web
Produtos:
Guarani ERP
Nome
Viviane Gomes
E-mail
fiscal@aloebaf.com.br
Telefone / Whatsapp
38 99127-5338
Nome da Empresa
ALOEBAF COMERCIO DE COSMETICOS
Segmento
Distribuidor
Descrição da necessidade
Precisamos do Força de vendas</t>
  </si>
  <si>
    <t>aloe baf</t>
  </si>
  <si>
    <t>Viviane Gomes</t>
  </si>
  <si>
    <t>38991275338</t>
  </si>
  <si>
    <t>fiscal@aloebaf.com.br</t>
  </si>
  <si>
    <t>Guarani AFV;Guarani ERP;SDRDébora;Adicionais ERP;Pausado</t>
  </si>
  <si>
    <t>Preço muito alto</t>
  </si>
  <si>
    <t>02/12/2024 00:00</t>
  </si>
  <si>
    <t>baag-bahia artes gráficas(erp)</t>
  </si>
  <si>
    <t>BAAG (Bahia Artes Gráficas)</t>
  </si>
  <si>
    <t>7532217777</t>
  </si>
  <si>
    <t>cleber@bahiagrafica.com.br</t>
  </si>
  <si>
    <t>Feira de Santana</t>
  </si>
  <si>
    <t>BA</t>
  </si>
  <si>
    <t>Guarani AFV;Guarani ERP;QUENTE</t>
  </si>
  <si>
    <t>27/09/2024</t>
  </si>
  <si>
    <t>baag-bahia artes gráficas(cloud)</t>
  </si>
  <si>
    <t>Cleber Chagas</t>
  </si>
  <si>
    <t>75981337574</t>
  </si>
  <si>
    <t>Guarani CLOUD;QUENTE</t>
  </si>
  <si>
    <t xml:space="preserve">servidor local </t>
  </si>
  <si>
    <t>vaso forte (erp)</t>
  </si>
  <si>
    <t>Clovis &amp; Heli</t>
  </si>
  <si>
    <t>11912422620</t>
  </si>
  <si>
    <t>heli@vasoforte.com.br</t>
  </si>
  <si>
    <t>Vargem Grande Paulista</t>
  </si>
  <si>
    <t>Guarani ERP</t>
  </si>
  <si>
    <t>06/01/2025</t>
  </si>
  <si>
    <t>11/10/2024</t>
  </si>
  <si>
    <t>24/01/2025</t>
  </si>
  <si>
    <t>negócio plásticos santana ltda</t>
  </si>
  <si>
    <t>Plásticos Santana Ltda</t>
  </si>
  <si>
    <t>19974093075</t>
  </si>
  <si>
    <t>comercial1@plasticossantana.com.br</t>
  </si>
  <si>
    <t>Artur Nogueira</t>
  </si>
  <si>
    <t>Guarani AFV;Guarani ERP</t>
  </si>
  <si>
    <t>Qualificação de Vendas (SQL) (25%)</t>
  </si>
  <si>
    <t>Não informou motivo da desistência</t>
  </si>
  <si>
    <t>retornar contato em 2025</t>
  </si>
  <si>
    <t>vaso forte (cloud)</t>
  </si>
  <si>
    <t>Guarani CLOUD</t>
  </si>
  <si>
    <t xml:space="preserve">atualmente tem muita instabilidade de internet </t>
  </si>
  <si>
    <t>01/10/2024</t>
  </si>
  <si>
    <t>editora online</t>
  </si>
  <si>
    <t>EDITORA ONLINE</t>
  </si>
  <si>
    <t>João Carlos Gomes Brasil</t>
  </si>
  <si>
    <t>11993739551</t>
  </si>
  <si>
    <t>joao@editoraonline.com.br</t>
  </si>
  <si>
    <t>Barueri</t>
  </si>
  <si>
    <t>14/10/2024</t>
  </si>
  <si>
    <t>18/10/2024</t>
  </si>
  <si>
    <t xml:space="preserve">precisa import </t>
  </si>
  <si>
    <t>Precisa Import</t>
  </si>
  <si>
    <t>Carlos</t>
  </si>
  <si>
    <t>11972961489</t>
  </si>
  <si>
    <t>comercial@prorepresentacao.com.nr</t>
  </si>
  <si>
    <t>25/10/2024</t>
  </si>
  <si>
    <t>21/10/2024</t>
  </si>
  <si>
    <t>polimax (erp+afv)</t>
  </si>
  <si>
    <t>Valen Lesinelli</t>
  </si>
  <si>
    <t>11998367755</t>
  </si>
  <si>
    <t>comercial@polimaxpolimeros.com.br</t>
  </si>
  <si>
    <t>São Paulo</t>
  </si>
  <si>
    <t>18/12/2024</t>
  </si>
  <si>
    <t>15/01/2025</t>
  </si>
  <si>
    <t>md importação</t>
  </si>
  <si>
    <t>MD Importação</t>
  </si>
  <si>
    <t>Juliana</t>
  </si>
  <si>
    <t>47991450725</t>
  </si>
  <si>
    <t>mdimposrtacao@gmail.com</t>
  </si>
  <si>
    <t>Rio do Sul</t>
  </si>
  <si>
    <t>SC</t>
  </si>
  <si>
    <t>Indicação</t>
  </si>
  <si>
    <t>Não houve aprovação financeira</t>
  </si>
  <si>
    <t xml:space="preserve">cliente esfriou após proposta comercial </t>
  </si>
  <si>
    <t>28/11/2024</t>
  </si>
  <si>
    <t>19/11/2024</t>
  </si>
  <si>
    <t>dpot plasticos</t>
  </si>
  <si>
    <t>DPOT PLASTICOS</t>
  </si>
  <si>
    <t>Michel Stracci</t>
  </si>
  <si>
    <t>19997264646</t>
  </si>
  <si>
    <t>dpot.plasticos@gmail.com</t>
  </si>
  <si>
    <t>Pedreira</t>
  </si>
  <si>
    <t>Guarani AFV;Guarani ERP;SDRDébora</t>
  </si>
  <si>
    <t>04/11/2024</t>
  </si>
  <si>
    <t>06/11/2024</t>
  </si>
  <si>
    <t>05/11/2024</t>
  </si>
  <si>
    <t>dpot plasticos (cloud)</t>
  </si>
  <si>
    <t>Guarani CLOUD;SDRDébora</t>
  </si>
  <si>
    <t>grupo gala (b2b)</t>
  </si>
  <si>
    <t>GRUPO GALA</t>
  </si>
  <si>
    <t>Diego</t>
  </si>
  <si>
    <t>6735659555</t>
  </si>
  <si>
    <t>diego@gala.com.br</t>
  </si>
  <si>
    <t>Aparecida do Taboado</t>
  </si>
  <si>
    <t>MS</t>
  </si>
  <si>
    <t>12/11/2024</t>
  </si>
  <si>
    <t>polimax- cloud</t>
  </si>
  <si>
    <t>8x sem juros (0/30/60/90/120/150...)</t>
  </si>
  <si>
    <t>28/01/2025</t>
  </si>
  <si>
    <t>18/11/2024</t>
  </si>
  <si>
    <t>negócio fosboi da bahia</t>
  </si>
  <si>
    <t>Fosboi da Bahia</t>
  </si>
  <si>
    <t>Marcelo Luz</t>
  </si>
  <si>
    <t>75991975073</t>
  </si>
  <si>
    <t>marceloluizlimafilho@outlook.com</t>
  </si>
  <si>
    <t xml:space="preserve">sem retorno </t>
  </si>
  <si>
    <t>tek mix distribuicao</t>
  </si>
  <si>
    <t>TEK MIX DISTRIBUICAO</t>
  </si>
  <si>
    <t>62991561717</t>
  </si>
  <si>
    <t>Wolneyaraujolino@gmail.com</t>
  </si>
  <si>
    <t>Anapólis</t>
  </si>
  <si>
    <t>GO</t>
  </si>
  <si>
    <t>Fechou com o concorrente</t>
  </si>
  <si>
    <t xml:space="preserve">Devido a localização e proposta do concorrente (Target) perdemos a concorrência </t>
  </si>
  <si>
    <t>tek mix distr (cloud)</t>
  </si>
  <si>
    <t>Wolden</t>
  </si>
  <si>
    <t>elmo atacado (mdfe)</t>
  </si>
  <si>
    <t>ELMO ATACADO</t>
  </si>
  <si>
    <t>João Carlos Tasca</t>
  </si>
  <si>
    <t>47999949301</t>
  </si>
  <si>
    <t>joao@atacadoelmo.com.br</t>
  </si>
  <si>
    <t>Joinville</t>
  </si>
  <si>
    <t>Adicionais ERP</t>
  </si>
  <si>
    <t xml:space="preserve">cliente ainda não decidiu </t>
  </si>
  <si>
    <t>20/11/2024</t>
  </si>
  <si>
    <t>md importação - cloud</t>
  </si>
  <si>
    <t xml:space="preserve">cliente esfriou após envio da proposta comercial </t>
  </si>
  <si>
    <t>gb. importadora</t>
  </si>
  <si>
    <t>Pedro</t>
  </si>
  <si>
    <t>19993040768</t>
  </si>
  <si>
    <t>pehpbroglio@gmail.com</t>
  </si>
  <si>
    <t>ITAJAI</t>
  </si>
  <si>
    <t>QUENTE</t>
  </si>
  <si>
    <t>10x sem juros (0/30/60/90/120/150...)</t>
  </si>
  <si>
    <t>06/12/2024</t>
  </si>
  <si>
    <t>04/12/2024 00:00</t>
  </si>
  <si>
    <t>injeplastec</t>
  </si>
  <si>
    <t>Edi</t>
  </si>
  <si>
    <t>11981337574</t>
  </si>
  <si>
    <t>ggealdo@injeplastec.com.br</t>
  </si>
  <si>
    <t xml:space="preserve">cliente não decidiu seguir </t>
  </si>
  <si>
    <t>12/12/2024</t>
  </si>
  <si>
    <t>Após a visita realizada em 10/12/2025, foi agendada uma nova reunião para tratar de assuntos técnicos em 12/12/2025 às 14h.
13:47, 27/01/2026 Fabio Porto Brasil: Boa tarde Junior
13:47, 27/01/2026 Fabio Porto Brasil: tudo certo ?
13:47, 27/01/2026 Junior Lopes: Olá ! Sou Junior Lopes, consultor comercial Guarani sistemas 
Como posso te ajudar ?
13:47, 27/01/2026 Fabio Porto Brasil: Antes de mais nada (e ainda em tempo kkkk), obrigado pela mensagem. Desejo um ótimo 2026
13:47, 27/01/2026 Fabio Porto Brasil: somente alinhado o status, a PBC deve iniciar em março/26, porém vou revisitar o cronograma de aprovação com eles para podermos nos alinhar.
13:53, 27/01/2026 Junior Lopes: Olá Fábio, boa tarde ! Obrigado pelo retorno 
Ficamos no aguardo então ! Caso necessário pode me chamar 
Abraços</t>
  </si>
  <si>
    <t>porto brasil cerâmica - afv</t>
  </si>
  <si>
    <t>Marina</t>
  </si>
  <si>
    <t>19999128074</t>
  </si>
  <si>
    <t>marina@portobrasilceramica.com.br</t>
  </si>
  <si>
    <t>Guarani AFV;80%;Fabio Indica</t>
  </si>
  <si>
    <t>30/01/2025</t>
  </si>
  <si>
    <t>09/12/2024 00:00</t>
  </si>
  <si>
    <t>80</t>
  </si>
  <si>
    <t xml:space="preserve">gb importadora - clou </t>
  </si>
  <si>
    <t xml:space="preserve">GB Importadora - Clou </t>
  </si>
  <si>
    <t>e s maia distribuidora ltda</t>
  </si>
  <si>
    <t>Helder</t>
  </si>
  <si>
    <t>(11) 3098-7840</t>
  </si>
  <si>
    <t>helder@ssdistribuidora.com.br</t>
  </si>
  <si>
    <t>03/12/2024</t>
  </si>
  <si>
    <t>10/12/2024</t>
  </si>
  <si>
    <t>11/12/2024</t>
  </si>
  <si>
    <t>culturama (ad. link cielo, imp. xml)</t>
  </si>
  <si>
    <t xml:space="preserve">Culturama </t>
  </si>
  <si>
    <t>54996596274</t>
  </si>
  <si>
    <t>vinicius.mathyas@culturama.com.br</t>
  </si>
  <si>
    <t>CAXIAS DO SUL</t>
  </si>
  <si>
    <t>RS</t>
  </si>
  <si>
    <t>rigomal</t>
  </si>
  <si>
    <t>Rigomal</t>
  </si>
  <si>
    <t>16997486376</t>
  </si>
  <si>
    <t>junior@rigomel.com.br</t>
  </si>
  <si>
    <t xml:space="preserve">junior informou que vai seguir com Mercus ! indicaçãom do seu atual ERP Triplus </t>
  </si>
  <si>
    <t>16/12/2024</t>
  </si>
  <si>
    <t>viva vidros</t>
  </si>
  <si>
    <t>Viva Vidros</t>
  </si>
  <si>
    <t>11988839646</t>
  </si>
  <si>
    <t>comercial@vivavidros.com.br</t>
  </si>
  <si>
    <t xml:space="preserve">cliente com situação de pendencias financeiras </t>
  </si>
  <si>
    <t>20/01/2025</t>
  </si>
  <si>
    <t>star distribuidora (afv)</t>
  </si>
  <si>
    <t xml:space="preserve">Star Distribuidora </t>
  </si>
  <si>
    <t>17997793113</t>
  </si>
  <si>
    <t>comercial@distribuidorastar.com.br</t>
  </si>
  <si>
    <t xml:space="preserve">estamos fechando solução completa </t>
  </si>
  <si>
    <t>17/12/2024</t>
  </si>
  <si>
    <t xml:space="preserve">dcl editora </t>
  </si>
  <si>
    <t xml:space="preserve">DCL Editora </t>
  </si>
  <si>
    <t>11991297401</t>
  </si>
  <si>
    <t>administrativo@editoradcl.com.br</t>
  </si>
  <si>
    <t xml:space="preserve">cliente não deu sequencia em nossa negociação </t>
  </si>
  <si>
    <t>star distribuidora (erp)</t>
  </si>
  <si>
    <t xml:space="preserve">Everson </t>
  </si>
  <si>
    <t>20/12/2024</t>
  </si>
  <si>
    <t>19/12/2024</t>
  </si>
  <si>
    <t>09/01/2025</t>
  </si>
  <si>
    <t>preciza import (cloud)</t>
  </si>
  <si>
    <t xml:space="preserve">Tony </t>
  </si>
  <si>
    <t>0</t>
  </si>
  <si>
    <t>29/01/2025</t>
  </si>
  <si>
    <t>star distribuidora (cloud)</t>
  </si>
  <si>
    <t>Everson</t>
  </si>
  <si>
    <t>Me chamou no whatsapp, possível indicação.</t>
  </si>
  <si>
    <t xml:space="preserve">luz e real aluminios - grupo laminor </t>
  </si>
  <si>
    <t>Jefeerson</t>
  </si>
  <si>
    <t>(83) 3441-1738 / (83) 9882-5004</t>
  </si>
  <si>
    <t>CATOLE DO ROCHA</t>
  </si>
  <si>
    <t>PB</t>
  </si>
  <si>
    <t>Feiras</t>
  </si>
  <si>
    <t>GELADO;Abup2025Fevereiro</t>
  </si>
  <si>
    <t>07/01/2025 00:00</t>
  </si>
  <si>
    <t xml:space="preserve">Indústria de alumínio atualmente utiliza um ERP local, junto com o EPR do mesmo fornecedor. Porém a principal dificuldade esta no processo produtivo, que ainda não foi implantado. Por este motivo a empresa necessita de um módulo de PCP (Planejamento e controle da produção) e o AFV atual não atende as necessidades comerciais.
MBA Alumínios
Com mais de 38 anos de atuação no setor de alumínios, a MBA Alumínios é uma fábrica consolidada que abrange toda a cadeia produtiva de panelas de alumínio, desde a compra de sucata, produção de discos, estamparia, pintura, montagem, até embalagem e armazenamento.
A empresa adotará os seguintes produtos:
ERP + PCP: 10 usuários
Checkout (ERP): 4 usuários
AFV: 14 usuários
MDe
MDFe
Possui dois CNPJs enquadrados no Simples Nacional e está localizada na cidade de Itaúna - MG.
 </t>
  </si>
  <si>
    <t>MBA ALUMINIOS LTDA.</t>
  </si>
  <si>
    <t>mba aluminios</t>
  </si>
  <si>
    <t>Selmo Fernandes</t>
  </si>
  <si>
    <t>(37) 99856-9457</t>
  </si>
  <si>
    <t>selmofilho@mbaluminios.com.br</t>
  </si>
  <si>
    <t>ITAUNA</t>
  </si>
  <si>
    <t xml:space="preserve">Carlos informou que possui hoje 50 RCA, e utilizam o ERP Solides. </t>
  </si>
  <si>
    <t>ETRURIA INDUSTRIA DE FIBRAS E FIOS SINTETICOS LTDA</t>
  </si>
  <si>
    <t>afv - etruria</t>
  </si>
  <si>
    <t>ETRURIA</t>
  </si>
  <si>
    <t>1147188700</t>
  </si>
  <si>
    <t>etruria@etruria.com.br</t>
  </si>
  <si>
    <t>ETRURIA;Carlos</t>
  </si>
  <si>
    <t>Mairinque - SP</t>
  </si>
  <si>
    <t>Importado a partir de lista;SDRFernanda</t>
  </si>
  <si>
    <t xml:space="preserve">decidiu não mudar força de vendas nesse momento </t>
  </si>
  <si>
    <t>21/01/2025</t>
  </si>
  <si>
    <t>14/01/2025 15:00</t>
  </si>
  <si>
    <t>c.a teles armarinhos e papelaria ltda</t>
  </si>
  <si>
    <t xml:space="preserve">News aviamentos </t>
  </si>
  <si>
    <t>(11) 3229-6911</t>
  </si>
  <si>
    <t>caiotls@hotmail.com</t>
  </si>
  <si>
    <t>SAO PAULO</t>
  </si>
  <si>
    <t xml:space="preserve">achou investimento fora para o momento </t>
  </si>
  <si>
    <t>10/01/2025</t>
  </si>
  <si>
    <t>global mix atacadista ltda</t>
  </si>
  <si>
    <t>GLOBAL MIX ATACADISTA LTDA.</t>
  </si>
  <si>
    <t>Juan Charles Brandão Bastos</t>
  </si>
  <si>
    <t>(32) 98458-5164</t>
  </si>
  <si>
    <t>afonso@assecon.net.br</t>
  </si>
  <si>
    <t>Matriz</t>
  </si>
  <si>
    <t xml:space="preserve"> R DOM LUIZ ORIONE 577</t>
  </si>
  <si>
    <t>Juiz de Fora</t>
  </si>
  <si>
    <t>MG</t>
  </si>
  <si>
    <t>Solicita demo;Pausado;GELADO</t>
  </si>
  <si>
    <t>10/01/2025 16:00</t>
  </si>
  <si>
    <t>fuxing cloud</t>
  </si>
  <si>
    <t>Bruce</t>
  </si>
  <si>
    <t>21995977179</t>
  </si>
  <si>
    <t>null</t>
  </si>
  <si>
    <t>Rayssa, está tratando no funil de pós-venda</t>
  </si>
  <si>
    <t>10/01/2025 00:00</t>
  </si>
  <si>
    <t>eco foods</t>
  </si>
  <si>
    <t>Thiago</t>
  </si>
  <si>
    <t>(11) 98534-8231</t>
  </si>
  <si>
    <t>thiago.ramos@sltexpress.com.br</t>
  </si>
  <si>
    <t>Contato;QUENTE</t>
  </si>
  <si>
    <t>Sem interesse / Não quis conversar</t>
  </si>
  <si>
    <t>15/01/2025 17:00</t>
  </si>
  <si>
    <t>22/01/2025 15:00</t>
  </si>
  <si>
    <t>VERSIVA COMERCIAL VERSIVA DISTRIBUIDORA</t>
  </si>
  <si>
    <t>versiva comercial versiva distribuidora</t>
  </si>
  <si>
    <t>Gilberto</t>
  </si>
  <si>
    <t>11984587496</t>
  </si>
  <si>
    <t>gilberto.brito@quantiva.com.br</t>
  </si>
  <si>
    <t>Gilberto;null</t>
  </si>
  <si>
    <t>SDRFernanda;TAG1SEM</t>
  </si>
  <si>
    <t xml:space="preserve">cliente não tem tempo para apresentação </t>
  </si>
  <si>
    <t>16/01/2025 11:00</t>
  </si>
  <si>
    <t>21/01/2025 09:00</t>
  </si>
  <si>
    <t>jmd import</t>
  </si>
  <si>
    <t>Felipe</t>
  </si>
  <si>
    <t>11975126999</t>
  </si>
  <si>
    <t>GELADO</t>
  </si>
  <si>
    <t>20/01/2025 00:00</t>
  </si>
  <si>
    <t>ECOLIMP DISTRIBUIDORA ATACADISTA DE PRODUTOS DE HIGIENE - EIRELI</t>
  </si>
  <si>
    <t>ecolimp distribuidora atacadista de produtos de higiene - eireli</t>
  </si>
  <si>
    <t>Ecolimp Distribuidora</t>
  </si>
  <si>
    <t>11956368569</t>
  </si>
  <si>
    <t>adrianarosa@ecolimpatacadista.com.br</t>
  </si>
  <si>
    <t>Ecolimp Distribuidora;null, Adriana</t>
  </si>
  <si>
    <t xml:space="preserve">pediu para retornar no futuro </t>
  </si>
  <si>
    <t>16/01/2025 17:00</t>
  </si>
  <si>
    <t>22/01/2025</t>
  </si>
  <si>
    <t>22/01/2025 10:00</t>
  </si>
  <si>
    <t>DISTRIBUIDORA CHAMPION LIMITADA</t>
  </si>
  <si>
    <t>distribuidora champion limitada</t>
  </si>
  <si>
    <t>Distribuidora Champion</t>
  </si>
  <si>
    <t>1155237947</t>
  </si>
  <si>
    <t>andre@distribuidorachampion.com.br</t>
  </si>
  <si>
    <t>Distribuidora Champion;null</t>
  </si>
  <si>
    <t xml:space="preserve">sem resposta do cliente </t>
  </si>
  <si>
    <t>21/01/2025 10:37</t>
  </si>
  <si>
    <t>24/01/2025 15:00</t>
  </si>
  <si>
    <t xml:space="preserve">royal toys </t>
  </si>
  <si>
    <t xml:space="preserve">Royal Toys </t>
  </si>
  <si>
    <t>44999065000</t>
  </si>
  <si>
    <t>ney@royaltoys.com.br</t>
  </si>
  <si>
    <t xml:space="preserve">fechou com Mercus </t>
  </si>
  <si>
    <t>17/01/2025</t>
  </si>
  <si>
    <t xml:space="preserve">atacado junior </t>
  </si>
  <si>
    <t xml:space="preserve">Atacado Junior </t>
  </si>
  <si>
    <t>65984636358</t>
  </si>
  <si>
    <t>atacadojunior@uol.com.br</t>
  </si>
  <si>
    <t xml:space="preserve">valor alto para investimento </t>
  </si>
  <si>
    <t>27/01/2025</t>
  </si>
  <si>
    <t>23/01/2025</t>
  </si>
  <si>
    <t xml:space="preserve">multiflon </t>
  </si>
  <si>
    <t xml:space="preserve">Multiflon </t>
  </si>
  <si>
    <t>54981117994</t>
  </si>
  <si>
    <t>cesar@multiflon.com.br</t>
  </si>
  <si>
    <t>metalmix tanque</t>
  </si>
  <si>
    <t>Metalmix tanque</t>
  </si>
  <si>
    <t>16997631389</t>
  </si>
  <si>
    <t>metalmix.ibate@hotmail.com</t>
  </si>
  <si>
    <t xml:space="preserve">Cliente fora do segmento </t>
  </si>
  <si>
    <t>c.a teles arma. (cloud)</t>
  </si>
  <si>
    <t>C.a Teles Armarinhos E Papelaria Ltda</t>
  </si>
  <si>
    <t>11999279928</t>
  </si>
  <si>
    <t>atacado junior - cloud</t>
  </si>
  <si>
    <t>bolplast</t>
  </si>
  <si>
    <t>giovanna sesso</t>
  </si>
  <si>
    <t>(11) 3777-2416</t>
  </si>
  <si>
    <t>giovanna@bolplast.com.br</t>
  </si>
  <si>
    <t>Solicita demo</t>
  </si>
  <si>
    <t>28/01/2025 00:00</t>
  </si>
  <si>
    <t>tramadaré distribuidora</t>
  </si>
  <si>
    <t>Stanley Neves</t>
  </si>
  <si>
    <t>(16) 99788-8387</t>
  </si>
  <si>
    <t>Inbound</t>
  </si>
  <si>
    <t>Vigi Ltda</t>
  </si>
  <si>
    <t>livelli</t>
  </si>
  <si>
    <t>Vinicius Oliveira</t>
  </si>
  <si>
    <t>(19) 98275-0709</t>
  </si>
  <si>
    <t>societario@gmcontabil.com.br</t>
  </si>
  <si>
    <t>CAMPINAS</t>
  </si>
  <si>
    <t>Contato</t>
  </si>
  <si>
    <t>malvi distribuidora</t>
  </si>
  <si>
    <t xml:space="preserve">Isaias </t>
  </si>
  <si>
    <t>(15) 99747-1187</t>
  </si>
  <si>
    <t>pz presentes loja</t>
  </si>
  <si>
    <t>pz presentes</t>
  </si>
  <si>
    <t>(31) 99735-8058</t>
  </si>
  <si>
    <t>administrativo@tempori.com.br</t>
  </si>
  <si>
    <t>Belo Horizonte</t>
  </si>
  <si>
    <t xml:space="preserve">Todos os dados preenchidos:
name: Eliedson Alves 
phone: 81988636626 
email: eliedsonrepresentante@gmail.com 
referrer: https://www.guaranisistemas.com.br/ </t>
  </si>
  <si>
    <t>edinelson revenda</t>
  </si>
  <si>
    <t>Eliedson Alves</t>
  </si>
  <si>
    <t>81988636626</t>
  </si>
  <si>
    <t>eliedsonrepresentante@gmail.com</t>
  </si>
  <si>
    <t>Recife</t>
  </si>
  <si>
    <t>alumínio higsberg</t>
  </si>
  <si>
    <t>Alumínio Higsberg</t>
  </si>
  <si>
    <t>1935513873</t>
  </si>
  <si>
    <t>adm@aluminiohigsberg.com.br</t>
  </si>
  <si>
    <t xml:space="preserve">cliente não respondeu mais aos contatos </t>
  </si>
  <si>
    <t>REGIS PECLAT BASTOS</t>
  </si>
  <si>
    <t>vr_distribuidora - regis</t>
  </si>
  <si>
    <t>REGIS</t>
  </si>
  <si>
    <t>13997252966</t>
  </si>
  <si>
    <t>VR_DISTRIBUIDORA@YAHOO.COM.BR</t>
  </si>
  <si>
    <t>REGIS;REGIS, Roni</t>
  </si>
  <si>
    <t>JACUPIRANGA</t>
  </si>
  <si>
    <t>Importado a partir de lista;TAG1SEM</t>
  </si>
  <si>
    <t>Sem perfil (redflag)</t>
  </si>
  <si>
    <t>29/01/2025 11:58</t>
  </si>
  <si>
    <t>30/01/2025 15:30</t>
  </si>
  <si>
    <t xml:space="preserve">viva vidros - cloud </t>
  </si>
  <si>
    <t xml:space="preserve">Viva Vidros </t>
  </si>
  <si>
    <t xml:space="preserve">Cliente com situação de pendencias financeiras </t>
  </si>
  <si>
    <t>stamaco</t>
  </si>
  <si>
    <t>Stamaco</t>
  </si>
  <si>
    <t>11967327458</t>
  </si>
  <si>
    <t>felipe@stamaco.com.br</t>
  </si>
  <si>
    <t xml:space="preserve">Aguardará Retaguarda Web </t>
  </si>
  <si>
    <t>31/01/2025</t>
  </si>
  <si>
    <t>elmo atacado</t>
  </si>
  <si>
    <t>Fabio</t>
  </si>
  <si>
    <t>47988469270</t>
  </si>
  <si>
    <t>Fabio@atacadoelmo.com.br</t>
  </si>
  <si>
    <t>terra boa</t>
  </si>
  <si>
    <t>Alexandre</t>
  </si>
  <si>
    <t>75999540838</t>
  </si>
  <si>
    <t>terraboaespeciarias@hotmail.com</t>
  </si>
  <si>
    <t>newell brands</t>
  </si>
  <si>
    <t>Helvecio</t>
  </si>
  <si>
    <t>55479993859</t>
  </si>
  <si>
    <t>Helvecio.Deitos@newellco.com</t>
  </si>
  <si>
    <t>16/01/2025</t>
  </si>
  <si>
    <t>paramount</t>
  </si>
  <si>
    <t>Marcelha</t>
  </si>
  <si>
    <t>marcelha@paramountplasticos.com.br</t>
  </si>
  <si>
    <t>07/01/2025</t>
  </si>
  <si>
    <t>giftutil</t>
  </si>
  <si>
    <t>eduardapaivapaula@hotmail.com</t>
  </si>
  <si>
    <t xml:space="preserve">maxximo utilidades </t>
  </si>
  <si>
    <t xml:space="preserve">Maxximo Utilidades </t>
  </si>
  <si>
    <t>11999804489</t>
  </si>
  <si>
    <t>flavio@maxximo.com.br</t>
  </si>
  <si>
    <t xml:space="preserve">cliente não responde as mensagens, continuarei a prospectar em paralelo </t>
  </si>
  <si>
    <t>05/02/2025</t>
  </si>
  <si>
    <t>plastutti - erp</t>
  </si>
  <si>
    <t>11983334304</t>
  </si>
  <si>
    <t>Thiago@plastutti.com.br</t>
  </si>
  <si>
    <t>Abup2025Fevereiro</t>
  </si>
  <si>
    <t>18/02/2025</t>
  </si>
  <si>
    <t>plastutti - cloud</t>
  </si>
  <si>
    <t xml:space="preserve">Plastutti - Clou </t>
  </si>
  <si>
    <t xml:space="preserve">atualmente tem servidor local </t>
  </si>
  <si>
    <t xml:space="preserve">cozzillar - afv </t>
  </si>
  <si>
    <t>Cozzillar</t>
  </si>
  <si>
    <t>1935479372</t>
  </si>
  <si>
    <t>gilberto@cozzillar.com.br</t>
  </si>
  <si>
    <t>10:07, 02/04/2025 Junior Lopes: Olá Gilberto, Junior da Guarani sistemas por aqui 
Espero que esteja bem 
Ficamos de organizar uma visita com vocês para apresentação da solução Guarani sistemas
10:07, 02/04/2025 Junior Lopes: Vamos avançar?
09:21, 07/04/2025 Junior Lopes: Olá Gilberto! Infelizmente não consigo seu retorno 
Entendo que deve estar bem corrido para você 
De qualquer forma fico a disposição no momento que vc puder 
Forte abraço e ótimos negócios 
Jr Guarani sistemas</t>
  </si>
  <si>
    <t xml:space="preserve">marca textil </t>
  </si>
  <si>
    <t xml:space="preserve">Marca Textil </t>
  </si>
  <si>
    <t>1168296999</t>
  </si>
  <si>
    <t>atendimento@markatextil.com.br</t>
  </si>
  <si>
    <t xml:space="preserve">não seguirá no momento </t>
  </si>
  <si>
    <t>07/02/2025</t>
  </si>
  <si>
    <t>eskinão e opa atacado</t>
  </si>
  <si>
    <t>(13) 99770-3018</t>
  </si>
  <si>
    <t>opa.eskinao.compras@gmail.com</t>
  </si>
  <si>
    <t>São Vicente</t>
  </si>
  <si>
    <t>03/02/2025 00:00</t>
  </si>
  <si>
    <t>p&amp;s distribuidora ud</t>
  </si>
  <si>
    <t>João</t>
  </si>
  <si>
    <t>(11) 94793-3497</t>
  </si>
  <si>
    <t>jvprocacino@gmail.com</t>
  </si>
  <si>
    <t>Solicita demo;Abcasa2025fevereiro</t>
  </si>
  <si>
    <t>07/02/2025 00:00</t>
  </si>
  <si>
    <t>06/02/2025 00:00</t>
  </si>
  <si>
    <t>nixhouse afv</t>
  </si>
  <si>
    <t>Nassib Saleh</t>
  </si>
  <si>
    <t>11951945790</t>
  </si>
  <si>
    <t>nassib.saleh58@gmail.com</t>
  </si>
  <si>
    <t xml:space="preserve">oikos </t>
  </si>
  <si>
    <t xml:space="preserve">Oikos </t>
  </si>
  <si>
    <t>21968201725</t>
  </si>
  <si>
    <t>michele.pepalia@grupoecoa.com.br</t>
  </si>
  <si>
    <t>Abcasa2025fevereiro;90%</t>
  </si>
  <si>
    <t xml:space="preserve">cliente não responde sobre a continuidade </t>
  </si>
  <si>
    <t>24/02/2025</t>
  </si>
  <si>
    <t>12/02/2025</t>
  </si>
  <si>
    <t xml:space="preserve">Todos os dados preenchidos:
name: Ana Beatriz Costa dos Santos  
phone: 12997420947 
email: administrativo@camposdiaromas.com </t>
  </si>
  <si>
    <t>Stefanie Forsterling</t>
  </si>
  <si>
    <t>campos di aromas</t>
  </si>
  <si>
    <t xml:space="preserve">Ana Beatriz Costa dos Santos </t>
  </si>
  <si>
    <t>(12) 3662-5043</t>
  </si>
  <si>
    <t>administrativo@camposdiaromas.com</t>
  </si>
  <si>
    <t>CAMPOS DO JORDAO</t>
  </si>
  <si>
    <t>Lojas muitos pequenas</t>
  </si>
  <si>
    <t>11/02/2025 15:30</t>
  </si>
  <si>
    <t>13/02/2025 11:00</t>
  </si>
  <si>
    <t>adriana</t>
  </si>
  <si>
    <t>Adriana</t>
  </si>
  <si>
    <t>(41) 99861-1071</t>
  </si>
  <si>
    <t>contato@euromats.com.br</t>
  </si>
  <si>
    <t>msgabupfevereiro2025;REP+</t>
  </si>
  <si>
    <t>12/02/2025 08:00</t>
  </si>
  <si>
    <t>13/02/2025 15:00</t>
  </si>
  <si>
    <t xml:space="preserve"> ad &amp; ad comercio de importacao </t>
  </si>
  <si>
    <t xml:space="preserve"> Ad &amp; Ad Comercio de Importacao </t>
  </si>
  <si>
    <t>14996930353</t>
  </si>
  <si>
    <t>daniel@adimportacao.com.br</t>
  </si>
  <si>
    <t>Abcasa2025fevereiro</t>
  </si>
  <si>
    <t>14/02/2025</t>
  </si>
  <si>
    <t>chamma festas</t>
  </si>
  <si>
    <t>Chamma Festas (PDV)</t>
  </si>
  <si>
    <t>(61) 9145-0480</t>
  </si>
  <si>
    <t>chammasuprimentos@hotmail.com</t>
  </si>
  <si>
    <t>BRASILIA</t>
  </si>
  <si>
    <t>DF</t>
  </si>
  <si>
    <t>14:59, 14/02/2025 Robson Chamma Festa: Obrigado júnior
14:59, 17/02/2025 Robson Chamma Festa: Oi Junior, ficou bem fora do nosso orçamento. No momento não vamos levar adiante. Fico grato pela sua atenção.</t>
  </si>
  <si>
    <t>11/02/2025</t>
  </si>
  <si>
    <t xml:space="preserve"> p10 importadora -erp</t>
  </si>
  <si>
    <t xml:space="preserve"> P10 Importadora </t>
  </si>
  <si>
    <t>(49) 8817-6299</t>
  </si>
  <si>
    <t>prioridade10e20financeiro@hotmail.com</t>
  </si>
  <si>
    <t>CUNHA PORA</t>
  </si>
  <si>
    <t>Bom dia
Junior, achei o sistema completo, não foge do que outras empresas proporcionam no mercado… no entanto, achei o valor de implantação muito elevado, da próximo de 80 mil reais pra fazer a implantação de um sistema</t>
  </si>
  <si>
    <t>17/02/2025</t>
  </si>
  <si>
    <t>p10 importadora - b2b</t>
  </si>
  <si>
    <t>P10 IMPORTADORA</t>
  </si>
  <si>
    <t>plasberg</t>
  </si>
  <si>
    <t>PLASBERG INDUSTRIA E COMERCIO</t>
  </si>
  <si>
    <t>(75) 2102-2102 / (75) 2101-2101</t>
  </si>
  <si>
    <t>cadastro@asseplan.cnt.br</t>
  </si>
  <si>
    <t>FEIRA DE SANTANA</t>
  </si>
  <si>
    <t xml:space="preserve">Breno não responde as mensagens ! estou fechando oportunidade mas continuo em busca da oportunidade </t>
  </si>
  <si>
    <t>13/02/2025</t>
  </si>
  <si>
    <t>adere</t>
  </si>
  <si>
    <t>Renor Preto</t>
  </si>
  <si>
    <t>(19) 99188-1436</t>
  </si>
  <si>
    <t>renor.preto@adere.com</t>
  </si>
  <si>
    <t>Solicita demo;MORNO</t>
  </si>
  <si>
    <t>Nossa solução não atende</t>
  </si>
  <si>
    <t>14/02/2025 00:00</t>
  </si>
  <si>
    <t>jlk plasticos</t>
  </si>
  <si>
    <t>FERNANDA ALVES</t>
  </si>
  <si>
    <t>(11) 99763-3759</t>
  </si>
  <si>
    <t>fernanda@jlkplasticos.com.br</t>
  </si>
  <si>
    <t>14/03/2025</t>
  </si>
  <si>
    <t>envio de boleto e ts licença</t>
  </si>
  <si>
    <t>Nacib</t>
  </si>
  <si>
    <t>casa da fé</t>
  </si>
  <si>
    <t xml:space="preserve">Caetano </t>
  </si>
  <si>
    <t>11941743784</t>
  </si>
  <si>
    <t>aflordk@gmail.com</t>
  </si>
  <si>
    <t>solrac</t>
  </si>
  <si>
    <t>Keila</t>
  </si>
  <si>
    <t>11996600206</t>
  </si>
  <si>
    <t>02/05/2025</t>
  </si>
  <si>
    <t>day home - afv</t>
  </si>
  <si>
    <t>11981721166</t>
  </si>
  <si>
    <t>Pausado;Abcasa2025fevereiro;30%</t>
  </si>
  <si>
    <t>17/02/2025 00:00</t>
  </si>
  <si>
    <t>tuut</t>
  </si>
  <si>
    <t>Guga</t>
  </si>
  <si>
    <t>31984513164</t>
  </si>
  <si>
    <t>Pausado;Abcasa2025fevereiro</t>
  </si>
  <si>
    <t>25/02/2025</t>
  </si>
  <si>
    <t>lojas okey</t>
  </si>
  <si>
    <t>Emilio</t>
  </si>
  <si>
    <t>11947392525</t>
  </si>
  <si>
    <t>taumer</t>
  </si>
  <si>
    <t>Tiago - Diretor da Empresa</t>
  </si>
  <si>
    <t>54981340574</t>
  </si>
  <si>
    <t>jl distribuidora</t>
  </si>
  <si>
    <t xml:space="preserve">Wanessa </t>
  </si>
  <si>
    <t>38998346343</t>
  </si>
  <si>
    <t>rh@xododeminasmoc.com.br</t>
  </si>
  <si>
    <t>geloni sorvetes</t>
  </si>
  <si>
    <t>Waldemar</t>
  </si>
  <si>
    <t>(43) 99141-6611</t>
  </si>
  <si>
    <t>ti@gelonisorvetes.com.br</t>
  </si>
  <si>
    <t>Flórida</t>
  </si>
  <si>
    <t>Contato;GELADO;Abcasa2025fevereiro</t>
  </si>
  <si>
    <t>frutyba</t>
  </si>
  <si>
    <t>Elton</t>
  </si>
  <si>
    <t>73999081706</t>
  </si>
  <si>
    <t>frutyba.rh@hotmail.com</t>
  </si>
  <si>
    <t>cabo fix</t>
  </si>
  <si>
    <t xml:space="preserve">Jose e Felipe </t>
  </si>
  <si>
    <t>11997681796</t>
  </si>
  <si>
    <t>Pausado;Abup2025Fevereiro</t>
  </si>
  <si>
    <t>04/02/2025 00:00</t>
  </si>
  <si>
    <t>fizz acessórios</t>
  </si>
  <si>
    <t xml:space="preserve">Luis Felips </t>
  </si>
  <si>
    <t>11964237222</t>
  </si>
  <si>
    <t>prioridade 10 - (cloud)</t>
  </si>
  <si>
    <t>Prioridade 10</t>
  </si>
  <si>
    <t>49991999161</t>
  </si>
  <si>
    <t>Falei com a Suzana sobre a sequencia do projeto. Ela esta de férias e retorna na semana do dia 12/01e vamos retomar. 
Ligar para Susana no dia 14/01.
23/01 Fiz FUP com a Susana que estava de férias e retornou hoje. Combinamos de eu Enviar para ela o form para ela preencher e após fazer a proposta .
17/02 Por falta de interação e interesse, estou declinando o lead.</t>
  </si>
  <si>
    <t>sunguider importador/distribuidor</t>
  </si>
  <si>
    <t>Suzana</t>
  </si>
  <si>
    <t>11914779683</t>
  </si>
  <si>
    <t>50%</t>
  </si>
  <si>
    <t>17/02 Por falta de interação e interesse, estou declinando o lead.</t>
  </si>
  <si>
    <t>25/11/2025</t>
  </si>
  <si>
    <t>21/11/2025</t>
  </si>
  <si>
    <t>50</t>
  </si>
  <si>
    <t>comercio de produtos veterinarios bernardi &amp; bernardi ltda</t>
  </si>
  <si>
    <t xml:space="preserve">Berenardi &amp; Bernardi </t>
  </si>
  <si>
    <t>(55) 3744-6412 / (55) 3744-3600</t>
  </si>
  <si>
    <t>pedidos@suifarma.com.br</t>
  </si>
  <si>
    <t>FREDERICO WESTPHALEN</t>
  </si>
  <si>
    <t xml:space="preserve">cliente esfriou após envio da proposta </t>
  </si>
  <si>
    <t>21/02/2025</t>
  </si>
  <si>
    <t xml:space="preserve">acomix soluções para o lar </t>
  </si>
  <si>
    <t xml:space="preserve">Açomix </t>
  </si>
  <si>
    <t>(18) 3638-8000</t>
  </si>
  <si>
    <t>paulo@acomix.net</t>
  </si>
  <si>
    <t>COROADOS</t>
  </si>
  <si>
    <t>20/02/2025</t>
  </si>
  <si>
    <t>elgin sa</t>
  </si>
  <si>
    <t>Elgin S/A</t>
  </si>
  <si>
    <t>(11) 3411-2010</t>
  </si>
  <si>
    <t>rogerio.machado@elgin.com.br</t>
  </si>
  <si>
    <t>MOGI DAS CRUZES</t>
  </si>
  <si>
    <t xml:space="preserve">cliente não responde as mensagens continuarei a prospectar em paralelo </t>
  </si>
  <si>
    <t>elmo atacado (mde + mdfe)</t>
  </si>
  <si>
    <t xml:space="preserve">Fabio </t>
  </si>
  <si>
    <t xml:space="preserve">123 util </t>
  </si>
  <si>
    <t>31987570994</t>
  </si>
  <si>
    <t>123util@maxximusimportadora.com.br</t>
  </si>
  <si>
    <t xml:space="preserve">cliente não responde as mensagens , continuarei a prospectar em paralelo </t>
  </si>
  <si>
    <t>couselo - erp - afv</t>
  </si>
  <si>
    <t>Ilan Couselo</t>
  </si>
  <si>
    <t>11991554630</t>
  </si>
  <si>
    <t>ilan@couselo.com.br</t>
  </si>
  <si>
    <t>20/02/2025 00:00</t>
  </si>
  <si>
    <t>21/02/2025 00:00</t>
  </si>
  <si>
    <t>24/02/2025 00:00</t>
  </si>
  <si>
    <t>erca aluminio - mdfe</t>
  </si>
  <si>
    <t xml:space="preserve">Erca Aluminio </t>
  </si>
  <si>
    <t>19997023116</t>
  </si>
  <si>
    <t>rafael@ercaaluminio.com.br</t>
  </si>
  <si>
    <t>26/02/2025</t>
  </si>
  <si>
    <t>claudi b2b</t>
  </si>
  <si>
    <t>Claudio</t>
  </si>
  <si>
    <t>14997530243</t>
  </si>
  <si>
    <t xml:space="preserve">Representante </t>
  </si>
  <si>
    <t>açomix soluções - cloud)</t>
  </si>
  <si>
    <t xml:space="preserve">açomix soluções para o lar </t>
  </si>
  <si>
    <t>17996266839</t>
  </si>
  <si>
    <t>fernando@acomix.net</t>
  </si>
  <si>
    <t>plasberg - cloud</t>
  </si>
  <si>
    <t xml:space="preserve">Plasberg </t>
  </si>
  <si>
    <t>75981412000</t>
  </si>
  <si>
    <t>breno@plasberg.com.br</t>
  </si>
  <si>
    <t>pupi import - erp - afv - wms</t>
  </si>
  <si>
    <t>Rafael</t>
  </si>
  <si>
    <t>(48) 3380-3374</t>
  </si>
  <si>
    <t>pupiimports@gmail.com</t>
  </si>
  <si>
    <t>TIJUCAS</t>
  </si>
  <si>
    <t>04/03/2025 00:00</t>
  </si>
  <si>
    <t>pupi imports - cloud</t>
  </si>
  <si>
    <t>pupi imports - b2b</t>
  </si>
  <si>
    <t xml:space="preserve">Rafael </t>
  </si>
  <si>
    <t>5196199231</t>
  </si>
  <si>
    <t>10/03/2025 00:00</t>
  </si>
  <si>
    <t>xeryus afv</t>
  </si>
  <si>
    <t>Xeryus</t>
  </si>
  <si>
    <t>11997802621</t>
  </si>
  <si>
    <t>jesica@xeryus.com.br</t>
  </si>
  <si>
    <t>MORNO</t>
  </si>
  <si>
    <t>10/03/2025 15:00</t>
  </si>
  <si>
    <t>07/03/2025 00:00</t>
  </si>
  <si>
    <t>11/03/2025 00:00</t>
  </si>
  <si>
    <t>ponto 10</t>
  </si>
  <si>
    <t>Ponto 10</t>
  </si>
  <si>
    <t>7199841895</t>
  </si>
  <si>
    <t>gabriel@grupoponto10.com.br</t>
  </si>
  <si>
    <t>Parceiros</t>
  </si>
  <si>
    <t>13/03/2025</t>
  </si>
  <si>
    <t>atacado irmão vaquero</t>
  </si>
  <si>
    <t>Rodrigo</t>
  </si>
  <si>
    <t>(17) 99734-7687</t>
  </si>
  <si>
    <t>rodrigovaquerosilva@gmail.com</t>
  </si>
  <si>
    <t>Jales</t>
  </si>
  <si>
    <t>17/03/2025 00:00</t>
  </si>
  <si>
    <t>araujo vertice</t>
  </si>
  <si>
    <t>Anne</t>
  </si>
  <si>
    <t>31995069963</t>
  </si>
  <si>
    <t>gbl import - erp</t>
  </si>
  <si>
    <t>GBL Import</t>
  </si>
  <si>
    <t>21996127685</t>
  </si>
  <si>
    <t>gilberto@gblimport.com.br</t>
  </si>
  <si>
    <t>19/03/2025</t>
  </si>
  <si>
    <t>18/03/2025</t>
  </si>
  <si>
    <t>gbl import - cloud</t>
  </si>
  <si>
    <t>GBL Import - Cloud</t>
  </si>
  <si>
    <t>geraldolima@gblimport.com.br</t>
  </si>
  <si>
    <t>erca alumínio (horas)</t>
  </si>
  <si>
    <t xml:space="preserve">Erca alumínio </t>
  </si>
  <si>
    <t>20/03/2025</t>
  </si>
  <si>
    <t>tecelagem castilho - erp + afv</t>
  </si>
  <si>
    <t>Dayane</t>
  </si>
  <si>
    <t>(62) 99360-9476</t>
  </si>
  <si>
    <t>dayane.tecelagemcastilho@gmail.com</t>
  </si>
  <si>
    <t>Goiânia</t>
  </si>
  <si>
    <t>28/03/2025</t>
  </si>
  <si>
    <t>27/03/2025</t>
  </si>
  <si>
    <t>erca alumínio - wms</t>
  </si>
  <si>
    <t xml:space="preserve">Erca Alumínio </t>
  </si>
  <si>
    <t>26/03/2025</t>
  </si>
  <si>
    <t xml:space="preserve">sk importacao - erp </t>
  </si>
  <si>
    <t>Sk Importacao e Exportacao</t>
  </si>
  <si>
    <t>(11) 2171-0800</t>
  </si>
  <si>
    <t>legal@vrscontabil.com.br</t>
  </si>
  <si>
    <t>14:31, 06/05/2025 Jamal: Tudo bem
14:34, 06/05/2025 Junior Lopes: por aqui td bem Jamal
14:35, 06/05/2025 Junior Lopes: sobre o Software Guarani, vamos dar sequencia ?
15:02, 06/05/2025 Jamal: Meu amigo pra ser sincero estou em mudanças e esta muita correria por aqui
15:02, 06/05/2025 Jamal: Mas depois vou estudar melhor sobre</t>
  </si>
  <si>
    <t>tritec</t>
  </si>
  <si>
    <t>47991900625</t>
  </si>
  <si>
    <t>gisele.ehlert@tritec.ind.com</t>
  </si>
  <si>
    <t>4x sem juros (0/30/60/90)</t>
  </si>
  <si>
    <t>24/04/2025</t>
  </si>
  <si>
    <t>styroform isopor</t>
  </si>
  <si>
    <t>Marcos</t>
  </si>
  <si>
    <t>(11) 99755-7094</t>
  </si>
  <si>
    <t>contato@styroform.com.br</t>
  </si>
  <si>
    <t>02/04/2025 00:00</t>
  </si>
  <si>
    <t>giro center</t>
  </si>
  <si>
    <t>12991051939</t>
  </si>
  <si>
    <t>28/03/2025 00:00</t>
  </si>
  <si>
    <t>tecelagem castitho - cloud</t>
  </si>
  <si>
    <t>Tecelagem Castitho - Cloud</t>
  </si>
  <si>
    <t>62993609476</t>
  </si>
  <si>
    <t>sk importacao - cloud</t>
  </si>
  <si>
    <t>SK Importação - Cloud</t>
  </si>
  <si>
    <t xml:space="preserve">comércio  bernardi e bernardi - erp </t>
  </si>
  <si>
    <t>Comércio de prod. vet. bernardi e bernardi</t>
  </si>
  <si>
    <t>(55) 3744-6412</t>
  </si>
  <si>
    <t xml:space="preserve">cliente ainda não definiu 
estou baixando oportunidade mas manterei contato via WhatsApp </t>
  </si>
  <si>
    <t>21/03/2025</t>
  </si>
  <si>
    <t>comércio bernardi e bernardi - cloud</t>
  </si>
  <si>
    <t>Comércio Bernardi e Bernardi - Cloud</t>
  </si>
  <si>
    <t>43991395000</t>
  </si>
  <si>
    <t xml:space="preserve">cadastro em duplicidade </t>
  </si>
  <si>
    <t xml:space="preserve">culturama - horas </t>
  </si>
  <si>
    <t xml:space="preserve">culturama - Horas </t>
  </si>
  <si>
    <t>5537446412</t>
  </si>
  <si>
    <t>gb . importadora - xml</t>
  </si>
  <si>
    <t>GB . Importadora - XML</t>
  </si>
  <si>
    <t xml:space="preserve">ark brasil </t>
  </si>
  <si>
    <t xml:space="preserve">ARK Brasil </t>
  </si>
  <si>
    <t>21964397621</t>
  </si>
  <si>
    <t>luana.dale@arkbrasil.com.br</t>
  </si>
  <si>
    <t xml:space="preserve">estou mantendo contato para força de vendas </t>
  </si>
  <si>
    <t xml:space="preserve">casa ambiente </t>
  </si>
  <si>
    <t xml:space="preserve">Casa Ambiente </t>
  </si>
  <si>
    <t>11983264135</t>
  </si>
  <si>
    <t>contato@casaambienteud.com.br</t>
  </si>
  <si>
    <t xml:space="preserve">sem resposta ao contato </t>
  </si>
  <si>
    <t>09/04/2025</t>
  </si>
  <si>
    <t xml:space="preserve">mdl import - erp </t>
  </si>
  <si>
    <t xml:space="preserve">MDL Import </t>
  </si>
  <si>
    <t>11910695515</t>
  </si>
  <si>
    <t>janaina@mdlimport.com.br</t>
  </si>
  <si>
    <t>80%</t>
  </si>
  <si>
    <t xml:space="preserve">integração com WMS inviabilizou o projeto </t>
  </si>
  <si>
    <t>04/04/2025</t>
  </si>
  <si>
    <t>15/04/2025</t>
  </si>
  <si>
    <t>pimpinella sorvetes - erp - afv - pcp - wms</t>
  </si>
  <si>
    <t>Herbert Felipe Monteiro</t>
  </si>
  <si>
    <t>16994380062</t>
  </si>
  <si>
    <t>felipe.monteiro@pimpinella.com.br</t>
  </si>
  <si>
    <t>30/04/2025</t>
  </si>
  <si>
    <t>02/06/2025</t>
  </si>
  <si>
    <t>16/04/2025</t>
  </si>
  <si>
    <t xml:space="preserve">xiexie com. de brinquedos - erp </t>
  </si>
  <si>
    <t>Mais Barato Brinquedos</t>
  </si>
  <si>
    <t>(11) 2492-2763</t>
  </si>
  <si>
    <t>fbastosauditores@terra.com.br</t>
  </si>
  <si>
    <t>GUARULHOS</t>
  </si>
  <si>
    <t xml:space="preserve">Após envio da proposta comercial, não obtive mais retorno do Kaique, estou declinando a oportunidade mas continuarei tentando contato </t>
  </si>
  <si>
    <t>10/04/2025</t>
  </si>
  <si>
    <t>bruver crc ltda</t>
  </si>
  <si>
    <t xml:space="preserve">Adavilson </t>
  </si>
  <si>
    <t>4834332503</t>
  </si>
  <si>
    <t>adavilson@bruver.com.br</t>
  </si>
  <si>
    <t>07/04/2025 00:00</t>
  </si>
  <si>
    <t>04/04/2025 00:00</t>
  </si>
  <si>
    <t xml:space="preserve">almapy - contábil </t>
  </si>
  <si>
    <t>ALMAPY</t>
  </si>
  <si>
    <t>11940062281</t>
  </si>
  <si>
    <t>projetos@almapy.com.br</t>
  </si>
  <si>
    <t xml:space="preserve">Não vai dar sequencia no momento </t>
  </si>
  <si>
    <t>11/04/2025</t>
  </si>
  <si>
    <t>renovação porcelanas</t>
  </si>
  <si>
    <t xml:space="preserve">Renovação Porcelanas </t>
  </si>
  <si>
    <t>11965745182</t>
  </si>
  <si>
    <t>camila@rnporcelanas.com.br</t>
  </si>
  <si>
    <t>90%;30%;Fabio Indica</t>
  </si>
  <si>
    <t xml:space="preserve">renovação porcelanas - afv </t>
  </si>
  <si>
    <t xml:space="preserve">Renovação Porcelanas - AFV </t>
  </si>
  <si>
    <t>Camila ! Sobre o projeto, acredita que vamos dar sequência?
,
Camila ? Boa tarde ! Espero que esteja bem .
Acredita que vamos seguir !
Oi boa tarde
Olá Camila ! Bom dia 
Sobre o software? Tem interesse em dar continuidade?
Oi Camila, acredito que não tenham interesse nesse momento e tudo bem ! fico a disposição caso queira voltar sobre o projeto em breve
Junior bom dia
estou te devendo um retorno
esse valor de investimento no momento não faz sentido pra nós
voces querem fazer uma contra proposta ? posso verificar com minha diretoria</t>
  </si>
  <si>
    <t>14/04/2025</t>
  </si>
  <si>
    <t xml:space="preserve">unik </t>
  </si>
  <si>
    <t xml:space="preserve">Unik </t>
  </si>
  <si>
    <t>11997371774</t>
  </si>
  <si>
    <t>leonardo@unik.com.br</t>
  </si>
  <si>
    <t>18/04/2025</t>
  </si>
  <si>
    <t>xiexie comercio de brinquedos - b2b</t>
  </si>
  <si>
    <t>XieXie Com. de brinquedos - B2B</t>
  </si>
  <si>
    <t>xiexie com. de brinquedos - bi</t>
  </si>
  <si>
    <t>XieXie Com. de brinquedos - BI</t>
  </si>
  <si>
    <t>11949590732</t>
  </si>
  <si>
    <t>y 888 importacao - erp</t>
  </si>
  <si>
    <t xml:space="preserve">Y-888 - ERP </t>
  </si>
  <si>
    <t>(21) 2784-2650</t>
  </si>
  <si>
    <t>DUQUE DE CAXIAS</t>
  </si>
  <si>
    <t xml:space="preserve">estou fechando oportunidade porem manterei contato com Victor </t>
  </si>
  <si>
    <t xml:space="preserve">y 888 importação - cloud </t>
  </si>
  <si>
    <t xml:space="preserve">Y 888 importação - AFV </t>
  </si>
  <si>
    <t xml:space="preserve">estou descartando oportunidade porem vou manter contato com Victor </t>
  </si>
  <si>
    <t>mdl import - cloud</t>
  </si>
  <si>
    <t>MDL Import - Cloud</t>
  </si>
  <si>
    <t>janaina@mdlimpoort.com.br</t>
  </si>
  <si>
    <t xml:space="preserve">integração com WMS inviabilizou projeto </t>
  </si>
  <si>
    <t>cassio importadora - erp</t>
  </si>
  <si>
    <t>Cassio</t>
  </si>
  <si>
    <t>(22) 99967-1888</t>
  </si>
  <si>
    <t>ngcassio@gmail.com</t>
  </si>
  <si>
    <t>Nova Friburgo</t>
  </si>
  <si>
    <t>empresa ainda esta no zero ! cliente mentaliza algo fora da realidade !</t>
  </si>
  <si>
    <t>flor de seda</t>
  </si>
  <si>
    <t>Vagner</t>
  </si>
  <si>
    <t>(16) 99126-8825</t>
  </si>
  <si>
    <t>flordesedaimportadora@outlook.com</t>
  </si>
  <si>
    <t>29/04/2025 00:00</t>
  </si>
  <si>
    <t>28/04/2025 00:00</t>
  </si>
  <si>
    <t>pop disc</t>
  </si>
  <si>
    <t>Gabrielle</t>
  </si>
  <si>
    <t>(11) 93449-7333</t>
  </si>
  <si>
    <t>gabi.bertoni@outlook.com</t>
  </si>
  <si>
    <t>cassio importadora - b2b</t>
  </si>
  <si>
    <t>Importadora Cassio - Cloud</t>
  </si>
  <si>
    <t>22999671888</t>
  </si>
  <si>
    <t xml:space="preserve">renovação porcelanas - cloud </t>
  </si>
  <si>
    <t xml:space="preserve">Renovação porcelanas - Cloud </t>
  </si>
  <si>
    <t>creative - erp</t>
  </si>
  <si>
    <t>Jose Roberto</t>
  </si>
  <si>
    <t>diretoria@grupobeline.com.br</t>
  </si>
  <si>
    <t>24/04/2025 00:00</t>
  </si>
  <si>
    <t>cassio importadora - cloud</t>
  </si>
  <si>
    <t>Cassio importadora - Cloud</t>
  </si>
  <si>
    <t>l&amp;t importadora</t>
  </si>
  <si>
    <t>1127696004</t>
  </si>
  <si>
    <t>financeiro@ltimportadora.com.br</t>
  </si>
  <si>
    <t>15/04/2025 00:00</t>
  </si>
  <si>
    <t>sakes</t>
  </si>
  <si>
    <t>1133133243</t>
  </si>
  <si>
    <t>MARCIA@SAKES.COM.BR</t>
  </si>
  <si>
    <t>sal trading</t>
  </si>
  <si>
    <t xml:space="preserve">Nathan </t>
  </si>
  <si>
    <t>15998182143</t>
  </si>
  <si>
    <t>02/05/2025 00:00</t>
  </si>
  <si>
    <t>mundial log - erp</t>
  </si>
  <si>
    <t>Mundial Log</t>
  </si>
  <si>
    <t>11947482090</t>
  </si>
  <si>
    <t>rafael@mundiallog.com.br</t>
  </si>
  <si>
    <t>08/05/2025</t>
  </si>
  <si>
    <t>mundial log - cloud</t>
  </si>
  <si>
    <t>Mundial Log - Cloud</t>
  </si>
  <si>
    <t>mmo &amp; mnipharma</t>
  </si>
  <si>
    <t>Anderson</t>
  </si>
  <si>
    <t>(16) 99707-0733</t>
  </si>
  <si>
    <t xml:space="preserve">amandfast (fest bubble) rms </t>
  </si>
  <si>
    <t>Fest Buuble</t>
  </si>
  <si>
    <t>(11) 9342-9915</t>
  </si>
  <si>
    <t>amandfast@gmail.com</t>
  </si>
  <si>
    <t xml:space="preserve">Aguardar Rep Mais </t>
  </si>
  <si>
    <t>15/05/2025</t>
  </si>
  <si>
    <t>arrtef brasil (prendebem)- rms</t>
  </si>
  <si>
    <t>Arrtef Brasil - RMS</t>
  </si>
  <si>
    <t>CURITIBA</t>
  </si>
  <si>
    <t>PR</t>
  </si>
  <si>
    <t>fa fa import - erp</t>
  </si>
  <si>
    <t xml:space="preserve">Fa fa Import </t>
  </si>
  <si>
    <t>21989290057</t>
  </si>
  <si>
    <t>lucianadsmoura@gmail.com</t>
  </si>
  <si>
    <t>90%</t>
  </si>
  <si>
    <t>07/05/2025</t>
  </si>
  <si>
    <t>fa fa import - cloud</t>
  </si>
  <si>
    <t>Fa Fa Import - Cloud</t>
  </si>
  <si>
    <t>21989290058</t>
  </si>
  <si>
    <t xml:space="preserve">amazonia aromas </t>
  </si>
  <si>
    <t xml:space="preserve">Amazonia aromas </t>
  </si>
  <si>
    <t>11991266405</t>
  </si>
  <si>
    <t>atendimento@amazoniaaromas.com.br</t>
  </si>
  <si>
    <t>15:18, 3/6/2025 André Oliveira (Amazonia Aromas): Quanto?
15:21, 3/6/2025 Junior Lopes: acredito que uns 90 dias ! estamos em homologação em um cliente da nossa base
15:31, 3/6/2025 André Oliveira (Amazonia Aromas): Mobile Android e ios normal
15:34, 3/6/2025 Junior Lopes: Mobile Android Off-line 
iOS e Windows on-line
15:37, 3/6/2025 André Oliveira (Amazonia Aromas): Hum ios ferra um pouco</t>
  </si>
  <si>
    <t>29/05/2025</t>
  </si>
  <si>
    <t>azpr - erp</t>
  </si>
  <si>
    <t>AZPR</t>
  </si>
  <si>
    <t>(41) 3376-2439</t>
  </si>
  <si>
    <t>30%</t>
  </si>
  <si>
    <t xml:space="preserve">voltar contato quando RepMais </t>
  </si>
  <si>
    <t>27/05/2025</t>
  </si>
  <si>
    <t>26/05/2025</t>
  </si>
  <si>
    <t>azpr - cloud</t>
  </si>
  <si>
    <t>Procurar quando RepMais</t>
  </si>
  <si>
    <t>erca alumínio</t>
  </si>
  <si>
    <t>Erca alumínio</t>
  </si>
  <si>
    <t>22/05/2025</t>
  </si>
  <si>
    <t>xiexie mais barato - erp</t>
  </si>
  <si>
    <t>XieXie Mais barato</t>
  </si>
  <si>
    <t xml:space="preserve">PROPOSTA RENOVCADA POREM CLIENTE NÃO DEU SEQUENCIA </t>
  </si>
  <si>
    <t>23/05/2025</t>
  </si>
  <si>
    <t>xiexie comercio de brinquedos ltda</t>
  </si>
  <si>
    <t>XieXie Mais Barato - BI B2B</t>
  </si>
  <si>
    <t xml:space="preserve">PROPOSTA RENOVADA POREM CÇIENTE NÃO DEU SEQUENCIA </t>
  </si>
  <si>
    <t>gala - b2b</t>
  </si>
  <si>
    <t>Gala - B2B</t>
  </si>
  <si>
    <t>67981004151</t>
  </si>
  <si>
    <t>diego@grupogala.com.br</t>
  </si>
  <si>
    <t>flora nectar - afv</t>
  </si>
  <si>
    <t>Flora Nectar - AFV</t>
  </si>
  <si>
    <t>19971332893</t>
  </si>
  <si>
    <t>marina.dopekevicuz@v4company.com</t>
  </si>
  <si>
    <t xml:space="preserve">Rayssa esta mantendo contato  </t>
  </si>
  <si>
    <t>30/05/2025</t>
  </si>
  <si>
    <t>xpert - erp</t>
  </si>
  <si>
    <t>Xpert - ERP</t>
  </si>
  <si>
    <t>11996219888</t>
  </si>
  <si>
    <t>manuela.xpert@gmail.com</t>
  </si>
  <si>
    <t xml:space="preserve">informou que não tem verba de investimento </t>
  </si>
  <si>
    <t>xpert - cloud</t>
  </si>
  <si>
    <t>Xpert - Cloud</t>
  </si>
  <si>
    <t xml:space="preserve">informou que não tem verba para investimento </t>
  </si>
  <si>
    <t xml:space="preserve">ponto das festas </t>
  </si>
  <si>
    <t xml:space="preserve">Ponto das festas </t>
  </si>
  <si>
    <t>43988505997</t>
  </si>
  <si>
    <t>gerencia@pontodasfestas.com.br</t>
  </si>
  <si>
    <t xml:space="preserve">varias tentativas de contato sem retorno </t>
  </si>
  <si>
    <t>oikos - cloud</t>
  </si>
  <si>
    <t>Oikos - Cloud</t>
  </si>
  <si>
    <t>11987154112</t>
  </si>
  <si>
    <t>pedro@grupoecoa.com.br</t>
  </si>
  <si>
    <t>atacadão das tripas (erp)</t>
  </si>
  <si>
    <t>Tainã</t>
  </si>
  <si>
    <t>(14) 99811-7753</t>
  </si>
  <si>
    <t>atacadaodastripasfinanceiro@hotmail.com</t>
  </si>
  <si>
    <t>Tupã</t>
  </si>
  <si>
    <t>Inbound Opens</t>
  </si>
  <si>
    <t xml:space="preserve">Descartando ! cliente não encontra tempo para seguir </t>
  </si>
  <si>
    <t>30/05/2025 11:00</t>
  </si>
  <si>
    <t>16/06/2025</t>
  </si>
  <si>
    <t>06/06/2025</t>
  </si>
  <si>
    <t>13/06/2025</t>
  </si>
  <si>
    <t>pimpinella -  guarani afv</t>
  </si>
  <si>
    <t>02/06/2025 00:00</t>
  </si>
  <si>
    <t>brinquedos alf (rms_afv)</t>
  </si>
  <si>
    <t>Brinquedos Afv (RMS_AFV)</t>
  </si>
  <si>
    <t>(51) 99840-3160</t>
  </si>
  <si>
    <t>PORTAO</t>
  </si>
  <si>
    <t>brinquedos anjo</t>
  </si>
  <si>
    <t xml:space="preserve">Anjo brinquedos (RMS - AFV) </t>
  </si>
  <si>
    <t>15997651713</t>
  </si>
  <si>
    <t>fat@brinquedosanjo.com.br</t>
  </si>
  <si>
    <t>LARANJAL PAULISTA</t>
  </si>
  <si>
    <t>meio atacado - erp</t>
  </si>
  <si>
    <t xml:space="preserve">meio atacado </t>
  </si>
  <si>
    <t>19997556622</t>
  </si>
  <si>
    <t>camila@meioatacado.com.br</t>
  </si>
  <si>
    <t>PIRACICABA</t>
  </si>
  <si>
    <t xml:space="preserve">não responde mais aos contatos </t>
  </si>
  <si>
    <t>18/06/2025</t>
  </si>
  <si>
    <t>09/06/2025</t>
  </si>
  <si>
    <t xml:space="preserve">Goal comercial </t>
  </si>
  <si>
    <t>11938010304</t>
  </si>
  <si>
    <t>juraci@goalcomercial.com.br</t>
  </si>
  <si>
    <t>SAO CAETANO DO SUL</t>
  </si>
  <si>
    <t xml:space="preserve">galpão importadora </t>
  </si>
  <si>
    <t xml:space="preserve">Galpão importadora </t>
  </si>
  <si>
    <t>81992522279</t>
  </si>
  <si>
    <t xml:space="preserve">cliente não encontra tempo para apresentação </t>
  </si>
  <si>
    <t>10/06/2025</t>
  </si>
  <si>
    <t>fina ideia</t>
  </si>
  <si>
    <t>11976806556</t>
  </si>
  <si>
    <t>vendas@finaideia.com.br</t>
  </si>
  <si>
    <t>industria elementos filtrantes</t>
  </si>
  <si>
    <t>Gustavo</t>
  </si>
  <si>
    <t>16996352359</t>
  </si>
  <si>
    <t>silk flowers</t>
  </si>
  <si>
    <t>Vander Pavão</t>
  </si>
  <si>
    <t>16997217227</t>
  </si>
  <si>
    <t>vander@silkflower.com.br</t>
  </si>
  <si>
    <t>vitoria cortinas (mdfe)</t>
  </si>
  <si>
    <t xml:space="preserve">Vitoria cortinas </t>
  </si>
  <si>
    <t>53999594657</t>
  </si>
  <si>
    <t>compras@vitoriacortinasdecoracoes.com.br</t>
  </si>
  <si>
    <t>atacadao das tripas (cloud)</t>
  </si>
  <si>
    <t>Atacadão das Tripas (cloud)</t>
  </si>
  <si>
    <t>14998117753</t>
  </si>
  <si>
    <t>TUPA</t>
  </si>
  <si>
    <t>mdl import - int.wms</t>
  </si>
  <si>
    <t>MDL Import - int.WMS</t>
  </si>
  <si>
    <t xml:space="preserve">orçamento não foi aprovado  </t>
  </si>
  <si>
    <t>bs toys (rms)</t>
  </si>
  <si>
    <t>BS Toys (RMS)</t>
  </si>
  <si>
    <t>15997551770</t>
  </si>
  <si>
    <t>atendimento@bstoys.com.br</t>
  </si>
  <si>
    <t>BOITUVA</t>
  </si>
  <si>
    <t>dielu (rms)</t>
  </si>
  <si>
    <t xml:space="preserve">Dielu </t>
  </si>
  <si>
    <t>11947837975</t>
  </si>
  <si>
    <t>ceramica salute (rms)</t>
  </si>
  <si>
    <t xml:space="preserve">ceramica salute </t>
  </si>
  <si>
    <t>19999094519</t>
  </si>
  <si>
    <t>comercial@ceramicasalute.com.br</t>
  </si>
  <si>
    <t>JABOTICABAL</t>
  </si>
  <si>
    <t>serraria chiari  - erp</t>
  </si>
  <si>
    <t xml:space="preserve">Palete Chiari </t>
  </si>
  <si>
    <t>16993303692</t>
  </si>
  <si>
    <t>SAO CARLOS</t>
  </si>
  <si>
    <t xml:space="preserve">cliente não respondeu mais aos contatos ! estou decertando e manterei contato </t>
  </si>
  <si>
    <t>11/06/2025</t>
  </si>
  <si>
    <t xml:space="preserve">serraria chiari - cloud </t>
  </si>
  <si>
    <t>Chiare Palete - Cloud</t>
  </si>
  <si>
    <t xml:space="preserve">vitoria cortinas - user afv </t>
  </si>
  <si>
    <t xml:space="preserve">vitoria cortinas - User AFV </t>
  </si>
  <si>
    <t>3599959465</t>
  </si>
  <si>
    <t>comercial@vitoriacortninasdecoracoes.com.br</t>
  </si>
  <si>
    <t>25/06/2025</t>
  </si>
  <si>
    <t xml:space="preserve">meio atacado - cloud </t>
  </si>
  <si>
    <t xml:space="preserve">Meio atacado - Cloud </t>
  </si>
  <si>
    <t>emporio villamarin ltda</t>
  </si>
  <si>
    <t xml:space="preserve">Emporio Villamarin </t>
  </si>
  <si>
    <t>11999265872</t>
  </si>
  <si>
    <t>alfonso@emporiovillamarin.com.br</t>
  </si>
  <si>
    <t xml:space="preserve">não ira dar continuidade no momento </t>
  </si>
  <si>
    <t>12/06/2025</t>
  </si>
  <si>
    <t>elmo atacado (horas exc)</t>
  </si>
  <si>
    <t>Elmo atacado (horas exc)</t>
  </si>
  <si>
    <t>47984366161</t>
  </si>
  <si>
    <t>fabio@elmoatacado.com.br</t>
  </si>
  <si>
    <t>18/07/2025</t>
  </si>
  <si>
    <t>moveis kappesberg</t>
  </si>
  <si>
    <t xml:space="preserve">Grupo K1 </t>
  </si>
  <si>
    <t>51980225006</t>
  </si>
  <si>
    <t>angela@kappersberg.com.br</t>
  </si>
  <si>
    <t>TUPANDI</t>
  </si>
  <si>
    <t xml:space="preserve">em contato com Ângela, nao esta descartado porem não seguirá nesse momento </t>
  </si>
  <si>
    <t>01/07/2025</t>
  </si>
  <si>
    <t>trilharty - erp - afv</t>
  </si>
  <si>
    <t>Julia Soares</t>
  </si>
  <si>
    <t>11983386298</t>
  </si>
  <si>
    <t>vendas@trilharty.com.br</t>
  </si>
  <si>
    <t>02/09/2025</t>
  </si>
  <si>
    <t>04/07/2025</t>
  </si>
  <si>
    <t xml:space="preserve">tiago  eletronicos - erp </t>
  </si>
  <si>
    <t xml:space="preserve">Tiago eletrodomésticos  </t>
  </si>
  <si>
    <t>(48) 9960-6091</t>
  </si>
  <si>
    <t>financeiro@saeletronicos.com.br</t>
  </si>
  <si>
    <t>ICARA</t>
  </si>
  <si>
    <t>16/07/2025</t>
  </si>
  <si>
    <t>15/07/2025</t>
  </si>
  <si>
    <t>tiago  eletronicos - cloud</t>
  </si>
  <si>
    <t xml:space="preserve">Tiago eleytonicos </t>
  </si>
  <si>
    <t xml:space="preserve">cliente decidiu manter o servidor local </t>
  </si>
  <si>
    <t>star distribuidora - expede</t>
  </si>
  <si>
    <t>Star distribuidora - Expede</t>
  </si>
  <si>
    <t>11/07/2025</t>
  </si>
  <si>
    <t>O projeto B2B já está fechado, porém a continuidade dependerá da finalização da carga de dados na implantação do ERP. Assim que essa etapa for concluída, Junior Lopes deve retomar o contato com o cliente, verificar pendências e alinhar os próximos passos com data definida.</t>
  </si>
  <si>
    <t>tiago eletrônicos - b2b</t>
  </si>
  <si>
    <t>Tiago eletrônicos - B2B</t>
  </si>
  <si>
    <t>4899606091</t>
  </si>
  <si>
    <t>mdl comércio importação (erp+afv)</t>
  </si>
  <si>
    <t>MDL Comércio importação (ERP+AFV</t>
  </si>
  <si>
    <t>(11) 91069-5515</t>
  </si>
  <si>
    <t>07/07/2025</t>
  </si>
  <si>
    <t>mdl comércio de importação (int.wms)</t>
  </si>
  <si>
    <t>MDL comércio de importação (Int.WMS)</t>
  </si>
  <si>
    <t xml:space="preserve">germer porcenalas </t>
  </si>
  <si>
    <t xml:space="preserve">Germer porcenalas </t>
  </si>
  <si>
    <t>41984816685</t>
  </si>
  <si>
    <t>ti@germerporcelanas.com.br</t>
  </si>
  <si>
    <t xml:space="preserve">em contato com Claudinei projeto está estagnado </t>
  </si>
  <si>
    <t>10/07/2025</t>
  </si>
  <si>
    <t>O próximo passo é Junior Lopes alinhar com o cliente o objetivo final da oportunidade, considerando que o cliente ainda está negociando o desenvolvimento da integração técnica que o ERP deles precisa construir. Somente após essa definição e após os ajustes técnicos com a Marília será possível retomar as conversas em janeiro de 2026 e avançar para o fechamento, previsto para 31/01/2026.</t>
  </si>
  <si>
    <t>Editora Dcl - Difusao Cultural Do Livro Ltda</t>
  </si>
  <si>
    <t>editora dcl</t>
  </si>
  <si>
    <t>(11) 3932-5222</t>
  </si>
  <si>
    <t>welington@editoradcl.com.br</t>
  </si>
  <si>
    <t>ITUPEVA</t>
  </si>
  <si>
    <t>08/07/2025</t>
  </si>
  <si>
    <t>Associacao Medianeira Fuzipar</t>
  </si>
  <si>
    <t>fuzipar (afv)</t>
  </si>
  <si>
    <t>(54) 3321-5456</t>
  </si>
  <si>
    <t>ERECHIM</t>
  </si>
  <si>
    <t>18/08/2025</t>
  </si>
  <si>
    <t xml:space="preserve">adelmo jeronimo </t>
  </si>
  <si>
    <t xml:space="preserve">Adelmo Jeronimo </t>
  </si>
  <si>
    <t>(81) 99252-2279</t>
  </si>
  <si>
    <t>adelmoo.jeronimo@gmail.com</t>
  </si>
  <si>
    <t>após vários contatos não obtivemos retorno</t>
  </si>
  <si>
    <t>30/07/2025</t>
  </si>
  <si>
    <t>fuzipar (erp)</t>
  </si>
  <si>
    <t>Fuzipar (ERP)</t>
  </si>
  <si>
    <t>5499823395</t>
  </si>
  <si>
    <t xml:space="preserve">cliente vai seguir somente com força de vendas </t>
  </si>
  <si>
    <t>22/07/2025</t>
  </si>
  <si>
    <t>fuzipar (cloud)</t>
  </si>
  <si>
    <t>Fuzipar (Cloud)</t>
  </si>
  <si>
    <t xml:space="preserve">vai seguir somente com força de vendas </t>
  </si>
  <si>
    <t>grupo ecoa (erp)</t>
  </si>
  <si>
    <t>PEDRO DE ROZENDO PACO DA SILVEIRA</t>
  </si>
  <si>
    <t xml:space="preserve">Pedro não responde mais aos contatos </t>
  </si>
  <si>
    <t>grupo ecoa (b2b)</t>
  </si>
  <si>
    <t>Grupo Ecoa</t>
  </si>
  <si>
    <t>pedro@grupoecoa.com</t>
  </si>
  <si>
    <t xml:space="preserve">Pedro não responde mais os contatos </t>
  </si>
  <si>
    <t>vitoria cortinas  (horas)</t>
  </si>
  <si>
    <t>35993445286</t>
  </si>
  <si>
    <t>17/09/2025</t>
  </si>
  <si>
    <t>Maxsoy Alimentos Ltda</t>
  </si>
  <si>
    <t>maxsoy alimentos ltda</t>
  </si>
  <si>
    <t>(19) 3809-5454</t>
  </si>
  <si>
    <t>vendas@maxsoy.com.br</t>
  </si>
  <si>
    <t>HORTOLANDIA</t>
  </si>
  <si>
    <t xml:space="preserve">cliente não quer dar sequencia no momento por conta do valor </t>
  </si>
  <si>
    <t>11/08/2025</t>
  </si>
  <si>
    <t>01/08/2025</t>
  </si>
  <si>
    <t>Brinquemix Industria E Comercio Ltda</t>
  </si>
  <si>
    <t>brinquemix - erp</t>
  </si>
  <si>
    <t>(11) 4116-5272</t>
  </si>
  <si>
    <t>fiscal@codepcontabilidade.com.br</t>
  </si>
  <si>
    <t>ITAQUAQUECETUBA</t>
  </si>
  <si>
    <t>16:26, 28/8/2025 Junior Lopes: Olá Simone, boa tarde
17:06, 28/8/2025 Simone Brinquemix : Olá Dra
17:06, 28/8/2025 Simone Brinquemix : Olá
11:03, 29/8/2025 Junior Lopes: Olá Simone ! Como não tive retorno de sua parte, vou encerrar este atendimento! 
Caso mude de ideia ou precise de algo no futuro pode me chamar por aqui 
Estimo sucesso para vocês 🤝</t>
  </si>
  <si>
    <t>04/08/2025</t>
  </si>
  <si>
    <t>05/08/2025</t>
  </si>
  <si>
    <t>tapetes oasis</t>
  </si>
  <si>
    <t>Milene Fonseca</t>
  </si>
  <si>
    <t>(11) 2431-1432</t>
  </si>
  <si>
    <t>compras@tapetesoasis.com.br</t>
  </si>
  <si>
    <t>Campinas</t>
  </si>
  <si>
    <t>11/08/2025 00:00</t>
  </si>
  <si>
    <t>sanremo</t>
  </si>
  <si>
    <t>Matheus Ambrosi</t>
  </si>
  <si>
    <t>(51) 99658-9275</t>
  </si>
  <si>
    <t>matheus.ambrosi@sanremo.com.br</t>
  </si>
  <si>
    <t>Falei hoje com o Gomes consultor Totvs da empresa Oyshi e o mesmo que agendar uma reunião técnica de alinhamento para integrar o AFV com Protheus.
19-01; Após nossa reunião na sexta-feira para alinhar sobre a integração, o Gomes ficou de providências uma agenda com o Rodrigo para fechar a negociação.
22/01 - Cobrei novamente o Evandro para ele me posicionar se conseguiu falar com o Rodrigo para avançar com o contrato e fechamento e assim dar sequencias no projeto. Ele falou que estava envolvido em tarefas adicionais e isso atrasou a conversa que vai ocorrer na próxima semana.</t>
  </si>
  <si>
    <t xml:space="preserve">industria oyshi </t>
  </si>
  <si>
    <t xml:space="preserve">Rodrigo </t>
  </si>
  <si>
    <t>4491813443</t>
  </si>
  <si>
    <t>rodrigo.fongari@oyshi.com.br</t>
  </si>
  <si>
    <t>12/08/2025 09:00</t>
  </si>
  <si>
    <t>90</t>
  </si>
  <si>
    <t>R$ 16.000</t>
  </si>
  <si>
    <t>R$ 1.558</t>
  </si>
  <si>
    <t>tray jlk importadora</t>
  </si>
  <si>
    <t>Fernanda</t>
  </si>
  <si>
    <t>11997633759</t>
  </si>
  <si>
    <t>fernanda@jlkplasticos.com</t>
  </si>
  <si>
    <t>deltamax importadora</t>
  </si>
  <si>
    <t>Raymond</t>
  </si>
  <si>
    <t>11982685555</t>
  </si>
  <si>
    <t>raymond@deltaimport.com.br</t>
  </si>
  <si>
    <t>05/08/2025 00:00</t>
  </si>
  <si>
    <t>rpa technology industria e comercio ltda</t>
  </si>
  <si>
    <t>Naiara</t>
  </si>
  <si>
    <t>(19) 3496-7474 / (19) 3885-1725</t>
  </si>
  <si>
    <t>renatapalace@impal.ind.br</t>
  </si>
  <si>
    <t>RAFARD</t>
  </si>
  <si>
    <t>28/08/2025</t>
  </si>
  <si>
    <t>Distribuidora Tropical Aromas Ltda</t>
  </si>
  <si>
    <t>tropical aromas</t>
  </si>
  <si>
    <t>(13) 3329-5855</t>
  </si>
  <si>
    <t>contato@keurequimica.com.br</t>
  </si>
  <si>
    <t>Voltar contato em Janeiro 2026</t>
  </si>
  <si>
    <t>14/08/2025</t>
  </si>
  <si>
    <t>Usual Plastic - Utilidade Domestica E Comercio Ltda</t>
  </si>
  <si>
    <t>usual plastic - (afv)</t>
  </si>
  <si>
    <t>(15) 3283-3659</t>
  </si>
  <si>
    <t>adm@usualutilidades.com.br</t>
  </si>
  <si>
    <t>CESARIO LANGE</t>
  </si>
  <si>
    <t>50%;30%</t>
  </si>
  <si>
    <t xml:space="preserve">Gustavo conversou com os sócios e decidiu por não trocar de software no momento </t>
  </si>
  <si>
    <t>29/08/2025</t>
  </si>
  <si>
    <t>21/08/2025</t>
  </si>
  <si>
    <t>O projeto já está fechado; porém, devido ao fim de ano e à alta demanda interna do cliente, a assinatura do contrato foi adiada. O cliente preferiu formalizar tudo na primeira semana de janeiro, com assinatura prevista para 05/01/2026.</t>
  </si>
  <si>
    <t>amilplast ind - erp</t>
  </si>
  <si>
    <t>AmilPlast indústria</t>
  </si>
  <si>
    <t>11973107041</t>
  </si>
  <si>
    <t>amilplast@amilplastt.com.br</t>
  </si>
  <si>
    <t>21/10/2025</t>
  </si>
  <si>
    <t>15/10/2025</t>
  </si>
  <si>
    <t>Pracaza Decor Comercio Importacao E Exportacao De Artigos Para Decoracao Ltda.</t>
  </si>
  <si>
    <t>pracaza decor comercio importacao e exportacao de artigos para decoracao ltda.</t>
  </si>
  <si>
    <t>(11) 4395-7650</t>
  </si>
  <si>
    <t>contato@acrosscontabil.com.br</t>
  </si>
  <si>
    <t>Aluminio Marcolar Ltda</t>
  </si>
  <si>
    <t>aluminio marcolar ltda</t>
  </si>
  <si>
    <t>(11) 2067-1299</t>
  </si>
  <si>
    <t>sac@marcolar.com.br</t>
  </si>
  <si>
    <t>RIBEIRAO PIRES</t>
  </si>
  <si>
    <t xml:space="preserve">Rogerio pediu para aguardar um pouco mais </t>
  </si>
  <si>
    <t>20/08/2025</t>
  </si>
  <si>
    <t>15/08/2025</t>
  </si>
  <si>
    <t xml:space="preserve">off paper (afv) </t>
  </si>
  <si>
    <t>Off Paper</t>
  </si>
  <si>
    <t>35984074473</t>
  </si>
  <si>
    <t>jessica@papeisoffpaper.com.br</t>
  </si>
  <si>
    <t>LAMBARI</t>
  </si>
  <si>
    <t xml:space="preserve">fechou sem mesmo falar com Guarani </t>
  </si>
  <si>
    <t>22/08/2025</t>
  </si>
  <si>
    <t>shinytoys</t>
  </si>
  <si>
    <t>(11) 91852-0852</t>
  </si>
  <si>
    <t>cpedro@shinyt.com.br</t>
  </si>
  <si>
    <t>dgb comex</t>
  </si>
  <si>
    <t>Raquel</t>
  </si>
  <si>
    <t>(47) 99227-7535</t>
  </si>
  <si>
    <t>comercial@dgbcomex.com.br</t>
  </si>
  <si>
    <t>Santa Bárbara d'Oeste</t>
  </si>
  <si>
    <t>29/09/2025</t>
  </si>
  <si>
    <t>duarte estofaria</t>
  </si>
  <si>
    <t>Ezequiel</t>
  </si>
  <si>
    <t>49999523158</t>
  </si>
  <si>
    <t>adm@duarteestofaria.com.br</t>
  </si>
  <si>
    <t>18/08/2025 00:00</t>
  </si>
  <si>
    <t>Falei hoje 09/01/2026 com Helton e questionei ele sobre a sequência ou não do projeto sistema.
Esta oportunidade encontra-se pausado durante 2026.
22/01 - Retorno do Helton:  Paulo, bom dia! Peço desculpas pelo atraso na resposta. Desejo um ótimo 2026 para você também! 
Analisamos as opções para uma possível troca, mas infelizmente não obtivemos a adesão esperada. Portanto, por enquanto, vamos manter o ERP atual.</t>
  </si>
  <si>
    <t>aluminio ramos</t>
  </si>
  <si>
    <t>Helton</t>
  </si>
  <si>
    <t>1633347333</t>
  </si>
  <si>
    <t>helton@ramos.com.br</t>
  </si>
  <si>
    <t>25/08/2025 00:00</t>
  </si>
  <si>
    <t>bezavel cnpj</t>
  </si>
  <si>
    <t>Fabiana e Gilson</t>
  </si>
  <si>
    <t>11950946784</t>
  </si>
  <si>
    <t>tooltec injecoes plasticas</t>
  </si>
  <si>
    <t xml:space="preserve">Plastutti - Cloud </t>
  </si>
  <si>
    <t>1146311986</t>
  </si>
  <si>
    <t>thiago@plasstutti.com.br</t>
  </si>
  <si>
    <t>DIADEMA</t>
  </si>
  <si>
    <t xml:space="preserve">achou valores acima </t>
  </si>
  <si>
    <t>06/08/2025</t>
  </si>
  <si>
    <t>brinquemix</t>
  </si>
  <si>
    <t xml:space="preserve">Brinquemix - Cloud </t>
  </si>
  <si>
    <t>11996823494</t>
  </si>
  <si>
    <t>simonee@brinquemix.com.br</t>
  </si>
  <si>
    <t>baag (bahia artes gráficas) wms</t>
  </si>
  <si>
    <t xml:space="preserve">em analise do consultor Munhoz, cliente não esta no momento  certo </t>
  </si>
  <si>
    <t>25/08/2025</t>
  </si>
  <si>
    <t>amilplast industria - cloud</t>
  </si>
  <si>
    <t xml:space="preserve">Amilplast - Cloud </t>
  </si>
  <si>
    <t xml:space="preserve">Amilplast continuará com servidor físico </t>
  </si>
  <si>
    <t>off paper (cloud)</t>
  </si>
  <si>
    <t>Off Paper (ERP)</t>
  </si>
  <si>
    <t>off paper (erp)</t>
  </si>
  <si>
    <t>Off Paper (Cloud)</t>
  </si>
  <si>
    <t>usual plastic (bi)</t>
  </si>
  <si>
    <t>Usual plastic (BI)</t>
  </si>
  <si>
    <t>1532833659</t>
  </si>
  <si>
    <t>Jr Comercio De Motos E Pecas Ltda</t>
  </si>
  <si>
    <t>jr comercio de motos e pecas</t>
  </si>
  <si>
    <t>(67) 9121-3638</t>
  </si>
  <si>
    <t>custodiojadi@gmail.com</t>
  </si>
  <si>
    <t>CAMPO GRANDE</t>
  </si>
  <si>
    <t>Jomafe Brasil - Comercio De Utensilios Domesticos E Cutelarias Ltda.</t>
  </si>
  <si>
    <t>jomafe brasil - comercio de utensilios domesticos e cutelarias ltda.</t>
  </si>
  <si>
    <t xml:space="preserve">(11) 3283-3767 </t>
  </si>
  <si>
    <t>vendas.br@jomafe.pt</t>
  </si>
  <si>
    <t>WhatsappRayssa</t>
  </si>
  <si>
    <t>natalia damaceno</t>
  </si>
  <si>
    <t>NATALIA GABRIELA DAMACENO MOTA</t>
  </si>
  <si>
    <t>(11) 9667-2094</t>
  </si>
  <si>
    <t>naty-gabriela@hotmail.com</t>
  </si>
  <si>
    <t>Natalia Gabriela Damaceno Mota</t>
  </si>
  <si>
    <t>casa bonitta - pdv</t>
  </si>
  <si>
    <t>(11) 4292-3358</t>
  </si>
  <si>
    <t>catocontabilidade@gmail.com</t>
  </si>
  <si>
    <t>SUZANO</t>
  </si>
  <si>
    <t xml:space="preserve">Após proposta cliente não respondeu mais </t>
  </si>
  <si>
    <t>19/09/2025</t>
  </si>
  <si>
    <t>16/09/2025</t>
  </si>
  <si>
    <t>bella refratarios</t>
  </si>
  <si>
    <t>Lara</t>
  </si>
  <si>
    <t>(19) 99985-2953</t>
  </si>
  <si>
    <t>lfabian.pereira@gmail.com</t>
  </si>
  <si>
    <t>10/09/2025</t>
  </si>
  <si>
    <t>sidney stabile</t>
  </si>
  <si>
    <t>Sidney Stabile</t>
  </si>
  <si>
    <t>(11) 98122-0797</t>
  </si>
  <si>
    <t>sidneysmr1@gmail.com</t>
  </si>
  <si>
    <t>11/09/2025 00:00</t>
  </si>
  <si>
    <t>O projeto só avançará após o ERP entrar em produção. É necessário alinhar com o Mário e o Fernando para confirmar a data exata de go-live, pois o projeto permanece aguardando essa etapa da implantação para seguir com as próximas fases.</t>
  </si>
  <si>
    <t xml:space="preserve">mdl import - cloud </t>
  </si>
  <si>
    <t xml:space="preserve">MDL Import - Cloud </t>
  </si>
  <si>
    <t>1190695515</t>
  </si>
  <si>
    <t>05/09/2025</t>
  </si>
  <si>
    <t>A empresa está enfrentando uma situação delicada com a Receita Federal e, por isso, decidiu aguardar antes de assinar o contrato, já que não sabe se manterá a operação de atacado. O plano é retomar o contato na primeira semana de janeiro de 2026.
06/02 A Michele me ligou retomando o projeto, agora estamos na fase de negociação.</t>
  </si>
  <si>
    <t>Futuro Brasil Importacao E Exportacao Ltda</t>
  </si>
  <si>
    <t xml:space="preserve">(11) 3312-3990 </t>
  </si>
  <si>
    <t>financeiro.michele@futurobrasil.com</t>
  </si>
  <si>
    <t>EXTREMA</t>
  </si>
  <si>
    <t>Pausado;30%</t>
  </si>
  <si>
    <t>30</t>
  </si>
  <si>
    <t>504</t>
  </si>
  <si>
    <t>ERP, AFV, ADICIONAIS, CLOUD, WMS</t>
  </si>
  <si>
    <t>R$ 100.800</t>
  </si>
  <si>
    <t>R$ 5.484</t>
  </si>
  <si>
    <t>fantoys brinquedos - erp</t>
  </si>
  <si>
    <t>Fantoys comércio de brinquedos ltda</t>
  </si>
  <si>
    <t>44999841977</t>
  </si>
  <si>
    <t>Fantoyscomercial@gmail.com</t>
  </si>
  <si>
    <t xml:space="preserve">cliente achou investimento muito alto </t>
  </si>
  <si>
    <t>12/09/2025</t>
  </si>
  <si>
    <t>rb malls - guarani erp</t>
  </si>
  <si>
    <t xml:space="preserve">Junior </t>
  </si>
  <si>
    <t>19987126669</t>
  </si>
  <si>
    <t>15/09/2025 00:00</t>
  </si>
  <si>
    <t>10/09/2025 00:00</t>
  </si>
  <si>
    <t>17/09/2025 00:00</t>
  </si>
  <si>
    <t>central raçoes - erp</t>
  </si>
  <si>
    <t>KAIQUE ARAUJO</t>
  </si>
  <si>
    <t>(67) 99250-3056</t>
  </si>
  <si>
    <t>comercial.centralracoes@hotmail.com</t>
  </si>
  <si>
    <t>informações salvo em notas</t>
  </si>
  <si>
    <t>30/09/2025</t>
  </si>
  <si>
    <t>16/09/2025 00:00</t>
  </si>
  <si>
    <t>central distribuidora de produtos agropecuarios</t>
  </si>
  <si>
    <t xml:space="preserve">cadastro duplicado </t>
  </si>
  <si>
    <t>Ilumac Industria Comercio E Servicos Ltda</t>
  </si>
  <si>
    <t>ilumac industria - erp</t>
  </si>
  <si>
    <t>(14) 3213-1100</t>
  </si>
  <si>
    <t>direcao@safeway.ind.br</t>
  </si>
  <si>
    <t>BAURU</t>
  </si>
  <si>
    <t xml:space="preserve">cliente não responde as mensagens e ligações </t>
  </si>
  <si>
    <t>mewoof importadora</t>
  </si>
  <si>
    <t>(11) 98527-7256</t>
  </si>
  <si>
    <t>marketing@mewoof.com.br</t>
  </si>
  <si>
    <t>23/09/2025 00:00</t>
  </si>
  <si>
    <t xml:space="preserve">fantoys brinquedos - cloud </t>
  </si>
  <si>
    <t xml:space="preserve">Fantoys Brinquedos - Cloud </t>
  </si>
  <si>
    <t xml:space="preserve">cliente achou investimento muito  alto </t>
  </si>
  <si>
    <t>Principios Representacoes De Artigos De Uso Domestico Ltda</t>
  </si>
  <si>
    <t>principios</t>
  </si>
  <si>
    <t xml:space="preserve">(48) 9123-3777 </t>
  </si>
  <si>
    <t>fabiane.principios@gmail.com</t>
  </si>
  <si>
    <t>ARARANGUA</t>
  </si>
  <si>
    <t xml:space="preserve">cliente Rep Mais </t>
  </si>
  <si>
    <t>luzia lara guilhen- mei</t>
  </si>
  <si>
    <t>Ramão</t>
  </si>
  <si>
    <t>diego.barcelli@guaranisistemas.com.br</t>
  </si>
  <si>
    <t>Brumadinho</t>
  </si>
  <si>
    <t xml:space="preserve">Sem retorno dos contatos </t>
  </si>
  <si>
    <t>24/09/2025 00:00</t>
  </si>
  <si>
    <t xml:space="preserve">Todos os dados preenchidos:
name: Ramão 
phone: 67 9 9169-7702 
email: ramaodlara@gmail.com 
nome_da_empresa_indicada: LUZIA LARA GUILHEN- MEI 
field_6: Guarani ERP, PDV 
nome_de_quem_indica: Diego Luis Barcelli 
e_mail_de_quem_indica: diego.barcelli@guaranisistemas.com.br 
telefone_de_quem_indica: 16 9 9265-3506 
Quais_produtos_Guarani_você_indica_para_essa_empresa?: Guarani ERP, PDV 
0: Guarani ERP, PDV </t>
  </si>
  <si>
    <t>luzia lara guilhen</t>
  </si>
  <si>
    <t>67 9 9169-7702</t>
  </si>
  <si>
    <t>ramaodlara@gmail.com</t>
  </si>
  <si>
    <t xml:space="preserve">não responde ao contato </t>
  </si>
  <si>
    <t xml:space="preserve">chame rio (cloud) </t>
  </si>
  <si>
    <t xml:space="preserve">Chame Rio (Cloud) </t>
  </si>
  <si>
    <t>21996087296</t>
  </si>
  <si>
    <t>leon@chamerio.com.br</t>
  </si>
  <si>
    <t xml:space="preserve">Aguardar ativação das lojas </t>
  </si>
  <si>
    <t>04/09/2025</t>
  </si>
  <si>
    <t xml:space="preserve">dvidros (cnpj) </t>
  </si>
  <si>
    <t xml:space="preserve">DVidros (CNPJ) </t>
  </si>
  <si>
    <t>31992324071</t>
  </si>
  <si>
    <t>comercial@dvidros.com.br</t>
  </si>
  <si>
    <t>central rações - bi</t>
  </si>
  <si>
    <t xml:space="preserve">Central Rações - BI </t>
  </si>
  <si>
    <t>67992503056</t>
  </si>
  <si>
    <t xml:space="preserve">informações salvo em notas </t>
  </si>
  <si>
    <t>central das rações - cloud</t>
  </si>
  <si>
    <t xml:space="preserve">Central Rações - Cloud </t>
  </si>
  <si>
    <t>facinato bi</t>
  </si>
  <si>
    <t>Emerson Silva</t>
  </si>
  <si>
    <t>(55) 11941-3524</t>
  </si>
  <si>
    <t>operacional@facinato.com.br</t>
  </si>
  <si>
    <t>26/09/2025 00:00</t>
  </si>
  <si>
    <t>11:51, 06/01/2026 Junior Lopes: lá Wilkerson, bom dia
11:51, 06/01/2026 Junior Lopes: Um Feliz 2026 para vc e toda equipe 🙏🙏
11:51, 06/01/2026 Junior Lopes: Me recebe aí para discutirmos sobre a proposta comercial?
15:32, 23/01/2026 Junior Lopes: Olá Wilkerson, boa tarde
13:34, 27/01/2026 Wilkerson Plasbrin: Ola
13:34, 27/01/2026 Wilkerson Plasbrin: Estou analisando a proposta sina
13:34, 27/01/2026 Wilkerson Plasbrin: Ainda
13:35, 27/01/2026 Wilkerson Plasbrin: Creio que em fevereiro te contato sobre uma negociação
13:36, 27/01/2026 Junior Lopes: Olá meu amigo! Ótimo 
Veja o que precisa para fecharmos! Nossa solução vai ajudar muito em seus processos 
Te aguardo 👊
14:25, 27/01/2026 Wilkerson Plasbrin: Pode deixar
14:25, 27/01/2026 Wilkerson Plasbrin: Vamos avaliar</t>
  </si>
  <si>
    <t>plasbrink embalagens plasticas ltda - erp</t>
  </si>
  <si>
    <t xml:space="preserve">PlasBink </t>
  </si>
  <si>
    <t>11997580006</t>
  </si>
  <si>
    <t>falgat@terra.com.br</t>
  </si>
  <si>
    <t>CABREUVA</t>
  </si>
  <si>
    <t>08/10/2025</t>
  </si>
  <si>
    <t>28/10/2025</t>
  </si>
  <si>
    <t>Indefinido se vamos ou não seguir . O Wellington esta em analise se vamos evoluir!
Esta oportunidade encontra-se pausado durante 2026.
07/02 Por motivo de gerenciamento do meu CRM, estou declinando a proposta e futuramente quando o cliente demonstrar interesse novamente retornamos com a proposta.</t>
  </si>
  <si>
    <t>wellmix erp</t>
  </si>
  <si>
    <t xml:space="preserve">Wellington </t>
  </si>
  <si>
    <t>well@wellmix.com.br</t>
  </si>
  <si>
    <t>07/02 Por motivo de gerenciamento do meu CRM, estou declinando a proposta e futuramente quando o cliente demonstrar interesse novamente retornamos com a proposta.</t>
  </si>
  <si>
    <t>09/09/2025 00:00</t>
  </si>
  <si>
    <t>tms imports</t>
  </si>
  <si>
    <t>Sidney</t>
  </si>
  <si>
    <t>sidney@unikhome.com.br</t>
  </si>
  <si>
    <t>02/09/2025 00:00</t>
  </si>
  <si>
    <t>dolce home comercio de utilidades domesticas ltda.</t>
  </si>
  <si>
    <t>Gabeirl</t>
  </si>
  <si>
    <t>(11) 3567-5470</t>
  </si>
  <si>
    <t>atendimento@dolcehome.com.br</t>
  </si>
  <si>
    <t>ilumac industria - cloud</t>
  </si>
  <si>
    <t xml:space="preserve">Illumac Industria - Cloud </t>
  </si>
  <si>
    <t>1432131100</t>
  </si>
  <si>
    <t xml:space="preserve">chame rio - horas </t>
  </si>
  <si>
    <t xml:space="preserve">Chame Rio - Horas </t>
  </si>
  <si>
    <t>22/10/2025</t>
  </si>
  <si>
    <t>bionov</t>
  </si>
  <si>
    <t xml:space="preserve">José Luiz Gomes Junior </t>
  </si>
  <si>
    <t>controladoria@bionov.com.br</t>
  </si>
  <si>
    <t>30/09/2025 00:00</t>
  </si>
  <si>
    <t xml:space="preserve">vitoria cortinas - horas </t>
  </si>
  <si>
    <t xml:space="preserve">Vitoria cortinas - Horas </t>
  </si>
  <si>
    <t>35999594857</t>
  </si>
  <si>
    <t>financeiro@vitoriacortinas.com.br</t>
  </si>
  <si>
    <t>casa bonitta - cloud</t>
  </si>
  <si>
    <t>Casa Bonitta - Cloud</t>
  </si>
  <si>
    <t>1142923358</t>
  </si>
  <si>
    <t>casa bonitta - erp</t>
  </si>
  <si>
    <t xml:space="preserve">Casa Bonitta - PDV </t>
  </si>
  <si>
    <t>961 importadora</t>
  </si>
  <si>
    <t xml:space="preserve">Hussein </t>
  </si>
  <si>
    <t>96170057610</t>
  </si>
  <si>
    <t>sol pratae</t>
  </si>
  <si>
    <t>Leandro carlos gonçalves</t>
  </si>
  <si>
    <t>(16) 99270-3152</t>
  </si>
  <si>
    <t>solpratae@gmail.com</t>
  </si>
  <si>
    <t>São Carlos</t>
  </si>
  <si>
    <t xml:space="preserve">cliente fora do perfil </t>
  </si>
  <si>
    <t>Artesanato Uni-art Industria E Comercio Ltda</t>
  </si>
  <si>
    <t>artesanato uni-art ind. - erp</t>
  </si>
  <si>
    <t>(19) 3876-4260</t>
  </si>
  <si>
    <t>thiago@uniartrelogios.com.br</t>
  </si>
  <si>
    <t>VINHEDO</t>
  </si>
  <si>
    <t>10/10/2025</t>
  </si>
  <si>
    <t xml:space="preserve">star distribuidora (wms) </t>
  </si>
  <si>
    <t xml:space="preserve">Star Distribuidora (WMS) </t>
  </si>
  <si>
    <t>17996266970</t>
  </si>
  <si>
    <t>distribuidora papagaio</t>
  </si>
  <si>
    <t>Alexsandro</t>
  </si>
  <si>
    <t>75988472625</t>
  </si>
  <si>
    <t>15/10/2025 00:00</t>
  </si>
  <si>
    <t>preciza import</t>
  </si>
  <si>
    <t>Preciza Import</t>
  </si>
  <si>
    <t>11947600755</t>
  </si>
  <si>
    <t>financeiro@precizaimports.com.br</t>
  </si>
  <si>
    <t>16/10/2025</t>
  </si>
  <si>
    <t>artesanato uni-art ind.- cloud</t>
  </si>
  <si>
    <t>Artesanato Uni-art Ind.- Cloud</t>
  </si>
  <si>
    <t>1938764260</t>
  </si>
  <si>
    <t>cliente não atende aos contatos</t>
  </si>
  <si>
    <t xml:space="preserve">plasbrink embalagens plasticas ltda - cloud </t>
  </si>
  <si>
    <t xml:space="preserve">Plasbrink Embalagens Plasticas Ltda - Cloud </t>
  </si>
  <si>
    <t>O cliente está utilizando o módulo em período de degustação de 7 dias, com término em 16/12/2025. Após essa data, ele deverá decidir se seguirá com a contratação ou se irá declinar.</t>
  </si>
  <si>
    <t>preciza import - boleto whatsapp</t>
  </si>
  <si>
    <t>Preciza Import - Boleto WhatsApp</t>
  </si>
  <si>
    <t>26/11/2025</t>
  </si>
  <si>
    <t>09/10/2025</t>
  </si>
  <si>
    <t xml:space="preserve">Após a apresentação de 10/12/2025, ficou definido que a equipe da Marka Têxtil se reunirá para decidir sobre a continuidade do projeto. Farei um follow-up em 15/12/2025 para obter a definição.
16:22, 27/01/2026 Junior Lopes: Olá Regina ! Boa tarde
16:22, 27/01/2026 Regina Chagas: Boa tarde
16:27, 27/01/2026 Junior Lopes: Como está a evolução do projeto?
16:29, 27/01/2026 Junior Lopes: Sei que vcs estão em contato com outras ferramentas! E que está tudo bem 
Porém fico preocupado com valor que já negociamos! A proposta é do ano passado ! Viramos a nossa tabela 
Estou segurando os valores aqui ! Mas preciso de um feedback
16:49, 27/01/2026 Regina Chagas: Entendo, acredito que até sexta feira eu te dou um retorno final
(03/02/2026) em contato com a Bruna na feira Abup informou que decidiu seguir com ERP que apresentou uma proposta mais atrativa em questão de valores ! abaixo mensagem da Regina com mesmo contexto : 
07:57, 09/02/2026 Regina Chagas: Bom dia Junior, desculpe a demora no retorno.
Fechamos com outra empresa, em reunião foi decidido que seria mais vantajoso além do custo/beneficio.
Muito obrigada pelo seu ótimo atendimento
08:59, 09/02/2026 Junior Lopes: Olá Regina bom dia ! Falei com a Bruna na feira 
Desejo sucesso para vocês </t>
  </si>
  <si>
    <t>marka textil - erp</t>
  </si>
  <si>
    <t xml:space="preserve">Marka Textil </t>
  </si>
  <si>
    <t>11975444564</t>
  </si>
  <si>
    <t>brunaantonelli@markatextil.com.br</t>
  </si>
  <si>
    <t>GUARAREMA</t>
  </si>
  <si>
    <t xml:space="preserve">fechou por preço </t>
  </si>
  <si>
    <t>13/10/2025</t>
  </si>
  <si>
    <t>05/11/2025</t>
  </si>
  <si>
    <t>marka textil - cloud</t>
  </si>
  <si>
    <t xml:space="preserve">Marka Textil - Cloud </t>
  </si>
  <si>
    <t>14/11/2025</t>
  </si>
  <si>
    <t>Imprime Industria E Comercio De Plasticos Ltda</t>
  </si>
  <si>
    <t>imprime industria e comercio de plasticos</t>
  </si>
  <si>
    <t>(11) 4552-8400</t>
  </si>
  <si>
    <t>sac@ascampoli.com.br</t>
  </si>
  <si>
    <t>distribuidora prime - erp</t>
  </si>
  <si>
    <t xml:space="preserve">Jones da Costa Grance </t>
  </si>
  <si>
    <t>(67) 99147-9660</t>
  </si>
  <si>
    <t>distribuidoraprime067@gmail.com</t>
  </si>
  <si>
    <t>Campo Grande</t>
  </si>
  <si>
    <t xml:space="preserve">cliente não esta no tempo certo, achou investimento muito alto </t>
  </si>
  <si>
    <t>27/10/2025</t>
  </si>
  <si>
    <t>karam kaiss</t>
  </si>
  <si>
    <t>Karam kaiss</t>
  </si>
  <si>
    <t>(11) 98348-6116</t>
  </si>
  <si>
    <t>mbcontatokaram@gmail.com</t>
  </si>
  <si>
    <t xml:space="preserve">cliente busca apenas módulo de compras </t>
  </si>
  <si>
    <t xml:space="preserve">(16/01/2026) Bruno decidiu por não fazer o investimento nesse momento ! esta estruturando a equipe de vendas </t>
  </si>
  <si>
    <t>Sevilha Comercio Internacional Ltda</t>
  </si>
  <si>
    <t>sevilla trade - erp</t>
  </si>
  <si>
    <t>(11) 4115-0797</t>
  </si>
  <si>
    <t>diego@gruposevilha.com</t>
  </si>
  <si>
    <t>NAVEGANTES</t>
  </si>
  <si>
    <t>29/10/2025</t>
  </si>
  <si>
    <t xml:space="preserve">sevilha trade - cloud </t>
  </si>
  <si>
    <t xml:space="preserve">Sevilha Trade - Cloud </t>
  </si>
  <si>
    <t>1141150797</t>
  </si>
  <si>
    <t>distribuidora prime - cloud</t>
  </si>
  <si>
    <t>Distribuidora Prime - Cloud</t>
  </si>
  <si>
    <t>67991479660</t>
  </si>
  <si>
    <t>tritec - proposta web</t>
  </si>
  <si>
    <t>Tritec - Proposta Web</t>
  </si>
  <si>
    <t>4791025652</t>
  </si>
  <si>
    <t xml:space="preserve">por enquanto nao vai adicionar proposta web </t>
  </si>
  <si>
    <t>Realizei hoje, 12/12/2025, a apresentação do AFV para os gerentes comerciais e atualizei a proposta com os valores de licença do APP. O próximo passo será negociar a proposta, o que deve ocorrer somente na primeira quinzena de janeiro.
05.02 Iniciaram a importação agora,previsão permace para março</t>
  </si>
  <si>
    <t>evolux - erp - pcp  - wms - afv</t>
  </si>
  <si>
    <t>Lucas Pivetta</t>
  </si>
  <si>
    <t>15996012600</t>
  </si>
  <si>
    <t>03/11/2025 00:00</t>
  </si>
  <si>
    <t>01/12/2025</t>
  </si>
  <si>
    <t>12/12/2025</t>
  </si>
  <si>
    <t>Feito vários contatos com o cliente sem sucesso. 
12/01/2026
23-01 Fiz Fups com o Jairo hoje para saber se ele vai seguir ou não com o projeto. Caso não me responda vou encerrar a oportunidade , prazo 31/01.
06/02 Fiz FUP com  o Jairo e por falta de interesse estou declinando a proposta.
07/02 Jairo me respondeu e avisou que vai implantar o Totvs lá. E futuramente retorna a falar comigo sobre Força de Venda.</t>
  </si>
  <si>
    <t>medihosp</t>
  </si>
  <si>
    <t>MEDIHOSP</t>
  </si>
  <si>
    <t>(11) 2506-6323/ (11) 2506-6589</t>
  </si>
  <si>
    <t>medihosp@medihosp.com.br</t>
  </si>
  <si>
    <t>07/02 Jairo me respondeu e avisou que vai implantar o Totvs lá. E futuramente retorna a falar comigo sobre Força de Venda.</t>
  </si>
  <si>
    <t>05/11/2025 00:00</t>
  </si>
  <si>
    <t>04/11/2025 00:00</t>
  </si>
  <si>
    <t>Salopet Embalagens Plasticas Ltda</t>
  </si>
  <si>
    <t>salopet embalagens plasticas - erp</t>
  </si>
  <si>
    <t>(11) 2575-1800</t>
  </si>
  <si>
    <t>paralegal10@mgcontecnica.com.br</t>
  </si>
  <si>
    <t>EMBU DAS ARTES</t>
  </si>
  <si>
    <t>estou descartando por falta de atividades do André, já agendou varias vezes e não aparece nas reuniões 
Fala chefe, boa tarde 
Está uma loucura esse final de ano
Mais vamos lá
Hoje uso o sistema Areco ele é gigante e tem tudo o que precisamos mais está em falta com o suporte e o preço está ficando alto
Vou tentar finalizar algumas coisa e na sexta-feira na parte da manhã estarei mais tranquilo ai chamo pra que possamos conversar</t>
  </si>
  <si>
    <t>12/11/2025</t>
  </si>
  <si>
    <t>tecelegam castilho - mdfe</t>
  </si>
  <si>
    <t>Tecelegam Castilho - MDFe</t>
  </si>
  <si>
    <t>O projeto já está fechado e o contrato está com o cliente aguardando assinatura. O follow-up está sendo feito diariamente e a previsão de fechamento é até 19/12/2025.</t>
  </si>
  <si>
    <t>atacadao montebello - b2b</t>
  </si>
  <si>
    <t xml:space="preserve">Atacadão MOntebello </t>
  </si>
  <si>
    <t>(19) 3377-2746 / (19) 3426-1450</t>
  </si>
  <si>
    <t>administracao@atacadaoamontebello.com.br</t>
  </si>
  <si>
    <t>28/11/2025</t>
  </si>
  <si>
    <t xml:space="preserve">newbaby - erp </t>
  </si>
  <si>
    <t xml:space="preserve">NewBaby - ERP </t>
  </si>
  <si>
    <t>11979734057</t>
  </si>
  <si>
    <t>dani@3lrepresentacoes.com.br</t>
  </si>
  <si>
    <t xml:space="preserve">Em contato com Dani ! 
eles só queriam a priori uma estimativa de investimento nas soluções Guarani ! a ideia é aos poucos convencer a Giselia na troca do sistema </t>
  </si>
  <si>
    <t>04/11/2025</t>
  </si>
  <si>
    <t>Kitay Industria E Comercio De Alimentos Ltda</t>
  </si>
  <si>
    <t>kitay industria e comercio de alimentos ltda</t>
  </si>
  <si>
    <t>(11) 4018-3764</t>
  </si>
  <si>
    <t>claudiorcsalles@gmail.com</t>
  </si>
  <si>
    <t>VARGEM GRANDE PAULISTA</t>
  </si>
  <si>
    <t xml:space="preserve">mdl - wms </t>
  </si>
  <si>
    <t xml:space="preserve">MDL - WMS </t>
  </si>
  <si>
    <t>24/11/2025</t>
  </si>
  <si>
    <t xml:space="preserve">newbaby - cloud </t>
  </si>
  <si>
    <t xml:space="preserve">NewBaby - Cloud </t>
  </si>
  <si>
    <t>Em contato com Dani ! 
eles só queriam a priori uma estimativa de investimento nas soluções Guarani ! a ideia é aos poucos convencer a Giselia na troca do sistema</t>
  </si>
  <si>
    <t xml:space="preserve">baag - incl.cnpj </t>
  </si>
  <si>
    <t xml:space="preserve">Baag - Incl.CNPJ </t>
  </si>
  <si>
    <t>7530217768</t>
  </si>
  <si>
    <t>e.s maia - afv</t>
  </si>
  <si>
    <t xml:space="preserve">E.S Maia </t>
  </si>
  <si>
    <t>11969325678</t>
  </si>
  <si>
    <t xml:space="preserve">nao esta no momento certo </t>
  </si>
  <si>
    <t>phabllo parambu atacado - erp</t>
  </si>
  <si>
    <t xml:space="preserve">Phabllo Parambu Atacado - ERP </t>
  </si>
  <si>
    <t>88996365702</t>
  </si>
  <si>
    <t>phabllo2022@gmail.com</t>
  </si>
  <si>
    <t>COCAL</t>
  </si>
  <si>
    <t>PI</t>
  </si>
  <si>
    <t xml:space="preserve">Cliente não tem tempo para fazermos apresentação </t>
  </si>
  <si>
    <t>phabllo parambu atacado - cloud</t>
  </si>
  <si>
    <t>Phabllo Parambu Atacado - Cloud</t>
  </si>
  <si>
    <t>salopet embalagens plasticas - cloud</t>
  </si>
  <si>
    <t>Salopet Embalagens Plasticas - Cloud</t>
  </si>
  <si>
    <t>1125751800</t>
  </si>
  <si>
    <t>lojas tem</t>
  </si>
  <si>
    <t>Samuel Ferreira</t>
  </si>
  <si>
    <t>(38) 99741-8594</t>
  </si>
  <si>
    <t>lojastem.financeiro@gmail.com</t>
  </si>
  <si>
    <t>Montes Claros</t>
  </si>
  <si>
    <t>Solicita demo;30%</t>
  </si>
  <si>
    <t>26/11/2025 00:00</t>
  </si>
  <si>
    <t>Cobrei a Luciana sobre a sequência do projeto ou não (09/01/2026)
23/01 - Fiz FUPs hoje com a Lucimeire, chamando ela para retomar as negociações, aguardar ele responder para saber se vamos seguir ou não? R: Ela retornou avisando que a negociação está pausada por enquanto.</t>
  </si>
  <si>
    <t>bela flor</t>
  </si>
  <si>
    <t>Lucimeire Jardim</t>
  </si>
  <si>
    <t>(17) 99270-5941</t>
  </si>
  <si>
    <t>gerencia.adm@belaflor.com.br</t>
  </si>
  <si>
    <t>São José do Rio Preto</t>
  </si>
  <si>
    <t>Solicita demo;Pausado;30%</t>
  </si>
  <si>
    <t>653</t>
  </si>
  <si>
    <t>ERP, AFV, BI, WMS</t>
  </si>
  <si>
    <t>R$ 130.600</t>
  </si>
  <si>
    <t>R$ 16.809,82</t>
  </si>
  <si>
    <t>Falei com Rodrigo CFO, e vamos negociar a proposta na semana do dia 12/01/2025.
Falei hoje 12/01 com Rodrigo cobrando um aposição dele.
14/01 - Hoje o Jeferson TI me ligou avisando que a diretoria reprovou o valor mensal. Porém a equipe interna gostou muito do sistema e esta batalhando para seguir. Com isso ele apresentou um valor base de R$60,00 por usuário estou estudando uma estratégia para responder. Acionei o Fábio.
19/01: No dia 15/01 foi resolvido a questão da proposta. A pendência agora é em relação a integração com Sênior, ou seja, Jeferson esta fazendo orçamento com pessoal da Sênior, só após daremos andamento. Previsto uma conversa para sexta-feira próxima, dia 23/01.</t>
  </si>
  <si>
    <t>imev proteinas</t>
  </si>
  <si>
    <t>43996624014</t>
  </si>
  <si>
    <t>90%;Fabio Indica</t>
  </si>
  <si>
    <t>A diretoria não aprovou o projeto devido o total da implantação ficar na casa dos 32k. Somando o projeto do Sênior 15-20k e Guarani 16k</t>
  </si>
  <si>
    <t>19/11/2025 00:00</t>
  </si>
  <si>
    <t>Falei hoje com o Abdallah, o mesmo esta fora do Brasil. Combinamos de falar na sua volta que é em 15/01/2026!
23/01 - Após conversa com o Abdallah, o mesmo ainda continua fora do brasil e em nossa conversa falou que não tem resposta se vai ou não mudar. Com base no histórico das conversa ele não tem interesse de mudança no curto prazo. Sendo assim, estou declinando a proposta e futuramente voltamos a falar.</t>
  </si>
  <si>
    <t>aih importadora de artigos de presentes ltda</t>
  </si>
  <si>
    <t>Abdallah</t>
  </si>
  <si>
    <t>(11) 3228-9751</t>
  </si>
  <si>
    <t>aihfinanceiro@gmail.com</t>
  </si>
  <si>
    <t>Hoje foi realizada a apresentação do PDV do ERP ao cliente. O fechamento está previsto para ocorrer até 19/12/2025.</t>
  </si>
  <si>
    <t>plastcap treinamento</t>
  </si>
  <si>
    <t xml:space="preserve">Jose Eduardo </t>
  </si>
  <si>
    <t>(19) 3492-9944</t>
  </si>
  <si>
    <t>adm@plastcap.com.br</t>
  </si>
  <si>
    <t>CAPIVARI</t>
  </si>
  <si>
    <t>21/11/2025 00:00</t>
  </si>
  <si>
    <t>Não vai seguir com esse projeto no momento! Primeiro vai fazer a reciclagem e no meio do ano de 2026, voltamos a falar.</t>
  </si>
  <si>
    <t>platcap cloud</t>
  </si>
  <si>
    <t>Jose Eduardo</t>
  </si>
  <si>
    <t>distribuidora explosão 10</t>
  </si>
  <si>
    <t>Kaue Prado</t>
  </si>
  <si>
    <t>49998169464</t>
  </si>
  <si>
    <t>11/11/2025 00:00</t>
  </si>
  <si>
    <t>Após retorno do Jeferson fui informado que ele não vai seguir com o projeto no momento.</t>
  </si>
  <si>
    <t>luz wms</t>
  </si>
  <si>
    <t>Jeferson</t>
  </si>
  <si>
    <t>83998878069</t>
  </si>
  <si>
    <t>24/11/2025 00:00</t>
  </si>
  <si>
    <t>Fabiana</t>
  </si>
  <si>
    <t>12/11/2025 00:00</t>
  </si>
  <si>
    <t>agua sana cnpj</t>
  </si>
  <si>
    <t>10/11/2025 00:00</t>
  </si>
  <si>
    <t>O próximo passo é Junior Lopes contatar a Tânia para confirmar o envio do vídeo do armazém e obter uma data definida para isso. Ele também deve atualizar no sistema o campo “O que falta para atingir o objetivo” com os requisitos pendentes e registrar um próximo passo com data, como analisar o vídeo ou agendar uma reunião para discutir sua avaliação.</t>
  </si>
  <si>
    <t xml:space="preserve">fafa import - wms </t>
  </si>
  <si>
    <t xml:space="preserve">FaFa Import - WMS </t>
  </si>
  <si>
    <t>86188758539</t>
  </si>
  <si>
    <t>tecelagem castilho - proposta web</t>
  </si>
  <si>
    <t>Tecelagem Castilho - Proposta Web</t>
  </si>
  <si>
    <t>6293622662</t>
  </si>
  <si>
    <t xml:space="preserve">por enquanto vai fazer as aprovações via ERP </t>
  </si>
  <si>
    <t>Falei hoje 09/01/2026 com o Mario para saber se seguiremos. Ele está fora do brasil retomar contato em 15/01.
23/01 fazer proposta e enviar ao mario.
06/02 Fiz FUP e não evoluiu a conversa pois o Mario está estruturando a empresa e nesse momento vai aguardar.</t>
  </si>
  <si>
    <t>maia 4</t>
  </si>
  <si>
    <t>Mario Perez</t>
  </si>
  <si>
    <t>(11) 99471-3332</t>
  </si>
  <si>
    <t>mariovperez@hotmail.com</t>
  </si>
  <si>
    <t>01/12/2025 00:00</t>
  </si>
  <si>
    <t>02/12/2025 00:00</t>
  </si>
  <si>
    <t>Falei com a Valeria hoje 09/01/26 para saber sobre a retomada do projeto.
23/01 Fiz FUP hoje com a Valeria cobrando se seguiremos ou não com o projeto, prazo para declinar 31/01.</t>
  </si>
  <si>
    <t>zomax</t>
  </si>
  <si>
    <t>Valéria Honorato da Silva</t>
  </si>
  <si>
    <t>(45) 99903-2312</t>
  </si>
  <si>
    <t>valeriahonoratomkt@gmail.com</t>
  </si>
  <si>
    <t>Santa Tereza do Oeste</t>
  </si>
  <si>
    <t>05/12/2025 00:00</t>
  </si>
  <si>
    <t>Falei com a Kelly hoje que me passou as informações que faltava para formular a proposta. Agora e falar com o Fernando e montar a proposta e apresentar.
23/01 Falei com a Kelly em 19/01, e ela avisou que estava de férias e que retorno essa semana , e que só vai conseguir analisar a proposta na semana do dia 26/01, quando retornarei o contato.
07/02 Fiz FUP com a Kelly e perguntei se ela vai ou não seguir com o projeto, não retornou ainda.</t>
  </si>
  <si>
    <t>val port</t>
  </si>
  <si>
    <t>kelly</t>
  </si>
  <si>
    <t>(12) 97403-0134</t>
  </si>
  <si>
    <t>mkt@valport.com.br</t>
  </si>
  <si>
    <t>03/12/2025 00:00</t>
  </si>
  <si>
    <t>416</t>
  </si>
  <si>
    <t>ERP, AFV, BI, PDV, ADICIONAIS</t>
  </si>
  <si>
    <t>R$ 104.490</t>
  </si>
  <si>
    <t>R$ 11.195,70</t>
  </si>
  <si>
    <t xml:space="preserve">Cobrei hoje 09/01 o Alex, para saber sobre a evolução do projeto em 2026.
14/01 - O Alex me ligou hoje avisando que a empresa optou pelo mais barato e fechou com a RioSoft. </t>
  </si>
  <si>
    <t>tron</t>
  </si>
  <si>
    <t>Alex</t>
  </si>
  <si>
    <t>1799137617</t>
  </si>
  <si>
    <t xml:space="preserve">O Alex me ligou hoje avisando que a empresa optou pelo mais barato e fechou com a RioSoft. </t>
  </si>
  <si>
    <t>sago impor wms</t>
  </si>
  <si>
    <t>Hoje 09/01/26 cobrei a Michelli para saber se ela vai seguir ou não com o projeto.
23/01 - Fiz FUp com a Michelle hoje para saber se vamos ou não seguir com o projeto. 
R: Falou que a proposta esta sobe analise da diretoria e que para a próxima semana já terá um retorno. 
07/02 Fiz FUP com a Michelle e ela me posicionou que não vai trocar de sistema por enquanto.</t>
  </si>
  <si>
    <t xml:space="preserve">hf utilidades </t>
  </si>
  <si>
    <t>MICHELE</t>
  </si>
  <si>
    <t>(12) 99635-6502</t>
  </si>
  <si>
    <t>flavia.honorato@hotmail.com</t>
  </si>
  <si>
    <t>Guaratinguetá</t>
  </si>
  <si>
    <t>07/02 Fiz FUP com a Michelle e ela me posicionou que não vai trocar de sistema por enquanto.</t>
  </si>
  <si>
    <t>10/12/2025 00:00</t>
  </si>
  <si>
    <t>Falei com a Kelly hoje que me passou as informações que faltava para formular a proposta. Agora e falar com o Fernando e montar a proposta e apresentar.
13/01/2026 - Apresentar proposta
23/01 Falei com a Kelly em 19/01, e ela avisou que estava de férias e que retorno essa semana , e que só vai conseguir analisar a proposta na semana do dia 26/01, quando retornarei o contato.
07/02 Fiz FUP com a Kelly e perguntei se ela vai ou não seguir com o projeto, não retornou ainda.</t>
  </si>
  <si>
    <t>valport b2b</t>
  </si>
  <si>
    <t xml:space="preserve">Kelly </t>
  </si>
  <si>
    <t>(12) 3204-5200</t>
  </si>
  <si>
    <t>financeiro@valport.com.br</t>
  </si>
  <si>
    <t>SAO JOSE DOS CAMPOS</t>
  </si>
  <si>
    <t>R$ 13.100</t>
  </si>
  <si>
    <t>R$ 1.700</t>
  </si>
  <si>
    <t>Falei com o Dalvan que esta devendo os dados para fazer a proposta. Segundo ele até o dia 09/01/26 ele termina de preencher. Após receber fazer proposta junto ao Fernando.
23/01 Fiz FUP hoje com o DALVAN, o bicho é enrolado não responde os questionamentos que preciso para fazer a proposta.
06/02 Estou declinando a proposta por falta de interação. o Dalvan, não me responde.</t>
  </si>
  <si>
    <t xml:space="preserve">atual mix </t>
  </si>
  <si>
    <t xml:space="preserve"> Dalvan barros</t>
  </si>
  <si>
    <t>(99) 98265-8209</t>
  </si>
  <si>
    <t>atualmiix@gmail.com</t>
  </si>
  <si>
    <t>Porto Franco</t>
  </si>
  <si>
    <t>06/02 Estou declinando a proposta por falta de interação. o Dalvan, não me responde.</t>
  </si>
  <si>
    <t>15/12/2025 00:00</t>
  </si>
  <si>
    <t xml:space="preserve">(07/01/2026) visita comercial 
(14/01/2026) Visita apresentação com Max 
(29/01/2026) cliente esta ligando para nossos clientes  </t>
  </si>
  <si>
    <t>Vic Import, Comercio, Importacao E Exportacao De Brinquedos E Utilidades Em Geral Ltda</t>
  </si>
  <si>
    <t>vic import - erp</t>
  </si>
  <si>
    <t>50%;Fabio Indica</t>
  </si>
  <si>
    <t>14/01/2026</t>
  </si>
  <si>
    <t>07/01/2026</t>
  </si>
  <si>
    <t xml:space="preserve">vic import - afv </t>
  </si>
  <si>
    <t xml:space="preserve">Vic Import - AFV </t>
  </si>
  <si>
    <t>1121710800</t>
  </si>
  <si>
    <t xml:space="preserve">seguindo com ERP </t>
  </si>
  <si>
    <t>16/12/2025</t>
  </si>
  <si>
    <t>15/12/2025</t>
  </si>
  <si>
    <t xml:space="preserve">vic import - cloud </t>
  </si>
  <si>
    <t xml:space="preserve">Vic Import - Cloud </t>
  </si>
  <si>
    <t>Conthey Presentes E Decoracoes Ltda</t>
  </si>
  <si>
    <t>conthey - erp</t>
  </si>
  <si>
    <t xml:space="preserve">(11) 2081-7750 </t>
  </si>
  <si>
    <t>sc@conthey.com.br</t>
  </si>
  <si>
    <t>PALHOCA</t>
  </si>
  <si>
    <t>11/12/2025</t>
  </si>
  <si>
    <t>09/12/2025</t>
  </si>
  <si>
    <t xml:space="preserve">fechamos ERP , estou descartando essa oportunidade </t>
  </si>
  <si>
    <t xml:space="preserve">conthey - afv </t>
  </si>
  <si>
    <t xml:space="preserve">Conthey - AFV </t>
  </si>
  <si>
    <t>11982163176</t>
  </si>
  <si>
    <t xml:space="preserve">conthey - cloud </t>
  </si>
  <si>
    <t xml:space="preserve">Conthey - Cloud </t>
  </si>
  <si>
    <t xml:space="preserve">star - b2b </t>
  </si>
  <si>
    <t xml:space="preserve">Star - B2B </t>
  </si>
  <si>
    <t>02/12/2025</t>
  </si>
  <si>
    <t xml:space="preserve">tecelagem castilho - contábil </t>
  </si>
  <si>
    <t xml:space="preserve">Tecelagem Castilho - Contábil </t>
  </si>
  <si>
    <t>rto, obrigada
Dayane ! O módulo contábil faz sentido para vocês  ?
No momento não
Olá Dayane ! perfeito , ficamos a disposição ! um ótimo final de semana</t>
  </si>
  <si>
    <t>erca alumínio - imp.xml</t>
  </si>
  <si>
    <t>Erca Alumínio - Imp.XML</t>
  </si>
  <si>
    <t>19999989392</t>
  </si>
  <si>
    <t>Em conversa com o Valter ficou combinado de falar no dia 19/01, pois ele esta em viagem.
23/01 Fiz contato com o Walter hoje para cobrar ele nossa agenda para a próxima semana.</t>
  </si>
  <si>
    <t>union ind</t>
  </si>
  <si>
    <t>Valter</t>
  </si>
  <si>
    <t>11996577830</t>
  </si>
  <si>
    <t>vppeliciari@gmail.com</t>
  </si>
  <si>
    <t>Campanha</t>
  </si>
  <si>
    <t>30%;Instagram;Dentro Perfil</t>
  </si>
  <si>
    <t xml:space="preserve">(16/01/2026) Entrei em contato com Allan ! segundo ele esta verificando com a diretoria sobre a sequencia no projeto ! informei que nossa proposta está vencida e que preciso de uma decisão urgente para nao  perdemos o valor 
16/01/2026 em contato com Allan ! decidiu por nao dar sequencia nesse momento ! o motivo é por conta do investimento  </t>
  </si>
  <si>
    <t>toptem - erp</t>
  </si>
  <si>
    <t>Allan Kaynã Vargas</t>
  </si>
  <si>
    <t>(49) 99929-0242</t>
  </si>
  <si>
    <t>comercial2@topten.net.br</t>
  </si>
  <si>
    <t>Guarujá do Sul</t>
  </si>
  <si>
    <t xml:space="preserve">16/01/2026 em contato com Allan ! decidiu por nao dar sequencia nesse momento ! o motivo é por conta do investimento  </t>
  </si>
  <si>
    <t>22/12/2025</t>
  </si>
  <si>
    <t>19/12/2025</t>
  </si>
  <si>
    <t>toptem - afv</t>
  </si>
  <si>
    <t>TopTem - AFV</t>
  </si>
  <si>
    <t>49999290242</t>
  </si>
  <si>
    <t>atacado sibras 1.99</t>
  </si>
  <si>
    <t>Atacado Sibras 1.99</t>
  </si>
  <si>
    <t>4191190775</t>
  </si>
  <si>
    <t>andrearnpauli@hotmail.com</t>
  </si>
  <si>
    <t>Instagram;Fora Perfil</t>
  </si>
  <si>
    <t>bj engenharia</t>
  </si>
  <si>
    <t>BJ Engenharia</t>
  </si>
  <si>
    <t>6195770926</t>
  </si>
  <si>
    <t>eduaniceto@engenhariabomjesus.com.br</t>
  </si>
  <si>
    <t xml:space="preserve">cliente fora do perfil , construtora </t>
  </si>
  <si>
    <t xml:space="preserve">Lead entrou em contato no Whatsapp Business do Damián.
(21/01/2026) 09:14, 21/01/2026 Junior Lopes: Olá Dário ! Bom dia , Td bem ?
09:30, 21/01/2026 Chavetas: Bom dia Júnior, td bem ? Estou a analisar as diversas empresas que tive contato, os prós e contras, porém com calma, para fazer algo que realmente atenda a necessidades.
(21/01/2026) além do material que enviei para Dário , sugeri a ele uma visita comercial para apresentar nossas soluções 
(29/01/2026) Estou alinhando com Dário mais uma rodada de apresentação ! ele esta indeciso em algumas opções concorrentes </t>
  </si>
  <si>
    <t>chavetas comercio de pecas e ferramentas ltda</t>
  </si>
  <si>
    <t>Chavetas Comércio de Peças e Ferramentas Ltda.</t>
  </si>
  <si>
    <t>(11) 98183-5003</t>
  </si>
  <si>
    <t>dario@chavetasecia.com.br</t>
  </si>
  <si>
    <t xml:space="preserve">(21/01/2026) em contato com Edilson 
pediu para retornar contato no dia 26/01 pois esta bem corrido devido a um feriado na cidade ! ele pediu para enviar material sobre nossas soluções 
(29/01/2026) Cliente esta analisando demais ferramentas ! estamos organizando apresentação do AFV 
(18/02/2026) Edilson declinou por conta do valor acima da expectativa de investimento ! não ofertou contra proposta pq valor estava bem acima do esperado </t>
  </si>
  <si>
    <t>ColorUnhas</t>
  </si>
  <si>
    <t>(44) 9706-9580</t>
  </si>
  <si>
    <t>colorunhas@uol.com.br</t>
  </si>
  <si>
    <t>TELEMACO BORBA</t>
  </si>
  <si>
    <t xml:space="preserve">(18/02/2026) Edilson declinou por conta do valor acima da expectativa de investimento ! não ofertou contra proposta pq valor estava bem acima do esperado </t>
  </si>
  <si>
    <t>21/01/2026</t>
  </si>
  <si>
    <t>Reunião agendada para o dia 23/01 
17-02 Cliente deu negativa no avanço do projeto,pois o valor ficou fora do que estão planejando 
E receberam uma proposta comercial de 30mil de implantação e 4mil de mensalidade do sistema webmais
https://webmaissistemas.com.br/</t>
  </si>
  <si>
    <t>doce festa - erp - afv + bi</t>
  </si>
  <si>
    <t>Doce festa</t>
  </si>
  <si>
    <t>17981152060</t>
  </si>
  <si>
    <t>paulopedroso@produtosdocefesta.com.br</t>
  </si>
  <si>
    <t>50%;Instagram;Dentro Perfil</t>
  </si>
  <si>
    <t>Proposta feita,aguardando agenda do cliente para apresentar
Oi, Rayssa, tudo bem?
Estamos em processo de mudança de local e, por isso, essa semana está bem corrida por aqui. Acabei ficando sem tempo para conseguir conversar com calma agora.</t>
  </si>
  <si>
    <t>Irriga House Irrigacao Comercial Agricola Ltda</t>
  </si>
  <si>
    <t>irriga house</t>
  </si>
  <si>
    <t>Irriga house</t>
  </si>
  <si>
    <t>11973112176</t>
  </si>
  <si>
    <t>vendas@irrigahouse.com.br</t>
  </si>
  <si>
    <t>JUNDIAI</t>
  </si>
  <si>
    <t>19/01/2026</t>
  </si>
  <si>
    <t>13/01/2026</t>
  </si>
  <si>
    <t>Hoje (12/01/26) cobrei o Allan se ele tem interesse nas soluções da Guarani Sim ou Não. Por ele não atende minhas ligações. (13/01 - Chamei e liguei para o Allan, sem retorno.
12/01 Fiz FUP, com Allan, fechou com uma empresa de menor e falou que se não se adaptar volta a fazer contato.</t>
  </si>
  <si>
    <t>distribuidora do wicca</t>
  </si>
  <si>
    <t>Allan</t>
  </si>
  <si>
    <t>12982018157</t>
  </si>
  <si>
    <t>e.mazala@hotmail.com</t>
  </si>
  <si>
    <t>optou por uma empresa menor neste momento.</t>
  </si>
  <si>
    <t>Liberado em degustação por 7 dias e depois efetivar vendas .
Liberado a degustação em 12/01.
19/01: Cobrei o Mario pra saber se esta tudo ok. E se iremos seguir ou não com a contratação.
23/01 - Em conversa com o Mario, o suporte ainda esta configurando e após vai treinar e assim vou conseguir contabilizar os 7 dias de degustação e fechar o negocio.</t>
  </si>
  <si>
    <t>jp distribuidora - agenda visita</t>
  </si>
  <si>
    <t>Mario</t>
  </si>
  <si>
    <t>11982243773</t>
  </si>
  <si>
    <t>vendas1.jpdistribuidora@gmail.com</t>
  </si>
  <si>
    <t>08/01/2026 00:00</t>
  </si>
  <si>
    <t>2</t>
  </si>
  <si>
    <t>ADICIONAIS</t>
  </si>
  <si>
    <t>R$ 0</t>
  </si>
  <si>
    <t>R$ 66</t>
  </si>
  <si>
    <t>Fechado.</t>
  </si>
  <si>
    <t>aki tem  - cnpj</t>
  </si>
  <si>
    <t>Walter</t>
  </si>
  <si>
    <t>19983040748</t>
  </si>
  <si>
    <t>walter@akitembembarato.com</t>
  </si>
  <si>
    <t>Falei com o Robson hoje , questionando sobre a proposta e se tem alguma dúvida.
23/01 - Fiz FUPs hoje com o Robson :
R: Bom dia Paulo, fiz umas considerações na proposta e farei uma reunia com os diretores para apresentação, na sequência quero marcar uma reunião com vocês para conversarmos.
Eu espero te posicionar na próxima terça-feira.</t>
  </si>
  <si>
    <t>aluminio nacional</t>
  </si>
  <si>
    <t>Robson</t>
  </si>
  <si>
    <t>(11) 4677-6249/ (11) 4677-6250</t>
  </si>
  <si>
    <t>contato@aluminionacional.com.br</t>
  </si>
  <si>
    <t>FERRAZ DE VASCONCELOS</t>
  </si>
  <si>
    <t>09/01/2026 00:00</t>
  </si>
  <si>
    <t>290</t>
  </si>
  <si>
    <t>R$ 58.000</t>
  </si>
  <si>
    <t>Falei com a Enila e cobrei uma posição se vamos avançar ou não com o projeto. Ela ficou de conversar com o Glayson e me dar um retorno até 12/01/2026.</t>
  </si>
  <si>
    <t>pcp engenharia</t>
  </si>
  <si>
    <t>Enila</t>
  </si>
  <si>
    <t>(16) 3412-8794</t>
  </si>
  <si>
    <t>operacao@pcp.eng.br</t>
  </si>
  <si>
    <t>Falei com o Ivan hoje que não me deu atenção avisou que estava no transito e não podia atender. Falou para chamar ele no zap e combinar um horário semana que vem. 13/01 - Retomei contato com o IVan e não obtive retorno.
23/01 declinei a proposta por falta de interesse por parte do cliente, não me atendeu e nem respondeu meus contatos.</t>
  </si>
  <si>
    <t>afey peças</t>
  </si>
  <si>
    <t>Ivan</t>
  </si>
  <si>
    <t>11930305063</t>
  </si>
  <si>
    <t>liraivan2000@yahoo.com.br</t>
  </si>
  <si>
    <t>30%;Instagram;Fora Perfil</t>
  </si>
  <si>
    <t xml:space="preserve">(12/01/2026) Em contato com Bruno realizamos uma apresentação do força de vendas em 12/01/2026 e falamos um pouco sobre nosso ERP ! logo pediu uma ideia de investimento para seguir 
(29/01/2026) Após envio de proposta cliente não respondeu mais </t>
  </si>
  <si>
    <t>folha dourada tabacos ltda</t>
  </si>
  <si>
    <t>(32) 8408-3586</t>
  </si>
  <si>
    <t>atacabaco@gmail.com</t>
  </si>
  <si>
    <t>JUIZ DE FORA</t>
  </si>
  <si>
    <t xml:space="preserve">(29/01/2026) Após envio de proposta cliente não respondeu mais </t>
  </si>
  <si>
    <t>12/01/2026</t>
  </si>
  <si>
    <t>Realizamos a apresentação do ERP junto com o  Max seguindo o documento deles de chekilist d aderencia do software, tiraram duvidas dos processos e seguiemos para uma segunda apresentação do AFV e Do BI
26/01 Video do AFV encaminhado ao cliente, 
Precisamos de mais uma agenda para demonstração das demais soluções
26.01 - aguardando Fernando passar horas do projeto
05.02 estou tentando falar com o cliente a algum tempo,fizemos uma reunião para discutir pontos sobre o ERP. E após isso cliente pediu uma proposta comercial, porém para seguir eu precisava levantar alguns dados que não me foram enviados e depois de várias tentativas cliente não me respondeu
Após nossa reunião sobre o ERP, preparei os pontos necessários para avançarmos com a proposta comercial. No entanto, não recebi os dados solicitados para dar continuidade e, sem eles, não conseguimos evoluir.
Gostaria de reforçar que esta solução representa uma oportunidade única de crescimento e ganho de eficiência para sua empresa. Cada semana de Como não tive nenhum retorno, entendo que não há interesse em seguir neste momento e encerrarei o processo. Ainda assim, permanecerei à disposição para retomar quando considerar oportuno.
Atenciosamente,</t>
  </si>
  <si>
    <t>cls industria de produtos quimicos ltda</t>
  </si>
  <si>
    <t>CLS Química</t>
  </si>
  <si>
    <t>16996298460</t>
  </si>
  <si>
    <t>keila.graciele@clsquimica.com.br</t>
  </si>
  <si>
    <t>15/01/2026</t>
  </si>
  <si>
    <t>Tiago, retorna apena no dia 15/01, data que retomo o contato com ele.
23/01 - Fechamos negocio.</t>
  </si>
  <si>
    <t>nvt importadora</t>
  </si>
  <si>
    <t xml:space="preserve">Tiago </t>
  </si>
  <si>
    <t>11971597112</t>
  </si>
  <si>
    <t>05/01/2026 00:00</t>
  </si>
  <si>
    <t>Cobrei o André hoje aguardando o retorno sobre a evolução do projeto.
19/01 Fiz FUP com o Andre ele me posicionou que o presidente esta afastado por motivos de saúde e que como ele que decide, só na volta dele para avança. A previsão e que ele retorne na semana do dia 26/1.
07/02 Fiz fup hoje com o André e aguardo a posição dele se a diretoria retornou e se vamos seguir ou não com o projeto.</t>
  </si>
  <si>
    <t>olé alimentos</t>
  </si>
  <si>
    <t>Andre</t>
  </si>
  <si>
    <t>11982745856</t>
  </si>
  <si>
    <t>andrefelipone@olealimentos.com.br</t>
  </si>
  <si>
    <t>30%;Fabio Indica</t>
  </si>
  <si>
    <t>R$ 18.330</t>
  </si>
  <si>
    <t>11:25, 1/13/2026 +55 47 8834-5510: Bom dia Rayssa. Tudo bem?
11:25, 1/13/2026 +55 47 8834-5510: Aguarde um pouco antes de continuar a RFP.
11:25, 1/13/2026 Rayssa Karapeticov - Comercial - Guarani Sistemas: Tudo otimo e  você?
Blzinha
11:28, 1/13/2026 +55 47 8834-5510: Existem alguns itens que observei e conversei com as áreas envolvidas, e que são difícil de negociar, comparado com outros fabricantes que já estão também participando.
11:29, 1/13/2026 +55 47 8834-5510: Vamos deixar nesse momento suspenso o processo de RFP com vcs, e caso ocorra alguma mudança muito grande com aqueles que estão participando, eu aviso a necessidade de retomar ok?
11:29, 1/13/2026 +55 47 8834-5510: Agradeço demais seu tempo até aqui, e é realmente para evitar um trabalho maior agora, que tz não seja possível avançar depois.
11:30, 1/13/2026 +55 47 8834-5510: 🙏🏻🙏🏻🙏🏻🙏🏻
11:30, 1/13/2026 Rayssa Karapeticov - Comercial - Guarani Sistemas: Entendo perfeitamente, para resgistro de feedback, quais são esses pontos?
11:32, 1/13/2026 +55 47 8834-5510: Em especial itens de tecnologia, e alguns pontos das áreas de negócio já preenchidas. 
Fiz um bate papo com a equipe para olharmos oq já foi preenchido, e relacionamos com os demais fabricantes que estão participando.
11:33, 1/13/2026 Rayssa Karapeticov - Comercial - Guarani Sistemas: Certo, fico a disposição aqui caso queira continuar. 
Qualquer duvida também pode me chamar
11:33, 1/13/2026 +55 47 8834-5510: Como o objetivo é seguir a prox fase com no máx 3 fabricantes, outros fabricantes já se enquadraram melhor no que estamos buscando.
11:33, 1/13/2026 +55 47 8834-5510: Mas se algo mudar durante o processo, eu aviso. Muito obrigadoooo!!!
11:34, 1/13/2026 Rayssa Karapeticov - Comercial - Guarani Sistemas: Combinado</t>
  </si>
  <si>
    <t>Maral Industria E Comercio De Brinquedos Ltda</t>
  </si>
  <si>
    <t>maral</t>
  </si>
  <si>
    <t xml:space="preserve">Carlos Alberto Kuehl  </t>
  </si>
  <si>
    <t>(47) 3387-5400/ (47) 3394-0982</t>
  </si>
  <si>
    <t>contato@maral.ind.br</t>
  </si>
  <si>
    <t>POMERODE</t>
  </si>
  <si>
    <t>Feiras;30%;Dentro Perfil</t>
  </si>
  <si>
    <t>Falei com o Kleber hoje novamente e estou aguardando ele me dar um retorno sobre agenda. 13/01 - Fiz contato com o Kleber para saber se tem interesse ou não em seguir,</t>
  </si>
  <si>
    <t>loggix serviços material escolar</t>
  </si>
  <si>
    <t>Kleber</t>
  </si>
  <si>
    <t>11991898161</t>
  </si>
  <si>
    <t>kleber.ppbh@gmail.com</t>
  </si>
  <si>
    <t>Falei Com Omar hoje 12/01 e ele falou que retorna de viagem dia 15/01 e é para procurá-lo.
23/01 Fiz FUP hoje como o Omar, para avançar com uma agenda na quinta ou sexta da semana do dia 26/01. Aguardando o retorno do cleinte.</t>
  </si>
  <si>
    <t>zini home</t>
  </si>
  <si>
    <t>Zini home</t>
  </si>
  <si>
    <t>12997937887</t>
  </si>
  <si>
    <t>omar@zinihome.com.br</t>
  </si>
  <si>
    <t>Fernando , esta de féria e só vamos conseguir realizar o bate-papo após o seu retorno. O previsto é no dia 16/01/2026.
23/01 Fiz FUP hoje com o Fernando para agendar uma reunião na semana que vem , na quarta ou quinta.
05/02 Fiz FUP hoje com o Fernando, e ele cancelou a nossa reunião das 10h. Fiz uma nova agenda para o dia 11/02 às 15h!</t>
  </si>
  <si>
    <t>Russa Diatribuidora</t>
  </si>
  <si>
    <t>11991303160</t>
  </si>
  <si>
    <t>fernando@russadistribuidora.com.br</t>
  </si>
  <si>
    <t>Após conversa com Everaldo ele informou que el loja de varejo e não vamos atender varejo em 2026</t>
  </si>
  <si>
    <t>riofix parafuso</t>
  </si>
  <si>
    <t xml:space="preserve">Everaldo </t>
  </si>
  <si>
    <t>(21) 96439-0742</t>
  </si>
  <si>
    <t>e.leonardojr@hotmail.com</t>
  </si>
  <si>
    <t>Rio de Janeiro</t>
  </si>
  <si>
    <t>Falei com o Joao hoje 12/01 e combinamos de conversa na segunda dia 15/01.
23/01 Fiz FUP hoje com o João para agendar uma apresentação na próxima semana.</t>
  </si>
  <si>
    <t xml:space="preserve">stok frios </t>
  </si>
  <si>
    <t xml:space="preserve">João </t>
  </si>
  <si>
    <t>(17) 98126-9337</t>
  </si>
  <si>
    <t>joao@stokfrios.com.br</t>
  </si>
  <si>
    <t>Solicita demo;Contato;30%</t>
  </si>
  <si>
    <t>Novos Leads (0%)</t>
  </si>
  <si>
    <t xml:space="preserve">(14/01/2026)Em contato com Marcelo para entender mais sobre sua empresa e necessidades 
(20/01/2026) em contato com André, sua confecção é de camisetas, uniformes, bonés ! existem algumas particularidades que necessitam no software como grades de cores e tamanhos e algumas particularidades para confecção ! atende cliente final B2C ! cliente de operação pequena que não esta na hora de embarcar com Guarani devido ao valor de investimento </t>
  </si>
  <si>
    <t>atacadão delfino</t>
  </si>
  <si>
    <t>Atacado Delfino</t>
  </si>
  <si>
    <t>51986006121</t>
  </si>
  <si>
    <t>dhcamisetas@terra.com.br</t>
  </si>
  <si>
    <t>(14/01/2026) Após tentativa por ligação foi efetuado tentativa de contato via WhatsApp conforme mensagem abaixo : 
(16/01/2026) tentei novamente contato via telefone com Nykollas porem sem retorno ! estou declinando oportunidade
16:31, 12/01/2026 Junior Lopes: Olá Nycollas , boa tarde
16:32, 12/01/2026 Junior Lopes: Sou Junior Lopes da Guarani sistemas! Td bem ?
11:56, 14/01/2026 Junior Lopes: Olá Boa tarde !  
Estamos retornando seu contato sobre nossas soluções em ERP ! Qual melhor horário para falarmos ?</t>
  </si>
  <si>
    <t>bk comercio</t>
  </si>
  <si>
    <t>BK COMÉRCIO LTDA</t>
  </si>
  <si>
    <t>92988541804</t>
  </si>
  <si>
    <t>nykollaskelvyn86@gmail.com</t>
  </si>
  <si>
    <t>Não consegui retorno nem contato</t>
  </si>
  <si>
    <t>fisiohosp</t>
  </si>
  <si>
    <t>6596658787</t>
  </si>
  <si>
    <t>contabilfisio2024@gmail.com</t>
  </si>
  <si>
    <t>cliente marcou uma reunião na sexta porém não entrou no link estou tentando reagendar mas não deu retorno</t>
  </si>
  <si>
    <t>vida fitness</t>
  </si>
  <si>
    <t>71996614629</t>
  </si>
  <si>
    <t>vidafitness@outlook.com.br</t>
  </si>
  <si>
    <t>Bom dia Luan, como vai?
Estou tentando contato com você para entender sua solicitação para conhecer nossos sistemas.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
Vou deixar uma apresentação de nossa empresa e quando tiver um tempo disponivel por retornar o contato</t>
  </si>
  <si>
    <t>hortodasacacias</t>
  </si>
  <si>
    <t>HORTODASACACIAS</t>
  </si>
  <si>
    <t>21966014543</t>
  </si>
  <si>
    <t>financeiro1@hortodasacacias.com.br</t>
  </si>
  <si>
    <t>Empresa fora do perfil, vendem produto porta a porta e o contato é  vendedor</t>
  </si>
  <si>
    <t>devons hair</t>
  </si>
  <si>
    <t>(41) 9900-2255 / (41) 8428-6900 / (18) 3361-4423</t>
  </si>
  <si>
    <t>denilribeiro@gmail.com</t>
  </si>
  <si>
    <t>CAMPO LARGO</t>
  </si>
  <si>
    <t>Hoje 13/01 busquei agenda com o Ricardo sem sucesso.
23/01 Fiz FUP hoje com o Ricardo para saber se ele quer ou nao seguir , pois ele não retorna os mus contatos.
23/01 o numero estava errado , consegui o numero certo e retomei os contatos sem sucesso no retorno ainda. 
07/02 Após diversas tentativa de contato com o Ricardo sem sucesso estou declinando a oportunidade.</t>
  </si>
  <si>
    <t>deltamed comercio</t>
  </si>
  <si>
    <t>Deltamed Comércio e Servicos Ltda</t>
  </si>
  <si>
    <t>51997766708</t>
  </si>
  <si>
    <t>rrnnaa@gmail.com</t>
  </si>
  <si>
    <t>07/02 Após diversas tentativa de contato com o Ricardo sem sucesso estou declinando a oportunidade.</t>
  </si>
  <si>
    <t>Bom dia Adelita, como vai?
Estou tentando contato com você para entender sua solicitação para conhecer nossos sistemas.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
Vou deixar uma apresentação de nossa empresa e quando tiver um tempo disponivel por retornar o contato</t>
  </si>
  <si>
    <t>alpinpro</t>
  </si>
  <si>
    <t>(35) 9125-9412</t>
  </si>
  <si>
    <t>adelita@alpinpro.com.br</t>
  </si>
  <si>
    <t>VARGINHA</t>
  </si>
  <si>
    <t>tapecaria e acessorios maraba</t>
  </si>
  <si>
    <t>Suprema</t>
  </si>
  <si>
    <t>4130959299</t>
  </si>
  <si>
    <t>ordelo01@jotmail.com</t>
  </si>
  <si>
    <t>carlinhos doces artesanais</t>
  </si>
  <si>
    <t>Carlinhos Doces Artesanais</t>
  </si>
  <si>
    <t>41997238911</t>
  </si>
  <si>
    <t>carlinhosrepresentacao24@gmail.com</t>
  </si>
  <si>
    <t>kuff consultoria</t>
  </si>
  <si>
    <t>Kuff Consultoria</t>
  </si>
  <si>
    <t>42998191259</t>
  </si>
  <si>
    <t>thiagokuf@hotmail.com</t>
  </si>
  <si>
    <t>renato de mattos malaquias</t>
  </si>
  <si>
    <t>RENATO DE MATTOS MALAQUIAS</t>
  </si>
  <si>
    <t>(21) 99470-2428</t>
  </si>
  <si>
    <t>representacoesvendas02@gmail.com</t>
  </si>
  <si>
    <t>Nova Iguaçu</t>
  </si>
  <si>
    <t>Contato;Instagram;Fora Perfil</t>
  </si>
  <si>
    <t>ana maria fonseca garcia</t>
  </si>
  <si>
    <t>Ana Maria Fonseca Garcia</t>
  </si>
  <si>
    <t>18998215566</t>
  </si>
  <si>
    <t>garciacontabilidade15@gmail.com</t>
  </si>
  <si>
    <t>ricieri maquinas &amp; ferramentas</t>
  </si>
  <si>
    <t>Ricieri Locacoes e Serviços</t>
  </si>
  <si>
    <t>27999479659</t>
  </si>
  <si>
    <t>diego@ricieri.net.br</t>
  </si>
  <si>
    <t xml:space="preserve">fora do perfil </t>
  </si>
  <si>
    <t xml:space="preserve">Cliente entrou em contato pedindo apresentação de nossas solução de AFV 
Reuão agendada para segunda as 14h
26-01 proposta está em analise pela diretoria 
29-01 Boa tarde, Tiago! Espero que esteja bem.
No dia 19/01 encaminhamos à sua equipe a proposta comercial da Guarani Sistemas, que contempla uma condição exclusiva para evolução tecnológica e automação da força de vendas.
Com o Guarani AFV, aliado à assistente virtual Iara e ao módulo de orçamento web, sua empresa terá:
Automação completa da equipe de vendas, com acompanhamento de objetivos e indicadores em tempo real;
Aumento de produtividade e faturamento, reduzindo rupturas no ponto de venda;
Dashboard inteligente para análise de desempenho e curva ABC de produtos;
Integração simplificada com o ERP, garantindo maior agilidade e menos retrabalho.
Além disso, oferecemos condições comerciais diferenciadas, incluindo implantação com mentoria especializada e mensalidade ajustada ao perfil da sua operação.
Diante de todos esses benefícios, gostaria de entender: o que falta para avançarmos juntos e garantir essas vantagens para sua equipe?
05.02Retornou que estão em analise pela diretoria previsão de retorno para proxima semana </t>
  </si>
  <si>
    <t>Alfa Seven Embalagens Industria E Comercio Ltda</t>
  </si>
  <si>
    <t>alfa seven embalagens industria e comercio ltda</t>
  </si>
  <si>
    <t xml:space="preserve">(35) 3435-2255 </t>
  </si>
  <si>
    <t>luizhenrique@julianicontabilidade.com.br</t>
  </si>
  <si>
    <t>50%;Dentro Perfil</t>
  </si>
  <si>
    <t>Fernando, esta avaliando outros produtos e terei um retorno na próxima semana dia 15/01, que decide é a Luciana.
23/01 Fiz FUP hoje com o Fernando o mesmo ainda não respondeu, perguntei o que nos impede de seguir?</t>
  </si>
  <si>
    <t>casa amiga - b2b</t>
  </si>
  <si>
    <t>Fernando e Luciana</t>
  </si>
  <si>
    <t>18997715980</t>
  </si>
  <si>
    <t>comercial@casamiga.com.br</t>
  </si>
  <si>
    <t>13/01/2026 00:00</t>
  </si>
  <si>
    <t xml:space="preserve">em contato com Sr. Barbosa !
atualmente tem 02 lojas físicas e esta fora do nosso perfil de atendimento  </t>
  </si>
  <si>
    <t>casa bom dia</t>
  </si>
  <si>
    <t>Casa bom dia bricolagem ltda</t>
  </si>
  <si>
    <t>16981830404</t>
  </si>
  <si>
    <t>casabomdiabricolagem@gmail.com</t>
  </si>
  <si>
    <t>Boa tarde Rogério, como vai? 
Meu nome é Rayssa, sou do setor comercial e relacionamento da Guarani Sistemas.
Recebi seu contato interessado em nossas soluções, você prefere que eu te ligue ou quer tratar por aqui?
Aguardando retorno,liguei e não atendeu
13.02 novamente disse que não podia falar que era para entrar em contato em outro momento</t>
  </si>
  <si>
    <t>wb engenharia</t>
  </si>
  <si>
    <t>WB Engenharia</t>
  </si>
  <si>
    <t>67999299440</t>
  </si>
  <si>
    <t>rogerio@wbmanutencao.com.br</t>
  </si>
  <si>
    <t>Fiz contato hoje mais o cliente já não estava na empresa, vamos falar amanha 14/01
23/01 Fiz FUp hoje com a Jessica, para buscar agenda na proxima semana.</t>
  </si>
  <si>
    <t>central eletrica solar</t>
  </si>
  <si>
    <t>JESSICA</t>
  </si>
  <si>
    <t>(38) 99730-0736</t>
  </si>
  <si>
    <t>centraleletricasolar@gmail.com</t>
  </si>
  <si>
    <t>Falei com o cliente ele possui uma loja de embalagens (estilo Plasticap), levantei as informações dele e agendamos uma demonstração para amanhã as 9h
19/01- Olá Ederaldo, tudo bem?
No dia 15/01 encaminhamos a proposta de investimento para o Guarani ERP, contemplando os serviços de ERP + PDV, com foco na evolução tecnológica e no crescimento da sua empresa.
Para avançarmos, gostaria de entender como foi sua análise e qual o investimento previsto para o software, assim conseguimos alinhar expectativas e próximos passos.
Quando seria um bom momento para conversarmos?
26/01 - Após envio e apresentação da proposta comercial cliente não deu retorno. 
Encerrando contato
Oi Ederaldo, tudo bem?
No dia 15/01 te enviei uma proposta que poderia mudar os rumos do seu negócio. Como não tivemos retorno, estou encerrando nosso contato.
Quero deixar claro: essa não era apenas mais uma oferta, mas uma oportunidade única que dificilmente vai se repetir. Ao não avançar, você está deixando escapar aquilo que poderia ser o divisor de águas para sua empresa.
Desejo sucesso nos seus próximos passos!</t>
  </si>
  <si>
    <t>marques embalagens</t>
  </si>
  <si>
    <t>Marques Embalagens</t>
  </si>
  <si>
    <t>16992159372</t>
  </si>
  <si>
    <t>marquesembalagens@hotmail.com</t>
  </si>
  <si>
    <t>Instagram;Dentro Perfil</t>
  </si>
  <si>
    <t>16/01/2026</t>
  </si>
  <si>
    <t>valport cloud</t>
  </si>
  <si>
    <t>Kelly</t>
  </si>
  <si>
    <t>12974030134</t>
  </si>
  <si>
    <t>MKT@VALPORT.COM.BR</t>
  </si>
  <si>
    <t>7</t>
  </si>
  <si>
    <t>R$ 1.600</t>
  </si>
  <si>
    <t>R$ 3.844,54</t>
  </si>
  <si>
    <t>Feito contato com o Vinicius afim de qualificar o LEAD.
23/01 Fiz FUp hoje com o Vinicius para saber se e possível a nossa agenda na semana que vem na quinta feira.
07/02 Fiz FUP com o Vinicius e avise que por falta de contato estou declinando a oportunidade e em caso de interesse retornamos o contato.</t>
  </si>
  <si>
    <t>vinicius monteiro</t>
  </si>
  <si>
    <t>MVF Lavadoras</t>
  </si>
  <si>
    <t>35998687836</t>
  </si>
  <si>
    <t>ti@mvflavadoras.com.br</t>
  </si>
  <si>
    <t>07/02 Fiz FUP com o Vinicius e avise que por falta de contato estou declinando a oportunidade e em caso de interesse retornamos o contato.</t>
  </si>
  <si>
    <t>Visita amanha em São Paulo no cliente
23/01 - fechamos negocio.</t>
  </si>
  <si>
    <t>cloud nvt</t>
  </si>
  <si>
    <t>14/01/2026 00:00</t>
  </si>
  <si>
    <t>panveiga</t>
  </si>
  <si>
    <t>Panveiga</t>
  </si>
  <si>
    <t>(83) 3343-3391 / (83) 3343-3391</t>
  </si>
  <si>
    <t>CAMPINA GRANDE</t>
  </si>
  <si>
    <t xml:space="preserve">(20/01/2026) efetuei tentativa de ligação e mensagem no WhatsApp a fim de alinhar em bate papo com Ismael e entender suas necessidades , porem cliente não responde aos contatos </t>
  </si>
  <si>
    <t>autõnomo</t>
  </si>
  <si>
    <t>Autônomo</t>
  </si>
  <si>
    <t>27999362925</t>
  </si>
  <si>
    <t>continente.of@gmail.com</t>
  </si>
  <si>
    <t xml:space="preserve">porte pequeno </t>
  </si>
  <si>
    <t>quimica haller ltda</t>
  </si>
  <si>
    <t>Haller Farmacêutica</t>
  </si>
  <si>
    <t>21994011336</t>
  </si>
  <si>
    <t>marcelo.uchoa@haller.ind.br</t>
  </si>
  <si>
    <t>(20/01/2026)  09:04, 20/01/2026 Junior Lopes: Olá Cláudio ! Bom dia
17:23, 27/01/2026 Claudio Teixeira: Boa tarde essa semana estou fora da empresa
17:23, 27/01/2026 Claudio Teixeira: Semana que vem falamos
17:32, 27/01/2026 Junior Lopes: Perfeito Claudio ! abraço 
09:06, 20/01/2026 Claudio Teixeira: Bom dia
09:07, 20/01/2026 Junior Lopes: Td bem ? Vc entrou em contato com a Guarani sistemas, gostaria de marcar um horário para batermos um papo e entender melhor suas necessidades
09:08, 20/01/2026 Junior Lopes: Qual melhor horário para você?
09:08, 20/01/2026 Claudio Teixeira: Pode ser às 11:30
09:10, 20/01/2026 Junior Lopes: Ótimo, vou Estar terminando uma apresentação! Pode ser que atrase uns 15 minutos para ligar
09:11, 20/01/2026 Claudio Teixeira: Ok</t>
  </si>
  <si>
    <t>claudio texeira</t>
  </si>
  <si>
    <t xml:space="preserve">Claudio Teixeira </t>
  </si>
  <si>
    <t>(43) 99669-3593</t>
  </si>
  <si>
    <t>claudioteixeirasap@hotmail.com</t>
  </si>
  <si>
    <t>CONSELHEIRO MAIRINCK</t>
  </si>
  <si>
    <t>20/01/2026</t>
  </si>
  <si>
    <t>Apresentação agendada para 27/01/2026 - 15:00 horas
26/01 - reunião agendada para amanhã, aguardand confirmação
27/01 - cliente não confirmou nem entrou na reunião
28/01 - Oi Renato, tudo bem?
No dia 27/01 tinhamos uma agenda de apresentação que poderia mudar os rumos do seu negócio. Como não tivemos retorno, estou encerrando nosso contato.
Quero deixar claro: essa não era apenas mais uma oferta, mas uma oportunidade única que dificilmente vai se repetir. Ao não avançar, você está deixando escapar aquilo que poderia ser o divisor de águas para sua empresa.
Desejo sucesso nos seus próximos passos!</t>
  </si>
  <si>
    <t>recanto agricola</t>
  </si>
  <si>
    <t>Recanto Agricola</t>
  </si>
  <si>
    <t>17999791171</t>
  </si>
  <si>
    <t>recantoagricola@gmail.com</t>
  </si>
  <si>
    <t xml:space="preserve">(19/01/2026) reunião de apresentação agendada para 20/01/2026
(26/01/2026) 
Olá Mauricio ! tudo bem ?
Como não recebi o seu retorno sobre o questionário após nossa apresentação, imagino que as prioridades tenham mudado por aí ou que este não seja o momento ideal para avançarmos com a proposta da Guarani Sistemas.
Para não sobrecarregar sua caixa de entrada, estou encerrando o seu processo aqui no meu sistema por enquanto.
Caso seus planos mudem no futuro, meus contatos continuam os mesmos. Desejo sucesso em seus projetos.
Após mensagem enviada Mauricio compartilhou áudio dizendo que achou investimento muito alto e que no futuro vamos voltar a falar </t>
  </si>
  <si>
    <t>maurício jorge lima</t>
  </si>
  <si>
    <t xml:space="preserve">Maurício Jorge lima </t>
  </si>
  <si>
    <t>(93) 8406-4995</t>
  </si>
  <si>
    <t>mauriciojlatm@gmail.com</t>
  </si>
  <si>
    <t>ITAITUBA</t>
  </si>
  <si>
    <t>PA</t>
  </si>
  <si>
    <t>Contato;Dentro Perfil</t>
  </si>
  <si>
    <t>: Preço muito alto</t>
  </si>
  <si>
    <t>max club</t>
  </si>
  <si>
    <t>Max club</t>
  </si>
  <si>
    <t>3194371833</t>
  </si>
  <si>
    <t>willian.portodasilva8@gmail.com</t>
  </si>
  <si>
    <t>Liguei para o Gerson o mesmo não atendeu deixei msg no whatsapp.
23/01 Foi feito apresentação para o cliente do institucional e AFV.  em resumo, a apresentação foi direcionada para a importadora DINATALE (Diego). Porém entrou na reunião a CASAART (William) e também o Mauricio cuja a empresa ainda não conheço. O Gerson (consultor0 que esta conduzindo o projeto participou e informou que são 5 empresa no total, a ideia é conseguir colocar o sistema nas 5 empresas. 
O próximo passo é fazer uma nova agenda para a semana do dia 26/01, para apresentar o sistema novamente para uma equipe maior e expandido com o módulo OCMEX, ERP, REP+ E CONTABIL.
13/02 Esse negócio está sendo tratado nas proposta da Iracema, Dinatale, Casart e MCFlores.</t>
  </si>
  <si>
    <t>ramfisa participacoes e investimentos s/a</t>
  </si>
  <si>
    <t>Gerson Baesso</t>
  </si>
  <si>
    <t>(49) 98872-0298</t>
  </si>
  <si>
    <t>consultor01@visionway.com.br</t>
  </si>
  <si>
    <t>Nova Aurora</t>
  </si>
  <si>
    <t>ERP, AFV, BI</t>
  </si>
  <si>
    <t>29/01 - retornar após o carnaval</t>
  </si>
  <si>
    <t>Helena reis</t>
  </si>
  <si>
    <t>(47) 3344-3239</t>
  </si>
  <si>
    <t>vendas@diceart.com.br</t>
  </si>
  <si>
    <t>30%;Dentro Perfil</t>
  </si>
  <si>
    <t>Telefone cadastrado eé de um mercado</t>
  </si>
  <si>
    <t>bem bom pescados</t>
  </si>
  <si>
    <t>Bem bom pescados</t>
  </si>
  <si>
    <t>6233899200</t>
  </si>
  <si>
    <t>edinho@grupo3ebr.com.br</t>
  </si>
  <si>
    <t xml:space="preserve">(23/01/2026) Sérgio não respondeu as minhas mensagens ! estou descartando de falta de retorno do cliente </t>
  </si>
  <si>
    <t>possani mix</t>
  </si>
  <si>
    <t>Possani mix</t>
  </si>
  <si>
    <t>11971375421</t>
  </si>
  <si>
    <t>possanimix@gmail.com</t>
  </si>
  <si>
    <t xml:space="preserve">Supermercado fora do perfil </t>
  </si>
  <si>
    <t>bombemi comercial ltda</t>
  </si>
  <si>
    <t>Bombemi</t>
  </si>
  <si>
    <t>11959925385</t>
  </si>
  <si>
    <t>adminitrativo@bombemi.com.br</t>
  </si>
  <si>
    <t>MILENE DIAS</t>
  </si>
  <si>
    <t>(11) 95992-5385</t>
  </si>
  <si>
    <t>administrativo@bombemi.com.br</t>
  </si>
  <si>
    <t>Solicita demo;Dentro Perfil</t>
  </si>
  <si>
    <t>14:08, 21/01/2026 Junior Lopes: Olá Edmilson, boa tarde ! Aqui é Junior da Guarani sistemas, Td bem ?
(26/01/2026) Ola Edmilson, bom dia tudo bem ? 
Sobre as soluções em software ERP e Força de vendas Guarani ! Tem interesse em conhecer? 
21/01/2026 - envio de Aúdio me apresentando e solicitando data para falarmos 
15:30, 23/01/2026 Junior Lopes: Olá Edmilson, boa tarde
17:08, 27/01/2026 Junior Lopes: Olá, Edmilson! Como não conseguimos evoluir nossa conversa nos últimos dias, entendo que talvez este não seja o momento ideal para focarmos na Solução ERP e Força de vendas. Estou encerrando o seu processo por aqui para não lotar sua caixa de entrada. Vou deixar seu contato salvo e, assim que suas prioridades mudarem, sinta-se à vontade para me chamar</t>
  </si>
  <si>
    <t>edy distribuidora d alimentos</t>
  </si>
  <si>
    <t>Édy Distribuidora de Alimentos</t>
  </si>
  <si>
    <t>12997313349</t>
  </si>
  <si>
    <t>edmilson.goulart1@gmail.com</t>
  </si>
  <si>
    <t>22/01/2026 Rayssa Karapeticov - Comercial - Guarani Sistemas: Bom dia Roberto, como vai? 
29/01 Ok, entendi o objeto. Vejo que não estaremos aptos a fazer o investimento com a sua empresa.
Fica agradecido.
Obrigado pela franqueza e informações.
É a Rayssa da Guarani Sistemas 
recebi seu contato para falar de nossas soluções, você prefere que eu te ligue ou trate por aqui?
12:34, 22/01/2026 +55 62 8181-2473: Bom dia!
Pode ser por aqui...
15:40, 22/01/2026 Rayssa Karapeticov - Comercial - Guarani Sistemas: Perfeito, me passa o que esta procurando de solução de software e como posso te ajudar?
26/01/2026 Rayssa Karapeticov - Comercial - Guarani Sistemas: Bom dia Roberto como vai?
Para que possamos avançar, preciso entende um pouco da sua empresa e como as soluções da Guarani Sistemas podem potencializar seus processos e faturamento. 
Podemos conversar?
27-01 Bom dia Roberto, tudo bem?
Ainda tem interesse em seguir com uma solução técnologica para sua empresa?
28/01 Somos uma empresa distribuição de secos e molhados.
Faturamento médio de 350 mil mês
Trabalhamos com venda direta e pré-venda.
7 vendedores externos
5 usuário do ERP interno.
Certo, quantos CNPJs?
2 CNPJ
vocês precisam controlar lote e validade?
É interessante, embora não estamos fazendo. Por isso a mudança de ERP...</t>
  </si>
  <si>
    <t>acn comercial</t>
  </si>
  <si>
    <t>MSRAC</t>
  </si>
  <si>
    <t>62981812473</t>
  </si>
  <si>
    <t>roberto@msrac.com.br</t>
  </si>
  <si>
    <t>28/01/2026</t>
  </si>
  <si>
    <t>27/01/2026</t>
  </si>
  <si>
    <t>29/01/2026</t>
  </si>
  <si>
    <t>mundo das águas turismo</t>
  </si>
  <si>
    <t>Mundo Das Águas Turismo</t>
  </si>
  <si>
    <t>4599648080</t>
  </si>
  <si>
    <t>mundodasaguasturismo@gmail.com</t>
  </si>
  <si>
    <t>23/01/2026 Enviei mensagem para Adriano me apresentando, aguardando resposta para agendar um bate papo 
(26/01/2026) buscando contato, enviei áudio buscando o melhor momento para falarmos sobre as soluções 
(29/01/2026) Após tentativas de contato sem sucesso estou desacatando oportunidade !
Olá Adriano ! Td bem ? 
Tentei contato com você sobre nossas soluções ! Porém não tivemos sucesso no contato, acredito que você esteja com outras prioridades nesse momento 
Para não ficar incomodando vou descartar nosso contato por aqui ! Vou deixar seu contato salvo se suas prioridades mudarem me chame por favor 
Abraço</t>
  </si>
  <si>
    <t>bral-max industria e comercio de plasticos ltda</t>
  </si>
  <si>
    <t>Bral-Max Ind.Com.Plasticos Ltda</t>
  </si>
  <si>
    <t>24999136531</t>
  </si>
  <si>
    <t>adriano@bral-max.com.br</t>
  </si>
  <si>
    <t>(29/01/2026) Após tentativas de contato sem sucesso estou desacatando oportunidade !</t>
  </si>
  <si>
    <t xml:space="preserve">tentativa de contato
26/01 - Faz venda porta a porta e tem PDV 
13.02 Tentei contato por ligação e não atendeu
É um cliente que eu já havia conversado e faz venda PAP, atualmente o Guarani não atende ao que procura 
Fora do perfil </t>
  </si>
  <si>
    <t>multiple business service</t>
  </si>
  <si>
    <t>Multiple business service</t>
  </si>
  <si>
    <t>19971619676</t>
  </si>
  <si>
    <t>thomazdistribuidora@gmail.com</t>
  </si>
  <si>
    <t>23/01 Apresentar o sistema ERP + AFV hoje as 14h para o Gerson (consultor)
23/01 23/01 Foi feito apresentação para o cliente do institucional e AFV.  em resumo, a apresentação foi direcionada para a importadora DINATALE (Diego). Porém entrou na reunião a CASAART (William) e também o Mauricio cuja a empresa ainda não conheço. O Gerson (consultor0 que esta conduzindo o projeto participou e informou que são 5 empresa no total, a ideia é conseguir colocar o sistema nas 5 empresas. 
O próximo passo é fazer uma nova agenda para a semana do dia 26/01, para apresentar o sistema novamente para uma equipe maior e expandido com o módulo OCMEX, ERP, REP+ E CONTABIL.
06/02 Fiz FUP hoje com o Gerson consultor e apresentei a proposta.  Na sequência ele vai falar com o a diretoria para agendar uma nova reunião de discursão de valores.</t>
  </si>
  <si>
    <t xml:space="preserve">Gerson </t>
  </si>
  <si>
    <t>(49) 9945-2608</t>
  </si>
  <si>
    <t>contabilizar.atendimento@gmail.com</t>
  </si>
  <si>
    <t>FLOR DO SERTAO</t>
  </si>
  <si>
    <t>270</t>
  </si>
  <si>
    <t>ERP, AFV, BI, WMS, COMEX, ADICIONAIS</t>
  </si>
  <si>
    <t>R$ 65.502,90</t>
  </si>
  <si>
    <t>R$ 17.071,80</t>
  </si>
  <si>
    <t>23/01 Fiz FUP hoje com o Junior e o mesmo mencionou que a diretoria achou o valor da mensalidade alta. falou que tem contrato fechado com a GETT com mensal de R$900,00.
Falar com o Fábio e negociar melhor essa questão.</t>
  </si>
  <si>
    <t>sultex comex</t>
  </si>
  <si>
    <t>junior@tiinfra.com.br</t>
  </si>
  <si>
    <t>BaseGua</t>
  </si>
  <si>
    <t>23/01/2026 00:00</t>
  </si>
  <si>
    <t>20</t>
  </si>
  <si>
    <t>COMEX</t>
  </si>
  <si>
    <t>R$ 10.000</t>
  </si>
  <si>
    <t>R$ 2.000</t>
  </si>
  <si>
    <t>23/01 Fiz FUP com a Simone e o próximo asso e fazer a proposta.
A principal dor do cliente é centralizar a operação em um único sistema, garantindo maior fluidez nos processos, redução de falhas de integração e ganho de produtividade, principalmente nas áreas comercial, faturamento e backoffice.
06/02 Foi apresentado a proposta, que esta sob-analsie da diretoria.</t>
  </si>
  <si>
    <t>toy e home importadora e distribuidora ltda</t>
  </si>
  <si>
    <t>Simone</t>
  </si>
  <si>
    <t>(49) 3322-8576 / (49) 3644-0850</t>
  </si>
  <si>
    <t>toyehome@toyehome.com.br</t>
  </si>
  <si>
    <t>CHAPECO</t>
  </si>
  <si>
    <t>320</t>
  </si>
  <si>
    <t>ERP, AFV, ADICIONAIS</t>
  </si>
  <si>
    <t>R$ 79.311,16</t>
  </si>
  <si>
    <t>R$ 6.145,44</t>
  </si>
  <si>
    <t>26/01 - é uma industria e esta buscando software de gestão da empresa. 
Estou tentando marcar reunião mas o cliente não atende
27/01 - Bom dia Micael, tudo bem?
Ainda tem interesse em seguir com uma solução técnologica para sua empresa?</t>
  </si>
  <si>
    <t>lcosmeticos</t>
  </si>
  <si>
    <t>Lcosmeticos</t>
  </si>
  <si>
    <t>11957608058</t>
  </si>
  <si>
    <t>carriaomicael@gmail.com</t>
  </si>
  <si>
    <t xml:space="preserve">(27/01/2026) em contato com Thales , ficamos de falar por telefone as 11;30 horas do dia 27/01
(27/01/2026) Reunião de apresentação primeira Etapa AFV em 28/01/2026 as 14 horas 
(28/01/2026) apresentação do força de vendas na integra e vídeos do força de vendas 
cliente pediu para seguirmos com proposta comercial para ver se está dentro do sua previsão de investimento </t>
  </si>
  <si>
    <t>minas mix</t>
  </si>
  <si>
    <t>MINAS MIX</t>
  </si>
  <si>
    <t>3194143043</t>
  </si>
  <si>
    <t>thales_david@hotmail.com</t>
  </si>
  <si>
    <t>BELO HORIZONTE</t>
  </si>
  <si>
    <t xml:space="preserve">Usa o sistema da Linx, é um armazem de bebida e fazvendas por Zé delivery e Ifood. </t>
  </si>
  <si>
    <t>brasa e malte</t>
  </si>
  <si>
    <t>Brasa e Malte</t>
  </si>
  <si>
    <t>31997703979</t>
  </si>
  <si>
    <t>jsamaurin@gmail.com</t>
  </si>
  <si>
    <t>17:09, 26/01/2026 Junior Lopes: Olá Leonan ! Boa tarde 
Sou Junior Lopes da Guarani sistemas, Td bem ?
17:11, 26/01/2026 Leonan: opa boa tarde
09:05, 27/01/2026 Junior Lopes: Olá Leonan, bom dia tudo bem ?
09:06, 27/01/2026 Junior Lopes: podemos bater um papo por telefone hoje as 14 horas ? a ideia é entender suas necessidades e te apresentar uma solução para te ajudar
17:25, 27/01/2026 Junior Lopes: Olá, Leonan! Como não conseguimos evoluir nossa conversa nos últimos dias, entendo que talvez este não seja o momento ideal para focarmos na Solução ERP e Força de vendas. Estou encerrando o seu processo por aqui para não lotar sua caixa de entrada. Vou deixar seu contato salvo e, assim que suas prioridades mudarem, sinta-se à vontade para me chamar</t>
  </si>
  <si>
    <t>leme</t>
  </si>
  <si>
    <t>Leme</t>
  </si>
  <si>
    <t>11976239673</t>
  </si>
  <si>
    <t>leonamj@gmail.com</t>
  </si>
  <si>
    <t>14:32, 1/26/2026 Rayssa Karapeticov - Comercial - Guarani Sistemas: Boa tarde, Adriano, como vai? 
É a Rayssa da Guarani Sistemas 
recebi seu contato para falar de nossas soluções, você prefere que eu te ligue ou trate por aqui?
15:53, 1/26/2026 +55 16 99614-4458: AMANHÃ ENTRO EM CONTATO
15:54, 1/26/2026 Rayssa Karapeticov - Comercial - Guarani Sistemas: Perfeito, aguardo retorno
09:53, 1/27/2026 Rayssa Karapeticov - Comercial - Guarani Sistemas: Bom dia Adriano, tudo bem? 
Conseguimos falar hoje?
05.02 - Sem retorno do cliente Sem retorno do cliente 
17.02Usa um  sistema do Rio grande do Sul Nova gestor e tem duas dificuldades 
Não comunica com o banco C6Bank 
Ordem de produção 
São uma indústria química por batelada 
Várias tipos de embalagem 
Adesivos industriais 
Minas Gerais - 
8 RCA 
3 pessoas 
Atualmente pagar R$290,00 por mes com todos esses acessos, então fica inviavel a contratação</t>
  </si>
  <si>
    <t>kicollaadesivos.com.br</t>
  </si>
  <si>
    <t>Kicollaadesivos.com.br</t>
  </si>
  <si>
    <t>16996144458</t>
  </si>
  <si>
    <t>adrianosoaresm@yahoo.com.br</t>
  </si>
  <si>
    <t>contato realizado com o Alexanre, sem sucesso. Deixei msg no zap para faalrmos amanha!
28/01 Fiz FUP hoje com o Alexandre, sem sucesso. Deixei novamente recado no whatsapp e e-mail!</t>
  </si>
  <si>
    <t>giacom distribuidora de pecas ltda</t>
  </si>
  <si>
    <t>Giacom Distribuidora Ltda</t>
  </si>
  <si>
    <t>11918764203</t>
  </si>
  <si>
    <t>alexandre@giacomdistribuidora.com.br</t>
  </si>
  <si>
    <t>Fiz o primeiro contato com a Maria e agendamos amanhã às 14h.
28/01 Fiz FUP hoje com a maria sem sucesso. Liguei não atendeu , deixei recado no whats app e estou aguardando retorno.
28/01 Consegui fazer a apresentação institucional para a Maria. O próximo passo é enviar a proposta !
06/02 Fiz uma reunião onde apresentei a proposta. A Maria, foi bem objetiva e falou que o valor ficou bem acima dos demais concorrentes, mesmo assim ela vai ter uma reunião com a diretoria na próxima semana e me retorna se seguiremos ou não!</t>
  </si>
  <si>
    <t>Maria</t>
  </si>
  <si>
    <t>(11) 97129-2472</t>
  </si>
  <si>
    <t>financeiro@autovolth.com.br</t>
  </si>
  <si>
    <t>Solicita demo;50%</t>
  </si>
  <si>
    <t>330</t>
  </si>
  <si>
    <t>ERP, PCP, ADICIONAIS</t>
  </si>
  <si>
    <t>R$ 66.000</t>
  </si>
  <si>
    <t>R$ 5.868,80</t>
  </si>
  <si>
    <t>(27/01/2026) Olá Fábio ! Bom dia 
Sou Junior Lopes da Guarani sistemas, Td bem ?
acrescentei um áudio me apresentando e sugerindo um bate papo hoje as 14 horas 
(29/01/2026) tentativa de contato sem retorno do Fabio !
Olá Fábio ! Estou tentando contato para falarmos sobre as soluções Guarani ! 
Porém devido a falta de retorno acredito que você está com outras prioridades 
Vou deixar seu contato salvo caso em breve queira conversar 
Um grande abraço</t>
  </si>
  <si>
    <t>fb dis</t>
  </si>
  <si>
    <t>FB dis</t>
  </si>
  <si>
    <t>11992758370</t>
  </si>
  <si>
    <t>fabiojb80@gmail.com</t>
  </si>
  <si>
    <t xml:space="preserve">Cliente não responde aos contatos </t>
  </si>
  <si>
    <t>scientech ambiental</t>
  </si>
  <si>
    <t>Scientech Ambiental</t>
  </si>
  <si>
    <t>11999733410</t>
  </si>
  <si>
    <t>luissscaro@hotmail.com</t>
  </si>
  <si>
    <t>Orbhes Espumas E Colchoes Ltda</t>
  </si>
  <si>
    <t>orbhes espumas e colchoes ltda</t>
  </si>
  <si>
    <t>(47) 3376-8400</t>
  </si>
  <si>
    <t>orbhes@orbhes.com.br</t>
  </si>
  <si>
    <t>JARAGUA DO SUL</t>
  </si>
  <si>
    <t>30/01/2026</t>
  </si>
  <si>
    <t>26/01/2026</t>
  </si>
  <si>
    <t>28/01 Apresentar o sistema B2B para Clevis o responsável de TI e Alessandro gerente de loja. 
05/02/2026 Fiz apresentação do produto e da proposta, agora negociado.</t>
  </si>
  <si>
    <t>Clevis</t>
  </si>
  <si>
    <t>47992119052</t>
  </si>
  <si>
    <t>24</t>
  </si>
  <si>
    <t xml:space="preserve">(29/01/2026) feito ligação para Marcelo para explicar valores da proposta comercial </t>
  </si>
  <si>
    <t>Portal Importacao E Exportacao De Equipamentos De Informatica Ltda</t>
  </si>
  <si>
    <t>portal importação</t>
  </si>
  <si>
    <t>(11) 8444-8642</t>
  </si>
  <si>
    <t>portal@gmail.com</t>
  </si>
  <si>
    <t>em contato na feira Abcasa , vai seguir com AFV</t>
  </si>
  <si>
    <t>plasberg - erp</t>
  </si>
  <si>
    <t>Plasberg - ERP</t>
  </si>
  <si>
    <t>Plasberg - AFV</t>
  </si>
  <si>
    <t>plasberg - afv</t>
  </si>
  <si>
    <t xml:space="preserve">(29/01/2026) em contato com Artur, esta em analise interna </t>
  </si>
  <si>
    <t>pino lar industria e comercio ltda</t>
  </si>
  <si>
    <t xml:space="preserve">Pino lar </t>
  </si>
  <si>
    <t>claudio teixeira - cloud</t>
  </si>
  <si>
    <t>Claudio Teixeira</t>
  </si>
  <si>
    <t>43996693593</t>
  </si>
  <si>
    <t xml:space="preserve">mauricio jorge lima - cloud </t>
  </si>
  <si>
    <t xml:space="preserve">Mauricio Jorge Lima - Cloud </t>
  </si>
  <si>
    <t>9384064995</t>
  </si>
  <si>
    <t>Dentro Perfil</t>
  </si>
  <si>
    <t xml:space="preserve">folha dourada tabacos - cloud </t>
  </si>
  <si>
    <t xml:space="preserve">Folha dourada tabacos - Cloud </t>
  </si>
  <si>
    <t>3284083586</t>
  </si>
  <si>
    <t xml:space="preserve">valor acima da expectativa </t>
  </si>
  <si>
    <t>minas mix - cloud</t>
  </si>
  <si>
    <t>Minas Mix - Cloud</t>
  </si>
  <si>
    <t>16:53, 30/01/2026 Junior Lopes: ani sistemas, Td bem ?
17:35, 30/01/2026 Leonardo Form: Boa tarde tudo e vc ?
16:53, 02/02/2026 Junior Lopes: Olá Leonardo, boa tarde  ! tem interesse em conhecer nossas soluções ?</t>
  </si>
  <si>
    <t>tenneco</t>
  </si>
  <si>
    <t>Tenneco</t>
  </si>
  <si>
    <t>19995356201</t>
  </si>
  <si>
    <t>ltavares@tenneco.com</t>
  </si>
  <si>
    <t>18.02 - Tentativa de contato realizado por telefone e-mail</t>
  </si>
  <si>
    <t>certo</t>
  </si>
  <si>
    <t>Certo</t>
  </si>
  <si>
    <t>3335294949</t>
  </si>
  <si>
    <t>ti@grupocerto.com.br</t>
  </si>
  <si>
    <t xml:space="preserve">(30/01/2026) Sou Junior Lopes da Guarani sistemas
16:56, 30/01/2026 Junior Lopes: Td bem ?
17:01, 30/01/2026 Orlando: Tudo
17:08, 30/01/2026 Orlando: Descreve alguma coisa do seu sistema
17:29, 30/01/2026 Orlando: Qual o valor mensal?
Este valor mensal posso incluir quantas empresas?
16:49, 02/02/2026 Junior Lopes: Olá Orlando , tem interesse em dar continuidade no contato ?
Hj um investimento em um ERP Guarani controlando sua empresa de ponta a ponta desde a produção passando pelos módulos financeiro a pagar e receber, comercial, compras, Fiscal, logística/expedicao (WMS) e Força de vendas ! Fica dentro de uma expectativa entre (60 mil a 90 mil) de investimento em implantação e treinamentos !
A mensalidade é por usuário sendo R$ 280,00 do ERP e R$ 115,00 do AFV
Caso queira um orçamento mais preciso, podemos nos reunir para entender melhor suas necessidades
O que seria AFV?  (enviei =áudio explicando)
(11/02/2026) retornei contato com Orlando buscando continuidade no atendimento </t>
  </si>
  <si>
    <t>Plastilando Ind e Com</t>
  </si>
  <si>
    <t>21999778181</t>
  </si>
  <si>
    <t>orlando@plastianna.com.br</t>
  </si>
  <si>
    <t xml:space="preserve">17/02 Feito apresentação institucional e vídeos do ERP . </t>
  </si>
  <si>
    <t>armando nacionais e importados</t>
  </si>
  <si>
    <t>HENRIQUE CARVALHO SANTOS</t>
  </si>
  <si>
    <t>(31) 99987-1034</t>
  </si>
  <si>
    <t>henrique@armandonacionais.com.br</t>
  </si>
  <si>
    <t>Solicita demo;30%;Dentro Perfil</t>
  </si>
  <si>
    <t>mobal</t>
  </si>
  <si>
    <t>Mobal</t>
  </si>
  <si>
    <t>13997072312</t>
  </si>
  <si>
    <t>alumiglass.peruibe@gmail.com</t>
  </si>
  <si>
    <t>Fabiano Aparecido Vaine</t>
  </si>
  <si>
    <t>buteco &amp; decor</t>
  </si>
  <si>
    <t>(16) 9701-3510</t>
  </si>
  <si>
    <t>fabianovaine@terra.com.br</t>
  </si>
  <si>
    <t>ERP, AFV, PCP, WMS</t>
  </si>
  <si>
    <t>05/02 - Possui uma loja de peças de moto, onde presta serviço de conserto também. 
Fora do perfil</t>
  </si>
  <si>
    <t>rg moto peças</t>
  </si>
  <si>
    <t>RG moto peças</t>
  </si>
  <si>
    <t>87988082642</t>
  </si>
  <si>
    <t>regisandes10@outlook.com</t>
  </si>
  <si>
    <t>solimp</t>
  </si>
  <si>
    <t>SOLIMP</t>
  </si>
  <si>
    <t>8391128022</t>
  </si>
  <si>
    <t>oliveiraeulalio@yahoo.com.br</t>
  </si>
  <si>
    <t>17/02 Após vários FUPs não obtive retorno do cliente sobre a sequência do projeto. Encerrei por falta de interesse.</t>
  </si>
  <si>
    <t>monteiro alimentos</t>
  </si>
  <si>
    <t>Monteiro</t>
  </si>
  <si>
    <t>6184085792</t>
  </si>
  <si>
    <t>saff71@hotmail.com</t>
  </si>
  <si>
    <t>2vo</t>
  </si>
  <si>
    <t>2VO</t>
  </si>
  <si>
    <t>11985858558</t>
  </si>
  <si>
    <t>wasques@uol.com.br</t>
  </si>
  <si>
    <t>13/02 Fiz FUP hoje com a Andressa, mas não atendeu deixei recado.</t>
  </si>
  <si>
    <t>grupo micromax</t>
  </si>
  <si>
    <t>Andresa Aparecida Carvalho</t>
  </si>
  <si>
    <t>(11) 94468-8676</t>
  </si>
  <si>
    <t>andresacarvalho55@gmail.com</t>
  </si>
  <si>
    <t>06/02 Feito a apresentação da proposta em fase de negociação.
13/02 Foi feito uma visita em São Paulo no Grupo Iracema, onde falamos com os sócios , e o cabeça o Mauricio. A proposta foi reformulada e ajustada e estamos na faze de negociação. Próximo passo, quarta-feira apresentar o WMS.</t>
  </si>
  <si>
    <t>Gerson</t>
  </si>
  <si>
    <t>49988720298</t>
  </si>
  <si>
    <t>R$ 89.502,90</t>
  </si>
  <si>
    <t>R$ 12.883,50</t>
  </si>
  <si>
    <t xml:space="preserve">06/02 Feito a apresentação da proposta em fase de negociação.
13/02 Foi feito uma visita em São Paulo no Grupo Iracema, onde falamos com os sócios , e o cabeça o Mauricio. A proposta foi reformulada e ajustada e estamos na faze de negociação. Próximo passo, quarta-feira apresentar o WMS.
13/02 Foi feito uma visita em São Paulo no Grupo Iracema, onde falamos com os sócios , e o cabeça o Mauricio. A proposta foi reformulada e ajustada e estamos na faze de negociação. Próximo passo, quarta-feira apresentar o WMS.
</t>
  </si>
  <si>
    <t>Willaim</t>
  </si>
  <si>
    <t>49998015654</t>
  </si>
  <si>
    <t>150</t>
  </si>
  <si>
    <t>R$ 11.334,84</t>
  </si>
  <si>
    <t>(11/02/2026) Contato feira ABcasa ! agendamos apresentação para sexta feira dia 20/02</t>
  </si>
  <si>
    <t>Sebastiao Cardoso Comercio Atacadista De Ferramentas Ltda</t>
  </si>
  <si>
    <t>encartelados nina</t>
  </si>
  <si>
    <t>(47) 3368-3065</t>
  </si>
  <si>
    <t>ninaencartelados@gmail.com</t>
  </si>
  <si>
    <t>ITAPEMA</t>
  </si>
  <si>
    <t xml:space="preserve">(11/02/2026) Vídeo demonstrativo enviado para analise   
(11/02/2026) Proposta enviada </t>
  </si>
  <si>
    <t>Ad &amp; Ad (Comex)</t>
  </si>
  <si>
    <t>Reobote Mult-Service</t>
  </si>
  <si>
    <t>17996751231</t>
  </si>
  <si>
    <t>jader.reobote@outlook.com</t>
  </si>
  <si>
    <t>12.02 - cliente agendou hoje as 9h não entrou na reunião, estou tentando contato para reagendar</t>
  </si>
  <si>
    <t>RG distribuidora de bebidas ltda</t>
  </si>
  <si>
    <t>37999652806</t>
  </si>
  <si>
    <t>rgdistribuidoraltda@hotmail.com</t>
  </si>
  <si>
    <t>loja da construção</t>
  </si>
  <si>
    <t>Loja da construção</t>
  </si>
  <si>
    <t>85996031544</t>
  </si>
  <si>
    <t>ajs.antoniojose@hotmail.com</t>
  </si>
  <si>
    <t>gisele - zzz</t>
  </si>
  <si>
    <t>Zzzz</t>
  </si>
  <si>
    <t>41987097843</t>
  </si>
  <si>
    <t>gipatelini@hotmail.com</t>
  </si>
  <si>
    <t>gs atacado</t>
  </si>
  <si>
    <t>Gs atacado</t>
  </si>
  <si>
    <t>61984251198</t>
  </si>
  <si>
    <t>gsatacado69@gmail.com</t>
  </si>
  <si>
    <t>(11/02/2026) tentativa de ligação nao atendida 
17:03, 11/02/2026 Junior Lopes: Olá Gabriel , boa tarde
17:03, 11/02/2026 Junior Lopes: sou Junior Lopes da Guarani sistemas ! td bem ?</t>
  </si>
  <si>
    <t>lm bebidas</t>
  </si>
  <si>
    <t>11910369959</t>
  </si>
  <si>
    <t>gelucinaro@hotmail.com</t>
  </si>
  <si>
    <t>Instagram;Perfil Indefinido</t>
  </si>
  <si>
    <t>(11/02/2026) tentativa de ligação não atendida 
16:48, 11/02/2026 Junior Lopes: Olá Kariello, boa tarde !
16:48, 11/02/2026 Junior Lopes: sou Junior Lopes da Guarani sistemas, tudo bem ?</t>
  </si>
  <si>
    <t>CK HOSPITALAR</t>
  </si>
  <si>
    <t>6392247104</t>
  </si>
  <si>
    <t>diretoria@ckhospitalar.com.br</t>
  </si>
  <si>
    <t>Palmas</t>
  </si>
  <si>
    <t>(11/02/2026) tentativa de ligação não atendida ! mensagem em seguida 
16:43, 11/02/2026 Junior Lopes: Olá Renato ! boa tarde
16:43, 11/02/2026 Junior Lopes: sou Junior Lopes da Guarani sistemas ! tudo bem ?</t>
  </si>
  <si>
    <t>rp pisos</t>
  </si>
  <si>
    <t>Rp pisos</t>
  </si>
  <si>
    <t>81996498759</t>
  </si>
  <si>
    <t>renatosouzarp2018@gmail.com</t>
  </si>
  <si>
    <t>13.02 é uma loja de auto peças, prouca PDV, fora do perfil</t>
  </si>
  <si>
    <t>dede acessorios</t>
  </si>
  <si>
    <t>Dede Acessorios</t>
  </si>
  <si>
    <t>6596196462</t>
  </si>
  <si>
    <t>lu_kawakami@msn.com</t>
  </si>
  <si>
    <t xml:space="preserve">(11/02/2026) ligação efetuada - Anderson pediu para retornar ! vamos dar sequencia no whatsapp
(18/02/2026) buscando contato com Anderson ! sem resposta até o momento </t>
  </si>
  <si>
    <t>atacadão das tripas</t>
  </si>
  <si>
    <t>kayo calil marques</t>
  </si>
  <si>
    <t>(14) 99854-9863</t>
  </si>
  <si>
    <t>kayocalil@hotmail.com</t>
  </si>
  <si>
    <t xml:space="preserve">12.02 - é uma importadora de Ribeirão Preto e veio por indicação da Simone (QFestas) são do mesmo seguimento
Disse que já havia feito contato um tempo atrás mas na época achou muito caro, então não avançou
Esta retomando o contato agora e gostaria de receber uma proposta comercial antes, já que já conhece o sistema, já recebeu várias indicações de importadores, e representantes. </t>
  </si>
  <si>
    <t>bazar importadora ltda</t>
  </si>
  <si>
    <t>Leandro</t>
  </si>
  <si>
    <t>(16) 98237-0011</t>
  </si>
  <si>
    <t>leandro@bazarimportadora.com.br</t>
  </si>
  <si>
    <t>Ribeirão Preto</t>
  </si>
  <si>
    <t>AFV, ERP</t>
  </si>
  <si>
    <t>11/02/2026) cliente com necessidades especificas 
Rastreabilidade avançada de coletas e devoluções (fluxo de logística reversa e conferência de avarias);
Gestão flexível de Kits (desmembramento dinâmico de itens no ato da manutenção);</t>
  </si>
  <si>
    <t>super zinca comercio e reformas de carrinhos ltda</t>
  </si>
  <si>
    <t>Fernando Ramalho</t>
  </si>
  <si>
    <t>(21) 98655-6912</t>
  </si>
  <si>
    <t>fernando.ramalho@superzinca.com.br</t>
  </si>
  <si>
    <t>Ibirité</t>
  </si>
  <si>
    <t>Solicita demo;Fora Perfil</t>
  </si>
  <si>
    <t xml:space="preserve">12.02 ligação realizada no dia 12.02 as 11:13, não atendeu. Enviei mensagem no whatsapp, para tentar um novo horario para ligação
13.02 Cliente é uma industria de copos de liquidificador estão sempre na ABUP e vieram por indicação da Arthi 
Usam um sistema interno - mas futuramente querem trocar o sistema, explicou que a principio querem conhecer nosso AFV, porque foi uma indicação e o sistema atual possui esse módulo mas libera muitas informações que eles não querem disponibilizar para os RCAs, porém não podem editar ou bloquear
Não enviar estoque 
Tabelas de preço - Explicou que possuem várias tabelas de preço por faixa de valor, informei que o sistema atende essa necessidade e quem podem ter uma unica tabela com uma regra comercial de desconto por faixar de valor amarrada ao pedido
Imagens de produtos - quer que o cliente tenha acesso a imagem do produto, expliquei que sim, e que pode gerar o catalogo em PDF para o cliente
Descrição - ficha técnica do produto e descrição do item
Uso de sistemas na feira - usar leitor de código de produto
Envio de orçamento - envio de cópia de orçamentos por PDF, link ou excel, e explicar funções em feira 
Isis vai verificar com a gerente uma data para apresentação do AFV
18.02 - apresentação agendada para amanhã </t>
  </si>
  <si>
    <t>Isis Miguelette</t>
  </si>
  <si>
    <t>(11) 91290-8574</t>
  </si>
  <si>
    <t>isismiguelette@micromaxindustria.com.br</t>
  </si>
  <si>
    <t>Itatiba</t>
  </si>
  <si>
    <t>Startools Ferramentas, Comercio, Importacao E Exportacao Ltda</t>
  </si>
  <si>
    <t>(11) 8472-4282</t>
  </si>
  <si>
    <t>controladoria@startoolsferramentas.com.br</t>
  </si>
  <si>
    <t>ARAQUARI</t>
  </si>
  <si>
    <t>Cleantech Solucoes Industria, Distribuidora, Comercio, Importacao E Exportacao De Produtos Quimicos Ltda</t>
  </si>
  <si>
    <t>clean tech</t>
  </si>
  <si>
    <t>(11) 7106-3895 / (0000) 0000-0000</t>
  </si>
  <si>
    <t>leticia200moraes@gmail.com</t>
  </si>
  <si>
    <t>70</t>
  </si>
  <si>
    <t>13/02 Fiz FUP hoje com a Pamela e o perfil identificado é de cliente emergente para investir no momento. E por isso foi declinado.</t>
  </si>
  <si>
    <t>pamela cristina da fonseca</t>
  </si>
  <si>
    <t>PAMELA CRISTINA DA FONSECA</t>
  </si>
  <si>
    <t>(46) 99984-1338</t>
  </si>
  <si>
    <t>importacao.azul@hotmail.com</t>
  </si>
  <si>
    <t>Fazenda Rio Grande</t>
  </si>
  <si>
    <t xml:space="preserve">atacadão das tripas </t>
  </si>
  <si>
    <t xml:space="preserve">Atacadão das Tripas </t>
  </si>
  <si>
    <t>14998549863</t>
  </si>
  <si>
    <t>eletro fort ltda</t>
  </si>
  <si>
    <t>Eletro Fort Poste Padrão</t>
  </si>
  <si>
    <t>19974151604</t>
  </si>
  <si>
    <t>compras@eletrofortlimeira.com.br</t>
  </si>
  <si>
    <t>Instagram;Dentro Perfil;Perfil Indefinido</t>
  </si>
  <si>
    <t>j. a. marinho itapeva ltda</t>
  </si>
  <si>
    <t>Luís Fernando</t>
  </si>
  <si>
    <t>(15) 99839-1786</t>
  </si>
  <si>
    <t>luismendesjr@cafecarneiro.com.br</t>
  </si>
  <si>
    <t>Itapeva</t>
  </si>
  <si>
    <t>angel</t>
  </si>
  <si>
    <t xml:space="preserve">Angel </t>
  </si>
  <si>
    <t>(45) 99828-7178</t>
  </si>
  <si>
    <t>lucaangel20@hotmail.com</t>
  </si>
  <si>
    <t>Toledo</t>
  </si>
  <si>
    <t>cia atacadista</t>
  </si>
  <si>
    <t>Cia atacadista</t>
  </si>
  <si>
    <t>71982084451</t>
  </si>
  <si>
    <t>ailtonsrocha@hotmail.com</t>
  </si>
  <si>
    <t>Ama</t>
  </si>
  <si>
    <t>21995112577</t>
  </si>
  <si>
    <t>andreiamattosaeb@mail.com</t>
  </si>
  <si>
    <t>31</t>
  </si>
  <si>
    <t>cmag2017@gmail.com</t>
  </si>
  <si>
    <t>Cuiabá mt</t>
  </si>
  <si>
    <t>industrial san marcus</t>
  </si>
  <si>
    <t>San marcus industrial</t>
  </si>
  <si>
    <t>75998542317</t>
  </si>
  <si>
    <t>marcos@sanmarcus.com.br</t>
  </si>
  <si>
    <t>fa de doces</t>
  </si>
  <si>
    <t>Fa de doces</t>
  </si>
  <si>
    <t>16993027000</t>
  </si>
  <si>
    <t>carollafinancas@gmail.com</t>
  </si>
  <si>
    <t>Metal ADM</t>
  </si>
  <si>
    <t>49999890528</t>
  </si>
  <si>
    <t>ale@metaladm.com.br</t>
  </si>
  <si>
    <t>new</t>
  </si>
  <si>
    <t>NEW</t>
  </si>
  <si>
    <t>1140227929</t>
  </si>
  <si>
    <t>ferramentarianws@gmail.com</t>
  </si>
  <si>
    <t>32</t>
  </si>
  <si>
    <t>ID Pós-vendas</t>
  </si>
  <si>
    <t>E-mail</t>
  </si>
  <si>
    <t>Tempo como pós venda</t>
  </si>
  <si>
    <t>Damián Muñoz</t>
  </si>
  <si>
    <t>Master Ud</t>
  </si>
  <si>
    <t>67992092648</t>
  </si>
  <si>
    <t>masterutilidades@hotmail.com</t>
  </si>
  <si>
    <t>Email Marketing</t>
  </si>
  <si>
    <t>Email MKT;RCA</t>
  </si>
  <si>
    <t>MKT RCAs</t>
  </si>
  <si>
    <t>Orgon</t>
  </si>
  <si>
    <t>Orgon Comercio Importacao E Exportacao De Utilidades Domesticas Ltda</t>
  </si>
  <si>
    <t>55991832727</t>
  </si>
  <si>
    <t>orgoncomercio@hotmail.com</t>
  </si>
  <si>
    <t>Santa Cruz do Sul</t>
  </si>
  <si>
    <t>Shangri-La</t>
  </si>
  <si>
    <t>1532678844</t>
  </si>
  <si>
    <t>edna.mendes@gruposhangrila.com.br</t>
  </si>
  <si>
    <t>4688229800</t>
  </si>
  <si>
    <t>eduardo@mta.com.br</t>
  </si>
  <si>
    <t>Marmeleiro</t>
  </si>
  <si>
    <t>Rbo</t>
  </si>
  <si>
    <t>1535515213</t>
  </si>
  <si>
    <t>rbodistribuidora@hotmail.com</t>
  </si>
  <si>
    <t>Util</t>
  </si>
  <si>
    <t>Util Comercio E Confeccao Ltda</t>
  </si>
  <si>
    <t>199740785011</t>
  </si>
  <si>
    <t>ronealves@utilud.com.br</t>
  </si>
  <si>
    <t>Mario Silva Das Merces Junior</t>
  </si>
  <si>
    <t>Mario Silva Das Merces Junior 21972064860</t>
  </si>
  <si>
    <t>Santo André</t>
  </si>
  <si>
    <t>Devito</t>
  </si>
  <si>
    <t>16992089024</t>
  </si>
  <si>
    <t>rafa.devito@gmail.com</t>
  </si>
  <si>
    <t>Especial Cafés</t>
  </si>
  <si>
    <t>16988215110</t>
  </si>
  <si>
    <t>marcelo.luiz.tche@gmail.com</t>
  </si>
  <si>
    <t>Libra Gestao</t>
  </si>
  <si>
    <t>11998061058</t>
  </si>
  <si>
    <t>fabianobotter@gmail.com</t>
  </si>
  <si>
    <t>Mega Lux</t>
  </si>
  <si>
    <t>Mega Lux Importação Ltda.</t>
  </si>
  <si>
    <t>fiscal@astraled.com.br</t>
  </si>
  <si>
    <t>Brusque</t>
  </si>
  <si>
    <t>Sm Bom Preço</t>
  </si>
  <si>
    <t>6296642202</t>
  </si>
  <si>
    <t>edinei.bompreco@gmail.com</t>
  </si>
  <si>
    <t>Dvidros Comercio De Utilidades Ltda</t>
  </si>
  <si>
    <t>31988605879</t>
  </si>
  <si>
    <t>administrativo@dvidros.com.br</t>
  </si>
  <si>
    <t>Ipatinga</t>
  </si>
  <si>
    <t>Amigold</t>
  </si>
  <si>
    <t>21985528888</t>
  </si>
  <si>
    <t>amigoldpaula@hotmail.com</t>
  </si>
  <si>
    <t>Duque de Caxias</t>
  </si>
  <si>
    <t>Kaskin</t>
  </si>
  <si>
    <t>13996207010</t>
  </si>
  <si>
    <t>kaskin@uol.com.br</t>
  </si>
  <si>
    <t>48984552099</t>
  </si>
  <si>
    <t>aliancaimportadora@hotmail.com</t>
  </si>
  <si>
    <t>Biguaçu</t>
  </si>
  <si>
    <t>Jd Imports</t>
  </si>
  <si>
    <t>3599613586</t>
  </si>
  <si>
    <t>lojadoeveraldo@hotmail.com</t>
  </si>
  <si>
    <t>Rio De Ouro Wincy</t>
  </si>
  <si>
    <t>yang@rocie.com.br</t>
  </si>
  <si>
    <t>Ts Brasil</t>
  </si>
  <si>
    <t>wilhelmts@tersteege.nl</t>
  </si>
  <si>
    <t>Fonte Boa</t>
  </si>
  <si>
    <t>3732436300</t>
  </si>
  <si>
    <t>v.carneiro@fonteboa.com.br</t>
  </si>
  <si>
    <t>Plasduran</t>
  </si>
  <si>
    <t>toninho@plasduran.com.br</t>
  </si>
  <si>
    <t>11975479476</t>
  </si>
  <si>
    <t>sergioserbaro7@gmail.com</t>
  </si>
  <si>
    <t>Frutiquelo</t>
  </si>
  <si>
    <t>rogerio@frutiquello.com.br</t>
  </si>
  <si>
    <t>Regimara</t>
  </si>
  <si>
    <t>1934662525</t>
  </si>
  <si>
    <t>reginaldo@textilregimara.com.br</t>
  </si>
  <si>
    <t>paulo.putini@dislar.com.br</t>
  </si>
  <si>
    <t>nelso@scottidistribuidora.com.br</t>
  </si>
  <si>
    <t>Vision</t>
  </si>
  <si>
    <t>43999742053</t>
  </si>
  <si>
    <t>mau@visionn.com.br</t>
  </si>
  <si>
    <t>Apucarana</t>
  </si>
  <si>
    <t>Unica</t>
  </si>
  <si>
    <t>11971830079</t>
  </si>
  <si>
    <t>li@unygift.com.br</t>
  </si>
  <si>
    <t>Linha Evo</t>
  </si>
  <si>
    <t>42988209554</t>
  </si>
  <si>
    <t>josenelson@dissenha.com.br</t>
  </si>
  <si>
    <t>Igaratiba</t>
  </si>
  <si>
    <t>19991884278</t>
  </si>
  <si>
    <t>henrique.arcuri@tiba-ud.com.br</t>
  </si>
  <si>
    <t>GN COMERCIAL DE UTILIDADES DOMESTICAS LTDA</t>
  </si>
  <si>
    <t>Gn Comercio De Utilidades</t>
  </si>
  <si>
    <t>11964460733</t>
  </si>
  <si>
    <t>financeiro@univendas.com.br</t>
  </si>
  <si>
    <t xml:space="preserve"> AVENIDA MARCO 40</t>
  </si>
  <si>
    <t>Grilazer</t>
  </si>
  <si>
    <t>guilherme@grilazer.com.br</t>
  </si>
  <si>
    <t>Dl (Grupo Mais)</t>
  </si>
  <si>
    <t>grupomaispaulo@gmail.com</t>
  </si>
  <si>
    <t>Nutrire</t>
  </si>
  <si>
    <t>gerson.simonaggio@nutrire.com.br</t>
  </si>
  <si>
    <t>gerenciaexecutiva@arcaplast.com.br</t>
  </si>
  <si>
    <t>Fwb</t>
  </si>
  <si>
    <t>fwbimportacao@gmail.com</t>
  </si>
  <si>
    <t>Solferti</t>
  </si>
  <si>
    <t>felipe.sol@solferti.com.br</t>
  </si>
  <si>
    <t>fabiospira11@hotmail.com</t>
  </si>
  <si>
    <t>fabiola@panamby.com.br</t>
  </si>
  <si>
    <t>Ndi Importação</t>
  </si>
  <si>
    <t>fabio@sunasia.co</t>
  </si>
  <si>
    <t>eduardo@paramountplasticos.com.br</t>
  </si>
  <si>
    <t>Metaltru</t>
  </si>
  <si>
    <t>1532619261</t>
  </si>
  <si>
    <t>eduardo@metaltru.com.br</t>
  </si>
  <si>
    <t>Flora Nectar</t>
  </si>
  <si>
    <t>eduardo@floranectar.com.br</t>
  </si>
  <si>
    <t>Dismarina Mato Grosso</t>
  </si>
  <si>
    <t>6536612571</t>
  </si>
  <si>
    <t>dismarinamt@gmail.com</t>
  </si>
  <si>
    <t>Cuiabá</t>
  </si>
  <si>
    <t>MT</t>
  </si>
  <si>
    <t>Clio Style</t>
  </si>
  <si>
    <t>cliobr@hotmail.com</t>
  </si>
  <si>
    <t>4133735432</t>
  </si>
  <si>
    <t>clacir@lyke.com.br</t>
  </si>
  <si>
    <t>1135770555</t>
  </si>
  <si>
    <t>ariel@fullfit.com.br</t>
  </si>
  <si>
    <t>Keure &amp; Tropical Aroma</t>
  </si>
  <si>
    <t>alidio@keurequimica.com.br</t>
  </si>
  <si>
    <t>Mabruk Presentes</t>
  </si>
  <si>
    <t>alberto@mabrukpresentes.com.br</t>
  </si>
  <si>
    <t>1126751375</t>
  </si>
  <si>
    <t>hmchahin@hotmail.com</t>
  </si>
  <si>
    <t>1147433053</t>
  </si>
  <si>
    <t>felipe@vitazza.com.br</t>
  </si>
  <si>
    <t>Fogo Azul</t>
  </si>
  <si>
    <t>jr@fogoazul.com.br</t>
  </si>
  <si>
    <t>Revise</t>
  </si>
  <si>
    <t>osvaldo.janduci@brazzo.com.br</t>
  </si>
  <si>
    <t>Wise Confort</t>
  </si>
  <si>
    <t>jorge.sampaio.gm@gmail.com</t>
  </si>
  <si>
    <t>Tamoio</t>
  </si>
  <si>
    <t>1239073000</t>
  </si>
  <si>
    <t>michael@tamoionet.com.br</t>
  </si>
  <si>
    <t>Q´Festa</t>
  </si>
  <si>
    <t>dir1@artigosqfesta.com.br</t>
  </si>
  <si>
    <t>1532634682</t>
  </si>
  <si>
    <t>rodrigo@arqplast.com.br</t>
  </si>
  <si>
    <t>11981928552</t>
  </si>
  <si>
    <t>marilar@marilardistribuidora.com.br</t>
  </si>
  <si>
    <t>Malta</t>
  </si>
  <si>
    <t>54996116346</t>
  </si>
  <si>
    <t>altair@malta.ind.br</t>
  </si>
  <si>
    <t>Caxias do Sul</t>
  </si>
  <si>
    <t>Comercial Bela Vista</t>
  </si>
  <si>
    <t>11947096696</t>
  </si>
  <si>
    <t>karencomercialbelavista@gmail.com</t>
  </si>
  <si>
    <t>1166117236</t>
  </si>
  <si>
    <t>Plásticos Mb</t>
  </si>
  <si>
    <t>11992475223</t>
  </si>
  <si>
    <t>wheber@gmail.com</t>
  </si>
  <si>
    <t>43991563004</t>
  </si>
  <si>
    <t>fabioldna@hotmail.com</t>
  </si>
  <si>
    <t>Plastcap</t>
  </si>
  <si>
    <t>19996232473</t>
  </si>
  <si>
    <t>jed.plastcap@outlook.com</t>
  </si>
  <si>
    <t>2122247616</t>
  </si>
  <si>
    <t>cwcp168@gmail.com</t>
  </si>
  <si>
    <t>Ind Bandeirantes</t>
  </si>
  <si>
    <t>11992794515</t>
  </si>
  <si>
    <t>heraldo@indbandeirante.com.br</t>
  </si>
  <si>
    <t>Aluminio Ramos</t>
  </si>
  <si>
    <t>Araraquara</t>
  </si>
  <si>
    <t>Invicta</t>
  </si>
  <si>
    <t>3591916927</t>
  </si>
  <si>
    <t>clessio.cunha@newellco.com</t>
  </si>
  <si>
    <t>16997217323</t>
  </si>
  <si>
    <t>flavio.toledo@genex.coop</t>
  </si>
  <si>
    <t>Embalavi</t>
  </si>
  <si>
    <t>4138880050</t>
  </si>
  <si>
    <t>marcos@embalavi.com.br</t>
  </si>
  <si>
    <t>Curitiba</t>
  </si>
  <si>
    <t>119040304501</t>
  </si>
  <si>
    <t>jeferson@bezavel.com.br</t>
  </si>
  <si>
    <t>IPACARAI - B2B</t>
  </si>
  <si>
    <t>IPACARAI</t>
  </si>
  <si>
    <t>Glad</t>
  </si>
  <si>
    <t>45991112008</t>
  </si>
  <si>
    <t>glademir@exportadoraipacarai.com.br</t>
  </si>
  <si>
    <t>Guarani B2B;Pausado</t>
  </si>
  <si>
    <t>Apresentar Proposta (75%)</t>
  </si>
  <si>
    <t>01/11/2024</t>
  </si>
  <si>
    <t>IPACARAI - BI</t>
  </si>
  <si>
    <t>Guarani BI;Pausado</t>
  </si>
  <si>
    <t>Dislar - Agenda de Visita</t>
  </si>
  <si>
    <t>Paulo Putini</t>
  </si>
  <si>
    <t>11999765402</t>
  </si>
  <si>
    <t>Adicionais AFV;Pausado</t>
  </si>
  <si>
    <t>Em Negociação (80%)</t>
  </si>
  <si>
    <t>16/04/2024</t>
  </si>
  <si>
    <t>SIMONNAGGIO - Reimplantação AFV</t>
  </si>
  <si>
    <t>SIMONNAGGIO</t>
  </si>
  <si>
    <t>54981182828</t>
  </si>
  <si>
    <t>SIMONE@SIMONAGGIO.COM.BR</t>
  </si>
  <si>
    <t>Adicionais AFV</t>
  </si>
  <si>
    <t>PAROLIMP - B2B</t>
  </si>
  <si>
    <t>PAROLIMP</t>
  </si>
  <si>
    <t>Erica</t>
  </si>
  <si>
    <t>19997080357</t>
  </si>
  <si>
    <t>ERICA@PAROLINA.COM.BR</t>
  </si>
  <si>
    <t>PAROLAR  (WMS) - MAPEAMENTO</t>
  </si>
  <si>
    <t>PAROLAR</t>
  </si>
  <si>
    <t>Vinicius</t>
  </si>
  <si>
    <t>(19) 99839-6859</t>
  </si>
  <si>
    <t>FABRICIO@PAROLARUTIL.COM.BR</t>
  </si>
  <si>
    <t>FAZZIO - B2B</t>
  </si>
  <si>
    <t>FAZZIO</t>
  </si>
  <si>
    <t>16997672684</t>
  </si>
  <si>
    <t>MARCOS@FAZZIOMADEIRAS.COM.BR</t>
  </si>
  <si>
    <t>GENEX - Cloud</t>
  </si>
  <si>
    <t>GENEX</t>
  </si>
  <si>
    <t>Flávio</t>
  </si>
  <si>
    <t>FLAVIO.TOLEDO@GENEX.COOP</t>
  </si>
  <si>
    <t>Guarani CLOUD;Pausado</t>
  </si>
  <si>
    <t>14/11/2024</t>
  </si>
  <si>
    <t>RISCHIOTO - B2B</t>
  </si>
  <si>
    <t>RISCHIOTO</t>
  </si>
  <si>
    <t>Agnaldo</t>
  </si>
  <si>
    <t>19991001216</t>
  </si>
  <si>
    <t>AGNALDO@RISCHIOTO.COM.BR</t>
  </si>
  <si>
    <t>22/11/2024</t>
  </si>
  <si>
    <t>KEITA - CNPJ</t>
  </si>
  <si>
    <t>KEITA</t>
  </si>
  <si>
    <t xml:space="preserve">KEITA </t>
  </si>
  <si>
    <t>11999797484</t>
  </si>
  <si>
    <t>DIRETORIA@KEITA.COM.BR</t>
  </si>
  <si>
    <t>RUVOLO - Tray</t>
  </si>
  <si>
    <t>RUVOLO</t>
  </si>
  <si>
    <t>Tennison</t>
  </si>
  <si>
    <t>11981525627</t>
  </si>
  <si>
    <t>TENNISON@RUVOLO.COM.BR</t>
  </si>
  <si>
    <t>Adicionais ERP;Pausado</t>
  </si>
  <si>
    <t>13/01/2025</t>
  </si>
  <si>
    <t>PAROLAR - Cloud</t>
  </si>
  <si>
    <t xml:space="preserve">Preço muito alto </t>
  </si>
  <si>
    <t>UTIL UD - CNPJ</t>
  </si>
  <si>
    <t>UTIL COMERCIO E CONFECCAO LTDA</t>
  </si>
  <si>
    <t xml:space="preserve">Rone </t>
  </si>
  <si>
    <t>(19) 34714-7601</t>
  </si>
  <si>
    <t>transrede@transrede.com</t>
  </si>
  <si>
    <t xml:space="preserve"> RUA DOM BARRETO 685</t>
  </si>
  <si>
    <t>AMERICANA</t>
  </si>
  <si>
    <t>Paramount - Imp.XML</t>
  </si>
  <si>
    <t>(19) 99234-5081</t>
  </si>
  <si>
    <t>UTIL UD - CTE</t>
  </si>
  <si>
    <t>Rone</t>
  </si>
  <si>
    <t>19974085011</t>
  </si>
  <si>
    <t xml:space="preserve">Fwb - Treinamento/Reciclagem </t>
  </si>
  <si>
    <t>MILLENIUM UTILIDADES DOMESTICAS LTDA</t>
  </si>
  <si>
    <t>Leopoldo</t>
  </si>
  <si>
    <t>(44) 8845-6975</t>
  </si>
  <si>
    <t>financeiro@dmillenium.com.br</t>
  </si>
  <si>
    <t xml:space="preserve"> AVENIDA JOSE OSWALDO MAIA 1126</t>
  </si>
  <si>
    <t>MARINGA</t>
  </si>
  <si>
    <t>DUARTES BRINQUEDOS (FIKA) - Treinamento</t>
  </si>
  <si>
    <t>DUARTES DISTRIBUICAO UD E BRINQUEDOS LTDA</t>
  </si>
  <si>
    <t xml:space="preserve">Alexandre </t>
  </si>
  <si>
    <t>(11) 98189-2200</t>
  </si>
  <si>
    <t>legalizacao1@reorgcontabil.com.br</t>
  </si>
  <si>
    <t xml:space="preserve"> RUA ALLPAC 136</t>
  </si>
  <si>
    <t>Plasduran - Custo</t>
  </si>
  <si>
    <t>Valéria</t>
  </si>
  <si>
    <t>(11) 96234-9561</t>
  </si>
  <si>
    <t>12/12/2024 00:00</t>
  </si>
  <si>
    <t>(16) 99767-2684</t>
  </si>
  <si>
    <t>NEDO - WMS</t>
  </si>
  <si>
    <t>CASAPRATIL COMERCIO DE ENCARTELADOS LTDA</t>
  </si>
  <si>
    <t>Larissa</t>
  </si>
  <si>
    <t>(12) 3322-4198</t>
  </si>
  <si>
    <t>nfe@nedo.com.br</t>
  </si>
  <si>
    <t xml:space="preserve"> RUA ADOLPHO GOLL 89</t>
  </si>
  <si>
    <t>PAKIPLAST (Paki Toys &amp; Mercosur)</t>
  </si>
  <si>
    <t>PAKIPLAST INDUSTRIA E COMERCIO DE BRINQUEDOS E UTILIDADES DOMESTICAS LTDA</t>
  </si>
  <si>
    <t>(11) 4486-1730</t>
  </si>
  <si>
    <t>gustavo@pakiplast.com.br</t>
  </si>
  <si>
    <t xml:space="preserve"> AV SAO JOAO 1910</t>
  </si>
  <si>
    <t>ATIBAIA</t>
  </si>
  <si>
    <t>SUTT IMPORTADORA</t>
  </si>
  <si>
    <t>SUTT COMERCIO E IMPORTACAO LTDA</t>
  </si>
  <si>
    <t>Jack SUTT</t>
  </si>
  <si>
    <t>(11) 97335-9869</t>
  </si>
  <si>
    <t>jack@sutt.com.br</t>
  </si>
  <si>
    <t xml:space="preserve"> R FLORENCIO DE ABREU 663</t>
  </si>
  <si>
    <t>13/12/2024</t>
  </si>
  <si>
    <t>13/12/2024 00:00</t>
  </si>
  <si>
    <t>PAROLIMP - Checkout</t>
  </si>
  <si>
    <t>(19) 99708-0357</t>
  </si>
  <si>
    <t>Plasduran - Novo Projeto  - Cloud</t>
  </si>
  <si>
    <t>06/01/2025 00:00</t>
  </si>
  <si>
    <t>MARCAMIX</t>
  </si>
  <si>
    <t>HOUSEWARE BRASIL COMERCIAL LTDA.</t>
  </si>
  <si>
    <t>(11) 98280-1100</t>
  </si>
  <si>
    <t>adm@marcamix.com.br</t>
  </si>
  <si>
    <t xml:space="preserve"> R ANTONIO MODESTO GOMIERO 164</t>
  </si>
  <si>
    <t>LOUVEIRA</t>
  </si>
  <si>
    <t>Flora Nectar Treinamento Financeiro</t>
  </si>
  <si>
    <t xml:space="preserve">Vanila </t>
  </si>
  <si>
    <t>(17) 98168-0404</t>
  </si>
  <si>
    <t>08/01/2025 00:00</t>
  </si>
  <si>
    <t>INFINITE HOME - E-commerce</t>
  </si>
  <si>
    <t>INFINITE HOME IMPORTACAO, EXPORTACAO E DISTRIBUICAO DE MERCADORIAS EM GERAL LTDA</t>
  </si>
  <si>
    <t>Raphael</t>
  </si>
  <si>
    <t>(19) 98168-2828</t>
  </si>
  <si>
    <t>contato@infinitehome.com.br</t>
  </si>
  <si>
    <t xml:space="preserve"> RUA JOSE COELHO PRATES JUNIOR 660</t>
  </si>
  <si>
    <t>09/01/2025 00:00</t>
  </si>
  <si>
    <t>Arqplast - Contábil</t>
  </si>
  <si>
    <t>Alisson</t>
  </si>
  <si>
    <t>(15) 3263-4682</t>
  </si>
  <si>
    <t>LIRA DISTRIBUIDORA - Tray</t>
  </si>
  <si>
    <t>LIRA DISTRIBUICAO E IMPORTACAO LTDA</t>
  </si>
  <si>
    <t xml:space="preserve">Alexandre Zequini </t>
  </si>
  <si>
    <t>(16) 98818-2222</t>
  </si>
  <si>
    <t>contidados@hotmail.com</t>
  </si>
  <si>
    <t xml:space="preserve"> RUA JOSE LUIZ CARON 318</t>
  </si>
  <si>
    <t>13/01/2025 00:00</t>
  </si>
  <si>
    <t>TERRA BOA ESPECIARIAS Horas Treinamento</t>
  </si>
  <si>
    <t>TERRA BOA ESPECIARIAS LTDA</t>
  </si>
  <si>
    <t>(75) 99540-8387</t>
  </si>
  <si>
    <t>alexandre.aquino@terraboaespeciarias.com.br</t>
  </si>
  <si>
    <t xml:space="preserve"> RUA SAO FRANCISCO 83</t>
  </si>
  <si>
    <t>VALENCA</t>
  </si>
  <si>
    <t>Comercial Bela Vista - Treinamento Tray</t>
  </si>
  <si>
    <t xml:space="preserve">Karen </t>
  </si>
  <si>
    <t>(11) 94709-6696</t>
  </si>
  <si>
    <t>QFESTA - Cloud</t>
  </si>
  <si>
    <t>BRINQUEMIX</t>
  </si>
  <si>
    <t>(21) 98769-7145</t>
  </si>
  <si>
    <t>DIR1@ARTIGOSQFESTA.COM.BR</t>
  </si>
  <si>
    <t>A Vista</t>
  </si>
  <si>
    <t>14/01/2025 00:00</t>
  </si>
  <si>
    <t>MUNDI EPS</t>
  </si>
  <si>
    <t>MUNDI-EPS INDUSTRIA E COMERCIO DE PLASTICOS LTDA.</t>
  </si>
  <si>
    <t>Marcelo</t>
  </si>
  <si>
    <t>(16) 39119-2731</t>
  </si>
  <si>
    <t>financeiro@mundi-eps.com.br</t>
  </si>
  <si>
    <t xml:space="preserve"> AVENIDA PAPA JOAO XXIII 2600</t>
  </si>
  <si>
    <t>BRODOWSKI</t>
  </si>
  <si>
    <t>MILLENIUM DISTRIBUIDORA - Telemarketing</t>
  </si>
  <si>
    <t xml:space="preserve">Leopoldo </t>
  </si>
  <si>
    <t>(44) 2103-6000</t>
  </si>
  <si>
    <t>15/01/2025 00:00</t>
  </si>
  <si>
    <t>MILLENIUM DISTRIBUIDORA - WMS</t>
  </si>
  <si>
    <t xml:space="preserve">QUALYPLAS - Treinamento Financeiro </t>
  </si>
  <si>
    <t>QUALYPLAS - INDUSTRIA E COMERCIO DE TERMOPLASTICOS LTDA</t>
  </si>
  <si>
    <t>Elizangela</t>
  </si>
  <si>
    <t>(16) 97013-1401</t>
  </si>
  <si>
    <t>qualyplas.sc@gmail.com</t>
  </si>
  <si>
    <t xml:space="preserve"> AVENIDA ANTONIO MARTINEZ CARRERA FILHO 261</t>
  </si>
  <si>
    <t>RUVOLO - Cloud Máquina</t>
  </si>
  <si>
    <t>Decio</t>
  </si>
  <si>
    <t>(11) 98152-5627</t>
  </si>
  <si>
    <t>16/01/2025 00:00</t>
  </si>
  <si>
    <t>Wellmix- AFV-BI</t>
  </si>
  <si>
    <t>wellington</t>
  </si>
  <si>
    <t>(11) 6611-7236</t>
  </si>
  <si>
    <t>MILLENIUM - Envio de Boleto por whatsapp</t>
  </si>
  <si>
    <t>17/01/2025 00:00</t>
  </si>
  <si>
    <t>Comercial Bela Vista - CNPJ</t>
  </si>
  <si>
    <t>Karen</t>
  </si>
  <si>
    <t>Ndi Importação - Treinamento de Compras</t>
  </si>
  <si>
    <t>(47) 9761-1580</t>
  </si>
  <si>
    <t>LIRA DISTRIBUIDORA - CNPJ</t>
  </si>
  <si>
    <t>21/01/2025 00:00</t>
  </si>
  <si>
    <t xml:space="preserve">ALUMINIO NACIONAL - CNPJ </t>
  </si>
  <si>
    <t>ALUMINIO NACIONAL INDUSTRIA &amp; COMERCIO LTDA</t>
  </si>
  <si>
    <t>Danielle</t>
  </si>
  <si>
    <t>(11) 46776-2491</t>
  </si>
  <si>
    <t xml:space="preserve"> RUA JOAO CANZI 625</t>
  </si>
  <si>
    <t>RIO HOME -  SSW</t>
  </si>
  <si>
    <t>JVL IMPORTS LTDA</t>
  </si>
  <si>
    <t>Leticia</t>
  </si>
  <si>
    <t>(21) 9996-7415</t>
  </si>
  <si>
    <t>jvlimports1@gmail.com</t>
  </si>
  <si>
    <t xml:space="preserve"> AVENIDA JOSE WILKER ATOR 00605</t>
  </si>
  <si>
    <t>22/01/2025 00:00</t>
  </si>
  <si>
    <t>MILLENIUM DISTRIBUIDORA - CT-e</t>
  </si>
  <si>
    <t>Apresentar Solução (50%)</t>
  </si>
  <si>
    <t>Lyke - Treinamento Expede</t>
  </si>
  <si>
    <t>Jorge (consultor)</t>
  </si>
  <si>
    <t>(41) 3373-5432</t>
  </si>
  <si>
    <t>23/01/2025 00:00</t>
  </si>
  <si>
    <t>SORVETES KASCAO</t>
  </si>
  <si>
    <t>SORVETES SUPLES INDUSTRIA E COMERCIO LTDA</t>
  </si>
  <si>
    <t>(13) 35799-6001</t>
  </si>
  <si>
    <t>fiscal@kascao.com.br</t>
  </si>
  <si>
    <t xml:space="preserve"> AV PERSIO DE QUEIROS FILHO 395</t>
  </si>
  <si>
    <t>SAO VICENTE</t>
  </si>
  <si>
    <t>Mega Lux  -  Estoque futuro</t>
  </si>
  <si>
    <t xml:space="preserve">Karoline </t>
  </si>
  <si>
    <t>24/01/2025 00:00</t>
  </si>
  <si>
    <t>Wlad</t>
  </si>
  <si>
    <t>(19) 99100-1216</t>
  </si>
  <si>
    <t>Mta Panelas - Qualidade</t>
  </si>
  <si>
    <t>(46) 8822-9800</t>
  </si>
  <si>
    <t>SULTEX - Mde</t>
  </si>
  <si>
    <t>SULTEX IMPORTACAO E EXPORTACAO LTDA</t>
  </si>
  <si>
    <t>(47) 32687-8704</t>
  </si>
  <si>
    <t>eliane@conasscon.com</t>
  </si>
  <si>
    <t xml:space="preserve"> RODOVIA BR 101 S/N</t>
  </si>
  <si>
    <t>CAMBORIU</t>
  </si>
  <si>
    <t>27/01/2025 00:00</t>
  </si>
  <si>
    <t>A.A. DISTRIBUICAO E IMPORTACAO DE ARTIGOS DE DECORACAO LTDA</t>
  </si>
  <si>
    <t xml:space="preserve">Helena </t>
  </si>
  <si>
    <t>(43) 3032-5600</t>
  </si>
  <si>
    <t>diasadv@sercomtel.com.br</t>
  </si>
  <si>
    <t xml:space="preserve"> R RIO GRANDE DO NORTE 445</t>
  </si>
  <si>
    <t>LONDRINA</t>
  </si>
  <si>
    <t>PAROLIMP - Checkout  Horas Adicionais</t>
  </si>
  <si>
    <t>FU XING - Cloud</t>
  </si>
  <si>
    <t>FU XING COMERCIO IMPORTACAO E EXPORTACAO LTDA</t>
  </si>
  <si>
    <t>Luciana e Bruce</t>
  </si>
  <si>
    <t>(21) 25682-5682</t>
  </si>
  <si>
    <t>fuxingcomercio@gmail.com</t>
  </si>
  <si>
    <t xml:space="preserve"> AVENIDA JULIO DE SA BIERRENBACH ALM 65</t>
  </si>
  <si>
    <t>INGA - Cloud</t>
  </si>
  <si>
    <t>INGA</t>
  </si>
  <si>
    <t xml:space="preserve">Giordany </t>
  </si>
  <si>
    <t>(44) 99922-1990</t>
  </si>
  <si>
    <t>CELSO@INGAIMPORT.COM.BR</t>
  </si>
  <si>
    <t>Igaratiba - Guarani BI</t>
  </si>
  <si>
    <t xml:space="preserve">Jonas </t>
  </si>
  <si>
    <t>(19) 99188-4278</t>
  </si>
  <si>
    <t>Mta Panelas/Link de Pagamento/SSW/B2B</t>
  </si>
  <si>
    <t>João/Eduardo</t>
  </si>
  <si>
    <t xml:space="preserve">Arqplast - WMS </t>
  </si>
  <si>
    <t xml:space="preserve">Juliana </t>
  </si>
  <si>
    <t>Arqplast - B2B</t>
  </si>
  <si>
    <t>PAKIPLAST (Paki Toys &amp; Mercosur) - B2B</t>
  </si>
  <si>
    <t>PAKIPLAST (Paki Toys &amp; Mercosur) - WMS</t>
  </si>
  <si>
    <t>PAKIPLAST (Paki Toys &amp; Mercosur) - Custo</t>
  </si>
  <si>
    <t>PAKIPLAST (Paki Toys &amp; Mercosur) - Cloud</t>
  </si>
  <si>
    <t>RISCHIOTO - CNPJ</t>
  </si>
  <si>
    <t>Wladmilton</t>
  </si>
  <si>
    <t>DUARTES BRINQUEDOS (FIKA) - CNPJ</t>
  </si>
  <si>
    <t>Marcia</t>
  </si>
  <si>
    <t>(11) 9524-0100</t>
  </si>
  <si>
    <t>Univendas - CNPJ</t>
  </si>
  <si>
    <t>(11) 96446-0733</t>
  </si>
  <si>
    <t>Especial Cafés - Guarani BI</t>
  </si>
  <si>
    <t xml:space="preserve">Marcelo </t>
  </si>
  <si>
    <t>(16) 98821-5110</t>
  </si>
  <si>
    <t>Regimara - Guarani BI</t>
  </si>
  <si>
    <t>(19) 3466-2525</t>
  </si>
  <si>
    <t>10/02/2025 00:00</t>
  </si>
  <si>
    <t>Marilar - PDV Guarani</t>
  </si>
  <si>
    <t>Vanessa</t>
  </si>
  <si>
    <t>(11) 98192-8552</t>
  </si>
  <si>
    <t>13/02/2025 00:00</t>
  </si>
  <si>
    <t>PAROLAR - Integração RD Station</t>
  </si>
  <si>
    <t>Kassiara</t>
  </si>
  <si>
    <t>MILLENIUM DISTRIBUIDORA - inclusão de CNPJ</t>
  </si>
  <si>
    <t>QUALITY HOUSE</t>
  </si>
  <si>
    <t>Textil Regimara Ltda</t>
  </si>
  <si>
    <t xml:space="preserve">Dimas </t>
  </si>
  <si>
    <t>(19) 3450-1590</t>
  </si>
  <si>
    <t>jorge@textilregimara.com.br</t>
  </si>
  <si>
    <t xml:space="preserve"> RUA ANIBAL TANGANELLI 95</t>
  </si>
  <si>
    <t>NOVA ODESSA</t>
  </si>
  <si>
    <t>Iuri</t>
  </si>
  <si>
    <t>DAS'PLAST - BI</t>
  </si>
  <si>
    <t>DAS'PLAST INDUSTRIA E COMERCIO DE PLASTICO LTDA</t>
  </si>
  <si>
    <t>Eduardo</t>
  </si>
  <si>
    <t>(11) 4012-7271</t>
  </si>
  <si>
    <t>adm@dasplast.com.br</t>
  </si>
  <si>
    <t xml:space="preserve"> ROD MARGINAL DA RODOVIA DOM PEDRO I (PISTA NORTE) S/N</t>
  </si>
  <si>
    <t>BOM JESUS DOS PERDOES</t>
  </si>
  <si>
    <t>Embalavi - BI</t>
  </si>
  <si>
    <t>Macos</t>
  </si>
  <si>
    <t>(41) 3888-0050</t>
  </si>
  <si>
    <t>PAROLAR - Envio de Boleto whatsapp</t>
  </si>
  <si>
    <t xml:space="preserve">Fernanda </t>
  </si>
  <si>
    <t>Interponte - Proposta WEB - AFV</t>
  </si>
  <si>
    <t>Jorge</t>
  </si>
  <si>
    <t>(21) 2224-7616</t>
  </si>
  <si>
    <t>MILLENIUM DISTRIBUIDORA  - Koncili</t>
  </si>
  <si>
    <t>18/02/2025 00:00</t>
  </si>
  <si>
    <t>Univendas - Guarani BI</t>
  </si>
  <si>
    <t>Janaina</t>
  </si>
  <si>
    <t>19/02/2025 00:00</t>
  </si>
  <si>
    <t>ALUMINIO NACIONAL</t>
  </si>
  <si>
    <t>SULTEX - Cloud</t>
  </si>
  <si>
    <t>ATIVA ATACADO - Treinamento de compras</t>
  </si>
  <si>
    <t>Luis</t>
  </si>
  <si>
    <t>(16) 98832-4224</t>
  </si>
  <si>
    <t>Universal Quimica - Mapeamento e Reimplantação</t>
  </si>
  <si>
    <t>UNIVERSAL QUIMICA INDUSTRIA E COMERCIO LTDA</t>
  </si>
  <si>
    <t>Igor</t>
  </si>
  <si>
    <t>(16) 3763-0033</t>
  </si>
  <si>
    <t>administracao@universalquimica.com.br</t>
  </si>
  <si>
    <t xml:space="preserve"> R LUIZ MARINCEK 35</t>
  </si>
  <si>
    <t>JARDINOPOLIS</t>
  </si>
  <si>
    <t>Lyke   - Telemarketing</t>
  </si>
  <si>
    <t>ERICA ZAGO</t>
  </si>
  <si>
    <t>23/04/2025</t>
  </si>
  <si>
    <t>01/04/2025</t>
  </si>
  <si>
    <t>COLORFLEX - Cloud</t>
  </si>
  <si>
    <t>COLORFLEX ESTAMPARIA LTDA</t>
  </si>
  <si>
    <t>(19) 34981-6791</t>
  </si>
  <si>
    <t>adm@colorflexestamparia.com.br</t>
  </si>
  <si>
    <t xml:space="preserve"> RUA ALEXANDRE BASSORA 1.070</t>
  </si>
  <si>
    <t>ALUMINIO NACIONAL - Horas Extra - WMS</t>
  </si>
  <si>
    <t>Daniellle</t>
  </si>
  <si>
    <t>27/02/2025 00:00</t>
  </si>
  <si>
    <t>DOLCE HOME - WMS</t>
  </si>
  <si>
    <t>DOLCE HOME COMERCIO DE UTILIDADES DOMESTICAS LTDA.</t>
  </si>
  <si>
    <t>Gabriel</t>
  </si>
  <si>
    <t xml:space="preserve"> R EMILIO GOELDI 111</t>
  </si>
  <si>
    <t>14/03/2025 00:00</t>
  </si>
  <si>
    <t>03/04/2025</t>
  </si>
  <si>
    <t>QUALITY HOUSE - Reciclagem</t>
  </si>
  <si>
    <t>12/03/2025 00:00</t>
  </si>
  <si>
    <t>UTIL UD -  CNPJ</t>
  </si>
  <si>
    <t xml:space="preserve">Elisabete </t>
  </si>
  <si>
    <t>ATIVA ATACADO - PCP</t>
  </si>
  <si>
    <t>SIPOM - CTe</t>
  </si>
  <si>
    <t>SIPOM GROUP LTDA</t>
  </si>
  <si>
    <t>(16) 3373-3133</t>
  </si>
  <si>
    <t>recepcao@mecanocontabil.com.br</t>
  </si>
  <si>
    <t xml:space="preserve"> RODOVIA ENGENHEIRO THALES DE LORENA PEIXOTO JUNIOR (SP 318) S/N</t>
  </si>
  <si>
    <t>GIFTUTIL</t>
  </si>
  <si>
    <t>GIFTUTIL COMERCIO E IMPORTACAO LTDA</t>
  </si>
  <si>
    <t>Maria Eduarda</t>
  </si>
  <si>
    <t>(11) 2068-5854</t>
  </si>
  <si>
    <t>contato@giftutil.com.br</t>
  </si>
  <si>
    <t xml:space="preserve"> RUA ABRAHAO CALUX 103</t>
  </si>
  <si>
    <t>Montebello - Inclusão de CNPJ</t>
  </si>
  <si>
    <t>(19) 99708-3799</t>
  </si>
  <si>
    <t>18/03/2025 00:00</t>
  </si>
  <si>
    <t>ATIVA ATACADO - RD Station</t>
  </si>
  <si>
    <t>Renan</t>
  </si>
  <si>
    <t>19/03/2025 00:00</t>
  </si>
  <si>
    <t>DUARTES BRINQUEDOS (FIKA)</t>
  </si>
  <si>
    <t>J C VACCARIN  - Boleto por APP</t>
  </si>
  <si>
    <t>J C VACCARIN &amp; VACCARIN LTDA</t>
  </si>
  <si>
    <t>Julia</t>
  </si>
  <si>
    <t>(45) 32241-2204</t>
  </si>
  <si>
    <t xml:space="preserve"> RUA ERECHIM 755</t>
  </si>
  <si>
    <t>CASCAVEL</t>
  </si>
  <si>
    <t>20/03/2025 00:00</t>
  </si>
  <si>
    <t>BRL Alimentos - Inclusão de CNPJ + CTE</t>
  </si>
  <si>
    <t>BRL ALIMENTOS LTDA</t>
  </si>
  <si>
    <t>(38) 9933-6602</t>
  </si>
  <si>
    <t>financeiro@casadaspolpas.com.br</t>
  </si>
  <si>
    <t xml:space="preserve"> RUA JURAMENTO 293</t>
  </si>
  <si>
    <t>MONTES CLAROS</t>
  </si>
  <si>
    <t>Paramount - Cloud</t>
  </si>
  <si>
    <t>26/03/2025 00:00</t>
  </si>
  <si>
    <t>KOZI PLAST - CNPJ</t>
  </si>
  <si>
    <t>KOZI PLAST INDUSTRIA E COMERCIO LTDA</t>
  </si>
  <si>
    <t>(19) 3893-4999</t>
  </si>
  <si>
    <t>contato@koziplast.com.br</t>
  </si>
  <si>
    <t xml:space="preserve"> RUA PRIMO ANGELO BERLOFA 101</t>
  </si>
  <si>
    <t>PEDREIRA</t>
  </si>
  <si>
    <t>Flora Nectar - Treinamento Estoque</t>
  </si>
  <si>
    <t>COLORFLEX - Treinamento AFV</t>
  </si>
  <si>
    <t>(19) 98712-6669</t>
  </si>
  <si>
    <t>ALUMINIO NACIONAL - Qualidade</t>
  </si>
  <si>
    <t>Daniela</t>
  </si>
  <si>
    <t>31/03/2025 00:00</t>
  </si>
  <si>
    <t>24/03/2025</t>
  </si>
  <si>
    <t>GP INOX - B2B</t>
  </si>
  <si>
    <t>GP INOX - COMERCIO DE UTILIDADES DOMESTICAS LTDA</t>
  </si>
  <si>
    <t>(43) 3322-4025</t>
  </si>
  <si>
    <t>prolar@grupoprolar.com.br</t>
  </si>
  <si>
    <t xml:space="preserve"> AVENIDA DEZ DE DEZEMBRO 6769</t>
  </si>
  <si>
    <t>01/04/2025 00:00</t>
  </si>
  <si>
    <t>SULTEX - Treinamento AFV</t>
  </si>
  <si>
    <t>Mta Panelas - AFB B2B</t>
  </si>
  <si>
    <t>08/04/2025 00:00</t>
  </si>
  <si>
    <t xml:space="preserve">ATIVA ATACADO  - Treinamento </t>
  </si>
  <si>
    <t>Maycon</t>
  </si>
  <si>
    <t>QUALYPLAS  - CNPJ</t>
  </si>
  <si>
    <t xml:space="preserve">Elizangela </t>
  </si>
  <si>
    <t>COLORFLEX - Contábil</t>
  </si>
  <si>
    <t>03/04/2025 00:00</t>
  </si>
  <si>
    <t>Plastcap - Reciclagem e Implantação</t>
  </si>
  <si>
    <t>(19) 99623-2473</t>
  </si>
  <si>
    <t>Universal Quimica - Integrador Tray</t>
  </si>
  <si>
    <t>Evelyn</t>
  </si>
  <si>
    <t>08/04/2025</t>
  </si>
  <si>
    <t>AKITEM UTILIDADES - Substituição de CNPJ</t>
  </si>
  <si>
    <t>LEME OLIVEIRA COMERCIO DE UTILIDADES LTDA</t>
  </si>
  <si>
    <t>Henrique</t>
  </si>
  <si>
    <t>(19) 8304-0091</t>
  </si>
  <si>
    <t>financeiro@akitembembarato.com</t>
  </si>
  <si>
    <t xml:space="preserve"> R CICA 201</t>
  </si>
  <si>
    <t xml:space="preserve">RIO HOME - Envio de Boleto Whatsapp </t>
  </si>
  <si>
    <t xml:space="preserve">ALUMINIO NACIONAL - Inventário </t>
  </si>
  <si>
    <t xml:space="preserve">CARDOSO BRINQUEDO - Link de Pagamento </t>
  </si>
  <si>
    <t>CARDOSO INDUSTRIA E COMERCIO DE PLASTICOS LTDA</t>
  </si>
  <si>
    <t>Renato</t>
  </si>
  <si>
    <t>(11) 98432-0025</t>
  </si>
  <si>
    <t>renato.masiero@cardosotoys.com.br</t>
  </si>
  <si>
    <t xml:space="preserve"> AV MATASHIRO YAMAGUIHI 278</t>
  </si>
  <si>
    <t>10/04/2025 00:00</t>
  </si>
  <si>
    <t>Pupi Imports - MDF-E e CT-E</t>
  </si>
  <si>
    <t>PUPI IMPORTS IMPORTACAO E COMERCIO LTDA</t>
  </si>
  <si>
    <t xml:space="preserve"> AVENIDA CARLOS HUMBERTO TERNES 1415</t>
  </si>
  <si>
    <t>Plásticos Mb - Treinamento AFV - Integrador</t>
  </si>
  <si>
    <t>Ederaldo/Lucilene</t>
  </si>
  <si>
    <t>(11) 99247-5223</t>
  </si>
  <si>
    <t>14/04/2025 00:00</t>
  </si>
  <si>
    <t>Maitê</t>
  </si>
  <si>
    <t>16/04/2025 00:00</t>
  </si>
  <si>
    <t>Marilar - CNPJ</t>
  </si>
  <si>
    <t>17/04/2025 00:00</t>
  </si>
  <si>
    <t>COLORFLEX - Compras</t>
  </si>
  <si>
    <t>23/04/2025 00:00</t>
  </si>
  <si>
    <t>DUTE - CNPJ - Implantação Estoque futuro</t>
  </si>
  <si>
    <t>DUTE IMPORTADORA E EXPORTADORA LTDA</t>
  </si>
  <si>
    <t>(11) 3451-3709</t>
  </si>
  <si>
    <t>comercialsp@dutebrasil.com.br</t>
  </si>
  <si>
    <t xml:space="preserve"> RODOVIA BR 280 7199</t>
  </si>
  <si>
    <t>GUARAMIRIM</t>
  </si>
  <si>
    <t>Duda</t>
  </si>
  <si>
    <t>30/04/2025 00:00</t>
  </si>
  <si>
    <t>walter</t>
  </si>
  <si>
    <t>Embalavi E-commerce</t>
  </si>
  <si>
    <t>Evandro</t>
  </si>
  <si>
    <t>LIRA DISTRIBUIDORA - PDV</t>
  </si>
  <si>
    <t>(16) 3116-5299</t>
  </si>
  <si>
    <t>05/05/2025 00:00</t>
  </si>
  <si>
    <t>GIFTUTIL - Add-on Multiloja</t>
  </si>
  <si>
    <t>Eduarda</t>
  </si>
  <si>
    <t>06/05/2025 00:00</t>
  </si>
  <si>
    <t>06/05/2025</t>
  </si>
  <si>
    <t>07/05/2025 00:00</t>
  </si>
  <si>
    <t xml:space="preserve">Plásticos Mb - Loja B2B </t>
  </si>
  <si>
    <t>08/05/2025 00:00</t>
  </si>
  <si>
    <t>Vitazza - CRM</t>
  </si>
  <si>
    <t xml:space="preserve">Guilherme </t>
  </si>
  <si>
    <t>(11) 4743-3053</t>
  </si>
  <si>
    <t>09/05/2025 00:00</t>
  </si>
  <si>
    <t>Plásticos Mb - Proposta WEB</t>
  </si>
  <si>
    <t xml:space="preserve">Victor </t>
  </si>
  <si>
    <t>Chahin - Alteração E-commerce</t>
  </si>
  <si>
    <t xml:space="preserve">Chahin </t>
  </si>
  <si>
    <t>(11) 2675-1375</t>
  </si>
  <si>
    <t>12/05/2025 00:00</t>
  </si>
  <si>
    <t>12/05/2025</t>
  </si>
  <si>
    <t>ALUMINIO NACIONAL- Treinamento processos PCP</t>
  </si>
  <si>
    <t>14/05/2025 00:00</t>
  </si>
  <si>
    <t>14/05/2025</t>
  </si>
  <si>
    <t xml:space="preserve">COLORFLEX - Mapeamento Almoxarifado </t>
  </si>
  <si>
    <t>15/05/2025 00:00</t>
  </si>
  <si>
    <t>ATIVA ATACADO - compras, almoxarifado e recebiment</t>
  </si>
  <si>
    <t>FACINATO - Alinhamento Estratégico: Próximos Passo</t>
  </si>
  <si>
    <t>FACINATO COMERCIO, IMPORTACAO E EXPORTACAO LTDA</t>
  </si>
  <si>
    <t>Emerson</t>
  </si>
  <si>
    <t>(11) 32976-0951</t>
  </si>
  <si>
    <t>sucont@terra.com.br</t>
  </si>
  <si>
    <t xml:space="preserve"> RUA VALENTIM MAGALHAES 347</t>
  </si>
  <si>
    <t>21/05/2025 00:00</t>
  </si>
  <si>
    <t>QFESTA - Link de pagamento</t>
  </si>
  <si>
    <t>14/07/2025</t>
  </si>
  <si>
    <t>MOKFA IMPORT - Expedição</t>
  </si>
  <si>
    <t>MOKFA IMPORT LTDA</t>
  </si>
  <si>
    <t>(48) 3447-6367</t>
  </si>
  <si>
    <t>diego@mokfaimport.com</t>
  </si>
  <si>
    <t xml:space="preserve"> RODOVIA ARCHIMEDES NASPOLINI 2500</t>
  </si>
  <si>
    <t>CRICIUMA</t>
  </si>
  <si>
    <t>16/05/2025 00:00</t>
  </si>
  <si>
    <t>YOSS COMERCIAL - Alinhamento Estratégico: Próximos</t>
  </si>
  <si>
    <t>YOSS COMERCIAL IMPORTADORA E EXPORTADORA LTDA</t>
  </si>
  <si>
    <t xml:space="preserve">Fernando </t>
  </si>
  <si>
    <t>(11) 33132-2021</t>
  </si>
  <si>
    <t>vitoria@yoss.com.br</t>
  </si>
  <si>
    <t xml:space="preserve"> RUA VENEZA 162</t>
  </si>
  <si>
    <t>Wellmix - Proposta WEB</t>
  </si>
  <si>
    <t>Everton</t>
  </si>
  <si>
    <t>19/05/2025</t>
  </si>
  <si>
    <t>19/05/2025 00:00</t>
  </si>
  <si>
    <t>NIX HOUSE - Estoque Futuro</t>
  </si>
  <si>
    <t>WEBRING IMPORT LTDA</t>
  </si>
  <si>
    <t>Nazeeh</t>
  </si>
  <si>
    <t>(11) 1111-1111</t>
  </si>
  <si>
    <t>grupo.evolucao@terra.com.br</t>
  </si>
  <si>
    <t xml:space="preserve"> AVENIDA SEN QUEIROS 279</t>
  </si>
  <si>
    <t>TERRA BOA ESPECIARIAS  - Routeasy</t>
  </si>
  <si>
    <t>Alxandre</t>
  </si>
  <si>
    <t>28/07/2025</t>
  </si>
  <si>
    <t>CULTURAMA - Guarani BI</t>
  </si>
  <si>
    <t>CULTURAMA LTDA</t>
  </si>
  <si>
    <t>(54) 30273-8275</t>
  </si>
  <si>
    <t>recebimento@culturama.com.br</t>
  </si>
  <si>
    <t xml:space="preserve"> RUA TRONCA 2660</t>
  </si>
  <si>
    <t>03/06/2025</t>
  </si>
  <si>
    <t>Humberto</t>
  </si>
  <si>
    <t>Scotti - Cloud</t>
  </si>
  <si>
    <t>20/05/2025</t>
  </si>
  <si>
    <t>20/05/2025 00:00</t>
  </si>
  <si>
    <t>MUNDI EPS treinamento</t>
  </si>
  <si>
    <t>Leonardo</t>
  </si>
  <si>
    <t>Arcaplast - Novo CD</t>
  </si>
  <si>
    <t>22/05/2025 00:00</t>
  </si>
  <si>
    <t>Univendas - Horas WMS</t>
  </si>
  <si>
    <t>Scotti - Neocredit</t>
  </si>
  <si>
    <t>Charles</t>
  </si>
  <si>
    <t>Mta Panelas - Treinamento Custos</t>
  </si>
  <si>
    <t>27/05/2025 00:00</t>
  </si>
  <si>
    <t>Arcaplast - Guarani B2B</t>
  </si>
  <si>
    <t>Univendas - Boleto wapp</t>
  </si>
  <si>
    <t>Bruna</t>
  </si>
  <si>
    <t>(11) 95061-6526</t>
  </si>
  <si>
    <t>28/05/2025 00:00</t>
  </si>
  <si>
    <t>ATIVA ATACADO - Treinamento A pagar e receber</t>
  </si>
  <si>
    <t>Mayco</t>
  </si>
  <si>
    <t>29/05/2025 00:00</t>
  </si>
  <si>
    <t>Master Ud   - Manifestação Destinatário</t>
  </si>
  <si>
    <t>(67) 99209-2648</t>
  </si>
  <si>
    <t>04/06/2025</t>
  </si>
  <si>
    <t>QFESTA - TLK</t>
  </si>
  <si>
    <t>21987697145</t>
  </si>
  <si>
    <t>04/06/2025 00:00</t>
  </si>
  <si>
    <t>Flora Nectar - AFV - Reimplantação</t>
  </si>
  <si>
    <t>Roger</t>
  </si>
  <si>
    <t>05/06/2025 00:00</t>
  </si>
  <si>
    <t>Full Fit - B2B</t>
  </si>
  <si>
    <t>(11) 3577-0555</t>
  </si>
  <si>
    <t>Plásticos MB - Proposta WEB</t>
  </si>
  <si>
    <t xml:space="preserve">Rayssa </t>
  </si>
  <si>
    <t>06/06/2025 00:00</t>
  </si>
  <si>
    <t>CULTURAMA  - CNPJ</t>
  </si>
  <si>
    <t xml:space="preserve">Vinicus </t>
  </si>
  <si>
    <t>10/06/2025 00:00</t>
  </si>
  <si>
    <t xml:space="preserve">DUTE - Checkout </t>
  </si>
  <si>
    <t>GUstavo</t>
  </si>
  <si>
    <t>12/06/2025 00:00</t>
  </si>
  <si>
    <t>PAROLAR- Envio de Boleto por Whatsapp</t>
  </si>
  <si>
    <t xml:space="preserve">Camila </t>
  </si>
  <si>
    <t>13/06/2025 00:00</t>
  </si>
  <si>
    <t>QUALYPLAS - envio de boleto por whatsapp</t>
  </si>
  <si>
    <t xml:space="preserve">Raissa </t>
  </si>
  <si>
    <t>INGA - Routeazy</t>
  </si>
  <si>
    <t>ZINCO METAL - Envio de Boleto por Whatsapp</t>
  </si>
  <si>
    <t>ZINCO METAL COMERCIO LTDA</t>
  </si>
  <si>
    <t>Priscila</t>
  </si>
  <si>
    <t>(11) 66061-4506</t>
  </si>
  <si>
    <t>suely.alonso@terra.com.br</t>
  </si>
  <si>
    <t xml:space="preserve"> RUA DO ORFANATO 549</t>
  </si>
  <si>
    <t>Dvidros - envio de boleto por Whatsapp</t>
  </si>
  <si>
    <t>Zezé</t>
  </si>
  <si>
    <t>(31) 98860-5879</t>
  </si>
  <si>
    <t>16/06/2025 00:00</t>
  </si>
  <si>
    <t>FWB - Envio de Boleto Whatsapp</t>
  </si>
  <si>
    <t>Aline</t>
  </si>
  <si>
    <t>Interponte - Envio de Boleto Whatsapp</t>
  </si>
  <si>
    <t>Dismarina  - Envio de Boleto por Whatsapp</t>
  </si>
  <si>
    <t>Nice</t>
  </si>
  <si>
    <t>(65) 3661-2571</t>
  </si>
  <si>
    <t>Ndi Importação - Envio de Boleto Whatsapp</t>
  </si>
  <si>
    <t>KEITA - envio de Boleto Whatsapp</t>
  </si>
  <si>
    <t xml:space="preserve">Andressa </t>
  </si>
  <si>
    <t>(11) 99979-7484</t>
  </si>
  <si>
    <t>Plásticos MB - Segregação AFV</t>
  </si>
  <si>
    <t>Victor</t>
  </si>
  <si>
    <t>18/06/2025 00:00</t>
  </si>
  <si>
    <t xml:space="preserve">Plásticos MB - Consultoria </t>
  </si>
  <si>
    <t>MILLENIUM DISTRIBUIDORA - Koncili</t>
  </si>
  <si>
    <t>17/06/2025 00:00</t>
  </si>
  <si>
    <t>24/06/2025 00:00</t>
  </si>
  <si>
    <t>ALUMINIO NACIONAL - Envio de Boleto por Whatsapp</t>
  </si>
  <si>
    <t>Aliança Importadora - Saldo de horas</t>
  </si>
  <si>
    <t>(48) 98455-2099</t>
  </si>
  <si>
    <t>SUTT IMPORTADORA - Saldo de horas</t>
  </si>
  <si>
    <t>Jack</t>
  </si>
  <si>
    <t>Pupi Imports - Inclusão de Empresas</t>
  </si>
  <si>
    <t>25/06/2025 00:00</t>
  </si>
  <si>
    <t>UTIL UD - Telemarketing</t>
  </si>
  <si>
    <t>03/07/2025</t>
  </si>
  <si>
    <t xml:space="preserve">Wellmix - Treinamento equipe de vendas </t>
  </si>
  <si>
    <t>Pupi Imports - Multiloja</t>
  </si>
  <si>
    <t>RUVOLO - Koncili</t>
  </si>
  <si>
    <t>Pablo</t>
  </si>
  <si>
    <t>GP INOX Telemarketing</t>
  </si>
  <si>
    <t>03/07/2025 00:00</t>
  </si>
  <si>
    <t xml:space="preserve">Koisas de Kozinha - Processos fiscais </t>
  </si>
  <si>
    <t xml:space="preserve">Mariana </t>
  </si>
  <si>
    <t>07/07/2025 00:00</t>
  </si>
  <si>
    <t>KOZI PLAST - Treinamento PCP</t>
  </si>
  <si>
    <t>DUS - CNPJ</t>
  </si>
  <si>
    <t>Melissa</t>
  </si>
  <si>
    <t>(24) 3336-1437 / (24) 3336-1437</t>
  </si>
  <si>
    <t>08/07/2025 00:00</t>
  </si>
  <si>
    <t>Helena</t>
  </si>
  <si>
    <t>DUS - Módulo Contábil</t>
  </si>
  <si>
    <t xml:space="preserve">Melissa </t>
  </si>
  <si>
    <t>21/07/2025</t>
  </si>
  <si>
    <t>RISCHIOTO - Interlipost</t>
  </si>
  <si>
    <t>11/07/2025 00:00</t>
  </si>
  <si>
    <t>INGA - Interlipost</t>
  </si>
  <si>
    <t>27/07/2025</t>
  </si>
  <si>
    <t>PAROLAR - Guarani Expede</t>
  </si>
  <si>
    <t>SORVETES KASCAO - Qualidade</t>
  </si>
  <si>
    <t>16/07/2025 00:00</t>
  </si>
  <si>
    <t>14/07/2025 00:00</t>
  </si>
  <si>
    <t>QUALYPLAS - Financeiro - Fiscal - Compras</t>
  </si>
  <si>
    <t>YOSS COMERCIAL - Reciclagem</t>
  </si>
  <si>
    <t>Fernando</t>
  </si>
  <si>
    <t>17/07/2025 00:00</t>
  </si>
  <si>
    <t>PAROLAR - CNPJ</t>
  </si>
  <si>
    <t xml:space="preserve">Marcia </t>
  </si>
  <si>
    <t>23/07/2025 00:00</t>
  </si>
  <si>
    <t>Dislar - treinamento</t>
  </si>
  <si>
    <t>Cleison</t>
  </si>
  <si>
    <t>(11) 99976-5402</t>
  </si>
  <si>
    <t>24/07/2025 00:00</t>
  </si>
  <si>
    <t xml:space="preserve">Regimara - Visita Técnica </t>
  </si>
  <si>
    <t>Jéssica</t>
  </si>
  <si>
    <t>PAROLAR - Estoque Futuro</t>
  </si>
  <si>
    <t>Ndi Importação - Cloud</t>
  </si>
  <si>
    <t>30/07/2025 00:00</t>
  </si>
  <si>
    <t>Plasduran - Link de pagamento</t>
  </si>
  <si>
    <t>08/08/2025</t>
  </si>
  <si>
    <t>01/08/2025 00:00</t>
  </si>
  <si>
    <t xml:space="preserve">INGA - Treinamento </t>
  </si>
  <si>
    <t>04/08/2025 00:00</t>
  </si>
  <si>
    <t>FAZZIO - Treinamento</t>
  </si>
  <si>
    <t>DAS'PLAST - Link de Pagamento</t>
  </si>
  <si>
    <t>MILLENIUM DISTRIBUIDORA - Lexos e CNPJ</t>
  </si>
  <si>
    <t>07/08/2025 00:00</t>
  </si>
  <si>
    <t>INGA - Link de Pagamento</t>
  </si>
  <si>
    <t>Celsinho</t>
  </si>
  <si>
    <t>ALUMINIO NACIONAL - B2B</t>
  </si>
  <si>
    <t>PAROLIMP - Link de Pagamento</t>
  </si>
  <si>
    <t>08/08/2025 00:00</t>
  </si>
  <si>
    <t>KOZI PLAST - PCP</t>
  </si>
  <si>
    <t>SULTEX  - CIAP - Ativo Imobilizado</t>
  </si>
  <si>
    <t xml:space="preserve">DCARTE - Módulo Iara </t>
  </si>
  <si>
    <t>DCARTE IMPORTACAO E EXPORTACAO LTDA</t>
  </si>
  <si>
    <t>Vivi</t>
  </si>
  <si>
    <t>(21) 3075-1089</t>
  </si>
  <si>
    <t>dcarte.importacao@dcarte.com.br</t>
  </si>
  <si>
    <t xml:space="preserve"> ESTRADA NOGUEIRAS 1052</t>
  </si>
  <si>
    <t>13/08/2025 00:00</t>
  </si>
  <si>
    <t xml:space="preserve">Aliança Importadora  - Link de Pagamento </t>
  </si>
  <si>
    <t>Univendas - Envio de Boleto por Whatsapp</t>
  </si>
  <si>
    <t>Guilherme</t>
  </si>
  <si>
    <t>15/08/2025 00:00</t>
  </si>
  <si>
    <t xml:space="preserve">RUVOLO  - CNPJ </t>
  </si>
  <si>
    <t>ELMO ATACADO - B2B</t>
  </si>
  <si>
    <t>(47) 99994-9301</t>
  </si>
  <si>
    <t>MARCAMIX - Interlipost</t>
  </si>
  <si>
    <t>Ismael</t>
  </si>
  <si>
    <t>(11) 4527-1355</t>
  </si>
  <si>
    <t>14/08/2025 00:00</t>
  </si>
  <si>
    <t>Belmount Indústria - Link de Pagamento</t>
  </si>
  <si>
    <t>José Roberto</t>
  </si>
  <si>
    <t>(19) 3491-5905</t>
  </si>
  <si>
    <t>contato@belmount.com.br</t>
  </si>
  <si>
    <t>20/08/2025 00:00</t>
  </si>
  <si>
    <t>Comercial Bela Vista - Link de Pagamento</t>
  </si>
  <si>
    <t>Dislar - Saldo de Horas</t>
  </si>
  <si>
    <t>TERRA BOA ESPECIARIAS - Treinamento de Custo</t>
  </si>
  <si>
    <t>21/08/2025 00:00</t>
  </si>
  <si>
    <t>Mta Panelas - Industrialização em terceiro</t>
  </si>
  <si>
    <t>Tiago</t>
  </si>
  <si>
    <t>Mta Panelas - Link de Pagamento</t>
  </si>
  <si>
    <t>DAS'PLAST - Treinamento PCP</t>
  </si>
  <si>
    <t xml:space="preserve">Nuno </t>
  </si>
  <si>
    <t>NIX HOUSE - Link de Pagamento</t>
  </si>
  <si>
    <t>Nassib</t>
  </si>
  <si>
    <t>Marilar - Integrador E-commerce</t>
  </si>
  <si>
    <t xml:space="preserve">ClassHome -  WMS </t>
  </si>
  <si>
    <t>Luiz Gustavo</t>
  </si>
  <si>
    <t>(47) 9929-4433</t>
  </si>
  <si>
    <t>contasapagar@classhome.com.br</t>
  </si>
  <si>
    <t>26/08/2025 00:00</t>
  </si>
  <si>
    <t>Lyke - Reimplantação AFV</t>
  </si>
  <si>
    <t>Embalavi - Concil</t>
  </si>
  <si>
    <t>29/08/2025 00:00</t>
  </si>
  <si>
    <t>RIO HOME - CNPJ</t>
  </si>
  <si>
    <t>01/09/2025 00:00</t>
  </si>
  <si>
    <t>GIFTUTIL - Estoque Futuro</t>
  </si>
  <si>
    <t>Marilar PDV Guarani</t>
  </si>
  <si>
    <t>03/09/2025 00:00</t>
  </si>
  <si>
    <t>Chahin - Saldo de horas</t>
  </si>
  <si>
    <t>QUALITY HOUSE - Treinamento</t>
  </si>
  <si>
    <t>08/09/2025 00:00</t>
  </si>
  <si>
    <t>Dvidros  - MDF-e</t>
  </si>
  <si>
    <t>Preciza Import - MDFe</t>
  </si>
  <si>
    <t>NIX HOUSE - COMEX</t>
  </si>
  <si>
    <t>SUTT IMPORTADORA - Compras</t>
  </si>
  <si>
    <t>06/10/2025</t>
  </si>
  <si>
    <t>FAZZIO - expedição</t>
  </si>
  <si>
    <t>CULTURAMA - Treinamento Contábil</t>
  </si>
  <si>
    <t>12/09/2025 00:00</t>
  </si>
  <si>
    <t>Paramount - Treinamento WMS</t>
  </si>
  <si>
    <t xml:space="preserve">Marcelha </t>
  </si>
  <si>
    <t>Wellmix - Margem AFV</t>
  </si>
  <si>
    <t>Mta Panelas - CNPJ</t>
  </si>
  <si>
    <t xml:space="preserve">Eduardo </t>
  </si>
  <si>
    <t>BRL Alimentos - Treinamento Comercial</t>
  </si>
  <si>
    <t>Renata</t>
  </si>
  <si>
    <t>(38) 9911-2410</t>
  </si>
  <si>
    <t>18/09/2025 00:00</t>
  </si>
  <si>
    <t>C.R.I (Gnex) - Cloud</t>
  </si>
  <si>
    <t>(16) 99721-7323</t>
  </si>
  <si>
    <t>Universal Quimica - XML</t>
  </si>
  <si>
    <t>KEITA - WMS</t>
  </si>
  <si>
    <t>DAS'PLAST - Treinamento Financeiro</t>
  </si>
  <si>
    <t>Neto</t>
  </si>
  <si>
    <t>19/09/2025 00:00</t>
  </si>
  <si>
    <t>ALUMINIO NACIONAL - Koncili</t>
  </si>
  <si>
    <t>FAZZIO - Saldo de horas SUP-129417</t>
  </si>
  <si>
    <t>COLORFLEX - CIAP</t>
  </si>
  <si>
    <t>25/09/2025 00:00</t>
  </si>
  <si>
    <t>Universal Quimica - Reimplantação</t>
  </si>
  <si>
    <t>TERRA BOA ESPECIARIAS</t>
  </si>
  <si>
    <t>29/09/2025 00:00</t>
  </si>
  <si>
    <t>01/10/2025</t>
  </si>
  <si>
    <t>Full Fit - Iara</t>
  </si>
  <si>
    <t>01/10/2025 00:00</t>
  </si>
  <si>
    <t>FAZZIO - Expedição</t>
  </si>
  <si>
    <t>MYPA  - CRM</t>
  </si>
  <si>
    <t>MYPA COMERCIO DE ARTIGOS DE ARMARINHO LTDA</t>
  </si>
  <si>
    <t>Willian</t>
  </si>
  <si>
    <t>(81) 21233-0008</t>
  </si>
  <si>
    <t xml:space="preserve"> AVENIDA GOVERNADOR ERALDO GUEIROS LEITE 220</t>
  </si>
  <si>
    <t>ABREU E LIMA</t>
  </si>
  <si>
    <t>PE</t>
  </si>
  <si>
    <t>02/10/2025 00:00</t>
  </si>
  <si>
    <t xml:space="preserve">Emerson </t>
  </si>
  <si>
    <t>03/10/2025 00:00</t>
  </si>
  <si>
    <t>Precisa Import - Envio de boleto por Whatsapp</t>
  </si>
  <si>
    <t>(11) 97296-1489</t>
  </si>
  <si>
    <t>AKITEM UTILIDADES - WMS</t>
  </si>
  <si>
    <t>Antonio</t>
  </si>
  <si>
    <t>20/10/2025</t>
  </si>
  <si>
    <t>10/12/2025</t>
  </si>
  <si>
    <t>VIA LAR - UTILIDADES DOMESTICAS LTDA</t>
  </si>
  <si>
    <t xml:space="preserve">Wilson </t>
  </si>
  <si>
    <t>(11) 2100-3030</t>
  </si>
  <si>
    <t>financeiro@vialarutilidades.com.br</t>
  </si>
  <si>
    <t>Regimara - Saldo de Horas</t>
  </si>
  <si>
    <t>06/10/2025 00:00</t>
  </si>
  <si>
    <t xml:space="preserve">Melissa, quer criar um site de vendas com função de retirar na loja. </t>
  </si>
  <si>
    <t>Passei as opções que temos integrações porém como quer uma funcionalidade especifica</t>
  </si>
  <si>
    <t>21922850000117</t>
  </si>
  <si>
    <t>Melissa - DUS</t>
  </si>
  <si>
    <t>R$ 3360</t>
  </si>
  <si>
    <t>R$ 712.8</t>
  </si>
  <si>
    <t>10:32:23</t>
  </si>
  <si>
    <t>ATIVA ATACADO - MDF-e</t>
  </si>
  <si>
    <t>Diva</t>
  </si>
  <si>
    <t>10/10/2025 00:00</t>
  </si>
  <si>
    <t>Jd Imports CNPJ</t>
  </si>
  <si>
    <t>Everaldo</t>
  </si>
  <si>
    <t>(35) 9961-3586</t>
  </si>
  <si>
    <t>Mares Comercio Importacao - Envio de Boleto por Whatsapp</t>
  </si>
  <si>
    <t>Ana</t>
  </si>
  <si>
    <t>(41) 9521-4843</t>
  </si>
  <si>
    <t>lizhuang2506@gmail.com</t>
  </si>
  <si>
    <t>17/10/2025 00:00</t>
  </si>
  <si>
    <t>Pupi Imports - Link B2B</t>
  </si>
  <si>
    <t>20/10/2025 00:00</t>
  </si>
  <si>
    <t>Pupi Imports - Loja B2B</t>
  </si>
  <si>
    <t>Fogo Azul - Markup</t>
  </si>
  <si>
    <t>Gatti</t>
  </si>
  <si>
    <t>Q´Festa - Link de Pagamento</t>
  </si>
  <si>
    <t>Millany</t>
  </si>
  <si>
    <t>MULTIPRESENTES PRESENTES E BRINQUEDOS LTDA</t>
  </si>
  <si>
    <t xml:space="preserve">Rogério </t>
  </si>
  <si>
    <t>(18) 3323-7688</t>
  </si>
  <si>
    <t>GP INOX - Estoque Futuro</t>
  </si>
  <si>
    <t>21/10/2025 00:00</t>
  </si>
  <si>
    <t>05.02 estão concluindo a negociação com a Lexos</t>
  </si>
  <si>
    <t>GYN ATACADO LTDA - Integrador E-commerce</t>
  </si>
  <si>
    <t>Cicero</t>
  </si>
  <si>
    <t>(62) 3626-7957</t>
  </si>
  <si>
    <t>elianevelosonobrega@outlook.com</t>
  </si>
  <si>
    <t>Master Ud - Cloud</t>
  </si>
  <si>
    <t>22/10/2025 00:00</t>
  </si>
  <si>
    <t>Arcaplast - Boleto Whatsapp</t>
  </si>
  <si>
    <t xml:space="preserve">Dierson </t>
  </si>
  <si>
    <t>DOLCE HOME - Integrador</t>
  </si>
  <si>
    <t>27/10/2025 00:00</t>
  </si>
  <si>
    <t>SUTT IMPORTADORA  - Checkout</t>
  </si>
  <si>
    <t>GYN ATACADO LTDA - Cloud</t>
  </si>
  <si>
    <t>DAS'PLAST - PCP</t>
  </si>
  <si>
    <t>Nuno</t>
  </si>
  <si>
    <t>29/10/2025 00:00</t>
  </si>
  <si>
    <t>DOLCE HOME - B2B</t>
  </si>
  <si>
    <t>Univendas - Cloud</t>
  </si>
  <si>
    <t>(11) 98404-7252</t>
  </si>
  <si>
    <t>28/10/2025 00:00</t>
  </si>
  <si>
    <t>VITORIA CORTINAS - Coletor</t>
  </si>
  <si>
    <t>Raul Simionato</t>
  </si>
  <si>
    <t>(35) 3445-2869 / (35) 3421-5032</t>
  </si>
  <si>
    <t>contabilidade@habitusconsultoria.com.br</t>
  </si>
  <si>
    <t>06/11/2025</t>
  </si>
  <si>
    <t>MYPA - Integrador ecommerce e CNPJ</t>
  </si>
  <si>
    <t>Precisa Import - preposto</t>
  </si>
  <si>
    <t>07/11/2025 00:00</t>
  </si>
  <si>
    <t>NIX HOUSE</t>
  </si>
  <si>
    <t>QUALYPLAS - PCP</t>
  </si>
  <si>
    <t>QUALYPLAS - MDE</t>
  </si>
  <si>
    <t>11/11/2025</t>
  </si>
  <si>
    <t>QUALYPLAS - Contabil</t>
  </si>
  <si>
    <t>Pupi Imports - WMS</t>
  </si>
  <si>
    <t>13/11/2025 00:00</t>
  </si>
  <si>
    <t>SULTEX - Xmodal</t>
  </si>
  <si>
    <t>18/11/2025 00:00</t>
  </si>
  <si>
    <t>Rafinha Alimentos - Interlipost</t>
  </si>
  <si>
    <t xml:space="preserve">Raul </t>
  </si>
  <si>
    <t>(11) 91713-4690</t>
  </si>
  <si>
    <t>financeiro.fiscal@rafinhaalimentos.com.br</t>
  </si>
  <si>
    <t>COLORFLEX - AFV</t>
  </si>
  <si>
    <t>25/11/2025 00:00</t>
  </si>
  <si>
    <t>NANOX TECNOLOGIA S/A - BI</t>
  </si>
  <si>
    <t>Carina</t>
  </si>
  <si>
    <t>(16) 3371-2426</t>
  </si>
  <si>
    <t>financeiro@nanox.com.br</t>
  </si>
  <si>
    <t>27/11/2025 00:00</t>
  </si>
  <si>
    <t>05/01/2026</t>
  </si>
  <si>
    <t>DOLCE HOME - CNPJ</t>
  </si>
  <si>
    <t>GYN ATACADO - Inventário</t>
  </si>
  <si>
    <t>28/11/2025 00:00</t>
  </si>
  <si>
    <t>PAROLAR - Checkout</t>
  </si>
  <si>
    <t>DAS'PLAST - Treinamento</t>
  </si>
  <si>
    <t>DCARTE - WMS</t>
  </si>
  <si>
    <t>COLORFLEX - XModal</t>
  </si>
  <si>
    <t>MUNDI EPS - CNPJ</t>
  </si>
  <si>
    <t>08/12/2025 00:00</t>
  </si>
  <si>
    <t>Wellmix - Mudança de Banco</t>
  </si>
  <si>
    <t>Luiz</t>
  </si>
  <si>
    <t>11/12/2025 00:00</t>
  </si>
  <si>
    <t>17/12/2025 00:00</t>
  </si>
  <si>
    <t>16/12/2025 00:00</t>
  </si>
  <si>
    <t>23/12/2025</t>
  </si>
  <si>
    <t>Chahin - Alteração Empresa Integrador</t>
  </si>
  <si>
    <t>19/12/2025 00:00</t>
  </si>
  <si>
    <t>18/12/2025 00:00</t>
  </si>
  <si>
    <t>GYN ATACADO LTDA - B2B</t>
  </si>
  <si>
    <t>06/01/2026 00:00</t>
  </si>
  <si>
    <t>GYN ATACADO LTDA - BI</t>
  </si>
  <si>
    <t>09:57, 30/01/2026 Rayssa Karapeticov - Comercial - Guarani Sistemas: Bom dia, Elaine!</t>
  </si>
  <si>
    <t>Espero que esteja tudo bem com você.</t>
  </si>
  <si>
    <t>No dia 06/01 encaminhei a proposta para inclusão de CNPJ. Caso já tenha alguma previsão para início do uso dessa empresa</t>
  </si>
  <si>
    <t>Vou dar baixa na proposta por enquanto e</t>
  </si>
  <si>
    <t>Atenciosamente</t>
  </si>
  <si>
    <t>14:44</t>
  </si>
  <si>
    <t>14:45</t>
  </si>
  <si>
    <t>Elaine</t>
  </si>
  <si>
    <t>R$ 12351</t>
  </si>
  <si>
    <t>R$ 0</t>
  </si>
  <si>
    <t>12:13:37</t>
  </si>
  <si>
    <t>Textil Regimara - BI</t>
  </si>
  <si>
    <t>07/01/2026 00:00</t>
  </si>
  <si>
    <t>08/01/2026</t>
  </si>
  <si>
    <t xml:space="preserve">11:53, 12/01/2026 Rayssa Karapeticov - Comercial - Guarani Sistemas: Bom dia Divino, tudo bem? </t>
  </si>
  <si>
    <t>POsso seguir ?</t>
  </si>
  <si>
    <t>09:33</t>
  </si>
  <si>
    <t>Sobre a questão do Estoque futuro</t>
  </si>
  <si>
    <t>09:56</t>
  </si>
  <si>
    <t>No dia 09/01 encaminhei a proposta para iniciarmos as configurações do estoque futuro. Caso já tenha alguma previsão para início do uso dessa função</t>
  </si>
  <si>
    <t>10:09</t>
  </si>
  <si>
    <t>Dvidros - Estoque Futuro</t>
  </si>
  <si>
    <t>06302372000159</t>
  </si>
  <si>
    <t>R$ 5040</t>
  </si>
  <si>
    <t>09/01/2026</t>
  </si>
  <si>
    <t>JUliana avaliou as soluções que temos integração de ecommerce e  estão negociando com a Lexos.</t>
  </si>
  <si>
    <t>enviei proposta comercial para o integrador"</t>
  </si>
  <si>
    <t>R$ 16200</t>
  </si>
  <si>
    <t>8</t>
  </si>
  <si>
    <t xml:space="preserve">Adeir, e o novo gerente de operações na Univendas e pediu um treinamento de WMS pro Munhoz, enviei proposta comercial para analisem porem o diretor está fora do Pais, então só na proxima semana          </t>
  </si>
  <si>
    <t>05.02 - Gustavo pediu para procura-lo na feira"</t>
  </si>
  <si>
    <t>Adeir</t>
  </si>
  <si>
    <t>R$ 3000</t>
  </si>
  <si>
    <t>29</t>
  </si>
  <si>
    <t>entrou em contato querendo informações do módulo de ativo imobilizado, expliquei como funcinava e que a Ingá precisaria contratar. Ele disse que já faz pela contabilidade mas se tivesse liberado para eles iria cadastrar os notebooks para controle interno</t>
  </si>
  <si>
    <t>INGA - Ativo Imobilizado</t>
  </si>
  <si>
    <t>Negociando saldo de horas do projeto de COntabil</t>
  </si>
  <si>
    <t>CULTURAMA - Horas Contabil</t>
  </si>
  <si>
    <t>16/01/2026 00:00</t>
  </si>
  <si>
    <t>NIX HOUSE - estoque futuro</t>
  </si>
  <si>
    <t>RIO HOME - Link de Pagamento</t>
  </si>
  <si>
    <t>Contato: Charles</t>
  </si>
  <si>
    <t>1) Como esta a sua relação com a Guarani Sistemas</t>
  </si>
  <si>
    <t xml:space="preserve">R: Falou sobre a liberação dos ajustes para reforma tributária e que foi perceptível a redução nos erros de atualização. </t>
  </si>
  <si>
    <t>Estarão na Abup visitando nos dias 03 e 04 e combinamos de tomar um café lá.</t>
  </si>
  <si>
    <t>2) Para 2026</t>
  </si>
  <si>
    <t>Falei com o Charles decidiram mudar a estratégia da empresa em questão de vendas e comercialização de produtos</t>
  </si>
  <si>
    <t>E estão focando em prestação de serviços. "</t>
  </si>
  <si>
    <t>CHARLES</t>
  </si>
  <si>
    <t>(48) 9853-4548</t>
  </si>
  <si>
    <t>elton@scottidistribuidora.com.br</t>
  </si>
  <si>
    <t>Upselling e Crosselling</t>
  </si>
  <si>
    <t>Acompanhamento (100%)</t>
  </si>
  <si>
    <t>27/01 estava em reunião disse que me retorna</t>
  </si>
  <si>
    <t>29//01 - não tive nenhum retorno"</t>
  </si>
  <si>
    <t>(11) 3195-8233 / (11) 4527-1355</t>
  </si>
  <si>
    <t>controladoria@marcamix.com.br</t>
  </si>
  <si>
    <t>Liguei para o Gustavo não atendeu</t>
  </si>
  <si>
    <t>27/0 1 - encerrando tentativas com o Gustavo e o Marcos"</t>
  </si>
  <si>
    <t>Millenium Distribuidora</t>
  </si>
  <si>
    <t>Ivanildo</t>
  </si>
  <si>
    <t>(44) 9105-1973</t>
  </si>
  <si>
    <t>IVANILDO@DMILLENIUM.COM.BR</t>
  </si>
  <si>
    <t>Novos Clientes (0%)</t>
  </si>
  <si>
    <t>19/01/2026 00:00</t>
  </si>
  <si>
    <t>EMBALAVI - SUL DISTRIBUIDORA DE EMBALAGENS LTDA.</t>
  </si>
  <si>
    <t>(54) 3462-4066 / (54) 3462-4000 / (41) 3253-4900</t>
  </si>
  <si>
    <t>embalavisul@embalavisul.com.br</t>
  </si>
  <si>
    <t>DISLAR CENTRAL DE PRODUTOS PARA O LAR LTDA.</t>
  </si>
  <si>
    <t>Paulinho</t>
  </si>
  <si>
    <t>(11) 3686-1403</t>
  </si>
  <si>
    <t>financeiro@assepeme.com.br</t>
  </si>
  <si>
    <t>SULTEXTIL S/A INDUSTRIA DE TECIDOS</t>
  </si>
  <si>
    <t>(19) 3498-1679</t>
  </si>
  <si>
    <t>ARCA PLAST INDUSTRIA E COMERCIO DE PLASTICOS LTDA</t>
  </si>
  <si>
    <t>(85) 3082-0505</t>
  </si>
  <si>
    <t>legalizacoes.04@conectacontabil.com</t>
  </si>
  <si>
    <t>Cliente entrou em contato pedindo inclusão de 2 CNPJs, proposta comercial enviada</t>
  </si>
  <si>
    <t>22/01 negocio fechado</t>
  </si>
  <si>
    <t>18628799000120</t>
  </si>
  <si>
    <t>Moises</t>
  </si>
  <si>
    <t>R$ 5275.18</t>
  </si>
  <si>
    <t>09:18:59</t>
  </si>
  <si>
    <t>22/01/2026</t>
  </si>
  <si>
    <t>12-02 Proposta enviada do Comex</t>
  </si>
  <si>
    <t>NIX HOUSE  - Comex</t>
  </si>
  <si>
    <t>17/02/2026</t>
  </si>
  <si>
    <t>29.01 - Fizemos uma reunião onde levantei vários pontos que o cliente quer automatizar para 2026 dos módulos que temos o cliente tem interesse em seguir com Interlipost, Bi e ainda faremos uma reunião técnica de WMS que irar gerar uma revisão nos processos agendado para segunda dia 02/02</t>
  </si>
  <si>
    <t>MARES  - Interlipost</t>
  </si>
  <si>
    <t xml:space="preserve">Carlos </t>
  </si>
  <si>
    <t>KEITA  -Horas WMS</t>
  </si>
  <si>
    <t>Contato: Wheber</t>
  </si>
  <si>
    <t>R: Falei como o Wheber</t>
  </si>
  <si>
    <t>R:  Esse ano e sem projetos para 2026"</t>
  </si>
  <si>
    <t>Wheber</t>
  </si>
  <si>
    <t>(11) 2081-5317 / (11) 2081-5537 / (11) 2081-5537</t>
  </si>
  <si>
    <t>ti@zeinimport.com.br</t>
  </si>
  <si>
    <t xml:space="preserve">11:23, 21/01/2026 Rayssa Karapeticov - Comercial - Guarani Sistemas: Bom dia Wesley, tudo bem? </t>
  </si>
  <si>
    <t>É a Rayssa da Guarani Sistemas</t>
  </si>
  <si>
    <t>Quando puder me avisa para te retornar</t>
  </si>
  <si>
    <t>11:24</t>
  </si>
  <si>
    <t>11:25</t>
  </si>
  <si>
    <t>11:26</t>
  </si>
  <si>
    <t>Perfeito</t>
  </si>
  <si>
    <t>21/01 - Welsey pediu para entrar em contato com um funcionário dele</t>
  </si>
  <si>
    <t>29/01 - sem retorno dele</t>
  </si>
  <si>
    <t>Weckud</t>
  </si>
  <si>
    <t>20353768000156</t>
  </si>
  <si>
    <t>(11) 94706-0791</t>
  </si>
  <si>
    <t>WESLEY@WECKUD.COM.BR</t>
  </si>
  <si>
    <t>Contato: Leonardo</t>
  </si>
  <si>
    <t>R: Falei com o Leonardo não tem nada a relatar.</t>
  </si>
  <si>
    <t>R: Disse que agora em 2026 vai voltar a faturar. E caso precise de algum suporte entra em contato"</t>
  </si>
  <si>
    <t>(35) 3531-6382 / (35) 3539-8200 / (35) 3531-6382</t>
  </si>
  <si>
    <t>juridico@contss.com.br</t>
  </si>
  <si>
    <t>22/01 - 2° tentativa de contato</t>
  </si>
  <si>
    <t>27/01 - 3° tentativa de contato com o Alexandre</t>
  </si>
  <si>
    <t>10303813000104</t>
  </si>
  <si>
    <t>alexandre@shockimport.com.br</t>
  </si>
  <si>
    <t>10:25:49</t>
  </si>
  <si>
    <t xml:space="preserve">Em contato como Carlos estão buscando automatizar processos e melhor a performance da equipe. </t>
  </si>
  <si>
    <t xml:space="preserve">20/01 - Em contato como Carlos estão buscando automatizar processos e melhor a performance da equipe. </t>
  </si>
  <si>
    <t>Pediu para apresentar todos os serviços integrados e osmodulos que não possuem no Guarani</t>
  </si>
  <si>
    <t>falamos de um por um e pediu para enviar o materia dos serviços que mais atende a necessidade deles</t>
  </si>
  <si>
    <t>Lexos - Natalia da Lexos irá agendar como cliente</t>
  </si>
  <si>
    <t>Neocredit - vai conhecer o serviço como alternativa para o Serasa</t>
  </si>
  <si>
    <t>Power BI  - Agendar apresentção</t>
  </si>
  <si>
    <t xml:space="preserve">CRM Rd Station - Vai entrar em contato com a RD para conhecer </t>
  </si>
  <si>
    <t>Interlipost - video enviado de cotação de frete</t>
  </si>
  <si>
    <t>E passou vários pontos de WMS que trataremos em uma reunião com o Munhoz no dia 02/02</t>
  </si>
  <si>
    <t>E passou vários pontos de WMS que trataremos em uma reunião com o Munhoz no dia 02/02"</t>
  </si>
  <si>
    <t>23/01 - Falei com o Rafael</t>
  </si>
  <si>
    <t>Disse que se precisar de algo entra em contato comigo"</t>
  </si>
  <si>
    <t>financeiro@infinitehome.com.br</t>
  </si>
  <si>
    <t>Contato: Evandro</t>
  </si>
  <si>
    <t>R: Nesse inicio de ano estamos focado 100% na reforma tributário e até resolver esse problema não focaremos em nenhum outro assunto. Estamos recebendo todo auxilio necessário do suporte para atender esta demanda . Não temo nenhum queixa em relação ao guarani sistemas.</t>
  </si>
  <si>
    <t>após o assunto reforma tributária ser resolvido. Podemos conversa logo após o carnaval</t>
  </si>
  <si>
    <t>RBO DISTRIBUIDORA LTDA</t>
  </si>
  <si>
    <t>23085291000163</t>
  </si>
  <si>
    <t>(15) 9620-5853</t>
  </si>
  <si>
    <t>Oportunidade</t>
  </si>
  <si>
    <t>20/01/2026 00:00</t>
  </si>
  <si>
    <t>Falei com o Junior (já responsável pela Regimara e QHouse)</t>
  </si>
  <si>
    <t>Estão construindo um novo galpão que vão implementar o WMS e atualziei a proposta do BI com a condição comercial atualizada</t>
  </si>
  <si>
    <t>Falou que esta muito satisfeito com o Guarani"</t>
  </si>
  <si>
    <t>Dimas</t>
  </si>
  <si>
    <t>(19) 99291-6644</t>
  </si>
  <si>
    <t>ADM@QUALITYHOUSEUD.COM.BR</t>
  </si>
  <si>
    <t>TOP MAIS FERRAMENTARIA E COMERCIO DE UTILIDADES LTDA</t>
  </si>
  <si>
    <t>Jucenia</t>
  </si>
  <si>
    <t>(16) 9212-8925 / (16) 3371-5426</t>
  </si>
  <si>
    <t>topmaisferramentaria@gmail.com</t>
  </si>
  <si>
    <t>YIN'S BRASIL COMERCIO INTERNACIONAL LTDA</t>
  </si>
  <si>
    <t>(21) 3656-4239</t>
  </si>
  <si>
    <t>RAPHAEL.GAMA@YINSBRASIL.COM.BR</t>
  </si>
  <si>
    <t>RIO DE OURO - WINCY BRASIL COMERCIO DE ARTIGOS PARA PRESENTES LTDA</t>
  </si>
  <si>
    <t>Yang Jun</t>
  </si>
  <si>
    <t>(21) 3221-5757</t>
  </si>
  <si>
    <t>contasapagar@riodeouro.com.br</t>
  </si>
  <si>
    <t>SM SUPERMARCAS - VISION PR DISTRIBUIDORA LTDA</t>
  </si>
  <si>
    <t>mauricio</t>
  </si>
  <si>
    <t>(43) 3033-8000 / (43) 3033-8024</t>
  </si>
  <si>
    <t>marcantecontabilidade@gmail.com</t>
  </si>
  <si>
    <t xml:space="preserve">(20/01/2026) em contato com Rone ! </t>
  </si>
  <si>
    <t>Status de Satisfação: Muito Alto (ERP + Força de Vendas).</t>
  </si>
  <si>
    <t>Projeção do Cliente: Expansão de 35% para 2026.</t>
  </si>
  <si>
    <t>Ponto de Atenção: Implantação do PCP pausada por decisão do cliente.</t>
  </si>
  <si>
    <t>Planejamento PCP: Retomada das pendências e ajustes prevista para 2026.</t>
  </si>
  <si>
    <t xml:space="preserve">Rone pediu para falar com Rogério sobre solução B2B </t>
  </si>
  <si>
    <t>11458315000101</t>
  </si>
  <si>
    <t>Rone Alves</t>
  </si>
  <si>
    <t>Ligação (50%)</t>
  </si>
  <si>
    <t>12:12:02</t>
  </si>
  <si>
    <t xml:space="preserve">(21/01/2026) em contato com Bruno  ! </t>
  </si>
  <si>
    <t xml:space="preserve">Status de Satisfação: Alto  dentro das suas atividades diárias </t>
  </si>
  <si>
    <t xml:space="preserve">Projeção do Cliente: Bruno informou que está criando estratégias comerciais e desenvolvendo novos produtos para buscar um resultado melhor em suas vendas </t>
  </si>
  <si>
    <t xml:space="preserve">Ponto de Atenção: nada relatado </t>
  </si>
  <si>
    <t xml:space="preserve">Planejamento : enviar informações sobre B2B e percentual de crescimento dos clientes que hoje usam </t>
  </si>
  <si>
    <t>Estou em contato com Aradia para alimentar mais informações "</t>
  </si>
  <si>
    <t>nelci</t>
  </si>
  <si>
    <t>(19) 3478-8200 / (19) 3406-2511</t>
  </si>
  <si>
    <t>toplineud@toplineud.com.br</t>
  </si>
  <si>
    <t>TAMOIO BOAS IMPRESSOES IMPORTACAO E EXPORTACAO LTDA</t>
  </si>
  <si>
    <t>Michael</t>
  </si>
  <si>
    <t>(12) 3907-3000</t>
  </si>
  <si>
    <t>compras@tamoionet.com.br</t>
  </si>
  <si>
    <t>NANOX TECNOLOGIA S/A</t>
  </si>
  <si>
    <t>(16) 3411-9980 / (16) 3411-9980</t>
  </si>
  <si>
    <t>Via Lar - Utilidades Domesticas Ltda</t>
  </si>
  <si>
    <t>Wilson</t>
  </si>
  <si>
    <t>(11) 2100-3030 / (11) 2100-3030</t>
  </si>
  <si>
    <t>UNY GIFT COMERCIO IMPORTACAO E EXPORTACAO LTDA.</t>
  </si>
  <si>
    <t>LI Ying</t>
  </si>
  <si>
    <t>(11) 97183-0079</t>
  </si>
  <si>
    <t>LI@UNYGIFT.COM.BR</t>
  </si>
  <si>
    <t>NEDO - CASAPRATIL COMERCIO DE ENCARTELADOS LTDA</t>
  </si>
  <si>
    <t>43204189000147</t>
  </si>
  <si>
    <t>14:13:16</t>
  </si>
  <si>
    <t>Comercial bela Vista - Alex Fonseca Vieira</t>
  </si>
  <si>
    <t>KAREN</t>
  </si>
  <si>
    <t>(11) 4184-9150</t>
  </si>
  <si>
    <t>crservcontabil@globo.com</t>
  </si>
  <si>
    <t>Daniel</t>
  </si>
  <si>
    <t>(14) 99693-0353</t>
  </si>
  <si>
    <t>financeiro@adimportacao.com.br</t>
  </si>
  <si>
    <t>21/01/2026 00:00</t>
  </si>
  <si>
    <t>PLASUTIL-INDUSTRIA E COMERCIO DE PLASTICOS LTDA</t>
  </si>
  <si>
    <t>Edson</t>
  </si>
  <si>
    <t>(14) 4009-4844/ (14) 4009-4922</t>
  </si>
  <si>
    <t>sac@plasutil.com.br</t>
  </si>
  <si>
    <t>22/01/2026 00:00</t>
  </si>
  <si>
    <t>27/01 - Vitor Neto Plasnorthon 11 97632-7042 - não atendeu</t>
  </si>
  <si>
    <t>Plasnorthon Sul Industrial Ltda</t>
  </si>
  <si>
    <t>Vitor</t>
  </si>
  <si>
    <t>(11) 8484-9999</t>
  </si>
  <si>
    <t>vitor@plasnorthon.com.br</t>
  </si>
  <si>
    <t xml:space="preserve">27/01 - Contato com a Yara - ela estara na feira da Abcasa </t>
  </si>
  <si>
    <t>Passou alguns pontos</t>
  </si>
  <si>
    <t>Porém</t>
  </si>
  <si>
    <t>Atualizações emergenciais para correções dayzero</t>
  </si>
  <si>
    <t>Falou que no porte da Guarani e principalmente para Plasduran isso nao pode acontecer</t>
  </si>
  <si>
    <t>Alem disso são muitos chamados abertos semanalmente</t>
  </si>
  <si>
    <t>Disse que esta tudo OK</t>
  </si>
  <si>
    <t>PLASDURAN INDUSTRIA E COMERCIO DE PLASTICOS LTDA</t>
  </si>
  <si>
    <t>56712607000159</t>
  </si>
  <si>
    <t>(11) 3195-3502</t>
  </si>
  <si>
    <t>financeiro@plasduran.com.br</t>
  </si>
  <si>
    <t xml:space="preserve">27/01 Janaina - Esta bem insatisfeita com o atendimento do suporte, quando liguei hoje, inclusive estava com dificuldade para entrada na nota d eimportação e reclamou do pouco caso do suporte, que não atende ligações e mandaram link que ela não conseguia abrir para dar seguir o passo a passo </t>
  </si>
  <si>
    <t>UNIVENDAS - GN COMERCIAL DE UTILIDADES DOMESTICAS LTDA</t>
  </si>
  <si>
    <t>(11) 99627-6823</t>
  </si>
  <si>
    <t>GUSTAVO@UNIVENDAS.COM.BR</t>
  </si>
  <si>
    <t>NIPO CENTER IMPORT LTDA</t>
  </si>
  <si>
    <t>(11) 2091-1992/ (11) 2092-2728</t>
  </si>
  <si>
    <t>contabil.zambeze@uol.com.br</t>
  </si>
  <si>
    <t xml:space="preserve">Negocição realizada com o Fernando em o Mario </t>
  </si>
  <si>
    <t>GP INOX - Guarani BI</t>
  </si>
  <si>
    <t>27/01 cliente entrou em contato porque esta com o servidor desatualizado e gostaria de ir para  nuvem, enviei uma proposta comercial</t>
  </si>
  <si>
    <t>05.02 custo alto"</t>
  </si>
  <si>
    <t>Roni</t>
  </si>
  <si>
    <t>R$ 1600</t>
  </si>
  <si>
    <t>R$ 2295.19</t>
  </si>
  <si>
    <t>9</t>
  </si>
  <si>
    <t>Pupi Imports - Horas WMS</t>
  </si>
  <si>
    <t>28/01/2026 00:00</t>
  </si>
  <si>
    <t>Fizemos uma reunião onde levantei vários pontos que o cliente quer automatizar para 2026 dos módulos que temos o cliente tem interesse em seguir com Interlipost, Bi e ainda faremos uma reunião técnica de WMS que irar gerar uma revisão nos processos agendado para segunda dia 02/02</t>
  </si>
  <si>
    <t>Mares - BI</t>
  </si>
  <si>
    <t>29/01/2026 00:00</t>
  </si>
  <si>
    <t xml:space="preserve">No dia 20/01 fiz umareunião com o Carlos, e ele me passou alguns pontos que quere melhorar/implementar/automatizar no processo de WMS deles </t>
  </si>
  <si>
    <t>11.02 - Proposta enviada para visita do consultor para 5 dias"</t>
  </si>
  <si>
    <t>R$ 8400</t>
  </si>
  <si>
    <t>21</t>
  </si>
  <si>
    <t>04/02/2026</t>
  </si>
  <si>
    <t>02/02 - Cliente contratou um Comprador para a empresa, é um processo novo e querem implentar lá</t>
  </si>
  <si>
    <t>Destoa forma precisa de um treinamento para implamentar esse processo na empresa</t>
  </si>
  <si>
    <t>horas: 8 horas"</t>
  </si>
  <si>
    <t>R$ 1512</t>
  </si>
  <si>
    <t>16:39, 04/02/2026 Rayssa Karapeticov - Comercial - Guarani Sistemas: Boa tarde, Rodnei. Tudo bem?</t>
  </si>
  <si>
    <t xml:space="preserve">É a Rayssa da Guarani Sistemas </t>
  </si>
  <si>
    <t>Recebeu o email com a proposta?</t>
  </si>
  <si>
    <t>17:42</t>
  </si>
  <si>
    <t>Tudo bem?</t>
  </si>
  <si>
    <t>17:45</t>
  </si>
  <si>
    <t>Para que eu possa entender o que estão analisando?</t>
  </si>
  <si>
    <t>17:46</t>
  </si>
  <si>
    <t>17:51</t>
  </si>
  <si>
    <t>17:53</t>
  </si>
  <si>
    <t>17:58</t>
  </si>
  <si>
    <t>Só para alinhar expectativas: a proposta que enviamos não é um “produto de prateleira”</t>
  </si>
  <si>
    <t>Sobre os pontos que você comentou:</t>
  </si>
  <si>
    <t>* Código: nos responsabilizamos pelo código para que o produto não perca qualidade e nem performance</t>
  </si>
  <si>
    <t>* Integrações: já trabalhamos com integrações via API/ERP e isso costuma ser um dos principais ganhos do B2B.</t>
  </si>
  <si>
    <t>* Custo: a diferença normalmente está no médio prazo</t>
  </si>
  <si>
    <t>18:00</t>
  </si>
  <si>
    <t>18:03</t>
  </si>
  <si>
    <t>13.02 vão retomar o assunto após a Abrin"</t>
  </si>
  <si>
    <t>Rodnei</t>
  </si>
  <si>
    <t>R$ 13100</t>
  </si>
  <si>
    <t>R$ 1900</t>
  </si>
  <si>
    <t>17</t>
  </si>
  <si>
    <t xml:space="preserve">12.02 - Fernando tirou algumas duvidas sobre o WMS do cliente, mas na reuião ficou nitido que eles gostaria de seguir sozinho. </t>
  </si>
  <si>
    <t>Vou mandar proposta para consultoria e implantação"</t>
  </si>
  <si>
    <t>(11) 4549-8631</t>
  </si>
  <si>
    <t>03.02 - Apresentação do BI agendada para 05/02 as 10h</t>
  </si>
  <si>
    <t>05.02 - negociaremos na feira"</t>
  </si>
  <si>
    <t>R$ 8100</t>
  </si>
  <si>
    <t>R$ 1080</t>
  </si>
  <si>
    <t>16</t>
  </si>
  <si>
    <t>Cliente vai retornar a usar o AFV no showrom</t>
  </si>
  <si>
    <t>Negociaremos as horas no final do projeto "</t>
  </si>
  <si>
    <t>Alexaxandre</t>
  </si>
  <si>
    <t>(11) 3227-4492 / (11) 3227-4400</t>
  </si>
  <si>
    <t>R$ 575</t>
  </si>
  <si>
    <t>6</t>
  </si>
  <si>
    <t>03/02/2026 00:00</t>
  </si>
  <si>
    <t>11-02 Video do Comex enviado</t>
  </si>
  <si>
    <t>MARES - Comex</t>
  </si>
  <si>
    <t xml:space="preserve">11.02 - Falei com o Rogério na feria da Abcasa, e voltamos a falar da solução do B2B e expliquei que nossa condição comercial está excelente. </t>
  </si>
  <si>
    <t>Atualizei a proposta comercial</t>
  </si>
  <si>
    <t>49119936000125</t>
  </si>
  <si>
    <t>Rogério</t>
  </si>
  <si>
    <t>R$ 1700</t>
  </si>
  <si>
    <t>09:57:35</t>
  </si>
  <si>
    <t>18/02/2026</t>
  </si>
  <si>
    <t xml:space="preserve">11-02 - Falei cm a Larissa e estão estudando os CRMs do mercado, passei nossas integrações, e enviei o material do RD Station. </t>
  </si>
  <si>
    <t>Vai entrar em contato com a plataforma para conhecer o CRM deles"</t>
  </si>
  <si>
    <t>11- 02 Falei com a Carina, eles querem implantar CRM na Parolar, passei o material para integração e proposta comercial para analise</t>
  </si>
  <si>
    <t>04/02/2026 00:00</t>
  </si>
  <si>
    <t>11.02 - Realizamos uma visita no cliente na sexta feira</t>
  </si>
  <si>
    <t>Estão com um novo CEO - Eduardo</t>
  </si>
  <si>
    <t>Apresentamos o Guarani ERP</t>
  </si>
  <si>
    <t>Na reunião foi apresentando o BI"</t>
  </si>
  <si>
    <t>Universal Quimica - Treinamento e CNPJ</t>
  </si>
  <si>
    <t>32494222000102</t>
  </si>
  <si>
    <t>R$ 9000</t>
  </si>
  <si>
    <t>60</t>
  </si>
  <si>
    <t>TREINAMENTO, ADICIONAIS</t>
  </si>
  <si>
    <t>Na Reunião falamos sobre o Cloud"</t>
  </si>
  <si>
    <t>R$ 3150.4</t>
  </si>
  <si>
    <t>Apresentação do site B2B para Dute e proposta enviada</t>
  </si>
  <si>
    <t>Patrick</t>
  </si>
  <si>
    <t>Apresentação do Comex enviado</t>
  </si>
  <si>
    <t>Univendas - Comex</t>
  </si>
  <si>
    <t>INGA - Qualidade</t>
  </si>
  <si>
    <t>17.02 Solicitação levantada em visita do Fábio e o Fernando</t>
  </si>
  <si>
    <t>18.02 Interesse em reativar o BI</t>
  </si>
  <si>
    <t>(19) 19346-6252</t>
  </si>
  <si>
    <t>Contato principal</t>
  </si>
  <si>
    <t>qtde</t>
  </si>
  <si>
    <t>nazeeh.saadi@webring.com.br</t>
  </si>
  <si>
    <t>Melissa, quer criar um site de vendas com função de retirar na loja. 
Passei as opções que temos integrações porém como quer uma funcionalidade especifica, nao são todos as plataformas que integramos que tem essa função</t>
  </si>
  <si>
    <t>DUS - Ecommerce</t>
  </si>
  <si>
    <t>(24) 3336-1437</t>
  </si>
  <si>
    <t>09:57, 30/01/2026 Rayssa Karapeticov - Comercial - Guarani Sistemas: Bom dia, Elaine!
Espero que esteja tudo bem com você.
No dia 06/01 encaminhei a proposta para inclusão de CNPJ. Caso já tenha alguma previsão para início do uso dessa empresa, peço que considere a agenda dos consultores, já que atualmente estamos com uma média de 20 dias para início dos projetos.
Vou dar baixa na proposta por enquanto e, quando houver interesse, pode me chamar. Apenas reforço a importância de considerar o tempo de atendimento para que possamos organizar da melhor forma possível.
Atenciosamente,
14:44, 30/01/2026 Elaine Goncalves - Rischioto: Boa tarde Rayssa
14:44, 30/01/2026 Elaine Goncalves - Rischioto: tudo bem?
14:44, 30/01/2026 Elaine Goncalves - Rischioto: desculpa demorar te dar retorno, mas é que estava sem retorno do Agnaldo tambem
14:44, 30/01/2026 Elaine Goncalves - Rischioto: nao vamos seguir com a proposta, obrigada
14:45, 30/01/2026 Rayssa Karapeticov - Comercial - Guarani Sistemas: tudo otimo!
14:45, 30/01/2026 Rayssa Karapeticov - Comercial - Guarani Sistemas: agradeço o retorno</t>
  </si>
  <si>
    <t>JUliana avaliou as soluções que temos integração de ecommerce e  estão negociando com a Lexos.
enviei proposta comercial para o integrador</t>
  </si>
  <si>
    <t>QUALYPLAS - Lexos</t>
  </si>
  <si>
    <t>Adeir, e o novo gerente de operações na Univendas e pediu um treinamento de WMS pro Munhoz, enviei proposta comercial para analisem porem o diretor está fora do Pais, então só na proxima semana          
05.02 - Gustavo pediu para procura-lo na feira</t>
  </si>
  <si>
    <t>Univendas - Treinamento</t>
  </si>
  <si>
    <t>09/02/2026</t>
  </si>
  <si>
    <t xml:space="preserve">Contato: Charles
1) Como esta a sua relação com a Guarani Sistemas, em relação a usabilidade, atendimento e qualidade dos produtos?
R: Falou sobre a liberação dos ajustes para reforma tributária e que foi perceptível a redução nos erros de atualização. 
Estarão na Abup visitando nos dias 03 e 04 e combinamos de tomar um café lá.
2) Para 2026, Como podemos ajudá-lo?
Falei com o Charles decidiram mudar a estratégia da empresa em questão de vendas e comercialização de produtos, pararam de importar e estão focados no atendimento e distribuição de produtos nacionais, como a Havaianas. 
E estão focando em prestação de serviços. </t>
  </si>
  <si>
    <t>SCOTTI DISTRIBUIDORA</t>
  </si>
  <si>
    <t>27/01 estava em reunião disse que me retorna
29//01 - não tive nenhum retorno</t>
  </si>
  <si>
    <t>Marcamix Comercial Importadora</t>
  </si>
  <si>
    <t>Liguei para o Gustavo não atendeu
27/0 1 - encerrando tentativas com o Gustavo e o Marcos</t>
  </si>
  <si>
    <t>FAZZIO MADEIRAS COMERCIAL LTDA</t>
  </si>
  <si>
    <t>Cliente entrou em contato pedindo inclusão de 2 CNPJs, proposta comercial enviada
22/01 negocio fechado, agaurdando termo aditivo</t>
  </si>
  <si>
    <t>12-02 Proposta enviada do Comex
18.03 Tinhamos um,a reunião hoje, mas o cliente desmarcou
25.03 - Bom dia Emerson, tudo bem?
Sobre as pendencias que falamos ontem:
- Alinhamento suporte: agendado reunião com o gerente Max, segunda as 09h - Reunião realizada; as pendencias estão sendo tratadas pelo time 
- Licenças Cloud: O Banco de dados da Facinato será migrado para um novo servidor, desta forma o Romolo estará alinhando essa solicitação com você. - Reunião com o Romulo agendada. 
- Upgrade Cloud: Esta demanda esta com o Paulo, ele esta avaliando a necessidade juntamente com a equipe técnica, acredito que até o final do mÊs ele te posiciona a real necessidade; - Paulo já esta em contato 
- Proposta BI: Estou enviando a proposta atualizada com a condição comercial do referente ao mês de março; - Pendente Facinato
- Comex: Aguardo avaliação e retorno sobre a viabilidade do módulo; - Pendente Facinato</t>
  </si>
  <si>
    <t>25/03/2026</t>
  </si>
  <si>
    <t>16/02/2026</t>
  </si>
  <si>
    <t>29.01 - Fizemos uma reunião onde levantei vários pontos que o cliente quer automatizar para 2026 dos módulos que temos o cliente tem interesse em seguir com Interlipost, Bi e ainda faremos uma reunião técnica de WMS que irar gerar uma revisão nos processos agendado para segunda dia 02/02
23-02 Boa tarde Carlos, tudo bem? 
NO dia 20/01 fizemos uma reunião para levantar algumas questões que estão tendo ai na Mares e em conversa te passei algumas soluções, como integrações com TMS, Guarani BI, serviçoes de integrações e a consultoria para avançar com duvidas e dificuldades de WMS. 
Pode me passar  como quer avançar com essas demandas e se tem interesse?
25.03 entrei em contato com o Carlos para saber como vamos avançar com os modulos que estão estudando</t>
  </si>
  <si>
    <t>Contato: Wheber
1) Como esta a sua relação com a Guarani Sistemas, em relação a usabilidade, atendimento e qualidade dos produtos?
R: Falei como o Wheber, informou que a ferramenta esta rodando perfeitamente sem nenhuma intercorrência
2) Para 2026, Como podemos ajudá-lo?
R:  Esse ano e sem projetos para 2026</t>
  </si>
  <si>
    <t>11:23, 21/01/2026 Rayssa Karapeticov - Comercial - Guarani Sistemas: Bom dia Wesley, tudo bem? 
É a Rayssa da Guarani Sistemas, te liguei ai para conversar com você, para ouvir um feedback seu do Guarani 
Quando puder me avisa para te retornar
11:24, 21/01/2026 Wesley - Weck: Bom dia!! estou bem e vc?
11:24, 21/01/2026 Wesley - Weck: acho que o certo seria minha equipe falar.
11:25, 21/01/2026 Wesley - Weck: estamos em reuniao gerencial depois coloco esse assunto
11:26, 21/01/2026 Rayssa Karapeticov - Comercial - Guarani Sistemas: Tudo otimo!
Perfeito, fico no aguardo ai me passa quem seria a melhor pessoa para conversar
21/01 - Welsey pediu para entrar em contato com um funcionário dele, cobre o contato novamente da pessoa
29/01 - sem retorno dele, como estão em vespera de feira, vou deixar para tentar na feira</t>
  </si>
  <si>
    <t>Wesley</t>
  </si>
  <si>
    <t>Contato: Leonardo
1) Como esta a sua relação com a Guarani Sistemas, em relação a usabilidade, atendimento e qualidade dos produtos?
R: Falei com o Leonardo não tem nada a relatar.
2) Para 2026, Como podemos ajudá-lo?
R: Disse que agora em 2026 vai voltar a faturar. E caso precise de algum suporte entra em contato</t>
  </si>
  <si>
    <t>SIID SISTEMA DE INOVACAO E INTEGRACAO EM DISTRIBUICAO LTDA</t>
  </si>
  <si>
    <t xml:space="preserve">22/01 - 2° tentativa de contato
27/01 - 3° tentativa de contato com o Alexandre, </t>
  </si>
  <si>
    <t>(11) 94104-3121</t>
  </si>
  <si>
    <t>Em contato como Carlos estão buscando automatizar processos e melhor a performance da equipe. 
20/01 - Em contato como Carlos estão buscando automatizar processos e melhor a performance da equipe. 
Pediu para apresentar todos os serviços integrados e osmodulos que não possuem no Guarani
falamos de um por um e pediu para enviar o materia dos serviços que mais atende a necessidade deles
Lexos - Natalia da Lexos irá agendar como cliente
Neocredit - vai conhecer o serviço como alternativa para o Serasa
Power BI  - Agendar apresentção
CRM Rd Station - Vai entrar em contato com a RD para conhecer 
Interlipost - video enviado de cotação de frete
E passou vários pontos de WMS que trataremos em uma reunião com o Munhoz no dia 02/02
Pediu para apresentar todos os serviços integrados e osmodulos que não possuem no Guarani
falamos de um por um e pediu para enviar o materia dos serviços que mais atende a necessidade deles
Lexos - Natalia da Lexos irá agendar como cliente
Neocredit - vai conhecer o serviço como alternativa para o Serasa
Power BI  - Agendar apresentção
CRM Rd Station - Vai entrar em contato com a RD para conhecer 
Interlipost - video enviado de cotação de frete
E passou vários pontos de WMS que trataremos em uma reunião com o Munhoz no dia 02/02</t>
  </si>
  <si>
    <t>MARES COMERCIO IMPORTACAO LTDA</t>
  </si>
  <si>
    <t>22/01 - 2° tentativa de contato
23/01 - Falei com o Rafael, atualmente só ele usa o ERP para uns processos internos, já que esta mais focado em vendas online.
Disse que se precisar de algo entra em contato comigo</t>
  </si>
  <si>
    <t>23/01/2026</t>
  </si>
  <si>
    <t>Contato: Evandro
1) Como esta a sua relação com a Guarani Sistemas, em relação a usabilidade, atendimento e qualidade dos produtos?
R: Nesse inicio de ano estamos focado 100% na reforma tributário e até resolver esse problema não focaremos em nenhum outro assunto. Estamos recebendo todo auxilio necessário do suporte para atender esta demanda . Não temo nenhum queixa em relação ao guarani sistemas.
2) Para 2026, Como podemos ajudá-lo?
após o assunto reforma tributária ser resolvido. Podemos conversa logo após o carnaval, para falar sobre pontes de melhorias de estrutura que pretendemos fazer internamente são: checkout, melhorar uso da equipe no guarani (treinamento).</t>
  </si>
  <si>
    <t>Falei com o Junior (já responsável pela Regimara e QHouse)
Estão construindo um novo galpão que vão implementar o WMS e atualziei a proposta do BI com a condição comercial atualizada
Falou que esta muito satisfeito com o Guarani</t>
  </si>
  <si>
    <t>QHOUSE COMERCIO E IMPORTADORA DE UTILIDADES DOMESTICAS LTDA</t>
  </si>
  <si>
    <t xml:space="preserve">(20/01/2026) em contato com Rone ! 
Status de Satisfação: Muito Alto (ERP + Força de Vendas).
Projeção do Cliente: Expansão de 35% para 2026.
Ponto de Atenção: Implantação do PCP pausada por decisão do cliente.
Planejamento PCP: Retomada das pendências e ajustes prevista para 2026.
Rone pediu para falar com Rogério sobre solução B2B , estou buscando contato </t>
  </si>
  <si>
    <t>(19) 3471-4760 / (19) 3406-9920</t>
  </si>
  <si>
    <t xml:space="preserve">(21/01/2026) em contato com Bruno  ! 
Status de Satisfação: Alto  dentro das suas atividades diárias , também pediu para falar com a colaboradora Aradia para ver se ah algo que possamos melhorar para melhor atende-los (estou em contato com Aradia)
Projeção do Cliente: Bruno informou que está criando estratégias comerciais e desenvolvendo novos produtos para buscar um resultado melhor em suas vendas , não informou um percentual de crescimento ! sugeri nossa ferramenta de B2B 
Ponto de Atenção: nada relatado 
Planejamento : enviar informações sobre B2B e percentual de crescimento dos clientes que hoje usam 
Estou em contato com Aradia para alimentar mais informações </t>
  </si>
  <si>
    <t>TOP LINE UD INDUSTRIA E COMERCIO DE PLASTICO LTDA</t>
  </si>
  <si>
    <t>Contato: Evandro
1) Como esta a sua relação com a Guarani Sistemas, em relação a usabilidade, atendimento e qualidade dos produtos?
2) Para 2026, Como podemos ajudá-lo?</t>
  </si>
  <si>
    <t>KASCAO - SORVETES SUPLES INDUSTRIA E COMERCIO LTDA</t>
  </si>
  <si>
    <t>(13) 3579-9600 / (13) 3579-9601</t>
  </si>
  <si>
    <t>27/01 - Contato com a Yara - ela estara na feira da Abcasa 
Passou alguns pontos, em geral esta tudo OK, conseguiram ajustar toda parte da nova tributação nova, e inclusive fez indicação de um Cliente que já fechou (Importadora Talismã)
Porém,Tiveram vários problemas com atualizações
Atualizações emergenciais para correções dayzero
Falou que no porte da Guarani e principalmente para Plasduran isso nao pode acontecer
Alem disso são muitos chamados abertos semanalmente, para correções pontuais. Esta com o sentimento de que estão testando mais o sistema que o QA do Guarani
Disse que esta tudo OK, conseguiram ajustar toda parte da nova tributação nova, e inclusive fez indicação de um Cliente que já fechou (Importadora Talismã)</t>
  </si>
  <si>
    <t>Toninho</t>
  </si>
  <si>
    <t>27/01 cliente entrou em contato porque esta com o servidor desatualizado e gostaria de ir para  nuvem, enviei uma proposta comercial
05.02 custo alto</t>
  </si>
  <si>
    <t>27/01/2026 00:00</t>
  </si>
  <si>
    <t>Fizemos uma reunião onde levantei vários pontos que o cliente quer automatizar para 2026 dos módulos que temos o cliente tem interesse em seguir com Interlipost, Bi e ainda faremos uma reunião técnica de WMS que irar gerar uma revisão nos processos agendado para segunda dia 02/02
23-02 - Boa tarde Carlos, tudo bem? 
NO dia 20/01 fizemos uma reunião para levantar algumas questões que estão tendo ai na Mares e em conversa te passei algumas soluções, como integrações com TMS, Guarani BI, serviçoes de integrações e a consultoria para avançar com duvidas e dificuldades de WMS. 
Pode me passar  como quer avançar com essas demandas e se tem interesse?
25.03 entrei em contato com o Carlos para saber como vamos avançar com os modulos que estão estudando</t>
  </si>
  <si>
    <t>No dia 20/01 fiz umareunião com o Carlos, e ele me passou alguns pontos que quere melhorar/implementar/automatizar no processo de WMS deles 
11.02 - Proposta enviada para visita do consultor para 5 dias
25.03 - entrei em contato com o Carlos para saber como vamos avançar com os modulos que estão estudando</t>
  </si>
  <si>
    <t>02/02 - Cliente contratou um Comprador para a empresa, é um processo novo e querem implentar lá
Destoa forma precisa de um treinamento para implamentar esse processo na empresa, juntamente com o novo funcionário
horas: 8 horas</t>
  </si>
  <si>
    <t>16:39, 04/02/2026 Rayssa Karapeticov - Comercial - Guarani Sistemas: Boa tarde, Rodnei. Tudo bem?
É a Rayssa da Guarani Sistemas 
Recebeu o email com a proposta?
17:42, 04/02/2026 +55 11 99105-0353: Boa tarde! 
Tudo bem?
17:42, 04/02/2026 +55 11 99105-0353: Recebemos sim, estamos analisando
17:45, 04/02/2026 Rayssa Karapeticov - Comercial - Guarani Sistemas: Tudo certinho!
Para que eu possa entender o que estão analisando?
17:46, 04/02/2026 +55 11 99105-0353: Custos, plataforma e etc…
17:51, 04/02/2026 Rayssa Karapeticov - Comercial - Guarani Sistemas: Quais outros serviços estão avaliando?
17:53, 04/02/2026 +55 11 99105-0353: Facilidade em ter o cod na mão, produto de prateleira, integrações
17:58, 04/02/2026 Rayssa Karapeticov - Comercial - Guarani Sistemas: Perfeito, faz todo sentido analisar esses pontos 
Só para alinhar expectativas: a proposta que enviamos não é um “produto de prateleira”, justamente porque o B2B costuma exigir regras comerciais, integrações e fluxos específicos de cada operação.
Sobre os pontos que você comentou:
* Código: nos responsabilizamos pelo código para que o produto não perca qualidade e nem performance, é assim vocês tem garantia de funcionamento do sistema contratado. 
* Integrações: já trabalhamos com integrações via API/ERP e isso costuma ser um dos principais ganhos do B2B.
* Custo: a diferença normalmente está no médio prazo, quando o site passa a operar do jeito que o time comercial realmente precisa.
18:00, 04/02/2026 Rayssa Karapeticov - Comercial - Guarani Sistemas: Quando você trata de um serviço de prateleira, você muitas vezes encontra dificuldade para parametrizar diferentes condições de vendas e negociações por clientes.
18:03, 04/02/2026 +55 11 99105-0353: Verdade
13.02 vão retomar o assunto após a Abrin</t>
  </si>
  <si>
    <t>17/03/2026</t>
  </si>
  <si>
    <t>03.02 - Apresentação do BI agendada para 05/02 as 10h
05.02 - negociaremos na feira</t>
  </si>
  <si>
    <t xml:space="preserve">Cliente vai retornar a usar o AFV no showrom
Negociaremos as horas no final do projeto </t>
  </si>
  <si>
    <t>11.02 - Falei com o Rogério na feria da Abcasa, e voltamos a falar da solução do B2B e expliquei que nossa condição comercial está excelente. 
Atualizei a proposta comercial, e enviei para analise
25.03 - acabaram congelando o projeto para dar frente a outras demandas, mas ainda estão estudando serviços do mercado</t>
  </si>
  <si>
    <t xml:space="preserve">11-02 - Falei cm a Larissa e estão estudando os CRMs do mercado, passei nossas integrações, e enviei o material do RD Station. 
Vai entrar em contato com a plataforma para conhecer o CRM deles
31.03 tentei vários contatos para avaçar e não consigo retorno. </t>
  </si>
  <si>
    <t>31/03/2026</t>
  </si>
  <si>
    <t>11.02 - Realizamos uma visita no cliente na sexta feira
Estão com um novo CEO - Eduardo
Apresentamos o Guarani ERP, focado nas necessidades do cliente, além de axuliar em algumas duvidas de usuário
Na reunião foi apresentando o BI</t>
  </si>
  <si>
    <t>11.02 - Realizamos uma visita no cliente na sexta feira
Estão com um novo CEO - Eduardo
Apresentamos o Guarani ERP, focado nas necessidades do cliente, além de axuliar em algumas duvidas de usuário</t>
  </si>
  <si>
    <t>11.02 - Realizamos uma visita no cliente na sexta feira
Estão com um novo CEO - Eduardo
Apresentamos o Guarani ERP, focado nas necessidades do cliente, além de axuliar em algumas duvidas de usuário
Na Reunião falamos sobre o Cloud</t>
  </si>
  <si>
    <t>Apresentação do site B2B para Dute e proposta enviada
1803 - B2b ainda estamos vendo - Retorno Gustavo</t>
  </si>
  <si>
    <t>13/03/2026</t>
  </si>
  <si>
    <t xml:space="preserve">19.02 Estão em alta temporada, vão analisar e me retornar </t>
  </si>
  <si>
    <t>20.02 - Apresentação realizada 
18/03 - previsão de fechamento  á partir do dia 01/04,
31.03 - avançaremos na quinta, porque o diretor está retornando para o Brasil</t>
  </si>
  <si>
    <t xml:space="preserve">Kawany </t>
  </si>
  <si>
    <t>14/04/2026</t>
  </si>
  <si>
    <t>, BI</t>
  </si>
  <si>
    <t>20-02 Nathalia solitiou mais detalhes do modulo de envio de boleto por whatsapp
Proposta enviada e negociando</t>
  </si>
  <si>
    <t>Nathalia</t>
  </si>
  <si>
    <t>(14) 9173-6009 / (14) 3203-0222</t>
  </si>
  <si>
    <t>20.02 Junior entrou em contato pedindo material do B2B e vai verificar uma  data com a equipe de MKT pois estão querendo entrar com essa solição substituinddo equipe de vendas
18.03 Realizei a apresentação do B2B para equipe da Sultex, dentro do que estão buscando faz sentido, enviei proposta comercial para dar andamento na negociação
24.03 Bom dia Junior, tudo bem?
Sobre o B2B pessoal te retornou com alguma duvida ou alguma questão da plataforma?
31.03 Boa tarde Junior, tudo bem? 
Consegue me posicionar o status do projeto do B2B?
07.04 Estão avaliando a ferramenta e esta com a diretoria
O processo dentro da Sultex são bem demorados, mas esta em pauta, e acharam a proposta enviada dentro do orçamento</t>
  </si>
  <si>
    <t>18/03/2026</t>
  </si>
  <si>
    <t>07/04/2026</t>
  </si>
  <si>
    <t>20-02 Estou iniciando as vendas nos ecoomercer e estão com média de 200 pedidos, pediu uma proposta para integrar o Guarani com a Tray
São 2 bancos separados Embalavi e Embalave</t>
  </si>
  <si>
    <t>25.02  - Estão em degustação do link B2B
18.03 Eu já pedi internamente lá pra ele.. Só que.. essa semana eles estão em uma feira lá no Rio Grande do Sul</t>
  </si>
  <si>
    <t>03/03/2026</t>
  </si>
  <si>
    <t>25/02/2026 00:00</t>
  </si>
  <si>
    <t>Danelle</t>
  </si>
  <si>
    <t>PAROLAR - Comex</t>
  </si>
  <si>
    <t>27/02/2026 00:00</t>
  </si>
  <si>
    <t>INNOVO COMERCIO DE PRESENTES E BRINQUEDOS LTDA</t>
  </si>
  <si>
    <t>Maysa</t>
  </si>
  <si>
    <t>03/03/2026 00:00</t>
  </si>
  <si>
    <t>18.03 - Achou o investimento alto mas vai avaliar melhor a proposta, e o Decio provavelmente vai entrar em contato com o Fabio</t>
  </si>
  <si>
    <t>04/03/2026 00:00</t>
  </si>
  <si>
    <t xml:space="preserve">06.04 Aguardando Allison retornar de férias para seguir com o projeto na proxima semana </t>
  </si>
  <si>
    <t>09/03/2026 00:00</t>
  </si>
  <si>
    <t>11/03/2026 00:00</t>
  </si>
  <si>
    <t>13/03/2026 00:00</t>
  </si>
  <si>
    <t>17/03/2026 00:00</t>
  </si>
  <si>
    <t xml:space="preserve">19.03 Falamos ontem sobre alguma pendencias e algumas demandas que estão na empresa
Pediu para atualizar a proposta do BI e mandei com as condições comerciais atualizadas </t>
  </si>
  <si>
    <t>19/03/2026 00:00</t>
  </si>
  <si>
    <t xml:space="preserve">19.03 - Falei com o Cleison e precisam implantar a parte de custo dentro do ERP, porque hoje fazem tudo por planilha e na cabeça do Paulo, então precisam trazer para dentro do sistema. </t>
  </si>
  <si>
    <t xml:space="preserve">23.03 Cliente pretende dar inicio da implantação do módulo para o segundo sempres, mas já queor os valores para entrar no orçamento </t>
  </si>
  <si>
    <t>23/03/2026 00:00</t>
  </si>
  <si>
    <t>2403 -  aguardando termo aditivo 
31.03 - fase de assinatura de contrato</t>
  </si>
  <si>
    <t>24/03/2026 00:00</t>
  </si>
  <si>
    <t>27.03 Cliente retormou contato para fechar negociação do BI
Detalhamento enviado aguardando termo aditivo</t>
  </si>
  <si>
    <t>27/03/2026 00:00</t>
  </si>
  <si>
    <t xml:space="preserve">27.03 Cliente entrou em contato solicitando a inclusão de outra empresa. 
Desta forma foi enviado a proposta comercial </t>
  </si>
  <si>
    <t>31.03 cliente pediu desconto para o Paulo, estamos negociando a proposta</t>
  </si>
  <si>
    <t xml:space="preserve">31.01 Realizei a apresentação do Guarani Power B2B, cliente solicitou uma negociação, abatimento da  implantação pelo módulo contábil que não funcionou na empresa
Passei a analise para o Paulo avaliar o que podemos fazer </t>
  </si>
  <si>
    <t>31/03/2026 00:00</t>
  </si>
  <si>
    <t>01/04/2026 00:00</t>
  </si>
  <si>
    <t>14.04 - negociando modulo com o Carlos</t>
  </si>
  <si>
    <t>14/04/2026 00:00</t>
  </si>
  <si>
    <t>14.04 Em contato com o Nuno para negociação do BI</t>
  </si>
  <si>
    <t>DAS'PLAST</t>
  </si>
  <si>
    <t>14.04 Em contato com o Nuno para apresentação do Contabil</t>
  </si>
  <si>
    <t>DAS'PLAST - Contábil</t>
  </si>
  <si>
    <t>15/04/2026 00:00</t>
  </si>
  <si>
    <t>Bruno</t>
  </si>
  <si>
    <t xml:space="preserve">Falei hoje com o Gomes consultor Totvs da empresa Oyshi e o mesmo que agendar uma reunião técnica de alinhamento para integrar o AFV com Protheus.
19-01; Após nossa reunião na sexta-feira para alinhar sobre a integração, o Gomes ficou de providências uma agenda com o Rodrigo para fechar a negociação.
22/01 - Cobrei novamente o Evandro para ele me posicionar se conseguiu falar com o Rodrigo para avançar com o contrato e fechamento e assim dar sequencias no projeto. Ele falou que estava envolvido em tarefas adicionais e isso atrasou a conversa que vai ocorrer na próxima semana.
26/02 Fiz FUP com o Evandro hoje perguntando uma posição, no aguardo. Já falei com a Isabella diretor comercial, e até agora nada de retorno.
12/03 Fiz FUP com o Evandro e ele falou que a decisão para seguir ou não vai ser tomada na próxima sexta-feira 13/03.
23/03 Falei com a Isabella a mesma me avisou que semana que vem vai </t>
  </si>
  <si>
    <t>02/03/2026</t>
  </si>
  <si>
    <t>AFV, BI</t>
  </si>
  <si>
    <t>11:51, 06/01/2026 Junior Lopes: lá Wilkerson, bom dia
11:51, 06/01/2026 Junior Lopes: Um Feliz 2026 para vc e toda equipe 🙏🙏
11:51, 06/01/2026 Junior Lopes: Me recebe aí para discutirmos sobre a proposta comercial?
15:32, 23/01/2026 Junior Lopes: Olá Wilkerson, boa tarde
13:34, 27/01/2026 Wilkerson Plasbrin: Ola
13:34, 27/01/2026 Wilkerson Plasbrin: Estou analisando a proposta sina
13:34, 27/01/2026 Wilkerson Plasbrin: Ainda
13:35, 27/01/2026 Wilkerson Plasbrin: Creio que em fevereiro te contato sobre uma negociação
13:36, 27/01/2026 Junior Lopes: Olá meu amigo! Ótimo 
Veja o que precisa para fecharmos! Nossa solução vai ajudar muito em seus processos 
Te aguardo 👊
14:25, 27/01/2026 Wilkerson Plasbrin: Pode deixar
14:25, 27/01/2026 Wilkerson Plasbrin: Vamos avaliar
08:53, 24/02/2026 Junior Lopes: Olá Wilkerson, bom dia , Td bem ?
08:54, 24/02/2026 Junior Lopes: Vamos agendar um bate papo para próxima semana ? 
Se sim vou até você !</t>
  </si>
  <si>
    <t xml:space="preserve">cliente não assinou contrato </t>
  </si>
  <si>
    <t>Realizei hoje, 12/12/2025, a apresentação do AFV para os gerentes comerciais e atualizei a proposta com os valores de licença do APP. O próximo passo será negociar a proposta, o que deve ocorrer somente na primeira quinzena de janeiro.
05.02 Iniciaram a importação agora,previsão permace para março
18.03 tinham previsão para iniciar as importações, mas ainda não deu certo, retomar o contato daqui 3 meses</t>
  </si>
  <si>
    <t>Falei com a Kelly hoje que me passou as informações que faltava para formular a proposta. Agora e falar com o Fernando e montar a proposta e apresentar.
23/01 Falei com a Kelly em 19/01, e ela avisou que estava de férias e que retorno essa semana , e que só vai conseguir analisar a proposta na semana do dia 26/01, quando retornarei o contato.
07/02 Fiz FUP com a Kelly e perguntei se ela vai ou não seguir com o projeto, não retornou ainda.
12/03 12/03 Fiz FUP com a Kelly e a mesma esta analisando a proposta. Como esta semana ela tá fazendo compra de natal, vai conseguir parar e ver a proposta amanhã 13/03.
20/03 Cobrando a Kelly para ir para o fechamento.</t>
  </si>
  <si>
    <t>Falei com a Kelly hoje que me passou as informações que faltava para formular a proposta. Agora e falar com o Fernando e montar a proposta e apresentar.
13/01/2026 - Apresentar proposta
23/01 Falei com a Kelly em 19/01, e ela avisou que estava de férias e que retorno essa semana , e que só vai conseguir analisar a proposta na semana do dia 26/01, quando retornarei o contato.
07/02 Fiz FUP com a Kelly e perguntei se ela vai ou não seguir com o projeto, não retornou ainda.
12/03 12/03 Fiz FUP com a Kelly e a mesma esta analisando a proposta. Como esta semana ela tá fazendo compra de natal, vai conseguir parar e ver a proposta amanhã 13/03.
20/03 Cobrando a Kelly para ir para o fechamento.</t>
  </si>
  <si>
    <t>Em conversa com o Valter ficou combinado de falar no dia 19/01, pois ele esta em viagem.
23/01 Fiz contato com o Walter hoje para cobrar ele nossa agenda para a próxima semana.
11/03 Fiz FUP com Valter, ele tem resistência em aceitar a proposta devido aos valores.
20/03 Após tentativas de negociar não evoluiu porque o preço ficou fora do que o cliente gostaria de investir.</t>
  </si>
  <si>
    <t>27/03/2026</t>
  </si>
  <si>
    <t>ERP, PCP</t>
  </si>
  <si>
    <t>Lead entrou em contato no Whatsapp Business do Damián.
(21/01/2026) 09:14, 21/01/2026 Junior Lopes: Olá Dário ! Bom dia , Td bem ?
09:30, 21/01/2026 Chavetas: Bom dia Júnior, td bem ? Estou a analisar as diversas empresas que tive contato, os prós e contras, porém com calma, para fazer algo que realmente atenda a necessidades.
(21/01/2026) além do material que enviei para Dário , sugeri a ele uma visita comercial para apresentar nossas soluções 
(29/01/2026) Estou alinhando com Dário mais uma rodada de apresentação ! ele esta indeciso em algumas opções concorrentes 
(02/03/2026) em contato com Dário 
Esta em analise com alguns ERPs, porem nada com previsão imediata devido a outras prioridades ! estou descartando e manterei contato via WhatsApp</t>
  </si>
  <si>
    <t>(02/03/2026) em contato com Dário 
Esta em analise com alguns ERPs, porem nada com previsão imediata devido a outras prioridades ! estou descartando e manterei contato via WhatsApp</t>
  </si>
  <si>
    <t>Liberado em degustação por 7 dias e depois efetivar vendas .
Liberado a degustação em 12/01.
19/01: Cobrei o Mario pra saber se esta tudo ok. E se iremos seguir ou não com a contratação.
23/01 - Em conversa com o Mario, o suporte ainda esta configurando e após vai treinar e assim vou conseguir contabilizar os 7 dias de degustação e fechar o negocio.
26/02 Não avançou.</t>
  </si>
  <si>
    <t xml:space="preserve">Falei com o Robson hoje , questionando sobre a proposta e se tem alguma dúvida.
23/01 - Fiz FUPs hoje com o Robson :
R: Bom dia Paulo, fiz umas considerações na proposta e farei uma reunia com os diretores para apresentação, na sequência quero marcar uma reunião com vocês para conversarmos.
Eu espero te posicionar na próxima terça-feira.
26/02 Alinhar com o Fernando a sequência dos itens que será abordados. E qual item já foi entregue e horas consumidas!
12/03 O projeto já iniciou e o combinado é que vai cobrar conforme entrega de etapas.
12/03 O projeto já iniciou e o combinado é que vai cobrar conforme entrega de etapas.
20/03 Após alinhamento foi criado pela implantação 10 etapas no projeto, para o acompanhamento e posterior fechamento de horas.  </t>
  </si>
  <si>
    <t>R$ 58.000,00</t>
  </si>
  <si>
    <t>Cobrei o André hoje aguardando o retorno sobre a evolução do projeto.
19/01 Fiz FUP com o Andre ele me posicionou que o presidente esta afastado por motivos de saúde e que como ele que decide, só na volta dele para avança. A previsão e que ele retorne na semana do dia 26/1.
07/02 Fiz fup hoje com o André e aguardo a posição dele se a diretoria retornou e se vamos seguir ou não com o projeto.
27/02 Por falta de retorno por parte do cliente, estou declinando a proposta.</t>
  </si>
  <si>
    <t>Falei Com Omar hoje 12/01 e ele falou que retorna de viagem dia 15/01 e é para procurá-lo.
23/01 Fiz FUP hoje como o Omar, para avançar com uma agenda na quinta ou sexta da semana do dia 26/01. Aguardando o retorno do cleinte.
09/02/26 Fiz fup e ele acabou fechando com um sistema pequeno.</t>
  </si>
  <si>
    <t>Fernando , esta de féria e só vamos conseguir realizar o bate-papo após o seu retorno. O previsto é no dia 16/01/2026.
23/01 Fiz FUP hoje com o Fernando para agendar uma reunião na semana que vem , na quarta ou quinta.
05/02 Fiz FUP hoje com o Fernando, e ele cancelou a nossa reunião das 10h. Fiz uma nova agenda para o dia 11/02 às 15h!
12/03  Fiz FUP com o Fernando afim de saber se ele vai querer continuar ou nao.
12/03 Por falta de interesse estou declinando o lead. Após apresentar a solução o cliente esfriou e sumiu não dando retorno.
20/03 Fiz FUP e cobrei o Fernando se seguiremos ou não com o projeto.</t>
  </si>
  <si>
    <t>Cliente entrou em contato pedindo apresentação de nossas solução de AFV 
Reuão agendada para segunda as 14h
26-01 proposta está em analise pela diretoria 
29-01 Boa tarde, Tiago! Espero que esteja bem.
No dia 19/01 encaminhamos à sua equipe a proposta comercial da Guarani Sistemas, que contempla uma condição exclusiva para evolução tecnológica e automação da força de vendas.
Com o Guarani AFV, aliado à assistente virtual Iara e ao módulo de orçamento web, sua empresa terá:
Automação completa da equipe de vendas, com acompanhamento de objetivos e indicadores em tempo real;
Aumento de produtividade e faturamento, reduzindo rupturas no ponto de venda;
Dashboard inteligente para análise de desempenho e curva ABC de produtos;
Integração simplificada com o ERP, garantindo maior agilidade e menos retrabalho.
Além disso, oferecemos condições comerciais diferenciadas, incluindo implantação com mentoria especializada e mensalidade ajustada ao perfil da sua operação.
Diante de todos esses benefícios, gostaria de entender: o que falta para avançarmos juntos e garantir essas vantagens para sua equipe?
05.02Retornou que estão em analise pela diretoria previsão de retorno para proxima semana 
18.03 - Estão tratando internamento com o ERP, porque precisam entende rse o sistema atual terá capacidade de atender a necessidade deles para integrar com o AFV
15.04 09:24, 15/04/2026 Rayssa Karapeticov - Comercial - Guarani Sistemas: Oi Tiago, como você está.?
Na última troca, você comentou que eles devem manter o sistema atual por mais tempo, e eu fiquei de marcar uma reunião presencial para detalharmos a integração e forma de trabalho.
Queria entender contigo se ainda faz sentido seguirmos com esse alinhamento agora. Se sim, me indica por favor dois horários que funcionem para você</t>
  </si>
  <si>
    <t>Fernando, esta avaliando outros produtos e terei um retorno na próxima semana dia 15/01, que decide é a Luciana.
23/01 Fiz FUP hoje com o Fernando o mesmo ainda não respondeu, perguntei o que nos impede de seguir?
26/02 Fernando me procurou essa semana , pedido atualização de informações sobre o projeto. Hoje fiz novo FUP solicitando informações se seguiremos ou não com o projeto.
20/03 Fernando me passou que a proposta ainda continua na direção sem definição.</t>
  </si>
  <si>
    <t>Fiz contato hoje mais o cliente já não estava na empresa, vamos falar amanha 14/01
23/01 Fiz FUp hoje com a Jessica, para buscar agenda na proxima semana.
19/02 Fiz varias tentativa sem retorno e por isso declinei a proposta.</t>
  </si>
  <si>
    <t>Falei com a Kelly hoje que me passou as informações que faltava para formular a proposta. Agora e falar com o Fernando e montar a proposta e apresentar.
23/01 Falei com a Kelly em 19/01, e ela avisou que estava de férias e que retorno essa semana , e que só vai conseguir analisar a proposta na semana do dia 26/01, quando retornarei o contato.
07/02 Fiz FUP com a Kelly e perguntei se ela vai ou não seguir com o projeto, não retornou ainda.
12/03 12/03 Fiz FUP com a Kelly e a mesma esta analisando a proposta. Como esta semana ela tá fazendo compra de natal, vai conseguir parar e ver a proposta amanhã 13/03.
20/03 Cobrei a Kelly a evolução da negociação.</t>
  </si>
  <si>
    <t>(20/01/2026)  09:04, 20/01/2026 Junior Lopes: Olá Cláudio ! Bom dia
17:23, 27/01/2026 Claudio Teixeira: Boa tarde essa semana estou fora da empresa
17:23, 27/01/2026 Claudio Teixeira: Semana que vem falamos
17:32, 27/01/2026 Junior Lopes: Perfeito Claudio ! abraço 
09:06, 20/01/2026 Claudio Teixeira: Bom dia
09:07, 20/01/2026 Junior Lopes: Td bem ? Vc entrou em contato com a Guarani sistemas, gostaria de marcar um horário para batermos um papo e entender melhor suas necessidades
09:08, 20/01/2026 Junior Lopes: Qual melhor horário para você?
09:08, 20/01/2026 Claudio Teixeira: Pode ser às 11:30
09:10, 20/01/2026 Junior Lopes: Ótimo, vou Estar terminando uma apresentação! Pode ser que atrase uns 15 minutos para ligar
09:11, 20/01/2026 Claudio Teixeira: Ok
Perfeito Cláudio ! Abraço
Olá Cláudio! Como vai ?
Olá Cláudio Td bem ? 
Como não recebi seu retorno nos últimos dias, entendo que talvez não seja o melhor momento para seguirmos com projeto Guarani 
Para nao lotar seu WhatsApp de mensagens estou encerrando o contato! 
Caso suas prioridades mudem sigo a disposição 
Abraço</t>
  </si>
  <si>
    <t>Perfeito Cláudio ! Abraço
Olá Cláudio! Como vai ?
Olá Cláudio Td bem ? 
Como não recebi seu retorno nos últimos dias, entendo que talvez não seja o melhor momento para seguirmos com projeto Guarani 
Para nao lotar seu WhatsApp de mensagens estou encerrando o contato! 
Caso suas prioridades mudem sigo a disposição 
Abraço</t>
  </si>
  <si>
    <t>29/01 - retornar após o carnaval
18.03 - agendando um contato para negociação, sugeri hoje as 16:30
30.03 Boa tarde, Helena. Espero que esteja bem.
Conversamos anteriormente sobre o software de gestão da Guarani Sistemas, empresa consolidada e referência no mercado de utilidades e abastecimento de artigos para o lar.
Acreditamos que, com o potencial da sua empresa aliado à experiência da Guarani, seria possível alcançar resultados ainda mais expressivos. No entanto, após diversas tentativas de contato, não obtivemos retorno para avançar com esse projeto.
Diante disso, estamos encerrando nosso contato neste momento, entendendo que não há interesse da Purai Suvinirs em seguir com essa oportunidade de crescimento. Permaneço à disposição para retomar a conversa quando fizer sentido para vocês.
Atenciosamente,</t>
  </si>
  <si>
    <t>10/03/2026</t>
  </si>
  <si>
    <t>05/03/2026</t>
  </si>
  <si>
    <t>12/03/2026</t>
  </si>
  <si>
    <t>23/01 Fiz FUP hoje com o Junior e o mesmo mencionou que a diretoria achou o valor da mensalidade alta. falou que tem contrato fechado com a GETT com mensal de R$900,00.
Falar com o Fábio e negociar melhor essa questão.
20/03 Hoje foi aberto um ticket para acompanhar dar apoio nas configurações do comex para que o pessoal consiga usar.</t>
  </si>
  <si>
    <t>23/01 Fiz FUP com a Simone e o próximo asso e fazer a proposta.
A principal dor do cliente é centralizar a operação em um único sistema, garantindo maior fluidez nos processos, redução de falhas de integração e ganho de produtividade, principalmente nas áreas comercial, faturamento e backoffice.
06/02 Foi apresentado a proposta, que esta sob-analsie da diretoria.
26/02 Fiz FUP com a Simone para saber se vamos seguir ou não.
20/03 Estou cobrando a Simone se vamos seguir ou não.</t>
  </si>
  <si>
    <t xml:space="preserve">(27/01/2026) em contato com Thales , ficamos de falar por telefone as 11;30 horas do dia 27/01
(27/01/2026) Reunião de apresentação primeira Etapa AFV em 28/01/2026 as 14 horas 
(28/01/2026) apresentação do força de vendas na integra e vídeos do força de vendas 
cliente pediu para seguirmos com proposta comercial para ver se está dentro do sua previsão de investimento 
(19/02/2026) Thales achou valor acima para o momento </t>
  </si>
  <si>
    <t xml:space="preserve">(19/02/2026) Thales achou valor acima para o momento </t>
  </si>
  <si>
    <t>contato realizado com o Alexanre, sem sucesso. Deixei msg no zap para faalrmos amanha!
28/01 Fiz FUP hoje com o Alexandre, sem sucesso. Deixei novamente recado no whatsapp e e-mail!
12/03 Por falta de retorno e interesse estou declinando o lead foi feita diversas tentativa de comunicação sem sucesso.</t>
  </si>
  <si>
    <t>Fiz o primeiro contato com a Maria e agendamos amanhã às 14h.
28/01 Fiz FUP hoje com a maria sem sucesso. Liguei não atendeu , deixei recado no whats app e estou aguardando retorno.
28/01 Consegui fazer a apresentação institucional para a Maria. O próximo passo é enviar a proposta !
06/02 Fiz uma reunião onde apresentei a proposta. A Maria, foi bem objetiva e falou que o valor ficou bem acima dos demais concorrentes, mesmo assim ela vai ter uma reunião com a diretoria na próxima semana e me retorna se seguiremos ou não!
26/02 Fiz FUP com a Maria cobrando uma posição se seguiremos ou não.
27/02 Por falta de interação e retorno do cliente estou declinando a proposta.</t>
  </si>
  <si>
    <t>28/01 Apresentar o sistema B2B para Clevis o responsável de TI e Alessandro gerente de loja. 
05/02/2026 Fiz apresentação do produto e da proposta, agora negociado.
26/02 Fiz FUP com o CLEVIS, hoje cobrando a reunião para negociar!
10/03 Fiz reunião ontem com o Clevis e expliquei que o que e possível em relação a isenção da mensalidade é : 4 meses da assinatura ou qdo sistema em produção.
12/03 Negociando o fechamento reunião técnica para o dia 17/03 as 15h.
12/03 Fiz FUP hoje com o Clevis para firmar uma agenda de uma conversa técnica para terça feira dia 17/03 as 15h. Será feito nessa reunião um alinhamento de integração do nosso B2B com o JJsistema  . 
A proposta ficou em 13k e a mensalidade iniciar com com 4 meses da assinatura do contrato ou sistema em produção.
20/03 Esta na fase de coleta de documentação para assinar o contrato.</t>
  </si>
  <si>
    <t>R$ 0,00</t>
  </si>
  <si>
    <t xml:space="preserve">cliente declinou após recebimento da proposta comercial </t>
  </si>
  <si>
    <t>10:21, 09/03/2026 Junior Lopes: Olá Breno ! Como vai ?
11:06, 09/03/2026 Breno Plasberg: Bom dia
11:07, 09/03/2026 Junior Lopes: tudo bem meu amigo ! sobre a sequencia do projeto, alguma novidade ?</t>
  </si>
  <si>
    <t xml:space="preserve">11:13, 13/02/2026 Artur Pino Pino Lar: Bom dia
11:13, 13/02/2026 Artur Pino Pino Lar: Tudo bem ?
11:13, 13/02/2026 Artur Pino Pino Lar: Optei em fechar com a Penso
11:13, 13/02/2026 Artur Pino Pino Lar: Nossa empresa de TI
11:14, 13/02/2026 Artur Pino Pino Lar: O valor , pelo pacote que temos ficou muito atrativo
11:14, 13/02/2026 Artur Pino Pino Lar: Próxima semana já vamos iniciar a carga de dados
11:14, 13/02/2026 Artur Pino Pino Lar: Mas …… obrigado !
11:16, 13/02/2026 Junior Lopes: Olá Artur , perfeito!  Vou comunicar o Fernando por aqui </t>
  </si>
  <si>
    <t>(09/03/2026) Não responde aos contatos para sequencia ! declinando oportunidade</t>
  </si>
  <si>
    <t xml:space="preserve">(30/01/2026) Sou Junior Lopes da Guarani sistemas
16:56, 30/01/2026 Junior Lopes: Td bem ?
17:01, 30/01/2026 Orlando: Tudo
17:08, 30/01/2026 Orlando: Descreve alguma coisa do seu sistema
17:29, 30/01/2026 Orlando: Qual o valor mensal?
Este valor mensal posso incluir quantas empresas?
16:49, 02/02/2026 Junior Lopes: Olá Orlando , tem interesse em dar continuidade no contato ?
Hj um investimento em um ERP Guarani controlando sua empresa de ponta a ponta desde a produção passando pelos módulos financeiro a pagar e receber, comercial, compras, Fiscal, logística/expedicao (WMS) e Força de vendas ! Fica dentro de uma expectativa entre (60 mil a 90 mil) de investimento em implantação e treinamentos !
A mensalidade é por usuário sendo R$ 280,00 do ERP e R$ 115,00 do AFV
Caso queira um orçamento mais preciso, podemos nos reunir para entender melhor suas necessidades
O que seria AFV?  (enviei =áudio explicando)
(11/02/2026) retornei contato com Orlando buscando continuidade no atendimento 
10:07, 19/02/2026 Orlando: Falamos mais tarde
10:08, 19/02/2026 Orlando: Estou viajando, melhor poderia me chamar na segunda feira?
10:17, 19/02/2026 Junior Lopes: Estou viajando, melhor poderia me chamar na segunda feira?
Sim ! Te chamo segunda-feira
(16/03/2026) em contato com Orlando ! acredito que não esta no momento certo ! Orlando um pouco confuso </t>
  </si>
  <si>
    <t xml:space="preserve">Orlando um pouco confuso ! não esta no momento certo </t>
  </si>
  <si>
    <t>09/03/2026</t>
  </si>
  <si>
    <t>17/02 Feito apresentação institucional e vídeos do ERP . 
10/03 Fiz FUP com o Henrique e ele recebeu a proposta e esta sobre analise. Temos um reunião de apresentação de WMS na sexta-feira proxima para ele conhecer este módulo e seguirmos.
20/03 Aguardando o Henrique se reunir com o time de ERP atual para decidir se vai trocar ou não o sistema.</t>
  </si>
  <si>
    <t>Solicita demo;90%;Dentro Perfil</t>
  </si>
  <si>
    <t>ERP, AFV, PDV, TREINAMENTO</t>
  </si>
  <si>
    <t>26/02 Foi feito FUP com o Wilson e ele optou pela concorrência devido a valor.</t>
  </si>
  <si>
    <t xml:space="preserve">07.04 cliente ainda imaturo para os processos </t>
  </si>
  <si>
    <t>09:28, 19/02/2026 Junior Lopes: OLá Ana, bom dia
09:44, 19/02/2026 Junior Lopes: Oi, Edenilson Tentei contato algumas vezes, mas não consegui falar com você. Imagino que sua rotina esteja corrida. Vou encerrar seu atendimento por aqui para não lotar sua caixa de entrada, mas sigo à disposição caso queira retomar o assunto no futuro</t>
  </si>
  <si>
    <t xml:space="preserve">03/03 Após diversas tentativa de FUP não tive retorno e por falta de interação estou declinando o lead. </t>
  </si>
  <si>
    <t>Rayssa, atendendo</t>
  </si>
  <si>
    <t>(11/02/2026) Contato feira ABcasa ! agendamos apresentação para sexta feira dia 20/02
10:05, 20/02/2026 Junior Lopes: Entendo ! Vamos organizar nova data
10:06, 20/02/2026 Junior Lopes: Segunda feira , é possível?
10:13, 20/02/2026 Fabio Oliveira Nina Enc: eu consigo te atender, mas vamos precisar remarcar um pouco mais para frente, eu quero muito te atender e realmente preciso, porem nesse momento ta dificil
(09/03/2026) buscando data para apresentação 
(14/04/2026) em contato com Fabio a fim de agendarmos apresentação 
09:58, 14/04/2026 Junior Lopes: Olá Fábio, bom dia
10:01, 14/04/2026 Fabio Oliveira Nina Enc: Bom dia meu amigo, tudo certo ?
10:02, 14/04/2026 Junior Lopes: Opa td certo 🙏
Vamos programar apresentação?
10:04, 14/04/2026 Fabio Oliveira Nina Enc: o meu amigo, esta semana nao vou ter como te atender, estamos organizando muita coisa na empresa, na quarta feira meu pai vai para china, mas acho que na outra semana a gente consegue, na quinta ou sexta da semana que vem
10:05, 14/04/2026 Junior Lopes: Perfeito Fábio ! Aí te chamo no começo da semana para alinharmos
10:05, 14/04/2026 Fabio Oliveira Nina Enc: combinado</t>
  </si>
  <si>
    <t>26/02 Fiz FUP com o Jader e ele tem uma ferramentaria. Entendi o processo e agora preciso falar com o Fernando, para ver se conseguirmos atender ele ou não. na sequência vou passar uma proposta. 
12/03 - Encerrei o lead por falta de retorno, futuramente se ele demonstrar interesse falamos.</t>
  </si>
  <si>
    <t xml:space="preserve"> Jader Silva</t>
  </si>
  <si>
    <t>(37) 3213-0306</t>
  </si>
  <si>
    <t>DIVINOPOLIS</t>
  </si>
  <si>
    <t>24/02/2026</t>
  </si>
  <si>
    <t>26/02 Fiz FUP hoje com o Antônio, sem sucesso. Após minhas ligações ele não atendeu , deixei recado no Whatsapp. 
27/02 Após diversas FUps sem sucesso e sem retorno do lead, estou declinando a oportunidade.</t>
  </si>
  <si>
    <t>27/02 Fiz diversos FUP sem retorno, por isso estou declinando o contato.</t>
  </si>
  <si>
    <t>ERP, PDV, AFV</t>
  </si>
  <si>
    <t xml:space="preserve">(11/02/2026) tentativa de ligação nao atendida 
17:03, 11/02/2026 Junior Lopes: Olá Gabriel , boa tarde
17:03, 11/02/2026 Junior Lopes: sou Junior Lopes da Guarani sistemas ! td bem ?
(19/02/2026) apresar de não ter resposta do cliente ! em pesquise verifiquei que LM é um deposito de bebidas que acaba fugindo do perfil </t>
  </si>
  <si>
    <t xml:space="preserve">(11/02/2026) tentativa de ligação não atendida 
16:48, 11/02/2026 Junior Lopes: Olá Kariello, boa tarde !
16:48, 11/02/2026 Junior Lopes: sou Junior Lopes da Guarani sistemas, tudo bem ?
(19/02/2026) buscando data para apresentação 
(23/02/2026) Vamos Agendar apresentação do força de vendas para amanhã ?
10 ou 14 horas ! O que fica melhor?
Vamos marca na primeira semana de março
Fechamento do mês é complicado
Sim ! Vamos deixar uma agenda para dia 4/03 quarta feira! Se sim já te envio um link do Meet
Ok
Apresentação Guarani (AFV) 
Quarta-feira, 4 de março · 10:00 – 11:30
Fuso horário: America/Sao_Paulo
Como participar do Google Meet
Link da videochamada: https://meet.google.com/dsp-gfgz-nyv
09:54, 04/03/2026 KARIELLO COELHO: Tive um imprevisto
09:54, 04/03/2026 KARIELLO COELHO: Teremos que remarcar
09:55, 04/03/2026 Junior Lopes: Td bem meu amigo , sem problemas
12:41, 04/03/2026 KARIELLO COELHO: Até sexta agora
12:42, 04/03/2026 Junior Lopes: 10 horas é um bom horário?
12:45, 04/03/2026 KARIELLO COELHO: 11h
12:46, 04/03/2026 Junior Lopes: Joia! Vou gerar um link
12:50, 04/03/2026 Junior Lopes: Apresentação Guarani AFV - CK Hospitalar
Sexta-feira, 6 de março · 11:00 – 12:15
Fuso horário: America/Sao_Paulo
Como participar do Google Meet
Link da videochamada: https://meet.google.com/zum-xcty-mab
(09/03/2026) Após Kariello desmarcar a reunião de apresentação , não respondeu mais aos contatos </t>
  </si>
  <si>
    <t>ck hospitalar - afv</t>
  </si>
  <si>
    <t xml:space="preserve">(09/03/2026) Após Kariello desmarcar a reunião de apresentação , não respondeu mais aos contatos </t>
  </si>
  <si>
    <t>04/03/2026</t>
  </si>
  <si>
    <t xml:space="preserve">cliente precisa que o força de vendas atenda em pronta entrega </t>
  </si>
  <si>
    <t>Conversa extraida do áudio enviado em 12/03/2026
 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t>
  </si>
  <si>
    <t xml:space="preserve">12.02 - é uma importadora de Ribeirão Preto e veio por indicação da Simone (QFestas) são do mesmo seguimento
Disse que já havia feito contato um tempo atrás mas na época achou muito caro, então não avançou
Esta retomando o contato agora e gostaria de receber uma proposta comercial antes, já que já conhece o sistema, já recebeu várias indicações de importadores, e representantes. 
18.03 - estou tentando contato, mas esta em feira 
30.03 Achou que não é o momento certo para avançar </t>
  </si>
  <si>
    <t>12.02 ligação realizada no dia 12.02 as 11:13, não atendeu. Enviei mensagem no whatsapp, para tentar um novo horario para ligação
13.02 Cliente é uma industria de copos de liquidificador estão sempre na ABUP e vieram por indicação da Arthi 
Usam um sistema interno - mas futuramente querem trocar o sistema, explicou que a principio querem conhecer nosso AFV, porque foi uma indicação e o sistema atual possui esse módulo mas libera muitas informações que eles não querem disponibilizar para os RCAs, porém não podem editar ou bloquear
Não enviar estoque 
Tabelas de preço - Explicou que possuem várias tabelas de preço por faixa de valor, informei que o sistema atende essa necessidade e quem podem ter uma unica tabela com uma regra comercial de desconto por faixar de valor amarrada ao pedido
Imagens de produtos - quer que o cliente tenha acesso a imagem do produto, expliquei que sim, e que pode gerar o catalogo em PDF para o cliente
Descrição - ficha técnica do produto e descrição do item
Uso de sistemas na feira - usar leitor de código de produto
Envio de orçamento - envio de cópia de orçamentos por PDF, link ou excel, e explicar funções em feira 
Isis vai verificar com a gerente uma data para apresentação do AFV
18.02 - apresentação agendada para amanhã 
18.03 Negociação finalizada, aguardando documentação para seguir com contrato
15.04 09:24, 15/04/2026 Rayssa Karapeticov - Comercial - Guarani Sistemas: Oi Isis, como você está.?
Na última troca, você comentou que eles devem manter o sistema atual por mais tempo, e eu fiquei de marcar uma reunião presencial para detalharmos a integração e forma de trabalho.
Queria entender contigo se ainda faz sentido seguirmos com esse alinhamento agora. Se sim, me indica por favor dois horários que funcionem para você.</t>
  </si>
  <si>
    <t xml:space="preserve">(03/03/2026) Visita apresentação 
(05/03/2026)  buscando fechamento </t>
  </si>
  <si>
    <t>(11) 91564-2482</t>
  </si>
  <si>
    <t>(20/02/2026) Buscando fechamento 
Conversa extraida do áudio enviado em 12/03/2026
 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t>
  </si>
  <si>
    <t>(19/02/2026) descartando por falta de interação 
09:44, 19/02/2026 Junior Lopes: Oi, Edenilson Tentei contato algumas vezes, mas não consegui falar com você. Imagino que sua rotina esteja corrida. Vou encerrar seu atendimento por aqui para não lotar sua caixa de entrada, mas sigo à disposição caso queira retomar o assunto no futuro</t>
  </si>
  <si>
    <t>19/02 Fiz FUP com o cliente e liguei para o Luis e ao entender o processo dele verifique que não atendemos. Pois ele quer que o vendedor no momento do pedido já emita a NF.</t>
  </si>
  <si>
    <t>26/02 Fiz FUP hoje com o Diego após varias tentativas de ligação ele não atendeu, envie e-mail para ver se consigo outro canal de conversa.
12/03 Diego optou por uma solução local e se não der certo retorna o contato.</t>
  </si>
  <si>
    <t xml:space="preserve">(19/02/2026) em contato com Andreia ! atualmente usa ERP Linx e busca ferramenta de força de vendas 
estamos alinhando data de apresentação 
(09/03/2026) Após envio da proposta comercial Andréa não respondeu mais ! dois pontos de atenção com relacçao ao seu ramo de atividade , por ser um fabrica de roupas e ERP Linx </t>
  </si>
  <si>
    <t xml:space="preserve">investimento alto </t>
  </si>
  <si>
    <t>19.02 devido o feriado de carnaval estã retornando hoje.
Combinamos de falar amanhã 20/02 as 09h</t>
  </si>
  <si>
    <t>ERP, PCP, AFV</t>
  </si>
  <si>
    <t>(19/02/2026) ligação não atendida ! na sequencia envio de mensagem 
(19/02/2026) em contato com Carolla , a empresa é uma loja de doces , fora do perfil 
08:56, 19/02/2026 Junior Lopes: OLá Carolla, bom dia !
08:56, 19/02/2026 Junior Lopes: sou Junior Lopes da Guarani sistemas td bem ?
08:57, 19/02/2026 Junior Lopes: estou retornando um contato que você fez conosco</t>
  </si>
  <si>
    <t>26/02 Fiz FUP com Alessandro e combinamos de falar na segunda-feira as 9h
12/03 Fiz FUP com o Alessandro e combinamos uma apresentação amanhã as 8h 
20/03 Fiz FUP com o Alessandro para saber se ele vai seguir ou não.
20/03 Cliente achou o preço muito alto para investir agora.</t>
  </si>
  <si>
    <t xml:space="preserve">Alessandro </t>
  </si>
  <si>
    <t>16/03/2026</t>
  </si>
  <si>
    <t>26/02 Fiz FUP com a Fernanda e ela não atendeu, deixei recado para falarmos.
02/02 Fiz FUP e cliente falou que vai analisar</t>
  </si>
  <si>
    <t>esta atrás de parceiria para revenda do sistema</t>
  </si>
  <si>
    <t>grupo alves consultoria empresarial</t>
  </si>
  <si>
    <t>Grupo Alves Consultoria Empresarial</t>
  </si>
  <si>
    <t>tayanxpmartins@hotmail.com</t>
  </si>
  <si>
    <t>Cliente é um representante da Oster e outras marcas, a ideia de negociação é do AFV, mas no dia sexta-feira, 20 de fevereiro de 2026
11:00 - 12:00 (BRT) - realizamos uma apresentação do AFv, durante a reunião pediu uma proposta do ERP também para avaliar uma possivel troca. 
Após a reunião fizemos uma segunda ruenião de apresentação da proposta comercial no dia 24/02
Após isso cliente ficou de me passar uma contra proposta para negociação, porém ele esta em feria no EUA, e ainda não retornoul
Falei com ele hoje 18/03 e ainda esta em feira e pediu para retornar na sexta oferecendo um login e senha. 
Vou retornar o contato na sexta para entender(provavelemente é do AFV) mas dar sequencia no atendimento
24.03 Estou marcando uma reunião presencial, porém essa semana esta em SC</t>
  </si>
  <si>
    <t>André Feldman</t>
  </si>
  <si>
    <t>andre@homebrands.com.br</t>
  </si>
  <si>
    <t xml:space="preserve">Cliente é um representante da Oster e outras marcas, a ideia de negociação é do AFV, mas no dia sexta-feira, 20 de fevereiro de 2026
11:00 - 12:00 (BRT) - realizamos uma apresentação do AFv, durante a reunião pediu uma proposta do ERP também para avaliar uma possivel troca. 
Após a reunião fizemos uma segunda ruenião de apresentação da proposta comercial no dia 24/02
Após isso cliente ficou de me passar uma contra proposta para negociação, porém ele esta em feria no EUA, e ainda não retornoul
Falei com ele hoje 18/03 e ainda esta em feira e pediu para retornar na sexta oferecendo um login e senha. 
Vou retornar o contato na sexta para entender(provavelemente é do AFV) mas dar sequencia no atendimento
24.03 Estou marcando uma reunião presencial, porém essa semana esta em SC. </t>
  </si>
  <si>
    <t xml:space="preserve">Andre </t>
  </si>
  <si>
    <t>12:26, 24/02/2026 Junior Lopes: lá Valdir, bom dia
12:26, 24/02/2026 Junior Lopes: aqui é Junior Lopes da Guarani sistemas tudo bem ?
12:39, 24/02/2026 +55 19 99218-9262: Boa tarde.
Tudo bem e você?
Estou em um pregão eletrônico,  assim que acabar te chamo
13:02, 25/02/2026 +55 19 99218-9262: Preciso de um erp que controle 2 cnpj.
Tenha:
Controle de O.S. com emissão de produto junto.
Atualização com marketplace hoje, ML, Amazon, Shopee e Magazine Luiza.
Controle de contratos 
Ecomerce.
Vendas por WhatsApp, Instagram, etc.
Quando fazer venda na loja física, podendo colocar produtos das duas empresas e depois fazer as nfe de acordo com os produtos adequados.
13:02, 25/02/2026 Junior Lopes: Olá Valdir , boa tarde
13:03, 25/02/2026 Junior Lopes: Assim que finalizar meu almoço , verifico sua mensagem e te respondo
13:03, 25/02/2026 Junior Lopes: Um abraço
13:03, 25/02/2026 +55 19 99218-9262: Estou no médico tambem agora, kkkk
13:03, 25/02/2026 +55 19 99218-9262: No aguardo
14:02, 25/02/2026 Junior Lopes: Olá Valdir, td bem ? fiz uma analise sobre as necessidades que você solicitou
14:02, 25/02/2026 Junior Lopes: Para o cenário da Compuleme, que exige uma frente de caixa (PDV) para loja física e integração direta com redes sociais e marketplaces, informamos que a Guarani não é a solução ideal.
Embora sejamos fortes no controle de múltiplos CNPJs, O.S. e contratos, nosso sistema não opera com vendas de varejo físico ou integração de canais de atendimento (WhatsApp/Instagram). Preferimos ser transparentes para que vocês possam focar em uma ferramenta que já possua esse ecossistema de vendas integrado nativamente</t>
  </si>
  <si>
    <t>compuleme</t>
  </si>
  <si>
    <t>Compuleme</t>
  </si>
  <si>
    <t>valdir@compuleme.com.br</t>
  </si>
  <si>
    <t>Perfil da Empresa
Setor: Tecnologia e segurança
Atuação: Distribuidora e empresa de tecnologia
Marcas representadas: Motorola, 3M
Produtos e Serviços
Vendas de produtos:
Via rádio de segurança
Formato de vendas para clientes recorrentes
Indicação pelo próprio representante
Equipe interna de vendas com 10 pessoas
Locação de produtos
Serviços complementares (não especificados, mas mencionados)
Estrutura Comercial
Equipe de vendas: 10 pessoas
Canais de vendas:
Representantes
Indicações
Equipe interna
Necessidade Atual
Implementar uma solução que:
Crie indicadores de desempenho para a equipe de vendas
Disponibilize um CRM para gestão de clientes e processos</t>
  </si>
  <si>
    <t>trivale tecnologia</t>
  </si>
  <si>
    <t>dario@trivaletecnologia.com.br</t>
  </si>
  <si>
    <t>26/02 Fiz FUP com o Anderson e ele possui 3 lojas de roupa e esta fora do perfil.</t>
  </si>
  <si>
    <t>adriana brandão</t>
  </si>
  <si>
    <t>Anderson Brandão</t>
  </si>
  <si>
    <t>anderson.melro@hotmail.com</t>
  </si>
  <si>
    <t>26/02 Fiz FUP com a Leticia ela não pode atender pois estava saindo para buscar o filho na escola, ficamos de falar amanha.
12/03 Apos ligar e não ser atendido estou declinando a aliança.</t>
  </si>
  <si>
    <t>leticia - aliança</t>
  </si>
  <si>
    <t>(62) 99953-7500</t>
  </si>
  <si>
    <t>leticiarsouza1@gmail.com</t>
  </si>
  <si>
    <t>Solicita demo;Dentro Perfil;Fora Perfil</t>
  </si>
  <si>
    <t xml:space="preserve">(24/02/20260 Tentativa de ligação não atendia ! enviei mensagem a fim de contato com Geaze ! 
em busca sobre a empresa usando IA do Google :
A Infraloc é uma empresa especializada na locação e venda de móveis corporativos e equipamentos, com forte atuação no setor de construção civil, canteiros de obras e eventos. 
Informações de Contato e Localização
Endereço: R. José Miranda, 143 - Afogados, Recife - PE.
WhatsApp: (81) 98297-2897.
Site Oficial: infraloc.com.br. 
Principais Produtos e Serviços
A empresa oferece soluções completas para canteiros, escritórios e refeitórios, incluindo:
Móveis Corporativos: Mesas de reunião, mesas e cadeiras de escritório, armários roupeiros e estações de trabalho.
Equipamentos: Bebedouros industriais, cafeteiras expressas, impressoras a laser e máquinas para construção.
Estruturas para Eventos: Locação de toldos, mesas e cadeiras de PVC para festas e eventos em gera
(25/02/2026) cliente trabalha com locação de equipamento , é necessário controle e contrato de locação manutenção (Fora do perfil ) </t>
  </si>
  <si>
    <t>infraloc</t>
  </si>
  <si>
    <t>Infraloc</t>
  </si>
  <si>
    <t>geazemiranda@yahoo.com.br</t>
  </si>
  <si>
    <t xml:space="preserve">(25/02/2026) cliente trabalha com locação de equipamento , é necessário controle e contrato de locação manutenção (Fora do perfil ) </t>
  </si>
  <si>
    <t>centrolar</t>
  </si>
  <si>
    <t>Centrolar</t>
  </si>
  <si>
    <t>ubiratanrosania@gmail.com</t>
  </si>
  <si>
    <t>Instagram</t>
  </si>
  <si>
    <t>(24/02/2026) em contato com Daniel 
A empresa Vitta Estrutural está iniciando as operação, sua operação esta focada em recarga de extintores e revenda de produtos através de venda balcão e representante externo ! um ponto especifico é o controle de lote e validade dos extintores informando a data que está vencendo no ambiente do cliente 
Daniel solicitou uma previsão de investimento para seguirmos 
(25/02/2026) enviando previsão de investimento para analise do cliente e viabilidade  
10:50, 25/02/2026 Junior Lopes: valores na pagina 27 com resumo na pagina 28
10:53, 25/02/2026 Junior Lopes: perfeito ! ficamos a disposição para apresentação completa da solução
10:41, 09/03/2026 Junior Lopes: Olá Daniel, bom dia 
Sobre o projeto ERP Guarani ! Vamos da sequência meu amigo?
10:41, 09/03/2026 Junior Lopes: Olá Daniel, bom dia 
Sobre o projeto ERP Guarani ! Vamos da sequência meu amigo?
10:42, 09/03/2026 +55 67 9207-9099: Bom dia, agradeço por enquanto.,
10:45, 09/03/2026 Junior Lopes: Obrigado pelo retorno! Sucesso para vcs</t>
  </si>
  <si>
    <t>Vitta Estrutural</t>
  </si>
  <si>
    <t>dgruschel@hotmail.com</t>
  </si>
  <si>
    <t>10:41, 09/03/2026 Junior Lopes: Olá Daniel, bom dia 
Sobre o projeto ERP Guarani ! Vamos da sequência meu amigo?
10:42, 09/03/2026 +55 67 9207-9099: Bom dia, agradeço por enquanto.,
10:45, 09/03/2026 Junior Lopes: Obrigado pelo retorno! Sucesso para vcs</t>
  </si>
  <si>
    <t>26/02 Fiz FUP hoje com o Fábio ele não atendeu a ligação, deixei novo recado no Whatasapp.</t>
  </si>
  <si>
    <t>flavio storino</t>
  </si>
  <si>
    <t>Flávio Storino</t>
  </si>
  <si>
    <t>(19) 99667-2002</t>
  </si>
  <si>
    <t>flaviostorino@gmail.com</t>
  </si>
  <si>
    <t>Porto Ferreira</t>
  </si>
  <si>
    <t xml:space="preserve">Lucas </t>
  </si>
  <si>
    <t>contato@lucassecco.com.br</t>
  </si>
  <si>
    <t>11/03/2026</t>
  </si>
  <si>
    <t>sunred ind da confeccao ltda</t>
  </si>
  <si>
    <t>Sunred confecções</t>
  </si>
  <si>
    <t>atendimento@sunred.com.br</t>
  </si>
  <si>
    <t xml:space="preserve">25/02/2026) em contato com Rogério 
aoós tentativa de ligação nos falamos via WhatsApp conforme abaixo : 
15:40, 25/02/2026 Junior Lopes: Olá Rogério , boa tarde
15:40, 25/02/2026 Junior Lopes: Sou Junior Lopes da Guarani sistemas! Td bem ?
15:40, 25/02/2026 Teodoro Cosmeticos: Boa tarde Júnior
15:41, 25/02/2026 Teodoro Cosmeticos: Bem graças a Deus
15:41, 25/02/2026 Junior Lopes: Que bom
15:41, 25/02/2026 Junior Lopes: Estou retornando um contato que vc fez conosco, relacionado ao nosso software
através de um áudio pedi para me falar um pouco mais sonbre sua empresa e dores 
(25/02/2026) Agenda de apresentação AFV 
(12/03/2026) Rogério achou investimento alto para o momento  atual </t>
  </si>
  <si>
    <t>Teodoro cosméticos</t>
  </si>
  <si>
    <t>(14) 3541-6311</t>
  </si>
  <si>
    <t>agilassessoriacontabil@otmail.com</t>
  </si>
  <si>
    <t>PROMISSAO</t>
  </si>
  <si>
    <t xml:space="preserve">(12/03/2026) Rogério achou investimento alto para o momento  atual </t>
  </si>
  <si>
    <t xml:space="preserve">(26/02/2026) Tentativa de ligação não atendida 
09:13, 26/02/2026 Junior Lopes: Olá Junior, bom dia
09:13, 26/02/2026 Junior Lopes: aqui é Junior Lopes da Guarani sistemas, tudo bem ?
09:14, 26/02/2026 Junior Lopes: estou retornando um contato que você fez relacionado ao sistema Guarani
(26/02/2026) cliente não retorna aos contatos ! em breve pesquisa sobre a Revisão autopeças identifiquei que loja balcão ficando fora do perfil 
estou declinando </t>
  </si>
  <si>
    <t>revisao autopecas</t>
  </si>
  <si>
    <t>Revisao Autopeças</t>
  </si>
  <si>
    <t>(31) 8705-9607</t>
  </si>
  <si>
    <t>pratesctb@gmail.com</t>
  </si>
  <si>
    <t>CONTAGEM</t>
  </si>
  <si>
    <t>jlj transportes e locações</t>
  </si>
  <si>
    <t>Jlj transportes e locações</t>
  </si>
  <si>
    <t>jairocesar@jllcomserv.com.br</t>
  </si>
  <si>
    <t>26/02 Fiz Fiz FUP hoje com o Matheus e agendamos uma apresentação para quinta-feira dia 05/03 às 15h.
05/03 Fiz FUP com o Matheus e hoje temos uma apresentação as 15h par afalar de sistema. Ele tem uma distribuidora de alimentação animal. 
Tem 7 vendedores. já ancorei 50k de investimento
12/03 Fiz FUP hoje com o Matheus para saber se ele tem interesse em seguir 
20/03 Fiz contato com o Matues muitas vezes sem retorno e por falta de comunicação estou encerrado a oportunidade.</t>
  </si>
  <si>
    <t>Matheus</t>
  </si>
  <si>
    <t>(15) 3553-1307 / (15) 3553-1308</t>
  </si>
  <si>
    <t>matheusmarmodossantoslima@gmail.com</t>
  </si>
  <si>
    <t>RIBEIRAO BRANCO</t>
  </si>
  <si>
    <t>10/03 uilian me retornou avisou que vai manter a Mercos , devido a urgência que precisa referente a abertura da unidade São Paulo. Após essa necessidade ser atendida voltaremos a falar!</t>
  </si>
  <si>
    <t xml:space="preserve">uilian </t>
  </si>
  <si>
    <t>(44) 3045-3700</t>
  </si>
  <si>
    <t>uilian.gurjon@prats.com.br</t>
  </si>
  <si>
    <t>PARANAVAI</t>
  </si>
  <si>
    <t xml:space="preserve">Teodoro cosméticos - AFV  </t>
  </si>
  <si>
    <t xml:space="preserve">Teodoro cosméticos - Cloud </t>
  </si>
  <si>
    <t>Cristiana</t>
  </si>
  <si>
    <t>(49) 3665-3004</t>
  </si>
  <si>
    <t>IRACEMINHA</t>
  </si>
  <si>
    <t>ERP, AFV, ADICIONAIS, BI</t>
  </si>
  <si>
    <t>R$ 74.702,90</t>
  </si>
  <si>
    <t>R$ 12.216,08</t>
  </si>
  <si>
    <t xml:space="preserve">Encartelados Nina - Cloud </t>
  </si>
  <si>
    <t>Atavadão das Tripas - Cloud</t>
  </si>
  <si>
    <t>clean tech - cloud</t>
  </si>
  <si>
    <t>Clean tech - Cloud</t>
  </si>
  <si>
    <t>StarTools - Cloud</t>
  </si>
  <si>
    <t>27/02 Fiz apresentação do sistema e proposta para o cliente.
12/03 Fiz FUP hoje com Pamela para saber se seguiremos ou não.
20/03 Cobrando a Pamela para fazer o fechamento do projeto.</t>
  </si>
  <si>
    <t>Pamela</t>
  </si>
  <si>
    <t>26/02 Fiz FUP e agendei uma apresentação.
20/03 Buscando nova agenda com o Alexandre para o dia 27/03.</t>
  </si>
  <si>
    <t xml:space="preserve">Breno </t>
  </si>
  <si>
    <t>suporte.ti@kopermax.com.br</t>
  </si>
  <si>
    <t>02/03/2026 00:00</t>
  </si>
  <si>
    <t>19.03 Entrei em contato com a Karen, apresentação agendada para quarta as 9:30 
31.03 não tenho consultor disponivel para seguir com uma agenda com o cliente
07.04 - não tenho consultor disponivel para seguir com uma agenda com o cliente</t>
  </si>
  <si>
    <t>lojas veste 10</t>
  </si>
  <si>
    <t xml:space="preserve">KAREN STANGE </t>
  </si>
  <si>
    <t>(42) 3025-6309</t>
  </si>
  <si>
    <t>karen.stang@hotmail.com</t>
  </si>
  <si>
    <t>MAFRA</t>
  </si>
  <si>
    <t xml:space="preserve">17:05, 04/03/2026 Junior Lopes: Olá Marcelo ! Boa tarde
17:05, 04/03/2026 Junior Lopes: Junior da Guarani sistemas por aqui , Td bem ?
17:07, 04/03/2026 Junior Lopes: Estou retornando um contato que vc fez conosco ! Qual melhor horário para falarmos ?
17:14, 04/03/2026 Marcelo Plug Lar: opa blz.
17:14, 04/03/2026 Marcelo Plug Lar: joia junior
17:15, 04/03/2026 Junior Lopes: Td joia Marcelo
17:18, 04/03/2026 Marcelo Plug Lar: eu queria conhecer + sobre o sistema de vocês.
17:18, 04/03/2026 Marcelo Plug Lar: eu procuro algo básico
(09/03/2026) Buscando contato com Marcelo a fim de darmos sequencia 
(09/03/2026) Marcelo busca um software mais simples e com custo menor! </t>
  </si>
  <si>
    <t>Marcelo Camargo</t>
  </si>
  <si>
    <t>(19) 99623-4303</t>
  </si>
  <si>
    <t>marcelo@pluglar.com.br</t>
  </si>
  <si>
    <t>Rio Claro</t>
  </si>
  <si>
    <t xml:space="preserve">(09/03/2026) Marcelo busca um software mais simples e com custo menor! </t>
  </si>
  <si>
    <t>11/03 Foi feito a apresentação hoje do institucional e Guarani AFV.
Resumo:
Produtos : ERP + AFV + Televendas + MDe 
Opcionais: Comex, Cloud, CRM , B2B, HUB
Próximo passos: enviar uma proposta.
20/03 Fiz contato com o Ericson para saber se vamos seguir ou não.</t>
  </si>
  <si>
    <t>Ericson</t>
  </si>
  <si>
    <t>(43) 3056-3780</t>
  </si>
  <si>
    <t>escritorio@damiaoefilhos.com.br</t>
  </si>
  <si>
    <t>ARAPONGAS</t>
  </si>
  <si>
    <t>24.03 cliente enviou um documento de aderencia, porém a MArilia pediu uma reunião para falar sobre o documento e funcionalidades
15.04 Ficou fora da empresa esses 15 dias, acredita que hoje consegue avaliar todo material que mandei, retornar o contato na segunda</t>
  </si>
  <si>
    <t>Industria E Comercio Jolitex Ltda</t>
  </si>
  <si>
    <t>industria e comercio jolitex ltda</t>
  </si>
  <si>
    <t xml:space="preserve">(11) 3254-7100 </t>
  </si>
  <si>
    <t>atendimento@jolitex.com</t>
  </si>
  <si>
    <t>16:28, 06/03/2026 Valdinei vaeso: Entendi mas esta fora do que pretendo investir
16:28, 06/03/2026 Valdinei vaeso: Te agradeço
16:46, 06/03/2026 Junior Lopes: Qual é a sua ideia de investimento?
16:47, 06/03/2026 Valdinei vaeso: Não vou nem fazer proposta porque a proposta veio com valores altos de implementação e mentoria
16:47, 06/03/2026 Valdinei vaeso: Sistema parece intuitivo
16:47, 06/03/2026 Valdinei vaeso: E vi ontem e gostei
16:47, 06/03/2026 Valdinei vaeso: Preciso de força de vendas
16:56, 06/03/2026 Valdinei vaeso: Ok</t>
  </si>
  <si>
    <t>Vaeso Comercial Ltda</t>
  </si>
  <si>
    <t>(47) 9946-6330</t>
  </si>
  <si>
    <t>administrativo@qscontabilidade.com.br</t>
  </si>
  <si>
    <t>JOINVILLE</t>
  </si>
  <si>
    <t>06/03/2026</t>
  </si>
  <si>
    <t>(10/03/2026) Agenda para apresentação do ERP 12/03 
10:07, 14/04/2026 Luccas Globalmix: Bom dia meu amigo, tudo bem? 
Desculpe não te responder. Estou com alguns problemas de família e estive meio ausente. 
Analisamos sua proposta e infelizmente ficou muito acima do que estávamos planejando nesse momento. 
Desculpe a minha ignorância, mas não consegui compreender o motivo de um custo tão alto para a implementação de um ERP já existente. O custo que você me passou é basicamente o de desenvolver um novo sistema próprio. 
Infelizmente nessas condições é inviável para nós nesse momento. 
Agradeço pelo seu atendimento nas últimas semanas, foi extremamente atencioso. Espero que compreenda. 
Obrigado
10:15, 14/04/2026 Junior Lopes: Bom dia, Luccas, tudo bem?
Primeiro, espero que as coisas com sua família se resolvam da melhor forma possível. Fica tranquilo quanto ao retorno, eu entendo perfeitamente.
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
O que está incluso nesse investimento é justamente o que vai fazer o sistema “virar realidade” dentro da Globalmix:
– entendimento dos processos de vocês;
– parametrização do ERP para a realidade da empresa;
– construção/ajuste dos relatórios que vocês precisam;
– validação e homologação do funcionamento antes de ir para produção;
– integração com a Lisa Log;
– e, principalmente, treinamento da equipe e acompanhamento na virada, para que todo mundo use da forma correta e o projeto traga resultado.
Sem essa etapa de consultoria, o risco é ter um sistema bom, mas mal configurado ou pouco usado, o que acaba gerando retrabalho e perda de confiança na ferramenta – e é justamente isso que queremos evitar.
Dito isso, eu entendo totalmente a questão de orçamento. Se fizer sentido para você, eu posso:
1) rever o escopo para enxugar etapas e tentar adequar o investimento ao momento da Globalmix; ou
2) pensar em uma implantação por fases, começando pelo essencial (comercial + força de vendas + básico de estoque) e deixando integrações e aprofundamentos para uma segunda etapa.
Você se sentiria confortável em me dizer qual faixa de investimento vocês tinham planejado, para eu ver o que é possível ajustar com transparência?</t>
  </si>
  <si>
    <t>Crx Comercio, Importacao E Exportacao Ltda</t>
  </si>
  <si>
    <t xml:space="preserve">GlobalMIx </t>
  </si>
  <si>
    <t>(11) 9999-9999</t>
  </si>
  <si>
    <t>contabilgrupocrx@gmail.com</t>
  </si>
  <si>
    <t>10:07, 14/04/2026 Luccas Globalmix: Bom dia meu amigo, tudo bem? 
Desculpe não te responder. Estou com alguns problemas de família e estive meio ausente. 
Analisamos sua proposta e infelizmente ficou muito acima do que estávamos planejando nesse momento. 
Desculpe a minha ignorância, mas não consegui compreender o motivo de um custo tão alto para a implementação de um ERP já existente. O custo que você me passou é basicamente o de desenvolver um novo sistema próprio. 
Infelizmente nessas condições é inviável para nós nesse momento. 
Agradeço pelo seu atendimento nas últimas semanas, foi extremamente atencioso. Espero que compreenda. 
Obrigado
10:15, 14/04/2026 Junior Lopes: Bom dia, Luccas, tudo bem?
Primeiro, espero que as coisas com sua família se resolvam da melhor forma possível. Fica tranquilo quanto ao retorno, eu entendo perfeitamente.
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
O que está incluso nesse investimento é justamente o que vai fazer o sistema “virar realidade” dentro da Globalmix:
– entendimento dos processos de vocês;
– parametrização do ERP para a realidade da empresa;
– construção/ajuste dos relatórios que vocês precisam;
– validação e homologação do funcionamento antes de ir para produção;
– integração com a Lisa Log;
– e, principalmente, treinamento da equipe e acompanhamento na virada, para que todo mundo use da forma correta e o projeto traga resultado.
Sem essa etapa de consultoria, o risco é ter um sistema bom, mas mal configurado ou pouco usado, o que acaba gerando retrabalho e perda de confiança na ferramenta – e é justamente isso que queremos evitar.
Dito isso, eu entendo totalmente a questão de orçamento. Se fizer sentido para você, eu posso:
1) rever o escopo para enxugar etapas e tentar adequar o investimento ao momento da Globalmix; ou
2) pensar em uma implantação por fases, começando pelo essencial (comercial + força de vendas + básico de estoque) e deixando integrações e aprofundamentos para uma segunda etapa.
Você se sentiria confortável em me dizer qual faixa de investimento vocês tinham planejado, para eu ver o que é possível ajustar com transparência?</t>
  </si>
  <si>
    <t>26/03/2026</t>
  </si>
  <si>
    <t>irmãos capuci</t>
  </si>
  <si>
    <t>Irmãos Capuci</t>
  </si>
  <si>
    <t>joaoliloc@gmail.com</t>
  </si>
  <si>
    <t>(10/03/2026) em contato com Fernando 
11:24, 11/03/2026 Junior Lopes: Olá Fernando! Td bem ? 
Você tem interesse sem seguir com informações sobre a solução Guarani sistemas?</t>
  </si>
  <si>
    <t>fcabrasil</t>
  </si>
  <si>
    <t>Fcabrasil</t>
  </si>
  <si>
    <t>fernando@fcabrasil.com.br</t>
  </si>
  <si>
    <t xml:space="preserve">) declinando por falta de interação por parte do cliente </t>
  </si>
  <si>
    <t>10/03 Fiz contato e não obtive retorno deixei recado.
11/03 Fiz FUP hoje com o Ridalvo Donizeti sem sucesso.
12/3 Fiz varias ligações sem sucesso. Por falta de retorno encerrei o lead,.</t>
  </si>
  <si>
    <t>danrib</t>
  </si>
  <si>
    <t>Ridalvo Donizeti</t>
  </si>
  <si>
    <t>ridalvo.rossi@brdbtasil.com.br</t>
  </si>
  <si>
    <t>18.03 proposta apresentada no dia de hoje 
24.03 - não atendeu</t>
  </si>
  <si>
    <t>Artur Decker</t>
  </si>
  <si>
    <t>(47) 99699-9700</t>
  </si>
  <si>
    <t>artur@assessoriadecker.com</t>
  </si>
  <si>
    <t>Blumenau</t>
  </si>
  <si>
    <t xml:space="preserve">(10/03/2026) Em contato com Maxwel 
(27/03/2026) após analise cliente fica fora do perfil ! estamparia de camisetas, canecas e brindes em geral </t>
  </si>
  <si>
    <t>terra brasil</t>
  </si>
  <si>
    <t>Terra Brasil</t>
  </si>
  <si>
    <t>max.vendas@terrabrasilbrindes.com.br</t>
  </si>
  <si>
    <t xml:space="preserve">(27/03/2026) após analise cliente fica fora do perfil ! estamparia de camisetas, canecas e brindes em geral </t>
  </si>
  <si>
    <t>farmacia boa sorte</t>
  </si>
  <si>
    <t>Farmacia Boa Sorte</t>
  </si>
  <si>
    <t>farmaboasorte@gmail.com</t>
  </si>
  <si>
    <t>15/03 Feio FUP da apresentação da proposta.
20/03 Fiz FUP hoje com o Sergio cobrando ele sobre a proposta WMS se seguiremos.
20/03 Sergio me passou que o investimento ficou alto para o momento e que nao vai seguir.</t>
  </si>
  <si>
    <t>Sergio cdp</t>
  </si>
  <si>
    <t>(38) 99831-2605</t>
  </si>
  <si>
    <t>sergio.cdp00@gmail.com</t>
  </si>
  <si>
    <t>Reunião realizada 08.04.2024 presencial no cliente</t>
  </si>
  <si>
    <t>3D</t>
  </si>
  <si>
    <t>tufano@maquimp.com.br</t>
  </si>
  <si>
    <t>09/04/2026</t>
  </si>
  <si>
    <t>08/04/2026</t>
  </si>
  <si>
    <t xml:space="preserve">(10/03/2026) em contato com Bruno 
(10/03/2026) cliente informa que já fechou projeto com a Mercos </t>
  </si>
  <si>
    <t>brota company</t>
  </si>
  <si>
    <t>(11) 94075-6696</t>
  </si>
  <si>
    <t>bruno.arouca@brotacompany.com.br</t>
  </si>
  <si>
    <t xml:space="preserve">(10/03/2026) cliente informa que já fechou projeto com a Mercos </t>
  </si>
  <si>
    <t>Falei com o Rodrigo, são umdistribuidor de autopeças de Bauru, vieram por inidicação da Ad&amp;Ad. 
Atualmente as vendas são por MKPlace e mercado livre, e possuem vendas internas telemarketing
Trabalha com a parte especial, falamos sobre financeiro, fiscal, estoque. e pedidos decompras 
Pediu uma estimativa de valores, porque atualmente é ele e um sócio, e precisa discutir com o Sócio para ver se vai avançar por causa do investimento, só que o sócio não esta essa semana 
Então combinamos de falar na proxima semana (23/03)</t>
  </si>
  <si>
    <t>4 distribuidora</t>
  </si>
  <si>
    <t>rodrigo</t>
  </si>
  <si>
    <t>(14) 99701-3009</t>
  </si>
  <si>
    <t>compras@s4distribuidora.com.br</t>
  </si>
  <si>
    <t>Bauru</t>
  </si>
  <si>
    <t>ERP, ADICIONAIS, CLOUD</t>
  </si>
  <si>
    <t>crx comercio, importacao e exportacao ltda</t>
  </si>
  <si>
    <t>Luccas Nassif</t>
  </si>
  <si>
    <t>(11) 98873-6515</t>
  </si>
  <si>
    <t>luccas.nassif@globalmix.com.br</t>
  </si>
  <si>
    <t xml:space="preserve">(11/03/2026) Agenda de apresentação para 17/03/2026
(30/03/2026) Alinhando visita presencial com Thiago </t>
  </si>
  <si>
    <t>Banana Toys Ltda</t>
  </si>
  <si>
    <t>(15) 3283-5196</t>
  </si>
  <si>
    <t>faturamento@bananatoys.com.br</t>
  </si>
  <si>
    <t>20/03/2026</t>
  </si>
  <si>
    <t>20/03 Cobrei o Everton sobre a posição sobre a proposta comercial e se seguiremos e se existe algum impedimento.</t>
  </si>
  <si>
    <t>EVERTON MARINI GAVIAO</t>
  </si>
  <si>
    <t>(17) 3342-1605</t>
  </si>
  <si>
    <t>comercialgaviao@bol.com.br</t>
  </si>
  <si>
    <t>BEBEDOURO</t>
  </si>
  <si>
    <t>12/03/2026 00:00</t>
  </si>
  <si>
    <t xml:space="preserve">(20/03/2026) contato com  Ramos a fim de seguirmos com negociações </t>
  </si>
  <si>
    <t>Euroquadros Industria Importacao E Exportacao Ltda</t>
  </si>
  <si>
    <t>(47) 3515-3000</t>
  </si>
  <si>
    <t>contabil@fratelliinox.com.br</t>
  </si>
  <si>
    <t>BARRA VELHA</t>
  </si>
  <si>
    <t>30.03 Lidi, boa tarde!
Vamos agendar quarta às 15h
Meu gerente de projetos que vai fazer, assim já consigo matar WMS, ERP, PDV, todo processo de estoque futuro e importação
07.04 2° parte da reunião ficou para sexta 10/04
13.04 apresentação realizada, proxima etapa apresentação da proposta, aguardar avaliação do Paulo quanto ao serviço de cloud</t>
  </si>
  <si>
    <t>Simao Distribuidora De Embalagens Descartaveis Ltda</t>
  </si>
  <si>
    <t>(24) 3325-7650</t>
  </si>
  <si>
    <t>legalizacao@mastermaxcontabilidade.com.br</t>
  </si>
  <si>
    <t>10/04/2026</t>
  </si>
  <si>
    <t>12/03 Fiz FUP com o Renan e ele avisou que a Vera esta em viagem retornando vamos agendar uma apresentação.
12/03 Fiz FUP com o cliente e marcamos reunião para dia 18/03 as 15h.
20/03 Conversei com o Renan para saber qual a nova data para fazer a apresentação.</t>
  </si>
  <si>
    <t>mundial importacao e exportacao ltda</t>
  </si>
  <si>
    <t xml:space="preserve">Vera Lucia </t>
  </si>
  <si>
    <t>(47) 3075-0552</t>
  </si>
  <si>
    <t>financeiro@mundialimpexp.com.br</t>
  </si>
  <si>
    <t>(16/03/2026) Agenda de apresentação para dia 17/03/2026</t>
  </si>
  <si>
    <t>brisa artes industria e comercio ltda</t>
  </si>
  <si>
    <t xml:space="preserve">Brisa Artes </t>
  </si>
  <si>
    <t>marcos@mairinckcontabil.com.br</t>
  </si>
  <si>
    <t xml:space="preserve">09:04, 13/03/2026 Junior Lopes: Olá Victor, bom dia
09:04, 13/03/2026 Junior Lopes: sou Junior Lopes da Guarani sistemas, td bem ?
09:05, 13/03/2026 Junior Lopes: estou retornando um contato que vc fez conosco relacionado ao nosso software de gestão Guarani sistemas
(13/03/2026) Aós tentativa de ligação e contato ! nenhuma respondida 
estou descartando a oportunidade pois o nome da empresa mencionado não existe e demais informações preenchidas sem dados concretos ! por informar que tem um faturamento abaixo de 200K mensal fica fora do nosso perfil </t>
  </si>
  <si>
    <t>nemoaprds</t>
  </si>
  <si>
    <t>Nemoaprds</t>
  </si>
  <si>
    <t>vitorborgessilva333@gmail.com</t>
  </si>
  <si>
    <t xml:space="preserve">(13/03/2026) Aós tentativa de ligação e contato ! nenhuma respondida 
estou descartando a oportunidade pois o nome da empresa mencionado não existe e demais informações preenchidas sem dados concretos ! por informar que tem um faturamento abaixo de 200K mensal fica fora do nosso perfil </t>
  </si>
  <si>
    <t>17/03 - Nova Maringa - Amazonia Sistemas
Empresa de vendas e locação de maquinas agricolas, procura um softaware onde possa acompanhar a svedas, criar promnoções/campanhas, realizar OS para manutenções das maquinas. 
Possui PDV 
Apresentação agendada para terça 24/03 as 15h
25/03 achou o valor de investimento alto</t>
  </si>
  <si>
    <t>soberana agrorural</t>
  </si>
  <si>
    <t>Giovani luiz Agrorural Ltda</t>
  </si>
  <si>
    <t>(66) 8101-6884</t>
  </si>
  <si>
    <t>soberanaagrorural@hotmail.com</t>
  </si>
  <si>
    <t>NOVA MARINGA</t>
  </si>
  <si>
    <t>24/03/2026</t>
  </si>
  <si>
    <t xml:space="preserve">(13/03/2026) em contato com Juraci a fim de retomar assunto sobre força de vendas 
(12/03/2026) em contato com Juraci, informou que vamos voltar a falar no final do ano ! devido a sua alta demanda de vendas nesse período inviabilizou o projeto nesse momento </t>
  </si>
  <si>
    <t xml:space="preserve">Gola Comercial </t>
  </si>
  <si>
    <t>cliente não tem mais tempo para mudança esse ano , ficará para final do ano 2026</t>
  </si>
  <si>
    <t>18.03 apresentação agendada para segunda 24/03
30.03 - como é uma empresa pequena de 1 ano, não consegue dar andamento agora 
mas vão estudar para o futuro</t>
  </si>
  <si>
    <t>Verti Flores E Plantas Permanentes Ltda</t>
  </si>
  <si>
    <t xml:space="preserve">(47) 9214-8117 </t>
  </si>
  <si>
    <t>societario@rmxcontabilidade.com.br</t>
  </si>
  <si>
    <t>23/03/2026</t>
  </si>
  <si>
    <t xml:space="preserve">(17/03/2026) em contato com Junior ! A Otmiza busca um software para gerenciamento de obras com controle de contratos e ordens de serviço </t>
  </si>
  <si>
    <t>otimiza</t>
  </si>
  <si>
    <t>Otimiza</t>
  </si>
  <si>
    <t>pelissari.otimiza@gmail.com</t>
  </si>
  <si>
    <t>19.03 Pediu uma estimativa de valor, e achou o investimento muito alto para o faturamento anual da empresa</t>
  </si>
  <si>
    <t>javeh</t>
  </si>
  <si>
    <t>Javeh</t>
  </si>
  <si>
    <t>atadeu7@gmail.com</t>
  </si>
  <si>
    <t xml:space="preserve">(17/03/2026) em contato com Diego ! a Biricutico é um deposito de bebidas com venda balcão para pessoa física </t>
  </si>
  <si>
    <t>biricutico</t>
  </si>
  <si>
    <t>Biricutico</t>
  </si>
  <si>
    <t>diegosart@gmail.com</t>
  </si>
  <si>
    <t xml:space="preserve">Falei com o Marcelo são uma distribuidora de descartaveis e estão buscando um software. 
30.03 - esta viajando, pediu retorno na proxima semana
Passei informações sobre a Guarani, e enviei nossa apresentação, hoje vão ter uma reunião interna para saber quais sistemas que vão 18/03 agendar uma apresentação 
30.03 - Falou que esta em viagem, pediu para retornar
07.03 - não estou tendo nenhum retorno </t>
  </si>
  <si>
    <t>Plus atacadista</t>
  </si>
  <si>
    <t>(62) 8318-2116/ (0000) 0000-0000</t>
  </si>
  <si>
    <t>diretor@staratacadista.com.br</t>
  </si>
  <si>
    <t>GOIANIA</t>
  </si>
  <si>
    <t>18/03 Liguei para o Tiago não atendeu. Deixei recado no whatsapp !
18/03 Tiago retorno por audio e falou que essa semana está ocupado e não consegue falar. Vai me retornar ate o fim da semana.
20/03 Após conversa com o Tiago ele avisou que essa semana esta inviável para falar que conversamos semana que vem.</t>
  </si>
  <si>
    <t>master consultorias em vedacoes industriais</t>
  </si>
  <si>
    <t>mastervedacoesind@gmail.com</t>
  </si>
  <si>
    <t>18/03 Liguei para o Dimitrius e ele estava viajando hoje, vai me retornar ainda esta semana.
18/03 Dimitrius retornou o áudio, avisou que vai me retornar assim que terminar a viagem que faz hoje.
20/03 Fiz uma conversa com Demétrius para entender o cenário dele e alinhamos que ele vai preencher o formulário e depois disso fazer uma apresentação.</t>
  </si>
  <si>
    <t>colonia hortifruti</t>
  </si>
  <si>
    <t>Dimitrius</t>
  </si>
  <si>
    <t>dimigrintzos@gmail.com</t>
  </si>
  <si>
    <t xml:space="preserve">14:10, 16/03/2026 Junior Lopes: Olá Rogerio, boa tarde ! 
(27/03/2026) após varias tentativas sem retorno do Rogério , declinando oportunidade
Sou Junior Lopes da Guarani sistemas
14:11, 16/03/2026 Junior Lopes: estou retornando um contato que vc fez conosco
12:18, 19/03/2026 Junior Lopes: OLá Rogério ! tudo Bem ?
12:19, 19/03/2026 Junior Lopes: tem interesse em dar continuidade ?
(06/04/2026) varias tentativas de contato sem retorno </t>
  </si>
  <si>
    <t>vivazhigienização</t>
  </si>
  <si>
    <t>Vivazhigienização</t>
  </si>
  <si>
    <t>progeriogomesxavier@gmail.comp</t>
  </si>
  <si>
    <t xml:space="preserve">cliente não responde aos contatos </t>
  </si>
  <si>
    <t>master</t>
  </si>
  <si>
    <t>Master</t>
  </si>
  <si>
    <t>anibalsmoura@gmail.com</t>
  </si>
  <si>
    <t>30.03 Tinhamos agendado uma apresentação na sexta-feira (27/03) porém o Vagner consultor da Guarani Cancelou e não avisaram o setor comercial. 
Ao passar a informação de ultima hora de cancelamento para o cliente, não consegui reverte o atendimento 
Cliente encerrou o contato com a Guarani Sistemas</t>
  </si>
  <si>
    <t>aalquimya</t>
  </si>
  <si>
    <t>(48) 99677-1211</t>
  </si>
  <si>
    <t>bruno@alquimya.com.br</t>
  </si>
  <si>
    <t>Florianópolis</t>
  </si>
  <si>
    <t>ERP, AFV, PCP</t>
  </si>
  <si>
    <t xml:space="preserve">(23/06/2026) em contato com Leandro , atualmente o perfil é uma padaria e uma fabrica de pequeno porte de pão de alho ! enviei uma estimativa de valores mas achou que para o momento esta muito acima  </t>
  </si>
  <si>
    <t>pão de alho</t>
  </si>
  <si>
    <t>Pão de alho</t>
  </si>
  <si>
    <t>therabyte_go@hotmail.com</t>
  </si>
  <si>
    <t xml:space="preserve"> (23/06/2026) em contato com Leandro , atualmente o perfil é uma padaria e uma fabrica de pequeno porte de pão de alho ! enviei uma estimativa de valores mas achou que para o momento esta muito acima  </t>
  </si>
  <si>
    <t>18/03 Liguei para o Celso e ele não atendeu deixei recado no zap.</t>
  </si>
  <si>
    <t>inovapet</t>
  </si>
  <si>
    <t>gerencia@inovapet.com.br</t>
  </si>
  <si>
    <t xml:space="preserve">Cliente entrou em contato pelo suporte pedindo contato comercial apra falar sobre software, tentie ligar e mandie msg mas ainda não me retornou 
31.03 - não atendeu, </t>
  </si>
  <si>
    <t>inovapet industria e comercio de embalagens ltda</t>
  </si>
  <si>
    <t>(21) 3451-9599</t>
  </si>
  <si>
    <t>inovapet.adm@gmail.com</t>
  </si>
  <si>
    <t>19.03 - CLiente estava em reunião, retornar o contato
20.03 cliente respondeu o formulário tentando agendar uma apresentação do ERp para o dia 31/03
30/03 - Fiz vários contato com o cliente para agendar uma apresentação e não tive retorno</t>
  </si>
  <si>
    <t>a2 tecnologia industrial</t>
  </si>
  <si>
    <t>Vinicius Primo</t>
  </si>
  <si>
    <t>(19) 99959-1568</t>
  </si>
  <si>
    <t>engenharia@a2industrial.com.br</t>
  </si>
  <si>
    <t xml:space="preserve">(27/03/2026) Flavio não responde aos contatos </t>
  </si>
  <si>
    <t>fm negocios</t>
  </si>
  <si>
    <t>FM Negocios</t>
  </si>
  <si>
    <t>fmsallas@gmail.com</t>
  </si>
  <si>
    <t xml:space="preserve">Flavio não responde aos contatos </t>
  </si>
  <si>
    <t>18/03 Fiz contato com o Itamar, sem retorno ate o momento.
20/03 Falei com o Itamar esta na unimed ficamos de falar na próxima semana.</t>
  </si>
  <si>
    <t>concreps</t>
  </si>
  <si>
    <t>Concreps</t>
  </si>
  <si>
    <t>itamarbuenoadv@gmail.com</t>
  </si>
  <si>
    <t>19.03 - Tentei contato por telefone, ligação por whatsapp e mensagem. 
20.03 Convite enviado para Quarta (25/03) as 15h
Segue o link também:
https://teams.microsoft.com/meet/25533981257135?p=HZgs0XbZOVQrxgr3rL
24/03Realizamos uma apresentação do ERP, mas como o cliente é logista pediu uma previsão de investimento e achou o valor acima</t>
  </si>
  <si>
    <t>Auto peças taurus</t>
  </si>
  <si>
    <t>gustavoandreh@yahoo.com.br</t>
  </si>
  <si>
    <t>11:55, 19/03/2026 Junior Lopes: Faz sentido para vocês ?
11:56, 19/03/2026 +55 35 9839-4949: Acredito que nao
12:02, 19/03/2026 +55 35 9839-4949: Distribuidor
12:02, 19/03/2026 +55 35 9839-4949: Frutas e legumes
12:03, 19/03/2026 Junior Lopes: E vc tem vendedores externos ?
12:09, 19/03/2026 +55 35 9839-4949: Somente 1</t>
  </si>
  <si>
    <t>grupo kimura</t>
  </si>
  <si>
    <t>Grupo Kimura</t>
  </si>
  <si>
    <t>veniltonsouza@hotmail.com</t>
  </si>
  <si>
    <t xml:space="preserve">Cliente de porte muito pequeno </t>
  </si>
  <si>
    <t xml:space="preserve">20.03 - Oi Raysa, bem e você?
Estou em viagem e só volto no final da próxima semana. 
Podemos deixar para o meu retorno?
23.03 esta em viagem e retorna no final da proxima semana, agendando contato
31.03 retomamos o contato hoje 
06.04 Eduardo pediu para entrar em contato com o Rafael, preciso entender o negócio deles. </t>
  </si>
  <si>
    <t>hidroar industria quimica</t>
  </si>
  <si>
    <t>Aquatrat</t>
  </si>
  <si>
    <t>eduardo@aquatrat.com.br</t>
  </si>
  <si>
    <t xml:space="preserve">20.03 não atendeu
Boa tarde Jairo, tudo bem?
Meu nome é Rayssa, sou da Guarani Sistemas, estou retornando seu contato interessado em software para a empresa VENTMAR Ventilação
podemos falar?
23.03 achou o investimento alto, é uma loja de bairro </t>
  </si>
  <si>
    <t>ventmar ventilacao</t>
  </si>
  <si>
    <t>VENTMAR Ventilacao</t>
  </si>
  <si>
    <t>jairodsm@gmail.com</t>
  </si>
  <si>
    <t xml:space="preserve">(27/03/2026) Após varias tentativas de contato com Afabio sem retorno ! estou declinando oportunidade </t>
  </si>
  <si>
    <t>vilela &amp; vilela ltda</t>
  </si>
  <si>
    <t>Vilela &amp; Vilela Ltda</t>
  </si>
  <si>
    <t>afabio2016@gmail.com</t>
  </si>
  <si>
    <t>Para</t>
  </si>
  <si>
    <t>Instagram;Fora Perfil;Perfil Indefinido</t>
  </si>
  <si>
    <t xml:space="preserve">Após varias tentativas de contato com Afabio sem retorno ! estou declinando oportunidade </t>
  </si>
  <si>
    <t xml:space="preserve">24.03 - não consegui contato
06.04 - telefone não atende
11:28, 31/03/2026 Rayssa Karapeticov - Comercial - Guarani Sistemas: Bom dia Lucas, como vai?
Meu nome é Rayssa, sou da Guarani Sistemas. 
Estou tentando contato com você para entender como as soluções da Guarani Sistemas podem atender a MaisMendes Distribuidora Materiais para construção
11:56, 06/04/2026 Rayssa Karapeticov - Comercial - Guarani Sistemas: Boa tarde Lucas, tudo bem? 
Meu nome é Rayssa, sou da Guarani Sistemas. 
Ainda faz sentido a procura de uma solução para sua empresa?
07.4 </t>
  </si>
  <si>
    <t>maismendes distribuidora materiais para construção</t>
  </si>
  <si>
    <t>MaisMendes Distribuidora Materiais para construção</t>
  </si>
  <si>
    <t>lucasmatheusmendes@outlook.com</t>
  </si>
  <si>
    <t xml:space="preserve">(23/03/2026) contato com Rafael 
(27/03/2026) Rafael não responde aos contato </t>
  </si>
  <si>
    <t>distribom</t>
  </si>
  <si>
    <t>DISTRIBOM</t>
  </si>
  <si>
    <t>rafaeldebossan@gmail.com</t>
  </si>
  <si>
    <t>VILA VELHA</t>
  </si>
  <si>
    <t>ES</t>
  </si>
  <si>
    <t xml:space="preserve">(27/03/2026) Rafael não responde aos contato </t>
  </si>
  <si>
    <t>Preciza Imports</t>
  </si>
  <si>
    <t xml:space="preserve">(31/03/2026) Reciclanorte  tem algumas particularidades que fogem do nosso ERP </t>
  </si>
  <si>
    <t>reciclanorte</t>
  </si>
  <si>
    <t xml:space="preserve">Mateus Ramos </t>
  </si>
  <si>
    <t>(38) 9968-0779</t>
  </si>
  <si>
    <t>reciclanorte2@gmail.com</t>
  </si>
  <si>
    <t>PONTO CHIQUE</t>
  </si>
  <si>
    <t>Contato;Fora Perfil</t>
  </si>
  <si>
    <t xml:space="preserve">GlobalMix - Cloud </t>
  </si>
  <si>
    <t>GlobalMix - B2B</t>
  </si>
  <si>
    <t>31.03 caixa postal: Bom dia Murilo, como vai?
Meu nome é Rayssa, sou da Guarani Sistemas. 
Estou tentando contato com você para entender como as soluções da Guarani Sistemas podem atender a JUNDCOAT
07.04 caixa postal</t>
  </si>
  <si>
    <t>jundcoat</t>
  </si>
  <si>
    <t>JUNDCOAT</t>
  </si>
  <si>
    <t>murilo@jundcoat.com.br</t>
  </si>
  <si>
    <t>Itupeva</t>
  </si>
  <si>
    <t xml:space="preserve">(26/03/2026) em contato com Joel </t>
  </si>
  <si>
    <t>indukraft industria e comercio de embalagens ltda</t>
  </si>
  <si>
    <t>indukraft</t>
  </si>
  <si>
    <t>joel@indukraft.com.br</t>
  </si>
  <si>
    <t>30.03 pediu uma apresentação e valores. 
Falei que preciso conhecer a empresa dele e entender a razão de procurar um novo software para empresa
Estavamos avançando com a conversa
01.04 - Não atendeu 
Boa tarde Milton, tudo bem?
Fez sentido para sua operação as informações que passei?
06.04 - não atende e não retorna contato</t>
  </si>
  <si>
    <t>b&amp;g comércio</t>
  </si>
  <si>
    <t>B&amp;G Comércio de Sinalização e Materiais de Construção</t>
  </si>
  <si>
    <t>milton-bernardo@uol.com.br</t>
  </si>
  <si>
    <t>Caieiras</t>
  </si>
  <si>
    <t>30.03 - lojista de material de construção</t>
  </si>
  <si>
    <t>leondilmo mat const ltda</t>
  </si>
  <si>
    <t>Leondilmo mat const ltda</t>
  </si>
  <si>
    <t>leondilmo@hotmail.com</t>
  </si>
  <si>
    <t xml:space="preserve">(30/03/2026) Alinhando visita presencial com Thiago </t>
  </si>
  <si>
    <t xml:space="preserve">Banana Toys - Cloud </t>
  </si>
  <si>
    <t xml:space="preserve">Util Ud - PCP / WMS </t>
  </si>
  <si>
    <t>30/03/2026 00:00</t>
  </si>
  <si>
    <t>19/03/2026</t>
  </si>
  <si>
    <t xml:space="preserve">Weck - Horas </t>
  </si>
  <si>
    <t xml:space="preserve">Claudio achou o valor muito acima para investimento </t>
  </si>
  <si>
    <t xml:space="preserve">Casabella Claudio Teixeira - Cloud </t>
  </si>
  <si>
    <t>31.03 - Caixa Postal - Bom dia Anderson, como vai?
Meu nome é Rayssa, sou da Guarani Sistemas. 
Estou tentando contato com você para entender como as soluções da Guarani Sistemas podem atender a Distribuidora Anderson Corrado
01.04 - caixa postal
07.04 encerrando por falta de retorno</t>
  </si>
  <si>
    <t>distribuidora anderson corrado</t>
  </si>
  <si>
    <t>Anderson Corrado</t>
  </si>
  <si>
    <t>andersoncorrado@gmail.com</t>
  </si>
  <si>
    <t xml:space="preserve">(31/03/2026) cliente de loja porte pequeno , fora do perfil </t>
  </si>
  <si>
    <t>nat art papelaria</t>
  </si>
  <si>
    <t>cricanicolete@gmail.com</t>
  </si>
  <si>
    <t>Sorocaba</t>
  </si>
  <si>
    <t xml:space="preserve">(31/03/2026) em contato com Fernando 
(06/04/2026) declinando por falta de retorno </t>
  </si>
  <si>
    <t>forte e limpo</t>
  </si>
  <si>
    <t>Forte e Limpo</t>
  </si>
  <si>
    <t>(73) 3027-3546</t>
  </si>
  <si>
    <t>forteelimpo@gmail.com</t>
  </si>
  <si>
    <t>ITABUNA</t>
  </si>
  <si>
    <t xml:space="preserve">(06/04/2026) declinando por falta de retorno </t>
  </si>
  <si>
    <t>31.03 é uma corretora e agentes de seguros, de planos de previdência complementar e de saúde.</t>
  </si>
  <si>
    <t>finance coop</t>
  </si>
  <si>
    <t>Finance coop LTDA</t>
  </si>
  <si>
    <t>(21) 9310-5614</t>
  </si>
  <si>
    <t>financecorporacao@gmail.com</t>
  </si>
  <si>
    <t xml:space="preserve">Baag - Cloud </t>
  </si>
  <si>
    <t>(75) 3021-7768</t>
  </si>
  <si>
    <t>Baag - Televendas</t>
  </si>
  <si>
    <t>26/03/2026 00:00</t>
  </si>
  <si>
    <t xml:space="preserve">(01/04/2026) Badux é uma auto elétrica que que faz manutenção e venda de peças no balcão (lojista)  </t>
  </si>
  <si>
    <t>badux auto eletrica pecas e servicos</t>
  </si>
  <si>
    <t>Badux auto eletrica</t>
  </si>
  <si>
    <t>(95) 9142-2588</t>
  </si>
  <si>
    <t>fabianoggsilva@hotmail.com</t>
  </si>
  <si>
    <t>BOA VISTA</t>
  </si>
  <si>
    <t>RR</t>
  </si>
  <si>
    <t xml:space="preserve">(07/04/2026) tentativas de contato sem sucesso , em analise sobre verifiquei que é um empresa de lavanderia ! fora do perfil </t>
  </si>
  <si>
    <t>lavanderia e tinturaria lavinorte ltda.</t>
  </si>
  <si>
    <t>Ciape Distribuidora De Peças</t>
  </si>
  <si>
    <t>rodrigo@lavinorte.com.br</t>
  </si>
  <si>
    <t>06.04 Liguei, pediu para chamar no whatsapp
Boa tarde Leandro, tudo bem?
Meu nome é Rayssa, sou da Guarani Sistemas. 
Acabei de te liga rpara entender sua necessidade quanton as soluções da Guarani Sistemas. 
Como posso te ajudar?</t>
  </si>
  <si>
    <t>tecalhas ind. com. ferragens em geral</t>
  </si>
  <si>
    <t>Tecalhas</t>
  </si>
  <si>
    <t>(32) 3551-6365</t>
  </si>
  <si>
    <t>contato@realcontabilidadevrb.com.br</t>
  </si>
  <si>
    <t>VISCONDE DO RIO BRANCO</t>
  </si>
  <si>
    <t>Sem contato com a persona principal</t>
  </si>
  <si>
    <t xml:space="preserve">(06/04/2026) em contato com Thamires 
(06/04/2026) Thamires não responde a ligação e e mensagens ! estou descartando o lead , falta muita informação como a razão social do cliente, endereço , CNPJ ! impossível fazer  uma pesquisa sobre o cliente </t>
  </si>
  <si>
    <t>eletro+</t>
  </si>
  <si>
    <t>Eletro+</t>
  </si>
  <si>
    <t>thamirestelleseriscado@hotmail.com</t>
  </si>
  <si>
    <t xml:space="preserve">(06/04/2026) Thamires não responde a ligação e e mensagens ! estou descartando o lead , falta muita informação como a razão social do cliente, endereço , CNPJ ! impossível fazer  uma pesquisa sobre o cliente </t>
  </si>
  <si>
    <t>06.04 - telefone errado</t>
  </si>
  <si>
    <t>pra mim mesmo</t>
  </si>
  <si>
    <t>t.marcio@hotmail.com</t>
  </si>
  <si>
    <t xml:space="preserve">(06/04/2026) Coelhos identificado como fora do perfil , executa trabalhos de automação de portaria e vendas de computadores para cliente pessoa física </t>
  </si>
  <si>
    <t>coelhos automacao</t>
  </si>
  <si>
    <t>Coelhos Automação</t>
  </si>
  <si>
    <t>vilmar@coelhosautomacao.com.br</t>
  </si>
  <si>
    <t xml:space="preserve">baag - bi </t>
  </si>
  <si>
    <t xml:space="preserve">Baag - BI </t>
  </si>
  <si>
    <t>helpdesk@bahiagrafica.com.br</t>
  </si>
  <si>
    <t>08/04/2026 00:00</t>
  </si>
  <si>
    <t xml:space="preserve">(09/04/2026) Prospecção , buscando contato para conexão e apresentação das soluções ERP e Força de vendas </t>
  </si>
  <si>
    <t>eduardo marino coelho</t>
  </si>
  <si>
    <t>EDUARDO MARINO COELHO</t>
  </si>
  <si>
    <t>(09/04/2026) Em contato com Jaison (TI) 
09:49, 09/04/2026 Junior Lopes: Olá Jaison ! Bom dia meu amigo ! 
Junior da Guarani sistemas por aqui
09:49, 09/04/2026 Junior Lopes: Há um tempo fizemos uma apresentação da solução de força de vendas para a Unitermi e fiquei curioso para saber como vocês estão hoje com esse tipo de solução.
Estão utilizando alguma ferramenta atualmente?
Vejo que ainda podemos ajudar bastante na organização dos pedidos, acompanhamento da equipe de vendas em campo e melhoria dos resultados. Se fizer sentido, posso agendar uma conversa rápida para entendermos o momento de vocês e mostrar como podemos apoiar.
Contato com Danieli (Comercial)
09:51, 09/04/2026 Junior Lopes: Olá Danieli , bom dia 
Junior da Guarani sistemas por aqui ! Td bem ?
09:52, 09/04/2026 Junior Lopes: Alguns meses atrás apresentei nossa solução de força de vendas para a Unitermi e fiquei pensando em como está hoje o processo comercial de vocês: pedidos, roteiros, acompanhamento da equipe externa etc.
Vocês já estão com alguma solução implantada ou ainda avaliam opções?
10:12, 09/04/2026 Unitermi Danieli: Jaison Unitermi TI
10:12, 09/04/2026 Unitermi Danieli: Bom dia
10:12, 09/04/2026 Unitermi Danieli: Favor contatar o responsável da Ti
10:12, 09/04/2026 Unitermi Danieli: Obrigada</t>
  </si>
  <si>
    <t>unitermi</t>
  </si>
  <si>
    <t xml:space="preserve">Unitermi indústria </t>
  </si>
  <si>
    <t>sup.comercial@unitermi.com.br</t>
  </si>
  <si>
    <t>PAULO LOPES</t>
  </si>
  <si>
    <t>(09/04/2026) em contato com Daniel 
10:38, 09/04/2026 Junior Lopes: Olá Daniel ! Bom dia , Júnior Lopes da Guarani sistemas por aqui
10:38, 09/04/2026 Junior Lopes: Algum tempo atrás apresentei nossa solução de força de vendas para Martiplast e fiquei pensando em como está o processo comercial de vocês ?
10:38, 09/04/2026 Junior Lopes: Que tal rever nossas soluções?</t>
  </si>
  <si>
    <t>Martiplast Industria E Comercio De Plasticos Ltda</t>
  </si>
  <si>
    <t>martiplast industria e comercio de plasticos ltda</t>
  </si>
  <si>
    <t>(54) 2101-9090</t>
  </si>
  <si>
    <t>diego.borges@martiplast.com.br</t>
  </si>
  <si>
    <t>10.04 Liguei ficou na caixa postal 
Bom dia Vidal, tudo bem?
meu nome é Rayssa, sou da Guarani Sistemas. 
Tentei contato com você para falarmos das soluções de software para sua empresa. 
Qual melhor horario para te retornar?</t>
  </si>
  <si>
    <t>vidal</t>
  </si>
  <si>
    <t>Vidal</t>
  </si>
  <si>
    <t>g.vidal0220@gmail.com</t>
  </si>
  <si>
    <t xml:space="preserve">(10/04/2026) Buscando contato com Belmar </t>
  </si>
  <si>
    <t>metalurgica valentini ltda</t>
  </si>
  <si>
    <t>METALÚRGICA VALENTINI LTDA</t>
  </si>
  <si>
    <t>(54) 3321-5204 / (54) 3321-5204</t>
  </si>
  <si>
    <t>metalvalentini@gmail.com</t>
  </si>
  <si>
    <t xml:space="preserve">tentativas de contato sem retorno  do Sr. Belmar </t>
  </si>
  <si>
    <t xml:space="preserve">(10/04/2026) em contato com Danyllo buscando agenda para um bate papo </t>
  </si>
  <si>
    <t>camelo distribuidora</t>
  </si>
  <si>
    <t>Camelo distribuidora</t>
  </si>
  <si>
    <t>danyllogac@hotmail.com</t>
  </si>
  <si>
    <t>compec auto pecas</t>
  </si>
  <si>
    <t>Cleber vieira teles</t>
  </si>
  <si>
    <t>(15) 9800-0087</t>
  </si>
  <si>
    <t>vieira_teles@hotmail.com</t>
  </si>
  <si>
    <t>PORTO FELIZ</t>
  </si>
  <si>
    <t xml:space="preserve">Todos os dados preenchidos:
empresa: Grupo Marcamix 
name: Ismael Ramos 
cargo: Analista de Sistemas 
whatsapp: 11960590527 
email: suporte@marcamix.com.br </t>
  </si>
  <si>
    <t>marca mix (comex)</t>
  </si>
  <si>
    <t>Ismael Ramos</t>
  </si>
  <si>
    <t>suporte@marcamix.com.br</t>
  </si>
  <si>
    <t>comex</t>
  </si>
  <si>
    <t>magazine raissa</t>
  </si>
  <si>
    <t>Romulo</t>
  </si>
  <si>
    <t>romulomelo2009@gmai.com</t>
  </si>
  <si>
    <t>jh navegação e logística ltda</t>
  </si>
  <si>
    <t>JH Navegação e Logística Ltda</t>
  </si>
  <si>
    <t>hayliebarbosa1@gmail.com</t>
  </si>
  <si>
    <t>marlim azul turismo</t>
  </si>
  <si>
    <t>Marlim Azul Turismo</t>
  </si>
  <si>
    <t>heber@marlimazulturismo.com.br</t>
  </si>
  <si>
    <t>Serra ES</t>
  </si>
  <si>
    <t xml:space="preserve">empresa fora do perfil </t>
  </si>
  <si>
    <t>10.04 - Caixa postal 
Bom dia Claudio , como vai?
Meu nome é Rayssa, sou da Guarani Sistemas. 
Tentei contato com você para falarmos de sua necessidade de implantação de um novo software para sua empresa.
Qual melhor horario para te retornar?</t>
  </si>
  <si>
    <t>mercado do bairro</t>
  </si>
  <si>
    <t>Mercado do bairro</t>
  </si>
  <si>
    <t>mercadobairro11@gmail.com</t>
  </si>
  <si>
    <t>mercado</t>
  </si>
  <si>
    <t xml:space="preserve">(10/04/2026) em contato com Guri a fim de entender melhor suas necessidades </t>
  </si>
  <si>
    <t>guri cervejaria</t>
  </si>
  <si>
    <t>Guri cervejaria</t>
  </si>
  <si>
    <t>cervejariaguri@hotmail.com</t>
  </si>
  <si>
    <t xml:space="preserve">Guri cervejaria é basicamente um bar e entretenimento com quadras de futebol, fora do perfil </t>
  </si>
  <si>
    <t>up</t>
  </si>
  <si>
    <t>UP</t>
  </si>
  <si>
    <t>psainforpsa@gmail.com</t>
  </si>
  <si>
    <t>Aracariguama</t>
  </si>
  <si>
    <t>raryplast industria e comercio ltda</t>
  </si>
  <si>
    <t xml:space="preserve">Aucione Lima da Silva </t>
  </si>
  <si>
    <t>(11) 94035-6615</t>
  </si>
  <si>
    <t>contato@raryplast.com.br</t>
  </si>
  <si>
    <t>Tatuí</t>
  </si>
  <si>
    <t>embalageral distribuidora</t>
  </si>
  <si>
    <t>Adovanio</t>
  </si>
  <si>
    <t>cptavaresrepresenta@gmail.com</t>
  </si>
  <si>
    <t xml:space="preserve">(10/04/2026) Buscando contato com Andrea </t>
  </si>
  <si>
    <t>Gerente Produção</t>
  </si>
  <si>
    <t>(47) 99633-0990</t>
  </si>
  <si>
    <t>gerenteproducaosimas@gmail.com</t>
  </si>
  <si>
    <t>Itajaí</t>
  </si>
  <si>
    <t>cks importadora</t>
  </si>
  <si>
    <t>Silvia</t>
  </si>
  <si>
    <t>Green Flower Comercio, Importacao E Exportacao Ltda</t>
  </si>
  <si>
    <t>pracaza</t>
  </si>
  <si>
    <t>Santorini Atacadista Ltda</t>
  </si>
  <si>
    <t>malinha plus size</t>
  </si>
  <si>
    <t>(11) 8284-9672</t>
  </si>
  <si>
    <t>maluciarezende@gmail.com</t>
  </si>
  <si>
    <t>Mabel Comercio De Importados Ltda</t>
  </si>
  <si>
    <t>mabel</t>
  </si>
  <si>
    <t xml:space="preserve">(11) 3315-0052 </t>
  </si>
  <si>
    <t>deptofiscal@mabelimport.com.br</t>
  </si>
  <si>
    <t>SOROCABA</t>
  </si>
  <si>
    <t>U4 Home Artigos Domesticos Ltda</t>
  </si>
  <si>
    <t>u4 group</t>
  </si>
  <si>
    <t>(13) 3303-9200</t>
  </si>
  <si>
    <t>financeiro@u4home.com.br</t>
  </si>
  <si>
    <t>ITANHAEM</t>
  </si>
  <si>
    <t>Ns Iguacu Eletronicos Ltda</t>
  </si>
  <si>
    <t>weisc@uol.com.br</t>
  </si>
  <si>
    <t>Etilux Importacao E Distribuicao De Artigos De Cutelaria Ltda</t>
  </si>
  <si>
    <t>etilux</t>
  </si>
  <si>
    <t xml:space="preserve">(11) 3227-3263 </t>
  </si>
  <si>
    <t>askfiscal@askcontabil.com.br</t>
  </si>
  <si>
    <t xml:space="preserve">14.04 - em ligação com o cliente, já conhecem o Guarani devido a clientes do mesmo segmento, e já tiveram uma conversa conosco a uns 15 anos atrás e não avançaram devido o valor. Retornou o contato pedindo uma apreentação do sistemas para os funcionários da empresa ainda essa semana, porque o diretor que estara presente viaja na proxima semana </t>
  </si>
  <si>
    <t>Ana Cristina</t>
  </si>
  <si>
    <t>(11) 95126-4832</t>
  </si>
  <si>
    <t>financeiro.sqcomercio@gmail.com</t>
  </si>
  <si>
    <t>14.04 Cliente vende auto peças, material de construção e ainda presta serviço. é um logista. 
Fora do perfil</t>
  </si>
  <si>
    <t>comblocos materiais de construção</t>
  </si>
  <si>
    <t>Comblocos Materiais de Construção</t>
  </si>
  <si>
    <t>ittalo.tim@hotmail.com</t>
  </si>
  <si>
    <t>Vvv</t>
  </si>
  <si>
    <t xml:space="preserve">(14/04/2026) em contato com Renan 
10:42, 14/04/2026 Junior Lopes: Olá Renan, bom dia ! tudo bem ?
10:42, 14/04/2026 Junior Lopes: sou Junior Lopes da Guarani sistemas td bem ?
10:44, 14/04/2026 +55 66 9647-2785: Bom dia Junior
10:44, 14/04/2026 +55 66 9647-2785: Tudo bem e contigo?
10:45, 14/04/2026 Junior Lopes: Opa Td joia ! 
Estou retornando para vc um contato que fez conosco sobre nosso software
11:03, 14/04/2026 +55 66 9647-2785: Vc tem sistema para materiais para construção
11:03, 14/04/2026 +55 66 9647-2785: ?
11:27, 14/04/2026 +55 66 9647-2785: A venda somente interna mesmo
11:27, 14/04/2026 +55 66 9647-2785: Não tem vendedores externos
11:36, 14/04/2026 Junior Lopes: Fiz uma análise rápida aqui Renan devido alguns pontos não consigo te atender! Ate pq nossa solução é mais focada em distribuição </t>
  </si>
  <si>
    <t>araguaia materiais para construcao</t>
  </si>
  <si>
    <t>Araguaia Materiais Para Construcao</t>
  </si>
  <si>
    <t>renansimon@gmail.com</t>
  </si>
  <si>
    <t xml:space="preserve">em contato com Renan, precisa de um PDV para loja de material de construção com particularidades de entrega parcial e controle de medidas das para venda de terras e pedras </t>
  </si>
  <si>
    <t>teodoro cosméticos</t>
  </si>
  <si>
    <t>rogeriojtigo@hotmail.com</t>
  </si>
  <si>
    <t>Jatai goais</t>
  </si>
  <si>
    <t>dsg</t>
  </si>
  <si>
    <t>Dsg</t>
  </si>
  <si>
    <t>euderi@hotmail.com</t>
  </si>
  <si>
    <t>MARACANAU</t>
  </si>
  <si>
    <t>CE</t>
  </si>
  <si>
    <t>Logrosoft Comercio, Importacao, Exportacao E Prestacao De Servicos Ltda</t>
  </si>
  <si>
    <t>(31) 3378-0033</t>
  </si>
  <si>
    <t>supervisoroperacional@logrosoft.com.br</t>
  </si>
  <si>
    <t>Logrosoft comercio CLOUD</t>
  </si>
  <si>
    <t>eddi casa - afv</t>
  </si>
  <si>
    <t>Guarani AFV;Importado a partir de lista;SDRFernanda</t>
  </si>
  <si>
    <t>Projeto adiado / sem prazo definido</t>
  </si>
  <si>
    <t>sem retorno do cliente</t>
  </si>
  <si>
    <t>90%;Guarani AFV;SDRDébora;SDRInbound</t>
  </si>
  <si>
    <t>Giovanna Seguette</t>
  </si>
  <si>
    <t>Guarani AFV;SDRDébora;SDRInbound</t>
  </si>
  <si>
    <t>cliente não da retorno</t>
  </si>
  <si>
    <t>lojas primus</t>
  </si>
  <si>
    <t>Guarani AFV;Guarani B2B;Guarani ERP;Guarani PDV;MORNO;SDRPaulo</t>
  </si>
  <si>
    <t>Adicionais ERP;Guarani AFV;Guarani ERP;Pausado;SDRDébora</t>
  </si>
  <si>
    <t>Preço muito alto - fora do budget de investimento</t>
  </si>
  <si>
    <t>servidor local</t>
  </si>
  <si>
    <t>atualmente tem muita instabilidade de internet</t>
  </si>
  <si>
    <t>precisa import</t>
  </si>
  <si>
    <t>cliente esfriou após proposta comercial</t>
  </si>
  <si>
    <t>sem retorno</t>
  </si>
  <si>
    <t>Fechou com o concorrente - preço</t>
  </si>
  <si>
    <t>Devido a localização e proposta do concorrente (Target) perdemos a concorrência</t>
  </si>
  <si>
    <t>cliente ainda não decidiu</t>
  </si>
  <si>
    <t>cliente esfriou após envio da proposta comercial</t>
  </si>
  <si>
    <t>cliente não decidiu seguir</t>
  </si>
  <si>
    <t>80%;Fabio Indica;Guarani AFV</t>
  </si>
  <si>
    <t>gb importadora - clou</t>
  </si>
  <si>
    <t>GB Importadora - Clou</t>
  </si>
  <si>
    <t>junior informou que vai seguir com Mercus ! indicaçãom do seu atual ERP Triplus</t>
  </si>
  <si>
    <t>cliente com situação de pendencias financeiras</t>
  </si>
  <si>
    <t>estamos fechando solução completa</t>
  </si>
  <si>
    <t>dcl editora</t>
  </si>
  <si>
    <t>DCL Editora</t>
  </si>
  <si>
    <t>cliente não deu sequencia em nossa negociação</t>
  </si>
  <si>
    <t>Tony</t>
  </si>
  <si>
    <t>luz e real aluminios - grupo laminor</t>
  </si>
  <si>
    <t>Abup2025Fevereiro;GELADO</t>
  </si>
  <si>
    <t>Indústria de alumínio atualmente utiliza um ERP local, junto com o EPR do mesmo fornecedor. Porém a principal dificuldade esta no processo produtivo, que ainda não foi implantado. Por este motivo a empresa necessita de um módulo de PCP (Planejamento e controle da produção) e o AFV atual não atende as necessidades comerciais.
MBA Alumínios
Com mais de 38 anos de atuação no setor de alumínios, a MBA Alumínios é uma fábrica consolidada que abrange toda a cadeia produtiva de panelas de alumínio, desde a compra de sucata, produção de discos, estamparia, pintura, montagem, até embalagem e armazenamento.
A empresa adotará os seguintes produtos:
ERP + PCP: 10 usuários
Checkout (ERP): 4 usuários
AFV: 14 usuários
MDe
MDFe
Possui dois CNPJs enquadrados no Simples Nacional e está localizada na cidade de Itaúna - MG.</t>
  </si>
  <si>
    <t>Carlos informou que possui hoje 50 RCA, e utilizam o ERP Solides.</t>
  </si>
  <si>
    <t>decidiu não mudar força de vendas nesse momento</t>
  </si>
  <si>
    <t>News aviamentos</t>
  </si>
  <si>
    <t>achou investimento fora para o momento</t>
  </si>
  <si>
    <t>R DOM LUIZ ORIONE 577</t>
  </si>
  <si>
    <t>GELADO;Pausado;Solicita demo</t>
  </si>
  <si>
    <t>Fora do segmento atendido</t>
  </si>
  <si>
    <t>cliente não tem tempo para apresentação</t>
  </si>
  <si>
    <t>pediu para retornar no futuro</t>
  </si>
  <si>
    <t>sem resposta do cliente</t>
  </si>
  <si>
    <t>royal toys</t>
  </si>
  <si>
    <t>Royal Toys</t>
  </si>
  <si>
    <t>fechou com Mercus</t>
  </si>
  <si>
    <t>atacado junior</t>
  </si>
  <si>
    <t>Atacado Junior</t>
  </si>
  <si>
    <t>valor alto para investimento</t>
  </si>
  <si>
    <t>multiflon</t>
  </si>
  <si>
    <t>Cliente fora do segmento</t>
  </si>
  <si>
    <t>Isaias</t>
  </si>
  <si>
    <t>Todos os dados preenchidos:
name: Eliedson Alves 
phone: 81988636626 
email: eliedsonrepresentante@gmail.com 
referrer: https://www.guaranisistemas.com.br/</t>
  </si>
  <si>
    <t>cliente não respondeu mais aos contatos</t>
  </si>
  <si>
    <t>Fora do porte mínimo (sem fit estrutural)</t>
  </si>
  <si>
    <t>viva vidros - cloud</t>
  </si>
  <si>
    <t>Cliente com situação de pendencias financeiras</t>
  </si>
  <si>
    <t>Aguardará Retaguarda Web</t>
  </si>
  <si>
    <t>maxximo utilidades</t>
  </si>
  <si>
    <t>Maxximo Utilidades</t>
  </si>
  <si>
    <t>cliente não responde as mensagens, continuarei a prospectar em paralelo</t>
  </si>
  <si>
    <t>Plastutti - Clou</t>
  </si>
  <si>
    <t>atualmente tem servidor local</t>
  </si>
  <si>
    <t>cozzillar - afv</t>
  </si>
  <si>
    <t>marca textil</t>
  </si>
  <si>
    <t>Marca Textil</t>
  </si>
  <si>
    <t>não seguirá no momento</t>
  </si>
  <si>
    <t>Abcasa2025fevereiro;Solicita demo</t>
  </si>
  <si>
    <t>oikos</t>
  </si>
  <si>
    <t>Oikos</t>
  </si>
  <si>
    <t>90%;Abcasa2025fevereiro</t>
  </si>
  <si>
    <t>cliente não responde sobre a continuidade</t>
  </si>
  <si>
    <t>Todos os dados preenchidos:
name: Ana Beatriz Costa dos Santos  
phone: 12997420947 
email: administrativo@camposdiaromas.com</t>
  </si>
  <si>
    <t>Ana Beatriz Costa dos Santos</t>
  </si>
  <si>
    <t>Fora do porte mínimo (sem fite estrutural)</t>
  </si>
  <si>
    <t>ad &amp; ad comercio de importacao</t>
  </si>
  <si>
    <t>Ad &amp; Ad Comercio de Importacao</t>
  </si>
  <si>
    <t>p10 importadora -erp</t>
  </si>
  <si>
    <t>P10 Importadora</t>
  </si>
  <si>
    <t>Breno não responde as mensagens ! estou fechando oportunidade mas continuo em busca da oportunidade</t>
  </si>
  <si>
    <t>MORNO;Solicita demo</t>
  </si>
  <si>
    <t>Nossa solução não atende - falta funcionalidade</t>
  </si>
  <si>
    <t>Caetano</t>
  </si>
  <si>
    <t>30%;Abcasa2025fevereiro;Pausado</t>
  </si>
  <si>
    <t>Abcasa2025fevereiro;Pausado</t>
  </si>
  <si>
    <t>Wanessa</t>
  </si>
  <si>
    <t>Abcasa2025fevereiro;Contato;GELADO</t>
  </si>
  <si>
    <t>Jose e Felipe</t>
  </si>
  <si>
    <t>Abup2025Fevereiro;Pausado</t>
  </si>
  <si>
    <t>Luis Felips</t>
  </si>
  <si>
    <t>Berenardi &amp; Bernardi</t>
  </si>
  <si>
    <t>cliente esfriou após envio da proposta</t>
  </si>
  <si>
    <t>acomix soluções para o lar</t>
  </si>
  <si>
    <t>cliente não responde as mensagens continuarei a prospectar em paralelo</t>
  </si>
  <si>
    <t>123 util</t>
  </si>
  <si>
    <t>cliente não responde as mensagens , continuarei a prospectar em paralelo</t>
  </si>
  <si>
    <t>Representante</t>
  </si>
  <si>
    <t>açomix soluções para o lar</t>
  </si>
  <si>
    <t>Erca Alumínio</t>
  </si>
  <si>
    <t>sk importacao - erp</t>
  </si>
  <si>
    <t>comércio  bernardi e bernardi - erp</t>
  </si>
  <si>
    <t>cliente ainda não definiu 
estou baixando oportunidade mas manterei contato via WhatsApp</t>
  </si>
  <si>
    <t>cadastro em duplicidade</t>
  </si>
  <si>
    <t>culturama - horas</t>
  </si>
  <si>
    <t>culturama - Horas</t>
  </si>
  <si>
    <t>ark brasil</t>
  </si>
  <si>
    <t>ARK Brasil</t>
  </si>
  <si>
    <t>estou mantendo contato para força de vendas</t>
  </si>
  <si>
    <t>casa ambiente</t>
  </si>
  <si>
    <t>Casa Ambiente</t>
  </si>
  <si>
    <t>sem resposta ao contato</t>
  </si>
  <si>
    <t>mdl import - erp</t>
  </si>
  <si>
    <t>integração com WMS inviabilizou o projeto</t>
  </si>
  <si>
    <t>xiexie com. de brinquedos - erp</t>
  </si>
  <si>
    <t>Após envio da proposta comercial, não obtive mais retorno do Kaique, estou declinando a oportunidade mas continuarei tentando contato</t>
  </si>
  <si>
    <t>Adavilson</t>
  </si>
  <si>
    <t>almapy - contábil</t>
  </si>
  <si>
    <t>Não vai dar sequencia no momento</t>
  </si>
  <si>
    <t>Renovação Porcelanas</t>
  </si>
  <si>
    <t>30%;90%;Fabio Indica</t>
  </si>
  <si>
    <t>renovação porcelanas - afv</t>
  </si>
  <si>
    <t>Renovação Porcelanas - AFV</t>
  </si>
  <si>
    <t>unik</t>
  </si>
  <si>
    <t>Unik</t>
  </si>
  <si>
    <t>Y-888 - ERP</t>
  </si>
  <si>
    <t>estou fechando oportunidade porem manterei contato com Victor</t>
  </si>
  <si>
    <t>y 888 importação - cloud</t>
  </si>
  <si>
    <t>Y 888 importação - AFV</t>
  </si>
  <si>
    <t>estou descartando oportunidade porem vou manter contato com Victor</t>
  </si>
  <si>
    <t>integração com WMS inviabilizou projeto</t>
  </si>
  <si>
    <t>renovação porcelanas - cloud</t>
  </si>
  <si>
    <t>Renovação porcelanas - Cloud</t>
  </si>
  <si>
    <t>Nathan</t>
  </si>
  <si>
    <t>amandfast (fest bubble) rms</t>
  </si>
  <si>
    <t>Aguardar Rep Mais</t>
  </si>
  <si>
    <t>Fa fa Import</t>
  </si>
  <si>
    <t>amazonia aromas</t>
  </si>
  <si>
    <t>Amazonia aromas</t>
  </si>
  <si>
    <t>voltar contato quando RepMais</t>
  </si>
  <si>
    <t>PROPOSTA RENOVCADA POREM CLIENTE NÃO DEU SEQUENCIA</t>
  </si>
  <si>
    <t>PROPOSTA RENOVADA POREM CÇIENTE NÃO DEU SEQUENCIA</t>
  </si>
  <si>
    <t>Rayssa esta mantendo contato</t>
  </si>
  <si>
    <t>informou que não tem verba de investimento</t>
  </si>
  <si>
    <t>informou que não tem verba para investimento</t>
  </si>
  <si>
    <t>ponto das festas</t>
  </si>
  <si>
    <t>Ponto das festas</t>
  </si>
  <si>
    <t>varias tentativas de contato sem retorno</t>
  </si>
  <si>
    <t>Descartando ! cliente não encontra tempo para seguir</t>
  </si>
  <si>
    <t>Anjo brinquedos (RMS - AFV)</t>
  </si>
  <si>
    <t>meio atacado</t>
  </si>
  <si>
    <t>não responde mais aos contatos</t>
  </si>
  <si>
    <t>Goal comercial</t>
  </si>
  <si>
    <t>galpão importadora</t>
  </si>
  <si>
    <t>Galpão importadora</t>
  </si>
  <si>
    <t>cliente não encontra tempo para apresentação</t>
  </si>
  <si>
    <t>Vitoria cortinas</t>
  </si>
  <si>
    <t>orçamento não foi aprovado</t>
  </si>
  <si>
    <t>Dielu</t>
  </si>
  <si>
    <t>ceramica salute</t>
  </si>
  <si>
    <t>Palete Chiari</t>
  </si>
  <si>
    <t>cliente não respondeu mais aos contatos ! estou decertando e manterei contato</t>
  </si>
  <si>
    <t>serraria chiari - cloud</t>
  </si>
  <si>
    <t>vitoria cortinas - user afv</t>
  </si>
  <si>
    <t>vitoria cortinas - User AFV</t>
  </si>
  <si>
    <t>meio atacado - cloud</t>
  </si>
  <si>
    <t>Meio atacado - Cloud</t>
  </si>
  <si>
    <t>Emporio Villamarin</t>
  </si>
  <si>
    <t>não ira dar continuidade no momento</t>
  </si>
  <si>
    <t>Grupo K1</t>
  </si>
  <si>
    <t>em contato com Ângela, nao esta descartado porem não seguirá nesse momento</t>
  </si>
  <si>
    <t>tiago  eletronicos - erp</t>
  </si>
  <si>
    <t>Tiago eletrodomésticos</t>
  </si>
  <si>
    <t>Tiago eleytonicos</t>
  </si>
  <si>
    <t>cliente decidiu manter o servidor local</t>
  </si>
  <si>
    <t>germer porcenalas</t>
  </si>
  <si>
    <t>Germer porcenalas</t>
  </si>
  <si>
    <t>em contato com Claudinei projeto está estagnado</t>
  </si>
  <si>
    <t>adelmo jeronimo</t>
  </si>
  <si>
    <t>Adelmo Jeronimo</t>
  </si>
  <si>
    <t>cliente vai seguir somente com força de vendas</t>
  </si>
  <si>
    <t>vai seguir somente com força de vendas</t>
  </si>
  <si>
    <t>Pedro não responde mais aos contatos</t>
  </si>
  <si>
    <t>Pedro não responde mais os contatos</t>
  </si>
  <si>
    <t>cliente não quer dar sequencia no momento por conta do valor</t>
  </si>
  <si>
    <t>Falei hoje com o Gomes consultor Totvs da empresa Oyshi e o mesmo que agendar uma reunião técnica de alinhamento para integrar o AFV com Protheus.
19-01; Após nossa reunião na sexta-feira para alinhar sobre a integração, o Gomes ficou de providências uma agenda com o Rodrigo para fechar a negociação.
22/01 - Cobrei novamente o Evandro para ele me posicionar se conseguiu falar com o Rodrigo para avançar com o contrato e fechamento e assim dar sequencias no projeto. Ele falou que estava envolvido em tarefas adicionais e isso atrasou a conversa que vai ocorrer na próxima semana.
26/02 Fiz FUP com o Evandro hoje perguntando uma posição, no aguardo. Já falei com a Isabella diretor comercial, e até agora nada de retorno.
12/03 Fiz FUP com o Evandro e ele falou que a decisão para seguir ou não vai ser tomada na próxima sexta-feira 13/03.
23/03 Falei com a Isabella a mesma me avisou que semana que vem vai</t>
  </si>
  <si>
    <t>industria oyshi</t>
  </si>
  <si>
    <t>30%;50%</t>
  </si>
  <si>
    <t>Gustavo conversou com os sócios e decidiu por não trocar de software no momento</t>
  </si>
  <si>
    <t>Rogerio pediu para aguardar um pouco mais</t>
  </si>
  <si>
    <t>off paper (afv)</t>
  </si>
  <si>
    <t>fechou sem mesmo falar com Guarani</t>
  </si>
  <si>
    <t>Plastutti - Cloud</t>
  </si>
  <si>
    <t>achou valores acima</t>
  </si>
  <si>
    <t>Brinquemix - Cloud</t>
  </si>
  <si>
    <t>em analise do consultor Munhoz, cliente não esta no momento  certo</t>
  </si>
  <si>
    <t>Amilplast - Cloud</t>
  </si>
  <si>
    <t>Amilplast continuará com servidor físico</t>
  </si>
  <si>
    <t>(11) 3283-3767</t>
  </si>
  <si>
    <t>Após proposta cliente não respondeu mais</t>
  </si>
  <si>
    <t>esta em uso de servidor próprio</t>
  </si>
  <si>
    <t>(11) 3312-3990</t>
  </si>
  <si>
    <t>30%;Pausado</t>
  </si>
  <si>
    <t>cliente achou investimento muito alto</t>
  </si>
  <si>
    <t>cadastro duplicado</t>
  </si>
  <si>
    <t>cliente não responde as mensagens e ligações</t>
  </si>
  <si>
    <t>fantoys brinquedos - cloud</t>
  </si>
  <si>
    <t>Fantoys Brinquedos - Cloud</t>
  </si>
  <si>
    <t>cliente achou investimento muito  alto</t>
  </si>
  <si>
    <t>(48) 9123-3777</t>
  </si>
  <si>
    <t>cliente Rep Mais</t>
  </si>
  <si>
    <t>Sem retorno dos contatos</t>
  </si>
  <si>
    <t>Todos os dados preenchidos:
name: Ramão 
phone: 67 9 9169-7702 
email: ramaodlara@gmail.com 
nome_da_empresa_indicada: LUZIA LARA GUILHEN- MEI 
field_6: Guarani ERP, PDV 
nome_de_quem_indica: Diego Luis Barcelli 
e_mail_de_quem_indica: diego.barcelli@guaranisistemas.com.br 
telefone_de_quem_indica: 16 9 9265-3506 
Quais_produtos_Guarani_você_indica_para_essa_empresa?: Guarani ERP, PDV 
0: Guarani ERP, PDV</t>
  </si>
  <si>
    <t>não responde ao contato</t>
  </si>
  <si>
    <t>chame rio (cloud)</t>
  </si>
  <si>
    <t>Chame Rio (Cloud)</t>
  </si>
  <si>
    <t>Aguardar ativação das lojas</t>
  </si>
  <si>
    <t>dvidros (cnpj)</t>
  </si>
  <si>
    <t>DVidros (CNPJ)</t>
  </si>
  <si>
    <t>Central Rações - BI</t>
  </si>
  <si>
    <t>Central Rações - Cloud</t>
  </si>
  <si>
    <t>PlasBink</t>
  </si>
  <si>
    <t>Wellington</t>
  </si>
  <si>
    <t>Illumac Industria - Cloud</t>
  </si>
  <si>
    <t>chame rio - horas</t>
  </si>
  <si>
    <t>Chame Rio - Horas</t>
  </si>
  <si>
    <t>José Luiz Gomes Junior</t>
  </si>
  <si>
    <t>vitoria cortinas - horas</t>
  </si>
  <si>
    <t>Vitoria cortinas - Horas</t>
  </si>
  <si>
    <t>Casa Bonitta - PDV</t>
  </si>
  <si>
    <t>Hussein</t>
  </si>
  <si>
    <t>cliente fora do perfil</t>
  </si>
  <si>
    <t>star distribuidora (wms)</t>
  </si>
  <si>
    <t>Star Distribuidora (WMS)</t>
  </si>
  <si>
    <t>plasbrink embalagens plasticas ltda - cloud</t>
  </si>
  <si>
    <t>Plasbrink Embalagens Plasticas Ltda - Cloud</t>
  </si>
  <si>
    <t>cliente não assinou contrato</t>
  </si>
  <si>
    <t>Após a apresentação de 10/12/2025, ficou definido que a equipe da Marka Têxtil se reunirá para decidir sobre a continuidade do projeto. Farei um follow-up em 15/12/2025 para obter a definição.
16:22, 27/01/2026 Junior Lopes: Olá Regina ! Boa tarde
16:22, 27/01/2026 Regina Chagas: Boa tarde
16:27, 27/01/2026 Junior Lopes: Como está a evolução do projeto?
16:29, 27/01/2026 Junior Lopes: Sei que vcs estão em contato com outras ferramentas! E que está tudo bem 
Porém fico preocupado com valor que já negociamos! A proposta é do ano passado ! Viramos a nossa tabela 
Estou segurando os valores aqui ! Mas preciso de um feedback
16:49, 27/01/2026 Regina Chagas: Entendo, acredito que até sexta feira eu te dou um retorno final
(03/02/2026) em contato com a Bruna na feira Abup informou que decidiu seguir com ERP que apresentou uma proposta mais atrativa em questão de valores ! abaixo mensagem da Regina com mesmo contexto : 
07:57, 09/02/2026 Regina Chagas: Bom dia Junior, desculpe a demora no retorno.
Fechamos com outra empresa, em reunião foi decidido que seria mais vantajoso além do custo/beneficio.
Muito obrigada pelo seu ótimo atendimento
08:59, 09/02/2026 Junior Lopes: Olá Regina bom dia ! Falei com a Bruna na feira 
Desejo sucesso para vocês</t>
  </si>
  <si>
    <t>Marka Textil</t>
  </si>
  <si>
    <t>fechou por preço</t>
  </si>
  <si>
    <t>Marka Textil - Cloud</t>
  </si>
  <si>
    <t>Jones da Costa Grance</t>
  </si>
  <si>
    <t>cliente não esta no tempo certo, achou investimento muito alto</t>
  </si>
  <si>
    <t>cliente busca apenas módulo de compras</t>
  </si>
  <si>
    <t>(16/01/2026) Bruno decidiu por não fazer o investimento nesse momento ! esta estruturando a equipe de vendas</t>
  </si>
  <si>
    <t>sevilha trade - cloud</t>
  </si>
  <si>
    <t>Sevilha Trade - Cloud</t>
  </si>
  <si>
    <t>por enquanto nao vai adicionar proposta web</t>
  </si>
  <si>
    <t>Atacadão MOntebello</t>
  </si>
  <si>
    <t>newbaby - erp</t>
  </si>
  <si>
    <t>NewBaby - ERP</t>
  </si>
  <si>
    <t>mdl - wms</t>
  </si>
  <si>
    <t>MDL - WMS</t>
  </si>
  <si>
    <t>newbaby - cloud</t>
  </si>
  <si>
    <t>NewBaby - Cloud</t>
  </si>
  <si>
    <t>baag - incl.cnpj</t>
  </si>
  <si>
    <t>Baag - Incl.CNPJ</t>
  </si>
  <si>
    <t>E.S Maia</t>
  </si>
  <si>
    <t>nao esta no momento certo</t>
  </si>
  <si>
    <t>Phabllo Parambu Atacado - ERP</t>
  </si>
  <si>
    <t>Cliente não tem tempo para fazermos apresentação</t>
  </si>
  <si>
    <t>30%;Solicita demo</t>
  </si>
  <si>
    <t>30%;Pausado;Solicita demo</t>
  </si>
  <si>
    <t>fafa import - wms</t>
  </si>
  <si>
    <t>FaFa Import - WMS</t>
  </si>
  <si>
    <t>por enquanto vai fazer as aprovações via ERP</t>
  </si>
  <si>
    <t>50%;Solicita demo</t>
  </si>
  <si>
    <t>Cobrei hoje 09/01 o Alex, para saber sobre a evolução do projeto em 2026.
14/01 - O Alex me ligou hoje avisando que a empresa optou pelo mais barato e fechou com a RioSoft.</t>
  </si>
  <si>
    <t>O Alex me ligou hoje avisando que a empresa optou pelo mais barato e fechou com a RioSoft.</t>
  </si>
  <si>
    <t>hf utilidades</t>
  </si>
  <si>
    <t>atual mix</t>
  </si>
  <si>
    <t>Dalvan barros</t>
  </si>
  <si>
    <t>(07/01/2026) visita comercial 
(14/01/2026) Visita apresentação com Max 
(29/01/2026) cliente esta ligando para nossos clientes  
(24/04/2026) Bassel não responde , não esta no momento certo</t>
  </si>
  <si>
    <t>(24/04/2026) Bassel não responde , não esta no momento certo</t>
  </si>
  <si>
    <t>vic import - afv</t>
  </si>
  <si>
    <t>Vic Import - AFV</t>
  </si>
  <si>
    <t>seguindo com ERP</t>
  </si>
  <si>
    <t>(07/01/2026) visita comercial 
(14/01/2026) Visita apresentação com Max 
(29/01/2026) cliente esta ligando para nossos clientes</t>
  </si>
  <si>
    <t>vic import - cloud</t>
  </si>
  <si>
    <t>Vic Import - Cloud</t>
  </si>
  <si>
    <t>(11) 2081-7750</t>
  </si>
  <si>
    <t>fechamos ERP , estou descartando essa oportunidade</t>
  </si>
  <si>
    <t>conthey - afv</t>
  </si>
  <si>
    <t>Conthey - AFV</t>
  </si>
  <si>
    <t>(24/04/2026) Conthey vai manter o servidor local , em breve caso necessário irá migrar para cloud</t>
  </si>
  <si>
    <t>conthey - cloud</t>
  </si>
  <si>
    <t>Conthey - Cloud</t>
  </si>
  <si>
    <t>star - b2b</t>
  </si>
  <si>
    <t>Star - B2B</t>
  </si>
  <si>
    <t>tecelagem castilho - contábil</t>
  </si>
  <si>
    <t>Tecelagem Castilho - Contábil</t>
  </si>
  <si>
    <t>30%;Dentro Perfil;Instagram</t>
  </si>
  <si>
    <t>(16/01/2026) Entrei em contato com Allan ! segundo ele esta verificando com a diretoria sobre a sequencia no projeto ! informei que nossa proposta está vencida e que preciso de uma decisão urgente para nao  perdemos o valor 
16/01/2026 em contato com Allan ! decidiu por nao dar sequencia nesse momento ! o motivo é por conta do investimento</t>
  </si>
  <si>
    <t>16/01/2026 em contato com Allan ! decidiu por nao dar sequencia nesse momento ! o motivo é por conta do investimento</t>
  </si>
  <si>
    <t>Fora Perfil;Instagram</t>
  </si>
  <si>
    <t>lojista</t>
  </si>
  <si>
    <t>(21/01/2026) em contato com Edilson 
pediu para retornar contato no dia 26/01 pois esta bem corrido devido a um feriado na cidade ! ele pediu para enviar material sobre nossas soluções 
(29/01/2026) Cliente esta analisando demais ferramentas ! estamos organizando apresentação do AFV 
(18/02/2026) Edilson declinou por conta do valor acima da expectativa de investimento ! não ofertou contra proposta pq valor estava bem acima do esperado</t>
  </si>
  <si>
    <t>(18/02/2026) Edilson declinou por conta do valor acima da expectativa de investimento ! não ofertou contra proposta pq valor estava bem acima do esperado</t>
  </si>
  <si>
    <t>50%;Dentro Perfil;Instagram</t>
  </si>
  <si>
    <t>Falei com o Robson hoje , questionando sobre a proposta e se tem alguma dúvida.
23/01 - Fiz FUPs hoje com o Robson :
R: Bom dia Paulo, fiz umas considerações na proposta e farei uma reunia com os diretores para apresentação, na sequência quero marcar uma reunião com vocês para conversarmos.
Eu espero te posicionar na próxima terça-feira.
26/02 Alinhar com o Fernando a sequência dos itens que será abordados. E qual item já foi entregue e horas consumidas!
12/03 O projeto já iniciou e o combinado é que vai cobrar conforme entrega de etapas.
12/03 O projeto já iniciou e o combinado é que vai cobrar conforme entrega de etapas.
20/03 Após alinhamento foi criado pela implantação 10 etapas no projeto, para o acompanhamento e posterior fechamento de horas.</t>
  </si>
  <si>
    <t>30%;Fora Perfil;Instagram</t>
  </si>
  <si>
    <t>(12/01/2026) Em contato com Bruno realizamos uma apresentação do força de vendas em 12/01/2026 e falamos um pouco sobre nosso ERP ! logo pediu uma ideia de investimento para seguir 
(29/01/2026) Após envio de proposta cliente não respondeu mais</t>
  </si>
  <si>
    <t>(29/01/2026) Após envio de proposta cliente não respondeu mais</t>
  </si>
  <si>
    <t>Carlos Alberto Kuehl</t>
  </si>
  <si>
    <t>30%;Dentro Perfil;Feiras</t>
  </si>
  <si>
    <t>Não era o decisor - sem acesso</t>
  </si>
  <si>
    <t>stok frios</t>
  </si>
  <si>
    <t>30%;Contato;Solicita demo</t>
  </si>
  <si>
    <t>(14/01/2026)Em contato com Marcelo para entender mais sobre sua empresa e necessidades 
(20/01/2026) em contato com André, sua confecção é de camisetas, uniformes, bonés ! existem algumas particularidades que necessitam no software como grades de cores e tamanhos e algumas particularidades para confecção ! atende cliente final B2C ! cliente de operação pequena que não esta na hora de embarcar com Guarani devido ao valor de investimento</t>
  </si>
  <si>
    <t>Bom dia Adelita, como vai?
Estou tentando contato com você para entender sua solicitação para conhecer nossos sistemas.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
Vou deixar uma apresentação de nossa empresa e quando tiver um tempo disponivel por retornar o contato
tentie contato no celular cadastrado e no telefone fixo da empresa 35) 3067-8566</t>
  </si>
  <si>
    <t>Contato;Fora Perfil;Instagram</t>
  </si>
  <si>
    <t>(35) 3435-2255</t>
  </si>
  <si>
    <t>em contato com Sr. Barbosa !
atualmente tem 02 lojas físicas e esta fora do nosso perfil de atendimento</t>
  </si>
  <si>
    <t>Dentro Perfil;Instagram</t>
  </si>
  <si>
    <t>(20/01/2026) efetuei tentativa de ligação e mensagem no WhatsApp a fim de alinhar em bate papo com Ismael e entender suas necessidades , porem cliente não responde aos contatos</t>
  </si>
  <si>
    <t>(19/01/2026) reunião de apresentação agendada para 20/01/2026
(26/01/2026) 
Olá Mauricio ! tudo bem ?
Como não recebi o seu retorno sobre o questionário após nossa apresentação, imagino que as prioridades tenham mudado por aí ou que este não seja o momento ideal para avançarmos com a proposta da Guarani Sistemas.
Para não sobrecarregar sua caixa de entrada, estou encerrando o seu processo aqui no meu sistema por enquanto.
Caso seus planos mudem no futuro, meus contatos continuam os mesmos. Desejo sucesso em seus projetos.
Após mensagem enviada Mauricio compartilhou áudio dizendo que achou investimento muito alto e que no futuro vamos voltar a falar</t>
  </si>
  <si>
    <t>Maurício Jorge lima</t>
  </si>
  <si>
    <t>(23/01/2026) Sérgio não respondeu as minhas mensagens ! estou descartando de falta de retorno do cliente</t>
  </si>
  <si>
    <t>Dentro Perfil;Solicita demo</t>
  </si>
  <si>
    <t>14:08, 21/01/2026 Junior Lopes: Olá Edmilson, boa tarde ! Aqui é Junior da Guarani sistemas, Td bem ?
(26/01/2026) Ola Edmilson, bom dia tudo bem ? 
Sobre as soluções em software ERP e Força de vendas Guarani ! Tem interesse em conhecer? 
21/01/2026 - envio de Aúdio me apresentando e solicitando data para falarmos 
15:30, 23/01/2026 Junior Lopes: Olá Edmilson, boa tarde
17:08, 27/01/2026 Junior Lopes: Olá, Edmilson! Como não conseguimos evoluir nossa conversa nos últimos dias, entendo que talvez este não seja o momento ideal para focarmos na Solução ERP e Força de vendas. Estou encerrando o seu processo por aqui para não lotar sua caixa de entrada. Vou deixar seu contato salvo e, assim que suas prioridades mudarem, sinta-se à vontade para me chamar
(18/05/2026) Após varias tentativas de contato , sem sucesso ! estou declinando oportunidade</t>
  </si>
  <si>
    <t>Sem qualificação — contato não atende ligações nem responde msg</t>
  </si>
  <si>
    <t>(18/05/2026) Após varias tentativas de contato , sem sucesso ! estou declinando oportunidade</t>
  </si>
  <si>
    <t>tentativa de contato
26/01 - Faz venda porta a porta e tem PDV 
13.02 Tentei contato por ligação e não atendeu
É um cliente que eu já havia conversado e faz venda PAP, atualmente o Guarani não atende ao que procura 
Fora do perfil</t>
  </si>
  <si>
    <t>(27/01/2026) em contato com Thales , ficamos de falar por telefone as 11;30 horas do dia 27/01
(27/01/2026) Reunião de apresentação primeira Etapa AFV em 28/01/2026 as 14 horas 
(28/01/2026) apresentação do força de vendas na integra e vídeos do força de vendas 
cliente pediu para seguirmos com proposta comercial para ver se está dentro do sua previsão de investimento 
(19/02/2026) Thales achou valor acima para o momento</t>
  </si>
  <si>
    <t>(19/02/2026) Thales achou valor acima para o momento</t>
  </si>
  <si>
    <t>Usa o sistema da Linx, é um armazem de bebida e fazvendas por Zé delivery e Ifood.</t>
  </si>
  <si>
    <t>(29/01/2026) feito ligação para Marcelo para explicar valores da proposta comercial</t>
  </si>
  <si>
    <t>cliente declinou após recebimento da proposta comercial</t>
  </si>
  <si>
    <t>(29/01/2026) em contato com Artur, esta em analise interna</t>
  </si>
  <si>
    <t>Pino lar</t>
  </si>
  <si>
    <t>11:13, 13/02/2026 Artur Pino Pino Lar: Bom dia
11:13, 13/02/2026 Artur Pino Pino Lar: Tudo bem ?
11:13, 13/02/2026 Artur Pino Pino Lar: Optei em fechar com a Penso
11:13, 13/02/2026 Artur Pino Pino Lar: Nossa empresa de TI
11:14, 13/02/2026 Artur Pino Pino Lar: O valor , pelo pacote que temos ficou muito atrativo
11:14, 13/02/2026 Artur Pino Pino Lar: Próxima semana já vamos iniciar a carga de dados
11:14, 13/02/2026 Artur Pino Pino Lar: Mas …… obrigado !
11:16, 13/02/2026 Junior Lopes: Olá Artur , perfeito!  Vou comunicar o Fernando por aqui</t>
  </si>
  <si>
    <t>mauricio jorge lima - cloud</t>
  </si>
  <si>
    <t>Mauricio Jorge Lima - Cloud</t>
  </si>
  <si>
    <t>folha dourada tabacos - cloud</t>
  </si>
  <si>
    <t>Folha dourada tabacos - Cloud</t>
  </si>
  <si>
    <t>valor acima da expectativa</t>
  </si>
  <si>
    <t>(30/01/2026) Sou Junior Lopes da Guarani sistemas
16:56, 30/01/2026 Junior Lopes: Td bem ?
17:01, 30/01/2026 Orlando: Tudo
17:08, 30/01/2026 Orlando: Descreve alguma coisa do seu sistema
17:29, 30/01/2026 Orlando: Qual o valor mensal?
Este valor mensal posso incluir quantas empresas?
16:49, 02/02/2026 Junior Lopes: Olá Orlando , tem interesse em dar continuidade no contato ?
Hj um investimento em um ERP Guarani controlando sua empresa de ponta a ponta desde a produção passando pelos módulos financeiro a pagar e receber, comercial, compras, Fiscal, logística/expedicao (WMS) e Força de vendas ! Fica dentro de uma expectativa entre (60 mil a 90 mil) de investimento em implantação e treinamentos !
A mensalidade é por usuário sendo R$ 280,00 do ERP e R$ 115,00 do AFV
Caso queira um orçamento mais preciso, podemos nos reunir para entender melhor suas necessidades
O que seria AFV?  (enviei =áudio explicando)
(11/02/2026) retornei contato com Orlando buscando continuidade no atendimento 
10:07, 19/02/2026 Orlando: Falamos mais tarde
10:08, 19/02/2026 Orlando: Estou viajando, melhor poderia me chamar na segunda feira?
10:17, 19/02/2026 Junior Lopes: Estou viajando, melhor poderia me chamar na segunda feira?
Sim ! Te chamo segunda-feira
(16/03/2026) em contato com Orlando ! acredito que não esta no momento certo ! Orlando um pouco confuso</t>
  </si>
  <si>
    <t>90%;Dentro Perfil;Solicita demo</t>
  </si>
  <si>
    <t>07.04 cliente ainda imaturo para os processos</t>
  </si>
  <si>
    <t>03/03 Após diversas tentativa de FUP não tive retorno e por falta de interação estou declinando o lead.</t>
  </si>
  <si>
    <t>06/02 Feito a apresentação da proposta em fase de negociação.
13/02 Foi feito uma visita em São Paulo no Grupo Iracema, onde falamos com os sócios , e o cabeça o Mauricio. A proposta foi reformulada e ajustada e estamos na faze de negociação. Próximo passo, quarta-feira apresentar o WMS.
13/02 Foi feito uma visita em São Paulo no Grupo Iracema, onde falamos com os sócios , e o cabeça o Mauricio. A proposta foi reformulada e ajustada e estamos na faze de negociação. Próximo passo, quarta-feira apresentar o WMS.</t>
  </si>
  <si>
    <t>14/05/2026 : 
09:02, 13/05/2026 Fabio Oliveira Nina Enc: Consegui sim, teu sistema é maravilhoso, muito bom mesmo 
porem eu passei pro pessoal aqui, e no momento, nosso faturamaento nao condiz com o investimento a ser feito
09:03, 13/05/2026 Fabio Oliveira Nina Enc: espero que logo possamos mudar isso
09:05, 13/05/2026 Junior Lopes: Entendo Fábio ! 
 O que está pegando mais na proposta ? O projeto ou as mensalidades?
09:08, 13/05/2026 Fabio Oliveira Nina Enc: na verdade é um pouco dos dois, hj nosso sistema nos custa 6 mil por ano, claro que ele nao tem a mesma eficiencia do seu, mas para a quantidade de vendas nossa, no atual momento ele nos atende bem
09:21, 13/05/2026 Junior Lopes: Entendo ! Gostaria de pensar aí e nos fazer uma contra proposta ?
09:22, 13/05/2026 Fabio Oliveira Nina Enc: no momento vamos deixar em off
09:22, 13/05/2026 Fabio Oliveira Nina Enc: obrigado pela atençao
09:28, 13/05/2026 Junior Lopes: Ta joia meu amigo
09:29, 13/05/2026 Junior Lopes: Ficamos a disposição! Tenho certeza que podemos ajudar muito no crescimento da Nina encartelados 
Um abraço
09:29, 13/05/2026 Fabio Oliveira Nina Enc: abraço</t>
  </si>
  <si>
    <t>05/05/2026</t>
  </si>
  <si>
    <t>04/05/2026</t>
  </si>
  <si>
    <t>(11/02/2026) Vídeo demonstrativo enviado para analise   
(11/02/2026) Proposta enviada</t>
  </si>
  <si>
    <t>vai aguardar um pouco mais</t>
  </si>
  <si>
    <t>Jader Silva</t>
  </si>
  <si>
    <t>(11/02/2026) tentativa de ligação nao atendida 
17:03, 11/02/2026 Junior Lopes: Olá Gabriel , boa tarde
17:03, 11/02/2026 Junior Lopes: sou Junior Lopes da Guarani sistemas ! td bem ?
(19/02/2026) apresar de não ter resposta do cliente ! em pesquise verifiquei que LM é um deposito de bebidas que acaba fugindo do perfil</t>
  </si>
  <si>
    <t>(11/02/2026) tentativa de ligação não atendida 
16:48, 11/02/2026 Junior Lopes: Olá Kariello, boa tarde !
16:48, 11/02/2026 Junior Lopes: sou Junior Lopes da Guarani sistemas, tudo bem ?
(19/02/2026) buscando data para apresentação 
(23/02/2026) Vamos Agendar apresentação do força de vendas para amanhã ?
10 ou 14 horas ! O que fica melhor?
Vamos marca na primeira semana de março
Fechamento do mês é complicado
Sim ! Vamos deixar uma agenda para dia 4/03 quarta feira! Se sim já te envio um link do Meet
Ok
Apresentação Guarani (AFV) 
Quarta-feira, 4 de março · 10:00 – 11:30
Fuso horário: America/Sao_Paulo
Como participar do Google Meet
Link da videochamada: https://meet.google.com/dsp-gfgz-nyv
09:54, 04/03/2026 KARIELLO COELHO: Tive um imprevisto
09:54, 04/03/2026 KARIELLO COELHO: Teremos que remarcar
09:55, 04/03/2026 Junior Lopes: Td bem meu amigo , sem problemas
12:41, 04/03/2026 KARIELLO COELHO: Até sexta agora
12:42, 04/03/2026 Junior Lopes: 10 horas é um bom horário?
12:45, 04/03/2026 KARIELLO COELHO: 11h
12:46, 04/03/2026 Junior Lopes: Joia! Vou gerar um link
12:50, 04/03/2026 Junior Lopes: Apresentação Guarani AFV - CK Hospitalar
Sexta-feira, 6 de março · 11:00 – 12:15
Fuso horário: America/Sao_Paulo
Como participar do Google Meet
Link da videochamada: https://meet.google.com/zum-xcty-mab
(09/03/2026) Após Kariello desmarcar a reunião de apresentação , não respondeu mais aos contatos</t>
  </si>
  <si>
    <t>(09/03/2026) Após Kariello desmarcar a reunião de apresentação , não respondeu mais aos contatos</t>
  </si>
  <si>
    <t>(11/02/2026) ligação efetuada - Anderson pediu para retornar ! vamos dar sequencia no whatsapp
(18/02/2026) buscando contato com Anderson ! sem resposta até o momento</t>
  </si>
  <si>
    <t>cliente precisa que o força de vendas atenda em pronta entrega</t>
  </si>
  <si>
    <t>12.02 - é uma importadora de Ribeirão Preto e veio por indicação da Simone (QFestas) são do mesmo seguimento
Disse que já havia feito contato um tempo atrás mas na época achou muito caro, então não avançou
Esta retomando o contato agora e gostaria de receber uma proposta comercial antes, já que já conhece o sistema, já recebeu várias indicações de importadores, e representantes. 
18.03 - estou tentando contato, mas esta em feira 
30.03 Achou que não é o momento certo para avançar</t>
  </si>
  <si>
    <t>Fora Perfil;Solicita demo</t>
  </si>
  <si>
    <t>08/05/2026</t>
  </si>
  <si>
    <t>(03/03/2026) Visita apresentação 
(05/03/2026)  buscando fechamento</t>
  </si>
  <si>
    <t>Atacadão das Tripas</t>
  </si>
  <si>
    <t>Angel</t>
  </si>
  <si>
    <t>optou por uma solução local, senão atende-lo volta o contato.</t>
  </si>
  <si>
    <t>(19/02/2026) em contato com Andreia ! atualmente usa ERP Linx e busca ferramenta de força de vendas 
estamos alinhando data de apresentação 
(09/03/2026) Após envio da proposta comercial Andréa não respondeu mais ! dois pontos de atenção com relacçao ao seu ramo de atividade , por ser um fabrica de roupas e ERP Linx</t>
  </si>
  <si>
    <t>investimento alto</t>
  </si>
  <si>
    <t>06596658787</t>
  </si>
  <si>
    <t>Alessandro</t>
  </si>
  <si>
    <t>92992307944</t>
  </si>
  <si>
    <t>11988461881</t>
  </si>
  <si>
    <t>Cliente é um representante da Oster e outras marcas, a ideia de negociação é do AFV, mas no dia sexta-feira, 20 de fevereiro de 2026
11:00 - 12:00 (BRT) - realizamos uma apresentação do AFv, durante a reunião pediu uma proposta do ERP também para avaliar uma possivel troca. 
Após a reunião fizemos uma segunda ruenião de apresentação da proposta comercial no dia 24/02
Após isso cliente ficou de me passar uma contra proposta para negociação, porém ele esta em feria no EUA, e ainda não retornoul
Falei com ele hoje 18/03 e ainda esta em feira e pediu para retornar na sexta oferecendo um login e senha. 
Vou retornar o contato na sexta para entender(provavelemente é do AFV) mas dar sequencia no atendimento
24.03 Estou marcando uma reunião presencial, porém essa semana esta em SC.</t>
  </si>
  <si>
    <t>19992189262</t>
  </si>
  <si>
    <t>11991241336</t>
  </si>
  <si>
    <t>13981286699</t>
  </si>
  <si>
    <t>Dentro Perfil;Fora Perfil;Solicita demo</t>
  </si>
  <si>
    <t>(24/02/20260 Tentativa de ligação não atendia ! enviei mensagem a fim de contato com Geaze ! 
em busca sobre a empresa usando IA do Google :
A Infraloc é uma empresa especializada na locação e venda de móveis corporativos e equipamentos, com forte atuação no setor de construção civil, canteiros de obras e eventos. 
Informações de Contato e Localização
Endereço: R. José Miranda, 143 - Afogados, Recife - PE.
WhatsApp: (81) 98297-2897.
Site Oficial: infraloc.com.br. 
Principais Produtos e Serviços
A empresa oferece soluções completas para canteiros, escritórios e refeitórios, incluindo:
Móveis Corporativos: Mesas de reunião, mesas e cadeiras de escritório, armários roupeiros e estações de trabalho.
Equipamentos: Bebedouros industriais, cafeteiras expressas, impressoras a laser e máquinas para construção.
Estruturas para Eventos: Locação de toldos, mesas e cadeiras de PVC para festas e eventos em gera
(25/02/2026) cliente trabalha com locação de equipamento , é necessário controle e contrato de locação manutenção (Fora do perfil )</t>
  </si>
  <si>
    <t>81986574539</t>
  </si>
  <si>
    <t>(25/02/2026) cliente trabalha com locação de equipamento , é necessário controle e contrato de locação manutenção (Fora do perfil )</t>
  </si>
  <si>
    <t>62992132212</t>
  </si>
  <si>
    <t>67992079099</t>
  </si>
  <si>
    <t>37988006012</t>
  </si>
  <si>
    <t>25/02/2026) em contato com Rogério 
aoós tentativa de ligação nos falamos via WhatsApp conforme abaixo : 
15:40, 25/02/2026 Junior Lopes: Olá Rogério , boa tarde
15:40, 25/02/2026 Junior Lopes: Sou Junior Lopes da Guarani sistemas! Td bem ?
15:40, 25/02/2026 Teodoro Cosmeticos: Boa tarde Júnior
15:41, 25/02/2026 Teodoro Cosmeticos: Bem graças a Deus
15:41, 25/02/2026 Junior Lopes: Que bom
15:41, 25/02/2026 Junior Lopes: Estou retornando um contato que vc fez conosco, relacionado ao nosso software
através de um áudio pedi para me falar um pouco mais sonbre sua empresa e dores 
(25/02/2026) Agenda de apresentação AFV 
(12/03/2026) Rogério achou investimento alto para o momento  atual</t>
  </si>
  <si>
    <t>(12/03/2026) Rogério achou investimento alto para o momento  atual</t>
  </si>
  <si>
    <t>(26/02/2026) Tentativa de ligação não atendida 
09:13, 26/02/2026 Junior Lopes: Olá Junior, bom dia
09:13, 26/02/2026 Junior Lopes: aqui é Junior Lopes da Guarani sistemas, tudo bem ?
09:14, 26/02/2026 Junior Lopes: estou retornando um contato que você fez relacionado ao sistema Guarani
(26/02/2026) cliente não retorna aos contatos ! em breve pesquisa sobre a Revisão autopeças identifiquei que loja balcão ficando fora do perfil 
estou declinando</t>
  </si>
  <si>
    <t>3196677652</t>
  </si>
  <si>
    <t>uilian</t>
  </si>
  <si>
    <t>100</t>
  </si>
  <si>
    <t>teodoro cosméticos - afv</t>
  </si>
  <si>
    <t>Teodoro cosméticos - AFV</t>
  </si>
  <si>
    <t>1435416311</t>
  </si>
  <si>
    <t>teodoro cosméticos - cloud</t>
  </si>
  <si>
    <t>Teodoro cosméticos - Cloud</t>
  </si>
  <si>
    <t>Encartelados Nina - Cloud</t>
  </si>
  <si>
    <t>4733683065</t>
  </si>
  <si>
    <t>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t>
  </si>
  <si>
    <t>11915642482</t>
  </si>
  <si>
    <t>1184724282</t>
  </si>
  <si>
    <t>29/04/2026</t>
  </si>
  <si>
    <t>4699841338</t>
  </si>
  <si>
    <t>280</t>
  </si>
  <si>
    <t>Breno</t>
  </si>
  <si>
    <t>11994558029</t>
  </si>
  <si>
    <t>KAREN STANGE</t>
  </si>
  <si>
    <t>17:05, 04/03/2026 Junior Lopes: Olá Marcelo ! Boa tarde
17:05, 04/03/2026 Junior Lopes: Junior da Guarani sistemas por aqui , Td bem ?
17:07, 04/03/2026 Junior Lopes: Estou retornando um contato que vc fez conosco ! Qual melhor horário para falarmos ?
17:14, 04/03/2026 Marcelo Plug Lar: opa blz.
17:14, 04/03/2026 Marcelo Plug Lar: joia junior
17:15, 04/03/2026 Junior Lopes: Td joia Marcelo
17:18, 04/03/2026 Marcelo Plug Lar: eu queria conhecer + sobre o sistema de vocês.
17:18, 04/03/2026 Marcelo Plug Lar: eu procuro algo básico
(09/03/2026) Buscando contato com Marcelo a fim de darmos sequencia 
(09/03/2026) Marcelo busca um software mais simples e com custo menor!</t>
  </si>
  <si>
    <t>(09/03/2026) Marcelo busca um software mais simples e com custo menor!</t>
  </si>
  <si>
    <t>(11) 3254-7100</t>
  </si>
  <si>
    <t>GlobalMIx</t>
  </si>
  <si>
    <t>67999772326</t>
  </si>
  <si>
    <t>19974124080</t>
  </si>
  <si>
    <t>) declinando por falta de interação por parte do cliente</t>
  </si>
  <si>
    <t>16991945630</t>
  </si>
  <si>
    <t>(10/03/2026) Em contato com Maxwel 
(27/03/2026) após analise cliente fica fora do perfil ! estamparia de camisetas, canecas e brindes em geral</t>
  </si>
  <si>
    <t>11989296453</t>
  </si>
  <si>
    <t>(27/03/2026) após analise cliente fica fora do perfil ! estamparia de camisetas, canecas e brindes em geral</t>
  </si>
  <si>
    <t>74999642551</t>
  </si>
  <si>
    <t>Reunião realizada 08.04.2024 presencial no cliente
04.05 - Estou avançando a negociação com o client,e porém ele não concorda com o rejuste de no minimo 5% do contrato</t>
  </si>
  <si>
    <t>11983479931</t>
  </si>
  <si>
    <t>(10/03/2026) em contato com Bruno 
(10/03/2026) cliente informa que já fechou projeto com a Mercos</t>
  </si>
  <si>
    <t>(10/03/2026) cliente informa que já fechou projeto com a Mercos</t>
  </si>
  <si>
    <t>(11/03/2026) Agenda de apresentação para 17/03/2026
(30/03/2026) Alinhando visita presencial com Thiago</t>
  </si>
  <si>
    <t>(20/03/2026) contato com  Ramos a fim de seguirmos com negociações 
09:22, 06/05/2026 Junior Lopes: Olá Danilo ! Td bem meu amigo 
Ficamos de fazer uma agenda de apresentação para seu sócio ! 
Vamos agendar para próxima semana ?
10:07, 06/05/2026 Danilo Euroquad: Bom dia
10:08, 06/05/2026 Danilo Euroquad: Tudo bem e vc?
10:08, 06/05/2026 Danilo Euroquad: Estou na china volto no final do mês
10:08, 06/05/2026 Danilo Euroquad: Quando chegar marcamos
11:35, 06/05/2026 Junior Lopes: Perfeito Danilo, ótimos negocios por ai</t>
  </si>
  <si>
    <t>Vera Lucia</t>
  </si>
  <si>
    <t>Pausado</t>
  </si>
  <si>
    <t>Brisa Artes</t>
  </si>
  <si>
    <t>11992558277</t>
  </si>
  <si>
    <t>09:04, 13/03/2026 Junior Lopes: Olá Victor, bom dia
09:04, 13/03/2026 Junior Lopes: sou Junior Lopes da Guarani sistemas, td bem ?
09:05, 13/03/2026 Junior Lopes: estou retornando um contato que vc fez conosco relacionado ao nosso software de gestão Guarani sistemas
(13/03/2026) Aós tentativa de ligação e contato ! nenhuma respondida 
estou descartando a oportunidade pois o nome da empresa mencionado não existe e demais informações preenchidas sem dados concretos ! por informar que tem um faturamento abaixo de 200K mensal fica fora do nosso perfil</t>
  </si>
  <si>
    <t>38998244039</t>
  </si>
  <si>
    <t>(13/03/2026) em contato com Juraci a fim de retomar assunto sobre força de vendas 
(12/03/2026) em contato com Juraci, informou que vamos voltar a falar no final do ano ! devido a sua alta demanda de vendas nesse período inviabilizou o projeto nesse momento</t>
  </si>
  <si>
    <t>Gola Comercial</t>
  </si>
  <si>
    <t>(47) 9214-8117</t>
  </si>
  <si>
    <t>(17/03/2026) em contato com Junior ! A Otmiza busca um software para gerenciamento de obras com controle de contratos e ordens de serviço</t>
  </si>
  <si>
    <t>6399999235</t>
  </si>
  <si>
    <t>11947270946</t>
  </si>
  <si>
    <t>(17/03/2026) em contato com Diego ! a Biricutico é um deposito de bebidas com venda balcão para pessoa física</t>
  </si>
  <si>
    <t>21964945088</t>
  </si>
  <si>
    <t>Falei com o Marcelo são uma distribuidora de descartaveis e estão buscando um software. 
30.03 - esta viajando, pediu retorno na proxima semana
Passei informações sobre a Guarani, e enviei nossa apresentação, hoje vão ter uma reunião interna para saber quais sistemas que vão 18/03 agendar uma apresentação 
30.03 - Falou que esta em viagem, pediu para retornar
07.03 - não estou tendo nenhum retorno</t>
  </si>
  <si>
    <t>62991537827</t>
  </si>
  <si>
    <t>73988565500</t>
  </si>
  <si>
    <t>14:10, 16/03/2026 Junior Lopes: Olá Rogerio, boa tarde ! 
(27/03/2026) após varias tentativas sem retorno do Rogério , declinando oportunidade
Sou Junior Lopes da Guarani sistemas
14:11, 16/03/2026 Junior Lopes: estou retornando um contato que vc fez conosco
12:18, 19/03/2026 Junior Lopes: OLá Rogério ! tudo Bem ?
12:19, 19/03/2026 Junior Lopes: tem interesse em dar continuidade ?
(06/04/2026) varias tentativas de contato sem retorno</t>
  </si>
  <si>
    <t>82993812526</t>
  </si>
  <si>
    <t>31994220888</t>
  </si>
  <si>
    <t>(23/06/2026) em contato com Leandro , atualmente o perfil é uma padaria e uma fabrica de pequeno porte de pão de alho ! enviei uma estimativa de valores mas achou que para o momento esta muito acima</t>
  </si>
  <si>
    <t>62985336869</t>
  </si>
  <si>
    <t>21970038782</t>
  </si>
  <si>
    <t>Cliente entrou em contato pelo suporte pedindo contato comercial apra falar sobre software, tentie ligar e mandie msg mas ainda não me retornou 
31.03 - não atendeu,</t>
  </si>
  <si>
    <t>(27/03/2026) Flavio não responde aos contatos</t>
  </si>
  <si>
    <t>11987194488</t>
  </si>
  <si>
    <t>Flavio não responde aos contatos</t>
  </si>
  <si>
    <t>62984060714</t>
  </si>
  <si>
    <t>61981840031</t>
  </si>
  <si>
    <t>35998394949</t>
  </si>
  <si>
    <t>Cliente de porte muito pequeno</t>
  </si>
  <si>
    <t>20.03 - Oi Raysa, bem e você?
Estou em viagem e só volto no final da próxima semana. 
Podemos deixar para o meu retorno?
23.03 esta em viagem e retorna no final da proxima semana, agendando contato
31.03 retomamos o contato hoje 
06.04 Eduardo pediu para entrar em contato com o Rafael, preciso entender o negócio deles.</t>
  </si>
  <si>
    <t>71999081968</t>
  </si>
  <si>
    <t>20.03 não atendeu
Boa tarde Jairo, tudo bem?
Meu nome é Rayssa, sou da Guarani Sistemas, estou retornando seu contato interessado em software para a empresa VENTMAR Ventilação
podemos falar?
23.03 achou o investimento alto, é uma loja de bairro</t>
  </si>
  <si>
    <t>67999748649</t>
  </si>
  <si>
    <t>(27/03/2026) Após varias tentativas de contato com Afabio sem retorno ! estou declinando oportunidade</t>
  </si>
  <si>
    <t>9991419327</t>
  </si>
  <si>
    <t>Fora Perfil;Instagram;Perfil Indefinido</t>
  </si>
  <si>
    <t>Após varias tentativas de contato com Afabio sem retorno ! estou declinando oportunidade</t>
  </si>
  <si>
    <t>24.03 - não consegui contato
06.04 - telefone não atende
11:28, 31/03/2026 Rayssa Karapeticov - Comercial - Guarani Sistemas: Bom dia Lucas, como vai?
Meu nome é Rayssa, sou da Guarani Sistemas. 
Estou tentando contato com você para entender como as soluções da Guarani Sistemas podem atender a MaisMendes Distribuidora Materiais para construção
11:56, 06/04/2026 Rayssa Karapeticov - Comercial - Guarani Sistemas: Boa tarde Lucas, tudo bem? 
Meu nome é Rayssa, sou da Guarani Sistemas. 
Ainda faz sentido a procura de uma solução para sua empresa?
07.4</t>
  </si>
  <si>
    <t>62993734302</t>
  </si>
  <si>
    <t>(23/03/2026) contato com Rafael 
(27/03/2026) Rafael não responde aos contato</t>
  </si>
  <si>
    <t>27999328628</t>
  </si>
  <si>
    <t>(31/03/2026) Reciclanorte  tem algumas particularidades que fogem do nosso ERP</t>
  </si>
  <si>
    <t>Mateus Ramos</t>
  </si>
  <si>
    <t>globalmix - cloud</t>
  </si>
  <si>
    <t>GlobalMix - Cloud</t>
  </si>
  <si>
    <t>11988736515</t>
  </si>
  <si>
    <t>11912958843</t>
  </si>
  <si>
    <t>(26/03/2026) em contato com Joel</t>
  </si>
  <si>
    <t>47988227474</t>
  </si>
  <si>
    <t>11984731999</t>
  </si>
  <si>
    <t>61999781085</t>
  </si>
  <si>
    <t>(30/03/2026) Alinhando visita presencial com Thiago</t>
  </si>
  <si>
    <t>banana toys - cloud</t>
  </si>
  <si>
    <t>Banana Toys - Cloud</t>
  </si>
  <si>
    <t>1532835196</t>
  </si>
  <si>
    <t>util ud - pcp / wms</t>
  </si>
  <si>
    <t>Util Ud - PCP / WMS</t>
  </si>
  <si>
    <t>19974080034</t>
  </si>
  <si>
    <t>(24/04/2026) orçamento não aprovado</t>
  </si>
  <si>
    <t>weck - horas</t>
  </si>
  <si>
    <t>Weck - Horas</t>
  </si>
  <si>
    <t>11947895866</t>
  </si>
  <si>
    <t>Claudio achou o valor muito acima para investimento</t>
  </si>
  <si>
    <t>casabella claudio teixeira - cloud</t>
  </si>
  <si>
    <t>Casabella Claudio Teixeira - Cloud</t>
  </si>
  <si>
    <t>31971564261</t>
  </si>
  <si>
    <t>(31/03/2026) cliente de loja porte pequeno , fora do perfil</t>
  </si>
  <si>
    <t>15991197046</t>
  </si>
  <si>
    <t>(31/03/2026) em contato com Fernando 
(06/04/2026) declinando por falta de retorno</t>
  </si>
  <si>
    <t>(20/04/2026) em contato com Edson , informou que Baag vai manter servidor local devido ao alto investimento</t>
  </si>
  <si>
    <t>baag - cloud</t>
  </si>
  <si>
    <t>Baag - Cloud</t>
  </si>
  <si>
    <t>24/04/2026) Edson falou com diretoria e achou valor alto para o momento</t>
  </si>
  <si>
    <t>(01/04/2026) Badux é uma auto elétrica que que faz manutenção e venda de peças no balcão (lojista)</t>
  </si>
  <si>
    <t>(07/04/2026) tentativas de contato sem sucesso , em analise sobre verifiquei que é um empresa de lavanderia ! fora do perfil</t>
  </si>
  <si>
    <t>44988361402</t>
  </si>
  <si>
    <t>(06/04/2026) em contato com Thamires 
(06/04/2026) Thamires não responde a ligação e e mensagens ! estou descartando o lead , falta muita informação como a razão social do cliente, endereço , CNPJ ! impossível fazer  uma pesquisa sobre o cliente</t>
  </si>
  <si>
    <t>22997047181</t>
  </si>
  <si>
    <t>(06/04/2026) Thamires não responde a ligação e e mensagens ! estou descartando o lead , falta muita informação como a razão social do cliente, endereço , CNPJ ! impossível fazer  uma pesquisa sobre o cliente</t>
  </si>
  <si>
    <t>4694441158</t>
  </si>
  <si>
    <t>(06/04/2026) Coelhos identificado como fora do perfil , executa trabalhos de automação de portaria e vendas de computadores para cliente pessoa física</t>
  </si>
  <si>
    <t>5330256162</t>
  </si>
  <si>
    <t>Baag - BI</t>
  </si>
  <si>
    <t>(09/04/2026) Prospecção , buscando contato para conexão e apresentação das soluções ERP e Força de vendas</t>
  </si>
  <si>
    <t>Unitermi indústria</t>
  </si>
  <si>
    <t>48988044437</t>
  </si>
  <si>
    <t>10.04 Liguei ficou na caixa postal 
Bom dia Vidal, tudo bem?
meu nome é Rayssa, sou da Guarani Sistemas. 
Tentei contato com você para falarmos das soluções de software para sua empresa. 
Qual melhor horario para te retornar?
23.04Bom dia Vidal, como vai?
Estou tentando contato com você para entender sua solicitação para conhecer nossos sistemas.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
Vou deixar uma apresentação de nossa empresa e quando tiver um tempo disponivel por retornar o contato</t>
  </si>
  <si>
    <t>51981230645</t>
  </si>
  <si>
    <t>(10/04/2026) Buscando contato com Belmar</t>
  </si>
  <si>
    <t>(10/04/2026) em contato com Danyllo buscando agenda para um bate papo</t>
  </si>
  <si>
    <t>62991773767</t>
  </si>
  <si>
    <t>Todos os dados preenchidos:
empresa: Grupo Marcamix 
name: Ismael Ramos 
cargo: Analista de Sistemas 
whatsapp: 11960590527 
email: suporte@marcamix.com.br</t>
  </si>
  <si>
    <t>28/04/2026</t>
  </si>
  <si>
    <t>27/04/2026</t>
  </si>
  <si>
    <t>8191451469</t>
  </si>
  <si>
    <t>92991313828</t>
  </si>
  <si>
    <t>27999346494</t>
  </si>
  <si>
    <t>empresa fora do perfil</t>
  </si>
  <si>
    <t>11949454465</t>
  </si>
  <si>
    <t>(10/04/2026) em contato com Guri a fim de entender melhor suas necessidades</t>
  </si>
  <si>
    <t>54996551297</t>
  </si>
  <si>
    <t>Guri cervejaria é basicamente um bar e entretenimento com quadras de futebol, fora do perfil</t>
  </si>
  <si>
    <t>28.04 Boa tarde Paulo, como vai?
Meu nome é Rayssa, sou da Guarani Sistemas, e falei com você uns dias atrás para entender sua necessidade de implantação de um novo software, porém, não consegui mais falar com você.
Ainda está em busca de uma solução tecnologica para a empresa?</t>
  </si>
  <si>
    <t>up &amp; ib embalagens industriais</t>
  </si>
  <si>
    <t>(11) 4199-5100</t>
  </si>
  <si>
    <t>financeiro@up-ib.com.br</t>
  </si>
  <si>
    <t>ARACARIGUAMA</t>
  </si>
  <si>
    <t>Aucione Lima da Silva</t>
  </si>
  <si>
    <t>11947878080</t>
  </si>
  <si>
    <t>(10/04/2026) Buscando contato com Andrea</t>
  </si>
  <si>
    <t>16/04/2026</t>
  </si>
  <si>
    <t>15/04/2026</t>
  </si>
  <si>
    <t>06/05/2026</t>
  </si>
  <si>
    <t>11996146290</t>
  </si>
  <si>
    <t>(11) 3315-0052</t>
  </si>
  <si>
    <t>16.14 - apresentação realizada</t>
  </si>
  <si>
    <t>ns iguacu eletronicos</t>
  </si>
  <si>
    <t>(11) 96978-9804</t>
  </si>
  <si>
    <t>23/04/2026</t>
  </si>
  <si>
    <t>(23/04/2026) em ligação 
adicionou meu numero de WhatsApp para enviar ao gerente comercial 
10:49, 23/04/2026 Amanda Etilux Oliveira: Bom dia, tudo bem ?
10:50, 23/04/2026 Amanda Etilux Oliveira: Amanda da Etilux
10:50, 23/04/2026 Junior Lopes: Olá Amanda, bom dia! Tudo bem por aqui. Como posso te ajudar hoje?
10:57, 23/04/2026 Junior Lopes: Olá ! Muito obrigado
10:58, 23/04/2026 Amanda Etilux Oliveira: poderia me explicar de novo, para te encaminhar para o setor responsavel
10:58, 23/04/2026 Junior Lopes: Td bem Amanda ?
10:59, 23/04/2026 Amanda Etilux Oliveira: sim
11:01, 23/04/2026 Junior Lopes: Sou Junior Lopes da Guarani sistemas 
A ideia é apresentar nossa soluções para automação da força de vendas 
Nossa solução pode ajudar seu representante a vender mais com recursos de IA acoplado ao aplicativo, vendas B2B feitas pelo próprio representante/vendedor
11:01, 23/04/2026 Junior Lopes: A ideia é apresentar essa solução para seu gestor comercial
11:01, 23/04/2026 Junior Lopes: Acredito que seja o Rodrigo Fritoli
11:03, 23/04/2026 Amanda Etilux Oliveira: Sobre sistemas pode mandar e-mail ewerton.dias@etilux.com.br
11:04, 23/04/2026 Junior Lopes: Ta joia ! Vou enviar para Ewerton
11:04, 23/04/2026 Junior Lopes: Acredito que seja o Rodrigo Fritoli
Vc consegue me enviar o telefone do Rodrigo?
11:05, 23/04/2026 Amanda Etilux Oliveira: Consigo te enviar o e-mail 
rodrigo.fritoli@etilux.com.br</t>
  </si>
  <si>
    <t>(11) 3227-3263</t>
  </si>
  <si>
    <t>14.04 - em ligação com o cliente, já conhecem o Guarani devido a clientes do mesmo segmento, e já tiveram uma conversa conosco a uns 15 anos atrás e não avançaram devido o valor. Retornou o contato pedindo uma apreentação do sistemas para os funcionários da empresa ainda essa semana, porque o diretor que estara presente viaja na proxima semana</t>
  </si>
  <si>
    <t>Fechou com o concorrente - funcionaliadade</t>
  </si>
  <si>
    <t>17/04/2026</t>
  </si>
  <si>
    <t>ERP, AFV, WMS, COMEX, CLOUD</t>
  </si>
  <si>
    <t>33988611992</t>
  </si>
  <si>
    <t>(14/04/2026) em contato com Renan 
10:42, 14/04/2026 Junior Lopes: Olá Renan, bom dia ! tudo bem ?
10:42, 14/04/2026 Junior Lopes: sou Junior Lopes da Guarani sistemas td bem ?
10:44, 14/04/2026 +55 66 9647-2785: Bom dia Junior
10:44, 14/04/2026 +55 66 9647-2785: Tudo bem e contigo?
10:45, 14/04/2026 Junior Lopes: Opa Td joia ! 
Estou retornando para vc um contato que fez conosco sobre nosso software
11:03, 14/04/2026 +55 66 9647-2785: Vc tem sistema para materiais para construção
11:03, 14/04/2026 +55 66 9647-2785: ?
11:27, 14/04/2026 +55 66 9647-2785: A venda somente interna mesmo
11:27, 14/04/2026 +55 66 9647-2785: Não tem vendedores externos
11:36, 14/04/2026 Junior Lopes: Fiz uma análise rápida aqui Renan devido alguns pontos não consigo te atender! Ate pq nossa solução é mais focada em distribuição</t>
  </si>
  <si>
    <t>66996472785</t>
  </si>
  <si>
    <t>em contato com Renan, precisa de um PDV para loja de material de construção com particularidades de entrega parcial e controle de medidas das para venda de terras e pedras</t>
  </si>
  <si>
    <t>64999291080</t>
  </si>
  <si>
    <t>85994341515</t>
  </si>
  <si>
    <t>dois pontos que o cliente usou para não seguir ! busca um ERP Mais simples e com valor ,ais em conta</t>
  </si>
  <si>
    <t>3133780033</t>
  </si>
  <si>
    <t>28.04</t>
  </si>
  <si>
    <t>rk assessoria contábil</t>
  </si>
  <si>
    <t>RK Assessoria Contábil</t>
  </si>
  <si>
    <t>92981527777</t>
  </si>
  <si>
    <t>rcustodio777@gmail.com</t>
  </si>
  <si>
    <t>Amazonas</t>
  </si>
  <si>
    <t>11:25, 16/04/2026 Junior Lopes: Olá bom dia !
11:25, 16/04/2026 Junior Lopes: Sou Junior Lopes da Guarani sistemas, Td bem ?
11:28, 16/04/2026 Junior Lopes: Estou retornando um contato que vc fez conosco
11:38, 16/04/2026 Big Alimentos: BIG Alimentos  agradece seu contato. Como podemos ajudar?
14:48, 16/04/2026 Big Alimentos: Olá
14:49, 16/04/2026 Big Alimentos: Júnior estou na estrada 
Retorno na quarta
14:49, 16/04/2026 Big Alimentos: Aí falamos
14:49, 16/04/2026 Big Alimentos: Blz
14:54, 16/04/2026 Junior Lopes: Boa viagem 👊
🙏
(18/05/2026) cliente não responde aos contatos</t>
  </si>
  <si>
    <t>autofoz</t>
  </si>
  <si>
    <t>AutoFoz</t>
  </si>
  <si>
    <t>41991237979</t>
  </si>
  <si>
    <t>b8alimentos@gmail.com</t>
  </si>
  <si>
    <t>Brasil</t>
  </si>
  <si>
    <t>inicialmente cliente chegou a responder , logo sumiu e não retorna mais</t>
  </si>
  <si>
    <t>14:26, 17/04/2026 Junior Lopes: Olá Danilo ,
Boa tarde 
Sou Junior Lopes da Guarani sistemas! Td bem ? 
Quem me passou seu contato foi o Jonas
14:26, 17/04/2026 Danillo Negrao Atac: ola tudo bem??
14:33, 17/04/2026 Junior Lopes: Imagine que o próprio representante/vendedor pode enviar loja B2B para o cliente dele e administrar essas lojas no dispositivo</t>
  </si>
  <si>
    <t>Ferragens Negrao Comercial Ltda</t>
  </si>
  <si>
    <t>ferragens negrao comercial ltda</t>
  </si>
  <si>
    <t>(41) 2109-8000</t>
  </si>
  <si>
    <t>fiscal@grupofn.com.br</t>
  </si>
  <si>
    <t>(23/04/2026 E mail enviado buscando agenda : 
Olá Tito, Tudo bem ? 
Meu nome é Junior Lopes , da Guarani Sistemas. Escrevo para apresentar uma solução que pode transformar a eficiência da equipe de vendas da Bartofil: o Guarani AFV.
Em anexo, envio um folder com todos os detalhes, mas gostaria de destacar três pilares que fazem toda a diferença:
IA Iara, sua assistente virtual de vendas: Ela atua dentro do app do representante, analisando histórico, ramo de atividade e comportamento de compra para fazer predições e sugestões de venda inteligentes. A Iara aprende com cada cliente e ajuda a impulsionar o mix de produtos ativos, reduzindo rupturas no PDV.
Integração nativa com qualquer ERP: O sistema se conecta perfeitamente ao seu software de gestão atual, seja qual for. Isso garante um fluxo de dados único (pedidos, estoque, clientes) sem retrabalho, duplicidade ou necessidade de mudar toda a operação.
Loja B2B personalizada: Ofereça aos seus clientes um canal de compra 24/7, onde podem fazer pedidos de onde, quando e como quiserem. Isso amplia o ticket médio, libera a equipe de vendas para atividades mais estratégicas e garante que nenhuma oportunidade seja perdida fora do horário comercial.
Além disso, a solução inclui catálogo digital, orçamento e proposta web, roteirização inteligente, controle de estoques em múltiplos locais e indicadores de desempenho em tempo real.
Gostaria de agendar uma apresentação rápida (30–45 minutos) para mostrar, na prática, como o Guarani AFV pode apoiar a equipe da Bartofil e reduzir rupturas no ponto de venda, além de ampliar o mix de produtos ativos em cada cliente.
Você teria disponibilidade na próxima semana, em algum desses horários?
Segunda-feira dia 27/04 às 10 horas 
Terça-feira dia 28/04 às 14 horas 
Se preferir, posso me adequar ao melhor dia e horário para você.
Fico à disposição e agradeço desde já pela atenção.</t>
  </si>
  <si>
    <t>Nova Casa Distribuidora De Materiais Para Construcao S/a</t>
  </si>
  <si>
    <t>nova casa distribuidora</t>
  </si>
  <si>
    <t>(61) 3025-9500</t>
  </si>
  <si>
    <t>fiscal@ncdistribuidora.com.br</t>
  </si>
  <si>
    <t>SAO LUIS</t>
  </si>
  <si>
    <t>MA</t>
  </si>
  <si>
    <t>Bartofil Distribuidora Sa</t>
  </si>
  <si>
    <t>bartofil distribuidora sa</t>
  </si>
  <si>
    <t>(31) 3819-2000</t>
  </si>
  <si>
    <t>contabilidade@bartofil.com.br</t>
  </si>
  <si>
    <t>NOVA FRIBURGO</t>
  </si>
  <si>
    <t>L.l.e. Ferragens Ltda.</t>
  </si>
  <si>
    <t>grupo lle</t>
  </si>
  <si>
    <t>(21) 2131-8511</t>
  </si>
  <si>
    <t>fiscal@grupolle.com.br</t>
  </si>
  <si>
    <t>22.04 caixa postal
10:19, 22/04/2026 Rayssa Karapeticov - Comercial - Guarani Sistemas: Bom dia Valéria, tudo bem?
Meu nome é Rayssa, sou executiva de vendas na Guarani Sistemas
Estou retornando seu contato com interesse em nossa soluções,
10:20, 22/04/2026 Rayssa Karapeticov - Comercial - Guarani Sistemas: Para seguirmos com seu atendimento, preciso entender seus processos e mais sobre sua empresa
Qual a melhor forma para retornar o contato, prefere falar por aqui ou prefere que te ligue?</t>
  </si>
  <si>
    <t>brasil rural</t>
  </si>
  <si>
    <t>Brasil Rural</t>
  </si>
  <si>
    <t>17997762600</t>
  </si>
  <si>
    <t>valeria.rod312@gmail.com</t>
  </si>
  <si>
    <t>e mail enviado 
(30/04/2026) em contato com Manoel vendo melhor data para apresentação 
Olá Manoel ! 
Meu nome é Junior Lopes, sou Executivo de Contas Corporativas na Guarani Sistemas, empresa especializada em soluções de gestão empresarial e comercial para toda a cadeia de abastecimento de artigos para o lar.
Desde 2006, desenvolvemos e implementamos ferramentas que fomentam o crescimento dos nossos clientes. Hoje, contamos com mais de 900 clientes ativos, 40 mil usuários e cerca de 65 mil notas fiscais geradas diariamente em nossa plataforma, mantendo um crescimento médio anual de 20%. Nosso propósito é transformar nossos clientes em referência comercial e operacional em seus mercados, criando em conjunto soluções flexíveis que promovam diretamente o crescimento do negócio.
Atendemos indústrias, importadores, distribuidores, atacadistas e varejistas dos segmentos de utilidades domésticas, brinquedos, presentes, decoração, metalúrgica, química, alimentos, têxtil, agro e outros generalistas. Entre nossos clientes, temos casos de sucesso como Plasútil, Paramount, Ingá Import, Alumínio Nacional e Dolce Home, que ampliaram sua eficiência e cresceram fortemente com o apoio de nossas soluções.
Para a Home Market 24h, enxergamos grande potencial de apoio principalmente em três frentes:
Gestão integrada da operação, com nosso ERP (on-premise ou em nuvem), módulos de PCP e WMS, garantindo controle de estoques, compras, vendas, faturamento, financeiro e logística em um único ambiente.
Automação da força de vendas, com o Guarani AFV, levando mais produtividade, controle e inteligência comercial para a equipe, com informações em tempo real e apoio à expansão da carteira de clientes.
E-commerce B2B integrado, com o Power B2B, permitindo que seus clientes realizem pedidos de maneira simples, rápida e totalmente integrada ao ERP, ampliando o alcance da Home Market 24h no mercado corporativo.
Gostaria de agendar uma breve conversa para entender melhor o cenário atual da Home Market 24h e apresentar de forma objetiva como a Guarani Sistemas pode contribuir com a operação de vocês?
Fico à disposição para alinhar o melhor dia e horário.
Atenciosamente,</t>
  </si>
  <si>
    <t>comercial o manoel</t>
  </si>
  <si>
    <t>Comercial O Manoel</t>
  </si>
  <si>
    <t>85999874743</t>
  </si>
  <si>
    <t>comercialomanoel@gmail.com</t>
  </si>
  <si>
    <t>Ceara</t>
  </si>
  <si>
    <t>22.04 Não atendeu 
Bom dia, Sergio. Como vai? 
Meu nome é Rayssa, sou Executiva de Vendas na Guarani Sistemas, e estou retornando seu contato com nossa empresa para conhecer mais sobre nossas soluções
Para seguirmos preciso entender sua empresa e seus processos. 
Você prefere seguir o atendimento por aqui ou prefere que te ligue?</t>
  </si>
  <si>
    <t>garrama com essência eirele</t>
  </si>
  <si>
    <t>Garrama com essência eirele</t>
  </si>
  <si>
    <t>11986111998</t>
  </si>
  <si>
    <t>ss.sergiofaertes@gmail.com</t>
  </si>
  <si>
    <t>supermercado mathur</t>
  </si>
  <si>
    <t>Supermercado Mathur</t>
  </si>
  <si>
    <t>11954971535</t>
  </si>
  <si>
    <t>renato@mathur.com.br</t>
  </si>
  <si>
    <t>Sao paulo</t>
  </si>
  <si>
    <t>Supermercado, fora do perfil</t>
  </si>
  <si>
    <t>Falei com o Arthur,. porem quem esta cuidando disso é o Rodrigo, vai passar meu contato para ele para seguir com o Atendimento</t>
  </si>
  <si>
    <t>cafe santa monica</t>
  </si>
  <si>
    <t>Cafe Santa Monica</t>
  </si>
  <si>
    <t>11981430800</t>
  </si>
  <si>
    <t>arthurmosco@gmail.com</t>
  </si>
  <si>
    <t>(20/04/2026) em contato com Kamilla</t>
  </si>
  <si>
    <t>north acai foods</t>
  </si>
  <si>
    <t>NORTH EXPORTACAO</t>
  </si>
  <si>
    <t>(91) 9343-5475</t>
  </si>
  <si>
    <t>northacaifoods@gmail.com</t>
  </si>
  <si>
    <t>BELEM</t>
  </si>
  <si>
    <t>22.04 liguei e deu caixa postal 
Bom dia Rafael, tudo bem? 
Meu nome e Rayssa, sou Executiva de Vendas na Guarani Sistemas, estou retornando seu contato para falar sobre seu interesse em um novo software. 
Para seguirmos com esse contato preciso entender o processo de sua empresa e o que esta buscando 
Como prefere seguir o atendimento, por aqui ou quer que eu te ligue?</t>
  </si>
  <si>
    <t>lpx</t>
  </si>
  <si>
    <t>Lpx</t>
  </si>
  <si>
    <t>9282770000</t>
  </si>
  <si>
    <t>atakadaoeletrica@gmail.com</t>
  </si>
  <si>
    <t>16:55, 20/04/2026 Junior Lopes: Olá Marcos , boa tarde
16:55, 20/04/2026 Junior Lopes: sou Junior lopes da Guarani sistemas, td bem ?
16:55, 20/04/2026 Junior Lopes: estou retornando contato que vc fez conosco
17:18, 20/04/2026 +55 18 99701-9440: Olá boa tarde.</t>
  </si>
  <si>
    <t>governo do estado de são paulo</t>
  </si>
  <si>
    <t>Governo do Estado de São Paulo</t>
  </si>
  <si>
    <t>18997019440</t>
  </si>
  <si>
    <t>marcosleitao37@hotmail.com</t>
  </si>
  <si>
    <t>Presidente Epitácio Sp</t>
  </si>
  <si>
    <t>Andrea</t>
  </si>
  <si>
    <t>(11) 4526-2313</t>
  </si>
  <si>
    <t>financeiro@hoberplasticos.com.br</t>
  </si>
  <si>
    <t>02/04/2026 00:00</t>
  </si>
  <si>
    <t>(11) 4151-2564/ (11) 4551-2554</t>
  </si>
  <si>
    <t>comercial@kopermax.com.br</t>
  </si>
  <si>
    <t>CARAPICUIBA</t>
  </si>
  <si>
    <t>(23/04/2026) em contato com João Netto via telefone 
atualmente busca um software para automação da sua produção e controle de estoque que contempla a gestão financeira e fiscal , sua equipe de venda precisa de um aplicativo para estrada e controle de pedidos</t>
  </si>
  <si>
    <t>bia alimentos</t>
  </si>
  <si>
    <t>Bia alimentos</t>
  </si>
  <si>
    <t>75992608709</t>
  </si>
  <si>
    <t>jjneto28@gmail.com</t>
  </si>
  <si>
    <t>SAO GONCALO DOS CAMPOS</t>
  </si>
  <si>
    <t>quality medical</t>
  </si>
  <si>
    <t>Quality medical</t>
  </si>
  <si>
    <t>6592542913</t>
  </si>
  <si>
    <t>marcosrobertosilvestre@hotmail.com</t>
  </si>
  <si>
    <t>autônomo</t>
  </si>
  <si>
    <t>94991836683</t>
  </si>
  <si>
    <t>gersondsvasconcelos@gmail.com</t>
  </si>
  <si>
    <t>(27/04/2026) em contato com Carol, Sr. Paulo não estava na empresa ! Carol anotou meu WhatsApp para retorno</t>
  </si>
  <si>
    <t>plaslumy distribuidora de embalagens ltda</t>
  </si>
  <si>
    <t>plaslumy</t>
  </si>
  <si>
    <t>(35) 3232-2223 / (35) 3234-1578 / (35) 3232-2223</t>
  </si>
  <si>
    <t>fiscal@plaslumy.com.br</t>
  </si>
  <si>
    <t>TRES CORACOES</t>
  </si>
  <si>
    <t>shopping do parafuso ltda</t>
  </si>
  <si>
    <t>Shopping do Parafuso</t>
  </si>
  <si>
    <t>31996583027</t>
  </si>
  <si>
    <t>comercial@shoppingdoparafuso.com.br</t>
  </si>
  <si>
    <t>Max LED</t>
  </si>
  <si>
    <t>(11) 2181-1005 / (11) 6735-4750 / (11) 2181-1005</t>
  </si>
  <si>
    <t>alexfelixsantos@hotmail.com</t>
  </si>
  <si>
    <t>18/05/2026</t>
  </si>
  <si>
    <t>tres americas alimentos</t>
  </si>
  <si>
    <t>Tres americas alimentos</t>
  </si>
  <si>
    <t>65992888768</t>
  </si>
  <si>
    <t>jctransportess.mt@gmail.com</t>
  </si>
  <si>
    <t>Todos os dados preenchidos:
empresa: Alexdan 
name: Alexandre Biassio 
cargo: Diretor 
whatsapp: 11982599832 
email: alexandre@alexdan.com.br 
referrer: https://www.guaranisistemas.com.br/</t>
  </si>
  <si>
    <t>alexdan importacao e exportacao ltda</t>
  </si>
  <si>
    <t>Alexandre Biassio</t>
  </si>
  <si>
    <t>alexandre@alexdan.com.br</t>
  </si>
  <si>
    <t>(28/04/2026) em contato com Janayna</t>
  </si>
  <si>
    <t>bitilila nails</t>
  </si>
  <si>
    <t>Bitilila Nails</t>
  </si>
  <si>
    <t>17997180789</t>
  </si>
  <si>
    <t>janaynamundial@hotmail.com</t>
  </si>
  <si>
    <t>Abc Internacional Comercio Importacao E Exportacao Ltda</t>
  </si>
  <si>
    <t>abc internacional</t>
  </si>
  <si>
    <t>(47) 3021-7932</t>
  </si>
  <si>
    <t>contato@contabilidadestacatarina.com.br</t>
  </si>
  <si>
    <t>oneclick</t>
  </si>
  <si>
    <t>Oneclick</t>
  </si>
  <si>
    <t>31999499091</t>
  </si>
  <si>
    <t>hm2matoa@gmail.com</t>
  </si>
  <si>
    <t>16:13, 27/04/2026 Junior Lopes: Olá Manuel , boa tarde
16:14, 27/04/2026 Junior Lopes: Junior da Guarani sistemas por aqui
(28/04/2026) em contato com Manuel, empresa de construção civil , fora do perfil</t>
  </si>
  <si>
    <t>jj soluções industriais</t>
  </si>
  <si>
    <t>JJ SOLUÇÕES INDUSTRIAIS</t>
  </si>
  <si>
    <t>9294614731</t>
  </si>
  <si>
    <t>manuel.rivero@jjsoluempresa.com</t>
  </si>
  <si>
    <t>construção civil</t>
  </si>
  <si>
    <t>big plastic</t>
  </si>
  <si>
    <t>JA ind plástica</t>
  </si>
  <si>
    <t>62981282665</t>
  </si>
  <si>
    <t>big@biglixos.com.br</t>
  </si>
  <si>
    <t>invictus soluções integradas ltda</t>
  </si>
  <si>
    <t>Invictus Soluções Integradas Ltda</t>
  </si>
  <si>
    <t>(34) 3817-8240</t>
  </si>
  <si>
    <t>licitacao.invictus@gmail.com</t>
  </si>
  <si>
    <t>COROMANDEL</t>
  </si>
  <si>
    <t>16:36, 27/04/2026 Junior Lopes: Olá Paulo , boa tarde
16:37, 27/04/2026 Junior Lopes: Junior da Guarani sistemas por aqui
16:37, 27/04/2026 Junior Lopes: Td bem ?
11:46, 28/04/2026 Junior Lopes: Paulo , tudo bem ? 
Não tive seu retorno 
De qualquer forma pode me chamar caso queira dar continuidade 
Um abraço</t>
  </si>
  <si>
    <t>paulo sergio</t>
  </si>
  <si>
    <t>Paulo Sergio</t>
  </si>
  <si>
    <t>(67) 99341-4113</t>
  </si>
  <si>
    <t>paulopedradagua@gmail.com</t>
  </si>
  <si>
    <t>28/04/2026) tentativa de contato não atendida , em uma busca sobre o lead, percebi que esta fora do perfil , revendedor de têni</t>
  </si>
  <si>
    <t>grijalba aguiar linhares</t>
  </si>
  <si>
    <t>GRIJALBA AGUIAR LINHARES</t>
  </si>
  <si>
    <t>85985507327</t>
  </si>
  <si>
    <t>grijalbalinhares@gmail.com</t>
  </si>
  <si>
    <t>fora do perfil, revendedor de tenis</t>
  </si>
  <si>
    <t>megacenter trading company ltda</t>
  </si>
  <si>
    <t>Megacenter trading</t>
  </si>
  <si>
    <t>45999334900</t>
  </si>
  <si>
    <t>eduardo@megacenteratacado.com.br</t>
  </si>
  <si>
    <t>Foz do iguaçu</t>
  </si>
  <si>
    <t>distribuidora robaski</t>
  </si>
  <si>
    <t>Distribuidora Robaski</t>
  </si>
  <si>
    <t>51998484595</t>
  </si>
  <si>
    <t>edson@robaski.com.br</t>
  </si>
  <si>
    <t>alex martelinho servicos automotivos</t>
  </si>
  <si>
    <t>Rc distribuidora</t>
  </si>
  <si>
    <t>93991455102</t>
  </si>
  <si>
    <t>dis.aliaca@gemai.com</t>
  </si>
  <si>
    <t>08:59, 29/04/2026 Junior Lopes: Olá Antonio , bom dia
09:00, 29/04/2026 Junior Lopes: Junior da Guarani sistemas por aqui
16:55, 04/05/2026 Junior Lopes: Olá Antonio ! Boa tarde</t>
  </si>
  <si>
    <t>bem estar industrial ltda</t>
  </si>
  <si>
    <t>Antonio Rodriguez</t>
  </si>
  <si>
    <t>31992924902</t>
  </si>
  <si>
    <t>ar@linexgel.com.br</t>
  </si>
  <si>
    <t>Contagem</t>
  </si>
  <si>
    <t>br safe</t>
  </si>
  <si>
    <t>Brsafe Comércio de Epis Ltda</t>
  </si>
  <si>
    <t>43999150512</t>
  </si>
  <si>
    <t>comercial@brsafeepi.com.br</t>
  </si>
  <si>
    <t>Arapongas</t>
  </si>
  <si>
    <t>MDL (HOras)</t>
  </si>
  <si>
    <t>14/05/2026</t>
  </si>
  <si>
    <t>em contato com Dayane, vamos nos reunir na segunda feira dia 18/05</t>
  </si>
  <si>
    <t>Tecelagem Castilho (E-commerce)</t>
  </si>
  <si>
    <t>16/04/2026 00:00</t>
  </si>
  <si>
    <t>Logro Soft - Comex</t>
  </si>
  <si>
    <t>Todos os dados preenchidos:empresa: InfinitTec  name: Pedro Paulo cargo: Proprietário  whatsapp: 69981362005 email: adm@infinittec.com.br referrer: https://www.guaranisistemas.com.br/ 
(04/05/2026) em busca sobre o lead ! 
Infinitec é uma casa de software e controladoria financeira</t>
  </si>
  <si>
    <t>infinittec.com.br</t>
  </si>
  <si>
    <t>Pedro Paulo</t>
  </si>
  <si>
    <t>adm@infinittec.com.br</t>
  </si>
  <si>
    <t>Cacoal</t>
  </si>
  <si>
    <t>Fora Perfil</t>
  </si>
  <si>
    <t>casa de software</t>
  </si>
  <si>
    <t>Falei com o Chico: a empresa (atacado) possui 4 lojas e está prestes a inaugurar uma nova filial. Conta com 110 colaboradores (incluindo a equipe interna de vendas/televendas) e 6 representantes comerciais. Atualmente utiliza o sistema RP ERP e demonstrou interesse em conhecer novas opções. Também solicitou referências de clientes da região.
Apresentação agendada para 11/05 às 10h.
(18/05) Enviado msg para Chico a fim de agendar um bate-papo.</t>
  </si>
  <si>
    <t>eficaz atacadao da limpeza</t>
  </si>
  <si>
    <t>(67) 9895-2961</t>
  </si>
  <si>
    <t>gerentedevendas@eficazatacadaodalimpeza.com.br</t>
  </si>
  <si>
    <t>rosh distribuidora</t>
  </si>
  <si>
    <t>Shirley</t>
  </si>
  <si>
    <t>41998464626</t>
  </si>
  <si>
    <t>zahrahcezar@gmail.com</t>
  </si>
  <si>
    <t>PIRAQUARA</t>
  </si>
  <si>
    <t>edu autoparts</t>
  </si>
  <si>
    <t>Edu Autoparts</t>
  </si>
  <si>
    <t>8196028924</t>
  </si>
  <si>
    <t>eduardo@edusomautoparts.com.br</t>
  </si>
  <si>
    <t>(14/05/2026) cliente não responde aos contatos</t>
  </si>
  <si>
    <t>(04/05) Falei com o Leandro. A empresa utiliza o ERP Excellent Sistemas, mas ele relatou insatisfação principalmente nos módulos de compras e controle de estoque. Está em busca de um sistema mais completo.
Solicitou que eu envie mais informações pelo WhatsApp para, em seguida, agendarmos uma reunião.
Atualmente, a equipe conta com 3 representantes e 3 vendedores internos.
(11/05) Enviado e-mail ao Leandro com informações sobre nossas soluções e possíveis ganhos operacionais nas áreas de compras e controle de estoque. Aguardando retorno para agendamento da apresentação.
(18/05) Enviado WhatsApp para Leandro a fim de agendarmos uma apresentação.</t>
  </si>
  <si>
    <t>bornia metais ltda.</t>
  </si>
  <si>
    <t>Bornia Metais Ltda.</t>
  </si>
  <si>
    <t>44991022838</t>
  </si>
  <si>
    <t>gallo.bornia@hotmail.com</t>
  </si>
  <si>
    <t>proprietario</t>
  </si>
  <si>
    <t>Proprietario</t>
  </si>
  <si>
    <t>5591420014</t>
  </si>
  <si>
    <t>lucasmaslonik@hotmail.com</t>
  </si>
  <si>
    <t>bc</t>
  </si>
  <si>
    <t>BC</t>
  </si>
  <si>
    <t>14999125373</t>
  </si>
  <si>
    <t>jeruzamocluciano@gmail.com</t>
  </si>
  <si>
    <t>Inválido - empresa não existe / dados errados</t>
  </si>
  <si>
    <t>(04/05/2026) em ligação com Paulo Rosa , 
atualmente usa ERP https://www.etoerp.com.br/
atualmente esta com dificuldade com PCP em controlar insumos para produção ! esto8u enviando material via e -mail para logo seguirmos com apresentação 
(15/05/2026) após envio de material não obtive mais retorno do Paulo</t>
  </si>
  <si>
    <t>presystem</t>
  </si>
  <si>
    <t>Presystem Projetos e Sistemas Eletrônicos</t>
  </si>
  <si>
    <t>(11) 2031-1273</t>
  </si>
  <si>
    <t>contato@bepcontabilidade.com</t>
  </si>
  <si>
    <t>no dia 05/05 cheguei a falar com Paulo, porem após envio do material e esboço de investimento  nao tive mais retorno</t>
  </si>
  <si>
    <t>Oi
hj sou socio na magnus transformadores
cnpj 27.569.814/0001-06
utilizamos um erp da empresa unicode
vou iniciar uma nova empresa de forma individual com a mesma atividade fabricação de transformadores
preciso de um sistema para gerir todas as estapas do processo da empresa
vendas, compras, produção, financeiro
(15/05/2026) depois da ultima conversa com Raul , dei um esboço do investimento logo não tivemos mais retorno</t>
  </si>
  <si>
    <t>ivan edson dias</t>
  </si>
  <si>
    <t>Ivan Edson Dias</t>
  </si>
  <si>
    <t>(11) 95811-0104</t>
  </si>
  <si>
    <t>ivanedson77@gmail.com</t>
  </si>
  <si>
    <t>(15/05/2026) depois da ultima conversa com Ivan , dei um esboço do investimento logo não tivemos mais retorno</t>
  </si>
  <si>
    <t>(04/05) Realizado ligação, porém, caiu na caixa postal. Enviado msg por WhatsApp.
(11/05) Enviado WhatsApp para Raimundo com o objetivo de verificar o melhor horário para realizar contato telefônico.</t>
  </si>
  <si>
    <t>ellform</t>
  </si>
  <si>
    <t>Ellform</t>
  </si>
  <si>
    <t>7187881309</t>
  </si>
  <si>
    <t>racoelhoneto@hotmail.com</t>
  </si>
  <si>
    <t>(18/05) Raimundo não retornou meus contatos. Enviei uma mensagem encerrando o atendimento no momento, mas deixei meu contato à disposição para um possível retorno futuro.</t>
  </si>
  <si>
    <t>(04/05) Realizado ligação, porém, caiu na caixa postal. Enviado msg por WhatsApp.
(11/05) Enviado WhatsApp para Márcio com o objetivo de verificar o melhor horário para realizar contato telefônico.
(18/05) Tentei contato novamente com Márcio, porém, sem sucesso (Ligação e WhatsApp). Enviado e-mail antes de perder o negócio.</t>
  </si>
  <si>
    <t>morefix comercio e importacao ltda</t>
  </si>
  <si>
    <t>Morefix</t>
  </si>
  <si>
    <t>19991043105</t>
  </si>
  <si>
    <t>marcio.soares@morefix.com.br</t>
  </si>
  <si>
    <t>(04/05/2026) tentativa de ligação ! porem numero somente WhatsApp
(04/05/2026) em contato com Sérgio ! 
em ligação se identificou e já foi cliente Guarani na oportunidade migrou para Winthor ! 
pediu uma ideia de investimento para entender sobre uma eventual mudança ! estou batalhando para nos reunirmos para uma breve apresentação 
Tentativa de contato : 
 14:51, 04/05/2026 Junior Lopes: Olá Sérgio ! Boa tarde
14:51, 04/05/2026 Junior Lopes: Junior da Guarani sistemas por aqui ! Td bem ?
(15/05/2026) tentaiva de ligação não atendia com Sérgio, a ideia é fazer apresentação</t>
  </si>
  <si>
    <t>resende &amp; santos de moc ltda</t>
  </si>
  <si>
    <t>Astrum Distribuidora</t>
  </si>
  <si>
    <t>38988234018</t>
  </si>
  <si>
    <t>sergio@resendesantos.com.br</t>
  </si>
  <si>
    <t>(04/05) Entrei em contato e falei com Luis. Informou que João estará na empresa à partir das 16h, pediu para retornar neste horário.
(06/05) Entrei em contato com o Luis, que solicitou o envio das informações por e-mail ao João. Ficou combinado retorno amanhã às 11h30.
(11/05) Realizada nova tentativa de contato com João, porém sem sucesso. Enviado e-mail com o objetivo de agendar um bate-papo para apresentação das soluções.
(18/05) Como não tive retorno (ligação), enviado e-mail para João antes de perder o negócio.</t>
  </si>
  <si>
    <t>distribuidora renova</t>
  </si>
  <si>
    <t>ferragens renova</t>
  </si>
  <si>
    <t>5134904475</t>
  </si>
  <si>
    <t>diretoria@ferragensrenova.com.br</t>
  </si>
  <si>
    <t>(04/05) Falei com o Thiago: ele está em fechamento e com dois colaboradores do administrativo em férias. Após essa semana, irá verificar uma agenda para conversarmos. Retornar na segunda-feira.
(11/05) Enviado msg para Thiago a fim de agendar um bate-papo.</t>
  </si>
  <si>
    <t>rv distribuidora</t>
  </si>
  <si>
    <t>RV DISTRIBUIDORA DE GENEROS ALIMENTICIOS LTDA</t>
  </si>
  <si>
    <t>Thiago Barbosa</t>
  </si>
  <si>
    <t>(16) 98127-4870</t>
  </si>
  <si>
    <t>16981274870</t>
  </si>
  <si>
    <t>rvdistribuidora123@gmail.com</t>
  </si>
  <si>
    <t>AV LUIZ ALFREDO DE MELO ROSA 460</t>
  </si>
  <si>
    <t>IBATE</t>
  </si>
  <si>
    <t>aparecido ribeiro molina junior</t>
  </si>
  <si>
    <t>Aparecido Ribeiro Molina Junior</t>
  </si>
  <si>
    <t>(19) 99788-2241</t>
  </si>
  <si>
    <t>gerencia@grupogadulog.com.br</t>
  </si>
  <si>
    <t>DESCALVADO</t>
  </si>
  <si>
    <t>Istok comércio</t>
  </si>
  <si>
    <t>(11) 2361-7746</t>
  </si>
  <si>
    <t>diogo.contabilidade@yahoo.com.br</t>
  </si>
  <si>
    <t>12/05/2026</t>
  </si>
  <si>
    <t>(11/05) Enviada nova mensagem via LinkedIn para Rodrigo Buzinari. Em 05/05, também foi encaminhado e-mail para Rodrigo Furtado (diretor).
(18/05) Enviado e-mail para Rodrigo, antes de perder o negócio.</t>
  </si>
  <si>
    <t>petiko</t>
  </si>
  <si>
    <t>PETIKO COMERCIO E DISTRIBUICAO DE PRODUTOS PET S.A</t>
  </si>
  <si>
    <t>Rodrigo José Buzinari</t>
  </si>
  <si>
    <t>(16) 33712-3681</t>
  </si>
  <si>
    <t>eucuidoparavoce@doutorcontabil.com.br</t>
  </si>
  <si>
    <t>R FRANCISCO MARICONDI 254</t>
  </si>
  <si>
    <t>(06/05) Realizei contato telefônico com Lucianei, que informou não poder falar no momento e que retornaria assim que possível. Também enviei mensagem via WhatsApp para acompanhamento.
(07/05) Realizo novo contato por WhatsApp. (Telefone deu caixa portal)
(11/05) Realizada nova tentativa de contato com Luciane, porém sem sucesso. Enviada nova mensagem via WhatsApp.
(18/05) Luciane não retornou meus contatos. Enviei uma mensagem encerrando o atendimento no momento, mas deixei meu contato à disposição para um possível retorno futuro.</t>
  </si>
  <si>
    <t>querosmais</t>
  </si>
  <si>
    <t>Querosmais</t>
  </si>
  <si>
    <t>41988659245</t>
  </si>
  <si>
    <t>querosmais@ig.com.br</t>
  </si>
  <si>
    <t>(18/05) Luciane não retornou meus contatos. Enviei uma mensagem encerrando o atendimento no momento, mas deixei meu contato à disposição para um possível retorno futuro.</t>
  </si>
  <si>
    <t>(06/05) Realizei contato telefônico com Marcelo. A empresa utiliza o sistema Sankhya e demonstrou insatisfação. Possuem vendedores internos e representantes comerciais. Apresentação agendada para quinta-feira (07/05), às 15h.
(07/05) Realizada apresentação para o Marcelo. A reunião foi conduzida pelo Paulo, eu acompanhei.
O projeto contempla aproximadamente 13 usuários entre ERP e AFV. Foi enviado o formulário para preenchimento e, posteriormente, será realizada a emissão da proposta.
Obs.: Marcelo está ciente das horas de implantação.
(14/05) Enviado WhatsApp para Marcelo solicitando um retorno sobre a proposta apresentada.</t>
  </si>
  <si>
    <t>Fikssar distribuidora LTDA</t>
  </si>
  <si>
    <t>34996787403</t>
  </si>
  <si>
    <t>marcelojsilva@fikssar.com.br</t>
  </si>
  <si>
    <t>Patos  de Minas</t>
  </si>
  <si>
    <t>07/05/2026</t>
  </si>
  <si>
    <t>(06/05) Tentei contato telefônico, porém a chamada foi direcionada para a caixa postal. Enviei mensagem via WhatsApp para identificar o melhor horário para retorno da ligação.
(07/05) Johnny retornou a mensagem informando que estava em viagem, cuidando da saúde do pai, e que nesta semana não seria possível falarmos. Disse que na próxima semana entrará em contato. Caso isso não ocorra, realizar novo contato.
(18/05) Enviado nova msg para Johnny a fim de verificar melhor horário para ligação.</t>
  </si>
  <si>
    <t>krieger ind e com fé madeiras</t>
  </si>
  <si>
    <t>Krieger ind e com fé madeiras</t>
  </si>
  <si>
    <t>66984172640</t>
  </si>
  <si>
    <t>kriegermadeiraspga@gmail.com</t>
  </si>
  <si>
    <t>Porto dos Gaúchos MT</t>
  </si>
  <si>
    <t>(07/05) Tentei contato telefônico, porém sem sucesso. Foi enviado WhatsApp para Tiago, com o objetivo de verificar o melhor horário para conversarmos.</t>
  </si>
  <si>
    <t>tiago sandavid</t>
  </si>
  <si>
    <t>Tiago sandavid</t>
  </si>
  <si>
    <t>93991009174</t>
  </si>
  <si>
    <t>souzamaia2010@hotmail.com</t>
  </si>
  <si>
    <t>Empresa de pequeno porte, com 3 vendedores internos.
Atualmente utilizam o sistema Vendr, do Grupo IOB.</t>
  </si>
  <si>
    <t>(07/05/2026) tentativa de ligação 
08:45, 07/05/2026 Junior Lopes: Olá Fran , bom dia
08:45, 07/05/2026 Fran dantas Cafe Espressiata: Espressiata agradece seu contato. Como podemos ajudar?
08:45, 07/05/2026 Junior Lopes: Sou Junior Lopes da Guarani sistemas! Td bem ?</t>
  </si>
  <si>
    <t>torrefacao mineira ltda</t>
  </si>
  <si>
    <t>Espressiata Cafés Especiais</t>
  </si>
  <si>
    <t>34999008780</t>
  </si>
  <si>
    <t>franciele@espressiata.com.br</t>
  </si>
  <si>
    <t>Frutal MG</t>
  </si>
  <si>
    <t>Olá boa tarde ! Junior da Guarani sistemas por aqui 
Logo que nós tivemos retorno ao contato estou finalizando por aqui ! 
Caso mude de ideia por favor só me chamar 
Sucesso por aí</t>
  </si>
  <si>
    <t>jcs perfis</t>
  </si>
  <si>
    <t>Mirian</t>
  </si>
  <si>
    <t>(16) 99705-1588</t>
  </si>
  <si>
    <t>mirian@jcsperfis.com.br</t>
  </si>
  <si>
    <t>-1</t>
  </si>
  <si>
    <t>Todos os dados preenchidos:
empresa: andreingrati@gmail.com 
name: Andre  
cargo: andreingrati@gmail.com 
whatsapp: 18997028677 
email: andreingrati@gmail.com 
referrer: https://www.guaranisistemas.com.br/</t>
  </si>
  <si>
    <t>andre</t>
  </si>
  <si>
    <t>andreingrati@gmail.com</t>
  </si>
  <si>
    <t>Andradina</t>
  </si>
  <si>
    <t>gsh marketing solutions</t>
  </si>
  <si>
    <t>GSH Marketing Solutions</t>
  </si>
  <si>
    <t>8496757596</t>
  </si>
  <si>
    <t>gleydson.silva@live.com</t>
  </si>
  <si>
    <t>08:52, 07/05/2026 Junior Lopes: Olá bom dia !
08:52, 07/05/2026 Junior Lopes: Sou Junior Lopes da Guarani sistemas! Td bem ?
11:51, 07/05/2026 Junior Lopes: qual o melhor horario para falarmos</t>
  </si>
  <si>
    <t>contade</t>
  </si>
  <si>
    <t>Contade</t>
  </si>
  <si>
    <t>4399777609</t>
  </si>
  <si>
    <t>arianagrandepequenasim@gmail.com</t>
  </si>
  <si>
    <t>N sei</t>
  </si>
  <si>
    <t>(14/05/2026) 
contato não responde 
as informações inseridas não encontram dados da empresa ! ideal exigir CNPJ para uma melhor busca</t>
  </si>
  <si>
    <t>(07/05) Falei com Leila. Eles realizaram recentemente a troca de ERP e estão em busca de um novo CRM. Apresentei as soluções que oferecemos, com foco no AFV.
No momento, estamos aguardando o retorno do Gestor Comercial para avançarmos com o agendamento de uma reunião.
(12/05): Leila gostaria de uma reunião para entender melhor as nossa soluções. Como mudaram recentemente de ERP, a idéia é conhecer o nosso força de vendas e o BI para companhamento das vendas/metas.
A Estilo Ar atua como distribuidora de peças e soluções para ar-condicionado automotivo. Filiais em: Uberlândia/MG (matriz), Belo Horizonte/MG, Juiz de Fora/MG, Montes Claros/MG, Goiânia/GO, Itumbiara/GO, Duque de Caxias/RJ e Cuiabá/MT. Então abrindo a nova filial Cuiabá.
Produros que trabalham: Produtos que trabalham: Peças para ar-condicionado automotivo, Componentes Denso e Delphi, Produtos da marca própria Estilo Ar,  Filtros de cabine, Óleos, Higienizadores, Ferramentas e itens para manutenção automotiva. ERP atual: Sankhya e CRM Kommo integrado.
Paulo: o foco é no AFV e BI, pois estão insatisfeito com o CRM atual. 
(12/05) Reunião agendada para 12/05, as 14h30.
(13/05) Reunião realizada. Leila informou que utilizam o CRM da Sankhya há aproximadamente 3 anos, porém estão insatisfeitos com a usabilidade da ferramenta. Atualmente, contam apenas com vendedores internos, mas a intenção é também trabalhar com representantes comerciais a partir do segundo semestre.
Durante a reunião, foram apresentadas a Guarani Sistemas, as soluções AFV, Loja B2B e BI. Também foi enviado, via WhatsApp, o link do CRM Leads2b , juntamente com nossa apresentação institucional.</t>
  </si>
  <si>
    <t>ESTILO AR COMERCIO DE PECAS LTDA</t>
  </si>
  <si>
    <t>Leila Oliveira</t>
  </si>
  <si>
    <t>(34) 3291-9100</t>
  </si>
  <si>
    <t>irpf@aserco.com.br</t>
  </si>
  <si>
    <t>AV ENGENHEIRO DINIZ 848</t>
  </si>
  <si>
    <t>UBERLANDIA</t>
  </si>
  <si>
    <t>(14/05) Conforme Leila, a ideia é trabalhar com vendedor externo no segundo semestre. Criado atividade para contatar cliente em ago/26.</t>
  </si>
  <si>
    <t>13/05/2026</t>
  </si>
  <si>
    <t>(74) 8124-8767</t>
  </si>
  <si>
    <t>maristela@kisolpiscinas.com</t>
  </si>
  <si>
    <t>FERNANDOPOLIS</t>
  </si>
  <si>
    <t>07/05/2026 00:00</t>
  </si>
  <si>
    <t>(08/05) Apresentação agendada para 13/08 às 10h. Conforme informado pelo Milton, a empresa está em busca de um novo sistema de gestão e atualmente não possui uma ferramenta de força de vendas.</t>
  </si>
  <si>
    <t>MARDEN MEDICAL LTDA.</t>
  </si>
  <si>
    <t>Milton Cavalieri</t>
  </si>
  <si>
    <t>(16) 2121-0858</t>
  </si>
  <si>
    <t>administracao@mardenmedical.com.br</t>
  </si>
  <si>
    <t>R GASTAO VIEIRA 229</t>
  </si>
  <si>
    <t>28/05/2026</t>
  </si>
  <si>
    <t>(08/05) Enviada mensagem via LinkedIn para Hugo Oliveira (gestor comercial), com o objetivo de apresentar as soluções da Guarani Sistemas e alinhar um possível bate-papo comercial.</t>
  </si>
  <si>
    <t>SANREMO S/A</t>
  </si>
  <si>
    <t>bt_contabilidade@bettanin.com.br</t>
  </si>
  <si>
    <t>AV INDEPENDENCIA 8885</t>
  </si>
  <si>
    <t>ESTEIO</t>
  </si>
  <si>
    <t>(08/05) Enviada mensagem via LinkedIn para Vagner (gestor comercial), com o objetivo de apresentar as soluções da Guarani Sistemas e alinhar um possível bate-papo comercial.
(18/05) Gestor comercial: Paulo Pimentel. Enviado msg a fim de agendar uma apresentação.</t>
  </si>
  <si>
    <t>ordene</t>
  </si>
  <si>
    <t>ORDENE S/A</t>
  </si>
  <si>
    <t>RUA GILBERTO TADEU MORAIS S/N</t>
  </si>
  <si>
    <t>(08/05) Enviada mensagem via LinkedIn para Lucimara (gestora comercial), com o objetivo de apresentar as soluções da Guarani Sistemas e alinhar um possível bate-papo comercial.
(11/05) Consegui o contato de WhatsApp do Adm. Felix Carvalho. Enviei mensagem com o objetivo de verificar um melhor horário para realizarmos um bate-papo.</t>
  </si>
  <si>
    <t>industrias nigro</t>
  </si>
  <si>
    <t>NIGRO ALUMINIO LTDA</t>
  </si>
  <si>
    <t>Lucimara Zenatti</t>
  </si>
  <si>
    <t>16210844221</t>
  </si>
  <si>
    <t>contabil@nigro.com.br</t>
  </si>
  <si>
    <t>AV ARCANGELO NIGRO 166</t>
  </si>
  <si>
    <t>emblemax</t>
  </si>
  <si>
    <t>11988734899</t>
  </si>
  <si>
    <t>alexandre@emblemax.com.br</t>
  </si>
  <si>
    <t>(08/05) Enviado WhatsApp para Luiz (amigo pessoal) para entender melhor a estrutura comercial da MMO, incluindo modelo de equipe de vendas (interna e/ou externa) e sistemas utilizados atualmente para gestão e vendas.
(11/05) Enviado msg para Gabriela (filha do Luis e amiga pessoal).</t>
  </si>
  <si>
    <t>mm optics</t>
  </si>
  <si>
    <t>MM OPTICS LTDA</t>
  </si>
  <si>
    <t>mmo@com.br</t>
  </si>
  <si>
    <t>RUA GEMINIANO COSTA 143</t>
  </si>
  <si>
    <t>(08/05) Enviado WhatsApp para Fabiana (amiga pessoal) com o objetivo de alinhar e agendar uma apresentação das nossas soluções.</t>
  </si>
  <si>
    <t>volmed brasil</t>
  </si>
  <si>
    <t>VOLMED BRASIL EQUIPAMENTOS LTDA</t>
  </si>
  <si>
    <t>Fabiana Voltatódio</t>
  </si>
  <si>
    <t>(16) 3419-1794</t>
  </si>
  <si>
    <t>financeiro@volmed.com.br</t>
  </si>
  <si>
    <t>RUA FRANCISCO CORREA BUENO 435</t>
  </si>
  <si>
    <t>TAG1SEM</t>
  </si>
  <si>
    <t>Em contato com Fabiana, foi informado que a empresa utiliza ferramentas específicas para o segmento (ERP e Força de Vendas), incluindo validações e exigências da Anvisa.</t>
  </si>
  <si>
    <t>(08/05) Enviada mensagem via LinkedIn para Nádia (gestora comercial), com o objetivo de apresentar as soluções da Guarani Sistemas e alinhar um possível bate-papo comercial.
(11/05) Nádia aceitou a conexão no LinkedIn. Enviada mensagem inicial apresentando as soluções da Guarani Sistemas.</t>
  </si>
  <si>
    <t>mundial distribuidora de produtos de consumo ltda</t>
  </si>
  <si>
    <t>MUNDIAL S.A. - PRODUTOS DE CONSUMO</t>
  </si>
  <si>
    <t>Nádia C. da Silva</t>
  </si>
  <si>
    <t>(51) 3358-5000</t>
  </si>
  <si>
    <t>lara.nunes@mundial.com</t>
  </si>
  <si>
    <t>R DO PARAISO 148</t>
  </si>
  <si>
    <t>SAO JOAO DE MERITI</t>
  </si>
  <si>
    <t>carbonaro distribuidora ltda</t>
  </si>
  <si>
    <t>LUCIANO CARBONARO DE OLIVEIRA</t>
  </si>
  <si>
    <t>(11/05/2026) tentativa de ligação porem o telefone esta bloqueado para chamadas 
contato via WhatsApp
12:02, 11/05/2026 Junior Lopes: Olá Tone Oliveira, bom dia
12:02, 11/05/2026 Junior Lopes: sou Junior Lopes da Guarani sistemas
12:02, 11/05/2026 Junior Lopes: td bem ?
(14/05/2026) avançando com informações da solução ! direcionando para uma apresentação</t>
  </si>
  <si>
    <t>N. K. Distribuidora Ltda</t>
  </si>
  <si>
    <t>nk distribuidora de cosmeticos</t>
  </si>
  <si>
    <t>NK Distribuidora De Cosmeticos</t>
  </si>
  <si>
    <t>6699942807</t>
  </si>
  <si>
    <t>toneoliveira@hotmail.com</t>
  </si>
  <si>
    <t>RONDONOPOLIS</t>
  </si>
  <si>
    <t>(11/05) Em contato com Paula, foi informado que a empresa utiliza diferentes sistemas separados por departamento. Solicitou o envio de uma apresentação por e-mail para encaminhamento ao João. Atualmente, a empresa possui equipe de vendas interna e apenas um vendedor externo (João).</t>
  </si>
  <si>
    <t>la rocha</t>
  </si>
  <si>
    <t>LA ROCHA INDUSTRIA E COMERCIO DE FIBRAS MINERAIS LTDA</t>
  </si>
  <si>
    <t>Paula Franzin</t>
  </si>
  <si>
    <t>(01) 63911-7784</t>
  </si>
  <si>
    <t>EST VICINAL VITO GAIA PUOLI, KM 2 + S/N</t>
  </si>
  <si>
    <t>arcobello participacoes</t>
  </si>
  <si>
    <t>Belapin ind com</t>
  </si>
  <si>
    <t>11970330999</t>
  </si>
  <si>
    <t>junior@arcobello.com.br</t>
  </si>
  <si>
    <t>(11/05) Falei com Orlei (Compras), que indicou o Rodrigo, da área Comercial, como responsável para continuidade da conversa. Atualmente a empresa utiliza o sistema WBC, desenvolvido para o segmento, porém cada departamento trabalha com um sistema diferente.
Comentou também que, há algum tempo, chegaram a conversar com a TOTVS sobre implantação de ERP, mas o projeto acabou não avançando devido à dificuldade relacionada à migração/estruturação dos dados.
Realizei contato com o Rodrigo, porém a ligação caiu na caixa postal. Enviei mensagem via WhatsApp para tentar agendar um bate-papo.</t>
  </si>
  <si>
    <t>nsf equipamentos comerciais</t>
  </si>
  <si>
    <t>N S F INDUSTRIA E COMERCIO DE EQUIPAMENTOS PARA INSTALACOES COMERCIAIS LTDA</t>
  </si>
  <si>
    <t>Antonio Marcos Real</t>
  </si>
  <si>
    <t>(16) 3377-9700</t>
  </si>
  <si>
    <t>financeiro@nsf.ind.br</t>
  </si>
  <si>
    <t>ROD WASHINGTON LUIZ S/N</t>
  </si>
  <si>
    <t>(08/05) Enviado WhatsApp para Lana (amiga pessoal), atualmente representante comercial da empresa, solicitando o contato do gestor comercial para possível apresentação das soluções.
(11/05) Falei com a Lana. No momento, a empresa está concentrada na preparação para a Feira Hospitalar, que acontecerá entre os dias 19 e 22 de maio.
Comentou que atualmente utilizam as soluções da Sectra para a área comercial (possivelmente ERP também). Sugeriu retomarmos o contato durante a feira ou após o evento para conversarmos com mais tranquilidade.</t>
  </si>
  <si>
    <t>hortron produtos medicos</t>
  </si>
  <si>
    <t>HORTRON INDUSTRIA E COMERCIO DE PRODUTOS ELETRONICOS LTDA</t>
  </si>
  <si>
    <t>Willian Zanon</t>
  </si>
  <si>
    <t>(16) 3419-0892</t>
  </si>
  <si>
    <t>hortron@hortron.com.br</t>
  </si>
  <si>
    <t>AV GETULIO VARGAS 2831</t>
  </si>
  <si>
    <t>(11/05) Falei com Denise (contato pessoal da área de RH). Apresentei brevemente a Guarani Sistemas e algumas das soluções que oferecemos, principalmente na área comercial. Solicitei o contato do gestor/com responsável pela área comercial para apresentar nossa solução de vendas. Aguardando retorno.
(12/05) Falei com a Denise, que me passou o contato (e-mail) do Farid, Gestor Comercial da Hece Máquinas. Denise comentou que a empresa atualmente trabalha com um ERP próprio. Enviado e-mail a fim de agendarmos um bate-papo.</t>
  </si>
  <si>
    <t>hece maquinas</t>
  </si>
  <si>
    <t>HECE MAQUINAS LTDA</t>
  </si>
  <si>
    <t>Denise Rodrigues Ferreira</t>
  </si>
  <si>
    <t>(16) 98198-8289</t>
  </si>
  <si>
    <t>16981988289</t>
  </si>
  <si>
    <t>rh@hece.com.br</t>
  </si>
  <si>
    <t>R JOAO ABDELNUR 99</t>
  </si>
  <si>
    <t>(11/05) Enviado msg para Nathalia a fim de agendarmos um bate-papo.
(12/05) Falei com a Nathalia, que me passou o contato (e-mail) da Vanessa, Gerente Comercial da Setormed. Enviado e-mail a fim de agendarmos um bate-papo.</t>
  </si>
  <si>
    <t>setormed</t>
  </si>
  <si>
    <t>SETORMED INDUSTRIA E COMERCIO DE EQUIPAMENTOS MEDICOS E ODONTOLOGICOS S.A.</t>
  </si>
  <si>
    <t>Nathalia C. S. Santos</t>
  </si>
  <si>
    <t>(16) 34165-3681</t>
  </si>
  <si>
    <t>setormed@setormed.com.br</t>
  </si>
  <si>
    <t>RUA ARTHUR RODRIGUES DE CASTRO 150</t>
  </si>
  <si>
    <t>Todos os dados preenchidos:
empresa: Casa Bonitta 
name: NATALIA GABRIELA DAMACENO MOTA 
cargo: Proprietária 
whatsapp: 11996672094 
email: naty-gabriela@hotmail.com 
referrer: https://www.guaranisistemas.com.br/</t>
  </si>
  <si>
    <t>casa bonitta</t>
  </si>
  <si>
    <t>Perfil Indefinido</t>
  </si>
  <si>
    <t>utilimix utilidade domestica</t>
  </si>
  <si>
    <t>UTILIMIX INDUSTRIA E COMERCIO LTDA</t>
  </si>
  <si>
    <t>(11) 91010-4191</t>
  </si>
  <si>
    <t>utilimix@bol.com.br</t>
  </si>
  <si>
    <t>RUA ESTADO DE PERNAMBUCO 93</t>
  </si>
  <si>
    <t>Bruno gostou bastante da solução, porém, no momento a estrutura da empresa ainda é pequena para utilização das nossas ferramentas. Deixei meu contato à disposição para, futuramente, caso a empresa cresça ou o perfil da operação mude, avaliarmos uma solução mais robusta.</t>
  </si>
  <si>
    <t>Olá Alexandre boa tarde ! Aqui é Junior Lopes da Guarani sistemas, Td bem ?
Estou retornando contato que vc fez conosco referente as nossas soluções de ERP e soluções de força de vendas
Olá Alexandre, bom dia
Bom dia
Mandei mensagem para saber sobre valor do sistema e como funciona
Ok
Pode deixar
Não tenho interesse</t>
  </si>
  <si>
    <t>Analu Parafusos Ltda</t>
  </si>
  <si>
    <t>analu parafusos ltda</t>
  </si>
  <si>
    <t>17981238345</t>
  </si>
  <si>
    <t>analuparafusos@gmail.com</t>
  </si>
  <si>
    <t>belapin</t>
  </si>
  <si>
    <t>Belapin Industria E Comercio De Alimenticios Ltda</t>
  </si>
  <si>
    <t>(011) 2726-761</t>
  </si>
  <si>
    <t>Istok comercio importação (Cloud)</t>
  </si>
  <si>
    <t>1123617746</t>
  </si>
  <si>
    <t>(13/05) Conversei com Joel, vendedor da Newlar. Atualmente, eles não possuem sistema de força de vendas via celular, realizando os pedidos de forma online.
Joel me passou o contato do Edinho, gestor comercial. Enviei mensagem com o objetivo de agendarmos uma apresentação da solução.
(14/05) Em ligação, Tatiana (financeiro) informou que a empresa utiliza o ERP Sankhya há cerca de 4 anos. Atualmente não possuem equipe de vendas externa, e o site é utilizado apenas para demonstração dos produtos/pedidos.
Solicitou uma apresentação inicial por e-mail e também deixou o WhatsApp (11 97334-5254) para um novo contato, a fim de apresentarmos nossas soluções.
Comentou ainda que considera a mensalidade atual do ERP elevada.</t>
  </si>
  <si>
    <t>newlar</t>
  </si>
  <si>
    <t>NEWLAR DISTRIBUIDORA DE UTILIDADES DOMESTICAS LTDA</t>
  </si>
  <si>
    <t>Edinho</t>
  </si>
  <si>
    <t>(11) 96123-5967</t>
  </si>
  <si>
    <t>11961235967</t>
  </si>
  <si>
    <t>newlar@newlar.com.br</t>
  </si>
  <si>
    <t>AV VAUTIER 649</t>
  </si>
  <si>
    <t>gifran industria de artigos texteis ltda</t>
  </si>
  <si>
    <t>Gifran Industria De Artigos Texteis Ltda</t>
  </si>
  <si>
    <t>(24) 2255-5069</t>
  </si>
  <si>
    <t>comercial@gifran.com.br</t>
  </si>
  <si>
    <t>TRES RIOS</t>
  </si>
  <si>
    <t>plasnew</t>
  </si>
  <si>
    <t>Plasnew Utilidades Domesticas Ltda.</t>
  </si>
  <si>
    <t>(19) 3852-9000</t>
  </si>
  <si>
    <t>plasnew@plasnew.ind.br</t>
  </si>
  <si>
    <t>ambiente verde</t>
  </si>
  <si>
    <t>Ambiente Verde Industria Ltda</t>
  </si>
  <si>
    <t>(51) 3541-7491</t>
  </si>
  <si>
    <t>ambienteverde@ambienteverde.ind.br</t>
  </si>
  <si>
    <t>IGREJINHA</t>
  </si>
  <si>
    <t>Baag - Horas</t>
  </si>
  <si>
    <t>cleber@baag.com.br</t>
  </si>
  <si>
    <t>goedert ltda</t>
  </si>
  <si>
    <t>Goedert Ltda</t>
  </si>
  <si>
    <t>(48) 3205-2140</t>
  </si>
  <si>
    <t>administracao@goedert.com.br</t>
  </si>
  <si>
    <t>Jlk Industria E Comercio De Plasticos Ltda</t>
  </si>
  <si>
    <t>(11) 2243-0117</t>
  </si>
  <si>
    <t>jlk@jlkplasticos.com.br</t>
  </si>
  <si>
    <t>mercapet</t>
  </si>
  <si>
    <t>Mercapet Comercio De Acessorios Para Animais Ltda</t>
  </si>
  <si>
    <t>(11) 7162-4141</t>
  </si>
  <si>
    <t>marcosmercapet@gmail.com</t>
  </si>
  <si>
    <t>future</t>
  </si>
  <si>
    <t>Future Industria Metalurgica Ltda</t>
  </si>
  <si>
    <t>(54) 3535-8700</t>
  </si>
  <si>
    <t>future@futureutilidades.com.br</t>
  </si>
  <si>
    <t>primavera</t>
  </si>
  <si>
    <t>Primavera Industria De Vassouras E Escovas Ltda</t>
  </si>
  <si>
    <t>(54) 3344-1438</t>
  </si>
  <si>
    <t>primavera@primavera.ind.br</t>
  </si>
  <si>
    <t>TAPEJARA</t>
  </si>
  <si>
    <t>evol clean</t>
  </si>
  <si>
    <t>Esponjas Evol Clean Ltda</t>
  </si>
  <si>
    <t>(44) 3629-5720</t>
  </si>
  <si>
    <t>esponjasevolclean@gmail.com</t>
  </si>
  <si>
    <t>CIANORTE</t>
  </si>
  <si>
    <t>uninjet industria e comercio de plasticos ltda</t>
  </si>
  <si>
    <t>Uninjet Industria E Comercio De Plasticos Ltda</t>
  </si>
  <si>
    <t>(11) 2521-3011</t>
  </si>
  <si>
    <t>a.garcia@uninjet.com.br</t>
  </si>
  <si>
    <t>gioplast industria e comercio ltda</t>
  </si>
  <si>
    <t>Gioplast Industria E Comercio Ltda</t>
  </si>
  <si>
    <t>(11) 3132-9192</t>
  </si>
  <si>
    <t>contato@produtosgiotto.com.br</t>
  </si>
  <si>
    <t>NAZARE PAULISTA</t>
  </si>
  <si>
    <t>neoplas</t>
  </si>
  <si>
    <t>Neoplas Industria E Comercio De Plasticos Ltda</t>
  </si>
  <si>
    <t>(47) 3438-6970</t>
  </si>
  <si>
    <t>neoplas@neoplas.com.br</t>
  </si>
  <si>
    <t>plast.co</t>
  </si>
  <si>
    <t>Mix Sao Paulo Industria E Comercio Ltda</t>
  </si>
  <si>
    <t>(11) 3013-1300</t>
  </si>
  <si>
    <t>contato@plastco.com.br</t>
  </si>
  <si>
    <t>forfest industria de descartaveis ltda</t>
  </si>
  <si>
    <t>Forfest Industria De Descartaveis Ltda</t>
  </si>
  <si>
    <t>(48) 3466-2961</t>
  </si>
  <si>
    <t>atendimento@forfest.com.br</t>
  </si>
  <si>
    <t>ORLEANS</t>
  </si>
  <si>
    <t>comfort door</t>
  </si>
  <si>
    <t>Comfort Door Importacao E Distribuicao De Utilidades Domesticas Ltda</t>
  </si>
  <si>
    <t>(43) 3376-3000</t>
  </si>
  <si>
    <t>contato@comfortdoor.com.br</t>
  </si>
  <si>
    <t>StarTools ferramaentas (Cloud)</t>
  </si>
  <si>
    <t>08/05/2026 00:00</t>
  </si>
  <si>
    <t>Todos os dados preenchidos:name: William Zanini Brogni field_3: Diretor phone: 45988277667 email: william@abtec.eng.br nome_da_empresa: Abtec field_4: Sudeste site_ou_rede_social_da_empresa: https://abecommerce.com.br/ referrer: https://instagram.com/ 
(15/05) Falei com William, que estava em reunião no momento. Solicitou novo contato na segunda-feira pela manhã.</t>
  </si>
  <si>
    <t>abtec.eng.br</t>
  </si>
  <si>
    <t>William Zanini Brogni</t>
  </si>
  <si>
    <t>(45) 98827-7667</t>
  </si>
  <si>
    <t>william@abtec.eng.br</t>
  </si>
  <si>
    <t>Cascavel</t>
  </si>
  <si>
    <t>MDL - Comex</t>
  </si>
  <si>
    <t>18/05/2026 00:00</t>
  </si>
  <si>
    <t>MDL - Boleto Whats</t>
  </si>
  <si>
    <t>Star Distribuidora - Boleto Whats</t>
  </si>
  <si>
    <t>administrativo@distribuidorastar.com.br</t>
  </si>
  <si>
    <t>fuzipar - erp</t>
  </si>
  <si>
    <t>fuzipar - ERP</t>
  </si>
  <si>
    <t>54984185138</t>
  </si>
  <si>
    <t>Qdte</t>
  </si>
  <si>
    <t>AVENIDA MARCO 40</t>
  </si>
  <si>
    <t>RUA DOM BARRETO 685</t>
  </si>
  <si>
    <t>Fwb - Treinamento/Reciclagem</t>
  </si>
  <si>
    <t>AVENIDA JOSE OSWALDO MAIA 1126</t>
  </si>
  <si>
    <t>RUA ALLPAC 136</t>
  </si>
  <si>
    <t>RUA ADOLPHO GOLL 89</t>
  </si>
  <si>
    <t>AV SAO JOAO 1910</t>
  </si>
  <si>
    <t>R FLORENCIO DE ABREU 663</t>
  </si>
  <si>
    <t>R ANTONIO MODESTO GOMIERO 164</t>
  </si>
  <si>
    <t>Vanila</t>
  </si>
  <si>
    <t>RUA JOSE COELHO PRATES JUNIOR 660</t>
  </si>
  <si>
    <t>Alexandre Zequini</t>
  </si>
  <si>
    <t>RUA JOSE LUIZ CARON 318</t>
  </si>
  <si>
    <t>RUA SAO FRANCISCO 83</t>
  </si>
  <si>
    <t>AVENIDA PAPA JOAO XXIII 2600</t>
  </si>
  <si>
    <t>QUALYPLAS - Treinamento Financeiro</t>
  </si>
  <si>
    <t>AVENIDA ANTONIO MARTINEZ CARRERA FILHO 261</t>
  </si>
  <si>
    <t>ALUMINIO NACIONAL - CNPJ</t>
  </si>
  <si>
    <t>RUA JOAO CANZI 625</t>
  </si>
  <si>
    <t>AVENIDA JOSE WILKER ATOR 00605</t>
  </si>
  <si>
    <t>AV PERSIO DE QUEIROS FILHO 395</t>
  </si>
  <si>
    <t>Karoline</t>
  </si>
  <si>
    <t>RODOVIA BR 101 S/N</t>
  </si>
  <si>
    <t>R RIO GRANDE DO NORTE 445</t>
  </si>
  <si>
    <t>AVENIDA JULIO DE SA BIERRENBACH ALM 65</t>
  </si>
  <si>
    <t>Giordany</t>
  </si>
  <si>
    <t>Jonas</t>
  </si>
  <si>
    <t>Arqplast - WMS</t>
  </si>
  <si>
    <t>RUA ANIBAL TANGANELLI 95</t>
  </si>
  <si>
    <t>ROD MARGINAL DA RODOVIA DOM PEDRO I (PISTA NORTE) S/N</t>
  </si>
  <si>
    <t>R LUIZ MARINCEK 35</t>
  </si>
  <si>
    <t>RUA ALEXANDRE BASSORA 1.070</t>
  </si>
  <si>
    <t>R EMILIO GOELDI 111</t>
  </si>
  <si>
    <t>Elisabete</t>
  </si>
  <si>
    <t>RODOVIA ENGENHEIRO THALES DE LORENA PEIXOTO JUNIOR (SP 318) S/N</t>
  </si>
  <si>
    <t>RUA ABRAHAO CALUX 103</t>
  </si>
  <si>
    <t>RUA ERECHIM 755</t>
  </si>
  <si>
    <t>RUA JURAMENTO 293</t>
  </si>
  <si>
    <t>RUA PRIMO ANGELO BERLOFA 101</t>
  </si>
  <si>
    <t>AVENIDA DEZ DE DEZEMBRO 6769</t>
  </si>
  <si>
    <t>ATIVA ATACADO  - Treinamento</t>
  </si>
  <si>
    <t>R CICA 201</t>
  </si>
  <si>
    <t>RIO HOME - Envio de Boleto Whatsapp</t>
  </si>
  <si>
    <t>ALUMINIO NACIONAL - Inventário</t>
  </si>
  <si>
    <t>CARDOSO BRINQUEDO - Link de Pagamento</t>
  </si>
  <si>
    <t>AV MATASHIRO YAMAGUIHI 278</t>
  </si>
  <si>
    <t>AVENIDA CARLOS HUMBERTO TERNES 1415</t>
  </si>
  <si>
    <t>RODOVIA BR 280 7199</t>
  </si>
  <si>
    <t>Plásticos Mb - Loja B2B</t>
  </si>
  <si>
    <t>COLORFLEX - Mapeamento Almoxarifado</t>
  </si>
  <si>
    <t>RUA VALENTIM MAGALHAES 347</t>
  </si>
  <si>
    <t>RODOVIA ARCHIMEDES NASPOLINI 2500</t>
  </si>
  <si>
    <t>RUA VENEZA 162</t>
  </si>
  <si>
    <t>AVENIDA SEN QUEIROS 279</t>
  </si>
  <si>
    <t>RUA TRONCA 2660</t>
  </si>
  <si>
    <t>Vinicus</t>
  </si>
  <si>
    <t>DUTE - Checkout</t>
  </si>
  <si>
    <t>Camila</t>
  </si>
  <si>
    <t>Raissa</t>
  </si>
  <si>
    <t>RUA DO ORFANATO 549</t>
  </si>
  <si>
    <t>Andressa</t>
  </si>
  <si>
    <t>Plásticos MB - Consultoria</t>
  </si>
  <si>
    <t>Wellmix - Treinamento equipe de vendas</t>
  </si>
  <si>
    <t>Koisas de Kozinha - Processos fiscais</t>
  </si>
  <si>
    <t>Regimara - Visita Técnica</t>
  </si>
  <si>
    <t>INGA - Treinamento</t>
  </si>
  <si>
    <t>DCARTE - Módulo Iara</t>
  </si>
  <si>
    <t>ESTRADA NOGUEIRAS 1052</t>
  </si>
  <si>
    <t>Aliança Importadora  - Link de Pagamento</t>
  </si>
  <si>
    <t>RUVOLO  - CNPJ</t>
  </si>
  <si>
    <t>ClassHome -  WMS</t>
  </si>
  <si>
    <t>AVENIDA GOVERNADOR ERALDO GUEIROS LEITE 220</t>
  </si>
  <si>
    <t>Dierson</t>
  </si>
  <si>
    <t>Raul</t>
  </si>
  <si>
    <t>20/04/2026</t>
  </si>
  <si>
    <t>Contato: Charles
1) Como esta a sua relação com a Guarani Sistemas, em relação a usabilidade, atendimento e qualidade dos produtos?
R: Falou sobre a liberação dos ajustes para reforma tributária e que foi perceptível a redução nos erros de atualização. 
Estarão na Abup visitando nos dias 03 e 04 e combinamos de tomar um café lá.
2) Para 2026, Como podemos ajudá-lo?
Falei com o Charles decidiram mudar a estratégia da empresa em questão de vendas e comercialização de produtos, pararam de importar e estão focados no atendimento e distribuição de produtos nacionais, como a Havaianas. 
E estão focando em prestação de serviços.</t>
  </si>
  <si>
    <t>22/01 - 2° tentativa de contato
27/01 - 3° tentativa de contato com o Alexandre,</t>
  </si>
  <si>
    <t>(20/01/2026) em contato com Rone ! 
Status de Satisfação: Muito Alto (ERP + Força de Vendas).
Projeção do Cliente: Expansão de 35% para 2026.
Ponto de Atenção: Implantação do PCP pausada por decisão do cliente.
Planejamento PCP: Retomada das pendências e ajustes prevista para 2026.
Rone pediu para falar com Rogério sobre solução B2B , estou buscando contato</t>
  </si>
  <si>
    <t>(21/01/2026) em contato com Bruno  ! 
Status de Satisfação: Alto  dentro das suas atividades diárias , também pediu para falar com a colaboradora Aradia para ver se ah algo que possamos melhorar para melhor atende-los (estou em contato com Aradia)
Projeção do Cliente: Bruno informou que está criando estratégias comerciais e desenvolvendo novos produtos para buscar um resultado melhor em suas vendas , não informou um percentual de crescimento ! sugeri nossa ferramenta de B2B 
Ponto de Atenção: nada relatado 
Planejamento : enviar informações sobre B2B e percentual de crescimento dos clientes que hoje usam 
Estou em contato com Aradia para alimentar mais informações</t>
  </si>
  <si>
    <t>27/01 Janaina - Esta bem insatisfeita com o atendimento do suporte, quando liguei hoje, inclusive estava com dificuldade para entrada na nota d eimportação e reclamou do pouco caso do suporte, que não atende ligações e mandaram link que ela não conseguia abrir para dar seguir o passo a passo</t>
  </si>
  <si>
    <t>Negocição realizada com o Fernando em o Mario</t>
  </si>
  <si>
    <t>No dia 20/01 fiz umareunião com o Carlos, e ele me passou alguns pontos que quere melhorar/implementar/automatizar no processo de WMS deles 
11.02 - Proposta enviada para visita do consultor para 5 dias
25.03 - entrei em contato com o Carlos para saber como vamos avançar com os modulos que estão estudando
15.04 - Boa Tarde Carlos, tudo bem? 
Como não tive retorno sobre o avanço do Interlipost, WMS e BI, estou derrubando as propostas comerciais, até porque a campanha do BI, referente ao desconto de 50% já acabou e não posso mais prorrogar. 
Quando fizer sentido para vocês podem me chamar e voltamos a negocia</t>
  </si>
  <si>
    <t>16:39, 04/02/2026 Rayssa Karapeticov - Comercial - Guarani Sistemas: Boa tarde, Rodnei. Tudo bem?
É a Rayssa da Guarani Sistemas 
Recebeu o email com a proposta?
17:42, 04/02/2026 +55 11 99105-0353: Boa tarde! 
Tudo bem?
17:42, 04/02/2026 +55 11 99105-0353: Recebemos sim, estamos analisando
17:45, 04/02/2026 Rayssa Karapeticov - Comercial - Guarani Sistemas: Tudo certinho!
Para que eu possa entender o que estão analisando?
17:46, 04/02/2026 +55 11 99105-0353: Custos, plataforma e etc…
17:51, 04/02/2026 Rayssa Karapeticov - Comercial - Guarani Sistemas: Quais outros serviços estão avaliando?
17:53, 04/02/2026 +55 11 99105-0353: Facilidade em ter o cod na mão, produto de prateleira, integrações
17:58, 04/02/2026 Rayssa Karapeticov - Comercial - Guarani Sistemas: Perfeito, faz todo sentido analisar esses pontos 
Só para alinhar expectativas: a proposta que enviamos não é um “produto de prateleira”, justamente porque o B2B costuma exigir regras comerciais, integrações e fluxos específicos de cada operação.
Sobre os pontos que você comentou:
* Código: nos responsabilizamos pelo código para que o produto não perca qualidade e nem performance, é assim vocês tem garantia de funcionamento do sistema contratado. 
* Integrações: já trabalhamos com integrações via API/ERP e isso costuma ser um dos principais ganhos do B2B.
* Custo: a diferença normalmente está no médio prazo, quando o site passa a operar do jeito que o time comercial realmente precisa.
18:00, 04/02/2026 Rayssa Karapeticov - Comercial - Guarani Sistemas: Quando você trata de um serviço de prateleira, você muitas vezes encontra dificuldade para parametrizar diferentes condições de vendas e negociações por clientes.
18:03, 04/02/2026 +55 11 99105-0353: Verdade
13.02 vão retomar o assunto após a Abrin
15.04 Boa Tarde Arlington, tudo bem? 
Como não tive retorno sobre o avanço do B2B, estou derrubando a proposta comercial, porque a campanha do desconto de 50% já acabou e não porro mais prorrogar. 
Quando fizer sentido para vocês podem me chamar e voltamos a negociar</t>
  </si>
  <si>
    <t>Cliente vai retornar a usar o AFV no showrom
Negociaremos as horas no final do projeto</t>
  </si>
  <si>
    <t>11-02 - Falei cm a Larissa e estão estudando os CRMs do mercado, passei nossas integrações, e enviei o material do RD Station. 
Vai entrar em contato com a plataforma para conhecer o CRM deles
31.03 tentei vários contatos para avaçar e não consigo retorno.</t>
  </si>
  <si>
    <t>11.02 - Realizamos uma visita no cliente na sexta feira
Estão com um novo CEO - Eduardo
Apresentamos o Guarani ERP, focado nas necessidades do cliente, além de axuliar em algumas duvidas de usuário
Na reunião foi apresentando o BI
15.04 estão primeiro fazendo uma reciclagem para depois seguir com outros módulos</t>
  </si>
  <si>
    <t>19.02 Estão em alta temporada, vão analisar e me retornar</t>
  </si>
  <si>
    <t>Kawany</t>
  </si>
  <si>
    <t>18.03 - Achou o investimento alto mas vai avaliar melhor a proposta, e o Decio provavelmente vai entrar em contato com o Fabio
15.04 15:13, 15/04/2026 Rayssa Karapeticov - Comercial - Guarani Sistemas: Marcos, tudo bem.
Queria retomar contigo o assunto do Comex. Na última vez você comentou que a diretoria tinha achado a mensalidade alta e que a proposta estava com eles para avaliação.
Conseguiram avançar internamente nesse ponto. Se a questão ainda for valor, me dá um norte do que seria viável para vocês ou pede para o Décio me sinalizar uma faixa, que eu vejo até onde consigo chegar aqui dentro para tentar viabilizar esse projeto.
Minha ideia é ou ajustar a proposta para a realidade de vocês, ou encerrar com clareza</t>
  </si>
  <si>
    <t>06.04 Aguardando Allison retornar de férias para seguir com o projeto na proxima semana 
22.04 Cliente pediu para deixar em stad-by</t>
  </si>
  <si>
    <t>22/04/2026</t>
  </si>
  <si>
    <t>19.03 Falamos ontem sobre alguma pendencias e algumas demandas que estão na empresa
22.04 - Boa Tarde Emerson, tudo bem? 
Como não tive retorno sobre o avanço do BI, estou derrubando a proposta comercial, porque a campanha do desconto de 50% já acabou e não porro mais prorrogar. 
Quando fizer sentido para vocês podem me chamar e voltamos a negociar
Pediu para atualizar a proposta do BI e mandei com as condições comerciais atualizadas</t>
  </si>
  <si>
    <t>19.03 - Falei com o Cleison e precisam implantar a parte de custo dentro do ERP, porque hoje fazem tudo por planilha e na cabeça do Paulo, então precisam trazer para dentro do sistema.</t>
  </si>
  <si>
    <t>23.03 Cliente pretende dar inicio da implantação do módulo para o segundo sempres, mas já queor os valores para entrar no orçamento</t>
  </si>
  <si>
    <t>140</t>
  </si>
  <si>
    <t>27.03 Cliente entrou em contato solicitando a inclusão de outra empresa. 
Desta forma foi enviado a proposta comercial</t>
  </si>
  <si>
    <t>24/04/2026</t>
  </si>
  <si>
    <t>31.01 Realizei a apresentação do Guarani Power B2B, cliente solicitou uma negociação, abatimento da  implantação pelo módulo contábil que não funcionou na empresa
Passei a analise para o Paulo avaliar o que podemos fazer</t>
  </si>
  <si>
    <t>11/05/2026</t>
  </si>
  <si>
    <t>15.04  Cliente esta exportando mais que importando, faria sentido para ele se estivessimos a aprte de exportação pronta</t>
  </si>
  <si>
    <t>28</t>
  </si>
  <si>
    <t>15.04 - Treinamento para fechamento fiscal no ERP</t>
  </si>
  <si>
    <t>Plásticos Mb - Segregação de Base</t>
  </si>
  <si>
    <t>NIX HOUSE - B2B</t>
  </si>
  <si>
    <t>(11) 11970-4991</t>
  </si>
  <si>
    <t>30/04/2026</t>
  </si>
  <si>
    <t>INGA - Orçamento B2B - AFV</t>
  </si>
  <si>
    <t>20/04/2026 00:00</t>
  </si>
  <si>
    <t>Chahin - Cloud</t>
  </si>
  <si>
    <t>29/04/2026 00:00</t>
  </si>
  <si>
    <t>NIX HOUSE - MD-e</t>
  </si>
  <si>
    <t>06/05/2026 00:00</t>
  </si>
  <si>
    <t>11/05/2026 00:00</t>
  </si>
  <si>
    <t>Danilo Alves</t>
  </si>
  <si>
    <t>(11) 3227-4492</t>
  </si>
  <si>
    <t>12/05/2026 00:00</t>
  </si>
  <si>
    <t>15/05/2026 00:00</t>
  </si>
  <si>
    <t>(43) 99156-3004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</si>
</sst>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4" formatCode="_-&quot;R$&quot;\ * #,##0.00_-;\-&quot;R$&quot;\ * #,##0.00_-;_-&quot;R$&quot;\ * &quot;-&quot;??_-;_-@_-"/>
    <numFmt numFmtId="164" formatCode="&quot;R$&quot;\ #,##0.00"/>
    <numFmt numFmtId="165" formatCode="&quot;R$&quot;#,##0.00"/>
    <numFmt numFmtId="166" formatCode="[$-F400]h:mm:ss\ AM/PM"/>
    <numFmt numFmtId="167" formatCode="_-[$R$-416]\ * #,##0.00_-;\-[$R$-416]\ * #,##0.00_-;_-[$R$-416]\ * &quot;-&quot;??_-;_-@_-"/>
  </numFmts>
  <fonts count="51" x14ac:knownFonts="1">
    <font>
      <sz val="11"/>
      <color theme="1"/>
      <name val="Aptos Narrow"/>
      <family val="2"/>
      <scheme val="minor"/>
    </font>
    <font>
      <sz val="11"/>
      <color theme="1"/>
      <name val="Aptos Narrow"/>
      <family val="2"/>
      <scheme val="minor"/>
    </font>
    <font>
      <b/>
      <sz val="11"/>
      <color theme="0"/>
      <name val="Aptos Narrow"/>
      <family val="2"/>
      <scheme val="minor"/>
    </font>
    <font>
      <b/>
      <sz val="11"/>
      <color theme="1"/>
      <name val="Aptos Narrow"/>
      <family val="2"/>
      <scheme val="minor"/>
    </font>
    <font>
      <sz val="11"/>
      <name val="Aptos Narrow"/>
      <family val="2"/>
      <scheme val="minor"/>
    </font>
    <font>
      <sz val="11"/>
      <name val="Calibri"/>
      <family val="2"/>
    </font>
    <font>
      <sz val="11"/>
      <color theme="1"/>
      <name val="Calibri Light"/>
      <family val="2"/>
    </font>
    <font>
      <b/>
      <sz val="10"/>
      <color theme="0"/>
      <name val="Calibri Light"/>
      <family val="2"/>
    </font>
    <font>
      <sz val="10"/>
      <color theme="1"/>
      <name val="Calibri Light"/>
      <family val="2"/>
    </font>
    <font>
      <sz val="10"/>
      <color theme="0"/>
      <name val="Calibri Light"/>
      <family val="2"/>
    </font>
    <font>
      <i/>
      <sz val="11"/>
      <color theme="1"/>
      <name val="Courier New"/>
      <family val="3"/>
    </font>
    <font>
      <b/>
      <sz val="11"/>
      <color rgb="FFFA7D00"/>
      <name val="Aptos Narrow"/>
      <family val="2"/>
      <scheme val="minor"/>
    </font>
    <font>
      <sz val="11"/>
      <color rgb="FFFA7D00"/>
      <name val="Aptos Narrow"/>
      <family val="2"/>
      <scheme val="minor"/>
    </font>
    <font>
      <b/>
      <sz val="10"/>
      <color theme="0"/>
      <name val="Aptos Narrow"/>
      <family val="2"/>
      <scheme val="minor"/>
    </font>
    <font>
      <sz val="10"/>
      <name val="Aptos Narrow"/>
      <family val="2"/>
      <scheme val="minor"/>
    </font>
    <font>
      <sz val="10"/>
      <name val="Calibri"/>
      <family val="2"/>
    </font>
    <font>
      <b/>
      <sz val="8"/>
      <color theme="1"/>
      <name val="Aptos Narrow"/>
      <family val="2"/>
      <scheme val="minor"/>
    </font>
    <font>
      <sz val="10"/>
      <color theme="1"/>
      <name val="Aptos Narrow"/>
      <family val="2"/>
      <scheme val="minor"/>
    </font>
    <font>
      <b/>
      <sz val="8"/>
      <color theme="0"/>
      <name val="Aptos Narrow"/>
      <family val="2"/>
      <scheme val="minor"/>
    </font>
    <font>
      <sz val="8"/>
      <color theme="1"/>
      <name val="Aptos Narrow"/>
      <family val="2"/>
      <scheme val="minor"/>
    </font>
    <font>
      <sz val="8"/>
      <color rgb="FFFF0000"/>
      <name val="Aptos Narrow"/>
      <family val="2"/>
      <scheme val="minor"/>
    </font>
    <font>
      <sz val="8"/>
      <name val="Aptos Narrow"/>
      <family val="2"/>
      <scheme val="minor"/>
    </font>
    <font>
      <b/>
      <sz val="9"/>
      <color theme="0"/>
      <name val="Aptos Narrow"/>
      <family val="2"/>
      <scheme val="minor"/>
    </font>
    <font>
      <b/>
      <sz val="12"/>
      <color theme="0"/>
      <name val="Aptos Narrow"/>
      <family val="2"/>
      <scheme val="minor"/>
    </font>
    <font>
      <b/>
      <sz val="12"/>
      <name val="Aptos Narrow"/>
      <family val="2"/>
      <scheme val="minor"/>
    </font>
    <font>
      <b/>
      <sz val="12"/>
      <color rgb="FFFF0000"/>
      <name val="Aptos Narrow"/>
      <family val="2"/>
      <scheme val="minor"/>
    </font>
    <font>
      <b/>
      <sz val="12"/>
      <color theme="1"/>
      <name val="Aptos Narrow"/>
      <family val="2"/>
      <scheme val="minor"/>
    </font>
    <font>
      <sz val="12"/>
      <color theme="1"/>
      <name val="Aptos Narrow"/>
      <family val="2"/>
      <scheme val="minor"/>
    </font>
    <font>
      <b/>
      <sz val="14"/>
      <color theme="1"/>
      <name val="Aptos Narrow"/>
      <family val="2"/>
      <scheme val="minor"/>
    </font>
    <font>
      <b/>
      <sz val="12"/>
      <color theme="7"/>
      <name val="Aptos Narrow"/>
      <family val="2"/>
      <scheme val="minor"/>
    </font>
    <font>
      <sz val="11"/>
      <color theme="0"/>
      <name val="Aptos Narrow"/>
      <family val="2"/>
      <scheme val="minor"/>
    </font>
    <font>
      <b/>
      <sz val="11"/>
      <color theme="7"/>
      <name val="Aptos Narrow"/>
      <family val="2"/>
      <scheme val="minor"/>
    </font>
    <font>
      <sz val="11"/>
      <color theme="7"/>
      <name val="Aptos Narrow"/>
      <family val="2"/>
      <scheme val="minor"/>
    </font>
    <font>
      <b/>
      <sz val="14"/>
      <color theme="0"/>
      <name val="Aptos Narrow"/>
      <family val="2"/>
      <scheme val="minor"/>
    </font>
    <font>
      <b/>
      <sz val="16"/>
      <color theme="1"/>
      <name val="Aptos Narrow"/>
      <family val="2"/>
      <scheme val="minor"/>
    </font>
    <font>
      <sz val="8"/>
      <color theme="1"/>
      <name val="Calibri"/>
      <family val="2"/>
    </font>
    <font>
      <sz val="10"/>
      <color theme="1"/>
      <name val="Calibri"/>
      <family val="2"/>
    </font>
    <font>
      <b/>
      <sz val="10"/>
      <color theme="0"/>
      <name val="Calibri"/>
      <family val="2"/>
    </font>
    <font>
      <b/>
      <sz val="10"/>
      <color theme="1"/>
      <name val="Calibri"/>
      <family val="2"/>
    </font>
    <font>
      <b/>
      <sz val="10"/>
      <name val="Calibri"/>
      <family val="2"/>
    </font>
    <font>
      <u/>
      <sz val="11"/>
      <name val="Aptos Narrow"/>
      <family val="2"/>
      <scheme val="minor"/>
    </font>
    <font>
      <sz val="11"/>
      <color theme="1"/>
      <name val="Calibri"/>
      <family val="2"/>
    </font>
    <font>
      <b/>
      <sz val="11"/>
      <color theme="1"/>
      <name val="Calibri"/>
      <family val="2"/>
    </font>
    <font>
      <sz val="10"/>
      <color theme="0"/>
      <name val="Aptos Narrow"/>
      <family val="2"/>
      <scheme val="minor"/>
    </font>
    <font>
      <b/>
      <sz val="10"/>
      <color theme="1"/>
      <name val="Aptos Narrow"/>
      <family val="2"/>
      <scheme val="minor"/>
    </font>
    <font>
      <sz val="11"/>
      <color theme="1"/>
      <name val="Calibri Light"/>
      <family val="2"/>
    </font>
    <font>
      <sz val="10"/>
      <color theme="1"/>
      <name val="Calibri Light"/>
      <family val="2"/>
    </font>
    <font>
      <b/>
      <sz val="10"/>
      <color theme="1"/>
      <name val="Calibri Light"/>
      <family val="2"/>
    </font>
    <font>
      <sz val="10"/>
      <color theme="0"/>
      <name val="Calibri Light"/>
      <family val="2"/>
    </font>
    <font>
      <b/>
      <sz val="10"/>
      <color theme="0"/>
      <name val="Calibri Light"/>
      <family val="2"/>
    </font>
    <font>
      <sz val="11"/>
      <color theme="0"/>
      <name val="Calibri Light"/>
      <family val="2"/>
    </font>
  </fonts>
  <fills count="33">
    <fill>
      <patternFill patternType="none"/>
    </fill>
    <fill>
      <patternFill patternType="gray125"/>
    </fill>
    <fill>
      <patternFill patternType="solid">
        <fgColor theme="0" tint="-0.499984740745262"/>
        <bgColor indexed="64"/>
      </patternFill>
    </fill>
    <fill>
      <patternFill patternType="solid">
        <fgColor rgb="FF00B050"/>
        <bgColor indexed="64"/>
      </patternFill>
    </fill>
    <fill>
      <patternFill patternType="solid">
        <fgColor theme="9" tint="0.39997558519241921"/>
        <bgColor indexed="64"/>
      </patternFill>
    </fill>
    <fill>
      <patternFill patternType="solid">
        <fgColor rgb="FFFFFF00"/>
        <bgColor indexed="64"/>
      </patternFill>
    </fill>
    <fill>
      <patternFill patternType="solid">
        <fgColor rgb="FFFFC107"/>
        <bgColor indexed="64"/>
      </patternFill>
    </fill>
    <fill>
      <patternFill patternType="solid">
        <fgColor theme="3" tint="9.9978637043366805E-2"/>
        <bgColor indexed="64"/>
      </patternFill>
    </fill>
    <fill>
      <patternFill patternType="solid">
        <fgColor rgb="FFB8D2C9"/>
        <bgColor indexed="64"/>
      </patternFill>
    </fill>
    <fill>
      <patternFill patternType="solid">
        <fgColor theme="4"/>
        <bgColor indexed="64"/>
      </patternFill>
    </fill>
    <fill>
      <patternFill patternType="solid">
        <fgColor theme="4" tint="-0.249977111117893"/>
        <bgColor indexed="64"/>
      </patternFill>
    </fill>
    <fill>
      <patternFill patternType="solid">
        <fgColor theme="0" tint="-4.9989318521683403E-2"/>
        <bgColor indexed="64"/>
      </patternFill>
    </fill>
    <fill>
      <patternFill patternType="solid">
        <fgColor rgb="FF95B9AC"/>
        <bgColor indexed="64"/>
      </patternFill>
    </fill>
    <fill>
      <patternFill patternType="solid">
        <fgColor rgb="FFFFC000"/>
        <bgColor indexed="64"/>
      </patternFill>
    </fill>
    <fill>
      <patternFill patternType="solid">
        <fgColor theme="1"/>
        <bgColor indexed="64"/>
      </patternFill>
    </fill>
    <fill>
      <patternFill patternType="solid">
        <fgColor theme="0"/>
        <bgColor indexed="64"/>
      </patternFill>
    </fill>
    <fill>
      <patternFill patternType="solid">
        <fgColor rgb="FFFF0000"/>
        <bgColor indexed="64"/>
      </patternFill>
    </fill>
    <fill>
      <patternFill patternType="solid">
        <fgColor rgb="FFFF66FF"/>
        <bgColor indexed="64"/>
      </patternFill>
    </fill>
    <fill>
      <patternFill patternType="solid">
        <fgColor rgb="FF00B0F0"/>
        <bgColor indexed="64"/>
      </patternFill>
    </fill>
    <fill>
      <patternFill patternType="solid">
        <fgColor rgb="FF19708B"/>
        <bgColor indexed="64"/>
      </patternFill>
    </fill>
    <fill>
      <patternFill patternType="solid">
        <fgColor theme="0" tint="-0.14999847407452621"/>
        <bgColor indexed="64"/>
      </patternFill>
    </fill>
    <fill>
      <patternFill patternType="solid">
        <fgColor rgb="FF0070C0"/>
        <bgColor indexed="64"/>
      </patternFill>
    </fill>
    <fill>
      <patternFill patternType="solid">
        <fgColor rgb="FF92D050"/>
        <bgColor indexed="64"/>
      </patternFill>
    </fill>
    <fill>
      <patternFill patternType="solid">
        <fgColor rgb="FFEE0000"/>
        <bgColor indexed="64"/>
      </patternFill>
    </fill>
    <fill>
      <patternFill patternType="solid">
        <fgColor theme="5"/>
        <bgColor indexed="64"/>
      </patternFill>
    </fill>
    <fill>
      <patternFill patternType="solid">
        <fgColor theme="1" tint="4.9989318521683403E-2"/>
        <bgColor indexed="64"/>
      </patternFill>
    </fill>
    <fill>
      <patternFill patternType="solid">
        <fgColor theme="0" tint="-0.34998626667073579"/>
        <bgColor indexed="64"/>
      </patternFill>
    </fill>
    <fill>
      <patternFill patternType="solid">
        <fgColor theme="7"/>
        <bgColor indexed="64"/>
      </patternFill>
    </fill>
    <fill>
      <patternFill patternType="solid">
        <fgColor rgb="FFFF4444"/>
        <bgColor indexed="64"/>
      </patternFill>
    </fill>
    <fill>
      <patternFill patternType="solid">
        <fgColor theme="1"/>
        <bgColor theme="1"/>
      </patternFill>
    </fill>
    <fill>
      <patternFill patternType="solid">
        <fgColor theme="6"/>
        <bgColor indexed="64"/>
      </patternFill>
    </fill>
    <fill>
      <patternFill patternType="solid">
        <fgColor theme="9" tint="0.79998168889431442"/>
        <bgColor indexed="64"/>
      </patternFill>
    </fill>
    <fill>
      <patternFill patternType="solid">
        <fgColor theme="8" tint="0.79998168889431442"/>
        <bgColor indexed="64"/>
      </patternFill>
    </fill>
  </fills>
  <borders count="53">
    <border>
      <left/>
      <right/>
      <top/>
      <bottom/>
      <diagonal/>
    </border>
    <border>
      <left/>
      <right style="dotted">
        <color indexed="64"/>
      </right>
      <top/>
      <bottom style="dotted">
        <color indexed="64"/>
      </bottom>
      <diagonal/>
    </border>
    <border>
      <left style="dotted">
        <color indexed="64"/>
      </left>
      <right style="dotted">
        <color indexed="64"/>
      </right>
      <top/>
      <bottom style="dotted">
        <color indexed="64"/>
      </bottom>
      <diagonal/>
    </border>
    <border>
      <left style="dotted">
        <color indexed="64"/>
      </left>
      <right/>
      <top/>
      <bottom style="dotted">
        <color indexed="64"/>
      </bottom>
      <diagonal/>
    </border>
    <border>
      <left/>
      <right style="dotted">
        <color indexed="64"/>
      </right>
      <top style="dotted">
        <color indexed="64"/>
      </top>
      <bottom style="dotted">
        <color indexed="64"/>
      </bottom>
      <diagonal/>
    </border>
    <border>
      <left style="dotted">
        <color indexed="64"/>
      </left>
      <right style="dotted">
        <color indexed="64"/>
      </right>
      <top style="dotted">
        <color indexed="64"/>
      </top>
      <bottom style="dotted">
        <color indexed="64"/>
      </bottom>
      <diagonal/>
    </border>
    <border>
      <left style="dotted">
        <color indexed="64"/>
      </left>
      <right/>
      <top style="dotted">
        <color indexed="64"/>
      </top>
      <bottom style="dotted">
        <color indexed="64"/>
      </bottom>
      <diagonal/>
    </border>
    <border>
      <left/>
      <right style="dotted">
        <color indexed="64"/>
      </right>
      <top style="dotted">
        <color indexed="64"/>
      </top>
      <bottom/>
      <diagonal/>
    </border>
    <border>
      <left style="dotted">
        <color indexed="64"/>
      </left>
      <right style="dotted">
        <color indexed="64"/>
      </right>
      <top style="dotted">
        <color indexed="64"/>
      </top>
      <bottom/>
      <diagonal/>
    </border>
    <border>
      <left style="dotted">
        <color indexed="64"/>
      </left>
      <right/>
      <top style="dotted">
        <color indexed="64"/>
      </top>
      <bottom/>
      <diagonal/>
    </border>
    <border>
      <left/>
      <right/>
      <top/>
      <bottom style="double">
        <color rgb="FFFF8001"/>
      </bottom>
      <diagonal/>
    </border>
    <border>
      <left style="thin">
        <color theme="4" tint="0.59999389629810485"/>
      </left>
      <right/>
      <top/>
      <bottom/>
      <diagonal/>
    </border>
    <border>
      <left style="thin">
        <color theme="4" tint="0.59999389629810485"/>
      </left>
      <right style="thin">
        <color theme="4" tint="0.59999389629810485"/>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right/>
      <top style="medium">
        <color indexed="64"/>
      </top>
      <bottom style="medium">
        <color indexed="64"/>
      </bottom>
      <diagonal/>
    </border>
    <border>
      <left style="medium">
        <color indexed="64"/>
      </left>
      <right style="dotted">
        <color indexed="64"/>
      </right>
      <top/>
      <bottom style="dotted">
        <color indexed="64"/>
      </bottom>
      <diagonal/>
    </border>
    <border>
      <left style="dotted">
        <color indexed="64"/>
      </left>
      <right style="medium">
        <color indexed="64"/>
      </right>
      <top/>
      <bottom style="dotted">
        <color indexed="64"/>
      </bottom>
      <diagonal/>
    </border>
    <border>
      <left style="medium">
        <color indexed="64"/>
      </left>
      <right style="dotted">
        <color indexed="64"/>
      </right>
      <top style="dotted">
        <color indexed="64"/>
      </top>
      <bottom style="medium">
        <color indexed="64"/>
      </bottom>
      <diagonal/>
    </border>
    <border>
      <left style="dotted">
        <color indexed="64"/>
      </left>
      <right style="dotted">
        <color indexed="64"/>
      </right>
      <top style="dotted">
        <color indexed="64"/>
      </top>
      <bottom style="medium">
        <color indexed="64"/>
      </bottom>
      <diagonal/>
    </border>
    <border>
      <left style="dotted">
        <color indexed="64"/>
      </left>
      <right style="medium">
        <color indexed="64"/>
      </right>
      <top style="dotted">
        <color indexed="64"/>
      </top>
      <bottom style="medium">
        <color indexed="64"/>
      </bottom>
      <diagonal/>
    </border>
    <border>
      <left style="dotted">
        <color indexed="64"/>
      </left>
      <right style="dotted">
        <color indexed="64"/>
      </right>
      <top style="medium">
        <color indexed="64"/>
      </top>
      <bottom style="dotted">
        <color indexed="64"/>
      </bottom>
      <diagonal/>
    </border>
    <border>
      <left style="dotted">
        <color indexed="64"/>
      </left>
      <right style="medium">
        <color indexed="64"/>
      </right>
      <top style="medium">
        <color indexed="64"/>
      </top>
      <bottom style="dotted">
        <color indexed="64"/>
      </bottom>
      <diagonal/>
    </border>
    <border>
      <left style="medium">
        <color indexed="64"/>
      </left>
      <right style="dotted">
        <color indexed="64"/>
      </right>
      <top style="medium">
        <color indexed="64"/>
      </top>
      <bottom style="dotted">
        <color indexed="64"/>
      </bottom>
      <diagonal/>
    </border>
    <border>
      <left style="dotted">
        <color indexed="64"/>
      </left>
      <right style="dotted">
        <color indexed="64"/>
      </right>
      <top/>
      <bottom/>
      <diagonal/>
    </border>
    <border>
      <left style="thin">
        <color theme="1"/>
      </left>
      <right/>
      <top style="thin">
        <color theme="1"/>
      </top>
      <bottom/>
      <diagonal/>
    </border>
    <border>
      <left/>
      <right/>
      <top style="thin">
        <color theme="1"/>
      </top>
      <bottom/>
      <diagonal/>
    </border>
    <border>
      <left style="thin">
        <color theme="1"/>
      </left>
      <right/>
      <top style="double">
        <color theme="1"/>
      </top>
      <bottom style="thin">
        <color theme="1"/>
      </bottom>
      <diagonal/>
    </border>
    <border>
      <left/>
      <right/>
      <top style="double">
        <color theme="1"/>
      </top>
      <bottom style="thin">
        <color theme="1"/>
      </bottom>
      <diagonal/>
    </border>
    <border>
      <left/>
      <right/>
      <top style="thin">
        <color theme="9" tint="0.39997558519241921"/>
      </top>
      <bottom style="thin">
        <color theme="9" tint="0.39997558519241921"/>
      </bottom>
      <diagonal/>
    </border>
    <border>
      <left style="thin">
        <color theme="9" tint="0.59999389629810485"/>
      </left>
      <right style="thin">
        <color theme="9" tint="0.59999389629810485"/>
      </right>
      <top style="thin">
        <color theme="9" tint="0.59999389629810485"/>
      </top>
      <bottom style="thin">
        <color theme="9" tint="0.59999389629810485"/>
      </bottom>
      <diagonal/>
    </border>
    <border>
      <left style="thin">
        <color theme="9" tint="0.59999389629810485"/>
      </left>
      <right/>
      <top style="thin">
        <color theme="9" tint="0.59999389629810485"/>
      </top>
      <bottom style="thin">
        <color theme="9" tint="0.59999389629810485"/>
      </bottom>
      <diagonal/>
    </border>
    <border>
      <left style="thin">
        <color theme="1"/>
      </left>
      <right style="dotted">
        <color indexed="64"/>
      </right>
      <top style="dotted">
        <color indexed="64"/>
      </top>
      <bottom style="dotted">
        <color indexed="64"/>
      </bottom>
      <diagonal/>
    </border>
    <border>
      <left style="thin">
        <color theme="1"/>
      </left>
      <right style="dotted">
        <color indexed="64"/>
      </right>
      <top style="thin">
        <color theme="1"/>
      </top>
      <bottom style="dotted">
        <color indexed="64"/>
      </bottom>
      <diagonal/>
    </border>
    <border>
      <left style="dotted">
        <color indexed="64"/>
      </left>
      <right style="dotted">
        <color indexed="64"/>
      </right>
      <top style="thin">
        <color theme="1"/>
      </top>
      <bottom style="dotted">
        <color indexed="64"/>
      </bottom>
      <diagonal/>
    </border>
    <border>
      <left style="thin">
        <color theme="1"/>
      </left>
      <right style="dotted">
        <color indexed="64"/>
      </right>
      <top style="dotted">
        <color indexed="64"/>
      </top>
      <bottom style="thin">
        <color theme="1"/>
      </bottom>
      <diagonal/>
    </border>
    <border>
      <left style="dotted">
        <color indexed="64"/>
      </left>
      <right style="dotted">
        <color indexed="64"/>
      </right>
      <top style="dotted">
        <color indexed="64"/>
      </top>
      <bottom style="thin">
        <color theme="1"/>
      </bottom>
      <diagonal/>
    </border>
    <border>
      <left style="thin">
        <color theme="1"/>
      </left>
      <right style="dotted">
        <color indexed="64"/>
      </right>
      <top style="dotted">
        <color indexed="64"/>
      </top>
      <bottom/>
      <diagonal/>
    </border>
    <border>
      <left style="thin">
        <color theme="1"/>
      </left>
      <right style="dotted">
        <color indexed="64"/>
      </right>
      <top style="thin">
        <color theme="1"/>
      </top>
      <bottom/>
      <diagonal/>
    </border>
    <border>
      <left style="dotted">
        <color indexed="64"/>
      </left>
      <right style="dotted">
        <color indexed="64"/>
      </right>
      <top style="thin">
        <color theme="1"/>
      </top>
      <bottom/>
      <diagonal/>
    </border>
  </borders>
  <cellStyleXfs count="4">
    <xf numFmtId="0" fontId="0" fillId="0" borderId="0"/>
    <xf numFmtId="9" fontId="1" fillId="0" borderId="0"/>
    <xf numFmtId="0" fontId="12" fillId="0" borderId="10"/>
    <xf numFmtId="44" fontId="1" fillId="0" borderId="0"/>
  </cellStyleXfs>
  <cellXfs count="422">
    <xf numFmtId="0" fontId="0" fillId="0" borderId="0" xfId="0"/>
    <xf numFmtId="0" fontId="3" fillId="0" borderId="0" xfId="0" applyFont="1"/>
    <xf numFmtId="0" fontId="3" fillId="0" borderId="0" xfId="0" applyFont="1" applyAlignment="1">
      <alignment horizontal="center"/>
    </xf>
    <xf numFmtId="14" fontId="2" fillId="2" borderId="1" xfId="0" applyNumberFormat="1" applyFont="1" applyFill="1" applyBorder="1" applyAlignment="1">
      <alignment horizontal="center"/>
    </xf>
    <xf numFmtId="0" fontId="2" fillId="2" borderId="2" xfId="0" applyFont="1" applyFill="1" applyBorder="1" applyAlignment="1">
      <alignment horizontal="center"/>
    </xf>
    <xf numFmtId="0" fontId="2" fillId="3" borderId="2" xfId="0" applyFont="1" applyFill="1" applyBorder="1" applyAlignment="1">
      <alignment horizontal="center"/>
    </xf>
    <xf numFmtId="0" fontId="2" fillId="3" borderId="2" xfId="0" applyFont="1" applyFill="1" applyBorder="1" applyAlignment="1">
      <alignment horizontal="center" wrapText="1"/>
    </xf>
    <xf numFmtId="0" fontId="2" fillId="4" borderId="2" xfId="0" applyFont="1" applyFill="1" applyBorder="1" applyAlignment="1">
      <alignment horizontal="center" wrapText="1"/>
    </xf>
    <xf numFmtId="0" fontId="2" fillId="2" borderId="2" xfId="0" applyFont="1" applyFill="1" applyBorder="1" applyAlignment="1">
      <alignment horizontal="center" wrapText="1"/>
    </xf>
    <xf numFmtId="0" fontId="2" fillId="2" borderId="3" xfId="0" applyFont="1" applyFill="1" applyBorder="1" applyAlignment="1">
      <alignment horizontal="center"/>
    </xf>
    <xf numFmtId="14" fontId="4" fillId="0" borderId="4" xfId="0" applyNumberFormat="1" applyFont="1" applyBorder="1" applyAlignment="1">
      <alignment horizontal="center"/>
    </xf>
    <xf numFmtId="0" fontId="4" fillId="0" borderId="5" xfId="0" applyFont="1" applyBorder="1" applyAlignment="1">
      <alignment horizontal="center"/>
    </xf>
    <xf numFmtId="1" fontId="4" fillId="0" borderId="5" xfId="0" applyNumberFormat="1" applyFont="1" applyBorder="1" applyAlignment="1">
      <alignment horizontal="center"/>
    </xf>
    <xf numFmtId="164" fontId="4" fillId="0" borderId="5" xfId="0" applyNumberFormat="1" applyFont="1" applyBorder="1" applyAlignment="1">
      <alignment horizontal="center"/>
    </xf>
    <xf numFmtId="165" fontId="4" fillId="0" borderId="5" xfId="0" applyNumberFormat="1" applyFont="1" applyBorder="1" applyAlignment="1">
      <alignment horizontal="center"/>
    </xf>
    <xf numFmtId="10" fontId="4" fillId="0" borderId="5" xfId="1" applyNumberFormat="1" applyFont="1" applyBorder="1" applyAlignment="1">
      <alignment horizontal="center"/>
    </xf>
    <xf numFmtId="0" fontId="5" fillId="0" borderId="6" xfId="0" applyFont="1" applyBorder="1" applyAlignment="1">
      <alignment horizontal="center"/>
    </xf>
    <xf numFmtId="165" fontId="4" fillId="0" borderId="5" xfId="1" applyNumberFormat="1" applyFont="1" applyBorder="1" applyAlignment="1">
      <alignment horizontal="center"/>
    </xf>
    <xf numFmtId="14" fontId="4" fillId="5" borderId="4" xfId="0" applyNumberFormat="1" applyFont="1" applyFill="1" applyBorder="1" applyAlignment="1">
      <alignment horizontal="center"/>
    </xf>
    <xf numFmtId="14" fontId="4" fillId="6" borderId="4" xfId="0" applyNumberFormat="1" applyFont="1" applyFill="1" applyBorder="1" applyAlignment="1">
      <alignment horizontal="center"/>
    </xf>
    <xf numFmtId="14" fontId="4" fillId="0" borderId="7" xfId="0" applyNumberFormat="1" applyFont="1" applyBorder="1" applyAlignment="1">
      <alignment horizontal="center"/>
    </xf>
    <xf numFmtId="0" fontId="4" fillId="0" borderId="8" xfId="0" applyFont="1" applyBorder="1" applyAlignment="1">
      <alignment horizontal="center"/>
    </xf>
    <xf numFmtId="1" fontId="4" fillId="0" borderId="8" xfId="0" applyNumberFormat="1" applyFont="1" applyBorder="1" applyAlignment="1">
      <alignment horizontal="center"/>
    </xf>
    <xf numFmtId="165" fontId="4" fillId="0" borderId="8" xfId="0" applyNumberFormat="1" applyFont="1" applyBorder="1" applyAlignment="1">
      <alignment horizontal="center"/>
    </xf>
    <xf numFmtId="10" fontId="4" fillId="0" borderId="5" xfId="0" applyNumberFormat="1" applyFont="1" applyBorder="1" applyAlignment="1">
      <alignment horizontal="center"/>
    </xf>
    <xf numFmtId="0" fontId="4" fillId="0" borderId="9" xfId="0" applyFont="1" applyBorder="1" applyAlignment="1">
      <alignment horizontal="center"/>
    </xf>
    <xf numFmtId="14" fontId="4" fillId="0" borderId="0" xfId="0" applyNumberFormat="1" applyFont="1" applyAlignment="1">
      <alignment horizontal="center"/>
    </xf>
    <xf numFmtId="0" fontId="4" fillId="0" borderId="0" xfId="0" applyFont="1" applyAlignment="1">
      <alignment horizontal="center"/>
    </xf>
    <xf numFmtId="1" fontId="4" fillId="0" borderId="0" xfId="0" applyNumberFormat="1" applyFont="1" applyAlignment="1">
      <alignment horizontal="center"/>
    </xf>
    <xf numFmtId="165" fontId="4" fillId="0" borderId="0" xfId="0" applyNumberFormat="1" applyFont="1" applyAlignment="1">
      <alignment horizontal="center"/>
    </xf>
    <xf numFmtId="10" fontId="4" fillId="0" borderId="0" xfId="1" applyNumberFormat="1" applyFont="1" applyAlignment="1">
      <alignment horizontal="center"/>
    </xf>
    <xf numFmtId="14" fontId="0" fillId="0" borderId="0" xfId="0" applyNumberFormat="1"/>
    <xf numFmtId="0" fontId="0" fillId="0" borderId="0" xfId="0" applyAlignment="1">
      <alignment horizontal="center"/>
    </xf>
    <xf numFmtId="164" fontId="0" fillId="0" borderId="0" xfId="0" applyNumberFormat="1"/>
    <xf numFmtId="164" fontId="0" fillId="0" borderId="0" xfId="0" applyNumberFormat="1" applyAlignment="1">
      <alignment horizontal="center"/>
    </xf>
    <xf numFmtId="10" fontId="0" fillId="0" borderId="0" xfId="1" applyNumberFormat="1" applyFont="1"/>
    <xf numFmtId="0" fontId="0" fillId="0" borderId="0" xfId="0" pivotButton="1"/>
    <xf numFmtId="0" fontId="0" fillId="0" borderId="0" xfId="0" applyAlignment="1">
      <alignment horizontal="left"/>
    </xf>
    <xf numFmtId="165" fontId="0" fillId="0" borderId="0" xfId="0" applyNumberFormat="1"/>
    <xf numFmtId="1" fontId="0" fillId="0" borderId="0" xfId="0" applyNumberFormat="1"/>
    <xf numFmtId="0" fontId="0" fillId="8" borderId="0" xfId="0" applyFill="1"/>
    <xf numFmtId="0" fontId="0" fillId="8" borderId="0" xfId="0" applyFill="1" applyAlignment="1">
      <alignment horizontal="left"/>
    </xf>
    <xf numFmtId="1" fontId="0" fillId="8" borderId="0" xfId="0" applyNumberFormat="1" applyFill="1"/>
    <xf numFmtId="0" fontId="6" fillId="0" borderId="0" xfId="0" applyFont="1"/>
    <xf numFmtId="0" fontId="8" fillId="0" borderId="0" xfId="0" applyFont="1"/>
    <xf numFmtId="0" fontId="9" fillId="10" borderId="0" xfId="0" applyFont="1" applyFill="1"/>
    <xf numFmtId="0" fontId="7" fillId="10" borderId="0" xfId="0" applyFont="1" applyFill="1"/>
    <xf numFmtId="0" fontId="0" fillId="11" borderId="0" xfId="0" applyFill="1"/>
    <xf numFmtId="0" fontId="0" fillId="12" borderId="0" xfId="0" applyFill="1" applyAlignment="1">
      <alignment horizontal="center"/>
    </xf>
    <xf numFmtId="17" fontId="0" fillId="12" borderId="0" xfId="0" applyNumberFormat="1" applyFill="1" applyAlignment="1">
      <alignment horizontal="center"/>
    </xf>
    <xf numFmtId="17" fontId="0" fillId="12" borderId="0" xfId="0" applyNumberFormat="1" applyFill="1"/>
    <xf numFmtId="17" fontId="0" fillId="0" borderId="0" xfId="0" applyNumberFormat="1"/>
    <xf numFmtId="17" fontId="0" fillId="0" borderId="0" xfId="0" applyNumberFormat="1" applyAlignment="1">
      <alignment horizontal="center"/>
    </xf>
    <xf numFmtId="44" fontId="0" fillId="0" borderId="0" xfId="0" applyNumberFormat="1" applyAlignment="1">
      <alignment horizontal="center"/>
    </xf>
    <xf numFmtId="44" fontId="0" fillId="0" borderId="0" xfId="0" applyNumberFormat="1"/>
    <xf numFmtId="0" fontId="0" fillId="12" borderId="0" xfId="0" applyFill="1"/>
    <xf numFmtId="9" fontId="0" fillId="0" borderId="0" xfId="0" applyNumberFormat="1"/>
    <xf numFmtId="0" fontId="3" fillId="8" borderId="0" xfId="0" applyFont="1" applyFill="1"/>
    <xf numFmtId="0" fontId="2" fillId="9" borderId="0" xfId="0" applyFont="1" applyFill="1"/>
    <xf numFmtId="165" fontId="0" fillId="8" borderId="0" xfId="0" applyNumberFormat="1" applyFill="1"/>
    <xf numFmtId="0" fontId="0" fillId="8" borderId="0" xfId="0" applyFill="1" applyAlignment="1">
      <alignment horizontal="center"/>
    </xf>
    <xf numFmtId="166" fontId="0" fillId="0" borderId="0" xfId="0" applyNumberFormat="1"/>
    <xf numFmtId="0" fontId="0" fillId="13" borderId="0" xfId="0" applyFill="1"/>
    <xf numFmtId="44" fontId="3" fillId="8" borderId="0" xfId="0" applyNumberFormat="1" applyFont="1" applyFill="1" applyAlignment="1">
      <alignment horizontal="right"/>
    </xf>
    <xf numFmtId="1" fontId="3" fillId="8" borderId="0" xfId="0" applyNumberFormat="1" applyFont="1" applyFill="1" applyAlignment="1">
      <alignment horizontal="right"/>
    </xf>
    <xf numFmtId="44" fontId="0" fillId="0" borderId="0" xfId="0" applyNumberFormat="1" applyAlignment="1">
      <alignment horizontal="right"/>
    </xf>
    <xf numFmtId="1" fontId="0" fillId="0" borderId="0" xfId="0" applyNumberFormat="1" applyAlignment="1">
      <alignment horizontal="right"/>
    </xf>
    <xf numFmtId="0" fontId="10" fillId="0" borderId="0" xfId="0" applyFont="1"/>
    <xf numFmtId="14" fontId="2" fillId="14" borderId="1" xfId="0" applyNumberFormat="1" applyFont="1" applyFill="1" applyBorder="1" applyAlignment="1">
      <alignment horizontal="center"/>
    </xf>
    <xf numFmtId="0" fontId="2" fillId="14" borderId="2" xfId="0" applyFont="1" applyFill="1" applyBorder="1" applyAlignment="1">
      <alignment horizontal="center"/>
    </xf>
    <xf numFmtId="0" fontId="2" fillId="14" borderId="2" xfId="0" applyFont="1" applyFill="1" applyBorder="1" applyAlignment="1">
      <alignment horizontal="center" wrapText="1"/>
    </xf>
    <xf numFmtId="0" fontId="2" fillId="14" borderId="3" xfId="0" applyFont="1" applyFill="1" applyBorder="1" applyAlignment="1">
      <alignment horizontal="center"/>
    </xf>
    <xf numFmtId="0" fontId="0" fillId="15" borderId="0" xfId="0" applyFill="1"/>
    <xf numFmtId="164" fontId="4" fillId="0" borderId="8" xfId="0" applyNumberFormat="1" applyFont="1" applyBorder="1" applyAlignment="1">
      <alignment horizontal="center"/>
    </xf>
    <xf numFmtId="10" fontId="4" fillId="0" borderId="8" xfId="1" applyNumberFormat="1" applyFont="1" applyBorder="1" applyAlignment="1">
      <alignment horizontal="center"/>
    </xf>
    <xf numFmtId="0" fontId="5" fillId="0" borderId="9" xfId="0" applyFont="1" applyBorder="1" applyAlignment="1">
      <alignment horizontal="center"/>
    </xf>
    <xf numFmtId="0" fontId="4" fillId="0" borderId="7" xfId="0" applyFont="1" applyBorder="1" applyAlignment="1">
      <alignment horizontal="center"/>
    </xf>
    <xf numFmtId="0" fontId="0" fillId="0" borderId="0" xfId="0" applyAlignment="1">
      <alignment horizontal="right"/>
    </xf>
    <xf numFmtId="0" fontId="2" fillId="14" borderId="10" xfId="2" applyFont="1" applyFill="1"/>
    <xf numFmtId="0" fontId="12" fillId="0" borderId="10" xfId="2" applyAlignment="1">
      <alignment horizontal="center"/>
    </xf>
    <xf numFmtId="0" fontId="12" fillId="0" borderId="10" xfId="2"/>
    <xf numFmtId="44" fontId="12" fillId="0" borderId="10" xfId="2" applyNumberFormat="1"/>
    <xf numFmtId="165" fontId="12" fillId="0" borderId="10" xfId="2" applyNumberFormat="1"/>
    <xf numFmtId="10" fontId="12" fillId="0" borderId="10" xfId="2" applyNumberFormat="1"/>
    <xf numFmtId="0" fontId="11" fillId="0" borderId="10" xfId="2" applyFont="1"/>
    <xf numFmtId="44" fontId="11" fillId="0" borderId="10" xfId="2" applyNumberFormat="1" applyFont="1"/>
    <xf numFmtId="10" fontId="11" fillId="0" borderId="10" xfId="2" applyNumberFormat="1" applyFont="1"/>
    <xf numFmtId="167" fontId="11" fillId="0" borderId="10" xfId="2" applyNumberFormat="1" applyFont="1"/>
    <xf numFmtId="10" fontId="11" fillId="0" borderId="10" xfId="1" applyNumberFormat="1" applyFont="1" applyBorder="1"/>
    <xf numFmtId="165" fontId="11" fillId="0" borderId="10" xfId="2" applyNumberFormat="1" applyFont="1"/>
    <xf numFmtId="14" fontId="4" fillId="16" borderId="4" xfId="0" applyNumberFormat="1" applyFont="1" applyFill="1" applyBorder="1" applyAlignment="1">
      <alignment horizontal="center"/>
    </xf>
    <xf numFmtId="14" fontId="13" fillId="14" borderId="1" xfId="0" applyNumberFormat="1" applyFont="1" applyFill="1" applyBorder="1" applyAlignment="1">
      <alignment horizontal="center"/>
    </xf>
    <xf numFmtId="0" fontId="13" fillId="14" borderId="2" xfId="0" applyFont="1" applyFill="1" applyBorder="1" applyAlignment="1">
      <alignment horizontal="center"/>
    </xf>
    <xf numFmtId="0" fontId="13" fillId="14" borderId="2" xfId="0" applyFont="1" applyFill="1" applyBorder="1" applyAlignment="1">
      <alignment horizontal="center" wrapText="1"/>
    </xf>
    <xf numFmtId="0" fontId="13" fillId="14" borderId="3" xfId="0" applyFont="1" applyFill="1" applyBorder="1" applyAlignment="1">
      <alignment horizontal="center"/>
    </xf>
    <xf numFmtId="14" fontId="14" fillId="0" borderId="4" xfId="0" applyNumberFormat="1" applyFont="1" applyBorder="1" applyAlignment="1">
      <alignment horizontal="center"/>
    </xf>
    <xf numFmtId="0" fontId="14" fillId="0" borderId="5" xfId="0" applyFont="1" applyBorder="1" applyAlignment="1">
      <alignment horizontal="center"/>
    </xf>
    <xf numFmtId="1" fontId="14" fillId="0" borderId="5" xfId="0" applyNumberFormat="1" applyFont="1" applyBorder="1" applyAlignment="1">
      <alignment horizontal="center"/>
    </xf>
    <xf numFmtId="164" fontId="14" fillId="0" borderId="5" xfId="0" applyNumberFormat="1" applyFont="1" applyBorder="1" applyAlignment="1">
      <alignment horizontal="center"/>
    </xf>
    <xf numFmtId="165" fontId="14" fillId="0" borderId="5" xfId="0" applyNumberFormat="1" applyFont="1" applyBorder="1" applyAlignment="1">
      <alignment horizontal="center"/>
    </xf>
    <xf numFmtId="10" fontId="14" fillId="0" borderId="5" xfId="1" applyNumberFormat="1" applyFont="1" applyBorder="1" applyAlignment="1">
      <alignment horizontal="center"/>
    </xf>
    <xf numFmtId="0" fontId="15" fillId="0" borderId="6" xfId="0" applyFont="1" applyBorder="1" applyAlignment="1">
      <alignment horizontal="center"/>
    </xf>
    <xf numFmtId="14" fontId="14" fillId="0" borderId="7" xfId="0" applyNumberFormat="1" applyFont="1" applyBorder="1" applyAlignment="1">
      <alignment horizontal="center"/>
    </xf>
    <xf numFmtId="0" fontId="14" fillId="0" borderId="8" xfId="0" applyFont="1" applyBorder="1" applyAlignment="1">
      <alignment horizontal="center"/>
    </xf>
    <xf numFmtId="1" fontId="14" fillId="0" borderId="8" xfId="0" applyNumberFormat="1" applyFont="1" applyBorder="1" applyAlignment="1">
      <alignment horizontal="center"/>
    </xf>
    <xf numFmtId="164" fontId="14" fillId="0" borderId="8" xfId="0" applyNumberFormat="1" applyFont="1" applyBorder="1" applyAlignment="1">
      <alignment horizontal="center"/>
    </xf>
    <xf numFmtId="165" fontId="14" fillId="0" borderId="8" xfId="0" applyNumberFormat="1" applyFont="1" applyBorder="1" applyAlignment="1">
      <alignment horizontal="center"/>
    </xf>
    <xf numFmtId="10" fontId="14" fillId="0" borderId="8" xfId="1" applyNumberFormat="1" applyFont="1" applyBorder="1" applyAlignment="1">
      <alignment horizontal="center"/>
    </xf>
    <xf numFmtId="0" fontId="15" fillId="0" borderId="9" xfId="0" applyFont="1" applyBorder="1" applyAlignment="1">
      <alignment horizontal="center"/>
    </xf>
    <xf numFmtId="0" fontId="14" fillId="0" borderId="7" xfId="0" applyFont="1" applyBorder="1" applyAlignment="1">
      <alignment horizontal="center"/>
    </xf>
    <xf numFmtId="0" fontId="16" fillId="0" borderId="0" xfId="0" applyFont="1"/>
    <xf numFmtId="0" fontId="17" fillId="0" borderId="0" xfId="0" applyFont="1"/>
    <xf numFmtId="9" fontId="18" fillId="3" borderId="0" xfId="0" applyNumberFormat="1" applyFont="1" applyFill="1"/>
    <xf numFmtId="9" fontId="16" fillId="20" borderId="0" xfId="0" applyNumberFormat="1" applyFont="1" applyFill="1"/>
    <xf numFmtId="9" fontId="16" fillId="0" borderId="0" xfId="0" applyNumberFormat="1" applyFont="1" applyAlignment="1">
      <alignment horizontal="center"/>
    </xf>
    <xf numFmtId="0" fontId="16" fillId="0" borderId="0" xfId="0" applyFont="1" applyAlignment="1">
      <alignment horizontal="center"/>
    </xf>
    <xf numFmtId="9" fontId="19" fillId="20" borderId="0" xfId="0" applyNumberFormat="1" applyFont="1" applyFill="1" applyAlignment="1">
      <alignment horizontal="right"/>
    </xf>
    <xf numFmtId="0" fontId="19" fillId="0" borderId="0" xfId="0" applyFont="1" applyAlignment="1">
      <alignment horizontal="center"/>
    </xf>
    <xf numFmtId="1" fontId="19" fillId="5" borderId="11" xfId="0" applyNumberFormat="1" applyFont="1" applyFill="1" applyBorder="1" applyAlignment="1">
      <alignment horizontal="center"/>
    </xf>
    <xf numFmtId="10" fontId="19" fillId="0" borderId="0" xfId="1" applyNumberFormat="1" applyFont="1" applyAlignment="1">
      <alignment horizontal="center"/>
    </xf>
    <xf numFmtId="164" fontId="19" fillId="0" borderId="0" xfId="0" applyNumberFormat="1" applyFont="1" applyAlignment="1">
      <alignment horizontal="center"/>
    </xf>
    <xf numFmtId="164" fontId="19" fillId="0" borderId="11" xfId="0" applyNumberFormat="1" applyFont="1" applyBorder="1" applyAlignment="1">
      <alignment horizontal="center"/>
    </xf>
    <xf numFmtId="164" fontId="19" fillId="0" borderId="11" xfId="1" applyNumberFormat="1" applyFont="1" applyBorder="1" applyAlignment="1">
      <alignment horizontal="center"/>
    </xf>
    <xf numFmtId="0" fontId="16" fillId="0" borderId="0" xfId="0" applyFont="1" applyAlignment="1">
      <alignment horizontal="right"/>
    </xf>
    <xf numFmtId="0" fontId="19" fillId="0" borderId="0" xfId="0" applyFont="1"/>
    <xf numFmtId="9" fontId="16" fillId="0" borderId="0" xfId="0" applyNumberFormat="1" applyFont="1" applyAlignment="1">
      <alignment horizontal="left"/>
    </xf>
    <xf numFmtId="10" fontId="19" fillId="0" borderId="0" xfId="0" applyNumberFormat="1" applyFont="1" applyAlignment="1">
      <alignment horizontal="center"/>
    </xf>
    <xf numFmtId="10" fontId="16" fillId="0" borderId="0" xfId="0" applyNumberFormat="1" applyFont="1" applyAlignment="1">
      <alignment horizontal="center"/>
    </xf>
    <xf numFmtId="9" fontId="19" fillId="0" borderId="0" xfId="0" applyNumberFormat="1" applyFont="1" applyAlignment="1">
      <alignment horizontal="right"/>
    </xf>
    <xf numFmtId="9" fontId="19" fillId="0" borderId="12" xfId="0" applyNumberFormat="1" applyFont="1" applyBorder="1" applyAlignment="1">
      <alignment horizontal="center"/>
    </xf>
    <xf numFmtId="10" fontId="19" fillId="0" borderId="12" xfId="1" applyNumberFormat="1" applyFont="1" applyBorder="1" applyAlignment="1">
      <alignment horizontal="center"/>
    </xf>
    <xf numFmtId="9" fontId="19" fillId="0" borderId="0" xfId="0" applyNumberFormat="1" applyFont="1" applyAlignment="1">
      <alignment horizontal="center"/>
    </xf>
    <xf numFmtId="9" fontId="20" fillId="0" borderId="0" xfId="0" applyNumberFormat="1" applyFont="1" applyAlignment="1">
      <alignment horizontal="right"/>
    </xf>
    <xf numFmtId="9" fontId="20" fillId="0" borderId="12" xfId="0" applyNumberFormat="1" applyFont="1" applyBorder="1" applyAlignment="1">
      <alignment horizontal="center"/>
    </xf>
    <xf numFmtId="10" fontId="20" fillId="0" borderId="12" xfId="1" applyNumberFormat="1" applyFont="1" applyBorder="1" applyAlignment="1">
      <alignment horizontal="center"/>
    </xf>
    <xf numFmtId="0" fontId="18" fillId="22" borderId="5" xfId="0" applyFont="1" applyFill="1" applyBorder="1"/>
    <xf numFmtId="0" fontId="16" fillId="0" borderId="5" xfId="0" applyFont="1" applyBorder="1" applyAlignment="1">
      <alignment horizontal="center" wrapText="1"/>
    </xf>
    <xf numFmtId="0" fontId="16" fillId="0" borderId="5" xfId="0" applyFont="1" applyBorder="1" applyAlignment="1">
      <alignment horizontal="center"/>
    </xf>
    <xf numFmtId="0" fontId="19" fillId="0" borderId="5" xfId="0" applyFont="1" applyBorder="1"/>
    <xf numFmtId="164" fontId="19" fillId="0" borderId="5" xfId="0" applyNumberFormat="1" applyFont="1" applyBorder="1" applyAlignment="1">
      <alignment horizontal="center"/>
    </xf>
    <xf numFmtId="10" fontId="19" fillId="0" borderId="5" xfId="1" applyNumberFormat="1" applyFont="1" applyBorder="1" applyAlignment="1">
      <alignment horizontal="center"/>
    </xf>
    <xf numFmtId="164" fontId="19" fillId="0" borderId="5" xfId="0" applyNumberFormat="1" applyFont="1" applyBorder="1"/>
    <xf numFmtId="164" fontId="18" fillId="18" borderId="5" xfId="0" applyNumberFormat="1" applyFont="1" applyFill="1" applyBorder="1" applyAlignment="1">
      <alignment horizontal="center"/>
    </xf>
    <xf numFmtId="164" fontId="18" fillId="3" borderId="5" xfId="0" applyNumberFormat="1" applyFont="1" applyFill="1" applyBorder="1" applyAlignment="1">
      <alignment horizontal="center"/>
    </xf>
    <xf numFmtId="164" fontId="18" fillId="16" borderId="5" xfId="0" applyNumberFormat="1" applyFont="1" applyFill="1" applyBorder="1" applyAlignment="1">
      <alignment horizontal="center"/>
    </xf>
    <xf numFmtId="164" fontId="18" fillId="3" borderId="5" xfId="0" applyNumberFormat="1" applyFont="1" applyFill="1" applyBorder="1"/>
    <xf numFmtId="164" fontId="2" fillId="16" borderId="0" xfId="0" applyNumberFormat="1" applyFont="1" applyFill="1" applyAlignment="1">
      <alignment horizontal="left"/>
    </xf>
    <xf numFmtId="164" fontId="19" fillId="0" borderId="5" xfId="1" applyNumberFormat="1" applyFont="1" applyBorder="1" applyAlignment="1">
      <alignment horizontal="center"/>
    </xf>
    <xf numFmtId="165" fontId="19" fillId="0" borderId="5" xfId="0" applyNumberFormat="1" applyFont="1" applyBorder="1" applyAlignment="1">
      <alignment horizontal="center"/>
    </xf>
    <xf numFmtId="165" fontId="21" fillId="15" borderId="5" xfId="0" applyNumberFormat="1" applyFont="1" applyFill="1" applyBorder="1" applyAlignment="1">
      <alignment horizontal="center"/>
    </xf>
    <xf numFmtId="164" fontId="21" fillId="15" borderId="5" xfId="1" applyNumberFormat="1" applyFont="1" applyFill="1" applyBorder="1" applyAlignment="1">
      <alignment horizontal="center"/>
    </xf>
    <xf numFmtId="164" fontId="21" fillId="15" borderId="5" xfId="0" applyNumberFormat="1" applyFont="1" applyFill="1" applyBorder="1" applyAlignment="1">
      <alignment horizontal="center"/>
    </xf>
    <xf numFmtId="0" fontId="0" fillId="0" borderId="5" xfId="0" applyBorder="1"/>
    <xf numFmtId="0" fontId="17" fillId="15" borderId="0" xfId="0" applyFont="1" applyFill="1"/>
    <xf numFmtId="0" fontId="16" fillId="0" borderId="8" xfId="0" applyFont="1" applyBorder="1" applyAlignment="1">
      <alignment horizontal="center"/>
    </xf>
    <xf numFmtId="164" fontId="0" fillId="0" borderId="5" xfId="0" applyNumberFormat="1" applyBorder="1"/>
    <xf numFmtId="164" fontId="19" fillId="0" borderId="4" xfId="0" applyNumberFormat="1" applyFont="1" applyBorder="1" applyAlignment="1">
      <alignment horizontal="center"/>
    </xf>
    <xf numFmtId="165" fontId="19" fillId="0" borderId="5" xfId="0" applyNumberFormat="1" applyFont="1" applyBorder="1"/>
    <xf numFmtId="164" fontId="18" fillId="18" borderId="5" xfId="1" applyNumberFormat="1" applyFont="1" applyFill="1" applyBorder="1" applyAlignment="1">
      <alignment horizontal="center"/>
    </xf>
    <xf numFmtId="164" fontId="18" fillId="16" borderId="5" xfId="0" applyNumberFormat="1" applyFont="1" applyFill="1" applyBorder="1"/>
    <xf numFmtId="164" fontId="2" fillId="3" borderId="0" xfId="0" applyNumberFormat="1" applyFont="1" applyFill="1"/>
    <xf numFmtId="164" fontId="2" fillId="23" borderId="2" xfId="0" applyNumberFormat="1" applyFont="1" applyFill="1" applyBorder="1" applyAlignment="1">
      <alignment horizontal="center"/>
    </xf>
    <xf numFmtId="164" fontId="18" fillId="3" borderId="2" xfId="0" applyNumberFormat="1" applyFont="1" applyFill="1" applyBorder="1"/>
    <xf numFmtId="164" fontId="2" fillId="9" borderId="0" xfId="0" applyNumberFormat="1" applyFont="1" applyFill="1"/>
    <xf numFmtId="0" fontId="22" fillId="24" borderId="0" xfId="0" applyFont="1" applyFill="1" applyAlignment="1">
      <alignment horizontal="center"/>
    </xf>
    <xf numFmtId="0" fontId="13" fillId="2" borderId="0" xfId="0" applyFont="1" applyFill="1" applyAlignment="1">
      <alignment horizontal="center"/>
    </xf>
    <xf numFmtId="164" fontId="13" fillId="2" borderId="0" xfId="0" applyNumberFormat="1" applyFont="1" applyFill="1" applyAlignment="1">
      <alignment horizontal="center"/>
    </xf>
    <xf numFmtId="164" fontId="2" fillId="24" borderId="0" xfId="0" applyNumberFormat="1" applyFont="1" applyFill="1" applyAlignment="1">
      <alignment horizontal="center"/>
    </xf>
    <xf numFmtId="9" fontId="23" fillId="9" borderId="16" xfId="0" applyNumberFormat="1" applyFont="1" applyFill="1" applyBorder="1" applyAlignment="1">
      <alignment horizontal="center"/>
    </xf>
    <xf numFmtId="0" fontId="24" fillId="0" borderId="16" xfId="0" applyFont="1" applyBorder="1" applyAlignment="1">
      <alignment horizontal="center"/>
    </xf>
    <xf numFmtId="0" fontId="24" fillId="0" borderId="18" xfId="0" applyFont="1" applyBorder="1" applyAlignment="1">
      <alignment horizontal="center"/>
    </xf>
    <xf numFmtId="0" fontId="26" fillId="0" borderId="13" xfId="0" applyFont="1" applyBorder="1"/>
    <xf numFmtId="0" fontId="27" fillId="0" borderId="14" xfId="0" applyFont="1" applyBorder="1"/>
    <xf numFmtId="0" fontId="27" fillId="0" borderId="15" xfId="0" applyFont="1" applyBorder="1"/>
    <xf numFmtId="0" fontId="27" fillId="0" borderId="16" xfId="0" applyFont="1" applyBorder="1"/>
    <xf numFmtId="0" fontId="27" fillId="0" borderId="0" xfId="0" applyFont="1"/>
    <xf numFmtId="164" fontId="28" fillId="0" borderId="17" xfId="0" applyNumberFormat="1" applyFont="1" applyBorder="1" applyAlignment="1">
      <alignment horizontal="right"/>
    </xf>
    <xf numFmtId="10" fontId="28" fillId="0" borderId="17" xfId="1" applyNumberFormat="1" applyFont="1" applyBorder="1"/>
    <xf numFmtId="0" fontId="27" fillId="0" borderId="17" xfId="0" applyFont="1" applyBorder="1" applyAlignment="1">
      <alignment horizontal="right"/>
    </xf>
    <xf numFmtId="0" fontId="26" fillId="0" borderId="16" xfId="0" applyFont="1" applyBorder="1"/>
    <xf numFmtId="0" fontId="27" fillId="0" borderId="18" xfId="0" applyFont="1" applyBorder="1"/>
    <xf numFmtId="0" fontId="27" fillId="0" borderId="19" xfId="0" applyFont="1" applyBorder="1"/>
    <xf numFmtId="10" fontId="28" fillId="0" borderId="20" xfId="1" applyNumberFormat="1" applyFont="1" applyBorder="1" applyAlignment="1">
      <alignment horizontal="right"/>
    </xf>
    <xf numFmtId="164" fontId="2" fillId="25" borderId="0" xfId="0" applyNumberFormat="1" applyFont="1" applyFill="1" applyAlignment="1">
      <alignment horizontal="center"/>
    </xf>
    <xf numFmtId="1" fontId="2" fillId="25" borderId="0" xfId="0" applyNumberFormat="1" applyFont="1" applyFill="1" applyAlignment="1">
      <alignment horizontal="center"/>
    </xf>
    <xf numFmtId="44" fontId="0" fillId="0" borderId="0" xfId="3" applyFont="1"/>
    <xf numFmtId="1" fontId="30" fillId="25" borderId="0" xfId="0" applyNumberFormat="1" applyFont="1" applyFill="1" applyAlignment="1">
      <alignment horizontal="center"/>
    </xf>
    <xf numFmtId="164" fontId="30" fillId="25" borderId="0" xfId="0" applyNumberFormat="1" applyFont="1" applyFill="1" applyAlignment="1">
      <alignment horizontal="center"/>
    </xf>
    <xf numFmtId="14" fontId="3" fillId="0" borderId="0" xfId="0" applyNumberFormat="1" applyFont="1"/>
    <xf numFmtId="167" fontId="0" fillId="0" borderId="0" xfId="0" applyNumberFormat="1"/>
    <xf numFmtId="164" fontId="31" fillId="25" borderId="0" xfId="0" applyNumberFormat="1" applyFont="1" applyFill="1" applyAlignment="1">
      <alignment horizontal="center"/>
    </xf>
    <xf numFmtId="0" fontId="30" fillId="14" borderId="0" xfId="0" applyFont="1" applyFill="1" applyAlignment="1">
      <alignment horizontal="center"/>
    </xf>
    <xf numFmtId="44" fontId="30" fillId="14" borderId="0" xfId="0" applyNumberFormat="1" applyFont="1" applyFill="1"/>
    <xf numFmtId="164" fontId="32" fillId="25" borderId="0" xfId="0" applyNumberFormat="1" applyFont="1" applyFill="1" applyAlignment="1">
      <alignment horizontal="center"/>
    </xf>
    <xf numFmtId="10" fontId="33" fillId="16" borderId="0" xfId="1" applyNumberFormat="1" applyFont="1" applyFill="1" applyAlignment="1">
      <alignment horizontal="center"/>
    </xf>
    <xf numFmtId="44" fontId="3" fillId="0" borderId="0" xfId="3" applyFont="1"/>
    <xf numFmtId="164" fontId="3" fillId="0" borderId="0" xfId="0" applyNumberFormat="1" applyFont="1"/>
    <xf numFmtId="14" fontId="0" fillId="0" borderId="0" xfId="0" applyNumberFormat="1" applyAlignment="1">
      <alignment horizontal="center"/>
    </xf>
    <xf numFmtId="167" fontId="0" fillId="0" borderId="0" xfId="0" applyNumberFormat="1" applyAlignment="1">
      <alignment horizontal="center"/>
    </xf>
    <xf numFmtId="0" fontId="0" fillId="0" borderId="21" xfId="0" applyBorder="1"/>
    <xf numFmtId="0" fontId="0" fillId="0" borderId="21" xfId="0" applyBorder="1" applyAlignment="1">
      <alignment horizontal="right"/>
    </xf>
    <xf numFmtId="164" fontId="0" fillId="0" borderId="21" xfId="0" applyNumberFormat="1" applyBorder="1"/>
    <xf numFmtId="44" fontId="0" fillId="0" borderId="21" xfId="3" applyFont="1" applyBorder="1"/>
    <xf numFmtId="0" fontId="0" fillId="0" borderId="22" xfId="0" applyBorder="1" applyAlignment="1">
      <alignment horizontal="center"/>
    </xf>
    <xf numFmtId="0" fontId="0" fillId="0" borderId="23" xfId="0" applyBorder="1" applyAlignment="1">
      <alignment horizontal="center"/>
    </xf>
    <xf numFmtId="0" fontId="0" fillId="0" borderId="24" xfId="0" applyBorder="1" applyAlignment="1">
      <alignment horizontal="center"/>
    </xf>
    <xf numFmtId="0" fontId="0" fillId="0" borderId="13" xfId="0" applyBorder="1" applyAlignment="1">
      <alignment horizontal="center"/>
    </xf>
    <xf numFmtId="44" fontId="3" fillId="0" borderId="15" xfId="3" applyFont="1" applyBorder="1" applyAlignment="1">
      <alignment horizontal="center"/>
    </xf>
    <xf numFmtId="44" fontId="0" fillId="0" borderId="0" xfId="3" applyFont="1" applyAlignment="1">
      <alignment horizontal="center"/>
    </xf>
    <xf numFmtId="0" fontId="0" fillId="0" borderId="16" xfId="0" applyBorder="1" applyAlignment="1">
      <alignment horizontal="center"/>
    </xf>
    <xf numFmtId="44" fontId="3" fillId="0" borderId="17" xfId="3" applyFont="1" applyBorder="1" applyAlignment="1">
      <alignment horizontal="center"/>
    </xf>
    <xf numFmtId="0" fontId="0" fillId="0" borderId="18" xfId="0" applyBorder="1" applyAlignment="1">
      <alignment horizontal="center"/>
    </xf>
    <xf numFmtId="44" fontId="3" fillId="0" borderId="20" xfId="0" applyNumberFormat="1" applyFont="1" applyBorder="1" applyAlignment="1">
      <alignment horizontal="center"/>
    </xf>
    <xf numFmtId="0" fontId="34" fillId="0" borderId="0" xfId="0" applyFont="1"/>
    <xf numFmtId="0" fontId="3" fillId="0" borderId="23" xfId="0" applyFont="1" applyBorder="1"/>
    <xf numFmtId="0" fontId="2" fillId="26" borderId="28" xfId="0" applyFont="1" applyFill="1" applyBorder="1" applyAlignment="1">
      <alignment horizontal="center"/>
    </xf>
    <xf numFmtId="0" fontId="2" fillId="26" borderId="24" xfId="0" applyFont="1" applyFill="1" applyBorder="1" applyAlignment="1">
      <alignment horizontal="center"/>
    </xf>
    <xf numFmtId="0" fontId="2" fillId="0" borderId="0" xfId="0" applyFont="1"/>
    <xf numFmtId="0" fontId="0" fillId="0" borderId="29" xfId="0" applyBorder="1"/>
    <xf numFmtId="44" fontId="3" fillId="0" borderId="2" xfId="0" applyNumberFormat="1" applyFont="1" applyBorder="1" applyAlignment="1">
      <alignment horizontal="center"/>
    </xf>
    <xf numFmtId="44" fontId="3" fillId="0" borderId="30" xfId="0" applyNumberFormat="1" applyFont="1" applyBorder="1" applyAlignment="1">
      <alignment horizontal="center"/>
    </xf>
    <xf numFmtId="0" fontId="0" fillId="0" borderId="31" xfId="0" applyBorder="1"/>
    <xf numFmtId="44" fontId="3" fillId="0" borderId="32" xfId="0" applyNumberFormat="1" applyFont="1" applyBorder="1" applyAlignment="1">
      <alignment horizontal="center"/>
    </xf>
    <xf numFmtId="44" fontId="3" fillId="0" borderId="33" xfId="0" applyNumberFormat="1" applyFont="1" applyBorder="1" applyAlignment="1">
      <alignment horizontal="center"/>
    </xf>
    <xf numFmtId="0" fontId="17" fillId="0" borderId="0" xfId="0" applyFont="1" applyAlignment="1">
      <alignment horizontal="center"/>
    </xf>
    <xf numFmtId="0" fontId="17" fillId="0" borderId="22" xfId="0" applyFont="1" applyBorder="1" applyAlignment="1">
      <alignment horizontal="center"/>
    </xf>
    <xf numFmtId="0" fontId="0" fillId="0" borderId="13" xfId="0" applyBorder="1"/>
    <xf numFmtId="44" fontId="3" fillId="0" borderId="34" xfId="0" applyNumberFormat="1" applyFont="1" applyBorder="1" applyAlignment="1">
      <alignment horizontal="center"/>
    </xf>
    <xf numFmtId="10" fontId="0" fillId="0" borderId="34" xfId="1" applyNumberFormat="1" applyFont="1" applyBorder="1" applyAlignment="1">
      <alignment horizontal="center"/>
    </xf>
    <xf numFmtId="10" fontId="0" fillId="0" borderId="35" xfId="1" applyNumberFormat="1" applyFont="1" applyBorder="1" applyAlignment="1">
      <alignment horizontal="center"/>
    </xf>
    <xf numFmtId="0" fontId="0" fillId="0" borderId="18" xfId="0" applyBorder="1"/>
    <xf numFmtId="10" fontId="0" fillId="0" borderId="32" xfId="1" applyNumberFormat="1" applyFont="1" applyBorder="1" applyAlignment="1">
      <alignment horizontal="center"/>
    </xf>
    <xf numFmtId="10" fontId="0" fillId="0" borderId="33" xfId="1" applyNumberFormat="1" applyFont="1" applyBorder="1" applyAlignment="1">
      <alignment horizontal="center"/>
    </xf>
    <xf numFmtId="0" fontId="2" fillId="26" borderId="23" xfId="0" applyFont="1" applyFill="1" applyBorder="1" applyAlignment="1">
      <alignment horizontal="center"/>
    </xf>
    <xf numFmtId="0" fontId="0" fillId="0" borderId="36" xfId="0" applyBorder="1"/>
    <xf numFmtId="0" fontId="8" fillId="0" borderId="0" xfId="0" applyFont="1" applyAlignment="1">
      <alignment horizontal="left"/>
    </xf>
    <xf numFmtId="2" fontId="0" fillId="0" borderId="0" xfId="0" applyNumberFormat="1"/>
    <xf numFmtId="1" fontId="8" fillId="0" borderId="0" xfId="0" applyNumberFormat="1" applyFont="1"/>
    <xf numFmtId="49" fontId="0" fillId="0" borderId="0" xfId="0" applyNumberFormat="1" applyAlignment="1">
      <alignment horizontal="center"/>
    </xf>
    <xf numFmtId="10" fontId="0" fillId="0" borderId="0" xfId="0" applyNumberFormat="1"/>
    <xf numFmtId="10" fontId="8" fillId="0" borderId="0" xfId="0" applyNumberFormat="1" applyFont="1"/>
    <xf numFmtId="9" fontId="8" fillId="0" borderId="0" xfId="0" applyNumberFormat="1" applyFont="1"/>
    <xf numFmtId="2" fontId="8" fillId="0" borderId="0" xfId="0" applyNumberFormat="1" applyFont="1"/>
    <xf numFmtId="17" fontId="0" fillId="13" borderId="0" xfId="0" applyNumberFormat="1" applyFill="1"/>
    <xf numFmtId="17" fontId="0" fillId="13" borderId="0" xfId="0" applyNumberFormat="1" applyFill="1" applyAlignment="1">
      <alignment horizontal="center"/>
    </xf>
    <xf numFmtId="9" fontId="0" fillId="0" borderId="0" xfId="1" applyFont="1"/>
    <xf numFmtId="0" fontId="36" fillId="0" borderId="0" xfId="0" applyFont="1"/>
    <xf numFmtId="14" fontId="36" fillId="0" borderId="0" xfId="0" applyNumberFormat="1" applyFont="1"/>
    <xf numFmtId="0" fontId="36" fillId="0" borderId="0" xfId="0" applyFont="1" applyAlignment="1">
      <alignment horizontal="center"/>
    </xf>
    <xf numFmtId="44" fontId="36" fillId="0" borderId="0" xfId="0" applyNumberFormat="1" applyFont="1"/>
    <xf numFmtId="9" fontId="36" fillId="0" borderId="0" xfId="1" applyFont="1"/>
    <xf numFmtId="164" fontId="2" fillId="27" borderId="0" xfId="0" applyNumberFormat="1" applyFont="1" applyFill="1" applyAlignment="1">
      <alignment horizontal="left"/>
    </xf>
    <xf numFmtId="164" fontId="37" fillId="3" borderId="0" xfId="0" applyNumberFormat="1" applyFont="1" applyFill="1"/>
    <xf numFmtId="164" fontId="35" fillId="0" borderId="5" xfId="0" applyNumberFormat="1" applyFont="1" applyBorder="1"/>
    <xf numFmtId="164" fontId="2" fillId="27" borderId="0" xfId="0" applyNumberFormat="1" applyFont="1" applyFill="1"/>
    <xf numFmtId="10" fontId="36" fillId="0" borderId="0" xfId="1" applyNumberFormat="1" applyFont="1"/>
    <xf numFmtId="0" fontId="0" fillId="16" borderId="0" xfId="0" applyFill="1"/>
    <xf numFmtId="0" fontId="33" fillId="28" borderId="0" xfId="0" applyFont="1" applyFill="1" applyAlignment="1">
      <alignment horizontal="center"/>
    </xf>
    <xf numFmtId="164" fontId="19" fillId="0" borderId="0" xfId="1" applyNumberFormat="1" applyFont="1" applyAlignment="1">
      <alignment horizontal="center"/>
    </xf>
    <xf numFmtId="0" fontId="33" fillId="28" borderId="0" xfId="0" applyFont="1" applyFill="1" applyAlignment="1">
      <alignment horizontal="left"/>
    </xf>
    <xf numFmtId="0" fontId="0" fillId="0" borderId="42" xfId="0" applyBorder="1"/>
    <xf numFmtId="0" fontId="3" fillId="0" borderId="43" xfId="0" applyFont="1" applyBorder="1" applyAlignment="1">
      <alignment horizontal="center"/>
    </xf>
    <xf numFmtId="0" fontId="0" fillId="0" borderId="43" xfId="0" applyBorder="1"/>
    <xf numFmtId="0" fontId="0" fillId="0" borderId="43" xfId="0" applyBorder="1" applyAlignment="1">
      <alignment horizontal="center"/>
    </xf>
    <xf numFmtId="0" fontId="0" fillId="0" borderId="43" xfId="0" applyBorder="1" applyAlignment="1">
      <alignment horizontal="left"/>
    </xf>
    <xf numFmtId="0" fontId="0" fillId="0" borderId="44" xfId="0" applyBorder="1"/>
    <xf numFmtId="0" fontId="33" fillId="30" borderId="0" xfId="0" applyFont="1" applyFill="1"/>
    <xf numFmtId="0" fontId="0" fillId="30" borderId="0" xfId="0" applyFill="1"/>
    <xf numFmtId="0" fontId="33" fillId="30" borderId="0" xfId="0" applyFont="1" applyFill="1" applyAlignment="1">
      <alignment horizontal="left"/>
    </xf>
    <xf numFmtId="0" fontId="33" fillId="30" borderId="0" xfId="0" applyFont="1" applyFill="1" applyAlignment="1">
      <alignment horizontal="center"/>
    </xf>
    <xf numFmtId="0" fontId="37" fillId="29" borderId="38" xfId="0" applyFont="1" applyFill="1" applyBorder="1"/>
    <xf numFmtId="0" fontId="37" fillId="29" borderId="39" xfId="0" applyFont="1" applyFill="1" applyBorder="1" applyAlignment="1">
      <alignment horizontal="center"/>
    </xf>
    <xf numFmtId="0" fontId="37" fillId="29" borderId="39" xfId="0" applyFont="1" applyFill="1" applyBorder="1"/>
    <xf numFmtId="14" fontId="36" fillId="0" borderId="38" xfId="0" applyNumberFormat="1" applyFont="1" applyBorder="1"/>
    <xf numFmtId="0" fontId="36" fillId="0" borderId="39" xfId="0" applyFont="1" applyBorder="1" applyAlignment="1">
      <alignment horizontal="center"/>
    </xf>
    <xf numFmtId="0" fontId="36" fillId="0" borderId="39" xfId="0" applyFont="1" applyBorder="1"/>
    <xf numFmtId="44" fontId="36" fillId="0" borderId="39" xfId="0" applyNumberFormat="1" applyFont="1" applyBorder="1"/>
    <xf numFmtId="0" fontId="38" fillId="0" borderId="40" xfId="0" applyFont="1" applyBorder="1"/>
    <xf numFmtId="0" fontId="38" fillId="0" borderId="41" xfId="0" applyFont="1" applyBorder="1" applyAlignment="1">
      <alignment horizontal="center"/>
    </xf>
    <xf numFmtId="0" fontId="38" fillId="0" borderId="41" xfId="0" applyFont="1" applyBorder="1"/>
    <xf numFmtId="44" fontId="38" fillId="0" borderId="41" xfId="0" applyNumberFormat="1" applyFont="1" applyBorder="1"/>
    <xf numFmtId="9" fontId="18" fillId="30" borderId="0" xfId="0" applyNumberFormat="1" applyFont="1" applyFill="1"/>
    <xf numFmtId="0" fontId="2" fillId="30" borderId="0" xfId="0" applyFont="1" applyFill="1"/>
    <xf numFmtId="0" fontId="30" fillId="15" borderId="0" xfId="0" applyFont="1" applyFill="1"/>
    <xf numFmtId="9" fontId="18" fillId="15" borderId="0" xfId="0" applyNumberFormat="1" applyFont="1" applyFill="1"/>
    <xf numFmtId="0" fontId="16" fillId="15" borderId="0" xfId="0" applyFont="1" applyFill="1" applyAlignment="1">
      <alignment horizontal="center"/>
    </xf>
    <xf numFmtId="10" fontId="19" fillId="15" borderId="0" xfId="1" applyNumberFormat="1" applyFont="1" applyFill="1" applyAlignment="1">
      <alignment horizontal="center"/>
    </xf>
    <xf numFmtId="0" fontId="2" fillId="15" borderId="0" xfId="0" applyFont="1" applyFill="1"/>
    <xf numFmtId="0" fontId="33" fillId="16" borderId="0" xfId="0" applyFont="1" applyFill="1"/>
    <xf numFmtId="0" fontId="33" fillId="16" borderId="0" xfId="0" applyFont="1" applyFill="1" applyAlignment="1">
      <alignment horizontal="left"/>
    </xf>
    <xf numFmtId="0" fontId="33" fillId="16" borderId="0" xfId="0" applyFont="1" applyFill="1" applyAlignment="1">
      <alignment horizontal="center"/>
    </xf>
    <xf numFmtId="14" fontId="15" fillId="0" borderId="45" xfId="0" applyNumberFormat="1" applyFont="1" applyBorder="1" applyAlignment="1">
      <alignment horizontal="center"/>
    </xf>
    <xf numFmtId="0" fontId="15" fillId="0" borderId="5" xfId="0" applyFont="1" applyBorder="1" applyAlignment="1">
      <alignment horizontal="center"/>
    </xf>
    <xf numFmtId="1" fontId="15" fillId="0" borderId="5" xfId="0" applyNumberFormat="1" applyFont="1" applyBorder="1" applyAlignment="1">
      <alignment horizontal="center"/>
    </xf>
    <xf numFmtId="164" fontId="15" fillId="0" borderId="5" xfId="0" applyNumberFormat="1" applyFont="1" applyBorder="1" applyAlignment="1">
      <alignment horizontal="center"/>
    </xf>
    <xf numFmtId="165" fontId="15" fillId="0" borderId="5" xfId="0" applyNumberFormat="1" applyFont="1" applyBorder="1" applyAlignment="1">
      <alignment horizontal="center"/>
    </xf>
    <xf numFmtId="0" fontId="39" fillId="0" borderId="48" xfId="0" applyFont="1" applyBorder="1" applyAlignment="1">
      <alignment horizontal="center"/>
    </xf>
    <xf numFmtId="0" fontId="39" fillId="0" borderId="49" xfId="0" applyFont="1" applyBorder="1" applyAlignment="1">
      <alignment horizontal="center"/>
    </xf>
    <xf numFmtId="165" fontId="39" fillId="0" borderId="49" xfId="0" applyNumberFormat="1" applyFont="1" applyBorder="1" applyAlignment="1">
      <alignment horizontal="center"/>
    </xf>
    <xf numFmtId="165" fontId="15" fillId="0" borderId="49" xfId="0" applyNumberFormat="1" applyFont="1" applyBorder="1" applyAlignment="1">
      <alignment horizontal="center"/>
    </xf>
    <xf numFmtId="14" fontId="37" fillId="14" borderId="46" xfId="0" applyNumberFormat="1" applyFont="1" applyFill="1" applyBorder="1" applyAlignment="1">
      <alignment horizontal="center"/>
    </xf>
    <xf numFmtId="0" fontId="37" fillId="14" borderId="47" xfId="0" applyFont="1" applyFill="1" applyBorder="1" applyAlignment="1">
      <alignment horizontal="center"/>
    </xf>
    <xf numFmtId="0" fontId="39" fillId="0" borderId="50" xfId="0" applyFont="1" applyBorder="1" applyAlignment="1">
      <alignment horizontal="center"/>
    </xf>
    <xf numFmtId="0" fontId="39" fillId="0" borderId="8" xfId="0" applyFont="1" applyBorder="1" applyAlignment="1">
      <alignment horizontal="center"/>
    </xf>
    <xf numFmtId="165" fontId="39" fillId="0" borderId="8" xfId="0" applyNumberFormat="1" applyFont="1" applyBorder="1" applyAlignment="1">
      <alignment horizontal="center"/>
    </xf>
    <xf numFmtId="0" fontId="38" fillId="0" borderId="0" xfId="0" applyFont="1"/>
    <xf numFmtId="0" fontId="38" fillId="0" borderId="0" xfId="0" applyFont="1" applyAlignment="1">
      <alignment horizontal="center"/>
    </xf>
    <xf numFmtId="44" fontId="38" fillId="0" borderId="0" xfId="0" applyNumberFormat="1" applyFont="1"/>
    <xf numFmtId="165" fontId="40" fillId="0" borderId="5" xfId="0" applyNumberFormat="1" applyFont="1" applyBorder="1" applyAlignment="1">
      <alignment horizontal="center"/>
    </xf>
    <xf numFmtId="165" fontId="4" fillId="31" borderId="8" xfId="0" applyNumberFormat="1" applyFont="1" applyFill="1" applyBorder="1" applyAlignment="1">
      <alignment horizontal="center"/>
    </xf>
    <xf numFmtId="0" fontId="2" fillId="0" borderId="2" xfId="0" applyFont="1" applyBorder="1" applyAlignment="1">
      <alignment horizontal="center"/>
    </xf>
    <xf numFmtId="14" fontId="15" fillId="0" borderId="0" xfId="0" applyNumberFormat="1" applyFont="1" applyAlignment="1">
      <alignment horizontal="center"/>
    </xf>
    <xf numFmtId="0" fontId="15" fillId="0" borderId="0" xfId="0" applyFont="1" applyAlignment="1">
      <alignment horizontal="center"/>
    </xf>
    <xf numFmtId="1" fontId="15" fillId="0" borderId="0" xfId="0" applyNumberFormat="1" applyFont="1" applyAlignment="1">
      <alignment horizontal="center"/>
    </xf>
    <xf numFmtId="164" fontId="15" fillId="0" borderId="0" xfId="0" applyNumberFormat="1" applyFont="1" applyAlignment="1">
      <alignment horizontal="center"/>
    </xf>
    <xf numFmtId="165" fontId="15" fillId="0" borderId="0" xfId="0" applyNumberFormat="1" applyFont="1" applyAlignment="1">
      <alignment horizontal="center"/>
    </xf>
    <xf numFmtId="14" fontId="0" fillId="0" borderId="21" xfId="0" applyNumberFormat="1" applyBorder="1"/>
    <xf numFmtId="44" fontId="0" fillId="0" borderId="21" xfId="0" applyNumberFormat="1" applyBorder="1"/>
    <xf numFmtId="0" fontId="39" fillId="0" borderId="21" xfId="0" applyFont="1" applyBorder="1" applyAlignment="1">
      <alignment horizontal="center"/>
    </xf>
    <xf numFmtId="165" fontId="39" fillId="0" borderId="21" xfId="0" applyNumberFormat="1" applyFont="1" applyBorder="1" applyAlignment="1">
      <alignment horizontal="center"/>
    </xf>
    <xf numFmtId="0" fontId="2" fillId="14" borderId="0" xfId="0" applyFont="1" applyFill="1"/>
    <xf numFmtId="0" fontId="39" fillId="0" borderId="0" xfId="0" applyFont="1" applyAlignment="1">
      <alignment horizontal="center"/>
    </xf>
    <xf numFmtId="0" fontId="15" fillId="0" borderId="21" xfId="0" applyFont="1" applyBorder="1" applyAlignment="1">
      <alignment horizontal="center"/>
    </xf>
    <xf numFmtId="1" fontId="15" fillId="0" borderId="21" xfId="0" applyNumberFormat="1" applyFont="1" applyBorder="1" applyAlignment="1">
      <alignment horizontal="center"/>
    </xf>
    <xf numFmtId="164" fontId="15" fillId="0" borderId="21" xfId="0" applyNumberFormat="1" applyFont="1" applyBorder="1" applyAlignment="1">
      <alignment horizontal="center"/>
    </xf>
    <xf numFmtId="14" fontId="37" fillId="14" borderId="51" xfId="0" applyNumberFormat="1" applyFont="1" applyFill="1" applyBorder="1" applyAlignment="1">
      <alignment horizontal="center"/>
    </xf>
    <xf numFmtId="0" fontId="37" fillId="14" borderId="52" xfId="0" applyFont="1" applyFill="1" applyBorder="1" applyAlignment="1">
      <alignment horizontal="center"/>
    </xf>
    <xf numFmtId="14" fontId="41" fillId="0" borderId="21" xfId="0" applyNumberFormat="1" applyFont="1" applyBorder="1"/>
    <xf numFmtId="0" fontId="41" fillId="0" borderId="21" xfId="0" applyFont="1" applyBorder="1" applyAlignment="1">
      <alignment horizontal="center"/>
    </xf>
    <xf numFmtId="0" fontId="41" fillId="0" borderId="21" xfId="0" applyFont="1" applyBorder="1"/>
    <xf numFmtId="44" fontId="41" fillId="0" borderId="21" xfId="0" applyNumberFormat="1" applyFont="1" applyBorder="1"/>
    <xf numFmtId="44" fontId="42" fillId="0" borderId="21" xfId="0" applyNumberFormat="1" applyFont="1" applyBorder="1"/>
    <xf numFmtId="14" fontId="17" fillId="0" borderId="21" xfId="0" applyNumberFormat="1" applyFont="1" applyBorder="1"/>
    <xf numFmtId="0" fontId="17" fillId="0" borderId="21" xfId="0" applyFont="1" applyBorder="1"/>
    <xf numFmtId="44" fontId="17" fillId="0" borderId="21" xfId="0" applyNumberFormat="1" applyFont="1" applyBorder="1"/>
    <xf numFmtId="0" fontId="43" fillId="15" borderId="0" xfId="0" applyFont="1" applyFill="1"/>
    <xf numFmtId="0" fontId="13" fillId="30" borderId="0" xfId="0" applyFont="1" applyFill="1"/>
    <xf numFmtId="9" fontId="44" fillId="20" borderId="0" xfId="0" applyNumberFormat="1" applyFont="1" applyFill="1"/>
    <xf numFmtId="9" fontId="44" fillId="0" borderId="0" xfId="0" applyNumberFormat="1" applyFont="1" applyAlignment="1">
      <alignment horizontal="center"/>
    </xf>
    <xf numFmtId="0" fontId="44" fillId="0" borderId="0" xfId="0" applyFont="1" applyAlignment="1">
      <alignment horizontal="center"/>
    </xf>
    <xf numFmtId="9" fontId="13" fillId="30" borderId="0" xfId="0" applyNumberFormat="1" applyFont="1" applyFill="1"/>
    <xf numFmtId="9" fontId="17" fillId="20" borderId="0" xfId="0" applyNumberFormat="1" applyFont="1" applyFill="1" applyAlignment="1">
      <alignment horizontal="right"/>
    </xf>
    <xf numFmtId="1" fontId="44" fillId="5" borderId="11" xfId="0" applyNumberFormat="1" applyFont="1" applyFill="1" applyBorder="1" applyAlignment="1">
      <alignment horizontal="center"/>
    </xf>
    <xf numFmtId="10" fontId="17" fillId="0" borderId="0" xfId="1" applyNumberFormat="1" applyFont="1" applyAlignment="1">
      <alignment horizontal="center"/>
    </xf>
    <xf numFmtId="164" fontId="17" fillId="0" borderId="0" xfId="0" applyNumberFormat="1" applyFont="1" applyAlignment="1">
      <alignment horizontal="center"/>
    </xf>
    <xf numFmtId="164" fontId="17" fillId="0" borderId="11" xfId="0" applyNumberFormat="1" applyFont="1" applyBorder="1" applyAlignment="1">
      <alignment horizontal="center"/>
    </xf>
    <xf numFmtId="164" fontId="17" fillId="0" borderId="11" xfId="1" applyNumberFormat="1" applyFont="1" applyBorder="1" applyAlignment="1">
      <alignment horizontal="center"/>
    </xf>
    <xf numFmtId="164" fontId="17" fillId="0" borderId="0" xfId="1" applyNumberFormat="1" applyFont="1" applyAlignment="1">
      <alignment horizontal="center"/>
    </xf>
    <xf numFmtId="0" fontId="13" fillId="28" borderId="0" xfId="0" applyFont="1" applyFill="1" applyAlignment="1">
      <alignment horizontal="left"/>
    </xf>
    <xf numFmtId="0" fontId="13" fillId="28" borderId="0" xfId="0" applyFont="1" applyFill="1" applyAlignment="1">
      <alignment horizontal="center"/>
    </xf>
    <xf numFmtId="0" fontId="17" fillId="16" borderId="0" xfId="0" applyFont="1" applyFill="1"/>
    <xf numFmtId="0" fontId="13" fillId="16" borderId="0" xfId="0" applyFont="1" applyFill="1"/>
    <xf numFmtId="0" fontId="44" fillId="0" borderId="0" xfId="0" applyFont="1"/>
    <xf numFmtId="0" fontId="17" fillId="0" borderId="0" xfId="0" applyFont="1" applyAlignment="1">
      <alignment horizontal="left"/>
    </xf>
    <xf numFmtId="0" fontId="13" fillId="14" borderId="0" xfId="0" applyFont="1" applyFill="1"/>
    <xf numFmtId="0" fontId="45" fillId="0" borderId="0" xfId="0" applyFont="1" applyAlignment="1">
      <alignment horizontal="left"/>
    </xf>
    <xf numFmtId="0" fontId="46" fillId="0" borderId="0" xfId="0" pivotButton="1" applyFont="1"/>
    <xf numFmtId="0" fontId="46" fillId="0" borderId="0" xfId="0" applyFont="1"/>
    <xf numFmtId="0" fontId="46" fillId="0" borderId="0" xfId="0" applyFont="1" applyAlignment="1">
      <alignment horizontal="left"/>
    </xf>
    <xf numFmtId="9" fontId="46" fillId="0" borderId="0" xfId="0" applyNumberFormat="1" applyFont="1"/>
    <xf numFmtId="1" fontId="46" fillId="0" borderId="0" xfId="0" applyNumberFormat="1" applyFont="1"/>
    <xf numFmtId="9" fontId="47" fillId="0" borderId="0" xfId="0" applyNumberFormat="1" applyFont="1"/>
    <xf numFmtId="1" fontId="47" fillId="0" borderId="0" xfId="0" applyNumberFormat="1" applyFont="1"/>
    <xf numFmtId="0" fontId="47" fillId="0" borderId="0" xfId="0" applyFont="1" applyAlignment="1">
      <alignment horizontal="left"/>
    </xf>
    <xf numFmtId="0" fontId="48" fillId="8" borderId="0" xfId="0" applyFont="1" applyFill="1"/>
    <xf numFmtId="1" fontId="48" fillId="8" borderId="0" xfId="0" applyNumberFormat="1" applyFont="1" applyFill="1"/>
    <xf numFmtId="0" fontId="48" fillId="8" borderId="0" xfId="0" applyFont="1" applyFill="1" applyAlignment="1">
      <alignment horizontal="left"/>
    </xf>
    <xf numFmtId="165" fontId="45" fillId="0" borderId="0" xfId="0" applyNumberFormat="1" applyFont="1"/>
    <xf numFmtId="0" fontId="49" fillId="8" borderId="0" xfId="0" applyFont="1" applyFill="1"/>
    <xf numFmtId="165" fontId="46" fillId="0" borderId="0" xfId="0" applyNumberFormat="1" applyFont="1"/>
    <xf numFmtId="0" fontId="49" fillId="8" borderId="0" xfId="0" applyFont="1" applyFill="1" applyAlignment="1">
      <alignment horizontal="left"/>
    </xf>
    <xf numFmtId="165" fontId="49" fillId="8" borderId="0" xfId="0" applyNumberFormat="1" applyFont="1" applyFill="1"/>
    <xf numFmtId="1" fontId="49" fillId="8" borderId="0" xfId="0" applyNumberFormat="1" applyFont="1" applyFill="1"/>
    <xf numFmtId="0" fontId="50" fillId="8" borderId="0" xfId="0" applyFont="1" applyFill="1"/>
    <xf numFmtId="0" fontId="50" fillId="8" borderId="0" xfId="0" applyFont="1" applyFill="1" applyAlignment="1">
      <alignment horizontal="left"/>
    </xf>
    <xf numFmtId="165" fontId="50" fillId="8" borderId="0" xfId="0" applyNumberFormat="1" applyFont="1" applyFill="1"/>
    <xf numFmtId="1" fontId="0" fillId="0" borderId="0" xfId="0" applyNumberFormat="1" applyAlignment="1">
      <alignment horizontal="center"/>
    </xf>
    <xf numFmtId="0" fontId="0" fillId="13" borderId="0" xfId="0" applyFill="1" applyAlignment="1">
      <alignment horizontal="center"/>
    </xf>
    <xf numFmtId="10" fontId="0" fillId="5" borderId="0" xfId="1" applyNumberFormat="1" applyFont="1" applyFill="1"/>
    <xf numFmtId="0" fontId="4" fillId="16" borderId="5" xfId="0" applyFont="1" applyFill="1" applyBorder="1" applyAlignment="1">
      <alignment horizontal="center"/>
    </xf>
    <xf numFmtId="14" fontId="4" fillId="16" borderId="5" xfId="0" applyNumberFormat="1" applyFont="1" applyFill="1" applyBorder="1" applyAlignment="1">
      <alignment horizontal="center"/>
    </xf>
    <xf numFmtId="0" fontId="4" fillId="16" borderId="8" xfId="0" applyFont="1" applyFill="1" applyBorder="1" applyAlignment="1">
      <alignment horizontal="center"/>
    </xf>
    <xf numFmtId="165" fontId="4" fillId="5" borderId="8" xfId="0" applyNumberFormat="1" applyFont="1" applyFill="1" applyBorder="1" applyAlignment="1">
      <alignment horizontal="center"/>
    </xf>
    <xf numFmtId="1" fontId="4" fillId="16" borderId="5" xfId="0" applyNumberFormat="1" applyFont="1" applyFill="1" applyBorder="1" applyAlignment="1">
      <alignment horizontal="center"/>
    </xf>
    <xf numFmtId="164" fontId="4" fillId="16" borderId="5" xfId="0" applyNumberFormat="1" applyFont="1" applyFill="1" applyBorder="1" applyAlignment="1">
      <alignment horizontal="center"/>
    </xf>
    <xf numFmtId="165" fontId="4" fillId="16" borderId="5" xfId="0" applyNumberFormat="1" applyFont="1" applyFill="1" applyBorder="1" applyAlignment="1">
      <alignment horizontal="center"/>
    </xf>
    <xf numFmtId="165" fontId="4" fillId="16" borderId="8" xfId="0" applyNumberFormat="1" applyFont="1" applyFill="1" applyBorder="1" applyAlignment="1">
      <alignment horizontal="center"/>
    </xf>
    <xf numFmtId="10" fontId="4" fillId="16" borderId="5" xfId="1" applyNumberFormat="1" applyFont="1" applyFill="1" applyBorder="1" applyAlignment="1">
      <alignment horizontal="center"/>
    </xf>
    <xf numFmtId="0" fontId="5" fillId="16" borderId="6" xfId="0" applyFont="1" applyFill="1" applyBorder="1" applyAlignment="1">
      <alignment horizontal="center"/>
    </xf>
    <xf numFmtId="0" fontId="0" fillId="14" borderId="0" xfId="0" applyFill="1"/>
    <xf numFmtId="165" fontId="4" fillId="32" borderId="8" xfId="0" applyNumberFormat="1" applyFont="1" applyFill="1" applyBorder="1" applyAlignment="1">
      <alignment horizontal="center"/>
    </xf>
    <xf numFmtId="0" fontId="7" fillId="10" borderId="0" xfId="0" applyFont="1" applyFill="1" applyAlignment="1">
      <alignment horizontal="center"/>
    </xf>
    <xf numFmtId="0" fontId="0" fillId="0" borderId="0" xfId="0"/>
    <xf numFmtId="9" fontId="18" fillId="30" borderId="0" xfId="0" applyNumberFormat="1" applyFont="1" applyFill="1" applyAlignment="1">
      <alignment horizontal="center"/>
    </xf>
    <xf numFmtId="9" fontId="13" fillId="30" borderId="0" xfId="0" applyNumberFormat="1" applyFont="1" applyFill="1" applyAlignment="1">
      <alignment horizontal="center"/>
    </xf>
    <xf numFmtId="9" fontId="18" fillId="19" borderId="0" xfId="0" applyNumberFormat="1" applyFont="1" applyFill="1" applyAlignment="1">
      <alignment horizontal="center"/>
    </xf>
    <xf numFmtId="0" fontId="36" fillId="0" borderId="0" xfId="0" applyFont="1"/>
    <xf numFmtId="164" fontId="29" fillId="0" borderId="17" xfId="0" applyNumberFormat="1" applyFont="1" applyBorder="1" applyAlignment="1">
      <alignment horizontal="center"/>
    </xf>
    <xf numFmtId="0" fontId="0" fillId="0" borderId="17" xfId="0" applyBorder="1"/>
    <xf numFmtId="0" fontId="19" fillId="0" borderId="5" xfId="0" applyFont="1" applyBorder="1" applyAlignment="1">
      <alignment horizontal="center" vertical="center"/>
    </xf>
    <xf numFmtId="0" fontId="0" fillId="0" borderId="2" xfId="0" applyBorder="1"/>
    <xf numFmtId="9" fontId="18" fillId="21" borderId="0" xfId="0" applyNumberFormat="1" applyFont="1" applyFill="1" applyAlignment="1">
      <alignment horizontal="center"/>
    </xf>
    <xf numFmtId="9" fontId="18" fillId="17" borderId="0" xfId="0" applyNumberFormat="1" applyFont="1" applyFill="1" applyAlignment="1">
      <alignment horizontal="center"/>
    </xf>
    <xf numFmtId="9" fontId="18" fillId="18" borderId="0" xfId="0" applyNumberFormat="1" applyFont="1" applyFill="1" applyAlignment="1">
      <alignment horizontal="center"/>
    </xf>
    <xf numFmtId="9" fontId="23" fillId="9" borderId="17" xfId="0" applyNumberFormat="1" applyFont="1" applyFill="1" applyBorder="1" applyAlignment="1">
      <alignment horizontal="center"/>
    </xf>
    <xf numFmtId="9" fontId="18" fillId="3" borderId="0" xfId="0" applyNumberFormat="1" applyFont="1" applyFill="1" applyAlignment="1">
      <alignment horizontal="center"/>
    </xf>
    <xf numFmtId="9" fontId="23" fillId="9" borderId="25" xfId="0" applyNumberFormat="1" applyFont="1" applyFill="1" applyBorder="1" applyAlignment="1">
      <alignment horizontal="center"/>
    </xf>
    <xf numFmtId="0" fontId="0" fillId="0" borderId="14" xfId="0" applyBorder="1"/>
    <xf numFmtId="0" fontId="0" fillId="0" borderId="15" xfId="0" applyBorder="1"/>
    <xf numFmtId="0" fontId="0" fillId="0" borderId="37" xfId="0" applyBorder="1"/>
    <xf numFmtId="164" fontId="29" fillId="0" borderId="20" xfId="0" applyNumberFormat="1" applyFont="1" applyBorder="1" applyAlignment="1">
      <alignment horizontal="center"/>
    </xf>
    <xf numFmtId="0" fontId="0" fillId="0" borderId="20" xfId="0" applyBorder="1"/>
    <xf numFmtId="164" fontId="25" fillId="0" borderId="17" xfId="0" applyNumberFormat="1" applyFont="1" applyBorder="1" applyAlignment="1">
      <alignment horizontal="center"/>
    </xf>
    <xf numFmtId="0" fontId="2" fillId="9" borderId="0" xfId="0" applyFont="1" applyFill="1" applyAlignment="1">
      <alignment horizontal="center"/>
    </xf>
    <xf numFmtId="0" fontId="7" fillId="7" borderId="0" xfId="0" applyFont="1" applyFill="1" applyAlignment="1">
      <alignment horizontal="left"/>
    </xf>
    <xf numFmtId="0" fontId="0" fillId="0" borderId="19" xfId="0" applyBorder="1" applyAlignment="1">
      <alignment horizontal="center"/>
    </xf>
    <xf numFmtId="0" fontId="0" fillId="0" borderId="19" xfId="0" applyBorder="1"/>
    <xf numFmtId="164" fontId="3" fillId="0" borderId="22" xfId="0" applyNumberFormat="1" applyFont="1" applyBorder="1" applyAlignment="1">
      <alignment horizontal="center" vertical="center"/>
    </xf>
    <xf numFmtId="0" fontId="0" fillId="0" borderId="26" xfId="0" applyBorder="1"/>
    <xf numFmtId="0" fontId="0" fillId="0" borderId="27" xfId="0" applyBorder="1"/>
    <xf numFmtId="0" fontId="0" fillId="0" borderId="0" xfId="0" applyFont="1"/>
    <xf numFmtId="9" fontId="1" fillId="0" borderId="0" xfId="1"/>
  </cellXfs>
  <cellStyles count="4">
    <cellStyle name="Célula Vinculada" xfId="2" builtinId="24"/>
    <cellStyle name="Moeda" xfId="3" builtinId="4"/>
    <cellStyle name="Normal" xfId="0" builtinId="0"/>
    <cellStyle name="Porcentagem" xfId="1" builtinId="5"/>
  </cellStyles>
  <dxfs count="395">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val="0"/>
        <i val="0"/>
        <strike val="0"/>
        <condense val="0"/>
        <extend val="0"/>
        <outline val="0"/>
        <shadow val="0"/>
        <u val="none"/>
        <vertAlign val="baseline"/>
        <sz val="11"/>
        <color auto="1"/>
        <name val="Calibri"/>
        <family val="2"/>
        <scheme val="none"/>
      </font>
      <alignment horizontal="center" vertical="bottom" textRotation="0" wrapText="0" indent="0" justifyLastLine="0" shrinkToFit="0" readingOrder="0"/>
      <border diagonalUp="0" diagonalDown="0" outline="0">
        <left style="dotted">
          <color indexed="64"/>
        </left>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fill>
        <patternFill patternType="solid">
          <fgColor indexed="64"/>
          <bgColor rgb="FFFF0000"/>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numFmt numFmtId="1" formatCode="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right style="dotted">
          <color indexed="64"/>
        </right>
        <top style="dotted">
          <color indexed="64"/>
        </top>
        <bottom/>
      </border>
    </dxf>
    <dxf>
      <alignment horizontal="center" vertical="bottom"/>
    </dxf>
    <dxf>
      <alignment horizontal="center" vertical="bottom"/>
    </dxf>
    <dxf>
      <numFmt numFmtId="19" formatCode="dd/mm/yyyy"/>
      <alignment horizontal="center" vertical="bottom"/>
    </dxf>
    <dxf>
      <numFmt numFmtId="167" formatCode="_-[$R$-416]\ * #,##0.00_-;\-[$R$-416]\ * #,##0.00_-;_-[$R$-416]\ * &quot;-&quot;??_-;_-@_-"/>
      <alignment horizontal="center" vertical="bottom"/>
    </dxf>
    <dxf>
      <alignment horizontal="center" vertical="bottom"/>
    </dxf>
    <dxf>
      <numFmt numFmtId="19" formatCode="dd/mm/yyyy"/>
      <alignment horizontal="center" vertical="bottom"/>
    </dxf>
    <dxf>
      <alignment horizontal="center" vertical="bottom"/>
    </dxf>
    <dxf>
      <font>
        <b/>
        <strike val="0"/>
        <condense val="0"/>
        <extend val="0"/>
        <outline val="0"/>
        <shadow val="0"/>
        <vertAlign val="baseline"/>
        <sz val="11"/>
        <color theme="1"/>
        <name val="Aptos Narrow"/>
        <family val="2"/>
        <scheme val="minor"/>
      </font>
      <alignment horizontal="center" vertical="bottom"/>
    </dxf>
    <dxf>
      <alignment horizontal="center"/>
    </dxf>
    <dxf>
      <alignment horizontal="center"/>
    </dxf>
    <dxf>
      <numFmt numFmtId="164" formatCode="&quot;R$&quot;\ #,##0.00"/>
    </dxf>
    <dxf>
      <numFmt numFmtId="34" formatCode="_-&quot;R$&quot;\ * #,##0.00_-;\-&quot;R$&quot;\ * #,##0.00_-;_-&quot;R$&quot;\ * &quot;-&quot;??_-;_-@_-"/>
    </dxf>
    <dxf>
      <font>
        <strike val="0"/>
        <condense val="0"/>
        <extend val="0"/>
        <outline val="0"/>
        <shadow val="0"/>
        <vertAlign val="baseline"/>
        <sz val="11"/>
        <color auto="1"/>
        <name val="Aptos Narrow"/>
        <family val="2"/>
        <scheme val="minor"/>
      </font>
      <alignment horizontal="center" vertical="bottom"/>
      <border outline="0">
        <left style="dotted">
          <color indexed="64"/>
        </left>
        <right/>
        <top style="dotted">
          <color indexed="64"/>
        </top>
        <bottom/>
      </border>
    </dxf>
    <dxf>
      <font>
        <strike val="0"/>
        <outline val="0"/>
        <shadow val="0"/>
        <vertAlign val="baseline"/>
        <sz val="11"/>
        <color auto="1"/>
        <name val="Calibri"/>
        <family val="2"/>
      </font>
      <fill>
        <patternFill>
          <fgColor rgb="FF000000"/>
          <bgColor rgb="FFFFFFFF"/>
        </patternFill>
      </fill>
      <alignment horizontal="center" vertical="bottom"/>
      <border>
        <left style="dotted">
          <color indexed="64"/>
        </left>
        <right/>
        <top style="dotted">
          <color indexed="64"/>
        </top>
        <bottom style="dotted">
          <color indexed="64"/>
        </bottom>
        <vertical style="dotted">
          <color indexed="64"/>
        </vertical>
        <horizontal style="dotted">
          <color indexed="64"/>
        </horizontal>
      </border>
    </dxf>
    <dxf>
      <font>
        <strike val="0"/>
        <condense val="0"/>
        <extend val="0"/>
        <outline val="0"/>
        <shadow val="0"/>
        <vertAlign val="baseline"/>
        <sz val="11"/>
        <color auto="1"/>
        <name val="Aptos Narrow"/>
        <family val="2"/>
        <scheme val="minor"/>
      </font>
      <alignment horizontal="center" vertical="bottom"/>
      <border outline="0">
        <left style="dotted">
          <color indexed="64"/>
        </left>
        <right style="dotted">
          <color indexed="64"/>
        </right>
        <top style="dotted">
          <color indexed="64"/>
        </top>
        <bottom/>
      </border>
    </dxf>
    <dxf>
      <font>
        <strike val="0"/>
        <outline val="0"/>
        <shadow val="0"/>
        <vertAlign val="baseline"/>
        <sz val="11"/>
        <color auto="1"/>
        <name val="Aptos Narrow"/>
        <family val="2"/>
        <scheme val="minor"/>
      </font>
      <fill>
        <patternFill>
          <fgColor indexed="64"/>
          <bgColor indexed="65"/>
        </patternFill>
      </fill>
      <alignment horizontal="center" vertical="bottom"/>
      <border>
        <left style="dotted">
          <color indexed="64"/>
        </left>
        <right style="dotted">
          <color indexed="64"/>
        </right>
        <top style="dotted">
          <color indexed="64"/>
        </top>
        <bottom style="dotted">
          <color indexed="64"/>
        </bottom>
        <vertical style="dotted">
          <color indexed="64"/>
        </vertical>
        <horizontal style="dotted">
          <color indexed="64"/>
        </horizontal>
      </border>
    </dxf>
    <dxf>
      <font>
        <strike val="0"/>
        <condense val="0"/>
        <extend val="0"/>
        <outline val="0"/>
        <shadow val="0"/>
        <vertAlign val="baseline"/>
        <sz val="11"/>
        <color auto="1"/>
        <name val="Aptos Narrow"/>
        <family val="2"/>
        <scheme val="minor"/>
      </font>
      <alignment horizontal="center" vertical="bottom"/>
      <border outline="0">
        <left style="dotted">
          <color indexed="64"/>
        </left>
        <right style="dotted">
          <color indexed="64"/>
        </right>
        <top style="dotted">
          <color indexed="64"/>
        </top>
        <bottom/>
      </border>
    </dxf>
    <dxf>
      <font>
        <strike val="0"/>
        <outline val="0"/>
        <shadow val="0"/>
        <vertAlign val="baseline"/>
        <sz val="11"/>
        <color auto="1"/>
        <name val="Aptos Narrow"/>
        <family val="2"/>
        <scheme val="minor"/>
      </font>
      <fill>
        <patternFill>
          <fgColor indexed="64"/>
          <bgColor indexed="65"/>
        </patternFill>
      </fill>
      <alignment horizontal="center" vertical="bottom"/>
      <border>
        <left style="dotted">
          <color indexed="64"/>
        </left>
        <right style="dotted">
          <color indexed="64"/>
        </right>
        <top style="dotted">
          <color indexed="64"/>
        </top>
        <bottom style="dotted">
          <color indexed="64"/>
        </bottom>
        <vertical style="dotted">
          <color indexed="64"/>
        </vertical>
        <horizontal style="dotted">
          <color indexed="64"/>
        </horizontal>
      </border>
    </dxf>
    <dxf>
      <font>
        <strike val="0"/>
        <condense val="0"/>
        <extend val="0"/>
        <outline val="0"/>
        <shadow val="0"/>
        <vertAlign val="baseline"/>
        <sz val="11"/>
        <color auto="1"/>
        <name val="Aptos Narrow"/>
        <family val="2"/>
        <scheme val="minor"/>
      </font>
      <alignment horizontal="center" vertical="bottom"/>
      <border outline="0">
        <left style="dotted">
          <color indexed="64"/>
        </left>
        <right style="dotted">
          <color indexed="64"/>
        </right>
        <top style="dotted">
          <color indexed="64"/>
        </top>
        <bottom/>
      </border>
    </dxf>
    <dxf>
      <font>
        <strike val="0"/>
        <outline val="0"/>
        <shadow val="0"/>
        <vertAlign val="baseline"/>
        <sz val="11"/>
        <color auto="1"/>
        <name val="Aptos Narrow"/>
        <family val="2"/>
        <scheme val="minor"/>
      </font>
      <alignment horizontal="center" vertical="bottom"/>
      <border>
        <left style="dotted">
          <color indexed="64"/>
        </left>
        <right style="dotted">
          <color indexed="64"/>
        </right>
        <top style="dotted">
          <color indexed="64"/>
        </top>
        <bottom style="dotted">
          <color indexed="64"/>
        </bottom>
        <vertical style="dotted">
          <color indexed="64"/>
        </vertical>
        <horizontal style="dotted">
          <color indexed="64"/>
        </horizontal>
      </border>
    </dxf>
    <dxf>
      <font>
        <strike val="0"/>
        <condense val="0"/>
        <extend val="0"/>
        <outline val="0"/>
        <shadow val="0"/>
        <vertAlign val="baseline"/>
        <sz val="11"/>
        <color auto="1"/>
        <name val="Aptos Narrow"/>
        <family val="2"/>
        <scheme val="minor"/>
      </font>
      <alignment horizontal="center" vertical="bottom"/>
      <border outline="0">
        <left style="dotted">
          <color indexed="64"/>
        </left>
        <right style="dotted">
          <color indexed="64"/>
        </right>
        <top style="dotted">
          <color indexed="64"/>
        </top>
        <bottom/>
      </border>
    </dxf>
    <dxf>
      <font>
        <strike val="0"/>
        <outline val="0"/>
        <shadow val="0"/>
        <vertAlign val="baseline"/>
        <sz val="11"/>
        <color auto="1"/>
        <name val="Aptos Narrow"/>
        <family val="2"/>
        <scheme val="minor"/>
      </font>
      <fill>
        <patternFill>
          <fgColor indexed="64"/>
          <bgColor indexed="65"/>
        </patternFill>
      </fill>
      <alignment horizontal="center" vertical="bottom"/>
      <border>
        <left style="dotted">
          <color indexed="64"/>
        </left>
        <right style="dotted">
          <color indexed="64"/>
        </right>
        <top style="dotted">
          <color indexed="64"/>
        </top>
        <bottom style="dotted">
          <color indexed="64"/>
        </bottom>
        <vertical style="dotted">
          <color indexed="64"/>
        </vertical>
        <horizontal style="dotted">
          <color indexed="64"/>
        </horizontal>
      </border>
    </dxf>
    <dxf>
      <font>
        <strike val="0"/>
        <condense val="0"/>
        <extend val="0"/>
        <outline val="0"/>
        <shadow val="0"/>
        <vertAlign val="baseline"/>
        <sz val="11"/>
        <color auto="1"/>
        <name val="Aptos Narrow"/>
        <family val="2"/>
        <scheme val="minor"/>
      </font>
      <alignment horizontal="center" vertical="bottom"/>
      <border outline="0">
        <left style="dotted">
          <color indexed="64"/>
        </left>
        <right style="dotted">
          <color indexed="64"/>
        </right>
        <top style="dotted">
          <color indexed="64"/>
        </top>
        <bottom/>
      </border>
    </dxf>
    <dxf>
      <font>
        <strike val="0"/>
        <outline val="0"/>
        <shadow val="0"/>
        <vertAlign val="baseline"/>
        <sz val="11"/>
        <color auto="1"/>
        <name val="Aptos Narrow"/>
        <family val="2"/>
        <scheme val="minor"/>
      </font>
      <fill>
        <patternFill>
          <fgColor indexed="64"/>
          <bgColor auto="1"/>
        </patternFill>
      </fill>
      <alignment horizontal="center" vertical="bottom"/>
      <border>
        <left style="dotted">
          <color indexed="64"/>
        </left>
        <right style="dotted">
          <color indexed="64"/>
        </right>
        <top style="dotted">
          <color indexed="64"/>
        </top>
        <bottom style="dotted">
          <color indexed="64"/>
        </bottom>
        <vertical style="dotted">
          <color indexed="64"/>
        </vertical>
        <horizontal style="dotted">
          <color indexed="64"/>
        </horizontal>
      </border>
    </dxf>
    <dxf>
      <font>
        <strike val="0"/>
        <condense val="0"/>
        <extend val="0"/>
        <outline val="0"/>
        <shadow val="0"/>
        <vertAlign val="baseline"/>
        <sz val="11"/>
        <color auto="1"/>
        <name val="Aptos Narrow"/>
        <family val="2"/>
        <scheme val="minor"/>
      </font>
      <numFmt numFmtId="165" formatCode="&quot;R$&quot;#,##0.00"/>
      <alignment horizontal="center" vertical="bottom"/>
      <border outline="0">
        <left style="dotted">
          <color indexed="64"/>
        </left>
        <right style="dotted">
          <color indexed="64"/>
        </right>
        <top style="dotted">
          <color indexed="64"/>
        </top>
        <bottom/>
      </border>
    </dxf>
    <dxf>
      <font>
        <strike val="0"/>
        <outline val="0"/>
        <shadow val="0"/>
        <vertAlign val="baseline"/>
        <sz val="11"/>
        <color auto="1"/>
        <name val="Aptos Narrow"/>
        <family val="2"/>
        <scheme val="minor"/>
      </font>
      <numFmt numFmtId="165" formatCode="&quot;R$&quot;#,##0.00"/>
      <fill>
        <patternFill>
          <fgColor indexed="64"/>
          <bgColor indexed="65"/>
        </patternFill>
      </fill>
      <alignment horizontal="center" vertical="bottom"/>
      <border>
        <left style="dotted">
          <color indexed="64"/>
        </left>
        <right style="dotted">
          <color indexed="64"/>
        </right>
        <top style="dotted">
          <color indexed="64"/>
        </top>
        <bottom style="dotted">
          <color indexed="64"/>
        </bottom>
        <vertical style="dotted">
          <color indexed="64"/>
        </vertical>
        <horizontal style="dotted">
          <color indexed="64"/>
        </horizontal>
      </border>
    </dxf>
    <dxf>
      <font>
        <strike val="0"/>
        <condense val="0"/>
        <extend val="0"/>
        <outline val="0"/>
        <shadow val="0"/>
        <vertAlign val="baseline"/>
        <sz val="11"/>
        <color auto="1"/>
        <name val="Aptos Narrow"/>
        <family val="2"/>
        <scheme val="minor"/>
      </font>
      <numFmt numFmtId="165" formatCode="&quot;R$&quot;#,##0.00"/>
      <alignment horizontal="center" vertical="bottom"/>
      <border outline="0">
        <left style="dotted">
          <color indexed="64"/>
        </left>
        <right style="dotted">
          <color indexed="64"/>
        </right>
        <top style="dotted">
          <color indexed="64"/>
        </top>
        <bottom/>
      </border>
    </dxf>
    <dxf>
      <font>
        <strike val="0"/>
        <outline val="0"/>
        <shadow val="0"/>
        <vertAlign val="baseline"/>
        <sz val="11"/>
        <color auto="1"/>
        <name val="Aptos Narrow"/>
        <family val="2"/>
        <scheme val="minor"/>
      </font>
      <numFmt numFmtId="165" formatCode="&quot;R$&quot;#,##0.00"/>
      <fill>
        <patternFill>
          <fgColor indexed="64"/>
          <bgColor indexed="65"/>
        </patternFill>
      </fill>
      <alignment horizontal="center" vertical="bottom"/>
      <border>
        <left style="dotted">
          <color indexed="64"/>
        </left>
        <right style="dotted">
          <color indexed="64"/>
        </right>
        <top style="dotted">
          <color indexed="64"/>
        </top>
        <bottom style="dotted">
          <color indexed="64"/>
        </bottom>
        <vertical style="dotted">
          <color indexed="64"/>
        </vertical>
        <horizontal style="dotted">
          <color indexed="64"/>
        </horizontal>
      </border>
    </dxf>
    <dxf>
      <font>
        <strike val="0"/>
        <condense val="0"/>
        <extend val="0"/>
        <outline val="0"/>
        <shadow val="0"/>
        <vertAlign val="baseline"/>
        <sz val="11"/>
        <color auto="1"/>
        <name val="Aptos Narrow"/>
        <family val="2"/>
        <scheme val="minor"/>
      </font>
      <numFmt numFmtId="165" formatCode="&quot;R$&quot;#,##0.00"/>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1"/>
        <color auto="1"/>
        <name val="Aptos Narrow"/>
        <family val="2"/>
        <scheme val="minor"/>
      </font>
      <numFmt numFmtId="165" formatCode="&quot;R$&quot;#,##0.00"/>
      <alignment horizontal="center" vertical="bottom"/>
      <border>
        <left style="dotted">
          <color indexed="64"/>
        </left>
        <right style="dotted">
          <color indexed="64"/>
        </right>
        <top style="dotted">
          <color indexed="64"/>
        </top>
        <bottom style="dotted">
          <color indexed="64"/>
        </bottom>
        <vertical style="dotted">
          <color indexed="64"/>
        </vertical>
        <horizontal style="dotted">
          <color indexed="64"/>
        </horizontal>
      </border>
    </dxf>
    <dxf>
      <font>
        <strike val="0"/>
        <condense val="0"/>
        <extend val="0"/>
        <outline val="0"/>
        <shadow val="0"/>
        <vertAlign val="baseline"/>
        <sz val="11"/>
        <color auto="1"/>
        <name val="Aptos Narrow"/>
        <family val="2"/>
        <scheme val="minor"/>
      </font>
      <numFmt numFmtId="14" formatCode="0.00%"/>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1"/>
        <color auto="1"/>
        <name val="Aptos Narrow"/>
        <family val="2"/>
        <scheme val="minor"/>
      </font>
      <numFmt numFmtId="14" formatCode="0.00%"/>
      <fill>
        <patternFill>
          <fgColor indexed="64"/>
          <bgColor indexed="65"/>
        </patternFill>
      </fill>
      <alignment horizontal="center" vertical="bottom"/>
      <border>
        <left style="dotted">
          <color indexed="64"/>
        </left>
        <right style="dotted">
          <color indexed="64"/>
        </right>
        <top style="dotted">
          <color indexed="64"/>
        </top>
        <bottom style="dotted">
          <color indexed="64"/>
        </bottom>
        <vertical/>
        <horizontal/>
      </border>
    </dxf>
    <dxf>
      <font>
        <strike val="0"/>
        <condense val="0"/>
        <extend val="0"/>
        <outline val="0"/>
        <shadow val="0"/>
        <vertAlign val="baseline"/>
        <sz val="11"/>
        <color auto="1"/>
        <name val="Aptos Narrow"/>
        <family val="2"/>
        <scheme val="minor"/>
      </font>
      <numFmt numFmtId="1" formatCode="0"/>
      <alignment horizontal="center" vertical="bottom"/>
      <border outline="0">
        <left style="dotted">
          <color indexed="64"/>
        </left>
        <right style="dotted">
          <color indexed="64"/>
        </right>
        <top style="dotted">
          <color indexed="64"/>
        </top>
        <bottom/>
      </border>
    </dxf>
    <dxf>
      <font>
        <strike val="0"/>
        <outline val="0"/>
        <shadow val="0"/>
        <vertAlign val="baseline"/>
        <sz val="11"/>
        <color auto="1"/>
        <name val="Aptos Narrow"/>
        <family val="2"/>
        <scheme val="minor"/>
      </font>
      <numFmt numFmtId="1" formatCode="0"/>
      <fill>
        <patternFill>
          <fgColor indexed="64"/>
          <bgColor indexed="65"/>
        </patternFill>
      </fill>
      <alignment horizontal="center" vertical="bottom"/>
      <border>
        <left style="dotted">
          <color indexed="64"/>
        </left>
        <right style="dotted">
          <color indexed="64"/>
        </right>
        <top style="dotted">
          <color indexed="64"/>
        </top>
        <bottom style="dotted">
          <color indexed="64"/>
        </bottom>
        <vertical style="dotted">
          <color indexed="64"/>
        </vertical>
        <horizontal style="dotted">
          <color indexed="64"/>
        </horizontal>
      </border>
    </dxf>
    <dxf>
      <font>
        <strike val="0"/>
        <condense val="0"/>
        <extend val="0"/>
        <outline val="0"/>
        <shadow val="0"/>
        <vertAlign val="baseline"/>
        <sz val="11"/>
        <color auto="1"/>
        <name val="Aptos Narrow"/>
        <family val="2"/>
        <scheme val="minor"/>
      </font>
      <numFmt numFmtId="165" formatCode="&quot;R$&quot;#,##0.00"/>
      <alignment horizontal="center" vertical="bottom"/>
      <border outline="0">
        <left style="dotted">
          <color indexed="64"/>
        </left>
        <right style="dotted">
          <color indexed="64"/>
        </right>
        <top style="dotted">
          <color indexed="64"/>
        </top>
        <bottom/>
      </border>
    </dxf>
    <dxf>
      <font>
        <strike val="0"/>
        <outline val="0"/>
        <shadow val="0"/>
        <vertAlign val="baseline"/>
        <sz val="11"/>
        <color auto="1"/>
        <name val="Aptos Narrow"/>
        <family val="2"/>
        <scheme val="minor"/>
      </font>
      <numFmt numFmtId="165" formatCode="&quot;R$&quot;#,##0.00"/>
      <fill>
        <patternFill>
          <fgColor indexed="64"/>
          <bgColor auto="1"/>
        </patternFill>
      </fill>
      <alignment horizontal="center" vertical="bottom"/>
      <border>
        <left style="dotted">
          <color indexed="64"/>
        </left>
        <right style="dotted">
          <color indexed="64"/>
        </right>
        <top style="dotted">
          <color indexed="64"/>
        </top>
        <bottom style="dotted">
          <color indexed="64"/>
        </bottom>
        <vertical/>
        <horizontal/>
      </border>
    </dxf>
    <dxf>
      <font>
        <strike val="0"/>
        <condense val="0"/>
        <extend val="0"/>
        <outline val="0"/>
        <shadow val="0"/>
        <vertAlign val="baseline"/>
        <sz val="11"/>
        <color auto="1"/>
        <name val="Aptos Narrow"/>
        <family val="2"/>
        <scheme val="minor"/>
      </font>
      <numFmt numFmtId="165" formatCode="&quot;R$&quot;#,##0.00"/>
      <alignment horizontal="center" vertical="bottom"/>
      <border outline="0">
        <left style="dotted">
          <color indexed="64"/>
        </left>
        <right style="dotted">
          <color indexed="64"/>
        </right>
        <top style="dotted">
          <color indexed="64"/>
        </top>
        <bottom/>
      </border>
    </dxf>
    <dxf>
      <font>
        <strike val="0"/>
        <outline val="0"/>
        <shadow val="0"/>
        <vertAlign val="baseline"/>
        <sz val="11"/>
        <color auto="1"/>
        <name val="Aptos Narrow"/>
        <family val="2"/>
        <scheme val="minor"/>
      </font>
      <numFmt numFmtId="164" formatCode="&quot;R$&quot;\ #,##0.00"/>
      <fill>
        <patternFill>
          <fgColor indexed="64"/>
          <bgColor indexed="65"/>
        </patternFill>
      </fill>
      <alignment horizontal="center" vertical="bottom"/>
      <border>
        <left style="dotted">
          <color indexed="64"/>
        </left>
        <right style="dotted">
          <color indexed="64"/>
        </right>
        <top style="dotted">
          <color indexed="64"/>
        </top>
        <bottom style="dotted">
          <color indexed="64"/>
        </bottom>
        <vertical style="dotted">
          <color indexed="64"/>
        </vertical>
        <horizontal style="dotted">
          <color indexed="64"/>
        </horizontal>
      </border>
    </dxf>
    <dxf>
      <font>
        <strike val="0"/>
        <condense val="0"/>
        <extend val="0"/>
        <outline val="0"/>
        <shadow val="0"/>
        <vertAlign val="baseline"/>
        <sz val="11"/>
        <color auto="1"/>
        <name val="Aptos Narrow"/>
        <family val="2"/>
        <scheme val="minor"/>
      </font>
      <numFmt numFmtId="1" formatCode="0"/>
      <alignment horizontal="center" vertical="bottom"/>
      <border outline="0">
        <left style="dotted">
          <color indexed="64"/>
        </left>
        <right style="dotted">
          <color indexed="64"/>
        </right>
        <top style="dotted">
          <color indexed="64"/>
        </top>
        <bottom/>
      </border>
    </dxf>
    <dxf>
      <font>
        <strike val="0"/>
        <outline val="0"/>
        <shadow val="0"/>
        <vertAlign val="baseline"/>
        <sz val="11"/>
        <color auto="1"/>
        <name val="Aptos Narrow"/>
        <family val="2"/>
        <scheme val="minor"/>
      </font>
      <numFmt numFmtId="1" formatCode="0"/>
      <fill>
        <patternFill>
          <fgColor indexed="64"/>
          <bgColor indexed="65"/>
        </patternFill>
      </fill>
      <alignment horizontal="center" vertical="bottom"/>
      <border>
        <left style="dotted">
          <color indexed="64"/>
        </left>
        <right style="dotted">
          <color indexed="64"/>
        </right>
        <top style="dotted">
          <color indexed="64"/>
        </top>
        <bottom style="dotted">
          <color indexed="64"/>
        </bottom>
        <vertical style="dotted">
          <color indexed="64"/>
        </vertical>
        <horizontal style="dotted">
          <color indexed="64"/>
        </horizontal>
      </border>
    </dxf>
    <dxf>
      <font>
        <strike val="0"/>
        <condense val="0"/>
        <extend val="0"/>
        <outline val="0"/>
        <shadow val="0"/>
        <vertAlign val="baseline"/>
        <sz val="11"/>
        <color auto="1"/>
        <name val="Aptos Narrow"/>
        <family val="2"/>
        <scheme val="minor"/>
      </font>
      <alignment horizontal="center" vertical="bottom"/>
      <border outline="0">
        <left style="dotted">
          <color indexed="64"/>
        </left>
        <right style="dotted">
          <color indexed="64"/>
        </right>
        <top style="dotted">
          <color indexed="64"/>
        </top>
        <bottom/>
      </border>
    </dxf>
    <dxf>
      <font>
        <strike val="0"/>
        <outline val="0"/>
        <shadow val="0"/>
        <vertAlign val="baseline"/>
        <sz val="11"/>
        <color auto="1"/>
        <name val="Aptos Narrow"/>
        <family val="2"/>
        <scheme val="minor"/>
      </font>
      <alignment horizontal="center" vertical="bottom"/>
      <border>
        <left style="dotted">
          <color indexed="64"/>
        </left>
        <right style="dotted">
          <color indexed="64"/>
        </right>
        <top style="dotted">
          <color indexed="64"/>
        </top>
        <bottom style="dotted">
          <color indexed="64"/>
        </bottom>
        <vertical style="dotted">
          <color indexed="64"/>
        </vertical>
        <horizontal style="dotted">
          <color indexed="64"/>
        </horizontal>
      </border>
    </dxf>
    <dxf>
      <font>
        <strike val="0"/>
        <condense val="0"/>
        <extend val="0"/>
        <outline val="0"/>
        <shadow val="0"/>
        <vertAlign val="baseline"/>
        <sz val="11"/>
        <color auto="1"/>
        <name val="Aptos Narrow"/>
        <family val="2"/>
        <scheme val="minor"/>
      </font>
      <alignment horizontal="center" vertical="bottom"/>
      <border outline="0">
        <left style="dotted">
          <color indexed="64"/>
        </left>
        <right style="dotted">
          <color indexed="64"/>
        </right>
        <top style="dotted">
          <color indexed="64"/>
        </top>
        <bottom/>
      </border>
    </dxf>
    <dxf>
      <font>
        <strike val="0"/>
        <outline val="0"/>
        <shadow val="0"/>
        <vertAlign val="baseline"/>
        <sz val="11"/>
        <color auto="1"/>
        <name val="Aptos Narrow"/>
        <family val="2"/>
        <scheme val="minor"/>
      </font>
      <fill>
        <patternFill>
          <fgColor indexed="64"/>
          <bgColor indexed="65"/>
        </patternFill>
      </fill>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1"/>
        <color auto="1"/>
        <name val="Aptos Narrow"/>
        <family val="2"/>
        <scheme val="minor"/>
      </font>
      <alignment horizontal="center" vertical="bottom"/>
      <border outline="0">
        <left style="dotted">
          <color indexed="64"/>
        </left>
        <right style="dotted">
          <color indexed="64"/>
        </right>
        <top style="dotted">
          <color indexed="64"/>
        </top>
        <bottom/>
      </border>
    </dxf>
    <dxf>
      <font>
        <strike val="0"/>
        <outline val="0"/>
        <shadow val="0"/>
        <vertAlign val="baseline"/>
        <sz val="11"/>
        <color auto="1"/>
        <name val="Aptos Narrow"/>
        <family val="2"/>
        <scheme val="minor"/>
      </font>
      <fill>
        <patternFill>
          <fgColor indexed="64"/>
          <bgColor auto="1"/>
        </patternFill>
      </fill>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1"/>
        <color auto="1"/>
        <name val="Aptos Narrow"/>
        <family val="2"/>
        <scheme val="minor"/>
      </font>
      <alignment horizontal="center" vertical="bottom"/>
      <border outline="0">
        <left style="dotted">
          <color indexed="64"/>
        </left>
        <right style="dotted">
          <color indexed="64"/>
        </right>
        <top style="dotted">
          <color indexed="64"/>
        </top>
        <bottom/>
      </border>
    </dxf>
    <dxf>
      <font>
        <strike val="0"/>
        <outline val="0"/>
        <shadow val="0"/>
        <vertAlign val="baseline"/>
        <sz val="11"/>
        <color auto="1"/>
        <name val="Aptos Narrow"/>
        <family val="2"/>
        <scheme val="minor"/>
      </font>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1"/>
        <color auto="1"/>
        <name val="Aptos Narrow"/>
        <family val="2"/>
        <scheme val="minor"/>
      </font>
      <alignment horizontal="center" vertical="bottom"/>
      <border outline="0">
        <left style="dotted">
          <color indexed="64"/>
        </left>
        <right style="dotted">
          <color indexed="64"/>
        </right>
        <top style="dotted">
          <color indexed="64"/>
        </top>
        <bottom/>
      </border>
    </dxf>
    <dxf>
      <font>
        <strike val="0"/>
        <outline val="0"/>
        <shadow val="0"/>
        <vertAlign val="baseline"/>
        <sz val="11"/>
        <color auto="1"/>
        <name val="Aptos Narrow"/>
        <family val="2"/>
        <scheme val="minor"/>
      </font>
      <fill>
        <patternFill>
          <fgColor indexed="64"/>
          <bgColor indexed="65"/>
        </patternFill>
      </fill>
      <alignment horizontal="center" vertical="bottom"/>
      <border>
        <left style="dotted">
          <color indexed="64"/>
        </left>
        <right style="dotted">
          <color indexed="64"/>
        </right>
        <top style="dotted">
          <color indexed="64"/>
        </top>
        <bottom style="dotted">
          <color indexed="64"/>
        </bottom>
        <vertical style="dotted">
          <color indexed="64"/>
        </vertical>
        <horizontal style="dotted">
          <color indexed="64"/>
        </horizontal>
      </border>
    </dxf>
    <dxf>
      <font>
        <strike val="0"/>
        <condense val="0"/>
        <extend val="0"/>
        <outline val="0"/>
        <shadow val="0"/>
        <vertAlign val="baseline"/>
        <sz val="11"/>
        <color auto="1"/>
        <name val="Aptos Narrow"/>
        <family val="2"/>
        <scheme val="minor"/>
      </font>
      <numFmt numFmtId="19" formatCode="dd/mm/yyyy"/>
      <alignment horizontal="center" vertical="bottom"/>
      <border outline="0">
        <left/>
        <right style="dotted">
          <color indexed="64"/>
        </right>
        <top style="dotted">
          <color indexed="64"/>
        </top>
        <bottom/>
      </border>
    </dxf>
    <dxf>
      <font>
        <strike val="0"/>
        <outline val="0"/>
        <shadow val="0"/>
        <vertAlign val="baseline"/>
        <sz val="11"/>
        <color auto="1"/>
        <name val="Aptos Narrow"/>
        <family val="2"/>
        <scheme val="minor"/>
      </font>
      <numFmt numFmtId="19" formatCode="dd/mm/yyyy"/>
      <alignment horizontal="center" vertical="bottom"/>
      <border>
        <left/>
        <right style="dotted">
          <color indexed="64"/>
        </right>
        <top style="dotted">
          <color indexed="64"/>
        </top>
        <bottom style="dotted">
          <color indexed="64"/>
        </bottom>
        <vertical style="dotted">
          <color indexed="64"/>
        </vertical>
        <horizontal style="dotted">
          <color indexed="64"/>
        </horizontal>
      </border>
    </dxf>
    <dxf>
      <border>
        <top style="dotted">
          <color rgb="FF000000"/>
        </top>
      </border>
    </dxf>
    <dxf>
      <border>
        <left style="dotted">
          <color rgb="FF000000"/>
        </left>
        <right style="dotted">
          <color rgb="FF000000"/>
        </right>
        <top/>
        <bottom/>
        <vertical style="dotted">
          <color rgb="FF000000"/>
        </vertical>
        <horizontal style="dotted">
          <color rgb="FF000000"/>
        </horizontal>
      </border>
    </dxf>
    <dxf>
      <border>
        <left style="dotted">
          <color rgb="FF000000"/>
        </left>
        <right style="dotted">
          <color rgb="FF000000"/>
        </right>
        <top style="dotted">
          <color rgb="FF000000"/>
        </top>
        <bottom style="dotted">
          <color rgb="FF000000"/>
        </bottom>
      </border>
    </dxf>
    <dxf>
      <font>
        <strike val="0"/>
        <outline val="0"/>
        <shadow val="0"/>
        <vertAlign val="baseline"/>
        <sz val="11"/>
        <color auto="1"/>
        <name val="Calibri"/>
        <family val="2"/>
      </font>
      <fill>
        <patternFill>
          <fgColor rgb="FF000000"/>
          <bgColor rgb="FFFFFFFF"/>
        </patternFill>
      </fill>
      <alignment horizontal="center" vertical="bottom"/>
    </dxf>
    <dxf>
      <border>
        <bottom style="dotted">
          <color rgb="FF000000"/>
        </bottom>
      </border>
    </dxf>
    <dxf>
      <font>
        <b/>
        <strike val="0"/>
        <condense val="0"/>
        <extend val="0"/>
        <outline val="0"/>
        <shadow val="0"/>
        <vertAlign val="baseline"/>
        <sz val="11"/>
        <color theme="0"/>
        <name val="Aptos Narrow"/>
        <family val="2"/>
        <scheme val="minor"/>
      </font>
      <fill>
        <patternFill patternType="solid">
          <fgColor indexed="64"/>
          <bgColor theme="0" tint="-0.499984740745262"/>
        </patternFill>
      </fill>
      <alignment horizontal="center" vertical="bottom"/>
      <border>
        <left style="dotted">
          <color indexed="64"/>
        </left>
        <right style="dotted">
          <color indexed="64"/>
        </right>
        <top/>
        <bottom/>
        <vertical style="dotted">
          <color indexed="64"/>
        </vertical>
        <horizontal style="dotted">
          <color indexed="64"/>
        </horizontal>
      </border>
    </dxf>
    <dxf>
      <font>
        <color theme="0"/>
      </font>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ont>
        <color theme="0"/>
      </font>
    </dxf>
    <dxf>
      <font>
        <color theme="0"/>
      </font>
    </dxf>
    <dxf>
      <font>
        <color theme="0"/>
      </font>
    </dxf>
    <dxf>
      <font>
        <color theme="0"/>
      </font>
    </dxf>
    <dxf>
      <font>
        <color theme="0"/>
      </font>
    </dxf>
    <dxf>
      <font>
        <color theme="0"/>
      </font>
    </dxf>
    <dxf>
      <font>
        <name val="Calibri Light"/>
      </font>
    </dxf>
    <dxf>
      <font>
        <name val="Calibri Light"/>
      </font>
    </dxf>
    <dxf>
      <font>
        <name val="Calibri Light"/>
      </font>
    </dxf>
    <dxf>
      <font>
        <name val="Calibri Light"/>
      </font>
    </dxf>
    <dxf>
      <font>
        <name val="Calibri Light"/>
      </font>
    </dxf>
    <dxf>
      <font>
        <name val="Calibri Light"/>
      </font>
    </dxf>
    <dxf>
      <font>
        <name val="Calibri Light"/>
      </font>
    </dxf>
    <dxf>
      <font>
        <name val="Calibri Light"/>
      </font>
    </dxf>
    <dxf>
      <font>
        <name val="Calibri Light"/>
      </font>
    </dxf>
    <dxf>
      <font>
        <name val="Calibri Light"/>
      </font>
    </dxf>
    <dxf>
      <numFmt numFmtId="1" formatCode="0"/>
    </dxf>
    <dxf>
      <font>
        <b/>
      </font>
    </dxf>
    <dxf>
      <font>
        <b/>
      </font>
    </dxf>
    <dxf>
      <font>
        <b/>
      </font>
    </dxf>
    <dxf>
      <font>
        <b/>
      </font>
    </dxf>
    <dxf>
      <font>
        <b/>
      </font>
    </dxf>
    <dxf>
      <font>
        <b/>
      </font>
    </dxf>
    <dxf>
      <font>
        <b/>
      </font>
    </dxf>
    <dxf>
      <font>
        <b/>
      </font>
    </dxf>
    <dxf>
      <font>
        <b/>
      </font>
    </dxf>
    <dxf>
      <font>
        <b/>
      </font>
    </dxf>
    <dxf>
      <font>
        <b/>
      </font>
    </dxf>
    <dxf>
      <font>
        <b/>
      </font>
    </dxf>
    <dxf>
      <font>
        <sz val="10"/>
      </font>
    </dxf>
    <dxf>
      <font>
        <sz val="10"/>
      </font>
    </dxf>
    <dxf>
      <font>
        <sz val="10"/>
      </font>
    </dxf>
    <dxf>
      <font>
        <sz val="10"/>
      </font>
    </dxf>
    <dxf>
      <font>
        <sz val="10"/>
      </font>
    </dxf>
    <dxf>
      <font>
        <sz val="10"/>
      </font>
    </dxf>
    <dxf>
      <font>
        <name val="Calibri Light"/>
      </font>
    </dxf>
    <dxf>
      <font>
        <name val="Calibri Light"/>
      </font>
    </dxf>
    <dxf>
      <font>
        <name val="Calibri Light"/>
      </font>
    </dxf>
    <dxf>
      <font>
        <name val="Calibri Light"/>
      </font>
    </dxf>
    <dxf>
      <font>
        <name val="Calibri Light"/>
      </font>
    </dxf>
    <dxf>
      <font>
        <name val="Calibri Light"/>
      </font>
    </dxf>
    <dxf>
      <font>
        <sz val="10"/>
      </font>
    </dxf>
    <dxf>
      <font>
        <sz val="10"/>
      </font>
    </dxf>
    <dxf>
      <font>
        <sz val="10"/>
      </font>
    </dxf>
    <dxf>
      <font>
        <sz val="10"/>
      </font>
    </dxf>
    <dxf>
      <font>
        <sz val="10"/>
      </font>
    </dxf>
    <dxf>
      <font>
        <sz val="10"/>
      </font>
    </dxf>
    <dxf>
      <font>
        <name val="Calibri Light"/>
      </font>
    </dxf>
    <dxf>
      <font>
        <name val="Calibri Light"/>
      </font>
    </dxf>
    <dxf>
      <font>
        <name val="Calibri Light"/>
      </font>
    </dxf>
    <dxf>
      <font>
        <name val="Calibri Light"/>
      </font>
    </dxf>
    <dxf>
      <font>
        <name val="Calibri Light"/>
      </font>
    </dxf>
    <dxf>
      <font>
        <name val="Calibri Light"/>
      </font>
    </dxf>
    <dxf>
      <font>
        <b/>
      </font>
    </dxf>
    <dxf>
      <font>
        <b/>
      </font>
    </dxf>
    <dxf>
      <font>
        <color theme="0"/>
      </font>
    </dxf>
    <dxf>
      <font>
        <color theme="0"/>
      </font>
    </dxf>
    <dxf>
      <font>
        <b/>
      </font>
    </dxf>
    <dxf>
      <font>
        <b/>
      </font>
    </dxf>
    <dxf>
      <fill>
        <patternFill patternType="solid">
          <bgColor rgb="FFB8D2C9"/>
        </patternFill>
      </fill>
    </dxf>
    <dxf>
      <fill>
        <patternFill patternType="solid">
          <bgColor rgb="FFB8D2C9"/>
        </patternFill>
      </fill>
    </dxf>
    <dxf>
      <font>
        <name val="Courier New"/>
        <family val="3"/>
      </font>
    </dxf>
    <dxf>
      <font>
        <name val="Courier New"/>
        <family val="3"/>
      </font>
    </dxf>
    <dxf>
      <font>
        <color theme="0"/>
      </font>
    </dxf>
    <dxf>
      <font>
        <color theme="0"/>
      </font>
    </dxf>
    <dxf>
      <fill>
        <patternFill patternType="solid">
          <bgColor rgb="FFB8D2C9"/>
        </patternFill>
      </fill>
    </dxf>
    <dxf>
      <fill>
        <patternFill patternType="solid">
          <bgColor rgb="FFB8D2C9"/>
        </patternFill>
      </fill>
    </dxf>
    <dxf>
      <font>
        <color theme="0"/>
      </font>
    </dxf>
    <dxf>
      <font>
        <color theme="0"/>
      </font>
    </dxf>
    <dxf>
      <font>
        <color theme="0"/>
      </font>
    </dxf>
    <dxf>
      <font>
        <color theme="0"/>
      </font>
    </dxf>
    <dxf>
      <font>
        <sz val="10"/>
      </font>
    </dxf>
    <dxf>
      <font>
        <sz val="10"/>
      </font>
    </dxf>
    <dxf>
      <font>
        <sz val="10"/>
      </font>
    </dxf>
    <dxf>
      <font>
        <sz val="10"/>
      </font>
    </dxf>
    <dxf>
      <font>
        <sz val="10"/>
      </font>
    </dxf>
    <dxf>
      <font>
        <sz val="10"/>
      </font>
    </dxf>
    <dxf>
      <font>
        <name val="Calibri Light"/>
      </font>
    </dxf>
    <dxf>
      <font>
        <name val="Calibri Light"/>
      </font>
    </dxf>
    <dxf>
      <font>
        <name val="Calibri Light"/>
      </font>
    </dxf>
    <dxf>
      <font>
        <name val="Calibri Light"/>
      </font>
    </dxf>
    <dxf>
      <font>
        <name val="Calibri Light"/>
      </font>
    </dxf>
    <dxf>
      <font>
        <name val="Calibri Light"/>
      </font>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numFmt numFmtId="1" formatCode="0"/>
    </dxf>
    <dxf>
      <numFmt numFmtId="34" formatCode="_-&quot;R$&quot;\ * #,##0.00_-;\-&quot;R$&quot;\ * #,##0.00_-;_-&quot;R$&quot;\ * &quot;-&quot;??_-;_-@_-"/>
    </dxf>
    <dxf>
      <alignment horizontal="right"/>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alignment horizontal="center"/>
    </dxf>
    <dxf>
      <font>
        <strike val="0"/>
        <condense val="0"/>
        <extend val="0"/>
        <outline val="0"/>
        <shadow val="0"/>
        <vertAlign val="baseline"/>
        <sz val="10"/>
        <color auto="1"/>
        <name val="Calibri"/>
        <family val="2"/>
      </font>
      <alignment horizontal="center" vertical="bottom"/>
      <border outline="0">
        <left style="dotted">
          <color indexed="64"/>
        </left>
        <right/>
        <top style="dotted">
          <color indexed="64"/>
        </top>
        <bottom/>
      </border>
    </dxf>
    <dxf>
      <font>
        <strike val="0"/>
        <condense val="0"/>
        <extend val="0"/>
        <outline val="0"/>
        <shadow val="0"/>
        <vertAlign val="baseline"/>
        <sz val="10"/>
        <color auto="1"/>
        <name val="Calibri"/>
        <family val="2"/>
      </font>
      <alignment horizontal="center" vertical="bottom"/>
      <border outline="0">
        <left style="dotted">
          <color indexed="64"/>
        </left>
        <right/>
        <top style="dotted">
          <color indexed="64"/>
        </top>
        <bottom style="dotted">
          <color indexed="64"/>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0"/>
        <color auto="1"/>
        <name val="Aptos Narrow"/>
        <family val="2"/>
        <scheme val="minor"/>
      </font>
      <numFmt numFmtId="165" formatCode="&quot;R$&quot;#,##0.00"/>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0"/>
        <color auto="1"/>
        <name val="Aptos Narrow"/>
        <family val="2"/>
        <scheme val="minor"/>
      </font>
      <numFmt numFmtId="165" formatCode="&quot;R$&quot;#,##0.00"/>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0"/>
        <color auto="1"/>
        <name val="Aptos Narrow"/>
        <family val="2"/>
        <scheme val="minor"/>
      </font>
      <numFmt numFmtId="165" formatCode="&quot;R$&quot;#,##0.00"/>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0"/>
        <color auto="1"/>
        <name val="Aptos Narrow"/>
        <family val="2"/>
        <scheme val="minor"/>
      </font>
      <numFmt numFmtId="165" formatCode="&quot;R$&quot;#,##0.00"/>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0"/>
        <color auto="1"/>
        <name val="Aptos Narrow"/>
        <family val="2"/>
        <scheme val="minor"/>
      </font>
      <numFmt numFmtId="165" formatCode="&quot;R$&quot;#,##0.00"/>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0"/>
        <color auto="1"/>
        <name val="Aptos Narrow"/>
        <family val="2"/>
        <scheme val="minor"/>
      </font>
      <numFmt numFmtId="0" formatCode="General"/>
      <fill>
        <patternFill>
          <fgColor indexed="64"/>
          <bgColor indexed="65"/>
        </patternFill>
      </fill>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0"/>
        <color auto="1"/>
        <name val="Aptos Narrow"/>
        <family val="2"/>
        <scheme val="minor"/>
      </font>
      <numFmt numFmtId="14" formatCode="0.00%"/>
      <fill>
        <patternFill>
          <fgColor indexed="64"/>
          <bgColor indexed="65"/>
        </patternFill>
      </fill>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0"/>
        <color auto="1"/>
        <name val="Aptos Narrow"/>
        <family val="2"/>
        <scheme val="minor"/>
      </font>
      <numFmt numFmtId="0" formatCode="General"/>
      <fill>
        <patternFill>
          <fgColor indexed="64"/>
          <bgColor indexed="65"/>
        </patternFill>
      </fill>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0"/>
        <color auto="1"/>
        <name val="Aptos Narrow"/>
        <family val="2"/>
        <scheme val="minor"/>
      </font>
      <numFmt numFmtId="14" formatCode="0.00%"/>
      <fill>
        <patternFill>
          <fgColor indexed="64"/>
          <bgColor indexed="65"/>
        </patternFill>
      </fill>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0"/>
        <color auto="1"/>
        <name val="Aptos Narrow"/>
        <family val="2"/>
        <scheme val="minor"/>
      </font>
      <numFmt numFmtId="165" formatCode="&quot;R$&quot;#,##0.00"/>
      <fill>
        <patternFill>
          <fgColor indexed="64"/>
          <bgColor indexed="65"/>
        </patternFill>
      </fill>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0"/>
        <color auto="1"/>
        <name val="Aptos Narrow"/>
        <family val="2"/>
        <scheme val="minor"/>
      </font>
      <numFmt numFmtId="165" formatCode="&quot;R$&quot;#,##0.00"/>
      <fill>
        <patternFill>
          <fgColor indexed="64"/>
          <bgColor indexed="65"/>
        </patternFill>
      </fill>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0"/>
        <color auto="1"/>
        <name val="Aptos Narrow"/>
        <family val="2"/>
        <scheme val="minor"/>
      </font>
      <numFmt numFmtId="164" formatCode="&quot;R$&quot;\ #,##0.00"/>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0"/>
        <color auto="1"/>
        <name val="Aptos Narrow"/>
        <family val="2"/>
        <scheme val="minor"/>
      </font>
      <numFmt numFmtId="164" formatCode="&quot;R$&quot;\ #,##0.00"/>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0"/>
        <color auto="1"/>
        <name val="Aptos Narrow"/>
        <family val="2"/>
        <scheme val="minor"/>
      </font>
      <numFmt numFmtId="1" formatCode="0"/>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0"/>
        <color auto="1"/>
        <name val="Aptos Narrow"/>
        <family val="2"/>
        <scheme val="minor"/>
      </font>
      <alignment horizontal="center" vertical="bottom"/>
      <border outline="0">
        <left/>
        <right style="dotted">
          <color indexed="64"/>
        </right>
        <top style="dotted">
          <color indexed="64"/>
        </top>
        <bottom/>
      </border>
    </dxf>
    <dxf>
      <font>
        <strike val="0"/>
        <condense val="0"/>
        <extend val="0"/>
        <outline val="0"/>
        <shadow val="0"/>
        <vertAlign val="baseline"/>
        <sz val="10"/>
        <color auto="1"/>
        <name val="Aptos Narrow"/>
        <family val="2"/>
        <scheme val="minor"/>
      </font>
      <numFmt numFmtId="19" formatCode="dd/mm/yyyy"/>
      <alignment horizontal="center" vertical="bottom"/>
      <border outline="0">
        <left/>
        <right style="dotted">
          <color indexed="64"/>
        </right>
        <top style="dotted">
          <color indexed="64"/>
        </top>
        <bottom style="dotted">
          <color indexed="64"/>
        </bottom>
      </border>
    </dxf>
    <dxf>
      <border outline="0">
        <top style="dotted">
          <color indexed="64"/>
        </top>
      </border>
    </dxf>
    <dxf>
      <font>
        <strike val="0"/>
        <outline val="0"/>
        <shadow val="0"/>
        <vertAlign val="baseline"/>
        <sz val="10"/>
      </font>
    </dxf>
    <dxf>
      <border outline="0">
        <bottom style="dotted">
          <color indexed="64"/>
        </bottom>
      </border>
    </dxf>
    <dxf>
      <font>
        <strike val="0"/>
        <condense val="0"/>
        <extend val="0"/>
        <outline val="0"/>
        <shadow val="0"/>
        <vertAlign val="baseline"/>
        <sz val="10"/>
        <color auto="1"/>
        <name val="Aptos Narrow"/>
        <family val="2"/>
        <scheme val="minor"/>
      </font>
      <alignment horizontal="center" vertical="bottom"/>
    </dxf>
    <dxf>
      <border outline="0">
        <bottom style="dotted">
          <color indexed="64"/>
        </bottom>
      </border>
    </dxf>
    <dxf>
      <font>
        <b/>
        <strike val="0"/>
        <condense val="0"/>
        <extend val="0"/>
        <outline val="0"/>
        <shadow val="0"/>
        <vertAlign val="baseline"/>
        <sz val="10"/>
        <color theme="0"/>
        <name val="Aptos Narrow"/>
        <family val="2"/>
        <scheme val="minor"/>
      </font>
      <fill>
        <patternFill patternType="solid">
          <fgColor indexed="64"/>
          <bgColor theme="1"/>
        </patternFill>
      </fill>
      <alignment horizontal="center" vertical="bottom"/>
      <border outline="0">
        <left style="dotted">
          <color indexed="64"/>
        </left>
        <right style="dotted">
          <color indexed="64"/>
        </right>
        <top/>
        <bottom/>
      </border>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numFmt numFmtId="34" formatCode="_-&quot;R$&quot;\ * #,##0.00_-;\-&quot;R$&quot;\ * #,##0.00_-;_-&quot;R$&quot;\ * &quot;-&quot;??_-;_-@_-"/>
    </dxf>
    <dxf>
      <font>
        <strike val="0"/>
        <condense val="0"/>
        <extend val="0"/>
        <outline val="0"/>
        <shadow val="0"/>
        <vertAlign val="baseline"/>
        <sz val="10"/>
        <color theme="1"/>
        <name val="Calibri"/>
        <family val="2"/>
      </font>
      <numFmt numFmtId="34" formatCode="_-&quot;R$&quot;\ * #,##0.00_-;\-&quot;R$&quot;\ * #,##0.00_-;_-&quot;R$&quot;\ * &quot;-&quot;??_-;_-@_-"/>
    </dxf>
    <dxf>
      <font>
        <strike val="0"/>
        <condense val="0"/>
        <extend val="0"/>
        <outline val="0"/>
        <shadow val="0"/>
        <vertAlign val="baseline"/>
        <sz val="10"/>
        <color theme="1"/>
        <name val="Calibri"/>
        <family val="2"/>
      </font>
      <numFmt numFmtId="34" formatCode="_-&quot;R$&quot;\ * #,##0.00_-;\-&quot;R$&quot;\ * #,##0.00_-;_-&quot;R$&quot;\ * &quot;-&quot;??_-;_-@_-"/>
    </dxf>
    <dxf>
      <font>
        <strike val="0"/>
        <condense val="0"/>
        <extend val="0"/>
        <outline val="0"/>
        <shadow val="0"/>
        <vertAlign val="baseline"/>
        <sz val="10"/>
        <color theme="1"/>
        <name val="Calibri"/>
        <family val="2"/>
      </font>
      <numFmt numFmtId="34" formatCode="_-&quot;R$&quot;\ * #,##0.00_-;\-&quot;R$&quot;\ * #,##0.00_-;_-&quot;R$&quot;\ * &quot;-&quot;??_-;_-@_-"/>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numFmt numFmtId="0" formatCode="General"/>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numFmt numFmtId="0" formatCode="General"/>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numFmt numFmtId="34" formatCode="_-&quot;R$&quot;\ * #,##0.00_-;\-&quot;R$&quot;\ * #,##0.00_-;_-&quot;R$&quot;\ * &quot;-&quot;??_-;_-@_-"/>
    </dxf>
    <dxf>
      <font>
        <strike val="0"/>
        <condense val="0"/>
        <extend val="0"/>
        <outline val="0"/>
        <shadow val="0"/>
        <vertAlign val="baseline"/>
        <sz val="10"/>
        <color theme="1"/>
        <name val="Calibri"/>
        <family val="2"/>
      </font>
      <numFmt numFmtId="34" formatCode="_-&quot;R$&quot;\ * #,##0.00_-;\-&quot;R$&quot;\ * #,##0.00_-;_-&quot;R$&quot;\ * &quot;-&quot;??_-;_-@_-"/>
    </dxf>
    <dxf>
      <font>
        <strike val="0"/>
        <condense val="0"/>
        <extend val="0"/>
        <outline val="0"/>
        <shadow val="0"/>
        <vertAlign val="baseline"/>
        <sz val="10"/>
        <color theme="1"/>
        <name val="Calibri"/>
        <family val="2"/>
      </font>
      <numFmt numFmtId="34" formatCode="_-&quot;R$&quot;\ * #,##0.00_-;\-&quot;R$&quot;\ * #,##0.00_-;_-&quot;R$&quot;\ * &quot;-&quot;??_-;_-@_-"/>
    </dxf>
    <dxf>
      <font>
        <strike val="0"/>
        <condense val="0"/>
        <extend val="0"/>
        <outline val="0"/>
        <shadow val="0"/>
        <vertAlign val="baseline"/>
        <sz val="10"/>
        <color theme="1"/>
        <name val="Calibri"/>
        <family val="2"/>
      </font>
      <numFmt numFmtId="34" formatCode="_-&quot;R$&quot;\ * #,##0.00_-;\-&quot;R$&quot;\ * #,##0.00_-;_-&quot;R$&quot;\ * &quot;-&quot;??_-;_-@_-"/>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numFmt numFmtId="34" formatCode="_-&quot;R$&quot;\ * #,##0.00_-;\-&quot;R$&quot;\ * #,##0.00_-;_-&quot;R$&quot;\ * &quot;-&quot;??_-;_-@_-"/>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alignment horizontal="center" vertical="bottom"/>
    </dxf>
    <dxf>
      <font>
        <strike val="0"/>
        <condense val="0"/>
        <extend val="0"/>
        <outline val="0"/>
        <shadow val="0"/>
        <vertAlign val="baseline"/>
        <sz val="10"/>
        <color theme="1"/>
        <name val="Calibri"/>
        <family val="2"/>
      </font>
      <alignment horizontal="center" vertical="bottom"/>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numFmt numFmtId="19" formatCode="dd/mm/yyyy"/>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1"/>
        <color theme="1"/>
        <name val="Aptos Narrow"/>
        <family val="2"/>
        <scheme val="minor"/>
      </font>
      <numFmt numFmtId="13" formatCode="0%"/>
      <fill>
        <patternFill>
          <fgColor indexed="64"/>
          <bgColor indexed="65"/>
        </patternFill>
      </fill>
    </dxf>
    <dxf>
      <numFmt numFmtId="1" formatCode="0"/>
      <alignment horizontal="right" vertical="bottom"/>
    </dxf>
    <dxf>
      <numFmt numFmtId="34" formatCode="_-&quot;R$&quot;\ * #,##0.00_-;\-&quot;R$&quot;\ * #,##0.00_-;_-&quot;R$&quot;\ * &quot;-&quot;??_-;_-@_-"/>
      <alignment horizontal="right" vertical="bottom"/>
    </dxf>
    <dxf>
      <numFmt numFmtId="34" formatCode="_-&quot;R$&quot;\ * #,##0.00_-;\-&quot;R$&quot;\ * #,##0.00_-;_-&quot;R$&quot;\ * &quot;-&quot;??_-;_-@_-"/>
      <alignment horizontal="right" vertical="bottom"/>
    </dxf>
    <dxf>
      <font>
        <strike val="0"/>
        <condense val="0"/>
        <extend val="0"/>
        <outline val="0"/>
        <shadow val="0"/>
        <vertAlign val="baseline"/>
        <sz val="11"/>
        <color theme="1"/>
        <name val="Aptos Narrow"/>
        <family val="2"/>
        <scheme val="minor"/>
      </font>
      <numFmt numFmtId="0" formatCode="General"/>
      <fill>
        <patternFill>
          <fgColor indexed="64"/>
          <bgColor indexed="65"/>
        </patternFill>
      </fill>
    </dxf>
    <dxf>
      <font>
        <b/>
        <strike val="0"/>
        <condense val="0"/>
        <extend val="0"/>
        <outline val="0"/>
        <shadow val="0"/>
        <vertAlign val="baseline"/>
        <sz val="11"/>
        <color theme="1"/>
        <name val="Aptos Narrow"/>
        <family val="2"/>
        <scheme val="minor"/>
      </font>
    </dxf>
    <dxf>
      <alignment horizontal="right" vertical="bottom"/>
    </dxf>
    <dxf>
      <fill>
        <patternFill patternType="solid">
          <bgColor theme="0" tint="-0.499984740745262"/>
        </patternFill>
      </fill>
    </dxf>
    <dxf>
      <fill>
        <patternFill patternType="solid">
          <bgColor theme="0" tint="-0.499984740745262"/>
        </patternFill>
      </fill>
    </dxf>
    <dxf>
      <font>
        <sz val="10"/>
      </font>
    </dxf>
    <dxf>
      <font>
        <sz val="10"/>
      </font>
    </dxf>
    <dxf>
      <font>
        <sz val="10"/>
      </font>
    </dxf>
    <dxf>
      <font>
        <name val="Calibri Light"/>
        <family val="2"/>
      </font>
    </dxf>
    <dxf>
      <font>
        <name val="Calibri Light"/>
        <family val="2"/>
      </font>
    </dxf>
    <dxf>
      <font>
        <name val="Calibri Light"/>
        <family val="2"/>
      </font>
    </dxf>
    <dxf>
      <font>
        <sz val="10"/>
      </font>
    </dxf>
    <dxf>
      <font>
        <sz val="10"/>
      </font>
    </dxf>
    <dxf>
      <font>
        <sz val="10"/>
      </font>
    </dxf>
    <dxf>
      <font>
        <name val="Calibri Light"/>
        <family val="2"/>
      </font>
    </dxf>
    <dxf>
      <font>
        <name val="Calibri Light"/>
        <family val="2"/>
      </font>
    </dxf>
    <dxf>
      <font>
        <name val="Calibri Light"/>
        <family val="2"/>
      </font>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 formatCode="0"/>
    </dxf>
    <dxf>
      <font>
        <b/>
      </font>
    </dxf>
    <dxf>
      <font>
        <b/>
      </font>
    </dxf>
    <dxf>
      <font>
        <b/>
      </font>
    </dxf>
    <dxf>
      <font>
        <b/>
      </font>
    </dxf>
    <dxf>
      <font>
        <b/>
      </font>
    </dxf>
    <dxf>
      <font>
        <b/>
      </font>
    </dxf>
    <dxf>
      <font>
        <b/>
      </font>
    </dxf>
    <dxf>
      <font>
        <b/>
      </font>
    </dxf>
    <dxf>
      <font>
        <b/>
      </font>
    </dxf>
    <dxf>
      <font>
        <b/>
      </font>
    </dxf>
    <dxf>
      <font>
        <b/>
      </font>
    </dxf>
    <dxf>
      <font>
        <sz val="10"/>
      </font>
    </dxf>
    <dxf>
      <font>
        <sz val="10"/>
      </font>
    </dxf>
    <dxf>
      <font>
        <sz val="10"/>
      </font>
    </dxf>
    <dxf>
      <font>
        <name val="Calibri Light"/>
      </font>
    </dxf>
    <dxf>
      <font>
        <name val="Calibri Light"/>
      </font>
    </dxf>
    <dxf>
      <font>
        <name val="Calibri Light"/>
      </font>
    </dxf>
    <dxf>
      <numFmt numFmtId="14" formatCode="0.00%"/>
    </dxf>
    <dxf>
      <numFmt numFmtId="14" formatCode="0.00%"/>
    </dxf>
    <dxf>
      <numFmt numFmtId="34" formatCode="_-&quot;R$&quot;\ * #,##0.00_-;\-&quot;R$&quot;\ * #,##0.00_-;_-&quot;R$&quot;\ * &quot;-&quot;??_-;_-@_-"/>
    </dxf>
    <dxf>
      <numFmt numFmtId="2" formatCode="0.00"/>
    </dxf>
    <dxf>
      <numFmt numFmtId="2" formatCode="0.00"/>
    </dxf>
    <dxf>
      <numFmt numFmtId="34" formatCode="_-&quot;R$&quot;\ * #,##0.00_-;\-&quot;R$&quot;\ * #,##0.00_-;_-&quot;R$&quot;\ * &quot;-&quot;??_-;_-@_-"/>
      <alignment horizontal="center" vertical="bottom"/>
    </dxf>
    <dxf>
      <numFmt numFmtId="34" formatCode="_-&quot;R$&quot;\ * #,##0.00_-;\-&quot;R$&quot;\ * #,##0.00_-;_-&quot;R$&quot;\ * &quot;-&quot;??_-;_-@_-"/>
      <alignment horizontal="center" vertical="bottom"/>
    </dxf>
    <dxf>
      <numFmt numFmtId="34" formatCode="_-&quot;R$&quot;\ * #,##0.00_-;\-&quot;R$&quot;\ * #,##0.00_-;_-&quot;R$&quot;\ * &quot;-&quot;??_-;_-@_-"/>
      <alignment horizontal="center" vertical="bottom"/>
    </dxf>
    <dxf>
      <numFmt numFmtId="34" formatCode="_-&quot;R$&quot;\ * #,##0.00_-;\-&quot;R$&quot;\ * #,##0.00_-;_-&quot;R$&quot;\ * &quot;-&quot;??_-;_-@_-"/>
      <alignment horizontal="center" vertical="bottom"/>
    </dxf>
    <dxf>
      <alignment horizontal="center" vertical="bottom"/>
    </dxf>
    <dxf>
      <alignment horizontal="center" vertical="bottom"/>
    </dxf>
    <dxf>
      <alignment horizontal="center" vertical="bottom"/>
    </dxf>
    <dxf>
      <numFmt numFmtId="22" formatCode="mmm/yy"/>
      <alignment horizontal="center" vertical="bottom"/>
    </dxf>
    <dxf>
      <numFmt numFmtId="30" formatCode="@"/>
      <alignment horizontal="center" vertical="bottom"/>
    </dxf>
    <dxf>
      <numFmt numFmtId="22" formatCode="mmm/yy"/>
      <fill>
        <patternFill patternType="solid">
          <fgColor indexed="64"/>
          <bgColor rgb="FF95B9AC"/>
        </patternFill>
      </fill>
    </dxf>
    <dxf>
      <font>
        <strike val="0"/>
        <condense val="0"/>
        <extend val="0"/>
        <outline val="0"/>
        <shadow val="0"/>
        <vertAlign val="baseline"/>
        <sz val="11"/>
        <color auto="1"/>
        <name val="Calibri"/>
        <family val="2"/>
      </font>
      <alignment horizontal="center" vertical="bottom"/>
      <border>
        <left style="dotted">
          <color indexed="64"/>
        </left>
        <right/>
        <top style="dotted">
          <color indexed="64"/>
        </top>
        <bottom style="dotted">
          <color indexed="64"/>
        </bottom>
        <vertical/>
        <horizontal/>
      </border>
    </dxf>
    <dxf>
      <font>
        <strike val="0"/>
        <condense val="0"/>
        <extend val="0"/>
        <outline val="0"/>
        <shadow val="0"/>
        <vertAlign val="baseline"/>
        <sz val="11"/>
        <color auto="1"/>
        <name val="Aptos Narrow"/>
        <family val="2"/>
        <scheme val="minor"/>
      </font>
      <alignment horizontal="center" vertical="bottom"/>
      <border>
        <left style="dotted">
          <color indexed="64"/>
        </left>
        <right style="dotted">
          <color indexed="64"/>
        </right>
        <top style="dotted">
          <color indexed="64"/>
        </top>
        <bottom style="dotted">
          <color indexed="64"/>
        </bottom>
        <vertical/>
        <horizontal/>
      </border>
    </dxf>
    <dxf>
      <font>
        <strike val="0"/>
        <condense val="0"/>
        <extend val="0"/>
        <outline val="0"/>
        <shadow val="0"/>
        <vertAlign val="baseline"/>
        <sz val="11"/>
        <color auto="1"/>
        <name val="Aptos Narrow"/>
        <family val="2"/>
        <scheme val="minor"/>
      </font>
      <alignment horizontal="center" vertical="bottom"/>
      <border>
        <left style="dotted">
          <color indexed="64"/>
        </left>
        <right style="dotted">
          <color indexed="64"/>
        </right>
        <top style="dotted">
          <color indexed="64"/>
        </top>
        <bottom style="dotted">
          <color indexed="64"/>
        </bottom>
        <vertical/>
        <horizontal/>
      </border>
    </dxf>
    <dxf>
      <font>
        <strike val="0"/>
        <condense val="0"/>
        <extend val="0"/>
        <outline val="0"/>
        <shadow val="0"/>
        <vertAlign val="baseline"/>
        <sz val="11"/>
        <color auto="1"/>
        <name val="Aptos Narrow"/>
        <family val="2"/>
        <scheme val="minor"/>
      </font>
      <alignment horizontal="center" vertical="bottom"/>
      <border>
        <left style="dotted">
          <color indexed="64"/>
        </left>
        <right style="dotted">
          <color indexed="64"/>
        </right>
        <top style="dotted">
          <color indexed="64"/>
        </top>
        <bottom style="dotted">
          <color indexed="64"/>
        </bottom>
        <vertical/>
        <horizontal/>
      </border>
    </dxf>
    <dxf>
      <font>
        <strike val="0"/>
        <condense val="0"/>
        <extend val="0"/>
        <outline val="0"/>
        <shadow val="0"/>
        <vertAlign val="baseline"/>
        <sz val="11"/>
        <color auto="1"/>
        <name val="Aptos Narrow"/>
        <family val="2"/>
        <scheme val="minor"/>
      </font>
      <alignment horizontal="center" vertical="bottom"/>
      <border>
        <left style="dotted">
          <color indexed="64"/>
        </left>
        <right style="dotted">
          <color indexed="64"/>
        </right>
        <top style="dotted">
          <color indexed="64"/>
        </top>
        <bottom style="dotted">
          <color indexed="64"/>
        </bottom>
        <vertical/>
        <horizontal/>
      </border>
    </dxf>
    <dxf>
      <font>
        <strike val="0"/>
        <condense val="0"/>
        <extend val="0"/>
        <outline val="0"/>
        <shadow val="0"/>
        <vertAlign val="baseline"/>
        <sz val="11"/>
        <color auto="1"/>
        <name val="Aptos Narrow"/>
        <family val="2"/>
        <scheme val="minor"/>
      </font>
      <alignment horizontal="center" vertical="bottom"/>
      <border>
        <left style="dotted">
          <color indexed="64"/>
        </left>
        <right style="dotted">
          <color indexed="64"/>
        </right>
        <top style="dotted">
          <color indexed="64"/>
        </top>
        <bottom style="dotted">
          <color indexed="64"/>
        </bottom>
        <vertical/>
        <horizontal/>
      </border>
    </dxf>
    <dxf>
      <font>
        <strike val="0"/>
        <condense val="0"/>
        <extend val="0"/>
        <outline val="0"/>
        <shadow val="0"/>
        <vertAlign val="baseline"/>
        <sz val="11"/>
        <color auto="1"/>
        <name val="Aptos Narrow"/>
        <family val="2"/>
        <scheme val="minor"/>
      </font>
      <alignment horizontal="center" vertical="bottom"/>
      <border>
        <left style="dotted">
          <color indexed="64"/>
        </left>
        <right style="dotted">
          <color indexed="64"/>
        </right>
        <top style="dotted">
          <color indexed="64"/>
        </top>
        <bottom style="dotted">
          <color indexed="64"/>
        </bottom>
        <vertical/>
        <horizontal/>
      </border>
    </dxf>
    <dxf>
      <font>
        <strike val="0"/>
        <condense val="0"/>
        <extend val="0"/>
        <outline val="0"/>
        <shadow val="0"/>
        <vertAlign val="baseline"/>
        <sz val="11"/>
        <color auto="1"/>
        <name val="Aptos Narrow"/>
        <family val="2"/>
        <scheme val="minor"/>
      </font>
      <numFmt numFmtId="165" formatCode="&quot;R$&quot;#,##0.00"/>
      <alignment horizontal="center" vertical="bottom"/>
      <border>
        <left style="dotted">
          <color indexed="64"/>
        </left>
        <right style="dotted">
          <color indexed="64"/>
        </right>
        <top style="dotted">
          <color indexed="64"/>
        </top>
        <bottom style="dotted">
          <color indexed="64"/>
        </bottom>
        <vertical/>
        <horizontal/>
      </border>
    </dxf>
    <dxf>
      <font>
        <strike val="0"/>
        <condense val="0"/>
        <extend val="0"/>
        <outline val="0"/>
        <shadow val="0"/>
        <vertAlign val="baseline"/>
        <sz val="11"/>
        <color auto="1"/>
        <name val="Aptos Narrow"/>
        <family val="2"/>
        <scheme val="minor"/>
      </font>
      <numFmt numFmtId="165" formatCode="&quot;R$&quot;#,##0.00"/>
      <alignment horizontal="center" vertical="bottom"/>
      <border>
        <left style="dotted">
          <color indexed="64"/>
        </left>
        <right style="dotted">
          <color indexed="64"/>
        </right>
        <top style="dotted">
          <color indexed="64"/>
        </top>
        <bottom style="dotted">
          <color indexed="64"/>
        </bottom>
        <vertical/>
        <horizontal/>
      </border>
    </dxf>
    <dxf>
      <font>
        <strike val="0"/>
        <condense val="0"/>
        <extend val="0"/>
        <outline val="0"/>
        <shadow val="0"/>
        <vertAlign val="baseline"/>
        <sz val="11"/>
        <color auto="1"/>
        <name val="Aptos Narrow"/>
        <family val="2"/>
        <scheme val="minor"/>
      </font>
      <numFmt numFmtId="165" formatCode="&quot;R$&quot;#,##0.00"/>
      <alignment horizontal="center" vertical="bottom"/>
      <border>
        <left style="dotted">
          <color indexed="64"/>
        </left>
        <right style="dotted">
          <color indexed="64"/>
        </right>
        <top style="dotted">
          <color indexed="64"/>
        </top>
        <bottom style="dotted">
          <color indexed="64"/>
        </bottom>
        <vertical/>
        <horizontal/>
      </border>
    </dxf>
    <dxf>
      <font>
        <strike val="0"/>
        <condense val="0"/>
        <extend val="0"/>
        <outline val="0"/>
        <shadow val="0"/>
        <vertAlign val="baseline"/>
        <sz val="11"/>
        <color auto="1"/>
        <name val="Aptos Narrow"/>
        <family val="2"/>
        <scheme val="minor"/>
      </font>
      <numFmt numFmtId="14" formatCode="0.00%"/>
      <fill>
        <patternFill>
          <fgColor indexed="64"/>
          <bgColor indexed="65"/>
        </patternFill>
      </fill>
      <alignment horizontal="center" vertical="bottom"/>
      <border>
        <left style="dotted">
          <color indexed="64"/>
        </left>
        <right style="dotted">
          <color indexed="64"/>
        </right>
        <top style="dotted">
          <color indexed="64"/>
        </top>
        <bottom style="dotted">
          <color indexed="64"/>
        </bottom>
        <vertical/>
        <horizontal/>
      </border>
    </dxf>
    <dxf>
      <font>
        <strike val="0"/>
        <condense val="0"/>
        <extend val="0"/>
        <outline val="0"/>
        <shadow val="0"/>
        <vertAlign val="baseline"/>
        <sz val="11"/>
        <color auto="1"/>
        <name val="Aptos Narrow"/>
        <family val="2"/>
        <scheme val="minor"/>
      </font>
      <numFmt numFmtId="14" formatCode="0.00%"/>
      <fill>
        <patternFill>
          <fgColor indexed="64"/>
          <bgColor indexed="65"/>
        </patternFill>
      </fill>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1"/>
        <color auto="1"/>
        <name val="Aptos Narrow"/>
        <family val="2"/>
        <scheme val="minor"/>
      </font>
      <numFmt numFmtId="165" formatCode="&quot;R$&quot;#,##0.00"/>
      <alignment horizontal="center" vertical="bottom"/>
      <border>
        <left style="dotted">
          <color indexed="64"/>
        </left>
        <right style="dotted">
          <color indexed="64"/>
        </right>
        <top style="dotted">
          <color indexed="64"/>
        </top>
        <bottom style="dotted">
          <color indexed="64"/>
        </bottom>
        <vertical/>
        <horizontal/>
      </border>
    </dxf>
    <dxf>
      <font>
        <strike val="0"/>
        <condense val="0"/>
        <extend val="0"/>
        <outline val="0"/>
        <shadow val="0"/>
        <vertAlign val="baseline"/>
        <sz val="11"/>
        <color auto="1"/>
        <name val="Aptos Narrow"/>
        <family val="2"/>
        <scheme val="minor"/>
      </font>
      <numFmt numFmtId="165" formatCode="&quot;R$&quot;#,##0.00"/>
      <fill>
        <patternFill>
          <fgColor indexed="64"/>
          <bgColor auto="1"/>
        </patternFill>
      </fill>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1"/>
        <color auto="1"/>
        <name val="Aptos Narrow"/>
        <family val="2"/>
        <scheme val="minor"/>
      </font>
      <numFmt numFmtId="164" formatCode="&quot;R$&quot;\ #,##0.00"/>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1"/>
        <color auto="1"/>
        <name val="Aptos Narrow"/>
        <family val="2"/>
        <scheme val="minor"/>
      </font>
      <numFmt numFmtId="1" formatCode="0"/>
      <alignment horizontal="center" vertical="bottom"/>
      <border>
        <left style="dotted">
          <color indexed="64"/>
        </left>
        <right style="dotted">
          <color indexed="64"/>
        </right>
        <top style="dotted">
          <color indexed="64"/>
        </top>
        <bottom style="dotted">
          <color indexed="64"/>
        </bottom>
        <vertical/>
        <horizontal/>
      </border>
    </dxf>
    <dxf>
      <font>
        <strike val="0"/>
        <condense val="0"/>
        <extend val="0"/>
        <outline val="0"/>
        <shadow val="0"/>
        <vertAlign val="baseline"/>
        <sz val="11"/>
        <color auto="1"/>
        <name val="Aptos Narrow"/>
        <family val="2"/>
        <scheme val="minor"/>
      </font>
      <alignment horizontal="center" vertical="bottom"/>
      <border>
        <left style="dotted">
          <color indexed="64"/>
        </left>
        <right style="dotted">
          <color indexed="64"/>
        </right>
        <top style="dotted">
          <color indexed="64"/>
        </top>
        <bottom style="dotted">
          <color indexed="64"/>
        </bottom>
        <vertical/>
        <horizontal/>
      </border>
    </dxf>
    <dxf>
      <font>
        <strike val="0"/>
        <condense val="0"/>
        <extend val="0"/>
        <outline val="0"/>
        <shadow val="0"/>
        <vertAlign val="baseline"/>
        <sz val="11"/>
        <color auto="1"/>
        <name val="Aptos Narrow"/>
        <family val="2"/>
        <scheme val="minor"/>
      </font>
      <alignment horizontal="center" vertical="bottom"/>
      <border>
        <left style="dotted">
          <color indexed="64"/>
        </left>
        <right style="dotted">
          <color indexed="64"/>
        </right>
        <top style="dotted">
          <color indexed="64"/>
        </top>
        <bottom style="dotted">
          <color indexed="64"/>
        </bottom>
        <vertical/>
        <horizontal/>
      </border>
    </dxf>
    <dxf>
      <font>
        <strike val="0"/>
        <condense val="0"/>
        <extend val="0"/>
        <outline val="0"/>
        <shadow val="0"/>
        <vertAlign val="baseline"/>
        <sz val="11"/>
        <color auto="1"/>
        <name val="Aptos Narrow"/>
        <family val="2"/>
        <scheme val="minor"/>
      </font>
      <alignment horizontal="center" vertical="bottom"/>
      <border>
        <left style="dotted">
          <color indexed="64"/>
        </left>
        <right style="dotted">
          <color indexed="64"/>
        </right>
        <top style="dotted">
          <color indexed="64"/>
        </top>
        <bottom style="dotted">
          <color indexed="64"/>
        </bottom>
        <vertical/>
        <horizontal/>
      </border>
    </dxf>
    <dxf>
      <font>
        <strike val="0"/>
        <condense val="0"/>
        <extend val="0"/>
        <outline val="0"/>
        <shadow val="0"/>
        <vertAlign val="baseline"/>
        <sz val="11"/>
        <color auto="1"/>
        <name val="Aptos Narrow"/>
        <family val="2"/>
        <scheme val="minor"/>
      </font>
      <alignment horizontal="center" vertical="bottom"/>
      <border>
        <left style="dotted">
          <color indexed="64"/>
        </left>
        <right style="dotted">
          <color indexed="64"/>
        </right>
        <top style="dotted">
          <color indexed="64"/>
        </top>
        <bottom style="dotted">
          <color indexed="64"/>
        </bottom>
        <vertical/>
        <horizontal/>
      </border>
    </dxf>
    <dxf>
      <font>
        <strike val="0"/>
        <condense val="0"/>
        <extend val="0"/>
        <outline val="0"/>
        <shadow val="0"/>
        <vertAlign val="baseline"/>
        <sz val="11"/>
        <color auto="1"/>
        <name val="Aptos Narrow"/>
        <family val="2"/>
        <scheme val="minor"/>
      </font>
      <alignment horizontal="center" vertical="bottom"/>
      <border>
        <left style="dotted">
          <color indexed="64"/>
        </left>
        <right style="dotted">
          <color indexed="64"/>
        </right>
        <top style="dotted">
          <color indexed="64"/>
        </top>
        <bottom style="dotted">
          <color indexed="64"/>
        </bottom>
        <vertical/>
        <horizontal/>
      </border>
    </dxf>
    <dxf>
      <font>
        <strike val="0"/>
        <condense val="0"/>
        <extend val="0"/>
        <outline val="0"/>
        <shadow val="0"/>
        <vertAlign val="baseline"/>
        <sz val="11"/>
        <color auto="1"/>
        <name val="Aptos Narrow"/>
        <family val="2"/>
        <scheme val="minor"/>
      </font>
      <numFmt numFmtId="19" formatCode="dd/mm/yyyy"/>
      <alignment horizontal="center" vertical="bottom"/>
      <border>
        <left/>
        <right style="dotted">
          <color indexed="64"/>
        </right>
        <top style="dotted">
          <color indexed="64"/>
        </top>
        <bottom style="dotted">
          <color indexed="64"/>
        </bottom>
        <vertical/>
        <horizontal/>
      </border>
    </dxf>
    <dxf>
      <border outline="0">
        <top style="dotted">
          <color indexed="64"/>
        </top>
      </border>
    </dxf>
    <dxf>
      <border outline="0">
        <bottom style="dotted">
          <color indexed="64"/>
        </bottom>
      </border>
    </dxf>
    <dxf>
      <font>
        <strike val="0"/>
        <condense val="0"/>
        <extend val="0"/>
        <outline val="0"/>
        <shadow val="0"/>
        <vertAlign val="baseline"/>
        <sz val="11"/>
        <color auto="1"/>
        <name val="Aptos Narrow"/>
        <family val="2"/>
        <scheme val="minor"/>
      </font>
      <alignment horizontal="center" vertical="bottom"/>
    </dxf>
    <dxf>
      <border outline="0">
        <bottom style="dotted">
          <color indexed="64"/>
        </bottom>
      </border>
    </dxf>
    <dxf>
      <font>
        <b/>
        <strike val="0"/>
        <condense val="0"/>
        <extend val="0"/>
        <outline val="0"/>
        <shadow val="0"/>
        <vertAlign val="baseline"/>
        <sz val="11"/>
        <color theme="0"/>
        <name val="Aptos Narrow"/>
        <family val="2"/>
        <scheme val="minor"/>
      </font>
      <fill>
        <patternFill patternType="solid">
          <fgColor indexed="64"/>
          <bgColor theme="1"/>
        </patternFill>
      </fill>
      <alignment horizontal="center" vertical="bottom"/>
      <border outline="0">
        <left style="dotted">
          <color indexed="64"/>
        </left>
        <right style="dotted">
          <color indexed="64"/>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pivotCacheDefinition" Target="pivotCache/pivotCacheDefinition5.xml"/><Relationship Id="rId3" Type="http://schemas.openxmlformats.org/officeDocument/2006/relationships/worksheet" Target="worksheets/sheet3.xml"/><Relationship Id="rId21" Type="http://schemas.openxmlformats.org/officeDocument/2006/relationships/externalLink" Target="externalLinks/externalLink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4.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3.xml"/><Relationship Id="rId32"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2.xml"/><Relationship Id="rId28" Type="http://schemas.openxmlformats.org/officeDocument/2006/relationships/pivotCacheDefinition" Target="pivotCache/pivotCacheDefinition7.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1.xml"/><Relationship Id="rId27" Type="http://schemas.openxmlformats.org/officeDocument/2006/relationships/pivotCacheDefinition" Target="pivotCache/pivotCacheDefinition6.xml"/><Relationship Id="rId30"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1"/>
  <c:style val="2"/>
  <c:pivotSource>
    <c:name>[Vendas2026.xlsx]Resumo de Vendas!Tabela dinâmica4</c:name>
    <c:fmtId val="10"/>
  </c:pivotSource>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pt-BR"/>
              <a:t>COBERTURA DE METAS</a:t>
            </a:r>
          </a:p>
        </c:rich>
      </c:tx>
      <c:overlay val="0"/>
      <c:spPr>
        <a:noFill/>
        <a:ln>
          <a:noFill/>
          <a:prstDash val="solid"/>
        </a:ln>
      </c:spPr>
    </c:title>
    <c:autoTitleDeleted val="0"/>
    <c:pivotFmts>
      <c:pivotFmt>
        <c:idx val="0"/>
        <c:spPr>
          <a:solidFill>
            <a:srgbClr val="B8D2C9"/>
          </a:solidFill>
          <a:ln>
            <a:noFill/>
            <a:prstDash val="solid"/>
          </a:ln>
        </c:spPr>
        <c:marker>
          <c:symbol val="none"/>
        </c:marker>
        <c:dLbl>
          <c:idx val="0"/>
          <c:delete val="1"/>
          <c:extLst>
            <c:ext xmlns:c15="http://schemas.microsoft.com/office/drawing/2012/chart" uri="{CE6537A1-D6FC-4f65-9D91-7224C49458BB}"/>
          </c:extLst>
        </c:dLbl>
      </c:pivotFmt>
      <c:pivotFmt>
        <c:idx val="1"/>
        <c:spPr>
          <a:solidFill>
            <a:schemeClr val="accent1"/>
          </a:solidFill>
          <a:ln w="28575" cap="rnd">
            <a:solidFill>
              <a:schemeClr val="accent4"/>
            </a:solidFill>
            <a:prstDash val="dash"/>
            <a:round/>
          </a:ln>
        </c:spPr>
        <c:marker>
          <c:symbol val="none"/>
        </c:marker>
        <c:dLbl>
          <c:idx val="0"/>
          <c:delete val="1"/>
          <c:extLst>
            <c:ext xmlns:c15="http://schemas.microsoft.com/office/drawing/2012/chart" uri="{CE6537A1-D6FC-4f65-9D91-7224C49458BB}"/>
          </c:extLst>
        </c:dLbl>
      </c:pivotFmt>
      <c:pivotFmt>
        <c:idx val="2"/>
        <c:spPr>
          <a:solidFill>
            <a:srgbClr val="B8D2C9"/>
          </a:solidFill>
          <a:ln>
            <a:noFill/>
            <a:prstDash val="solid"/>
          </a:ln>
        </c:spPr>
        <c:marker>
          <c:symbol val="none"/>
        </c:marker>
        <c:dLbl>
          <c:idx val="0"/>
          <c:delete val="1"/>
          <c:extLst>
            <c:ext xmlns:c15="http://schemas.microsoft.com/office/drawing/2012/chart" uri="{CE6537A1-D6FC-4f65-9D91-7224C49458BB}"/>
          </c:extLst>
        </c:dLbl>
      </c:pivotFmt>
      <c:pivotFmt>
        <c:idx val="3"/>
        <c:spPr>
          <a:solidFill>
            <a:schemeClr val="accent1"/>
          </a:solidFill>
          <a:ln w="28575" cap="rnd">
            <a:solidFill>
              <a:schemeClr val="accent4"/>
            </a:solidFill>
            <a:prstDash val="dash"/>
            <a:round/>
          </a:ln>
        </c:spPr>
        <c:marker>
          <c:symbol val="none"/>
        </c:marker>
        <c:dLbl>
          <c:idx val="0"/>
          <c:delete val="1"/>
          <c:extLst>
            <c:ext xmlns:c15="http://schemas.microsoft.com/office/drawing/2012/chart" uri="{CE6537A1-D6FC-4f65-9D91-7224C49458BB}"/>
          </c:extLst>
        </c:dLbl>
      </c:pivotFmt>
      <c:pivotFmt>
        <c:idx val="4"/>
        <c:spPr>
          <a:solidFill>
            <a:srgbClr val="B8D2C9"/>
          </a:solidFill>
          <a:ln>
            <a:noFill/>
            <a:prstDash val="solid"/>
          </a:ln>
        </c:spPr>
        <c:marker>
          <c:symbol val="none"/>
        </c:marker>
        <c:dLbl>
          <c:idx val="0"/>
          <c:delete val="1"/>
          <c:extLst>
            <c:ext xmlns:c15="http://schemas.microsoft.com/office/drawing/2012/chart" uri="{CE6537A1-D6FC-4f65-9D91-7224C49458BB}"/>
          </c:extLst>
        </c:dLbl>
      </c:pivotFmt>
      <c:pivotFmt>
        <c:idx val="5"/>
        <c:spPr>
          <a:ln w="28575" cap="rnd">
            <a:solidFill>
              <a:schemeClr val="accent4"/>
            </a:solidFill>
            <a:prstDash val="dash"/>
            <a:round/>
          </a:ln>
        </c:spPr>
        <c:marker>
          <c:symbol val="none"/>
        </c:marker>
        <c:dLbl>
          <c:idx val="0"/>
          <c:delete val="1"/>
          <c:extLst>
            <c:ext xmlns:c15="http://schemas.microsoft.com/office/drawing/2012/chart" uri="{CE6537A1-D6FC-4f65-9D91-7224C49458BB}"/>
          </c:extLst>
        </c:dLbl>
      </c:pivotFmt>
    </c:pivotFmts>
    <c:plotArea>
      <c:layout/>
      <c:barChart>
        <c:barDir val="col"/>
        <c:grouping val="clustered"/>
        <c:varyColors val="0"/>
        <c:ser>
          <c:idx val="0"/>
          <c:order val="0"/>
          <c:tx>
            <c:strRef>
              <c:f>'Resumo de Vendas'!$H$516</c:f>
              <c:strCache>
                <c:ptCount val="1"/>
                <c:pt idx="0">
                  <c:v>Cobertura</c:v>
                </c:pt>
              </c:strCache>
            </c:strRef>
          </c:tx>
          <c:spPr>
            <a:solidFill>
              <a:srgbClr val="B8D2C9"/>
            </a:solidFill>
            <a:ln>
              <a:noFill/>
              <a:prstDash val="solid"/>
            </a:ln>
          </c:spPr>
          <c:invertIfNegative val="0"/>
          <c:cat>
            <c:strRef>
              <c:f>'Resumo de Vendas'!$G$517:$G$522</c:f>
              <c:strCache>
                <c:ptCount val="5"/>
                <c:pt idx="0">
                  <c:v>mai</c:v>
                </c:pt>
                <c:pt idx="1">
                  <c:v>abr</c:v>
                </c:pt>
                <c:pt idx="2">
                  <c:v>mar</c:v>
                </c:pt>
                <c:pt idx="3">
                  <c:v>fev</c:v>
                </c:pt>
                <c:pt idx="4">
                  <c:v>jan</c:v>
                </c:pt>
              </c:strCache>
            </c:strRef>
          </c:cat>
          <c:val>
            <c:numRef>
              <c:f>'Resumo de Vendas'!$H$517:$H$522</c:f>
              <c:numCache>
                <c:formatCode>0%</c:formatCode>
                <c:ptCount val="5"/>
                <c:pt idx="0">
                  <c:v>0.14790624999999999</c:v>
                </c:pt>
                <c:pt idx="1">
                  <c:v>0.358848</c:v>
                </c:pt>
                <c:pt idx="2">
                  <c:v>0.91789714285714286</c:v>
                </c:pt>
                <c:pt idx="3">
                  <c:v>0.37133538461538462</c:v>
                </c:pt>
                <c:pt idx="4">
                  <c:v>0.44970333333333329</c:v>
                </c:pt>
              </c:numCache>
            </c:numRef>
          </c:val>
          <c:extLst>
            <c:ext xmlns:c16="http://schemas.microsoft.com/office/drawing/2014/chart" uri="{C3380CC4-5D6E-409C-BE32-E72D297353CC}">
              <c16:uniqueId val="{00000000-DB64-4E80-AE17-E252FF8D5077}"/>
            </c:ext>
          </c:extLst>
        </c:ser>
        <c:dLbls>
          <c:showLegendKey val="0"/>
          <c:showVal val="0"/>
          <c:showCatName val="0"/>
          <c:showSerName val="0"/>
          <c:showPercent val="0"/>
          <c:showBubbleSize val="0"/>
        </c:dLbls>
        <c:gapWidth val="8"/>
        <c:overlap val="-27"/>
        <c:axId val="1614877295"/>
        <c:axId val="1614866735"/>
      </c:barChart>
      <c:lineChart>
        <c:grouping val="standard"/>
        <c:varyColors val="0"/>
        <c:ser>
          <c:idx val="1"/>
          <c:order val="1"/>
          <c:tx>
            <c:strRef>
              <c:f>'Resumo de Vendas'!$I$516</c:f>
              <c:strCache>
                <c:ptCount val="1"/>
                <c:pt idx="0">
                  <c:v>Objetivo</c:v>
                </c:pt>
              </c:strCache>
            </c:strRef>
          </c:tx>
          <c:spPr>
            <a:ln w="28575" cap="rnd">
              <a:solidFill>
                <a:schemeClr val="accent4"/>
              </a:solidFill>
              <a:prstDash val="dash"/>
              <a:round/>
            </a:ln>
          </c:spPr>
          <c:marker>
            <c:symbol val="none"/>
          </c:marker>
          <c:cat>
            <c:strRef>
              <c:f>'Resumo de Vendas'!$G$517:$G$522</c:f>
              <c:strCache>
                <c:ptCount val="5"/>
                <c:pt idx="0">
                  <c:v>mai</c:v>
                </c:pt>
                <c:pt idx="1">
                  <c:v>abr</c:v>
                </c:pt>
                <c:pt idx="2">
                  <c:v>mar</c:v>
                </c:pt>
                <c:pt idx="3">
                  <c:v>fev</c:v>
                </c:pt>
                <c:pt idx="4">
                  <c:v>jan</c:v>
                </c:pt>
              </c:strCache>
            </c:strRef>
          </c:cat>
          <c:val>
            <c:numRef>
              <c:f>'Resumo de Vendas'!$I$517:$I$522</c:f>
              <c:numCache>
                <c:formatCode>0</c:formatCode>
                <c:ptCount val="5"/>
                <c:pt idx="0">
                  <c:v>8</c:v>
                </c:pt>
                <c:pt idx="1">
                  <c:v>7.5</c:v>
                </c:pt>
                <c:pt idx="2">
                  <c:v>7</c:v>
                </c:pt>
                <c:pt idx="3">
                  <c:v>6.5</c:v>
                </c:pt>
                <c:pt idx="4">
                  <c:v>6</c:v>
                </c:pt>
              </c:numCache>
            </c:numRef>
          </c:val>
          <c:smooth val="0"/>
          <c:extLst>
            <c:ext xmlns:c16="http://schemas.microsoft.com/office/drawing/2014/chart" uri="{C3380CC4-5D6E-409C-BE32-E72D297353CC}">
              <c16:uniqueId val="{00000001-DB64-4E80-AE17-E252FF8D5077}"/>
            </c:ext>
          </c:extLst>
        </c:ser>
        <c:dLbls>
          <c:showLegendKey val="0"/>
          <c:showVal val="0"/>
          <c:showCatName val="0"/>
          <c:showSerName val="0"/>
          <c:showPercent val="0"/>
          <c:showBubbleSize val="0"/>
        </c:dLbls>
        <c:marker val="1"/>
        <c:smooth val="0"/>
        <c:axId val="1614875375"/>
        <c:axId val="1614879695"/>
      </c:lineChart>
      <c:catAx>
        <c:axId val="16148772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614866735"/>
        <c:crosses val="autoZero"/>
        <c:auto val="1"/>
        <c:lblAlgn val="ctr"/>
        <c:lblOffset val="100"/>
        <c:noMultiLvlLbl val="0"/>
      </c:catAx>
      <c:valAx>
        <c:axId val="1614866735"/>
        <c:scaling>
          <c:orientation val="minMax"/>
          <c:max val="1"/>
        </c:scaling>
        <c:delete val="0"/>
        <c:axPos val="l"/>
        <c:majorGridlines>
          <c:spPr>
            <a:ln w="9525" cap="flat" cmpd="sng" algn="ctr">
              <a:solidFill>
                <a:schemeClr val="tx1">
                  <a:lumMod val="15000"/>
                  <a:lumOff val="85000"/>
                </a:schemeClr>
              </a:solidFill>
              <a:prstDash val="solid"/>
              <a:round/>
            </a:ln>
          </c:spPr>
        </c:majorGridlines>
        <c:numFmt formatCode="0%"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614877295"/>
        <c:crosses val="autoZero"/>
        <c:crossBetween val="between"/>
      </c:valAx>
      <c:catAx>
        <c:axId val="1614875375"/>
        <c:scaling>
          <c:orientation val="minMax"/>
        </c:scaling>
        <c:delete val="1"/>
        <c:axPos val="b"/>
        <c:numFmt formatCode="General" sourceLinked="1"/>
        <c:majorTickMark val="out"/>
        <c:minorTickMark val="none"/>
        <c:tickLblPos val="nextTo"/>
        <c:crossAx val="1614879695"/>
        <c:crosses val="autoZero"/>
        <c:auto val="1"/>
        <c:lblAlgn val="ctr"/>
        <c:lblOffset val="100"/>
        <c:noMultiLvlLbl val="0"/>
      </c:catAx>
      <c:valAx>
        <c:axId val="1614879695"/>
        <c:scaling>
          <c:orientation val="minMax"/>
        </c:scaling>
        <c:delete val="0"/>
        <c:axPos val="r"/>
        <c:numFmt formatCode="_(* #,##0.00_);_(* \(#,##0.00\);_(* &quot;-&quot;??_);_(@_)" sourceLinked="0"/>
        <c:majorTickMark val="out"/>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614875375"/>
        <c:crosses val="max"/>
        <c:crossBetween val="between"/>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1"/>
  </c:chart>
  <c:spPr>
    <a:noFill/>
    <a:ln w="9525" cap="flat" cmpd="sng" algn="ctr">
      <a:noFill/>
      <a:prstDash val="solid"/>
      <a:round/>
    </a:ln>
  </c:spPr>
  <c:printSettings>
    <c:headerFooter/>
    <c:pageMargins b="0.78740157499999996" l="0.511811024" r="0.511811024" t="0.78740157499999996" header="0.31496062000000002" footer="0.31496062000000002"/>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1"/>
  <c:style val="2"/>
  <c:pivotSource>
    <c:name>[Vendas2026.xlsx]Resumo de Vendas!Tabela dinâmica5</c:name>
    <c:fmtId val="6"/>
  </c:pivotSource>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pt-BR" sz="1400" b="0" i="0" strike="noStrike" kern="1200" spc="0" baseline="0">
                <a:solidFill>
                  <a:sysClr val="windowText" lastClr="000000">
                    <a:lumOff val="35000"/>
                    <a:lumMod val="65000"/>
                  </a:sysClr>
                </a:solidFill>
              </a:rPr>
              <a:t>COBERTURA DE METAS EQUIPE</a:t>
            </a:r>
          </a:p>
        </c:rich>
      </c:tx>
      <c:overlay val="0"/>
      <c:spPr>
        <a:noFill/>
        <a:ln>
          <a:noFill/>
          <a:prstDash val="solid"/>
        </a:ln>
      </c:spPr>
    </c:title>
    <c:autoTitleDeleted val="0"/>
    <c:pivotFmts>
      <c:pivotFmt>
        <c:idx val="0"/>
        <c:spPr>
          <a:solidFill>
            <a:schemeClr val="accent1"/>
          </a:solidFill>
          <a:ln w="28575" cap="rnd">
            <a:solidFill>
              <a:schemeClr val="accent4"/>
            </a:solidFill>
            <a:prstDash val="sysDash"/>
            <a:round/>
          </a:ln>
        </c:spPr>
        <c:marker>
          <c:symbol val="none"/>
        </c:marker>
        <c:dLbl>
          <c:idx val="0"/>
          <c:delete val="1"/>
          <c:extLst>
            <c:ext xmlns:c15="http://schemas.microsoft.com/office/drawing/2012/chart" uri="{CE6537A1-D6FC-4f65-9D91-7224C49458BB}"/>
          </c:extLst>
        </c:dLbl>
      </c:pivotFmt>
      <c:pivotFmt>
        <c:idx val="1"/>
        <c:spPr>
          <a:solidFill>
            <a:srgbClr val="B8D2C9"/>
          </a:solidFill>
          <a:ln>
            <a:noFill/>
            <a:prstDash val="solid"/>
          </a:ln>
        </c:spPr>
        <c:marker>
          <c:symbol val="none"/>
        </c:marker>
        <c:dLbl>
          <c:idx val="0"/>
          <c:delete val="1"/>
          <c:extLst>
            <c:ext xmlns:c15="http://schemas.microsoft.com/office/drawing/2012/chart" uri="{CE6537A1-D6FC-4f65-9D91-7224C49458BB}"/>
          </c:extLst>
        </c:dLbl>
      </c:pivotFmt>
      <c:pivotFmt>
        <c:idx val="2"/>
        <c:spPr>
          <a:solidFill>
            <a:srgbClr val="B8D2C9"/>
          </a:solidFill>
          <a:ln>
            <a:noFill/>
            <a:prstDash val="solid"/>
          </a:ln>
        </c:spPr>
        <c:marker>
          <c:symbol val="none"/>
        </c:marker>
        <c:dLbl>
          <c:idx val="0"/>
          <c:delete val="1"/>
          <c:extLst>
            <c:ext xmlns:c15="http://schemas.microsoft.com/office/drawing/2012/chart" uri="{CE6537A1-D6FC-4f65-9D91-7224C49458BB}"/>
          </c:extLst>
        </c:dLbl>
      </c:pivotFmt>
      <c:pivotFmt>
        <c:idx val="3"/>
        <c:spPr>
          <a:solidFill>
            <a:schemeClr val="accent1"/>
          </a:solidFill>
          <a:ln w="28575" cap="rnd">
            <a:solidFill>
              <a:schemeClr val="accent4"/>
            </a:solidFill>
            <a:prstDash val="sysDash"/>
            <a:round/>
          </a:ln>
        </c:spPr>
        <c:marker>
          <c:symbol val="none"/>
        </c:marker>
        <c:dLbl>
          <c:idx val="0"/>
          <c:delete val="1"/>
          <c:extLst>
            <c:ext xmlns:c15="http://schemas.microsoft.com/office/drawing/2012/chart" uri="{CE6537A1-D6FC-4f65-9D91-7224C49458BB}"/>
          </c:extLst>
        </c:dLbl>
      </c:pivotFmt>
      <c:pivotFmt>
        <c:idx val="4"/>
        <c:spPr>
          <a:solidFill>
            <a:srgbClr val="B8D2C9"/>
          </a:solidFill>
          <a:ln>
            <a:noFill/>
            <a:prstDash val="solid"/>
          </a:ln>
        </c:spPr>
        <c:marker>
          <c:symbol val="none"/>
        </c:marker>
        <c:dLbl>
          <c:idx val="0"/>
          <c:delete val="1"/>
          <c:extLst>
            <c:ext xmlns:c15="http://schemas.microsoft.com/office/drawing/2012/chart" uri="{CE6537A1-D6FC-4f65-9D91-7224C49458BB}"/>
          </c:extLst>
        </c:dLbl>
      </c:pivotFmt>
      <c:pivotFmt>
        <c:idx val="5"/>
        <c:spPr>
          <a:ln w="28575" cap="rnd">
            <a:solidFill>
              <a:schemeClr val="accent4"/>
            </a:solidFill>
            <a:prstDash val="sysDash"/>
            <a:round/>
          </a:ln>
        </c:spPr>
        <c:marker>
          <c:symbol val="none"/>
        </c:marker>
        <c:dLbl>
          <c:idx val="0"/>
          <c:delete val="1"/>
          <c:extLst>
            <c:ext xmlns:c15="http://schemas.microsoft.com/office/drawing/2012/chart" uri="{CE6537A1-D6FC-4f65-9D91-7224C49458BB}"/>
          </c:extLst>
        </c:dLbl>
      </c:pivotFmt>
    </c:pivotFmts>
    <c:plotArea>
      <c:layout/>
      <c:barChart>
        <c:barDir val="col"/>
        <c:grouping val="clustered"/>
        <c:varyColors val="0"/>
        <c:ser>
          <c:idx val="0"/>
          <c:order val="0"/>
          <c:tx>
            <c:strRef>
              <c:f>'Resumo de Vendas'!$H$537</c:f>
              <c:strCache>
                <c:ptCount val="1"/>
                <c:pt idx="0">
                  <c:v>Cobertura</c:v>
                </c:pt>
              </c:strCache>
            </c:strRef>
          </c:tx>
          <c:spPr>
            <a:solidFill>
              <a:srgbClr val="B8D2C9"/>
            </a:solidFill>
            <a:ln>
              <a:noFill/>
              <a:prstDash val="solid"/>
            </a:ln>
          </c:spPr>
          <c:invertIfNegative val="0"/>
          <c:cat>
            <c:strRef>
              <c:f>'Resumo de Vendas'!$G$538:$G$543</c:f>
              <c:strCache>
                <c:ptCount val="5"/>
                <c:pt idx="0">
                  <c:v>jan</c:v>
                </c:pt>
                <c:pt idx="1">
                  <c:v>fev</c:v>
                </c:pt>
                <c:pt idx="2">
                  <c:v>mar</c:v>
                </c:pt>
                <c:pt idx="3">
                  <c:v>abr</c:v>
                </c:pt>
                <c:pt idx="4">
                  <c:v>mai</c:v>
                </c:pt>
              </c:strCache>
            </c:strRef>
          </c:cat>
          <c:val>
            <c:numRef>
              <c:f>'Resumo de Vendas'!$H$538:$H$543</c:f>
              <c:numCache>
                <c:formatCode>0.00%</c:formatCode>
                <c:ptCount val="5"/>
                <c:pt idx="0">
                  <c:v>0.6733253846153846</c:v>
                </c:pt>
                <c:pt idx="1">
                  <c:v>2.7055294339622642</c:v>
                </c:pt>
                <c:pt idx="2">
                  <c:v>0.85241407407407399</c:v>
                </c:pt>
                <c:pt idx="3">
                  <c:v>0.56714945454545451</c:v>
                </c:pt>
                <c:pt idx="4">
                  <c:v>0.27155794117647059</c:v>
                </c:pt>
              </c:numCache>
            </c:numRef>
          </c:val>
          <c:extLst>
            <c:ext xmlns:c16="http://schemas.microsoft.com/office/drawing/2014/chart" uri="{C3380CC4-5D6E-409C-BE32-E72D297353CC}">
              <c16:uniqueId val="{00000000-FE53-4DB6-83BA-581CFC427704}"/>
            </c:ext>
          </c:extLst>
        </c:ser>
        <c:dLbls>
          <c:showLegendKey val="0"/>
          <c:showVal val="0"/>
          <c:showCatName val="0"/>
          <c:showSerName val="0"/>
          <c:showPercent val="0"/>
          <c:showBubbleSize val="0"/>
        </c:dLbls>
        <c:gapWidth val="8"/>
        <c:axId val="1741318639"/>
        <c:axId val="1741319119"/>
      </c:barChart>
      <c:lineChart>
        <c:grouping val="standard"/>
        <c:varyColors val="0"/>
        <c:ser>
          <c:idx val="1"/>
          <c:order val="1"/>
          <c:tx>
            <c:strRef>
              <c:f>'Resumo de Vendas'!$I$537</c:f>
              <c:strCache>
                <c:ptCount val="1"/>
                <c:pt idx="0">
                  <c:v>Objetivo</c:v>
                </c:pt>
              </c:strCache>
            </c:strRef>
          </c:tx>
          <c:spPr>
            <a:ln w="28575" cap="rnd">
              <a:solidFill>
                <a:schemeClr val="accent4"/>
              </a:solidFill>
              <a:prstDash val="sysDash"/>
              <a:round/>
            </a:ln>
          </c:spPr>
          <c:marker>
            <c:symbol val="none"/>
          </c:marker>
          <c:cat>
            <c:strRef>
              <c:f>'Resumo de Vendas'!$G$538:$G$543</c:f>
              <c:strCache>
                <c:ptCount val="5"/>
                <c:pt idx="0">
                  <c:v>jan</c:v>
                </c:pt>
                <c:pt idx="1">
                  <c:v>fev</c:v>
                </c:pt>
                <c:pt idx="2">
                  <c:v>mar</c:v>
                </c:pt>
                <c:pt idx="3">
                  <c:v>abr</c:v>
                </c:pt>
                <c:pt idx="4">
                  <c:v>mai</c:v>
                </c:pt>
              </c:strCache>
            </c:strRef>
          </c:cat>
          <c:val>
            <c:numRef>
              <c:f>'Resumo de Vendas'!$I$538:$I$543</c:f>
              <c:numCache>
                <c:formatCode>0.00</c:formatCode>
                <c:ptCount val="5"/>
                <c:pt idx="0">
                  <c:v>78</c:v>
                </c:pt>
                <c:pt idx="1">
                  <c:v>79.5</c:v>
                </c:pt>
                <c:pt idx="2">
                  <c:v>81</c:v>
                </c:pt>
                <c:pt idx="3">
                  <c:v>82.5</c:v>
                </c:pt>
                <c:pt idx="4">
                  <c:v>136</c:v>
                </c:pt>
              </c:numCache>
            </c:numRef>
          </c:val>
          <c:smooth val="0"/>
          <c:extLst>
            <c:ext xmlns:c16="http://schemas.microsoft.com/office/drawing/2014/chart" uri="{C3380CC4-5D6E-409C-BE32-E72D297353CC}">
              <c16:uniqueId val="{00000001-FE53-4DB6-83BA-581CFC427704}"/>
            </c:ext>
          </c:extLst>
        </c:ser>
        <c:dLbls>
          <c:showLegendKey val="0"/>
          <c:showVal val="0"/>
          <c:showCatName val="0"/>
          <c:showSerName val="0"/>
          <c:showPercent val="0"/>
          <c:showBubbleSize val="0"/>
        </c:dLbls>
        <c:marker val="1"/>
        <c:smooth val="0"/>
        <c:axId val="583645983"/>
        <c:axId val="583646463"/>
      </c:lineChart>
      <c:catAx>
        <c:axId val="17413186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741319119"/>
        <c:crosses val="autoZero"/>
        <c:auto val="1"/>
        <c:lblAlgn val="ctr"/>
        <c:lblOffset val="100"/>
        <c:noMultiLvlLbl val="0"/>
      </c:catAx>
      <c:valAx>
        <c:axId val="1741319119"/>
        <c:scaling>
          <c:orientation val="minMax"/>
          <c:max val="1"/>
        </c:scaling>
        <c:delete val="0"/>
        <c:axPos val="l"/>
        <c:majorGridlines>
          <c:spPr>
            <a:ln w="9525" cap="flat" cmpd="sng" algn="ctr">
              <a:solidFill>
                <a:schemeClr val="tx1">
                  <a:lumMod val="15000"/>
                  <a:lumOff val="85000"/>
                </a:schemeClr>
              </a:solidFill>
              <a:prstDash val="solid"/>
              <a:round/>
            </a:ln>
          </c:spPr>
        </c:majorGridlines>
        <c:numFmt formatCode="0.00%"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741318639"/>
        <c:crosses val="autoZero"/>
        <c:crossBetween val="between"/>
      </c:valAx>
      <c:catAx>
        <c:axId val="583645983"/>
        <c:scaling>
          <c:orientation val="minMax"/>
        </c:scaling>
        <c:delete val="1"/>
        <c:axPos val="b"/>
        <c:numFmt formatCode="General" sourceLinked="1"/>
        <c:majorTickMark val="out"/>
        <c:minorTickMark val="none"/>
        <c:tickLblPos val="nextTo"/>
        <c:crossAx val="583646463"/>
        <c:crosses val="autoZero"/>
        <c:auto val="1"/>
        <c:lblAlgn val="ctr"/>
        <c:lblOffset val="100"/>
        <c:noMultiLvlLbl val="0"/>
      </c:catAx>
      <c:valAx>
        <c:axId val="583646463"/>
        <c:scaling>
          <c:orientation val="minMax"/>
          <c:max val="100"/>
          <c:min val="50"/>
        </c:scaling>
        <c:delete val="0"/>
        <c:axPos val="r"/>
        <c:numFmt formatCode="0.00" sourceLinked="1"/>
        <c:majorTickMark val="out"/>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583645983"/>
        <c:crosses val="max"/>
        <c:crossBetween val="between"/>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1"/>
  </c:chart>
  <c:spPr>
    <a:solidFill>
      <a:schemeClr val="bg1"/>
    </a:solidFill>
    <a:ln w="9525" cap="flat" cmpd="sng" algn="ctr">
      <a:noFill/>
      <a:prstDash val="solid"/>
      <a:round/>
    </a:ln>
  </c:spPr>
  <c:printSettings>
    <c:headerFooter/>
    <c:pageMargins b="0.78740157499999996" l="0.511811024" r="0.511811024" t="0.78740157499999996" header="0.31496062000000002" footer="0.31496062000000002"/>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1"/>
  <c:style val="2"/>
  <c:pivotSource>
    <c:name>[Vendas2026.xlsx]Resumo de Vendas!Tabela dinâmica4</c:name>
    <c:fmtId val="0"/>
  </c:pivotSource>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pt-BR"/>
              <a:t>COBERTURA DE METAS</a:t>
            </a:r>
          </a:p>
        </c:rich>
      </c:tx>
      <c:overlay val="0"/>
      <c:spPr>
        <a:noFill/>
        <a:ln>
          <a:noFill/>
          <a:prstDash val="solid"/>
        </a:ln>
      </c:spPr>
    </c:title>
    <c:autoTitleDeleted val="0"/>
    <c:pivotFmts>
      <c:pivotFmt>
        <c:idx val="0"/>
        <c:spPr>
          <a:solidFill>
            <a:srgbClr val="B8D2C9"/>
          </a:solidFill>
          <a:ln>
            <a:noFill/>
            <a:prstDash val="solid"/>
          </a:ln>
        </c:spPr>
        <c:marker>
          <c:symbol val="none"/>
        </c:marker>
        <c:dLbl>
          <c:idx val="0"/>
          <c:delete val="1"/>
          <c:extLst>
            <c:ext xmlns:c15="http://schemas.microsoft.com/office/drawing/2012/chart" uri="{CE6537A1-D6FC-4f65-9D91-7224C49458BB}"/>
          </c:extLst>
        </c:dLbl>
      </c:pivotFmt>
      <c:pivotFmt>
        <c:idx val="1"/>
        <c:spPr>
          <a:ln w="28575" cap="rnd">
            <a:solidFill>
              <a:schemeClr val="accent4"/>
            </a:solidFill>
            <a:prstDash val="dash"/>
            <a:round/>
          </a:ln>
        </c:spPr>
        <c:marker>
          <c:symbol val="none"/>
        </c:marker>
        <c:dLbl>
          <c:idx val="0"/>
          <c:delete val="1"/>
          <c:extLst>
            <c:ext xmlns:c15="http://schemas.microsoft.com/office/drawing/2012/chart" uri="{CE6537A1-D6FC-4f65-9D91-7224C49458BB}"/>
          </c:extLst>
        </c:dLbl>
      </c:pivotFmt>
    </c:pivotFmts>
    <c:plotArea>
      <c:layout/>
      <c:barChart>
        <c:barDir val="col"/>
        <c:grouping val="clustered"/>
        <c:varyColors val="0"/>
        <c:ser>
          <c:idx val="0"/>
          <c:order val="0"/>
          <c:tx>
            <c:strRef>
              <c:f>'Resumo de Vendas'!$H$516</c:f>
              <c:strCache>
                <c:ptCount val="1"/>
                <c:pt idx="0">
                  <c:v>Cobertura</c:v>
                </c:pt>
              </c:strCache>
            </c:strRef>
          </c:tx>
          <c:spPr>
            <a:solidFill>
              <a:srgbClr val="B8D2C9"/>
            </a:solidFill>
            <a:ln>
              <a:noFill/>
              <a:prstDash val="solid"/>
            </a:ln>
          </c:spPr>
          <c:invertIfNegative val="0"/>
          <c:cat>
            <c:strRef>
              <c:f>'Resumo de Vendas'!$G$517:$G$522</c:f>
              <c:strCache>
                <c:ptCount val="5"/>
                <c:pt idx="0">
                  <c:v>mai</c:v>
                </c:pt>
                <c:pt idx="1">
                  <c:v>abr</c:v>
                </c:pt>
                <c:pt idx="2">
                  <c:v>mar</c:v>
                </c:pt>
                <c:pt idx="3">
                  <c:v>fev</c:v>
                </c:pt>
                <c:pt idx="4">
                  <c:v>jan</c:v>
                </c:pt>
              </c:strCache>
            </c:strRef>
          </c:cat>
          <c:val>
            <c:numRef>
              <c:f>'Resumo de Vendas'!$H$517:$H$522</c:f>
              <c:numCache>
                <c:formatCode>0%</c:formatCode>
                <c:ptCount val="5"/>
                <c:pt idx="0">
                  <c:v>0.14790624999999999</c:v>
                </c:pt>
                <c:pt idx="1">
                  <c:v>0.358848</c:v>
                </c:pt>
                <c:pt idx="2">
                  <c:v>0.91789714285714286</c:v>
                </c:pt>
                <c:pt idx="3">
                  <c:v>0.37133538461538462</c:v>
                </c:pt>
                <c:pt idx="4">
                  <c:v>0.44970333333333329</c:v>
                </c:pt>
              </c:numCache>
            </c:numRef>
          </c:val>
          <c:extLst>
            <c:ext xmlns:c16="http://schemas.microsoft.com/office/drawing/2014/chart" uri="{C3380CC4-5D6E-409C-BE32-E72D297353CC}">
              <c16:uniqueId val="{00000000-3EA0-4617-AF4C-7372ACF3C19A}"/>
            </c:ext>
          </c:extLst>
        </c:ser>
        <c:dLbls>
          <c:showLegendKey val="0"/>
          <c:showVal val="0"/>
          <c:showCatName val="0"/>
          <c:showSerName val="0"/>
          <c:showPercent val="0"/>
          <c:showBubbleSize val="0"/>
        </c:dLbls>
        <c:gapWidth val="8"/>
        <c:overlap val="-27"/>
        <c:axId val="1614877295"/>
        <c:axId val="1614866735"/>
      </c:barChart>
      <c:lineChart>
        <c:grouping val="standard"/>
        <c:varyColors val="0"/>
        <c:ser>
          <c:idx val="1"/>
          <c:order val="1"/>
          <c:tx>
            <c:strRef>
              <c:f>'Resumo de Vendas'!$I$516</c:f>
              <c:strCache>
                <c:ptCount val="1"/>
                <c:pt idx="0">
                  <c:v>Objetivo</c:v>
                </c:pt>
              </c:strCache>
            </c:strRef>
          </c:tx>
          <c:spPr>
            <a:ln w="28575" cap="rnd">
              <a:solidFill>
                <a:schemeClr val="accent4"/>
              </a:solidFill>
              <a:prstDash val="dash"/>
              <a:round/>
            </a:ln>
          </c:spPr>
          <c:marker>
            <c:symbol val="none"/>
          </c:marker>
          <c:cat>
            <c:strRef>
              <c:f>'Resumo de Vendas'!$G$517:$G$522</c:f>
              <c:strCache>
                <c:ptCount val="5"/>
                <c:pt idx="0">
                  <c:v>mai</c:v>
                </c:pt>
                <c:pt idx="1">
                  <c:v>abr</c:v>
                </c:pt>
                <c:pt idx="2">
                  <c:v>mar</c:v>
                </c:pt>
                <c:pt idx="3">
                  <c:v>fev</c:v>
                </c:pt>
                <c:pt idx="4">
                  <c:v>jan</c:v>
                </c:pt>
              </c:strCache>
            </c:strRef>
          </c:cat>
          <c:val>
            <c:numRef>
              <c:f>'Resumo de Vendas'!$I$517:$I$522</c:f>
              <c:numCache>
                <c:formatCode>0</c:formatCode>
                <c:ptCount val="5"/>
                <c:pt idx="0">
                  <c:v>8</c:v>
                </c:pt>
                <c:pt idx="1">
                  <c:v>7.5</c:v>
                </c:pt>
                <c:pt idx="2">
                  <c:v>7</c:v>
                </c:pt>
                <c:pt idx="3">
                  <c:v>6.5</c:v>
                </c:pt>
                <c:pt idx="4">
                  <c:v>6</c:v>
                </c:pt>
              </c:numCache>
            </c:numRef>
          </c:val>
          <c:smooth val="0"/>
          <c:extLst>
            <c:ext xmlns:c16="http://schemas.microsoft.com/office/drawing/2014/chart" uri="{C3380CC4-5D6E-409C-BE32-E72D297353CC}">
              <c16:uniqueId val="{00000001-3EA0-4617-AF4C-7372ACF3C19A}"/>
            </c:ext>
          </c:extLst>
        </c:ser>
        <c:dLbls>
          <c:showLegendKey val="0"/>
          <c:showVal val="0"/>
          <c:showCatName val="0"/>
          <c:showSerName val="0"/>
          <c:showPercent val="0"/>
          <c:showBubbleSize val="0"/>
        </c:dLbls>
        <c:marker val="1"/>
        <c:smooth val="0"/>
        <c:axId val="1614875375"/>
        <c:axId val="1614879695"/>
      </c:lineChart>
      <c:catAx>
        <c:axId val="16148772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614866735"/>
        <c:crosses val="autoZero"/>
        <c:auto val="1"/>
        <c:lblAlgn val="ctr"/>
        <c:lblOffset val="100"/>
        <c:noMultiLvlLbl val="0"/>
      </c:catAx>
      <c:valAx>
        <c:axId val="1614866735"/>
        <c:scaling>
          <c:orientation val="minMax"/>
          <c:max val="1"/>
        </c:scaling>
        <c:delete val="0"/>
        <c:axPos val="l"/>
        <c:majorGridlines>
          <c:spPr>
            <a:ln w="9525" cap="flat" cmpd="sng" algn="ctr">
              <a:solidFill>
                <a:schemeClr val="tx1">
                  <a:lumMod val="15000"/>
                  <a:lumOff val="85000"/>
                </a:schemeClr>
              </a:solidFill>
              <a:prstDash val="solid"/>
              <a:round/>
            </a:ln>
          </c:spPr>
        </c:majorGridlines>
        <c:numFmt formatCode="0%"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614877295"/>
        <c:crosses val="autoZero"/>
        <c:crossBetween val="between"/>
      </c:valAx>
      <c:catAx>
        <c:axId val="1614875375"/>
        <c:scaling>
          <c:orientation val="minMax"/>
        </c:scaling>
        <c:delete val="1"/>
        <c:axPos val="b"/>
        <c:numFmt formatCode="General" sourceLinked="1"/>
        <c:majorTickMark val="out"/>
        <c:minorTickMark val="none"/>
        <c:tickLblPos val="nextTo"/>
        <c:crossAx val="1614879695"/>
        <c:crosses val="autoZero"/>
        <c:auto val="1"/>
        <c:lblAlgn val="ctr"/>
        <c:lblOffset val="100"/>
        <c:noMultiLvlLbl val="0"/>
      </c:catAx>
      <c:valAx>
        <c:axId val="1614879695"/>
        <c:scaling>
          <c:orientation val="minMax"/>
        </c:scaling>
        <c:delete val="0"/>
        <c:axPos val="r"/>
        <c:numFmt formatCode="_(* #,##0.00_);_(* \(#,##0.00\);_(* &quot;-&quot;??_);_(@_)" sourceLinked="0"/>
        <c:majorTickMark val="out"/>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614875375"/>
        <c:crosses val="max"/>
        <c:crossBetween val="between"/>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1"/>
  </c:chart>
  <c:spPr>
    <a:noFill/>
    <a:ln w="9525" cap="flat" cmpd="sng" algn="ctr">
      <a:noFill/>
      <a:prstDash val="solid"/>
      <a:round/>
    </a:ln>
  </c:spPr>
  <c:printSettings>
    <c:headerFooter/>
    <c:pageMargins b="0.78740157499999996" l="0.511811024" r="0.511811024" t="0.78740157499999996" header="0.31496062000000002" footer="0.31496062000000002"/>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1"/>
  <c:style val="2"/>
  <c:pivotSource>
    <c:name>[Vendas2026.xlsx]Resumo de Vendas!Tabela dinâmica5</c:name>
    <c:fmtId val="0"/>
  </c:pivotSource>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pt-BR" sz="1400" b="0" i="0" strike="noStrike" kern="1200" spc="0" baseline="0">
                <a:solidFill>
                  <a:sysClr val="windowText" lastClr="000000">
                    <a:lumOff val="35000"/>
                    <a:lumMod val="65000"/>
                  </a:sysClr>
                </a:solidFill>
              </a:rPr>
              <a:t>COBERTURA DE METAS EQUIPE</a:t>
            </a:r>
          </a:p>
        </c:rich>
      </c:tx>
      <c:overlay val="0"/>
      <c:spPr>
        <a:noFill/>
        <a:ln>
          <a:noFill/>
          <a:prstDash val="solid"/>
        </a:ln>
      </c:spPr>
    </c:title>
    <c:autoTitleDeleted val="0"/>
    <c:pivotFmts>
      <c:pivotFmt>
        <c:idx val="0"/>
        <c:spPr>
          <a:ln w="28575" cap="rnd">
            <a:solidFill>
              <a:schemeClr val="accent4"/>
            </a:solidFill>
            <a:prstDash val="sysDash"/>
            <a:round/>
          </a:ln>
        </c:spPr>
        <c:marker>
          <c:symbol val="none"/>
        </c:marker>
        <c:dLbl>
          <c:idx val="0"/>
          <c:delete val="1"/>
          <c:extLst>
            <c:ext xmlns:c15="http://schemas.microsoft.com/office/drawing/2012/chart" uri="{CE6537A1-D6FC-4f65-9D91-7224C49458BB}"/>
          </c:extLst>
        </c:dLbl>
      </c:pivotFmt>
      <c:pivotFmt>
        <c:idx val="1"/>
        <c:spPr>
          <a:solidFill>
            <a:srgbClr val="B8D2C9"/>
          </a:solidFill>
          <a:ln>
            <a:noFill/>
            <a:prstDash val="solid"/>
          </a:ln>
        </c:spPr>
        <c:marker>
          <c:symbol val="none"/>
        </c:marker>
        <c:dLbl>
          <c:idx val="0"/>
          <c:delete val="1"/>
          <c:extLst>
            <c:ext xmlns:c15="http://schemas.microsoft.com/office/drawing/2012/chart" uri="{CE6537A1-D6FC-4f65-9D91-7224C49458BB}"/>
          </c:extLst>
        </c:dLbl>
      </c:pivotFmt>
    </c:pivotFmts>
    <c:plotArea>
      <c:layout/>
      <c:barChart>
        <c:barDir val="col"/>
        <c:grouping val="clustered"/>
        <c:varyColors val="0"/>
        <c:ser>
          <c:idx val="0"/>
          <c:order val="0"/>
          <c:tx>
            <c:strRef>
              <c:f>'Resumo de Vendas'!$H$537</c:f>
              <c:strCache>
                <c:ptCount val="1"/>
                <c:pt idx="0">
                  <c:v>Cobertura</c:v>
                </c:pt>
              </c:strCache>
            </c:strRef>
          </c:tx>
          <c:spPr>
            <a:solidFill>
              <a:srgbClr val="B8D2C9"/>
            </a:solidFill>
            <a:ln>
              <a:noFill/>
              <a:prstDash val="solid"/>
            </a:ln>
          </c:spPr>
          <c:invertIfNegative val="0"/>
          <c:cat>
            <c:strRef>
              <c:f>'Resumo de Vendas'!$G$538:$G$543</c:f>
              <c:strCache>
                <c:ptCount val="5"/>
                <c:pt idx="0">
                  <c:v>jan</c:v>
                </c:pt>
                <c:pt idx="1">
                  <c:v>fev</c:v>
                </c:pt>
                <c:pt idx="2">
                  <c:v>mar</c:v>
                </c:pt>
                <c:pt idx="3">
                  <c:v>abr</c:v>
                </c:pt>
                <c:pt idx="4">
                  <c:v>mai</c:v>
                </c:pt>
              </c:strCache>
            </c:strRef>
          </c:cat>
          <c:val>
            <c:numRef>
              <c:f>'Resumo de Vendas'!$H$538:$H$543</c:f>
              <c:numCache>
                <c:formatCode>0.00%</c:formatCode>
                <c:ptCount val="5"/>
                <c:pt idx="0">
                  <c:v>0.6733253846153846</c:v>
                </c:pt>
                <c:pt idx="1">
                  <c:v>2.7055294339622642</c:v>
                </c:pt>
                <c:pt idx="2">
                  <c:v>0.85241407407407399</c:v>
                </c:pt>
                <c:pt idx="3">
                  <c:v>0.56714945454545451</c:v>
                </c:pt>
                <c:pt idx="4">
                  <c:v>0.27155794117647059</c:v>
                </c:pt>
              </c:numCache>
            </c:numRef>
          </c:val>
          <c:extLst>
            <c:ext xmlns:c16="http://schemas.microsoft.com/office/drawing/2014/chart" uri="{C3380CC4-5D6E-409C-BE32-E72D297353CC}">
              <c16:uniqueId val="{00000000-C51B-4F9B-8AB8-2C0F302DBD14}"/>
            </c:ext>
          </c:extLst>
        </c:ser>
        <c:dLbls>
          <c:showLegendKey val="0"/>
          <c:showVal val="0"/>
          <c:showCatName val="0"/>
          <c:showSerName val="0"/>
          <c:showPercent val="0"/>
          <c:showBubbleSize val="0"/>
        </c:dLbls>
        <c:gapWidth val="8"/>
        <c:axId val="1741318639"/>
        <c:axId val="1741319119"/>
      </c:barChart>
      <c:lineChart>
        <c:grouping val="standard"/>
        <c:varyColors val="0"/>
        <c:ser>
          <c:idx val="1"/>
          <c:order val="1"/>
          <c:tx>
            <c:strRef>
              <c:f>'Resumo de Vendas'!$I$537</c:f>
              <c:strCache>
                <c:ptCount val="1"/>
                <c:pt idx="0">
                  <c:v>Objetivo</c:v>
                </c:pt>
              </c:strCache>
            </c:strRef>
          </c:tx>
          <c:spPr>
            <a:ln w="28575" cap="rnd">
              <a:solidFill>
                <a:schemeClr val="accent4"/>
              </a:solidFill>
              <a:prstDash val="sysDash"/>
              <a:round/>
            </a:ln>
          </c:spPr>
          <c:marker>
            <c:symbol val="none"/>
          </c:marker>
          <c:cat>
            <c:strRef>
              <c:f>'Resumo de Vendas'!$G$538:$G$543</c:f>
              <c:strCache>
                <c:ptCount val="5"/>
                <c:pt idx="0">
                  <c:v>jan</c:v>
                </c:pt>
                <c:pt idx="1">
                  <c:v>fev</c:v>
                </c:pt>
                <c:pt idx="2">
                  <c:v>mar</c:v>
                </c:pt>
                <c:pt idx="3">
                  <c:v>abr</c:v>
                </c:pt>
                <c:pt idx="4">
                  <c:v>mai</c:v>
                </c:pt>
              </c:strCache>
            </c:strRef>
          </c:cat>
          <c:val>
            <c:numRef>
              <c:f>'Resumo de Vendas'!$I$538:$I$543</c:f>
              <c:numCache>
                <c:formatCode>0.00</c:formatCode>
                <c:ptCount val="5"/>
                <c:pt idx="0">
                  <c:v>78</c:v>
                </c:pt>
                <c:pt idx="1">
                  <c:v>79.5</c:v>
                </c:pt>
                <c:pt idx="2">
                  <c:v>81</c:v>
                </c:pt>
                <c:pt idx="3">
                  <c:v>82.5</c:v>
                </c:pt>
                <c:pt idx="4">
                  <c:v>136</c:v>
                </c:pt>
              </c:numCache>
            </c:numRef>
          </c:val>
          <c:smooth val="0"/>
          <c:extLst>
            <c:ext xmlns:c16="http://schemas.microsoft.com/office/drawing/2014/chart" uri="{C3380CC4-5D6E-409C-BE32-E72D297353CC}">
              <c16:uniqueId val="{00000001-C51B-4F9B-8AB8-2C0F302DBD14}"/>
            </c:ext>
          </c:extLst>
        </c:ser>
        <c:dLbls>
          <c:showLegendKey val="0"/>
          <c:showVal val="0"/>
          <c:showCatName val="0"/>
          <c:showSerName val="0"/>
          <c:showPercent val="0"/>
          <c:showBubbleSize val="0"/>
        </c:dLbls>
        <c:marker val="1"/>
        <c:smooth val="0"/>
        <c:axId val="583645983"/>
        <c:axId val="583646463"/>
      </c:lineChart>
      <c:catAx>
        <c:axId val="17413186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741319119"/>
        <c:crosses val="autoZero"/>
        <c:auto val="1"/>
        <c:lblAlgn val="ctr"/>
        <c:lblOffset val="100"/>
        <c:noMultiLvlLbl val="0"/>
      </c:catAx>
      <c:valAx>
        <c:axId val="1741319119"/>
        <c:scaling>
          <c:orientation val="minMax"/>
          <c:max val="1"/>
        </c:scaling>
        <c:delete val="0"/>
        <c:axPos val="l"/>
        <c:majorGridlines>
          <c:spPr>
            <a:ln w="9525" cap="flat" cmpd="sng" algn="ctr">
              <a:solidFill>
                <a:schemeClr val="tx1">
                  <a:lumMod val="15000"/>
                  <a:lumOff val="85000"/>
                </a:schemeClr>
              </a:solidFill>
              <a:prstDash val="solid"/>
              <a:round/>
            </a:ln>
          </c:spPr>
        </c:majorGridlines>
        <c:numFmt formatCode="0.00%"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741318639"/>
        <c:crosses val="autoZero"/>
        <c:crossBetween val="between"/>
      </c:valAx>
      <c:catAx>
        <c:axId val="583645983"/>
        <c:scaling>
          <c:orientation val="minMax"/>
        </c:scaling>
        <c:delete val="1"/>
        <c:axPos val="b"/>
        <c:numFmt formatCode="General" sourceLinked="1"/>
        <c:majorTickMark val="out"/>
        <c:minorTickMark val="none"/>
        <c:tickLblPos val="nextTo"/>
        <c:crossAx val="583646463"/>
        <c:crosses val="autoZero"/>
        <c:auto val="1"/>
        <c:lblAlgn val="ctr"/>
        <c:lblOffset val="100"/>
        <c:noMultiLvlLbl val="0"/>
      </c:catAx>
      <c:valAx>
        <c:axId val="583646463"/>
        <c:scaling>
          <c:orientation val="minMax"/>
          <c:max val="100"/>
          <c:min val="50"/>
        </c:scaling>
        <c:delete val="0"/>
        <c:axPos val="r"/>
        <c:numFmt formatCode="0.00" sourceLinked="1"/>
        <c:majorTickMark val="out"/>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583645983"/>
        <c:crosses val="max"/>
        <c:crossBetween val="between"/>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1"/>
  </c:chart>
  <c:spPr>
    <a:solidFill>
      <a:schemeClr val="bg1"/>
    </a:solidFill>
    <a:ln w="9525" cap="flat" cmpd="sng" algn="ctr">
      <a:noFill/>
      <a:prstDash val="solid"/>
      <a:round/>
    </a:ln>
  </c:spPr>
  <c:printSettings>
    <c:headerFooter/>
    <c:pageMargins b="0.78740157499999996" l="0.511811024" r="0.511811024" t="0.78740157499999996" header="0.31496062000000002" footer="0.31496062000000002"/>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a:t>2020</a:t>
            </a:r>
          </a:p>
          <a:p>
            <a:pPr>
              <a:defRPr sz="1400" b="0" i="0" strike="noStrike" kern="1200" spc="0" baseline="0">
                <a:solidFill>
                  <a:schemeClr val="tx1">
                    <a:lumMod val="65000"/>
                    <a:lumOff val="35000"/>
                  </a:schemeClr>
                </a:solidFill>
                <a:latin typeface="+mn-lt"/>
                <a:ea typeface="+mn-ea"/>
                <a:cs typeface="+mn-cs"/>
              </a:defRPr>
            </a:pPr>
            <a:r>
              <a:rPr lang="en-US">
                <a:solidFill>
                  <a:srgbClr val="90F9FE"/>
                </a:solidFill>
              </a:rPr>
              <a:t>(Vendedor)</a:t>
            </a:r>
          </a:p>
        </c:rich>
      </c:tx>
      <c:overlay val="0"/>
      <c:spPr>
        <a:noFill/>
        <a:ln>
          <a:noFill/>
          <a:prstDash val="solid"/>
        </a:ln>
      </c:spPr>
    </c:title>
    <c:autoTitleDeleted val="0"/>
    <c:pivotFmts>
      <c:pivotFmt>
        <c:idx val="0"/>
        <c:spPr>
          <a:solidFill>
            <a:schemeClr val="accent1"/>
          </a:solidFill>
          <a:ln>
            <a:noFill/>
            <a:prstDash val="solid"/>
          </a:ln>
        </c:spPr>
        <c:marker>
          <c:symbol val="none"/>
        </c:marker>
        <c:dLbl>
          <c:idx val="0"/>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pt-BR"/>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rgbClr val="90F9FE"/>
          </a:solidFill>
          <a:ln>
            <a:noFill/>
            <a:prstDash val="solid"/>
          </a:ln>
        </c:spPr>
        <c:marker>
          <c:symbol val="none"/>
        </c:marker>
        <c:dLbl>
          <c:idx val="0"/>
          <c:delete val="1"/>
          <c:extLst>
            <c:ext xmlns:c15="http://schemas.microsoft.com/office/drawing/2012/chart" uri="{CE6537A1-D6FC-4f65-9D91-7224C49458BB}"/>
          </c:extLst>
        </c:dLbl>
      </c:pivotFmt>
    </c:pivotFmts>
    <c:plotArea>
      <c:layout/>
      <c:barChart>
        <c:barDir val="col"/>
        <c:grouping val="clustered"/>
        <c:varyColors val="0"/>
        <c:ser>
          <c:idx val="0"/>
          <c:order val="0"/>
          <c:tx>
            <c:v>Total</c:v>
          </c:tx>
          <c:spPr>
            <a:solidFill>
              <a:srgbClr val="90F9FE"/>
            </a:solidFill>
            <a:ln>
              <a:noFill/>
              <a:prstDash val="solid"/>
            </a:ln>
          </c:spPr>
          <c:invertIfNegative val="0"/>
          <c:cat>
            <c:strLit>
              <c:ptCount val="12"/>
              <c:pt idx="0">
                <c:v>jan</c:v>
              </c:pt>
              <c:pt idx="1">
                <c:v>fev</c:v>
              </c:pt>
              <c:pt idx="2">
                <c:v>mar</c:v>
              </c:pt>
              <c:pt idx="3">
                <c:v>abr</c:v>
              </c:pt>
              <c:pt idx="4">
                <c:v>mai</c:v>
              </c:pt>
              <c:pt idx="5">
                <c:v>jun</c:v>
              </c:pt>
              <c:pt idx="6">
                <c:v>jul</c:v>
              </c:pt>
              <c:pt idx="7">
                <c:v>ago</c:v>
              </c:pt>
              <c:pt idx="8">
                <c:v>set</c:v>
              </c:pt>
              <c:pt idx="9">
                <c:v>out</c:v>
              </c:pt>
              <c:pt idx="10">
                <c:v>nov</c:v>
              </c:pt>
              <c:pt idx="11">
                <c:v>dez</c:v>
              </c:pt>
            </c:strLit>
          </c:cat>
          <c:val>
            <c:numLit>
              <c:formatCode>General</c:formatCode>
              <c:ptCount val="12"/>
              <c:pt idx="0">
                <c:v>3217.42</c:v>
              </c:pt>
              <c:pt idx="1">
                <c:v>7003.56</c:v>
              </c:pt>
              <c:pt idx="2">
                <c:v>3870</c:v>
              </c:pt>
              <c:pt idx="3">
                <c:v>1543.84</c:v>
              </c:pt>
              <c:pt idx="4">
                <c:v>2556.61</c:v>
              </c:pt>
              <c:pt idx="5">
                <c:v>2351.86</c:v>
              </c:pt>
              <c:pt idx="6">
                <c:v>3620.72</c:v>
              </c:pt>
              <c:pt idx="7">
                <c:v>6740.76</c:v>
              </c:pt>
              <c:pt idx="8">
                <c:v>3943.33</c:v>
              </c:pt>
              <c:pt idx="9">
                <c:v>3688.83</c:v>
              </c:pt>
              <c:pt idx="10">
                <c:v>6021.58</c:v>
              </c:pt>
              <c:pt idx="11">
                <c:v>8115.23</c:v>
              </c:pt>
            </c:numLit>
          </c:val>
          <c:extLst>
            <c:ext xmlns:c16="http://schemas.microsoft.com/office/drawing/2014/chart" uri="{C3380CC4-5D6E-409C-BE32-E72D297353CC}">
              <c16:uniqueId val="{00000000-F52A-4A9B-91E1-73877B86DFAC}"/>
            </c:ext>
          </c:extLst>
        </c:ser>
        <c:dLbls>
          <c:showLegendKey val="0"/>
          <c:showVal val="0"/>
          <c:showCatName val="0"/>
          <c:showSerName val="0"/>
          <c:showPercent val="0"/>
          <c:showBubbleSize val="0"/>
        </c:dLbls>
        <c:gapWidth val="8"/>
        <c:overlap val="-27"/>
        <c:axId val="1969592943"/>
        <c:axId val="1969593903"/>
      </c:barChart>
      <c:catAx>
        <c:axId val="19695929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969593903"/>
        <c:crosses val="autoZero"/>
        <c:auto val="1"/>
        <c:lblAlgn val="ctr"/>
        <c:lblOffset val="100"/>
        <c:noMultiLvlLbl val="0"/>
      </c:catAx>
      <c:valAx>
        <c:axId val="1969593903"/>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969592943"/>
        <c:crosses val="autoZero"/>
        <c:crossBetween val="between"/>
      </c:valAx>
    </c:plotArea>
    <c:legend>
      <c:legendPos val="r"/>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8740157499999996" l="0.511811024" r="0.511811024" t="0.78740157499999996" header="0.31496062000000002" footer="0.31496062000000002"/>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a:t>COMISSÃO 2021(Vendedor)</a:t>
            </a:r>
            <a:br>
              <a:rPr lang="en-US"/>
            </a:br>
            <a:endParaRPr lang="en-US"/>
          </a:p>
        </c:rich>
      </c:tx>
      <c:overlay val="0"/>
      <c:spPr>
        <a:noFill/>
        <a:ln>
          <a:noFill/>
          <a:prstDash val="solid"/>
        </a:ln>
      </c:spPr>
    </c:title>
    <c:autoTitleDeleted val="0"/>
    <c:pivotFmts>
      <c:pivotFmt>
        <c:idx val="0"/>
        <c:spPr>
          <a:solidFill>
            <a:srgbClr val="90F9FE"/>
          </a:solidFill>
          <a:ln>
            <a:noFill/>
            <a:prstDash val="solid"/>
          </a:ln>
        </c:spPr>
        <c:marker>
          <c:symbol val="none"/>
        </c:marker>
        <c:dLbl>
          <c:idx val="0"/>
          <c:delete val="1"/>
          <c:extLst>
            <c:ext xmlns:c15="http://schemas.microsoft.com/office/drawing/2012/chart" uri="{CE6537A1-D6FC-4f65-9D91-7224C49458BB}"/>
          </c:extLst>
        </c:dLbl>
      </c:pivotFmt>
      <c:pivotFmt>
        <c:idx val="1"/>
        <c:spPr>
          <a:solidFill>
            <a:srgbClr val="90F9FE"/>
          </a:solidFill>
          <a:ln>
            <a:noFill/>
            <a:prstDash val="solid"/>
          </a:ln>
        </c:spPr>
      </c:pivotFmt>
      <c:pivotFmt>
        <c:idx val="2"/>
        <c:spPr>
          <a:solidFill>
            <a:srgbClr val="90F9FE"/>
          </a:solidFill>
          <a:ln>
            <a:noFill/>
            <a:prstDash val="solid"/>
          </a:ln>
        </c:spPr>
      </c:pivotFmt>
      <c:pivotFmt>
        <c:idx val="3"/>
        <c:spPr>
          <a:solidFill>
            <a:srgbClr val="90F9FE"/>
          </a:solidFill>
          <a:ln>
            <a:noFill/>
            <a:prstDash val="solid"/>
          </a:ln>
        </c:spPr>
      </c:pivotFmt>
      <c:pivotFmt>
        <c:idx val="4"/>
        <c:spPr>
          <a:solidFill>
            <a:srgbClr val="90F9FE"/>
          </a:solidFill>
          <a:ln>
            <a:noFill/>
            <a:prstDash val="solid"/>
          </a:ln>
        </c:spPr>
      </c:pivotFmt>
      <c:pivotFmt>
        <c:idx val="5"/>
        <c:spPr>
          <a:solidFill>
            <a:srgbClr val="90F9FE"/>
          </a:solidFill>
          <a:ln>
            <a:noFill/>
            <a:prstDash val="solid"/>
          </a:ln>
        </c:spPr>
      </c:pivotFmt>
    </c:pivotFmts>
    <c:plotArea>
      <c:layout/>
      <c:barChart>
        <c:barDir val="col"/>
        <c:grouping val="clustered"/>
        <c:varyColors val="0"/>
        <c:ser>
          <c:idx val="0"/>
          <c:order val="0"/>
          <c:tx>
            <c:v>Total</c:v>
          </c:tx>
          <c:spPr>
            <a:solidFill>
              <a:srgbClr val="90F9FE"/>
            </a:solidFill>
            <a:ln>
              <a:noFill/>
              <a:prstDash val="solid"/>
            </a:ln>
          </c:spPr>
          <c:invertIfNegative val="0"/>
          <c:cat>
            <c:strLit>
              <c:ptCount val="12"/>
              <c:pt idx="0">
                <c:v>jan</c:v>
              </c:pt>
              <c:pt idx="1">
                <c:v>fev</c:v>
              </c:pt>
              <c:pt idx="2">
                <c:v>mar</c:v>
              </c:pt>
              <c:pt idx="3">
                <c:v>abr</c:v>
              </c:pt>
              <c:pt idx="4">
                <c:v>mai</c:v>
              </c:pt>
              <c:pt idx="5">
                <c:v>jun</c:v>
              </c:pt>
              <c:pt idx="6">
                <c:v>jul</c:v>
              </c:pt>
              <c:pt idx="7">
                <c:v>ago</c:v>
              </c:pt>
              <c:pt idx="8">
                <c:v>set</c:v>
              </c:pt>
              <c:pt idx="9">
                <c:v>out</c:v>
              </c:pt>
              <c:pt idx="10">
                <c:v>nov</c:v>
              </c:pt>
              <c:pt idx="11">
                <c:v>dez</c:v>
              </c:pt>
            </c:strLit>
          </c:cat>
          <c:val>
            <c:numLit>
              <c:formatCode>General</c:formatCode>
              <c:ptCount val="12"/>
              <c:pt idx="0">
                <c:v>9551.7900000000009</c:v>
              </c:pt>
              <c:pt idx="1">
                <c:v>11005.93</c:v>
              </c:pt>
              <c:pt idx="2">
                <c:v>8850.1</c:v>
              </c:pt>
              <c:pt idx="3">
                <c:v>6846.17</c:v>
              </c:pt>
              <c:pt idx="4">
                <c:v>10860.43</c:v>
              </c:pt>
              <c:pt idx="5">
                <c:v>7115.54</c:v>
              </c:pt>
              <c:pt idx="6">
                <c:v>6085.95</c:v>
              </c:pt>
              <c:pt idx="7">
                <c:v>6042.51</c:v>
              </c:pt>
              <c:pt idx="8">
                <c:v>12879.46</c:v>
              </c:pt>
              <c:pt idx="9">
                <c:v>4137.12</c:v>
              </c:pt>
              <c:pt idx="10">
                <c:v>9441.0400000000009</c:v>
              </c:pt>
              <c:pt idx="11">
                <c:v>11233.63</c:v>
              </c:pt>
            </c:numLit>
          </c:val>
          <c:extLst>
            <c:ext xmlns:c16="http://schemas.microsoft.com/office/drawing/2014/chart" uri="{C3380CC4-5D6E-409C-BE32-E72D297353CC}">
              <c16:uniqueId val="{00000000-7394-424A-AEB9-20F37FAD7649}"/>
            </c:ext>
          </c:extLst>
        </c:ser>
        <c:dLbls>
          <c:showLegendKey val="0"/>
          <c:showVal val="0"/>
          <c:showCatName val="0"/>
          <c:showSerName val="0"/>
          <c:showPercent val="0"/>
          <c:showBubbleSize val="0"/>
        </c:dLbls>
        <c:gapWidth val="8"/>
        <c:overlap val="-27"/>
        <c:axId val="1969658703"/>
        <c:axId val="1969672143"/>
      </c:barChart>
      <c:catAx>
        <c:axId val="19696587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969672143"/>
        <c:crosses val="autoZero"/>
        <c:auto val="1"/>
        <c:lblAlgn val="ctr"/>
        <c:lblOffset val="100"/>
        <c:noMultiLvlLbl val="0"/>
      </c:catAx>
      <c:valAx>
        <c:axId val="1969672143"/>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969658703"/>
        <c:crosses val="autoZero"/>
        <c:crossBetween val="between"/>
      </c:valAx>
    </c:plotArea>
    <c:legend>
      <c:legendPos val="r"/>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8740157499999996" l="0.511811024" r="0.511811024" t="0.78740157499999996" header="0.31496062000000002" footer="0.31496062000000002"/>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a:t>COMISSÃO 2022</a:t>
            </a:r>
            <a:r>
              <a:rPr lang="en-US">
                <a:solidFill>
                  <a:schemeClr val="accent1"/>
                </a:solidFill>
              </a:rPr>
              <a:t>(Supervisor)</a:t>
            </a:r>
            <a:br>
              <a:rPr lang="en-US"/>
            </a:br>
            <a:endParaRPr lang="en-US"/>
          </a:p>
        </c:rich>
      </c:tx>
      <c:layout>
        <c:manualLayout>
          <c:xMode val="edge"/>
          <c:yMode val="edge"/>
          <c:x val="0.3909687196422032"/>
          <c:y val="5.8143773694954798E-2"/>
        </c:manualLayout>
      </c:layout>
      <c:overlay val="0"/>
      <c:spPr>
        <a:noFill/>
        <a:ln>
          <a:noFill/>
          <a:prstDash val="solid"/>
        </a:ln>
      </c:spPr>
    </c:title>
    <c:autoTitleDeleted val="0"/>
    <c:pivotFmts>
      <c:pivotFmt>
        <c:idx val="0"/>
        <c:spPr>
          <a:solidFill>
            <a:schemeClr val="accent1"/>
          </a:solidFill>
          <a:ln>
            <a:noFill/>
            <a:prstDash val="solid"/>
          </a:ln>
        </c:spPr>
        <c:marker>
          <c:symbol val="none"/>
        </c:marker>
        <c:dLbl>
          <c:idx val="0"/>
          <c:delete val="1"/>
          <c:extLst>
            <c:ext xmlns:c15="http://schemas.microsoft.com/office/drawing/2012/chart" uri="{CE6537A1-D6FC-4f65-9D91-7224C49458BB}"/>
          </c:extLst>
        </c:dLbl>
      </c:pivotFmt>
    </c:pivotFmts>
    <c:plotArea>
      <c:layout/>
      <c:barChart>
        <c:barDir val="col"/>
        <c:grouping val="clustered"/>
        <c:varyColors val="0"/>
        <c:ser>
          <c:idx val="0"/>
          <c:order val="0"/>
          <c:tx>
            <c:v>Total</c:v>
          </c:tx>
          <c:spPr>
            <a:solidFill>
              <a:schemeClr val="accent1"/>
            </a:solidFill>
            <a:ln>
              <a:noFill/>
              <a:prstDash val="solid"/>
            </a:ln>
          </c:spPr>
          <c:invertIfNegative val="0"/>
          <c:cat>
            <c:strLit>
              <c:ptCount val="12"/>
              <c:pt idx="0">
                <c:v>jan</c:v>
              </c:pt>
              <c:pt idx="1">
                <c:v>fev</c:v>
              </c:pt>
              <c:pt idx="2">
                <c:v>mar</c:v>
              </c:pt>
              <c:pt idx="3">
                <c:v>abr</c:v>
              </c:pt>
              <c:pt idx="4">
                <c:v>mai</c:v>
              </c:pt>
              <c:pt idx="5">
                <c:v>jun</c:v>
              </c:pt>
              <c:pt idx="6">
                <c:v>jul</c:v>
              </c:pt>
              <c:pt idx="7">
                <c:v>ago</c:v>
              </c:pt>
              <c:pt idx="8">
                <c:v>set</c:v>
              </c:pt>
              <c:pt idx="9">
                <c:v>out</c:v>
              </c:pt>
              <c:pt idx="10">
                <c:v>nov</c:v>
              </c:pt>
              <c:pt idx="11">
                <c:v>dez</c:v>
              </c:pt>
            </c:strLit>
          </c:cat>
          <c:val>
            <c:numLit>
              <c:formatCode>General</c:formatCode>
              <c:ptCount val="12"/>
              <c:pt idx="0">
                <c:v>10325.030000000001</c:v>
              </c:pt>
              <c:pt idx="1">
                <c:v>6014.19</c:v>
              </c:pt>
              <c:pt idx="2">
                <c:v>7501</c:v>
              </c:pt>
              <c:pt idx="3">
                <c:v>7160.99</c:v>
              </c:pt>
              <c:pt idx="4">
                <c:v>8225.76</c:v>
              </c:pt>
              <c:pt idx="5">
                <c:v>13521.65</c:v>
              </c:pt>
              <c:pt idx="6">
                <c:v>9935.31</c:v>
              </c:pt>
              <c:pt idx="7">
                <c:v>8170.34</c:v>
              </c:pt>
              <c:pt idx="8">
                <c:v>14096.05</c:v>
              </c:pt>
              <c:pt idx="9">
                <c:v>8938.44</c:v>
              </c:pt>
              <c:pt idx="10">
                <c:v>9477.94</c:v>
              </c:pt>
              <c:pt idx="11">
                <c:v>8535.09</c:v>
              </c:pt>
            </c:numLit>
          </c:val>
          <c:extLst>
            <c:ext xmlns:c16="http://schemas.microsoft.com/office/drawing/2014/chart" uri="{C3380CC4-5D6E-409C-BE32-E72D297353CC}">
              <c16:uniqueId val="{00000000-FBB4-45D5-BB14-8485403AC429}"/>
            </c:ext>
          </c:extLst>
        </c:ser>
        <c:dLbls>
          <c:showLegendKey val="0"/>
          <c:showVal val="0"/>
          <c:showCatName val="0"/>
          <c:showSerName val="0"/>
          <c:showPercent val="0"/>
          <c:showBubbleSize val="0"/>
        </c:dLbls>
        <c:gapWidth val="8"/>
        <c:overlap val="-27"/>
        <c:axId val="1969667343"/>
        <c:axId val="1969666863"/>
      </c:barChart>
      <c:catAx>
        <c:axId val="19696673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969666863"/>
        <c:crosses val="autoZero"/>
        <c:auto val="1"/>
        <c:lblAlgn val="ctr"/>
        <c:lblOffset val="100"/>
        <c:noMultiLvlLbl val="0"/>
      </c:catAx>
      <c:valAx>
        <c:axId val="1969666863"/>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969667343"/>
        <c:crosses val="autoZero"/>
        <c:crossBetween val="between"/>
      </c:valAx>
    </c:plotArea>
    <c:legend>
      <c:legendPos val="r"/>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8740157499999996" l="0.511811024" r="0.511811024" t="0.78740157499999996" header="0.31496062000000002" footer="0.31496062000000002"/>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a:t>COMISSÃO 2023</a:t>
            </a:r>
            <a:r>
              <a:rPr lang="en-US">
                <a:solidFill>
                  <a:schemeClr val="accent1"/>
                </a:solidFill>
              </a:rPr>
              <a:t>(Supervisor)</a:t>
            </a:r>
            <a:br>
              <a:rPr lang="en-US"/>
            </a:br>
            <a:endParaRPr lang="en-US"/>
          </a:p>
        </c:rich>
      </c:tx>
      <c:overlay val="0"/>
      <c:spPr>
        <a:noFill/>
        <a:ln>
          <a:noFill/>
          <a:prstDash val="solid"/>
        </a:ln>
      </c:spPr>
    </c:title>
    <c:autoTitleDeleted val="0"/>
    <c:pivotFmts>
      <c:pivotFmt>
        <c:idx val="0"/>
        <c:spPr>
          <a:solidFill>
            <a:schemeClr val="accent1"/>
          </a:solidFill>
          <a:ln>
            <a:noFill/>
            <a:prstDash val="solid"/>
          </a:ln>
        </c:spPr>
        <c:marker>
          <c:symbol val="none"/>
        </c:marker>
        <c:dLbl>
          <c:idx val="0"/>
          <c:delete val="1"/>
          <c:extLst>
            <c:ext xmlns:c15="http://schemas.microsoft.com/office/drawing/2012/chart" uri="{CE6537A1-D6FC-4f65-9D91-7224C49458BB}"/>
          </c:extLst>
        </c:dLbl>
      </c:pivotFmt>
    </c:pivotFmts>
    <c:plotArea>
      <c:layout/>
      <c:barChart>
        <c:barDir val="col"/>
        <c:grouping val="clustered"/>
        <c:varyColors val="0"/>
        <c:ser>
          <c:idx val="0"/>
          <c:order val="0"/>
          <c:tx>
            <c:v>Total</c:v>
          </c:tx>
          <c:spPr>
            <a:solidFill>
              <a:schemeClr val="accent1"/>
            </a:solidFill>
            <a:ln>
              <a:noFill/>
              <a:prstDash val="solid"/>
            </a:ln>
          </c:spPr>
          <c:invertIfNegative val="0"/>
          <c:cat>
            <c:strLit>
              <c:ptCount val="12"/>
              <c:pt idx="0">
                <c:v>jan</c:v>
              </c:pt>
              <c:pt idx="1">
                <c:v>fev</c:v>
              </c:pt>
              <c:pt idx="2">
                <c:v>mar</c:v>
              </c:pt>
              <c:pt idx="3">
                <c:v>abr</c:v>
              </c:pt>
              <c:pt idx="4">
                <c:v>mai</c:v>
              </c:pt>
              <c:pt idx="5">
                <c:v>jun</c:v>
              </c:pt>
              <c:pt idx="6">
                <c:v>jul</c:v>
              </c:pt>
              <c:pt idx="7">
                <c:v>ago</c:v>
              </c:pt>
              <c:pt idx="8">
                <c:v>set</c:v>
              </c:pt>
              <c:pt idx="9">
                <c:v>out</c:v>
              </c:pt>
              <c:pt idx="10">
                <c:v>nov</c:v>
              </c:pt>
              <c:pt idx="11">
                <c:v>dez</c:v>
              </c:pt>
            </c:strLit>
          </c:cat>
          <c:val>
            <c:numLit>
              <c:formatCode>General</c:formatCode>
              <c:ptCount val="12"/>
              <c:pt idx="0">
                <c:v>6512.53</c:v>
              </c:pt>
              <c:pt idx="1">
                <c:v>8564.0300000000007</c:v>
              </c:pt>
              <c:pt idx="2">
                <c:v>6481.14</c:v>
              </c:pt>
              <c:pt idx="3">
                <c:v>7030.18</c:v>
              </c:pt>
              <c:pt idx="4">
                <c:v>3211.2</c:v>
              </c:pt>
              <c:pt idx="5">
                <c:v>3262.91</c:v>
              </c:pt>
              <c:pt idx="6">
                <c:v>7708.11</c:v>
              </c:pt>
              <c:pt idx="7">
                <c:v>7985.31</c:v>
              </c:pt>
              <c:pt idx="8">
                <c:v>16102.45</c:v>
              </c:pt>
              <c:pt idx="9">
                <c:v>16753.759999999998</c:v>
              </c:pt>
              <c:pt idx="10">
                <c:v>9095.16</c:v>
              </c:pt>
              <c:pt idx="11">
                <c:v>4520.88</c:v>
              </c:pt>
            </c:numLit>
          </c:val>
          <c:extLst>
            <c:ext xmlns:c16="http://schemas.microsoft.com/office/drawing/2014/chart" uri="{C3380CC4-5D6E-409C-BE32-E72D297353CC}">
              <c16:uniqueId val="{00000000-7A0B-4DA2-910C-441086EE7F31}"/>
            </c:ext>
          </c:extLst>
        </c:ser>
        <c:dLbls>
          <c:showLegendKey val="0"/>
          <c:showVal val="0"/>
          <c:showCatName val="0"/>
          <c:showSerName val="0"/>
          <c:showPercent val="0"/>
          <c:showBubbleSize val="0"/>
        </c:dLbls>
        <c:gapWidth val="8"/>
        <c:overlap val="-27"/>
        <c:axId val="1969636143"/>
        <c:axId val="1969650063"/>
      </c:barChart>
      <c:catAx>
        <c:axId val="19696361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969650063"/>
        <c:crosses val="autoZero"/>
        <c:auto val="1"/>
        <c:lblAlgn val="ctr"/>
        <c:lblOffset val="100"/>
        <c:noMultiLvlLbl val="0"/>
      </c:catAx>
      <c:valAx>
        <c:axId val="1969650063"/>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969636143"/>
        <c:crosses val="autoZero"/>
        <c:crossBetween val="between"/>
      </c:valAx>
    </c:plotArea>
    <c:legend>
      <c:legendPos val="r"/>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8740157499999996" l="0.511811024" r="0.511811024" t="0.78740157499999996" header="0.31496062000000002" footer="0.31496062000000002"/>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sz="1400" b="0" i="0" strike="noStrike" kern="1200" spc="0" baseline="0">
                <a:solidFill>
                  <a:sysClr val="windowText" lastClr="000000">
                    <a:lumOff val="35000"/>
                    <a:lumMod val="65000"/>
                  </a:sysClr>
                </a:solidFill>
              </a:rPr>
              <a:t>COMISSÃO 2024</a:t>
            </a:r>
            <a:r>
              <a:rPr lang="en-US" sz="1400" b="0" i="0" strike="noStrike" kern="1200" spc="0" baseline="0">
                <a:solidFill>
                  <a:schemeClr val="accent1"/>
                </a:solidFill>
              </a:rPr>
              <a:t>(Supervisor)</a:t>
            </a:r>
            <a:br>
              <a:rPr lang="en-US" sz="1400" b="0" i="0" strike="noStrike" kern="1200" spc="0" baseline="0">
                <a:solidFill>
                  <a:sysClr val="windowText" lastClr="000000">
                    <a:lumOff val="35000"/>
                    <a:lumMod val="65000"/>
                  </a:sysClr>
                </a:solidFill>
              </a:rPr>
            </a:br>
            <a:endParaRPr lang="en-US" sz="1400" b="0" i="0" strike="noStrike" kern="1200" spc="0" baseline="0">
              <a:solidFill>
                <a:sysClr val="windowText" lastClr="000000">
                  <a:lumOff val="35000"/>
                  <a:lumMod val="65000"/>
                </a:sysClr>
              </a:solidFill>
            </a:endParaRPr>
          </a:p>
        </c:rich>
      </c:tx>
      <c:overlay val="0"/>
      <c:spPr>
        <a:noFill/>
        <a:ln>
          <a:noFill/>
          <a:prstDash val="solid"/>
        </a:ln>
      </c:spPr>
    </c:title>
    <c:autoTitleDeleted val="0"/>
    <c:pivotFmts>
      <c:pivotFmt>
        <c:idx val="0"/>
        <c:spPr>
          <a:solidFill>
            <a:schemeClr val="accent1"/>
          </a:solidFill>
          <a:ln>
            <a:noFill/>
            <a:prstDash val="solid"/>
          </a:ln>
        </c:spPr>
        <c:marker>
          <c:symbol val="none"/>
        </c:marker>
        <c:dLbl>
          <c:idx val="0"/>
          <c:delete val="1"/>
          <c:extLst>
            <c:ext xmlns:c15="http://schemas.microsoft.com/office/drawing/2012/chart" uri="{CE6537A1-D6FC-4f65-9D91-7224C49458BB}"/>
          </c:extLst>
        </c:dLbl>
      </c:pivotFmt>
      <c:pivotFmt>
        <c:idx val="1"/>
        <c:spPr>
          <a:solidFill>
            <a:schemeClr val="accent1"/>
          </a:solidFill>
          <a:ln>
            <a:noFill/>
            <a:prstDash val="solid"/>
          </a:ln>
        </c:spPr>
        <c:marker>
          <c:symbol val="none"/>
        </c:marker>
        <c:dLbl>
          <c:idx val="0"/>
          <c:delete val="1"/>
          <c:extLst>
            <c:ext xmlns:c15="http://schemas.microsoft.com/office/drawing/2012/chart" uri="{CE6537A1-D6FC-4f65-9D91-7224C49458BB}"/>
          </c:extLst>
        </c:dLbl>
      </c:pivotFmt>
      <c:pivotFmt>
        <c:idx val="2"/>
        <c:spPr>
          <a:solidFill>
            <a:schemeClr val="accent1"/>
          </a:solidFill>
          <a:ln>
            <a:noFill/>
            <a:prstDash val="solid"/>
          </a:ln>
        </c:spPr>
        <c:marker>
          <c:symbol val="none"/>
        </c:marker>
        <c:dLbl>
          <c:idx val="0"/>
          <c:delete val="1"/>
          <c:extLst>
            <c:ext xmlns:c15="http://schemas.microsoft.com/office/drawing/2012/chart" uri="{CE6537A1-D6FC-4f65-9D91-7224C49458BB}"/>
          </c:extLst>
        </c:dLbl>
      </c:pivotFmt>
    </c:pivotFmts>
    <c:plotArea>
      <c:layout/>
      <c:barChart>
        <c:barDir val="col"/>
        <c:grouping val="clustered"/>
        <c:varyColors val="0"/>
        <c:ser>
          <c:idx val="0"/>
          <c:order val="0"/>
          <c:tx>
            <c:v>Total</c:v>
          </c:tx>
          <c:spPr>
            <a:solidFill>
              <a:schemeClr val="accent1"/>
            </a:solidFill>
            <a:ln>
              <a:noFill/>
              <a:prstDash val="solid"/>
            </a:ln>
          </c:spPr>
          <c:invertIfNegative val="0"/>
          <c:cat>
            <c:strLit>
              <c:ptCount val="11"/>
              <c:pt idx="0">
                <c:v>fev</c:v>
              </c:pt>
              <c:pt idx="1">
                <c:v>mar</c:v>
              </c:pt>
              <c:pt idx="2">
                <c:v>abr</c:v>
              </c:pt>
              <c:pt idx="3">
                <c:v>mai</c:v>
              </c:pt>
              <c:pt idx="4">
                <c:v>jun</c:v>
              </c:pt>
              <c:pt idx="5">
                <c:v>jul</c:v>
              </c:pt>
              <c:pt idx="6">
                <c:v>ago</c:v>
              </c:pt>
              <c:pt idx="7">
                <c:v>set</c:v>
              </c:pt>
              <c:pt idx="8">
                <c:v>out</c:v>
              </c:pt>
              <c:pt idx="9">
                <c:v>nov</c:v>
              </c:pt>
              <c:pt idx="10">
                <c:v>dez</c:v>
              </c:pt>
            </c:strLit>
          </c:cat>
          <c:val>
            <c:numLit>
              <c:formatCode>General</c:formatCode>
              <c:ptCount val="11"/>
              <c:pt idx="0">
                <c:v>5298.52</c:v>
              </c:pt>
              <c:pt idx="1">
                <c:v>13119.38</c:v>
              </c:pt>
              <c:pt idx="2">
                <c:v>9686.09</c:v>
              </c:pt>
              <c:pt idx="3">
                <c:v>11569.26</c:v>
              </c:pt>
              <c:pt idx="4">
                <c:v>7174.82</c:v>
              </c:pt>
              <c:pt idx="5">
                <c:v>677.04</c:v>
              </c:pt>
              <c:pt idx="6">
                <c:v>6751.9</c:v>
              </c:pt>
              <c:pt idx="7">
                <c:v>4793.07</c:v>
              </c:pt>
              <c:pt idx="8">
                <c:v>8631.26</c:v>
              </c:pt>
              <c:pt idx="9">
                <c:v>21011.54</c:v>
              </c:pt>
              <c:pt idx="10">
                <c:v>4347.93</c:v>
              </c:pt>
            </c:numLit>
          </c:val>
          <c:extLst>
            <c:ext xmlns:c16="http://schemas.microsoft.com/office/drawing/2014/chart" uri="{C3380CC4-5D6E-409C-BE32-E72D297353CC}">
              <c16:uniqueId val="{00000000-E997-427D-9369-C17A1801759E}"/>
            </c:ext>
          </c:extLst>
        </c:ser>
        <c:dLbls>
          <c:showLegendKey val="0"/>
          <c:showVal val="0"/>
          <c:showCatName val="0"/>
          <c:showSerName val="0"/>
          <c:showPercent val="0"/>
          <c:showBubbleSize val="0"/>
        </c:dLbls>
        <c:gapWidth val="8"/>
        <c:overlap val="-27"/>
        <c:axId val="1969668783"/>
        <c:axId val="1969674063"/>
      </c:barChart>
      <c:catAx>
        <c:axId val="196966878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969674063"/>
        <c:crosses val="autoZero"/>
        <c:auto val="1"/>
        <c:lblAlgn val="ctr"/>
        <c:lblOffset val="100"/>
        <c:noMultiLvlLbl val="0"/>
      </c:catAx>
      <c:valAx>
        <c:axId val="1969674063"/>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969668783"/>
        <c:crosses val="autoZero"/>
        <c:crossBetween val="between"/>
      </c:valAx>
    </c:plotArea>
    <c:legend>
      <c:legendPos val="r"/>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8740157499999996" l="0.511811024" r="0.511811024" t="0.78740157499999996" header="0.31496062000000002" footer="0.31496062000000002"/>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pt-BR" sz="1200"/>
              <a:t>Salário</a:t>
            </a:r>
            <a:r>
              <a:rPr lang="pt-BR" sz="1200" baseline="0"/>
              <a:t>s             Vendedor Pleno I                    Supervisor Pleno I                                       </a:t>
            </a:r>
            <a:endParaRPr lang="pt-BR" sz="1200"/>
          </a:p>
        </c:rich>
      </c:tx>
      <c:layout>
        <c:manualLayout>
          <c:xMode val="edge"/>
          <c:yMode val="edge"/>
          <c:x val="0.1402024374790812"/>
          <c:y val="5.289673243509159E-2"/>
        </c:manualLayout>
      </c:layout>
      <c:overlay val="0"/>
      <c:spPr>
        <a:noFill/>
        <a:ln>
          <a:noFill/>
          <a:prstDash val="solid"/>
        </a:ln>
      </c:spPr>
    </c:title>
    <c:autoTitleDeleted val="0"/>
    <c:plotArea>
      <c:layout/>
      <c:barChart>
        <c:barDir val="col"/>
        <c:grouping val="clustered"/>
        <c:varyColors val="0"/>
        <c:ser>
          <c:idx val="0"/>
          <c:order val="0"/>
          <c:tx>
            <c:strRef>
              <c:f>'[1]Comissão Paga'!$Q$869</c:f>
              <c:strCache>
                <c:ptCount val="1"/>
                <c:pt idx="0">
                  <c:v>Bruto</c:v>
                </c:pt>
              </c:strCache>
            </c:strRef>
          </c:tx>
          <c:spPr>
            <a:solidFill>
              <a:schemeClr val="accent1"/>
            </a:solidFill>
            <a:ln>
              <a:noFill/>
              <a:prstDash val="solid"/>
            </a:ln>
          </c:spPr>
          <c:invertIfNegative val="0"/>
          <c:cat>
            <c:strRef>
              <c:f>'[1]Comissão Paga'!$P$870:$P$871</c:f>
              <c:strCache>
                <c:ptCount val="2"/>
                <c:pt idx="0">
                  <c:v>Vendedor</c:v>
                </c:pt>
                <c:pt idx="1">
                  <c:v>Supervisor</c:v>
                </c:pt>
              </c:strCache>
            </c:strRef>
          </c:cat>
          <c:val>
            <c:numRef>
              <c:f>'[1]Comissão Paga'!$Q$870:$Q$871</c:f>
              <c:numCache>
                <c:formatCode>General</c:formatCode>
                <c:ptCount val="2"/>
                <c:pt idx="0">
                  <c:v>2887.7</c:v>
                </c:pt>
                <c:pt idx="1">
                  <c:v>5557.27</c:v>
                </c:pt>
              </c:numCache>
            </c:numRef>
          </c:val>
          <c:extLst>
            <c:ext xmlns:c16="http://schemas.microsoft.com/office/drawing/2014/chart" uri="{C3380CC4-5D6E-409C-BE32-E72D297353CC}">
              <c16:uniqueId val="{00000000-00E1-498E-92C5-1267E3BE07B8}"/>
            </c:ext>
          </c:extLst>
        </c:ser>
        <c:ser>
          <c:idx val="1"/>
          <c:order val="1"/>
          <c:tx>
            <c:strRef>
              <c:f>'[1]Comissão Paga'!$R$869</c:f>
              <c:strCache>
                <c:ptCount val="1"/>
                <c:pt idx="0">
                  <c:v>Líquido</c:v>
                </c:pt>
              </c:strCache>
            </c:strRef>
          </c:tx>
          <c:spPr>
            <a:solidFill>
              <a:schemeClr val="accent2"/>
            </a:solidFill>
            <a:ln>
              <a:noFill/>
              <a:prstDash val="solid"/>
            </a:ln>
          </c:spPr>
          <c:invertIfNegative val="0"/>
          <c:cat>
            <c:strRef>
              <c:f>'[1]Comissão Paga'!$P$870:$P$871</c:f>
              <c:strCache>
                <c:ptCount val="2"/>
                <c:pt idx="0">
                  <c:v>Vendedor</c:v>
                </c:pt>
                <c:pt idx="1">
                  <c:v>Supervisor</c:v>
                </c:pt>
              </c:strCache>
            </c:strRef>
          </c:cat>
          <c:val>
            <c:numRef>
              <c:f>'[1]Comissão Paga'!$R$870:$R$871</c:f>
              <c:numCache>
                <c:formatCode>General</c:formatCode>
                <c:ptCount val="2"/>
                <c:pt idx="0">
                  <c:v>2139</c:v>
                </c:pt>
                <c:pt idx="1">
                  <c:v>3968.3200000000006</c:v>
                </c:pt>
              </c:numCache>
            </c:numRef>
          </c:val>
          <c:extLst>
            <c:ext xmlns:c16="http://schemas.microsoft.com/office/drawing/2014/chart" uri="{C3380CC4-5D6E-409C-BE32-E72D297353CC}">
              <c16:uniqueId val="{00000001-00E1-498E-92C5-1267E3BE07B8}"/>
            </c:ext>
          </c:extLst>
        </c:ser>
        <c:dLbls>
          <c:showLegendKey val="0"/>
          <c:showVal val="0"/>
          <c:showCatName val="0"/>
          <c:showSerName val="0"/>
          <c:showPercent val="0"/>
          <c:showBubbleSize val="0"/>
        </c:dLbls>
        <c:gapWidth val="219"/>
        <c:overlap val="-27"/>
        <c:axId val="2099783583"/>
        <c:axId val="2099773023"/>
      </c:barChart>
      <c:catAx>
        <c:axId val="209978358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2099773023"/>
        <c:crosses val="autoZero"/>
        <c:auto val="1"/>
        <c:lblAlgn val="ctr"/>
        <c:lblOffset val="100"/>
        <c:noMultiLvlLbl val="0"/>
      </c:catAx>
      <c:valAx>
        <c:axId val="2099773023"/>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2099783583"/>
        <c:crosses val="autoZero"/>
        <c:crossBetween val="between"/>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8740157499999996" l="0.511811024" r="0.511811024" t="0.78740157499999996" header="0.31496062000000002" footer="0.31496062000000002"/>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pt-BR"/>
              <a:t>Média de Comissão</a:t>
            </a:r>
            <a:r>
              <a:rPr lang="pt-BR" baseline="0"/>
              <a:t> Anual</a:t>
            </a:r>
            <a:endParaRPr lang="pt-BR"/>
          </a:p>
        </c:rich>
      </c:tx>
      <c:overlay val="0"/>
      <c:spPr>
        <a:noFill/>
        <a:ln>
          <a:noFill/>
          <a:prstDash val="solid"/>
        </a:ln>
      </c:spPr>
    </c:title>
    <c:autoTitleDeleted val="0"/>
    <c:plotArea>
      <c:layout/>
      <c:barChart>
        <c:barDir val="col"/>
        <c:grouping val="clustered"/>
        <c:varyColors val="0"/>
        <c:ser>
          <c:idx val="0"/>
          <c:order val="0"/>
          <c:spPr>
            <a:solidFill>
              <a:schemeClr val="accent1"/>
            </a:solidFill>
            <a:ln>
              <a:noFill/>
              <a:prstDash val="solid"/>
            </a:ln>
          </c:spPr>
          <c:invertIfNegative val="0"/>
          <c:dPt>
            <c:idx val="0"/>
            <c:invertIfNegative val="0"/>
            <c:bubble3D val="0"/>
            <c:spPr>
              <a:solidFill>
                <a:srgbClr val="FF0000"/>
              </a:solidFill>
              <a:ln>
                <a:noFill/>
                <a:prstDash val="solid"/>
              </a:ln>
            </c:spPr>
            <c:extLst>
              <c:ext xmlns:c16="http://schemas.microsoft.com/office/drawing/2014/chart" uri="{C3380CC4-5D6E-409C-BE32-E72D297353CC}">
                <c16:uniqueId val="{00000001-28B7-4486-8D8D-BA200E1C0F8E}"/>
              </c:ext>
            </c:extLst>
          </c:dPt>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'[1]Comissão Paga'!$AN$5:$AN$8</c:f>
              <c:strCache>
                <c:ptCount val="4"/>
                <c:pt idx="0">
                  <c:v>Vendeor</c:v>
                </c:pt>
                <c:pt idx="1">
                  <c:v>2022</c:v>
                </c:pt>
                <c:pt idx="2">
                  <c:v>2023</c:v>
                </c:pt>
                <c:pt idx="3">
                  <c:v>2024</c:v>
                </c:pt>
              </c:strCache>
            </c:strRef>
          </c:cat>
          <c:val>
            <c:numRef>
              <c:f>'[1]Comissão Paga'!$AO$5:$AO$8</c:f>
              <c:numCache>
                <c:formatCode>General</c:formatCode>
                <c:ptCount val="4"/>
                <c:pt idx="0">
                  <c:v>8670.8058333333338</c:v>
                </c:pt>
                <c:pt idx="1">
                  <c:v>9325.149166666668</c:v>
                </c:pt>
                <c:pt idx="2">
                  <c:v>8102.3050000000003</c:v>
                </c:pt>
                <c:pt idx="3">
                  <c:v>7755.0675000000001</c:v>
                </c:pt>
              </c:numCache>
            </c:numRef>
          </c:val>
          <c:extLst>
            <c:ext xmlns:c16="http://schemas.microsoft.com/office/drawing/2014/chart" uri="{C3380CC4-5D6E-409C-BE32-E72D297353CC}">
              <c16:uniqueId val="{00000002-28B7-4486-8D8D-BA200E1C0F8E}"/>
            </c:ext>
          </c:extLst>
        </c:ser>
        <c:dLbls>
          <c:showLegendKey val="0"/>
          <c:showVal val="0"/>
          <c:showCatName val="0"/>
          <c:showSerName val="0"/>
          <c:showPercent val="0"/>
          <c:showBubbleSize val="0"/>
        </c:dLbls>
        <c:gapWidth val="10"/>
        <c:overlap val="-27"/>
        <c:axId val="736335727"/>
        <c:axId val="736336207"/>
      </c:barChart>
      <c:catAx>
        <c:axId val="7363357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736336207"/>
        <c:crosses val="autoZero"/>
        <c:auto val="1"/>
        <c:lblAlgn val="ctr"/>
        <c:lblOffset val="100"/>
        <c:noMultiLvlLbl val="0"/>
      </c:catAx>
      <c:valAx>
        <c:axId val="736336207"/>
        <c:scaling>
          <c:orientation val="minMax"/>
        </c:scaling>
        <c:delete val="1"/>
        <c:axPos val="l"/>
        <c:numFmt formatCode="General" sourceLinked="1"/>
        <c:majorTickMark val="none"/>
        <c:minorTickMark val="none"/>
        <c:tickLblPos val="nextTo"/>
        <c:crossAx val="736335727"/>
        <c:crosses val="autoZero"/>
        <c:crossBetween val="between"/>
      </c:valAx>
    </c:plotArea>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8740157499999996" l="0.511811024" r="0.511811024" t="0.78740157499999996" header="0.31496062000000002" footer="0.31496062000000002"/>
    <c:pageSetup/>
  </c:printSettings>
</c:chartSpace>
</file>

<file path=xl/drawings/_rels/drawing1.xml.rels><?xml version="1.0" encoding="UTF-8" standalone="yes"?>
<Relationships xmlns="http://schemas.openxmlformats.org/package/2006/relationships"><Relationship Id="rId3" Type="http://schemas.openxmlformats.org/officeDocument/2006/relationships/image" Target="../media/image1.png"/><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chart" Target="../charts/chart4.xml"/><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3" Type="http://schemas.openxmlformats.org/officeDocument/2006/relationships/chart" Target="../charts/chart7.xml"/><Relationship Id="rId7" Type="http://schemas.openxmlformats.org/officeDocument/2006/relationships/chart" Target="../charts/chart11.xml"/><Relationship Id="rId2" Type="http://schemas.openxmlformats.org/officeDocument/2006/relationships/chart" Target="../charts/chart6.xml"/><Relationship Id="rId1" Type="http://schemas.openxmlformats.org/officeDocument/2006/relationships/chart" Target="../charts/chart5.xml"/><Relationship Id="rId6" Type="http://schemas.openxmlformats.org/officeDocument/2006/relationships/chart" Target="../charts/chart10.xml"/><Relationship Id="rId5" Type="http://schemas.openxmlformats.org/officeDocument/2006/relationships/chart" Target="../charts/chart9.xml"/><Relationship Id="rId4"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xdr:from>
      <xdr:col>2</xdr:col>
      <xdr:colOff>430530</xdr:colOff>
      <xdr:row>0</xdr:row>
      <xdr:rowOff>170497</xdr:rowOff>
    </xdr:from>
    <xdr:to>
      <xdr:col>6</xdr:col>
      <xdr:colOff>314325</xdr:colOff>
      <xdr:row>17</xdr:row>
      <xdr:rowOff>18097</xdr:rowOff>
    </xdr:to>
    <xdr:graphicFrame macro="">
      <xdr:nvGraphicFramePr>
        <xdr:cNvPr id="2" name="Chart 1">
          <a:extLst>
            <a:ext uri="{FF2B5EF4-FFF2-40B4-BE49-F238E27FC236}">
              <a16:creationId xmlns:a16="http://schemas.microsoft.com/office/drawing/2014/main" id="{00000000-0008-0000-04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428625</xdr:colOff>
      <xdr:row>1</xdr:row>
      <xdr:rowOff>23812</xdr:rowOff>
    </xdr:from>
    <xdr:to>
      <xdr:col>11</xdr:col>
      <xdr:colOff>352425</xdr:colOff>
      <xdr:row>15</xdr:row>
      <xdr:rowOff>100012</xdr:rowOff>
    </xdr:to>
    <xdr:graphicFrame macro="">
      <xdr:nvGraphicFramePr>
        <xdr:cNvPr id="3" name="Chart 2">
          <a:extLst>
            <a:ext uri="{FF2B5EF4-FFF2-40B4-BE49-F238E27FC236}">
              <a16:creationId xmlns:a16="http://schemas.microsoft.com/office/drawing/2014/main" id="{00000000-0008-0000-04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161925</xdr:colOff>
      <xdr:row>2</xdr:row>
      <xdr:rowOff>85725</xdr:rowOff>
    </xdr:from>
    <xdr:to>
      <xdr:col>2</xdr:col>
      <xdr:colOff>360044</xdr:colOff>
      <xdr:row>9</xdr:row>
      <xdr:rowOff>54232</xdr:rowOff>
    </xdr:to>
    <xdr:pic>
      <xdr:nvPicPr>
        <xdr:cNvPr id="4" name="Imagem 1">
          <a:extLst>
            <a:ext uri="{FF2B5EF4-FFF2-40B4-BE49-F238E27FC236}">
              <a16:creationId xmlns:a16="http://schemas.microsoft.com/office/drawing/2014/main" id="{00000000-0008-0000-0400-000004000000}"/>
            </a:ext>
          </a:extLst>
        </xdr:cNvPr>
        <xdr:cNvPicPr>
          <a:picLocks noChangeAspect="1"/>
        </xdr:cNvPicPr>
      </xdr:nvPicPr>
      <xdr:blipFill>
        <a:blip xmlns:r="http://schemas.openxmlformats.org/officeDocument/2006/relationships" r:embed="rId3"/>
        <a:stretch>
          <a:fillRect/>
        </a:stretch>
      </xdr:blipFill>
      <xdr:spPr>
        <a:xfrm>
          <a:off x="161925" y="466725"/>
          <a:ext cx="1409699" cy="1298197"/>
        </a:xfrm>
        <a:prstGeom prst="rect">
          <a:avLst/>
        </a:prstGeom>
        <a:ln>
          <a:prstDash val="solid"/>
        </a:ln>
      </xdr:spPr>
    </xdr:pic>
    <xdr:clientData/>
  </xdr:twoCellAnchor>
</xdr:wsDr>
</file>

<file path=xl/drawings/drawing2.xml><?xml version="1.0" encoding="utf-8"?>
<xdr:wsDr xmlns:xdr="http://schemas.openxmlformats.org/drawingml/2006/spreadsheetDrawing" xmlns:a="http://schemas.openxmlformats.org/drawingml/2006/main">
  <xdr:twoCellAnchor>
    <xdr:from>
      <xdr:col>9</xdr:col>
      <xdr:colOff>278130</xdr:colOff>
      <xdr:row>511</xdr:row>
      <xdr:rowOff>180022</xdr:rowOff>
    </xdr:from>
    <xdr:to>
      <xdr:col>14</xdr:col>
      <xdr:colOff>209550</xdr:colOff>
      <xdr:row>527</xdr:row>
      <xdr:rowOff>27622</xdr:rowOff>
    </xdr:to>
    <xdr:graphicFrame macro="">
      <xdr:nvGraphicFramePr>
        <xdr:cNvPr id="2" name="Chart 1">
          <a:extLst>
            <a:ext uri="{FF2B5EF4-FFF2-40B4-BE49-F238E27FC236}">
              <a16:creationId xmlns:a16="http://schemas.microsoft.com/office/drawing/2014/main" id="{00000000-0008-0000-0B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333375</xdr:colOff>
      <xdr:row>533</xdr:row>
      <xdr:rowOff>33337</xdr:rowOff>
    </xdr:from>
    <xdr:to>
      <xdr:col>14</xdr:col>
      <xdr:colOff>257175</xdr:colOff>
      <xdr:row>547</xdr:row>
      <xdr:rowOff>109537</xdr:rowOff>
    </xdr:to>
    <xdr:graphicFrame macro="">
      <xdr:nvGraphicFramePr>
        <xdr:cNvPr id="3" name="Chart 2">
          <a:extLst>
            <a:ext uri="{FF2B5EF4-FFF2-40B4-BE49-F238E27FC236}">
              <a16:creationId xmlns:a16="http://schemas.microsoft.com/office/drawing/2014/main" id="{00000000-0008-0000-0B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15</xdr:col>
      <xdr:colOff>114300</xdr:colOff>
      <xdr:row>4</xdr:row>
      <xdr:rowOff>16329</xdr:rowOff>
    </xdr:from>
    <xdr:to>
      <xdr:col>19</xdr:col>
      <xdr:colOff>142875</xdr:colOff>
      <xdr:row>18</xdr:row>
      <xdr:rowOff>149679</xdr:rowOff>
    </xdr:to>
    <xdr:graphicFrame macro="">
      <xdr:nvGraphicFramePr>
        <xdr:cNvPr id="2" name="Chart 1">
          <a:extLst>
            <a:ext uri="{FF2B5EF4-FFF2-40B4-BE49-F238E27FC236}">
              <a16:creationId xmlns:a16="http://schemas.microsoft.com/office/drawing/2014/main" id="{00000000-0008-0000-0D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23</xdr:col>
      <xdr:colOff>800100</xdr:colOff>
      <xdr:row>19</xdr:row>
      <xdr:rowOff>76200</xdr:rowOff>
    </xdr:from>
    <xdr:to>
      <xdr:col>28</xdr:col>
      <xdr:colOff>1143000</xdr:colOff>
      <xdr:row>882</xdr:row>
      <xdr:rowOff>133350</xdr:rowOff>
    </xdr:to>
    <xdr:graphicFrame macro="">
      <xdr:nvGraphicFramePr>
        <xdr:cNvPr id="3" name="Chart 2">
          <a:extLst>
            <a:ext uri="{FF2B5EF4-FFF2-40B4-BE49-F238E27FC236}">
              <a16:creationId xmlns:a16="http://schemas.microsoft.com/office/drawing/2014/main" id="{00000000-0008-0000-0D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29</xdr:col>
      <xdr:colOff>23812</xdr:colOff>
      <xdr:row>19</xdr:row>
      <xdr:rowOff>80962</xdr:rowOff>
    </xdr:from>
    <xdr:to>
      <xdr:col>33</xdr:col>
      <xdr:colOff>333375</xdr:colOff>
      <xdr:row>867</xdr:row>
      <xdr:rowOff>0</xdr:rowOff>
    </xdr:to>
    <xdr:graphicFrame macro="">
      <xdr:nvGraphicFramePr>
        <xdr:cNvPr id="4" name="Chart 3">
          <a:extLst>
            <a:ext uri="{FF2B5EF4-FFF2-40B4-BE49-F238E27FC236}">
              <a16:creationId xmlns:a16="http://schemas.microsoft.com/office/drawing/2014/main" id="{00000000-0008-0000-0D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29</xdr:col>
      <xdr:colOff>23811</xdr:colOff>
      <xdr:row>867</xdr:row>
      <xdr:rowOff>71437</xdr:rowOff>
    </xdr:from>
    <xdr:to>
      <xdr:col>33</xdr:col>
      <xdr:colOff>333374</xdr:colOff>
      <xdr:row>882</xdr:row>
      <xdr:rowOff>123825</xdr:rowOff>
    </xdr:to>
    <xdr:graphicFrame macro="">
      <xdr:nvGraphicFramePr>
        <xdr:cNvPr id="5" name="Chart 4">
          <a:extLst>
            <a:ext uri="{FF2B5EF4-FFF2-40B4-BE49-F238E27FC236}">
              <a16:creationId xmlns:a16="http://schemas.microsoft.com/office/drawing/2014/main" id="{00000000-0008-0000-0D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33</xdr:col>
      <xdr:colOff>404812</xdr:colOff>
      <xdr:row>19</xdr:row>
      <xdr:rowOff>80962</xdr:rowOff>
    </xdr:from>
    <xdr:to>
      <xdr:col>37</xdr:col>
      <xdr:colOff>108858</xdr:colOff>
      <xdr:row>867</xdr:row>
      <xdr:rowOff>9525</xdr:rowOff>
    </xdr:to>
    <xdr:graphicFrame macro="">
      <xdr:nvGraphicFramePr>
        <xdr:cNvPr id="6" name="Chart 5">
          <a:extLst>
            <a:ext uri="{FF2B5EF4-FFF2-40B4-BE49-F238E27FC236}">
              <a16:creationId xmlns:a16="http://schemas.microsoft.com/office/drawing/2014/main" id="{00000000-0008-0000-0D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14</xdr:col>
      <xdr:colOff>560613</xdr:colOff>
      <xdr:row>21</xdr:row>
      <xdr:rowOff>110219</xdr:rowOff>
    </xdr:from>
    <xdr:to>
      <xdr:col>20</xdr:col>
      <xdr:colOff>250371</xdr:colOff>
      <xdr:row>866</xdr:row>
      <xdr:rowOff>185058</xdr:rowOff>
    </xdr:to>
    <xdr:graphicFrame macro="">
      <xdr:nvGraphicFramePr>
        <xdr:cNvPr id="7" name="Chart 6">
          <a:extLst>
            <a:ext uri="{FF2B5EF4-FFF2-40B4-BE49-F238E27FC236}">
              <a16:creationId xmlns:a16="http://schemas.microsoft.com/office/drawing/2014/main" id="{00000000-0008-0000-0D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38</xdr:col>
      <xdr:colOff>297180</xdr:colOff>
      <xdr:row>10</xdr:row>
      <xdr:rowOff>11430</xdr:rowOff>
    </xdr:from>
    <xdr:to>
      <xdr:col>44</xdr:col>
      <xdr:colOff>441960</xdr:colOff>
      <xdr:row>23</xdr:row>
      <xdr:rowOff>38100</xdr:rowOff>
    </xdr:to>
    <xdr:graphicFrame macro="">
      <xdr:nvGraphicFramePr>
        <xdr:cNvPr id="8" name="Chart 7">
          <a:extLst>
            <a:ext uri="{FF2B5EF4-FFF2-40B4-BE49-F238E27FC236}">
              <a16:creationId xmlns:a16="http://schemas.microsoft.com/office/drawing/2014/main" id="{00000000-0008-0000-0D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externalLinks/_rels/externalLink1.xml.rels><?xml version="1.0" encoding="UTF-8" standalone="yes"?>
<Relationships xmlns="http://schemas.openxmlformats.org/package/2006/relationships"><Relationship Id="rId1" Type="http://schemas.microsoft.com/office/2006/relationships/xlExternalLinkPath/xlPathMissing" Target="LinkExternoRecuperado1"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icket Médio"/>
      <sheetName val="Indique e Ganhe"/>
      <sheetName val="Grandes Números"/>
      <sheetName val="Ranking Vendedor"/>
      <sheetName val="Cloud"/>
      <sheetName val="Resumo Vendas"/>
      <sheetName val="GraficoMetas"/>
      <sheetName val="Forecast"/>
      <sheetName val="QtdeMetas"/>
      <sheetName val="Vendas2026"/>
      <sheetName val="Vendas2025"/>
      <sheetName val="Comissão Paga"/>
      <sheetName val="||"/>
      <sheetName val="Vendas2024"/>
      <sheetName val="Vendas2023"/>
      <sheetName val="Vendas 2022"/>
      <sheetName val="Vendas 2021"/>
      <sheetName val="Meu primeiro ERP"/>
      <sheetName val="Radar"/>
      <sheetName val="Projetos Fernando"/>
      <sheetName val="Biblio"/>
      <sheetName val="DadosVendas"/>
      <sheetName val="Painel"/>
      <sheetName val="dados"/>
      <sheetName val="Sorteio Lead"/>
      <sheetName val="Licenças Ingá"/>
    </sheetNames>
    <sheetDataSet>
      <sheetData sheetId="0"/>
      <sheetData sheetId="1"/>
      <sheetData sheetId="2"/>
      <sheetData sheetId="3"/>
      <sheetData sheetId="4"/>
      <sheetData sheetId="5"/>
      <sheetData sheetId="6"/>
      <sheetData sheetId="7"/>
      <sheetData sheetId="8"/>
      <sheetData sheetId="9"/>
      <sheetData sheetId="10"/>
      <sheetData sheetId="11">
        <row r="5">
          <cell r="AN5" t="str">
            <v>Vendeor</v>
          </cell>
          <cell r="AO5">
            <v>8670.8058333333338</v>
          </cell>
        </row>
        <row r="6">
          <cell r="AN6">
            <v>2022</v>
          </cell>
          <cell r="AO6">
            <v>9325.149166666668</v>
          </cell>
        </row>
        <row r="7">
          <cell r="AN7">
            <v>2023</v>
          </cell>
          <cell r="AO7">
            <v>8102.3050000000003</v>
          </cell>
        </row>
        <row r="8">
          <cell r="AN8">
            <v>2024</v>
          </cell>
          <cell r="AO8">
            <v>7755.0675000000001</v>
          </cell>
        </row>
        <row r="869">
          <cell r="Q869" t="str">
            <v>Bruto</v>
          </cell>
          <cell r="R869" t="str">
            <v>Líquido</v>
          </cell>
        </row>
        <row r="870">
          <cell r="P870" t="str">
            <v>Vendedor</v>
          </cell>
          <cell r="Q870">
            <v>2887.7</v>
          </cell>
          <cell r="R870">
            <v>2139</v>
          </cell>
        </row>
        <row r="871">
          <cell r="P871" t="str">
            <v>Supervisor</v>
          </cell>
          <cell r="Q871">
            <v>5557.27</v>
          </cell>
          <cell r="R871">
            <v>3968.3200000000006</v>
          </cell>
        </row>
      </sheetData>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aulo Santos de Souza" refreshedDate="46162.316966666673" createdVersion="8" refreshedVersion="8" minRefreshableVersion="3" recordCount="716" xr:uid="{00000000-000A-0000-FFFF-FFFF06000000}">
  <cacheSource type="worksheet">
    <worksheetSource name="_325"/>
  </cacheSource>
  <cacheFields count="50">
    <cacheField name="Responsável" numFmtId="0">
      <sharedItems count="4">
        <s v="Paulo Souza"/>
        <s v="Junior Lopes"/>
        <s v="Rayssa Karapeticov"/>
        <s v="Ronaldo Nascimento"/>
      </sharedItems>
    </cacheField>
    <cacheField name="ID Oportunidade" numFmtId="0">
      <sharedItems containsSemiMixedTypes="0" containsString="0" containsNumber="1" containsInteger="1" minValue="87" maxValue="1240"/>
    </cacheField>
    <cacheField name="ID Cliente" numFmtId="0">
      <sharedItems containsString="0" containsBlank="1" containsNumber="1" containsInteger="1" minValue="155" maxValue="291"/>
    </cacheField>
    <cacheField name="ID Contato" numFmtId="0">
      <sharedItems containsString="0" containsBlank="1" containsNumber="1" containsInteger="1" minValue="12" maxValue="3962"/>
    </cacheField>
    <cacheField name="Descrição" numFmtId="0">
      <sharedItems longText="1"/>
    </cacheField>
    <cacheField name="Razão social" numFmtId="0">
      <sharedItems/>
    </cacheField>
    <cacheField name="Título do negócio" numFmtId="0">
      <sharedItems count="711">
        <s v="teste paulo"/>
        <s v="eddi casa - afv"/>
        <s v="plascity - erp"/>
        <s v="casa freitas - afv"/>
        <s v="grupo kwi - afv"/>
        <s v="utiliplas - afv"/>
        <s v="lojas primus"/>
        <s v="ga ceramica - afv"/>
        <s v="aloe baf"/>
        <s v="baag-bahia artes gráficas(erp)"/>
        <s v="baag-bahia artes gráficas(cloud)"/>
        <s v="vaso forte (erp)"/>
        <s v="negócio plásticos santana ltda"/>
        <s v="vaso forte (cloud)"/>
        <s v="editora online"/>
        <s v="precisa import"/>
        <s v="polimax (erp+afv)"/>
        <s v="md importação"/>
        <s v="dpot plasticos"/>
        <s v="dpot plasticos (cloud)"/>
        <s v="grupo gala (b2b)"/>
        <s v="polimax- cloud"/>
        <s v="negócio fosboi da bahia"/>
        <s v="tek mix distribuicao"/>
        <s v="tek mix distr (cloud)"/>
        <s v="elmo atacado (mdfe)"/>
        <s v="md importação - cloud"/>
        <s v="gb. importadora"/>
        <s v="injeplastec"/>
        <s v="porto brasil cerâmica - afv"/>
        <s v="gb importadora - clou"/>
        <s v="e s maia distribuidora ltda"/>
        <s v="culturama (ad. link cielo, imp. xml)"/>
        <s v="rigomal"/>
        <s v="viva vidros"/>
        <s v="star distribuidora (afv)"/>
        <s v="dcl editora"/>
        <s v="star distribuidora (erp)"/>
        <s v="preciza import (cloud)"/>
        <s v="star distribuidora (cloud)"/>
        <s v="luz e real aluminios - grupo laminor"/>
        <s v="mba aluminios"/>
        <s v="afv - etruria"/>
        <s v="c.a teles armarinhos e papelaria ltda"/>
        <s v="global mix atacadista ltda"/>
        <s v="fuxing cloud"/>
        <s v="eco foods"/>
        <s v="versiva comercial versiva distribuidora"/>
        <s v="jmd import"/>
        <s v="ecolimp distribuidora atacadista de produtos de higiene - eireli"/>
        <s v="distribuidora champion limitada"/>
        <s v="royal toys"/>
        <s v="atacado junior"/>
        <s v="multiflon"/>
        <s v="metalmix tanque"/>
        <s v="c.a teles arma. (cloud)"/>
        <s v="atacado junior - cloud"/>
        <s v="bolplast"/>
        <s v="tramadaré distribuidora"/>
        <s v="livelli"/>
        <s v="malvi distribuidora"/>
        <s v="pz presentes loja"/>
        <s v="edinelson revenda"/>
        <s v="alumínio higsberg"/>
        <s v="vr_distribuidora - regis"/>
        <s v="viva vidros - cloud"/>
        <s v="stamaco"/>
        <s v="elmo atacado"/>
        <s v="terra boa"/>
        <s v="newell brands"/>
        <s v="paramount"/>
        <s v="giftutil"/>
        <s v="maxximo utilidades"/>
        <s v="plastutti - erp"/>
        <s v="plastutti - cloud"/>
        <s v="cozzillar - afv"/>
        <s v="marca textil"/>
        <s v="eskinão e opa atacado"/>
        <s v="p&amp;s distribuidora ud"/>
        <s v="nixhouse afv"/>
        <s v="oikos"/>
        <s v="campos di aromas"/>
        <s v="adriana"/>
        <s v="ad &amp; ad comercio de importacao"/>
        <s v="chamma festas"/>
        <s v="p10 importadora -erp"/>
        <s v="p10 importadora - b2b"/>
        <s v="plasberg"/>
        <s v="adere"/>
        <s v="jlk plasticos"/>
        <s v="envio de boleto e ts licença"/>
        <s v="casa da fé"/>
        <s v="solrac"/>
        <s v="day home - afv"/>
        <s v="tuut"/>
        <s v="lojas okey"/>
        <s v="taumer"/>
        <s v="jl distribuidora"/>
        <s v="geloni sorvetes"/>
        <s v="frutyba"/>
        <s v="cabo fix"/>
        <s v="fizz acessórios"/>
        <s v="prioridade 10 - (cloud)"/>
        <s v="sunguider importador/distribuidor"/>
        <s v="comercio de produtos veterinarios bernardi &amp; bernardi ltda"/>
        <s v="acomix soluções para o lar"/>
        <s v="elgin sa"/>
        <s v="elmo atacado (mde + mdfe)"/>
        <s v="123 util"/>
        <s v="couselo - erp - afv"/>
        <s v="erca aluminio - mdfe"/>
        <s v="claudi b2b"/>
        <s v="açomix soluções - cloud)"/>
        <s v="plasberg - cloud"/>
        <s v="pupi import - erp - afv - wms"/>
        <s v="pupi imports - cloud"/>
        <s v="pupi imports - b2b"/>
        <s v="xeryus afv"/>
        <s v="ponto 10"/>
        <s v="atacado irmão vaquero"/>
        <s v="araujo vertice"/>
        <s v="gbl import - erp"/>
        <s v="gbl import - cloud"/>
        <s v="erca alumínio (horas)"/>
        <s v="tecelagem castilho - erp + afv"/>
        <s v="erca alumínio - wms"/>
        <s v="sk importacao - erp"/>
        <s v="tritec"/>
        <s v="styroform isopor"/>
        <s v="giro center"/>
        <s v="tecelagem castitho - cloud"/>
        <s v="sk importacao - cloud"/>
        <s v="comércio  bernardi e bernardi - erp"/>
        <s v="comércio bernardi e bernardi - cloud"/>
        <s v="culturama - horas"/>
        <s v="gb . importadora - xml"/>
        <s v="ark brasil"/>
        <s v="casa ambiente"/>
        <s v="mdl import - erp"/>
        <s v="pimpinella sorvetes - erp - afv - pcp - wms"/>
        <s v="xiexie com. de brinquedos - erp"/>
        <s v="bruver crc ltda"/>
        <s v="almapy - contábil"/>
        <s v="renovação porcelanas"/>
        <s v="renovação porcelanas - afv"/>
        <s v="unik"/>
        <s v="xiexie comercio de brinquedos - b2b"/>
        <s v="xiexie com. de brinquedos - bi"/>
        <s v="y 888 importacao - erp"/>
        <s v="y 888 importação - cloud"/>
        <s v="mdl import - cloud"/>
        <s v="cassio importadora - erp"/>
        <s v="flor de seda"/>
        <s v="pop disc"/>
        <s v="cassio importadora - b2b"/>
        <s v="renovação porcelanas - cloud"/>
        <s v="creative - erp"/>
        <s v="cassio importadora - cloud"/>
        <s v="l&amp;t importadora"/>
        <s v="sakes"/>
        <s v="sal trading"/>
        <s v="mundial log - erp"/>
        <s v="mundial log - cloud"/>
        <s v="mmo &amp; mnipharma"/>
        <s v="amandfast (fest bubble) rms"/>
        <s v="arrtef brasil (prendebem)- rms"/>
        <s v="fa fa import - erp"/>
        <s v="fa fa import - cloud"/>
        <s v="amazonia aromas"/>
        <s v="azpr - erp"/>
        <s v="azpr - cloud"/>
        <s v="erca alumínio"/>
        <s v="xiexie mais barato - erp"/>
        <s v="xiexie comercio de brinquedos ltda"/>
        <s v="gala - b2b"/>
        <s v="flora nectar - afv"/>
        <s v="xpert - erp"/>
        <s v="xpert - cloud"/>
        <s v="ponto das festas"/>
        <s v="oikos - cloud"/>
        <s v="atacadão das tripas (erp)"/>
        <s v="pimpinella -  guarani afv"/>
        <s v="brinquedos alf (rms_afv)"/>
        <s v="brinquedos anjo"/>
        <s v="meio atacado - erp"/>
        <s v="goal comercial ltda"/>
        <s v="galpão importadora"/>
        <s v="fina ideia"/>
        <s v="industria elementos filtrantes"/>
        <s v="vitoria cortinas (mdfe)"/>
        <s v="atacadao das tripas (cloud)"/>
        <s v="mdl import - int.wms"/>
        <s v="bs toys (rms)"/>
        <s v="dielu (rms)"/>
        <s v="ceramica salute (rms)"/>
        <s v="serraria chiari  - erp"/>
        <s v="serraria chiari - cloud"/>
        <s v="vitoria cortinas - user afv"/>
        <s v="meio atacado - cloud"/>
        <s v="emporio villamarin ltda"/>
        <s v="elmo atacado (horas exc)"/>
        <s v="moveis kappesberg"/>
        <s v="trilharty - erp - afv"/>
        <s v="tiago  eletronicos - erp"/>
        <s v="tiago  eletronicos - cloud"/>
        <s v="star distribuidora - expede"/>
        <s v="tiago eletrônicos - b2b"/>
        <s v="mdl comércio importação (erp+afv)"/>
        <s v="mdl comércio de importação (int.wms)"/>
        <s v="germer porcenalas"/>
        <s v="editora dcl"/>
        <s v="fuzipar (afv)"/>
        <s v="adelmo jeronimo"/>
        <s v="fuzipar (erp)"/>
        <s v="fuzipar (cloud)"/>
        <s v="grupo ecoa (erp)"/>
        <s v="grupo ecoa (b2b)"/>
        <s v="vitoria cortinas  (horas)"/>
        <s v="maxsoy alimentos ltda"/>
        <s v="brinquemix - erp"/>
        <s v="tapetes oasis"/>
        <s v="sanremo"/>
        <s v="industria oyshi"/>
        <s v="tray jlk importadora"/>
        <s v="deltamax importadora"/>
        <s v="rpa technology industria e comercio ltda"/>
        <s v="tropical aromas"/>
        <s v="usual plastic - (afv)"/>
        <s v="amilplast ind - erp"/>
        <s v="pracaza decor comercio importacao e exportacao de artigos para decoracao ltda."/>
        <s v="aluminio marcolar ltda"/>
        <s v="off paper (afv)"/>
        <s v="shinytoys"/>
        <s v="dgb comex"/>
        <s v="duarte estofaria"/>
        <s v="aluminio ramos"/>
        <s v="bezavel cnpj"/>
        <s v="tooltec injecoes plasticas"/>
        <s v="brinquemix"/>
        <s v="baag (bahia artes gráficas) wms"/>
        <s v="amilplast industria - cloud"/>
        <s v="off paper (cloud)"/>
        <s v="off paper (erp)"/>
        <s v="usual plastic (bi)"/>
        <s v="jr comercio de motos e pecas"/>
        <s v="jomafe brasil - comercio de utensilios domesticos e cutelarias ltda."/>
        <s v="natalia damaceno"/>
        <s v="casa bonitta - pdv"/>
        <s v="bella refratarios"/>
        <s v="sidney stabile"/>
        <s v="futuro brasil"/>
        <s v="fantoys brinquedos - erp"/>
        <s v="rb malls - guarani erp"/>
        <s v="central raçoes - erp"/>
        <s v="central distribuidora de produtos agropecuarios"/>
        <s v="ilumac industria - erp"/>
        <s v="mewoof importadora"/>
        <s v="fantoys brinquedos - cloud"/>
        <s v="principios"/>
        <s v="luzia lara guilhen- mei"/>
        <s v="luzia lara guilhen"/>
        <s v="chame rio (cloud)"/>
        <s v="dvidros (cnpj)"/>
        <s v="central rações - bi"/>
        <s v="central das rações - cloud"/>
        <s v="facinato bi"/>
        <s v="plasbrink embalagens plasticas ltda - erp"/>
        <s v="wellmix erp"/>
        <s v="tms imports"/>
        <s v="dolce home comercio de utilidades domesticas ltda."/>
        <s v="ilumac industria - cloud"/>
        <s v="chame rio - horas"/>
        <s v="bionov"/>
        <s v="vitoria cortinas - horas"/>
        <s v="casa bonitta - cloud"/>
        <s v="casa bonitta - erp"/>
        <s v="961 importadora"/>
        <s v="sol pratae"/>
        <s v="artesanato uni-art ind. - erp"/>
        <s v="star distribuidora (wms)"/>
        <s v="distribuidora papagaio"/>
        <s v="preciza import"/>
        <s v="artesanato uni-art ind.- cloud"/>
        <s v="plasbrink embalagens plasticas ltda - cloud"/>
        <s v="preciza import - boleto whatsapp"/>
        <s v="marka textil - erp"/>
        <s v="marka textil - cloud"/>
        <s v="imprime industria e comercio de plasticos"/>
        <s v="distribuidora prime - erp"/>
        <s v="karam kaiss"/>
        <s v="sevilla trade - erp"/>
        <s v="sevilha trade - cloud"/>
        <s v="distribuidora prime - cloud"/>
        <s v="tritec - proposta web"/>
        <s v="evolux - erp - pcp  - wms - afv"/>
        <s v="medihosp"/>
        <s v="salopet embalagens plasticas - erp"/>
        <s v="tecelegam castilho - mdfe"/>
        <s v="atacadao montebello - b2b"/>
        <s v="newbaby - erp"/>
        <s v="kitay industria e comercio de alimentos ltda"/>
        <s v="mdl - wms"/>
        <s v="newbaby - cloud"/>
        <s v="baag - incl.cnpj"/>
        <s v="e.s maia - afv"/>
        <s v="phabllo parambu atacado - erp"/>
        <s v="phabllo parambu atacado - cloud"/>
        <s v="salopet embalagens plasticas - cloud"/>
        <s v="lojas tem"/>
        <s v="bela flor"/>
        <s v="imev proteinas"/>
        <s v="aih importadora de artigos de presentes ltda"/>
        <s v="plastcap treinamento"/>
        <s v="platcap cloud"/>
        <s v="distribuidora explosão 10"/>
        <s v="luz wms"/>
        <s v="agua sana cnpj"/>
        <s v="fafa import - wms"/>
        <s v="tecelagem castilho - proposta web"/>
        <s v="maia 4"/>
        <s v="zomax"/>
        <s v="val port"/>
        <s v="tron"/>
        <s v="sago impor wms"/>
        <s v="hf utilidades"/>
        <s v="valport b2b"/>
        <s v="atual mix"/>
        <s v="vic import - erp"/>
        <s v="vic import - afv"/>
        <s v="vic import - cloud"/>
        <s v="conthey - erp"/>
        <s v="conthey - afv"/>
        <s v="conthey - cloud"/>
        <s v="star - b2b"/>
        <s v="tecelagem castilho - contábil"/>
        <s v="erca alumínio - imp.xml"/>
        <s v="union rebite"/>
        <s v="toptem - erp"/>
        <s v="toptem - afv"/>
        <s v="atacado sibras 1.99"/>
        <s v="bj engenharia"/>
        <s v="chavetas comercio de pecas e ferramentas ltda"/>
        <s v="colorunhas"/>
        <s v="doce festa - erp - afv + bi"/>
        <s v="irriga house"/>
        <s v="distribuidora do wicca"/>
        <s v="jp distribuidora - agenda visita"/>
        <s v="aki tem  - cnpj"/>
        <s v="aluminio nacional"/>
        <s v="pcp engenharia"/>
        <s v="afey peças"/>
        <s v="folha dourada tabacos ltda"/>
        <s v="cls industria de produtos quimicos ltda"/>
        <s v="nvt importadora"/>
        <s v="olé alimentos"/>
        <s v="maral"/>
        <s v="loggix serviços material escolar"/>
        <s v="zini home"/>
        <s v="russa 7 berg distribuidora"/>
        <s v="riofix parafuso"/>
        <s v="stok frios"/>
        <s v="atacadão delfino"/>
        <s v="bk comercio"/>
        <s v="fisiohosp"/>
        <s v="vida fitness"/>
        <s v="hortodasacacias"/>
        <s v="devons hair"/>
        <s v="deltamed comercio"/>
        <s v="alpinpro"/>
        <s v="tapecaria e acessorios maraba"/>
        <s v="carlinhos doces artesanais"/>
        <s v="kuff consultoria"/>
        <s v="renato de mattos malaquias"/>
        <s v="ana maria fonseca garcia"/>
        <s v="ricieri maquinas &amp; ferramentas"/>
        <s v="alfa seven embalagens industria e comercio ltda"/>
        <s v="casa amiga - b2b"/>
        <s v="casa bom dia"/>
        <s v="wb engenharia"/>
        <s v="central eletrica solar"/>
        <s v="marques embalagens"/>
        <s v="valport cloud"/>
        <s v="vinicius monteiro"/>
        <s v="cloud nvt"/>
        <s v="panveiga"/>
        <s v="autõnomo"/>
        <s v="quimica haller ltda"/>
        <s v="claudio texeira"/>
        <s v="recanto agricola"/>
        <s v="maurício jorge lima"/>
        <s v="max club"/>
        <s v="ramfisa participacoes e investimentos s/a"/>
        <s v="purai souvenirs ltda"/>
        <s v="bem bom pescados"/>
        <s v="possani mix"/>
        <s v="bombemi comercial ltda"/>
        <s v="edy distribuidora d alimentos"/>
        <s v="acn comercial"/>
        <s v="mundo das águas turismo"/>
        <s v="bral-max industria e comercio de plasticos ltda"/>
        <s v="multiple business service"/>
        <s v="dinatale import ltda"/>
        <s v="sultex comex"/>
        <s v="toy e home importadora e distribuidora ltda"/>
        <s v="lcosmeticos"/>
        <s v="minas mix"/>
        <s v="brasa e malte"/>
        <s v="leme"/>
        <s v="kicollaadesivos.com.br"/>
        <s v="giacom distribuidora de pecas ltda"/>
        <s v="auto volth"/>
        <s v="fb dis"/>
        <s v="scientech ambiental"/>
        <s v="orbhes espumas e colchoes ltda"/>
        <s v="atacado forte vale"/>
        <s v="portal importação"/>
        <s v="plasberg - erp"/>
        <s v="plasberg - afv"/>
        <s v="pino lar industria e comercio ltda"/>
        <s v="claudio teixeira - cloud"/>
        <s v="mauricio jorge lima - cloud"/>
        <s v="folha dourada tabacos - cloud"/>
        <s v="minas mix - cloud"/>
        <s v="tenneco"/>
        <s v="certo"/>
        <s v="plastianna"/>
        <s v="armando nacionais e importados"/>
        <s v="mobal"/>
        <s v="buteco &amp; decor"/>
        <s v="rg moto peças"/>
        <s v="solimp"/>
        <s v="monteiro alimentos"/>
        <s v="2vo"/>
        <s v="grupo micromax"/>
        <s v="iracema importadora"/>
        <s v="casart importadora"/>
        <s v="encartelados nina - erp"/>
        <s v="ad &amp; ad (comex)"/>
        <s v="reobote mult-service"/>
        <s v="rg distribuidora de bebidas ltda"/>
        <s v="loja da construção"/>
        <s v="gisele - zzz"/>
        <s v="gs atacado"/>
        <s v="lm bebidas"/>
        <s v="ck hospitalar - afv"/>
        <s v="rp pisos"/>
        <s v="dede acessorios"/>
        <s v="atacadão das tripas - erp"/>
        <s v="bazar importadora ltda"/>
        <s v="super zinca comercio e reformas de carrinhos ltda"/>
        <s v="micromax industria e comercio ltda"/>
        <s v="startools ferramentas (erp)"/>
        <s v="clean tech - erp"/>
        <s v="pamela cristina da fonseca"/>
        <s v="atacadão das tripas"/>
        <s v="eletro fort ltda"/>
        <s v="j. a. marinho itapeva ltda"/>
        <s v="angel"/>
        <s v="cia atacadista"/>
        <s v="ama"/>
        <s v="industrial san marcus"/>
        <s v="fa de doces"/>
        <s v="metal adm"/>
        <s v="new"/>
        <s v="grupo alves consultoria empresarial"/>
        <s v="home brands - erp - afv"/>
        <s v="home brands - afv"/>
        <s v="compuleme"/>
        <s v="trivale tecnologia"/>
        <s v="adriana brandão"/>
        <s v="leticia - aliança"/>
        <s v="infraloc"/>
        <s v="centrolar"/>
        <s v="vitta estrutural"/>
        <s v="flavio storino"/>
        <s v="on import ltda"/>
        <s v="sunred ind da confeccao ltda"/>
        <s v="teodoro cosmeticos - erp"/>
        <s v="revisao autopecas"/>
        <s v="jlj transportes e locações"/>
        <s v="agropecuaria agromais"/>
        <s v="sucos prats"/>
        <s v="teodoro cosméticos - afv"/>
        <s v="teodoro cosméticos - cloud"/>
        <s v="mc flores"/>
        <s v="encartelados nina - cloud"/>
        <s v="atacadão das tripas - cloud"/>
        <s v="clean tech - cloud"/>
        <s v="startools - comex"/>
        <s v="azul importadora"/>
        <s v="kopermax"/>
        <s v="lojas veste 10"/>
        <s v="plug lar u.d."/>
        <s v="bene tu confeccoes ltda"/>
        <s v="industria e comercio jolitex ltda"/>
        <s v="vaeso"/>
        <s v="globalmix - erp"/>
        <s v="irmãos capuci"/>
        <s v="fcabrasil"/>
        <s v="danrib"/>
        <s v="matrix brinquedos"/>
        <s v="terra brasil"/>
        <s v="farmacia boa sorte"/>
        <s v="brl alimentos wms"/>
        <s v="ags administracao de bens sociedade unipessoal ltda"/>
        <s v="brota company"/>
        <s v="4 distribuidora"/>
        <s v="crx comercio, importacao e exportacao ltda"/>
        <s v="banana toys - erp"/>
        <s v="comercial gaviao"/>
        <s v="fratelli / euroquadros"/>
        <s v="simao distribuidora"/>
        <s v="mundial importacao e exportacao ltda"/>
        <s v="brisa artes industria e comercio ltda"/>
        <s v="nemoaprds"/>
        <s v="soberana agrorural"/>
        <s v="verti flores e plantas permanentes"/>
        <s v="otimiza"/>
        <s v="javeh"/>
        <s v="biricutico"/>
        <s v="plus atacadista"/>
        <s v="master consultorias em vedacoes industriais"/>
        <s v="colonia hortifruti"/>
        <s v="vivazhigienização"/>
        <s v="master"/>
        <s v="aalquimya"/>
        <s v="pão de alho"/>
        <s v="inovapet"/>
        <s v="inovapet industria e comercio de embalagens ltda"/>
        <s v="a2 tecnologia industrial"/>
        <s v="fm negocios"/>
        <s v="concreps"/>
        <s v="auto peças taurus"/>
        <s v="grupo kimura"/>
        <s v="hidroar industria quimica"/>
        <s v="ventmar ventilacao"/>
        <s v="vilela &amp; vilela ltda"/>
        <s v="maismendes distribuidora materiais para construção"/>
        <s v="distribom"/>
        <s v="preciza imports"/>
        <s v="reciclanorte"/>
        <s v="globalmix - cloud"/>
        <s v="globalmix - b2b"/>
        <s v="jundcoat"/>
        <s v="indukraft industria e comercio de embalagens ltda"/>
        <s v="b&amp;g comércio"/>
        <s v="leondilmo mat const ltda"/>
        <s v="banana toys - cloud"/>
        <s v="util ud - pcp / wms"/>
        <s v="weck - horas"/>
        <s v="casabella claudio teixeira - erp"/>
        <s v="casabella claudio teixeira - cloud"/>
        <s v="distribuidora anderson corrado"/>
        <s v="nat art papelaria"/>
        <s v="forte e limpo"/>
        <s v="finance coop"/>
        <s v="baag - cloud"/>
        <s v="baag - televendas"/>
        <s v="badux auto eletrica pecas e servicos"/>
        <s v="lavanderia e tinturaria lavinorte ltda."/>
        <s v="tecalhas ind. com. ferragens em geral"/>
        <s v="eletro+"/>
        <s v="pra mim mesmo"/>
        <s v="coelhos automacao"/>
        <s v="baag - bi"/>
        <s v="eduardo marino coelho"/>
        <s v="unitermi"/>
        <s v="martiplast industria e comercio de plasticos ltda"/>
        <s v="vidal"/>
        <s v="metalurgica valentini ltda"/>
        <s v="camelo distribuidora"/>
        <s v="compec auto pecas"/>
        <s v="marcamix (comex)"/>
        <s v="magazine raissa"/>
        <s v="jh navegação e logística ltda"/>
        <s v="marlim azul turismo"/>
        <s v="mercado do bairro"/>
        <s v="guri cervejaria"/>
        <s v="up &amp; ib embalagens industriais"/>
        <s v="raryplast industria e comercio ltda"/>
        <s v="embalageral distribuidora"/>
        <s v="simas"/>
        <s v="cks importadora"/>
        <s v="pracaza"/>
        <s v="malinha plus size"/>
        <s v="mabel"/>
        <s v="u4 group"/>
        <s v="ns iguacu eletronicos"/>
        <s v="etilux"/>
        <s v="sqcomercio"/>
        <s v="comblocos materiais de construção"/>
        <s v="araguaia materiais para construcao"/>
        <s v="teodoro cosméticos"/>
        <s v="dsg"/>
        <s v="logrosoft comercio erp"/>
        <s v="logro soft"/>
        <s v="rk assessoria contábil"/>
        <s v="autofoz"/>
        <s v="ferragens negrao comercial ltda"/>
        <s v="nova casa distribuidora"/>
        <s v="bartofil distribuidora sa"/>
        <s v="grupo lle"/>
        <s v="brasil rural"/>
        <s v="comercial o manoel"/>
        <s v="garrama com essência eirele"/>
        <s v="supermercado mathur"/>
        <s v="cafe santa monica"/>
        <s v="north acai foods"/>
        <s v="lpx"/>
        <s v="governo do estado de são paulo"/>
        <s v="hober artefatos plasticos ltda"/>
        <s v="bia alimentos"/>
        <s v="quality medical"/>
        <s v="autônomo"/>
        <s v="plaslumy distribuidora de embalagens ltda"/>
        <s v="shopping do parafuso ltda"/>
        <s v="max led"/>
        <s v="tres americas alimentos"/>
        <s v="alexdan importacao e exportacao ltda"/>
        <s v="bitilila nails"/>
        <s v="abc internacional"/>
        <s v="oneclick"/>
        <s v="jj soluções industriais"/>
        <s v="big plastic"/>
        <s v="invictus soluções integradas ltda"/>
        <s v="paulo sergio"/>
        <s v="grijalba aguiar linhares"/>
        <s v="megacenter trading company ltda"/>
        <s v="distribuidora robaski"/>
        <s v="alex martelinho servicos automotivos"/>
        <s v="bem estar industrial ltda"/>
        <s v="br safe"/>
        <s v="mdl (horas)"/>
        <s v="tecelagem castilho (e-commerce)"/>
        <s v="logro soft - comex"/>
        <s v="infinittec.com.br"/>
        <s v="eficaz atacadao da limpeza"/>
        <s v="rosh distribuidora"/>
        <s v="edu autoparts"/>
        <s v="bornia metais ltda."/>
        <s v="proprietario"/>
        <s v="bc"/>
        <s v="presystem"/>
        <s v="ivan edson dias"/>
        <s v="ellform"/>
        <s v="morefix comercio e importacao ltda"/>
        <s v="resende &amp; santos de moc ltda"/>
        <s v="distribuidora renova"/>
        <s v="rv distribuidora"/>
        <s v="aparecido ribeiro molina junior"/>
        <s v="istok comercio importacao (erp)"/>
        <s v="petiko"/>
        <s v="querosmais"/>
        <s v="fikssar distribuidora"/>
        <s v="krieger ind e com fé madeiras"/>
        <s v="tiago sandavid"/>
        <s v="torrefacao mineira ltda"/>
        <s v="jcs perfis"/>
        <s v="andre"/>
        <s v="gsh marketing solutions"/>
        <s v="contade"/>
        <s v="estilo ar"/>
        <s v="fernandopolis industria e comercio de piscinas e acessorios ltda"/>
        <s v="marden medical"/>
        <s v="ordene"/>
        <s v="industrias nigro"/>
        <s v="emblemax"/>
        <s v="mm optics"/>
        <s v="volmed brasil"/>
        <s v="mundial distribuidora de produtos de consumo ltda"/>
        <s v="carbonaro distribuidora ltda"/>
        <s v="nk distribuidora de cosmeticos"/>
        <s v="la rocha"/>
        <s v="arcobello participacoes"/>
        <s v="nsf equipamentos comerciais"/>
        <s v="hortron produtos medicos"/>
        <s v="hece maquinas"/>
        <s v="setormed"/>
        <s v="casa bonitta"/>
        <s v="utilimix utilidade domestica"/>
        <s v="analu parafusos ltda"/>
        <s v="belapin"/>
        <s v="istok comercio importação (cloud)"/>
        <s v="newlar"/>
        <s v="gifran industria de artigos texteis ltda"/>
        <s v="plasnew"/>
        <s v="ambiente verde"/>
        <s v="baag - horas"/>
        <s v="goedert ltda"/>
        <s v="mercapet"/>
        <s v="future"/>
        <s v="primavera"/>
        <s v="evol clean"/>
        <s v="uninjet industria e comercio de plasticos ltda"/>
        <s v="gioplast industria e comercio ltda"/>
        <s v="neoplas"/>
        <s v="plast.co"/>
        <s v="forfest industria de descartaveis ltda"/>
        <s v="comfort door"/>
        <s v="startools ferramentas, comercio, importacao e exportacao ltda"/>
        <s v="abtec.eng.br"/>
        <s v="mdl - comex"/>
        <s v="mdl - boleto whats"/>
        <s v="star distribuidora - boleto whats"/>
        <s v="fuzipar - erp"/>
        <s v="silk flowers" u="1"/>
        <s v="istok comercio importacao e exportacao ltda" u="1"/>
        <s v="ns iguacu eletronicos ltda" u="1"/>
        <s v="alexandre biassio" u="1"/>
        <s v="marca mix (comex)" u="1"/>
        <s v="up" u="1"/>
      </sharedItems>
    </cacheField>
    <cacheField name="CNPJ" numFmtId="0">
      <sharedItems containsString="0" containsBlank="1" containsNumber="1" containsInteger="1" minValue="221294000181" maxValue="96280292000809"/>
    </cacheField>
    <cacheField name="Nome do Cliente" numFmtId="0">
      <sharedItems/>
    </cacheField>
    <cacheField name="Nome do Contato" numFmtId="0">
      <sharedItems/>
    </cacheField>
    <cacheField name="Telefone do Contato" numFmtId="0">
      <sharedItems/>
    </cacheField>
    <cacheField name="Celular do Contato" numFmtId="0">
      <sharedItems/>
    </cacheField>
    <cacheField name="E-mail do contato" numFmtId="0">
      <sharedItems/>
    </cacheField>
    <cacheField name="Grupo do cliente" numFmtId="0">
      <sharedItems/>
    </cacheField>
    <cacheField name="Contatos" numFmtId="0">
      <sharedItems/>
    </cacheField>
    <cacheField name="Endereço" numFmtId="0">
      <sharedItems/>
    </cacheField>
    <cacheField name="Cidade" numFmtId="0">
      <sharedItems/>
    </cacheField>
    <cacheField name="Estado" numFmtId="0">
      <sharedItems/>
    </cacheField>
    <cacheField name="Origem" numFmtId="0">
      <sharedItems/>
    </cacheField>
    <cacheField name="Origem do cliente" numFmtId="0">
      <sharedItems/>
    </cacheField>
    <cacheField name="Categoria do cliente" numFmtId="0">
      <sharedItems/>
    </cacheField>
    <cacheField name="TAGS" numFmtId="0">
      <sharedItems/>
    </cacheField>
    <cacheField name="Funil de vendas" numFmtId="0">
      <sharedItems/>
    </cacheField>
    <cacheField name="Etapa do funil de vendas" numFmtId="0">
      <sharedItems/>
    </cacheField>
    <cacheField name="Forma de Pagamento" numFmtId="0">
      <sharedItems/>
    </cacheField>
    <cacheField name="Data esperada de fechamento" numFmtId="14">
      <sharedItems containsNonDate="0" containsDate="1" containsString="0" containsBlank="1" minDate="2024-12-06T00:00:00" maxDate="2028-07-02T00:00:00"/>
    </cacheField>
    <cacheField name="Valor Total" numFmtId="0">
      <sharedItems containsString="0" containsBlank="1" containsNumber="1" containsInteger="1" minValue="0" maxValue="15359994"/>
    </cacheField>
    <cacheField name="Valor mensal" numFmtId="0">
      <sharedItems containsString="0" containsBlank="1" containsNumber="1" containsInteger="1" minValue="0" maxValue="2713706"/>
    </cacheField>
    <cacheField name="Tempo como oportunidade" numFmtId="0">
      <sharedItems containsSemiMixedTypes="0" containsString="0" containsNumber="1" containsInteger="1" minValue="0" maxValue="540"/>
    </cacheField>
    <cacheField name="Criado por" numFmtId="0">
      <sharedItems/>
    </cacheField>
    <cacheField name="Data de Criação" numFmtId="14">
      <sharedItems containsSemiMixedTypes="0" containsNonDate="0" containsDate="1" containsString="0" minDate="2024-11-26T00:00:00" maxDate="2026-05-20T00:00:00"/>
    </cacheField>
    <cacheField name="Hora de Criação" numFmtId="44">
      <sharedItems containsSemiMixedTypes="0" containsNonDate="0" containsDate="1" containsString="0" minDate="1899-12-30T01:46:53" maxDate="1899-12-30T22:55:41"/>
    </cacheField>
    <cacheField name="Código externo" numFmtId="0">
      <sharedItems/>
    </cacheField>
    <cacheField name="Status" numFmtId="0">
      <sharedItems/>
    </cacheField>
    <cacheField name="Data de Perda/Ganho" numFmtId="14">
      <sharedItems containsNonDate="0" containsDate="1" containsString="0" containsBlank="1" minDate="2024-12-12T00:00:00" maxDate="2026-05-20T00:00:00"/>
    </cacheField>
    <cacheField name="Hora de Perda/Ganho" numFmtId="44">
      <sharedItems containsNonDate="0" containsDate="1" containsString="0" containsBlank="1" minDate="1899-12-30T01:00:16" maxDate="1899-12-30T23:13:47"/>
    </cacheField>
    <cacheField name="Motivo de perda" numFmtId="0">
      <sharedItems/>
    </cacheField>
    <cacheField name="Razão de Perda" numFmtId="0">
      <sharedItems longText="1"/>
    </cacheField>
    <cacheField name="Data Venda  Agenda" numFmtId="0">
      <sharedItems/>
    </cacheField>
    <cacheField name="Data Proposta" numFmtId="0">
      <sharedItems count="219">
        <s v=""/>
        <s v="29/11/2024"/>
        <s v="07/03/2025"/>
        <s v="04/12/2024"/>
        <s v="09/12/2024"/>
        <s v="27/09/2024"/>
        <s v="06/01/2025"/>
        <s v="18/10/2024"/>
        <s v="25/10/2024"/>
        <s v="18/12/2024"/>
        <s v="28/11/2024"/>
        <s v="06/11/2024"/>
        <s v="12/11/2024"/>
        <s v="28/01/2025"/>
        <s v="20/11/2024"/>
        <s v="06/12/2024"/>
        <s v="12/12/2024"/>
        <s v="30/01/2025"/>
        <s v="10/12/2024"/>
        <s v="05/12/2024"/>
        <s v="16/12/2024"/>
        <s v="20/01/2025"/>
        <s v="17/12/2024"/>
        <s v="20/12/2024"/>
        <s v="29/01/2025"/>
        <s v="07/01/2025 00:00"/>
        <s v="21/01/2025"/>
        <s v="10/01/2025 00:00"/>
        <s v="20/01/2025 00:00"/>
        <s v="22/01/2025"/>
        <s v="27/01/2025"/>
        <s v="24/01/2025"/>
        <s v="28/01/2025 00:00"/>
        <s v="16/01/2025"/>
        <s v="07/01/2025"/>
        <s v="05/02/2025"/>
        <s v="07/02/2025"/>
        <s v="03/02/2025 00:00"/>
        <s v="07/02/2025 00:00"/>
        <s v="06/02/2025 00:00"/>
        <s v="24/02/2025"/>
        <s v="14/02/2025"/>
        <s v="17/02/2025"/>
        <s v="13/02/2025"/>
        <s v="14/03/2025"/>
        <s v="02/05/2025"/>
        <s v="25/02/2025"/>
        <s v="17/02/2025 00:00"/>
        <s v="25/11/2025"/>
        <s v="21/02/2025"/>
        <s v="20/02/2025"/>
        <s v="20/02/2025 00:00"/>
        <s v="26/02/2025"/>
        <s v="04/03/2025 00:00"/>
        <s v="10/03/2025 00:00"/>
        <s v="10/03/2025 15:00"/>
        <s v="13/03/2025"/>
        <s v="17/03/2025 00:00"/>
        <s v="19/03/2025"/>
        <s v="20/03/2025"/>
        <s v="28/03/2025"/>
        <s v="26/03/2025"/>
        <s v="27/03/2025"/>
        <s v="04/04/2025"/>
        <s v="30/04/2025"/>
        <s v="09/04/2025"/>
        <s v="07/04/2025 00:00"/>
        <s v="11/04/2025"/>
        <s v="15/04/2025"/>
        <s v="18/04/2025"/>
        <s v="10/04/2025"/>
        <s v="29/04/2025 00:00"/>
        <s v="24/04/2025 00:00"/>
        <s v="15/04/2025 00:00"/>
        <s v="08/05/2025"/>
        <s v="15/05/2025"/>
        <s v="29/05/2025"/>
        <s v="27/05/2025"/>
        <s v="22/05/2025"/>
        <s v="23/05/2025"/>
        <s v="26/05/2025"/>
        <s v="16/06/2025"/>
        <s v="02/06/2025 00:00"/>
        <s v="18/06/2025"/>
        <s v="13/03/2026"/>
        <s v="10/06/2025"/>
        <s v="13/06/2025"/>
        <s v="25/06/2025"/>
        <s v="12/06/2025"/>
        <s v="18/07/2025"/>
        <s v="01/07/2025"/>
        <s v="02/09/2025"/>
        <s v="16/07/2025"/>
        <s v="11/07/2025"/>
        <s v="07/07/2025"/>
        <s v="18/08/2025"/>
        <s v="30/07/2025"/>
        <s v="22/07/2025"/>
        <s v="17/09/2025"/>
        <s v="11/08/2025"/>
        <s v="04/08/2025"/>
        <s v="02/03/2026"/>
        <s v="05/08/2025 00:00"/>
        <s v="28/08/2025"/>
        <s v="29/08/2025"/>
        <s v="21/10/2025"/>
        <s v="21/08/2025"/>
        <s v="20/08/2025"/>
        <s v="29/09/2025"/>
        <s v="18/08/2025 00:00"/>
        <s v="25/08/2025 00:00"/>
        <s v="06/08/2025"/>
        <s v="05/08/2025"/>
        <s v="25/08/2025"/>
        <s v="19/09/2025"/>
        <s v="10/09/2025"/>
        <s v="11/09/2025 00:00"/>
        <s v="05/09/2025"/>
        <s v="06/02/2026"/>
        <s v="12/09/2025"/>
        <s v="15/09/2025 00:00"/>
        <s v="30/09/2025"/>
        <s v="04/09/2025"/>
        <s v="28/10/2025"/>
        <s v="09/09/2025 00:00"/>
        <s v="02/09/2025 00:00"/>
        <s v="16/09/2025 00:00"/>
        <s v="22/10/2025"/>
        <s v="30/09/2025 00:00"/>
        <s v="10/10/2025"/>
        <s v="15/10/2025 00:00"/>
        <s v="16/10/2025"/>
        <s v="26/11/2025"/>
        <s v="13/10/2025"/>
        <s v="14/11/2025"/>
        <s v="29/10/2025"/>
        <s v="03/11/2025 00:00"/>
        <s v="05/11/2025 00:00"/>
        <s v="12/11/2025"/>
        <s v="04/11/2025"/>
        <s v="24/11/2025"/>
        <s v="05/11/2025"/>
        <s v="28/11/2025"/>
        <s v="26/11/2025 00:00"/>
        <s v="19/11/2025 00:00"/>
        <s v="21/11/2025 00:00"/>
        <s v="11/11/2025 00:00"/>
        <s v="24/11/2025 00:00"/>
        <s v="12/11/2025 00:00"/>
        <s v="10/11/2025 00:00"/>
        <s v="01/12/2025 00:00"/>
        <s v="05/12/2025 00:00"/>
        <s v="02/12/2025 00:00"/>
        <s v="10/12/2025 00:00"/>
        <s v="15/12/2025 00:00"/>
        <s v="14/01/2026"/>
        <s v="16/12/2025"/>
        <s v="11/12/2025"/>
        <s v="02/12/2025"/>
        <s v="12/12/2025"/>
        <s v="27/03/2026"/>
        <s v="22/12/2025"/>
        <s v="05/02/2026"/>
        <s v="19/01/2026"/>
        <s v="08/01/2026 00:00"/>
        <s v="09/01/2026 00:00"/>
        <s v="13/01/2026"/>
        <s v="05/01/2026 00:00"/>
        <s v="27/02/2026"/>
        <s v="13/01/2026 00:00"/>
        <s v="16/01/2026"/>
        <s v="14/01/2026 00:00"/>
        <s v="20/01/2026"/>
        <s v="13/02/2026"/>
        <s v="10/03/2026"/>
        <s v="28/01/2026"/>
        <s v="23/01/2026 00:00"/>
        <s v="02/02/2026"/>
        <s v="30/01/2026"/>
        <s v="21/01/2026"/>
        <s v="09/03/2026"/>
        <s v="06/02/2026 00:00"/>
        <s v="05/05/2026"/>
        <s v="11/02/2026"/>
        <s v="25/02/2026"/>
        <s v="23/02/2026"/>
        <s v="20/02/2026"/>
        <s v="16/03/2026"/>
        <s v="20/02/2026 00:00"/>
        <s v="11/03/2026"/>
        <s v="26/02/2026"/>
        <s v="19/02/2026"/>
        <s v="05/03/2026"/>
        <s v="06/03/2026"/>
        <s v="26/03/2026"/>
        <s v="18/03/2026"/>
        <s v="09/04/2026"/>
        <s v="20/03/2026"/>
        <s v="04/05/2026"/>
        <s v="23/03/2026"/>
        <s v="24/03/2026"/>
        <s v="30/03/2026 00:00"/>
        <s v="11/03/2026 00:00"/>
        <s v="27/03/2026 00:00"/>
        <s v="26/03/2026 00:00"/>
        <s v="08/04/2026 00:00"/>
        <s v="28/04/2026"/>
        <s v="16/04/2026"/>
        <s v="23/04/2026"/>
        <s v="14/04/2026"/>
        <s v="08/05/2026"/>
        <s v="Alexandre"/>
        <s v="14/05/2026"/>
        <s v="16/04/2026 00:00"/>
        <s v="14/04/2026 00:00"/>
        <s v="12/05/2026"/>
        <s v="07/05/2026 00:00"/>
        <s v="18/05/2026 00:00"/>
        <s v="24/04/2026" u="1"/>
      </sharedItems>
    </cacheField>
    <cacheField name="SDRResponsável" numFmtId="0">
      <sharedItems/>
    </cacheField>
    <cacheField name="DataApresentação1" numFmtId="0">
      <sharedItems count="242">
        <s v=""/>
        <s v="27/11/2024"/>
        <s v="05/12/2024"/>
        <s v="02/12/2024"/>
        <s v="02/12/2024 00:00"/>
        <s v="27/09/2024"/>
        <s v="11/10/2024"/>
        <s v="01/10/2024"/>
        <s v="18/10/2024"/>
        <s v="21/10/2024"/>
        <s v="18/12/2024"/>
        <s v="19/11/2024"/>
        <s v="05/11/2024"/>
        <s v="12/11/2024"/>
        <s v="18/11/2024"/>
        <s v="04/12/2024 00:00"/>
        <s v="06/12/2024"/>
        <s v="09/12/2024 00:00"/>
        <s v="04/12/2024"/>
        <s v="11/12/2024"/>
        <s v="16/12/2024"/>
        <s v="12/12/2024"/>
        <s v="19/12/2024"/>
        <s v="07/01/2025 00:00"/>
        <s v="28/01/2025"/>
        <s v="14/01/2025 15:00"/>
        <s v="10/01/2025"/>
        <s v="10/01/2025 16:00"/>
        <s v="10/01/2025 00:00"/>
        <s v="22/01/2025 15:00"/>
        <s v="21/01/2025 09:00"/>
        <s v="20/01/2025 00:00"/>
        <s v="22/01/2025 10:00"/>
        <s v="24/01/2025 15:00"/>
        <s v="17/01/2025"/>
        <s v="23/01/2025"/>
        <s v="27/01/2025"/>
        <s v="28/01/2025 00:00"/>
        <s v="29/01/2025"/>
        <s v="30/01/2025 15:30"/>
        <s v="31/01/2025"/>
        <s v="06/01/2025"/>
        <s v="16/01/2025"/>
        <s v="07/01/2025"/>
        <s v="05/02/2025"/>
        <s v="03/02/2025 00:00"/>
        <s v="06/02/2025 00:00"/>
        <s v="12/02/2025"/>
        <s v="13/02/2025 11:00"/>
        <s v="13/02/2025 15:00"/>
        <s v="11/02/2025"/>
        <s v="14/02/2025 00:00"/>
        <s v="14/02/2025"/>
        <s v="17/02/2025"/>
        <s v="17/02/2025 00:00"/>
        <s v="04/02/2025 00:00"/>
        <s v="21/11/2025"/>
        <s v="21/02/2025"/>
        <s v="21/02/2025 00:00"/>
        <s v="26/02/2025"/>
        <s v="04/03/2025 00:00"/>
        <s v="10/03/2025 00:00"/>
        <s v="07/03/2025 00:00"/>
        <s v="13/03/2025"/>
        <s v="17/03/2025 00:00"/>
        <s v="18/03/2025"/>
        <s v="27/03/2025"/>
        <s v="26/03/2025"/>
        <s v="02/04/2025 00:00"/>
        <s v="28/03/2025 00:00"/>
        <s v="21/03/2025"/>
        <s v="28/03/2025"/>
        <s v="04/04/2025"/>
        <s v="02/06/2025"/>
        <s v="04/04/2025 00:00"/>
        <s v="11/04/2025"/>
        <s v="14/04/2025"/>
        <s v="09/04/2025"/>
        <s v="30/04/2025"/>
        <s v="28/04/2025 00:00"/>
        <s v="24/04/2025 00:00"/>
        <s v="15/04/2025 00:00"/>
        <s v="02/05/2025 00:00"/>
        <s v="08/05/2025"/>
        <s v="15/05/2025"/>
        <s v="07/05/2025"/>
        <s v="29/05/2025"/>
        <s v="26/05/2025"/>
        <s v="30/05/2025"/>
        <s v="27/05/2025"/>
        <s v="06/06/2025"/>
        <s v="02/06/2025 00:00"/>
        <s v="09/06/2025"/>
        <s v="13/06/2025"/>
        <s v="10/06/2025"/>
        <s v="18/06/2025"/>
        <s v="11/06/2025"/>
        <s v="25/06/2025"/>
        <s v="16/06/2025"/>
        <s v="18/07/2025"/>
        <s v="01/07/2025"/>
        <s v="04/07/2025"/>
        <s v="15/07/2025"/>
        <s v="11/07/2025"/>
        <s v="07/07/2025"/>
        <s v="08/07/2025"/>
        <s v="30/07/2025"/>
        <s v="17/09/2025"/>
        <s v="11/08/2025"/>
        <s v="04/08/2025"/>
        <s v="11/08/2025 00:00"/>
        <s v="09/02/2026"/>
        <s v="05/08/2025 00:00"/>
        <s v="18/08/2025"/>
        <s v="14/08/2025"/>
        <s v="21/08/2025"/>
        <s v="15/10/2025"/>
        <s v="15/08/2025"/>
        <s v="29/09/2025"/>
        <s v="18/08/2025 00:00"/>
        <s v="25/08/2025 00:00"/>
        <s v="06/08/2025"/>
        <s v="16/09/2025"/>
        <s v="10/09/2025"/>
        <s v="11/09/2025 00:00"/>
        <s v="05/09/2025"/>
        <s v="06/02/2026"/>
        <s v="12/09/2025"/>
        <s v="10/09/2025 00:00"/>
        <s v="16/09/2025 00:00"/>
        <s v="19/09/2025"/>
        <s v="23/09/2025 00:00"/>
        <s v="24/09/2025 00:00"/>
        <s v="04/09/2025"/>
        <s v="30/09/2025"/>
        <s v="26/09/2025 00:00"/>
        <s v="09/09/2025 00:00"/>
        <s v="02/09/2025 00:00"/>
        <s v="30/09/2025 00:00"/>
        <s v="10/10/2025"/>
        <s v="15/10/2025 00:00"/>
        <s v="08/10/2025"/>
        <s v="09/10/2025"/>
        <s v="14/11/2025"/>
        <s v="27/10/2025"/>
        <s v="28/10/2025"/>
        <s v="13/10/2025"/>
        <s v="01/12/2025"/>
        <s v="04/11/2025 00:00"/>
        <s v="12/11/2025"/>
        <s v="04/11/2025"/>
        <s v="24/11/2025"/>
        <s v="05/11/2025"/>
        <s v="26/11/2025"/>
        <s v="26/11/2025 00:00"/>
        <s v="19/11/2025 00:00"/>
        <s v="25/11/2025"/>
        <s v="11/11/2025 00:00"/>
        <s v="24/11/2025 00:00"/>
        <s v="12/11/2025 00:00"/>
        <s v="10/11/2025 00:00"/>
        <s v="28/11/2025"/>
        <s v="02/12/2025 00:00"/>
        <s v="03/12/2025 00:00"/>
        <s v="05/12/2025 00:00"/>
        <s v="10/12/2025 00:00"/>
        <s v="15/12/2025 00:00"/>
        <s v="07/01/2026"/>
        <s v="15/12/2025"/>
        <s v="09/12/2025"/>
        <s v="02/12/2025"/>
        <s v="11/12/2025"/>
        <s v="12/12/2025"/>
        <s v="27/03/2026"/>
        <s v="16/12/2025"/>
        <s v="21/01/2026"/>
        <s v="13/01/2026"/>
        <s v="08/01/2026 00:00"/>
        <s v="09/01/2026 00:00"/>
        <s v="12/01/2026"/>
        <s v="15/01/2026"/>
        <s v="05/01/2026 00:00"/>
        <s v="27/02/2026"/>
        <s v="19/01/2026"/>
        <s v="13/01/2026 00:00"/>
        <s v="14/01/2026 00:00"/>
        <s v="20/01/2026"/>
        <s v="13/02/2026"/>
        <s v="05/03/2026"/>
        <s v="27/01/2026"/>
        <s v="23/01/2026 00:00"/>
        <s v="28/01/2026"/>
        <s v="02/02/2026"/>
        <s v="26/01/2026"/>
        <s v="05/02/2026 00:00"/>
        <s v="09/03/2026"/>
        <s v="11/02/2026"/>
        <s v="06/02/2026 00:00"/>
        <s v="04/05/2026"/>
        <s v="24/02/2026"/>
        <s v="26/02/2026"/>
        <s v="12/02/2026"/>
        <s v="18/03/2026"/>
        <s v="23/02/2026"/>
        <s v="08/05/2026"/>
        <s v="20/02/2026"/>
        <s v="20/02/2026 00:00"/>
        <s v="03/03/2026"/>
        <s v="26/02/2026 00:00"/>
        <s v="29/04/2026"/>
        <s v="02/03/2026 00:00"/>
        <s v="09/03/2026 00:00"/>
        <s v="06/03/2026"/>
        <s v="13/03/2026"/>
        <s v="10/03/2026"/>
        <s v="16/03/2026"/>
        <s v="12/03/2026 00:00"/>
        <s v="04/03/2026"/>
        <s v="26/03/2026"/>
        <s v="24/03/2026"/>
        <s v="23/03/2026"/>
        <s v="25/03/2026"/>
        <s v="17/03/2026"/>
        <s v="19/03/2026"/>
        <s v="11/03/2026 00:00"/>
        <s v="26/03/2026 00:00"/>
        <s v="08/04/2026"/>
        <s v="27/04/2026"/>
        <s v="15/04/2026"/>
        <s v="16/04/2026"/>
        <s v="17/04/2026"/>
        <s v="14/04/2026 00:00"/>
        <s v="14/04/2026"/>
        <s v="02/04/2026 00:00"/>
        <s v="18/05/2026"/>
        <s v="05/05/2026"/>
        <s v="07/05/2026"/>
        <s v="13/05/2026"/>
        <s v="28/05/2026"/>
        <s v="08/05/2026 00:00"/>
        <s v="18/05/2026 00:00"/>
        <s v="11/05/2026" u="1"/>
      </sharedItems>
    </cacheField>
    <cacheField name="DataApresentação2" numFmtId="0">
      <sharedItems/>
    </cacheField>
    <cacheField name="Data UltContato" numFmtId="14">
      <sharedItems containsNonDate="0" containsDate="1" containsString="0" containsBlank="1" minDate="2025-12-10T00:00:00" maxDate="2026-05-20T00:00:00"/>
    </cacheField>
    <cacheField name="Temperatura" numFmtId="0">
      <sharedItems containsString="0" containsBlank="1" containsNumber="1" containsInteger="1" minValue="27" maxValue="90"/>
    </cacheField>
    <cacheField name="Horas" numFmtId="0">
      <sharedItems/>
    </cacheField>
    <cacheField name="Produtos" numFmtId="0">
      <sharedItems/>
    </cacheField>
    <cacheField name="Vlr Projeto" numFmtId="0">
      <sharedItems/>
    </cacheField>
    <cacheField name="Vlr Mensalidade" numFmtId="0">
      <sharedItems/>
    </cacheField>
    <cacheField name="qtde" numFmtId="0">
      <sharedItems containsSemiMixedTypes="0" containsString="0" containsNumber="1" containsInteger="1" minValue="1" maxValue="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aulo Santos de Souza" refreshedDate="46162.31696423611" createdVersion="8" refreshedVersion="8" minRefreshableVersion="3" recordCount="502" xr:uid="{00000000-000A-0000-FFFF-FFFF01000000}">
  <cacheSource type="worksheet">
    <worksheetSource name="_329"/>
  </cacheSource>
  <cacheFields count="43">
    <cacheField name="Responsável" numFmtId="0">
      <sharedItems count="146" longText="1">
        <s v="Damián Muñoz"/>
        <s v="Rayssa Karapeticov"/>
        <s v="Junior Lopes"/>
        <s v="Paulo Souza"/>
        <s v="Passei as opções que temos integrações porém como quer uma funcionalidade especifica" u="1"/>
        <s v="Espero que esteja tudo bem com você." u="1"/>
        <s v="No dia 06/01 encaminhei a proposta para inclusão de CNPJ. Caso já tenha alguma previsão para início do uso dessa empresa" u="1"/>
        <s v="Vou dar baixa na proposta por enquanto e" u="1"/>
        <s v="Atenciosamente" u="1"/>
        <s v="14:44" u="1"/>
        <s v="14:45" u="1"/>
        <s v="enviei proposta comercial para o integrador&quot;" u="1"/>
        <s v="05.02 - Gustavo pediu para procura-lo na feira&quot;" u="1"/>
        <s v="1) Como esta a sua relação com a Guarani Sistemas" u="1"/>
        <s v="R: Falou sobre a liberação dos ajustes para reforma tributária e que foi perceptível a redução nos erros de atualização. " u="1"/>
        <s v="Estarão na Abup visitando nos dias 03 e 04 e combinamos de tomar um café lá." u="1"/>
        <s v="2) Para 2026" u="1"/>
        <s v="Falei com o Charles decidiram mudar a estratégia da empresa em questão de vendas e comercialização de produtos" u="1"/>
        <s v="E estão focando em prestação de serviços.&quot;" u="1"/>
        <s v="29//01 - não tive nenhum retorno&quot;" u="1"/>
        <s v="27/0 1 - encerrando tentativas com o Gustavo e o Marcos&quot;" u="1"/>
        <s v="22/01 negocio fechado" u="1"/>
        <s v="18.03 Tinhamos um" u="1"/>
        <s v="25.03 - Bom dia Emerson" u="1"/>
        <s v="Sobre as pendencias que falamos ontem:" u="1"/>
        <s v="- Alinhamento suporte: agendado reunião com o gerente Max" u="1"/>
        <s v="- Licenças Cloud: O Banco de dados da Facinato será migrado para um novo servidor" u="1"/>
        <s v="- Upgrade Cloud: Esta demanda esta com o Paulo" u="1"/>
        <s v="- Proposta BI: Estou enviando a proposta atualizada com a condição comercial do referente ao mês de março; - Pendente Facinato" u="1"/>
        <s v="- Comex: Aguardo avaliação e retorno sobre a viabilidade do módulo; - Pendente Facinato&quot;" u="1"/>
        <s v="23-02 Boa tarde Carlos" u="1"/>
        <s v="NO dia 20/01 fizemos uma reunião para levantar algumas questões que estão tendo ai na Mares e em conversa te passei algumas soluções" u="1"/>
        <s v="Pode me passar  como quer avançar com essas demandas e se tem interesse?" u="1"/>
        <s v="25.03 entrei em contato com o Carlos para saber como vamos avançar com os modulos que estão estudando&quot;" u="1"/>
        <s v="R: Falei como o Wheber" u="1"/>
        <s v="R:  Esse ano e sem projetos para 2026&quot;" u="1"/>
        <s v="É a Rayssa da Guarani Sistemas" u="1"/>
        <s v="Quando puder me avisa para te retornar" u="1"/>
        <s v="11:24" u="1"/>
        <s v="11:25" u="1"/>
        <s v="11:26" u="1"/>
        <s v="Perfeito" u="1"/>
        <s v="21/01 - Welsey pediu para entrar em contato com um funcionário dele" u="1"/>
        <s v="29/01 - sem retorno dele" u="1"/>
        <s v="R: Falei com o Leonardo não tem nada a relatar." u="1"/>
        <s v="R: Disse que agora em 2026 vai voltar a faturar. E caso precise de algum suporte entra em contato&quot;" u="1"/>
        <s v="27/01 - 3° tentativa de contato com o Alexandre" u="1"/>
        <s v="20/01 - Em contato como Carlos estão buscando automatizar processos e melhor a performance da equipe. " u="1"/>
        <s v="Pediu para apresentar todos os serviços integrados e osmodulos que não possuem no Guarani" u="1"/>
        <s v="falamos de um por um e pediu para enviar o materia dos serviços que mais atende a necessidade deles" u="1"/>
        <s v="Lexos - Natalia da Lexos irá agendar como cliente" u="1"/>
        <s v="Neocredit - vai conhecer o serviço como alternativa para o Serasa" u="1"/>
        <s v="Power BI  - Agendar apresentção" u="1"/>
        <s v="CRM Rd Station - Vai entrar em contato com a RD para conhecer " u="1"/>
        <s v="Interlipost - video enviado de cotação de frete" u="1"/>
        <s v="E passou vários pontos de WMS que trataremos em uma reunião com o Munhoz no dia 02/02" u="1"/>
        <s v="E passou vários pontos de WMS que trataremos em uma reunião com o Munhoz no dia 02/02&quot;" u="1"/>
        <s v="23/01 - Falei com o Rafael" u="1"/>
        <s v="Disse que se precisar de algo entra em contato comigo&quot;" u="1"/>
        <s v="R: Nesse inicio de ano estamos focado 100% na reforma tributário e até resolver esse problema não focaremos em nenhum outro assunto. Estamos recebendo todo auxilio necessário do suporte para atender esta demanda . Não temo nenhum queixa em relação ao guarani sistemas." u="1"/>
        <s v="após o assunto reforma tributária ser resolvido. Podemos conversa logo após o carnaval" u="1"/>
        <s v="Estão construindo um novo galpão que vão implementar o WMS e atualziei a proposta do BI com a condição comercial atualizada" u="1"/>
        <s v="Falou que esta muito satisfeito com o Guarani&quot;" u="1"/>
        <s v="Status de Satisfação: Muito Alto (ERP + Força de Vendas)." u="1"/>
        <s v="Projeção do Cliente: Expansão de 35% para 2026." u="1"/>
        <s v="Ponto de Atenção: Implantação do PCP pausada por decisão do cliente." u="1"/>
        <s v="Planejamento PCP: Retomada das pendências e ajustes prevista para 2026." u="1"/>
        <s v="Rone pediu para falar com Rogério sobre solução B2B " u="1"/>
        <s v="Status de Satisfação: Alto  dentro das suas atividades diárias " u="1"/>
        <s v="Projeção do Cliente: Bruno informou que está criando estratégias comerciais e desenvolvendo novos produtos para buscar um resultado melhor em suas vendas " u="1"/>
        <s v="Ponto de Atenção: nada relatado " u="1"/>
        <s v="Planejamento : enviar informações sobre B2B e percentual de crescimento dos clientes que hoje usam " u="1"/>
        <s v="Estou em contato com Aradia para alimentar mais informações&quot;" u="1"/>
        <s v="Passou alguns pontos" u="1"/>
        <s v="Porém" u="1"/>
        <s v="Atualizações emergenciais para correções dayzero" u="1"/>
        <s v="Falou que no porte da Guarani e principalmente para Plasduran isso nao pode acontecer" u="1"/>
        <s v="Alem disso são muitos chamados abertos semanalmente" u="1"/>
        <s v="Disse que esta tudo OK" u="1"/>
        <s v="05.02 custo alto&quot;" u="1"/>
        <s v="23-02 - Boa tarde Carlos" u="1"/>
        <s v="11.02 - Proposta enviada para visita do consultor para 5 dias" u="1"/>
        <s v="25.03 - entrei em contato com o Carlos para saber como vamos avançar com os modulos que estão estudando" u="1"/>
        <s v="15.04 - Boa Tarde Carlos" u="1"/>
        <s v="Como não tive retorno sobre o avanço do Interlipost" u="1"/>
        <s v="Quando fizer sentido para vocês podem me chamar e voltamos a negocia&quot;" u="1"/>
        <s v="Destoa forma precisa de um treinamento para implamentar esse processo na empresa" u="1"/>
        <s v="horas: 8 horas&quot;" u="1"/>
        <s v="É a Rayssa da Guarani Sistemas " u="1"/>
        <s v="Recebeu o email com a proposta?" u="1"/>
        <s v="17:42" u="1"/>
        <s v="Tudo bem?" u="1"/>
        <s v="17:45" u="1"/>
        <s v="Para que eu possa entender o que estão analisando?" u="1"/>
        <s v="17:46" u="1"/>
        <s v="17:51" u="1"/>
        <s v="17:53" u="1"/>
        <s v="17:58" u="1"/>
        <s v="Só para alinhar expectativas: a proposta que enviamos não é um “produto de prateleira”" u="1"/>
        <s v="Sobre os pontos que você comentou:" u="1"/>
        <s v="* Código: nos responsabilizamos pelo código para que o produto não perca qualidade e nem performance" u="1"/>
        <s v="* Integrações: já trabalhamos com integrações via API/ERP e isso costuma ser um dos principais ganhos do B2B." u="1"/>
        <s v="* Custo: a diferença normalmente está no médio prazo" u="1"/>
        <s v="18:00" u="1"/>
        <s v="18:03" u="1"/>
        <s v="13.02 vão retomar o assunto após a Abrin" u="1"/>
        <s v="15.04 Boa Tarde Arlington" u="1"/>
        <s v="Como não tive retorno sobre o avanço do B2B" u="1"/>
        <s v="Quando fizer sentido para vocês podem me chamar e voltamos a negociar&quot;" u="1"/>
        <s v="05.02 - negociaremos na feira&quot;" u="1"/>
        <s v="Negociaremos as horas no final do projeto&quot;" u="1"/>
        <s v="Atualizei a proposta comercial" u="1"/>
        <s v="25.03 - acabaram congelando o projeto para dar frente a outras demandas" u="1"/>
        <s v="Vai entrar em contato com a plataforma para conhecer o CRM deles" u="1"/>
        <s v="31.03 tentei vários contatos para avaçar e não consigo retorno.&quot;" u="1"/>
        <s v="Estão com um novo CEO - Eduardo" u="1"/>
        <s v="Apresentamos o Guarani ERP" u="1"/>
        <s v="Na reunião foi apresentando o BI" u="1"/>
        <s v="15.04 estão primeiro fazendo uma reciclagem para depois seguir com outros módulos&quot;" u="1"/>
        <s v="Na Reunião falamos sobre o Cloud&quot;" u="1"/>
        <s v="1803 - B2b ainda estamos vendo - Retorno Gustavo&quot;" u="1"/>
        <s v="18/03 - previsão de fechamento  á partir do dia 01/04" u="1"/>
        <s v="31.03 - avançaremos na quinta" u="1"/>
        <s v="Proposta enviada e negociando&quot;" u="1"/>
        <s v="18.03 Realizei a apresentação do B2B para equipe da Sultex" u="1"/>
        <s v="24.03 Bom dia Junior" u="1"/>
        <s v="Sobre o B2B pessoal te retornou com alguma duvida ou alguma questão da plataforma?" u="1"/>
        <s v="31.03 Boa tarde Junior" u="1"/>
        <s v="Consegue me posicionar o status do projeto do B2B?" u="1"/>
        <s v="07.04 Estão avaliando a ferramenta e esta com a diretoria" u="1"/>
        <s v="O processo dentro da Sultex são bem demorados" u="1"/>
        <s v="São 2 bancos separados Embalavi e Embalave&quot;" u="1"/>
        <s v="18.03 Eu já pedi internamente lá pra ele.. Só que.. essa semana eles estão em uma feira lá no Rio Grande do Sul&quot;" u="1"/>
        <s v="15.04 15:13" u="1"/>
        <s v="Queria retomar contigo o assunto do Comex. Na última vez você comentou que a diretoria tinha achado a mensalidade alta e que a proposta estava com eles para avaliação." u="1"/>
        <s v="Conseguiram avançar internamente nesse ponto. Se a questão ainda for valor" u="1"/>
        <s v="Minha ideia é ou ajustar a proposta para a realidade de vocês" u="1"/>
        <s v="22.04 Cliente pediu para deixar em stad-by&quot;" u="1"/>
        <s v="22.04 - Boa Tarde Emerson" u="1"/>
        <s v="Como não tive retorno sobre o avanço do BI" u="1"/>
        <s v="Quando fizer sentido para vocês podem me chamar e voltamos a negociar" u="1"/>
        <s v="Pediu para atualizar a proposta do BI e mandei com as condições comerciais atualizadas&quot;" u="1"/>
        <s v="31.03 - fase de assinatura de contrato&quot;" u="1"/>
        <s v="Detalhamento enviado aguardando termo aditivo&quot;" u="1"/>
        <s v="Desta forma foi enviado a proposta comercial&quot;" u="1"/>
        <s v="Passei a analise para o Paulo avaliar o que podemos fazer&quot;" u="1"/>
      </sharedItems>
    </cacheField>
    <cacheField name="ID Pós-vendas" numFmtId="0">
      <sharedItems containsSemiMixedTypes="0" containsString="0" containsNumber="1" containsInteger="1" minValue="1" maxValue="1239"/>
    </cacheField>
    <cacheField name="ID Cliente" numFmtId="0">
      <sharedItems containsString="0" containsBlank="1" containsNumber="1" containsInteger="1" minValue="0" maxValue="212"/>
    </cacheField>
    <cacheField name="ID Contato" numFmtId="0">
      <sharedItems containsSemiMixedTypes="0" containsString="0" containsNumber="1" containsInteger="1" minValue="39" maxValue="3930"/>
    </cacheField>
    <cacheField name="Descrição" numFmtId="0">
      <sharedItems longText="1"/>
    </cacheField>
    <cacheField name="Razão social" numFmtId="0">
      <sharedItems/>
    </cacheField>
    <cacheField name="Título do negócio" numFmtId="0">
      <sharedItems count="489">
        <s v="Master Ud"/>
        <s v="Orgon"/>
        <s v="Shangri-La"/>
        <s v="Mta Panelas"/>
        <s v="Rbo"/>
        <s v="Util"/>
        <s v="Mario Silva Das Merces Junior"/>
        <s v="Devito"/>
        <s v="Especial Cafés"/>
        <s v="Libra Gestao"/>
        <s v="Mega Lux"/>
        <s v="Sm Bom Preço"/>
        <s v="Dvidros"/>
        <s v="Amigold"/>
        <s v="Kaskin"/>
        <s v="Aliança Importadora"/>
        <s v="Jd Imports"/>
        <s v="Rio De Ouro Wincy"/>
        <s v="Ts Brasil"/>
        <s v="Fonte Boa"/>
        <s v="Plasduran"/>
        <s v="Stamaco"/>
        <s v="Frutiquelo"/>
        <s v="Regimara"/>
        <s v="Dislar"/>
        <s v="Scotti"/>
        <s v="Vision"/>
        <s v="Unica"/>
        <s v="Linha Evo"/>
        <s v="Igaratiba"/>
        <s v="Univendas"/>
        <s v="Grilazer"/>
        <s v="Dl (Grupo Mais)"/>
        <s v="Nutrire"/>
        <s v="Arcaplast"/>
        <s v="Fwb"/>
        <s v="Solferti"/>
        <s v="Montebello"/>
        <s v="Panamby"/>
        <s v="Ndi Importação"/>
        <s v="Paramount"/>
        <s v="Metaltru"/>
        <s v="Flora Nectar"/>
        <s v="Dismarina Mato Grosso"/>
        <s v="Clio Style"/>
        <s v="Lyke"/>
        <s v="Full Fit"/>
        <s v="Keure &amp; Tropical Aroma"/>
        <s v="Mabruk Presentes"/>
        <s v="Chahin"/>
        <s v="Vitazza"/>
        <s v="Fogo Azul"/>
        <s v="Revise"/>
        <s v="Wise Confort"/>
        <s v="Tamoio"/>
        <s v="Q´Festa"/>
        <s v="Arqplast"/>
        <s v="Marilar"/>
        <s v="Malta"/>
        <s v="Comercial Bela Vista"/>
        <s v="Wellmix"/>
        <s v="Plásticos Mb"/>
        <s v="Campeao"/>
        <s v="Plastcap"/>
        <s v="Interponte"/>
        <s v="Ind Bandeirantes"/>
        <s v="Aluminio Ramos"/>
        <s v="Invicta"/>
        <s v="C.R.I (Gnex)"/>
        <s v="Embalavi"/>
        <s v="Bezavel"/>
        <s v="IPACARAI - B2B"/>
        <s v="IPACARAI - BI"/>
        <s v="Dislar - Agenda de Visita"/>
        <s v="SIMONNAGGIO - Reimplantação AFV"/>
        <s v="PAROLIMP - B2B"/>
        <s v="PAROLAR  (WMS) - MAPEAMENTO"/>
        <s v="FAZZIO - B2B"/>
        <s v="GENEX - Cloud"/>
        <s v="RISCHIOTO - B2B"/>
        <s v="KEITA - CNPJ"/>
        <s v="RUVOLO - Tray"/>
        <s v="PAROLAR - Cloud"/>
        <s v="UTIL UD - CNPJ"/>
        <s v="Paramount - Imp.XML"/>
        <s v="UTIL UD - CTE"/>
        <s v="Fwb - Treinamento/Reciclagem"/>
        <s v="MILLENIUM DISTRIBUIDORA"/>
        <s v="DUARTES BRINQUEDOS (FIKA) - Treinamento"/>
        <s v="Plasduran - Custo"/>
        <s v="FAZZIO"/>
        <s v="NEDO - WMS"/>
        <s v="PAKIPLAST (Paki Toys &amp; Mercosur)"/>
        <s v="SUTT IMPORTADORA"/>
        <s v="PAROLIMP - Checkout"/>
        <s v="Plasduran - Novo Projeto  - Cloud"/>
        <s v="MARCAMIX"/>
        <s v="Flora Nectar Treinamento Financeiro"/>
        <s v="INFINITE HOME - E-commerce"/>
        <s v="Arqplast - Contábil"/>
        <s v="LIRA DISTRIBUIDORA - Tray"/>
        <s v="TERRA BOA ESPECIARIAS Horas Treinamento"/>
        <s v="Comercial Bela Vista - Treinamento Tray"/>
        <s v="QFESTA - Cloud"/>
        <s v="MUNDI EPS"/>
        <s v="MILLENIUM DISTRIBUIDORA - Telemarketing"/>
        <s v="MILLENIUM DISTRIBUIDORA - WMS"/>
        <s v="QUALYPLAS - Treinamento Financeiro"/>
        <s v="RUVOLO - Cloud Máquina"/>
        <s v="Wellmix- AFV-BI"/>
        <s v="MILLENIUM - Envio de Boleto por whatsapp"/>
        <s v="Comercial Bela Vista - CNPJ"/>
        <s v="Ndi Importação - Treinamento de Compras"/>
        <s v="LIRA DISTRIBUIDORA - CNPJ"/>
        <s v="ALUMINIO NACIONAL - CNPJ"/>
        <s v="RIO HOME -  SSW"/>
        <s v="MILLENIUM DISTRIBUIDORA - CT-e"/>
        <s v="Lyke - Treinamento Expede"/>
        <s v="SORVETES KASCAO"/>
        <s v="Mega Lux  -  Estoque futuro"/>
        <s v="RISCHIOTO"/>
        <s v="Mta Panelas - Qualidade"/>
        <s v="SULTEX - Mde"/>
        <s v="ATIVA ATACADO - CNPJ"/>
        <s v="PAROLIMP - Checkout  Horas Adicionais"/>
        <s v="FU XING - Cloud"/>
        <s v="INGA - Cloud"/>
        <s v="Igaratiba - Guarani BI"/>
        <s v="Mta Panelas/Link de Pagamento/SSW/B2B"/>
        <s v="Arqplast - WMS"/>
        <s v="Arqplast - B2B"/>
        <s v="PAKIPLAST (Paki Toys &amp; Mercosur) - B2B"/>
        <s v="PAKIPLAST (Paki Toys &amp; Mercosur) - WMS"/>
        <s v="PAKIPLAST (Paki Toys &amp; Mercosur) - Custo"/>
        <s v="PAKIPLAST (Paki Toys &amp; Mercosur) - Cloud"/>
        <s v="RISCHIOTO - CNPJ"/>
        <s v="DUARTES BRINQUEDOS (FIKA) - CNPJ"/>
        <s v="Univendas - CNPJ"/>
        <s v="Especial Cafés - Guarani BI"/>
        <s v="Regimara - Guarani BI"/>
        <s v="Marilar - PDV Guarani"/>
        <s v="PAROLAR - Integração RD Station"/>
        <s v="MILLENIUM DISTRIBUIDORA - inclusão de CNPJ"/>
        <s v="QUALITY HOUSE"/>
        <s v="INGA"/>
        <s v="DAS'PLAST - BI"/>
        <s v="Embalavi - BI"/>
        <s v="PAROLAR - Envio de Boleto whatsapp"/>
        <s v="Interponte - Proposta WEB - AFV"/>
        <s v="MILLENIUM DISTRIBUIDORA  - Koncili"/>
        <s v="Univendas - Guarani BI"/>
        <s v="ALUMINIO NACIONAL"/>
        <s v="SULTEX - Cloud"/>
        <s v="ATIVA ATACADO - Treinamento de compras"/>
        <s v="Universal Quimica - Mapeamento e Reimplantação"/>
        <s v="Lyke   - Telemarketing"/>
        <s v="COLORFLEX - Cloud"/>
        <s v="ALUMINIO NACIONAL - Horas Extra - WMS"/>
        <s v="DOLCE HOME - WMS"/>
        <s v="QUALITY HOUSE - Reciclagem"/>
        <s v="UTIL UD -  CNPJ"/>
        <s v="ATIVA ATACADO - PCP"/>
        <s v="SIPOM - CTe"/>
        <s v="GIFTUTIL"/>
        <s v="Montebello - Inclusão de CNPJ"/>
        <s v="ATIVA ATACADO - RD Station"/>
        <s v="DUARTES BRINQUEDOS (FIKA)"/>
        <s v="J C VACCARIN  - Boleto por APP"/>
        <s v="BRL Alimentos - Inclusão de CNPJ + CTE"/>
        <s v="Paramount - Cloud"/>
        <s v="KOZI PLAST - CNPJ"/>
        <s v="Flora Nectar - Treinamento Estoque"/>
        <s v="COLORFLEX - Treinamento AFV"/>
        <s v="ALUMINIO NACIONAL - Qualidade"/>
        <s v="GP INOX - B2B"/>
        <s v="SULTEX - Treinamento AFV"/>
        <s v="Mta Panelas - AFB B2B"/>
        <s v="ATIVA ATACADO  - Treinamento"/>
        <s v="QUALYPLAS  - CNPJ"/>
        <s v="COLORFLEX - Contábil"/>
        <s v="Plastcap - Reciclagem e Implantação"/>
        <s v="Universal Quimica - Integrador Tray"/>
        <s v="AKITEM UTILIDADES - Substituição de CNPJ"/>
        <s v="RIO HOME - Envio de Boleto Whatsapp"/>
        <s v="ALUMINIO NACIONAL - Inventário"/>
        <s v="CARDOSO BRINQUEDO - Link de Pagamento"/>
        <s v="MILLENIUM DISTRIBUIDORA - CNPJ"/>
        <s v="Pupi Imports - MDF-E e CT-E"/>
        <s v="Plásticos Mb - Treinamento AFV - Integrador"/>
        <s v="Marilar - CNPJ"/>
        <s v="COLORFLEX - Compras"/>
        <s v="DUTE - CNPJ - Implantação Estoque futuro"/>
        <s v="Embalavi E-commerce"/>
        <s v="LIRA DISTRIBUIDORA - PDV"/>
        <s v="GIFTUTIL - Add-on Multiloja"/>
        <s v="Plásticos Mb - Loja B2B"/>
        <s v="Vitazza - CRM"/>
        <s v="Plásticos Mb - Proposta WEB"/>
        <s v="Chahin - Alteração E-commerce"/>
        <s v="QUALITY HOUSE - WMS"/>
        <s v="ALUMINIO NACIONAL- Treinamento processos PCP"/>
        <s v="COLORFLEX - Mapeamento Almoxarifado"/>
        <s v="ATIVA ATACADO - compras, almoxarifado e recebiment"/>
        <s v="FACINATO - Alinhamento Estratégico: Próximos Passo"/>
        <s v="QFESTA - Link de pagamento"/>
        <s v="MOKFA IMPORT - Expedição"/>
        <s v="YOSS COMERCIAL - Alinhamento Estratégico: Próximos"/>
        <s v="Wellmix - Proposta WEB"/>
        <s v="NIX HOUSE - Estoque Futuro"/>
        <s v="TERRA BOA ESPECIARIAS  - Routeasy"/>
        <s v="CULTURAMA - Guarani BI"/>
        <s v="Scotti - Cloud"/>
        <s v="MUNDI EPS treinamento"/>
        <s v="Arcaplast - Novo CD"/>
        <s v="Univendas - Horas WMS"/>
        <s v="Scotti - Neocredit"/>
        <s v="Mta Panelas - Treinamento Custos"/>
        <s v="Arcaplast - Guarani B2B"/>
        <s v="Univendas - Boleto wapp"/>
        <s v="ATIVA ATACADO - Treinamento A pagar e receber"/>
        <s v="Universal Quimica - Cloud"/>
        <s v="Master Ud   - Manifestação Destinatário"/>
        <s v="QFESTA - TLK"/>
        <s v="Flora Nectar - AFV - Reimplantação"/>
        <s v="Full Fit - B2B"/>
        <s v="CULTURAMA  - CNPJ"/>
        <s v="DUTE - Checkout"/>
        <s v="PAROLAR- Envio de Boleto por Whatsapp"/>
        <s v="QUALYPLAS - envio de boleto por whatsapp"/>
        <s v="INGA - Routeazy"/>
        <s v="ZINCO METAL - Envio de Boleto por Whatsapp"/>
        <s v="Dvidros - envio de boleto por Whatsapp"/>
        <s v="FWB - Envio de Boleto Whatsapp"/>
        <s v="Interponte - Envio de Boleto Whatsapp"/>
        <s v="Dismarina  - Envio de Boleto por Whatsapp"/>
        <s v="Ndi Importação - Envio de Boleto Whatsapp"/>
        <s v="KEITA - envio de Boleto Whatsapp"/>
        <s v="Plásticos MB - Segregação AFV"/>
        <s v="Plásticos MB - Consultoria"/>
        <s v="MILLENIUM DISTRIBUIDORA - Koncili"/>
        <s v="ALUMINIO NACIONAL - Envio de Boleto por Whatsapp"/>
        <s v="Aliança Importadora - Saldo de horas"/>
        <s v="SUTT IMPORTADORA - Saldo de horas"/>
        <s v="Pupi Imports - Inclusão de Empresas"/>
        <s v="UTIL UD - Telemarketing"/>
        <s v="Wellmix - Treinamento equipe de vendas"/>
        <s v="Pupi Imports - Multiloja"/>
        <s v="RUVOLO - Koncili"/>
        <s v="GP INOX Telemarketing"/>
        <s v="Koisas de Kozinha - Processos fiscais"/>
        <s v="KOZI PLAST - Treinamento PCP"/>
        <s v="DUS - CNPJ"/>
        <s v="DUS - Módulo Contábil"/>
        <s v="RISCHIOTO - Interlipost"/>
        <s v="INGA - Interlipost"/>
        <s v="PAROLAR - Guarani Expede"/>
        <s v="SORVETES KASCAO - Qualidade"/>
        <s v="QUALYPLAS - Financeiro - Fiscal - Compras"/>
        <s v="YOSS COMERCIAL - Reciclagem"/>
        <s v="PAROLAR - CNPJ"/>
        <s v="Dislar - treinamento"/>
        <s v="Regimara - Visita Técnica"/>
        <s v="PAROLAR - Estoque Futuro"/>
        <s v="Ndi Importação - Cloud"/>
        <s v="Plasduran - Link de pagamento"/>
        <s v="INGA - Treinamento"/>
        <s v="FAZZIO - Treinamento"/>
        <s v="DAS'PLAST - Link de Pagamento"/>
        <s v="MILLENIUM DISTRIBUIDORA - Lexos e CNPJ"/>
        <s v="INGA - Link de Pagamento"/>
        <s v="ALUMINIO NACIONAL - B2B"/>
        <s v="PAROLIMP - Link de Pagamento"/>
        <s v="KOZI PLAST - PCP"/>
        <s v="SULTEX  - CIAP - Ativo Imobilizado"/>
        <s v="DCARTE - Módulo Iara"/>
        <s v="Aliança Importadora  - Link de Pagamento"/>
        <s v="Univendas - Envio de Boleto por Whatsapp"/>
        <s v="RUVOLO  - CNPJ"/>
        <s v="ELMO ATACADO - B2B"/>
        <s v="MARCAMIX - Interlipost"/>
        <s v="Belmount Indústria - Link de Pagamento"/>
        <s v="Comercial Bela Vista - Link de Pagamento"/>
        <s v="Dislar - Saldo de Horas"/>
        <s v="TERRA BOA ESPECIARIAS - Treinamento de Custo"/>
        <s v="Mta Panelas - Industrialização em terceiro"/>
        <s v="Mta Panelas - Link de Pagamento"/>
        <s v="DAS'PLAST - Treinamento PCP"/>
        <s v="NIX HOUSE - Link de Pagamento"/>
        <s v="Marilar - Integrador E-commerce"/>
        <s v="ClassHome -  WMS"/>
        <s v="Lyke - Reimplantação AFV"/>
        <s v="Embalavi - Concil"/>
        <s v="RIO HOME - CNPJ"/>
        <s v="GIFTUTIL - Estoque Futuro"/>
        <s v="Marilar PDV Guarani"/>
        <s v="Chahin - Saldo de horas"/>
        <s v="QUALITY HOUSE - Treinamento"/>
        <s v="Dvidros  - MDF-e"/>
        <s v="Preciza Import - MDFe"/>
        <s v="NIX HOUSE - COMEX"/>
        <s v="SUTT IMPORTADORA - Compras"/>
        <s v="FAZZIO - expedição"/>
        <s v="CULTURAMA - Treinamento Contábil"/>
        <s v="Paramount - Treinamento WMS"/>
        <s v="Wellmix - Margem AFV"/>
        <s v="Mta Panelas - CNPJ"/>
        <s v="BRL Alimentos - Treinamento Comercial"/>
        <s v="C.R.I (Gnex) - Cloud"/>
        <s v="Universal Quimica - XML"/>
        <s v="KEITA - WMS"/>
        <s v="DAS'PLAST - Treinamento Financeiro"/>
        <s v="ALUMINIO NACIONAL - Koncili"/>
        <s v="FAZZIO - Saldo de horas SUP-129417"/>
        <s v="COLORFLEX - CIAP"/>
        <s v="Universal Quimica - Reimplantação"/>
        <s v="TERRA BOA ESPECIARIAS"/>
        <s v="Full Fit - Iara"/>
        <s v="MYPA  - CRM"/>
        <s v="FACINATO - BI"/>
        <s v="Precisa Import - Envio de boleto por Whatsapp"/>
        <s v="AKITEM UTILIDADES - WMS"/>
        <s v="VIA LAR - UTILIDADES DOMESTICAS LTDA"/>
        <s v="Regimara - Saldo de Horas"/>
        <s v="DUS - Ecommerce"/>
        <s v="ATIVA ATACADO - MDF-e"/>
        <s v="Jd Imports CNPJ"/>
        <s v="Mares Comercio Importacao - Envio de Boleto por Whatsapp"/>
        <s v="Pupi Imports - Link B2B"/>
        <s v="Pupi Imports - Loja B2B"/>
        <s v="Fogo Azul - Markup"/>
        <s v="Q´Festa - Link de Pagamento"/>
        <s v="MULTIPRESENTES PRESENTES E BRINQUEDOS LTDA"/>
        <s v="GP INOX - Estoque Futuro"/>
        <s v="GYN ATACADO LTDA - Integrador E-commerce"/>
        <s v="Master Ud - Cloud"/>
        <s v="Arcaplast - Boleto Whatsapp"/>
        <s v="DOLCE HOME - Integrador"/>
        <s v="SUTT IMPORTADORA  - Checkout"/>
        <s v="GYN ATACADO LTDA - Cloud"/>
        <s v="DAS'PLAST - PCP"/>
        <s v="DOLCE HOME - B2B"/>
        <s v="Univendas - Cloud"/>
        <s v="VITORIA CORTINAS - Coletor"/>
        <s v="MYPA - Integrador ecommerce e CNPJ"/>
        <s v="Precisa Import - preposto"/>
        <s v="NIX HOUSE"/>
        <s v="QUALYPLAS - PCP"/>
        <s v="QUALYPLAS - MDE"/>
        <s v="QUALYPLAS - Contabil"/>
        <s v="Pupi Imports - WMS"/>
        <s v="SULTEX - Xmodal"/>
        <s v="Rafinha Alimentos - Interlipost"/>
        <s v="COLORFLEX - AFV"/>
        <s v="NANOX TECNOLOGIA S/A - BI"/>
        <s v="DOLCE HOME - CNPJ"/>
        <s v="GYN ATACADO - Inventário"/>
        <s v="PAROLAR - Checkout"/>
        <s v="DAS'PLAST - Treinamento"/>
        <s v="DCARTE - WMS"/>
        <s v="COLORFLEX - XModal"/>
        <s v="MUNDI EPS - CNPJ"/>
        <s v="Wellmix - Mudança de Banco"/>
        <s v="Chahin - Alteração Empresa Integrador"/>
        <s v="GYN ATACADO LTDA - B2B"/>
        <s v="GYN ATACADO LTDA - BI"/>
        <s v="Textil Regimara - BI"/>
        <s v="QUALYPLAS - Lexos"/>
        <s v="Univendas - Treinamento"/>
        <s v="INGA - Ativo Imobilizado"/>
        <s v="CULTURAMA - Horas Contabil"/>
        <s v="RIO HOME - Link de Pagamento"/>
        <s v="SCOTTI DISTRIBUIDORA"/>
        <s v="Marcamix Comercial Importadora"/>
        <s v="FAZZIO MADEIRAS COMERCIAL LTDA"/>
        <s v="EMBALAVI - SUL DISTRIBUIDORA DE EMBALAGENS LTDA."/>
        <s v="DISLAR CENTRAL DE PRODUTOS PARA O LAR LTDA."/>
        <s v="SULTEXTIL S/A INDUSTRIA DE TECIDOS"/>
        <s v="ARCA PLAST INDUSTRIA E COMERCIO DE PLASTICOS LTDA"/>
        <s v="FACINATO - Comex"/>
        <s v="NIX HOUSE  - Comex"/>
        <s v="MARES  - Interlipost"/>
        <s v="KEITA  -Horas WMS"/>
        <s v="ZEIN IMPORTACAO E COMERCIO LTDA"/>
        <s v="Weckud"/>
        <s v="SIID SISTEMA DE INOVACAO E INTEGRACAO EM DISTRIBUICAO LTDA"/>
        <s v="SHOCK IMPORTS COMERCIAL LTDA"/>
        <s v="MARES COMERCIO IMPORTACAO LTDA"/>
        <s v="INFINITE HOME IMPORTACAO, EXPORTACAO E DISTRIBUICAO DE MERCADORIAS EM GERAL LTDA"/>
        <s v="RBO DISTRIBUIDORA LTDA"/>
        <s v="QHOUSE COMERCIO E IMPORTADORA DE UTILIDADES DOMESTICAS LTDA"/>
        <s v="TOP MAIS FERRAMENTARIA E COMERCIO DE UTILIDADES LTDA"/>
        <s v="YIN'S BRASIL COMERCIO INTERNACIONAL LTDA"/>
        <s v="RIO DE OURO - WINCY BRASIL COMERCIO DE ARTIGOS PARA PRESENTES LTDA"/>
        <s v="SM SUPERMARCAS - VISION PR DISTRIBUIDORA LTDA"/>
        <s v="Util Comercio E Confeccao Ltda"/>
        <s v="TOP LINE UD INDUSTRIA E COMERCIO DE PLASTICO LTDA"/>
        <s v="TAMOIO BOAS IMPRESSOES IMPORTACAO E EXPORTACAO LTDA"/>
        <s v="NANOX TECNOLOGIA S/A"/>
        <s v="UNY GIFT COMERCIO IMPORTACAO E EXPORTACAO LTDA."/>
        <s v="NEDO - CASAPRATIL COMERCIO DE ENCARTELADOS LTDA"/>
        <s v="KASCAO - SORVETES SUPLES INDUSTRIA E COMERCIO LTDA"/>
        <s v="Comercial bela Vista - Alex Fonseca Vieira"/>
        <s v="AD &amp; AD COMERCIO DE IMPORTACAO E EXPORTACAO LTDA"/>
        <s v="PLASUTIL-INDUSTRIA E COMERCIO DE PLASTICOS LTDA"/>
        <s v="Plasnorthon Sul Industrial Ltda"/>
        <s v="PLASDURAN INDUSTRIA E COMERCIO DE PLASTICOS LTDA"/>
        <s v="UNIVENDAS - GN COMERCIAL DE UTILIDADES DOMESTICAS LTDA"/>
        <s v="NIPO CENTER IMPORT LTDA"/>
        <s v="GP INOX - Guarani BI"/>
        <s v="Pupi Imports - Horas WMS"/>
        <s v="Mares - BI"/>
        <s v="MARES  - WMS"/>
        <s v="SORVETES KASCAO - compras"/>
        <s v="Wellmix - B2B"/>
        <s v="MOKFA IMPORT - BI"/>
        <s v="SHOCK IMPORTS- AFV"/>
        <s v="PAROLAR - RD Station"/>
        <s v="MARES - Comex"/>
        <s v="NEDO - RD Stantion"/>
        <s v="PAROLAR - CRM RD Stantion"/>
        <s v="Universal Quimica - BI"/>
        <s v="Universal Quimica - Treinamento e CNPJ"/>
        <s v="DUTE - B2B"/>
        <s v="SORVETES KASCAO  - Cloud"/>
        <s v="Univendas - Comex"/>
        <s v="INGA - Reciclagem"/>
        <s v="Ingá -  redimensionamento de picking"/>
        <s v="QUALITY HOUSE - BI"/>
        <s v="Precisa Import - Power BI"/>
        <s v="SULTEX - B2B"/>
        <s v="Embalavi - Tray"/>
        <s v="DAS'PLAST - Mde"/>
        <s v="PAROLAR - Comex"/>
        <s v="INNOVO COMERCIO DE PRESENTES E BRINQUEDOS LTDA"/>
        <s v="RUVOLO - Comex"/>
        <s v="Arqplast - Md-e"/>
        <s v="Dislar - Treinamento de Custos"/>
        <s v="INGA - Contábil"/>
        <s v="Interponte - Proposta WEB"/>
        <s v="NIX HOUSE - Rd Station"/>
        <s v="CULTURAMA - B2B"/>
        <s v="RIO HOME - ZNIA"/>
        <s v="DAS'PLAST - Comex"/>
        <s v="DAS'PLAST - Contábil"/>
        <s v="Fwb - Comex"/>
        <s v="Plásticos Mb - Segregação de Base"/>
        <s v="NIX HOUSE - B2B"/>
        <s v="INGA - Orçamento B2B - AFV"/>
        <s v="Chahin - Cloud"/>
        <s v="Carlos"/>
        <s v="NIX HOUSE - MD-e"/>
        <s v="SUTT IMPORTADORA - Cloud"/>
        <s v="Univendas - BI"/>
        <s v="SHOCK IMPORTS - Tray"/>
        <s v="" u="1"/>
        <s v="Melissa - DUS" u="1"/>
        <s v="Elaine" u="1"/>
        <s v="(16) 97013-1401" u="1"/>
        <s v="(48) 9853-4548" u="1"/>
        <s v="(11) 3195-8233 / (11) 4527-1355" u="1"/>
        <s v="(16) 99767-2684" u="1"/>
        <s v="Moises" u="1"/>
        <s v="(11) 32976-0951" u="1"/>
        <s v="(41) 9521-4843" u="1"/>
        <s v="(11) 2081-5317 / (11) 2081-5537 / (11) 2081-5537" u="1"/>
        <s v="(35) 3531-6382 / (35) 3539-8200 / (35) 3531-6382" u="1"/>
        <s v="(19) 98168-2828" u="1"/>
        <s v="(19) 99291-6644" u="1"/>
        <s v="Rone Alves" u="1"/>
        <s v="(19) 3478-8200 / (19) 3406-2511" u="1"/>
        <s v="Pedro" u="1"/>
        <s v="(13) 35799-6001" u="1"/>
        <s v="(11) 6611-7236" u="1"/>
        <s v="(48) 3447-6367" u="1"/>
        <s v="(11) 3227-4492 / (11) 3227-4400" u="1"/>
        <s v="Rogério" u="1"/>
        <s v="(12) 3322-4198" u="1"/>
        <s v="(16) 3763-0033" u="1"/>
        <s v="UNIVERSAL QUIMICA INDUSTRIA E COMERCIO LTDA" u="1"/>
        <s v="(11) 3451-3709" u="1"/>
        <s v="Kawany" u="1"/>
        <s v="(14) 9173-6009 / (14) 3203-0222" u="1"/>
        <s v="SULTEX IMPORTACAO E EXPORTACAO LTDA" u="1"/>
        <s v="(41) 3888-0050" u="1"/>
        <s v="Marcos" u="1"/>
        <s v="(15) 3263-4682" u="1"/>
        <s v="(21) 2224-7616" u="1"/>
        <s v="(43) 3032-5600" u="1"/>
        <s v="(54) 30273-8275" u="1"/>
      </sharedItems>
    </cacheField>
    <cacheField name="CNPJ" numFmtId="0">
      <sharedItems containsString="0" containsBlank="1" containsNumber="1" containsInteger="1" minValue="134729000150" maxValue="82128935000201"/>
    </cacheField>
    <cacheField name="Nome do Cliente" numFmtId="0">
      <sharedItems/>
    </cacheField>
    <cacheField name="Nome do Contato" numFmtId="0">
      <sharedItems/>
    </cacheField>
    <cacheField name="Telefone do Contato" numFmtId="0">
      <sharedItems/>
    </cacheField>
    <cacheField name="Celular do Contato" numFmtId="0">
      <sharedItems containsString="0" containsBlank="1" containsNumber="1" containsInteger="1" minValue="11973359869" maxValue="11984320025"/>
    </cacheField>
    <cacheField name="E-mail" numFmtId="0">
      <sharedItems/>
    </cacheField>
    <cacheField name="Contatos" numFmtId="0">
      <sharedItems/>
    </cacheField>
    <cacheField name="Endereço" numFmtId="0">
      <sharedItems/>
    </cacheField>
    <cacheField name="Cidade" numFmtId="0">
      <sharedItems/>
    </cacheField>
    <cacheField name="Estado" numFmtId="0">
      <sharedItems/>
    </cacheField>
    <cacheField name="Origem" numFmtId="0">
      <sharedItems/>
    </cacheField>
    <cacheField name="TAGS" numFmtId="0">
      <sharedItems/>
    </cacheField>
    <cacheField name="Funil de vendas" numFmtId="0">
      <sharedItems/>
    </cacheField>
    <cacheField name="Etapa do funil de vendas" numFmtId="0">
      <sharedItems/>
    </cacheField>
    <cacheField name="Forma de Pagamento" numFmtId="0">
      <sharedItems/>
    </cacheField>
    <cacheField name="Valor Total" numFmtId="0">
      <sharedItems containsString="0" containsBlank="1" containsNumber="1" containsInteger="1" minValue="0" maxValue="2040708"/>
    </cacheField>
    <cacheField name="Valor mensal" numFmtId="0">
      <sharedItems containsString="0" containsBlank="1" containsNumber="1" containsInteger="1" minValue="0" maxValue="1939757"/>
    </cacheField>
    <cacheField name="Criado por" numFmtId="0">
      <sharedItems/>
    </cacheField>
    <cacheField name="Tempo como pós venda" numFmtId="0">
      <sharedItems containsSemiMixedTypes="0" containsString="0" containsNumber="1" containsInteger="1" minValue="0" maxValue="325"/>
    </cacheField>
    <cacheField name="Data de Criação" numFmtId="14">
      <sharedItems containsSemiMixedTypes="0" containsNonDate="0" containsDate="1" containsString="0" minDate="2024-11-08T00:00:00" maxDate="2026-05-19T00:00:00"/>
    </cacheField>
    <cacheField name="Hora de Criação" numFmtId="44">
      <sharedItems containsSemiMixedTypes="0" containsNonDate="0" containsDate="1" containsString="0" minDate="1899-12-30T08:39:47" maxDate="1899-12-30T20:32:07"/>
    </cacheField>
    <cacheField name="Status" numFmtId="0">
      <sharedItems/>
    </cacheField>
    <cacheField name="Data de Perda/Ganho" numFmtId="14">
      <sharedItems containsNonDate="0" containsDate="1" containsString="0" containsBlank="1" minDate="2024-12-04T00:00:00" maxDate="2026-05-16T00:00:00"/>
    </cacheField>
    <cacheField name="Hora de Perda/Ganho" numFmtId="44">
      <sharedItems containsNonDate="0" containsDate="1" containsString="0" containsBlank="1" minDate="1899-12-30T08:35:23" maxDate="1899-12-30T19:18:20"/>
    </cacheField>
    <cacheField name="Motivo de perda" numFmtId="0">
      <sharedItems/>
    </cacheField>
    <cacheField name="Razão de Perda" numFmtId="0">
      <sharedItems containsString="0" containsBlank="1" containsNumber="1" containsInteger="1" minValue="0" maxValue="0"/>
    </cacheField>
    <cacheField name="Data Proposta" numFmtId="0">
      <sharedItems containsDate="1" containsMixedTypes="1" minDate="2026-05-07T00:00:00" maxDate="2026-05-08T00:00:00" count="247">
        <s v=""/>
        <s v="01/11/2024"/>
        <s v="04/11/2024"/>
        <s v="16/04/2024"/>
        <s v="05/11/2024"/>
        <s v="06/11/2024"/>
        <s v="06/01/2025"/>
        <s v="12/11/2024"/>
        <s v="14/11/2024"/>
        <s v="22/11/2024"/>
        <s v="11/12/2024"/>
        <s v="04/12/2024"/>
        <s v="15/04/2025"/>
        <s v="05/12/2024"/>
        <s v="03/12/2024"/>
        <s v="10/12/2024"/>
        <s v="09/12/2024"/>
        <s v="12/12/2024"/>
        <s v="18/12/2024"/>
        <s v="02/12/2024"/>
        <s v="13/12/2024"/>
        <s v="06/01/2025 00:00"/>
        <s v="07/01/2025 00:00"/>
        <s v="08/01/2025 00:00"/>
        <s v="09/01/2025 00:00"/>
        <s v="10/01/2025 00:00"/>
        <s v="13/01/2025 00:00"/>
        <s v="14/01/2025 00:00"/>
        <s v="15/01/2025 00:00"/>
        <s v="16/01/2025 00:00"/>
        <s v="17/01/2025 00:00"/>
        <s v="20/01/2025 00:00"/>
        <s v="21/01/2025 00:00"/>
        <s v="22/01/2025 00:00"/>
        <s v="23/01/2025 00:00"/>
        <s v="24/01/2025 00:00"/>
        <s v="27/01/2025 00:00"/>
        <s v="28/01/2025 00:00"/>
        <s v="06/02/2025 00:00"/>
        <s v="07/02/2025 00:00"/>
        <s v="10/02/2025 00:00"/>
        <s v="13/02/2025 00:00"/>
        <s v="14/02/2025 00:00"/>
        <s v="03/02/2025 00:00"/>
        <s v="17/02/2025 00:00"/>
        <s v="20/02/2025 00:00"/>
        <s v="21/02/2025 00:00"/>
        <s v="04/04/2025"/>
        <s v="23/04/2025"/>
        <s v="24/02/2025 00:00"/>
        <s v="27/02/2025 00:00"/>
        <s v="14/03/2025 00:00"/>
        <s v="12/03/2025 00:00"/>
        <s v="17/03/2025 00:00"/>
        <s v="18/03/2025 00:00"/>
        <s v="19/03/2025 00:00"/>
        <s v="20/03/2025 00:00"/>
        <s v="11/07/2025"/>
        <s v="26/03/2025 00:00"/>
        <s v="01/04/2025"/>
        <s v="31/03/2025 00:00"/>
        <s v="01/04/2025 00:00"/>
        <s v="08/04/2025 00:00"/>
        <s v="02/04/2025 00:00"/>
        <s v="03/04/2025 00:00"/>
        <s v="15/04/2025 00:00"/>
        <s v="04/04/2025 00:00"/>
        <s v="09/04/2025"/>
        <s v="10/04/2025 00:00"/>
        <s v="14/04/2025"/>
        <s v="14/04/2025 00:00"/>
        <s v="16/04/2025 00:00"/>
        <s v="17/04/2025 00:00"/>
        <s v="23/04/2025 00:00"/>
        <s v="24/04/2025 00:00"/>
        <s v="30/04/2025 00:00"/>
        <s v="02/05/2025"/>
        <s v="05/05/2025 00:00"/>
        <s v="06/05/2025 00:00"/>
        <s v="07/05/2025 00:00"/>
        <s v="08/05/2025 00:00"/>
        <s v="09/05/2025 00:00"/>
        <s v="12/05/2025 00:00"/>
        <s v="14/05/2025 00:00"/>
        <s v="15/05/2025 00:00"/>
        <s v="14/07/2025"/>
        <s v="16/05/2025 00:00"/>
        <s v="19/05/2025"/>
        <s v="19/05/2025 00:00"/>
        <s v="28/07/2025"/>
        <s v="03/06/2025"/>
        <s v="20/05/2025"/>
        <s v="21/05/2025 00:00"/>
        <s v="22/05/2025 00:00"/>
        <s v="27/05/2025 00:00"/>
        <s v="28/05/2025 00:00"/>
        <s v="29/05/2025 00:00"/>
        <s v="02/06/2025"/>
        <s v="04/06/2025"/>
        <s v="04/06/2025 00:00"/>
        <s v="12/06/2025"/>
        <s v="06/06/2025 00:00"/>
        <s v="10/06/2025 00:00"/>
        <s v="12/06/2025 00:00"/>
        <s v="13/06/2025 00:00"/>
        <s v="16/06/2025"/>
        <s v="16/06/2025 00:00"/>
        <s v="18/06/2025 00:00"/>
        <s v="17/06/2025 00:00"/>
        <s v="24/06/2025 00:00"/>
        <s v="25/06/2025 00:00"/>
        <s v="10/07/2025"/>
        <s v="01/07/2025"/>
        <s v="16/07/2025"/>
        <s v="07/07/2025 00:00"/>
        <s v="08/07/2025 00:00"/>
        <s v="27/07/2025"/>
        <s v="11/07/2025 00:00"/>
        <s v="16/07/2025 00:00"/>
        <s v="17/07/2025 00:00"/>
        <s v="23/07/2025 00:00"/>
        <s v="24/07/2025 00:00"/>
        <s v="30/07/2025 00:00"/>
        <s v="08/08/2025"/>
        <s v="04/08/2025 00:00"/>
        <s v="05/08/2025 00:00"/>
        <s v="07/08/2025 00:00"/>
        <s v="11/08/2025 00:00"/>
        <s v="18/08/2025 00:00"/>
        <s v="13/08/2025 00:00"/>
        <s v="20/08/2025 00:00"/>
        <s v="21/08/2025 00:00"/>
        <s v="25/08/2025 00:00"/>
        <s v="26/08/2025 00:00"/>
        <s v="29/08/2025 00:00"/>
        <s v="01/09/2025 00:00"/>
        <s v="02/09/2025 00:00"/>
        <s v="03/09/2025 00:00"/>
        <s v="08/09/2025 00:00"/>
        <s v="09/09/2025 00:00"/>
        <s v="06/10/2025"/>
        <s v="12/09/2025"/>
        <s v="12/09/2025 00:00"/>
        <s v="15/09/2025 00:00"/>
        <s v="16/09/2025 00:00"/>
        <s v="18/09/2025 00:00"/>
        <s v="19/09/2025 00:00"/>
        <s v="23/09/2025 00:00"/>
        <s v="25/09/2025 00:00"/>
        <s v="29/09/2025 00:00"/>
        <s v="01/10/2025"/>
        <s v="01/10/2025 00:00"/>
        <s v="02/10/2025 00:00"/>
        <s v="03/10/2025 00:00"/>
        <s v="20/10/2025"/>
        <s v="06/10/2025 00:00"/>
        <s v="26/11/2025"/>
        <s v="10/10/2025 00:00"/>
        <s v="21/10/2025"/>
        <s v="20/10/2025 00:00"/>
        <s v="27/10/2025"/>
        <s v="21/10/2025 00:00"/>
        <s v="22/10/2025 00:00"/>
        <s v="27/10/2025 00:00"/>
        <s v="29/10/2025 00:00"/>
        <s v="28/10/2025 00:00"/>
        <s v="06/11/2025"/>
        <s v="03/11/2025 00:00"/>
        <s v="07/11/2025 00:00"/>
        <s v="10/11/2025 00:00"/>
        <s v="11/11/2025"/>
        <s v="02/12/2025"/>
        <s v="13/11/2025 00:00"/>
        <s v="18/11/2025 00:00"/>
        <s v="25/11/2025 00:00"/>
        <s v="26/11/2025 00:00"/>
        <s v="27/11/2025 00:00"/>
        <s v="28/11/2025 00:00"/>
        <s v="28/04/2026"/>
        <s v="03/12/2025 00:00"/>
        <s v="05/12/2025 00:00"/>
        <s v="08/12/2025 00:00"/>
        <s v="11/12/2025 00:00"/>
        <s v="17/12/2025 00:00"/>
        <s v="19/12/2025 00:00"/>
        <s v="06/01/2026 00:00"/>
        <s v="07/01/2026 00:00"/>
        <s v="08/01/2026"/>
        <s v="13/01/2026 00:00"/>
        <s v="14/01/2026 00:00"/>
        <s v="16/01/2026 00:00"/>
        <s v="19/01/2026 00:00"/>
        <s v="12/02/2026"/>
        <s v="29/01/2026"/>
        <s v="27/01/2026 00:00"/>
        <s v="28/01/2026 00:00"/>
        <s v="29/01/2026 00:00"/>
        <s v="11/02/2026"/>
        <s v="02/02/2026 00:00"/>
        <s v="05/02/2026 00:00"/>
        <s v="11/02/2026 00:00"/>
        <s v="09/02/2026 00:00"/>
        <s v="16/02/2026 00:00"/>
        <s v="17/02/2026 00:00"/>
        <s v="12/02/2026 00:00"/>
        <s v="18/02/2026 00:00"/>
        <s v="08/05/2026"/>
        <s v="20/02/2026 00:00"/>
        <s v="18/03/2026"/>
        <s v="03/03/2026"/>
        <s v="26/02/2026 00:00"/>
        <s v="15/04/2026"/>
        <s v="03/03/2026 00:00"/>
        <s v="04/03/2026 00:00"/>
        <s v="09/03/2026 00:00"/>
        <s v="11/03/2026 00:00"/>
        <s v="13/03/2026 00:00"/>
        <s v="19/03/2026 00:00"/>
        <s v="23/03/2026 00:00"/>
        <s v="24/03/2026 00:00"/>
        <s v="27/03/2026 00:00"/>
        <s v="31/03/2026 00:00"/>
        <s v="01/04/2026 00:00"/>
        <s v="14/04/2026 00:00"/>
        <s v="24/04/2026"/>
        <s v="15/04/2026 00:00"/>
        <s v="16/04/2026 00:00"/>
        <s v="20/04/2026 00:00"/>
        <s v="29/04/2026 00:00"/>
        <s v="07/05/2026"/>
        <s v="11/05/2026 00:00"/>
        <s v="12/05/2026 00:00"/>
        <s v="15/05/2026 00:00"/>
        <s v="18/05/2026 00:00"/>
        <s v="06/05/2026 00:00" u="1"/>
        <s v="19/01/2026" u="1"/>
        <s v="30/01/2026" u="1"/>
        <s v="30" u="1"/>
        <s v="22/01/2026" u="1"/>
        <s v="50" u="1"/>
        <s v="20/01/2026 00:00" u="1"/>
        <s v="90" u="1"/>
        <s v="25/03/2026" u="1"/>
        <d v="2026-05-07T00:00:00" u="1"/>
        <s v="06/05/2026" u="1"/>
        <s v="14/04/2026" u="1"/>
        <s v="02/12/2025 00:00" u="1"/>
      </sharedItems>
    </cacheField>
    <cacheField name="DataApresentação1" numFmtId="0">
      <sharedItems count="175">
        <s v=""/>
        <s v="14/03/2025"/>
        <s v="13/01/2025"/>
        <s v="04/12/2024"/>
        <s v="03/12/2024"/>
        <s v="09/12/2024 00:00"/>
        <s v="05/12/2024"/>
        <s v="12/12/2024 00:00"/>
        <s v="29/01/2025"/>
        <s v="13/12/2024 00:00"/>
        <s v="06/01/2025"/>
        <s v="06/01/2025 00:00"/>
        <s v="09/01/2025"/>
        <s v="09/01/2025 00:00"/>
        <s v="13/01/2025 00:00"/>
        <s v="14/01/2025 00:00"/>
        <s v="15/01/2025 00:00"/>
        <s v="16/01/2025 00:00"/>
        <s v="30/01/2025"/>
        <s v="24/01/2025 00:00"/>
        <s v="28/01/2025 00:00"/>
        <s v="06/02/2025 00:00"/>
        <s v="03/02/2025 00:00"/>
        <s v="07/02/2025 00:00"/>
        <s v="10/02/2025 00:00"/>
        <s v="13/02/2025 00:00"/>
        <s v="14/02/2025 00:00"/>
        <s v="18/02/2025 00:00"/>
        <s v="19/02/2025 00:00"/>
        <s v="21/02/2025 00:00"/>
        <s v="14/04/2025"/>
        <s v="01/04/2025"/>
        <s v="24/02/2025 00:00"/>
        <s v="03/04/2025"/>
        <s v="17/03/2025 00:00"/>
        <s v="11/07/2025"/>
        <s v="24/03/2025"/>
        <s v="01/04/2025 00:00"/>
        <s v="08/04/2025 00:00"/>
        <s v="03/04/2025 00:00"/>
        <s v="08/04/2025"/>
        <s v="07/04/2025 00:00"/>
        <s v="10/04/2025 00:00"/>
        <s v="23/04/2025 00:00"/>
        <s v="30/04/2025 00:00"/>
        <s v="05/05/2025 00:00"/>
        <s v="06/05/2025"/>
        <s v="09/05/2025 00:00"/>
        <s v="07/05/2025 00:00"/>
        <s v="12/05/2025"/>
        <s v="14/05/2025"/>
        <s v="15/05/2025"/>
        <s v="21/05/2025 00:00"/>
        <s v="23/05/2025"/>
        <s v="19/05/2025 00:00"/>
        <s v="14/05/2025 00:00"/>
        <s v="19/05/2025"/>
        <s v="20/05/2025 00:00"/>
        <s v="22/05/2025 00:00"/>
        <s v="22/05/2025"/>
        <s v="27/05/2025 00:00"/>
        <s v="28/05/2025 00:00"/>
        <s v="02/06/2025"/>
        <s v="04/06/2025"/>
        <s v="05/06/2025 00:00"/>
        <s v="06/06/2025 00:00"/>
        <s v="12/06/2025 00:00"/>
        <s v="13/06/2025 00:00"/>
        <s v="16/06/2025 00:00"/>
        <s v="18/06/2025 00:00"/>
        <s v="17/06/2025 00:00"/>
        <s v="03/07/2025"/>
        <s v="01/07/2025"/>
        <s v="03/07/2025 00:00"/>
        <s v="07/07/2025 00:00"/>
        <s v="08/07/2025 00:00"/>
        <s v="21/07/2025"/>
        <s v="11/07/2025 00:00"/>
        <s v="14/07/2025 00:00"/>
        <s v="01/08/2025"/>
        <s v="30/07/2025 00:00"/>
        <s v="01/08/2025 00:00"/>
        <s v="05/08/2025 00:00"/>
        <s v="08/08/2025"/>
        <s v="11/08/2025 00:00"/>
        <s v="08/08/2025 00:00"/>
        <s v="18/08/2025 00:00"/>
        <s v="13/08/2025 00:00"/>
        <s v="15/08/2025 00:00"/>
        <s v="14/08/2025 00:00"/>
        <s v="20/08/2025 00:00"/>
        <s v="25/08/2025 00:00"/>
        <s v="26/08/2025 00:00"/>
        <s v="29/08/2025 00:00"/>
        <s v="03/09/2025 00:00"/>
        <s v="08/09/2025 00:00"/>
        <s v="09/09/2025 00:00"/>
        <s v="11/09/2025 00:00"/>
        <s v="18/09/2025 00:00"/>
        <s v="23/09/2025 00:00"/>
        <s v="25/09/2025 00:00"/>
        <s v="01/10/2025 00:00"/>
        <s v="03/10/2025 00:00"/>
        <s v="10/10/2025"/>
        <s v="26/11/2025"/>
        <s v="10/10/2025 00:00"/>
        <s v="17/10/2025 00:00"/>
        <s v="20/10/2025 00:00"/>
        <s v="22/10/2025"/>
        <s v="21/10/2025 00:00"/>
        <s v="22/10/2025 00:00"/>
        <s v="06/10/2025 00:00"/>
        <s v="29/10/2025 00:00"/>
        <s v="27/10/2025 00:00"/>
        <s v="06/11/2025"/>
        <s v="03/11/2025 00:00"/>
        <s v="07/11/2025 00:00"/>
        <s v="10/11/2025 00:00"/>
        <s v="11/11/2025"/>
        <s v="02/12/2025"/>
        <s v="24/11/2025 00:00"/>
        <s v="25/11/2025 00:00"/>
        <s v="26/11/2025 00:00"/>
        <s v="27/11/2025 00:00"/>
        <s v="20/04/2026"/>
        <s v="03/12/2025 00:00"/>
        <s v="05/12/2025 00:00"/>
        <s v="11/12/2025 00:00"/>
        <s v="17/12/2025 00:00"/>
        <s v="16/12/2025 00:00"/>
        <s v="18/12/2025 00:00"/>
        <s v="07/01/2026 00:00"/>
        <s v="13/01/2026 00:00"/>
        <s v="16/01/2026 00:00"/>
        <s v="12/02/2026"/>
        <s v="16/02/2026"/>
        <s v="20/01/2026"/>
        <s v="23/01/2026 00:00"/>
        <s v="27/01/2026 00:00"/>
        <s v="20/01/2026 00:00"/>
        <s v="02/02/2026 00:00"/>
        <s v="05/02/2026"/>
        <s v="03/02/2026 00:00"/>
        <s v="11/02/2026 00:00"/>
        <s v="11/02/2026"/>
        <s v="05/02/2026 00:00"/>
        <s v="04/02/2026 00:00"/>
        <s v="06/02/2026 00:00"/>
        <s v="19/02/2026"/>
        <s v="17/02/2026 00:00"/>
        <s v="20/02/2026"/>
        <s v="20/02/2026 00:00"/>
        <s v="18/03/2026"/>
        <s v="25/02/2026 00:00"/>
        <s v="26/02/2026 00:00"/>
        <s v="27/02/2026 00:00"/>
        <s v="03/03/2026 00:00"/>
        <s v="09/03/2026 00:00"/>
        <s v="19/03/2026 00:00"/>
        <s v="31/03/2026 00:00"/>
        <s v="01/04/2026 00:00"/>
        <s v="14/04/2026 00:00"/>
        <s v="15/04/2026"/>
        <s v="16/04/2026"/>
        <s v="16/04/2026 00:00"/>
        <s v="29/04/2026 00:00"/>
        <s v="06/05/2026 00:00"/>
        <s v="11/05/2026"/>
        <s v="12/05/2026 00:00"/>
        <s v="15/05/2026 00:00"/>
        <s v="18/05/2026 00:00"/>
        <s v="27/01/2026" u="1"/>
        <s v="30" u="1"/>
        <s v="18/02/2026" u="1"/>
        <s v="02/12/2025 00:00" u="1"/>
      </sharedItems>
    </cacheField>
    <cacheField name="DataApresentação2" numFmtId="0">
      <sharedItems/>
    </cacheField>
    <cacheField name="Data UltContato" numFmtId="0">
      <sharedItems/>
    </cacheField>
    <cacheField name="Temperatura" numFmtId="0">
      <sharedItems/>
    </cacheField>
    <cacheField name="Horas" numFmtId="0">
      <sharedItems/>
    </cacheField>
    <cacheField name="Vlr Projeto" numFmtId="0">
      <sharedItems/>
    </cacheField>
    <cacheField name="Vlr Mensalidade" numFmtId="0">
      <sharedItems/>
    </cacheField>
    <cacheField name="Produtos" numFmtId="0">
      <sharedItems/>
    </cacheField>
    <cacheField name="Qdte" numFmtId="0">
      <sharedItems containsSemiMixedTypes="0" containsString="0" containsNumber="1" containsInteger="1" minValue="1" maxValue="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aulo Santos de Souza" refreshedDate="46162.316964930556" createdVersion="8" refreshedVersion="8" minRefreshableVersion="3" recordCount="52" xr:uid="{00000000-000A-0000-FFFF-FFFF02000000}">
  <cacheSource type="worksheet">
    <worksheetSource name="metas"/>
  </cacheSource>
  <cacheFields count="19">
    <cacheField name="Ano" numFmtId="49">
      <sharedItems containsMixedTypes="1" containsNumber="1" containsInteger="1" minValue="2026" maxValue="2026" count="3">
        <s v="2025"/>
        <s v="2026"/>
        <n v="2026"/>
      </sharedItems>
    </cacheField>
    <cacheField name="Mês" numFmtId="17">
      <sharedItems containsSemiMixedTypes="0" containsNonDate="0" containsDate="1" containsString="0" minDate="2025-01-01T00:00:00" maxDate="2026-05-02T00:00:00" count="17">
        <d v="2025-01-01T00:00:00"/>
        <d v="2025-02-01T00:00:00"/>
        <d v="2025-03-01T00:00:00"/>
        <d v="2025-04-01T00:00:00"/>
        <d v="2025-05-01T00:00:00"/>
        <d v="2025-06-01T00:00:00"/>
        <d v="2025-07-01T00:00:00"/>
        <d v="2025-08-01T00:00:00"/>
        <d v="2025-09-01T00:00:00"/>
        <d v="2025-10-01T00:00:00"/>
        <d v="2025-11-01T00:00:00"/>
        <d v="2025-12-01T00:00:00"/>
        <d v="2026-01-01T00:00:00"/>
        <d v="2026-02-01T00:00:00"/>
        <d v="2026-03-01T00:00:00"/>
        <d v="2026-04-01T00:00:00"/>
        <d v="2026-05-01T00:00:00"/>
      </sharedItems>
      <fieldGroup par="18"/>
    </cacheField>
    <cacheField name="Vendedor" numFmtId="0">
      <sharedItems count="4">
        <s v="Rayssa Karapeticov"/>
        <s v="Junior Lopes"/>
        <s v="Paulo Souza"/>
        <s v="Ronaldo Nascimento"/>
      </sharedItems>
    </cacheField>
    <cacheField name="Lead" numFmtId="0">
      <sharedItems containsNonDate="0" containsString="0" containsBlank="1"/>
    </cacheField>
    <cacheField name="Propsota" numFmtId="0">
      <sharedItems containsSemiMixedTypes="0" containsString="0" containsNumber="1" containsInteger="1" minValue="1" maxValue="33"/>
    </cacheField>
    <cacheField name="Apresentação" numFmtId="0">
      <sharedItems containsSemiMixedTypes="0" containsString="0" containsNumber="1" containsInteger="1" minValue="0" maxValue="31"/>
    </cacheField>
    <cacheField name="Meta Individual" numFmtId="44">
      <sharedItems containsMixedTypes="1" containsNumber="1" minValue="0" maxValue="55175.4"/>
    </cacheField>
    <cacheField name="Meta Equipe" numFmtId="44">
      <sharedItems containsSemiMixedTypes="0" containsString="0" containsNumber="1" minValue="2" maxValue="71696.53"/>
    </cacheField>
    <cacheField name="Meta Projetos" numFmtId="44">
      <sharedItems containsSemiMixedTypes="0" containsString="0" containsNumber="1" minValue="0" maxValue="367161.59999999998"/>
    </cacheField>
    <cacheField name="OBLead" numFmtId="1">
      <sharedItems containsSemiMixedTypes="0" containsString="0" containsNumber="1" containsInteger="1" minValue="150" maxValue="150"/>
    </cacheField>
    <cacheField name="OB Proposta " numFmtId="0">
      <sharedItems containsSemiMixedTypes="0" containsString="0" containsNumber="1" containsInteger="1" minValue="15" maxValue="15"/>
    </cacheField>
    <cacheField name="OB Apresentação" numFmtId="0">
      <sharedItems containsSemiMixedTypes="0" containsString="0" containsNumber="1" containsInteger="1" minValue="12" maxValue="12"/>
    </cacheField>
    <cacheField name="OB Individual" numFmtId="2">
      <sharedItems containsSemiMixedTypes="0" containsString="0" containsNumber="1" minValue="6" maxValue="10"/>
    </cacheField>
    <cacheField name="OBEquipe" numFmtId="2">
      <sharedItems containsSemiMixedTypes="0" containsString="0" containsNumber="1" minValue="26" maxValue="34"/>
    </cacheField>
    <cacheField name="OB Projetos" numFmtId="44">
      <sharedItems containsSemiMixedTypes="0" containsString="0" containsNumber="1" containsInteger="1" minValue="54000" maxValue="90000"/>
    </cacheField>
    <cacheField name="OBI" numFmtId="10">
      <sharedItems containsMixedTypes="1" containsNumber="1" minValue="0" maxValue="5.5175400000000003"/>
    </cacheField>
    <cacheField name="OBE" numFmtId="0">
      <sharedItems containsSemiMixedTypes="0" containsString="0" containsNumber="1" minValue="2.222222222222222E-5" maxValue="0.9018431446540881"/>
    </cacheField>
    <cacheField name="Dias (Mês)" numFmtId="0" databaseField="0">
      <fieldGroup base="1">
        <rangePr groupBy="days" startDate="2025-01-01T00:00:00" endDate="2026-05-02T00:00:00"/>
        <groupItems count="368">
          <s v="&lt;01/01/2025"/>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v"/>
          <s v="02/fev"/>
          <s v="03/fev"/>
          <s v="04/fev"/>
          <s v="05/fev"/>
          <s v="06/fev"/>
          <s v="07/fev"/>
          <s v="08/fev"/>
          <s v="09/fev"/>
          <s v="10/fev"/>
          <s v="11/fev"/>
          <s v="12/fev"/>
          <s v="13/fev"/>
          <s v="14/fev"/>
          <s v="15/fev"/>
          <s v="16/fev"/>
          <s v="17/fev"/>
          <s v="18/fev"/>
          <s v="19/fev"/>
          <s v="20/fev"/>
          <s v="21/fev"/>
          <s v="22/fev"/>
          <s v="23/fev"/>
          <s v="24/fev"/>
          <s v="25/fev"/>
          <s v="26/fev"/>
          <s v="27/fev"/>
          <s v="28/fev"/>
          <s v="29/fev"/>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br"/>
          <s v="02/abr"/>
          <s v="03/abr"/>
          <s v="04/abr"/>
          <s v="05/abr"/>
          <s v="06/abr"/>
          <s v="07/abr"/>
          <s v="08/abr"/>
          <s v="09/abr"/>
          <s v="10/abr"/>
          <s v="11/abr"/>
          <s v="12/abr"/>
          <s v="13/abr"/>
          <s v="14/abr"/>
          <s v="15/abr"/>
          <s v="16/abr"/>
          <s v="17/abr"/>
          <s v="18/abr"/>
          <s v="19/abr"/>
          <s v="20/abr"/>
          <s v="21/abr"/>
          <s v="22/abr"/>
          <s v="23/abr"/>
          <s v="24/abr"/>
          <s v="25/abr"/>
          <s v="26/abr"/>
          <s v="27/abr"/>
          <s v="28/abr"/>
          <s v="29/abr"/>
          <s v="30/abr"/>
          <s v="01/mai"/>
          <s v="02/mai"/>
          <s v="03/mai"/>
          <s v="04/mai"/>
          <s v="05/mai"/>
          <s v="06/mai"/>
          <s v="07/mai"/>
          <s v="08/mai"/>
          <s v="09/mai"/>
          <s v="10/mai"/>
          <s v="11/mai"/>
          <s v="12/mai"/>
          <s v="13/mai"/>
          <s v="14/mai"/>
          <s v="15/mai"/>
          <s v="16/mai"/>
          <s v="17/mai"/>
          <s v="18/mai"/>
          <s v="19/mai"/>
          <s v="20/mai"/>
          <s v="21/mai"/>
          <s v="22/mai"/>
          <s v="23/mai"/>
          <s v="24/mai"/>
          <s v="25/mai"/>
          <s v="26/mai"/>
          <s v="27/mai"/>
          <s v="28/mai"/>
          <s v="29/mai"/>
          <s v="30/mai"/>
          <s v="31/mai"/>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go"/>
          <s v="02/ago"/>
          <s v="03/ago"/>
          <s v="04/ago"/>
          <s v="05/ago"/>
          <s v="06/ago"/>
          <s v="07/ago"/>
          <s v="08/ago"/>
          <s v="09/ago"/>
          <s v="10/ago"/>
          <s v="11/ago"/>
          <s v="12/ago"/>
          <s v="13/ago"/>
          <s v="14/ago"/>
          <s v="15/ago"/>
          <s v="16/ago"/>
          <s v="17/ago"/>
          <s v="18/ago"/>
          <s v="19/ago"/>
          <s v="20/ago"/>
          <s v="21/ago"/>
          <s v="22/ago"/>
          <s v="23/ago"/>
          <s v="24/ago"/>
          <s v="25/ago"/>
          <s v="26/ago"/>
          <s v="27/ago"/>
          <s v="28/ago"/>
          <s v="29/ago"/>
          <s v="30/ago"/>
          <s v="31/ago"/>
          <s v="01/set"/>
          <s v="02/set"/>
          <s v="03/set"/>
          <s v="04/set"/>
          <s v="05/set"/>
          <s v="06/set"/>
          <s v="07/set"/>
          <s v="08/set"/>
          <s v="09/set"/>
          <s v="10/set"/>
          <s v="11/set"/>
          <s v="12/set"/>
          <s v="13/set"/>
          <s v="14/set"/>
          <s v="15/set"/>
          <s v="16/set"/>
          <s v="17/set"/>
          <s v="18/set"/>
          <s v="19/set"/>
          <s v="20/set"/>
          <s v="21/set"/>
          <s v="22/set"/>
          <s v="23/set"/>
          <s v="24/set"/>
          <s v="25/set"/>
          <s v="26/set"/>
          <s v="27/set"/>
          <s v="28/set"/>
          <s v="29/set"/>
          <s v="30/set"/>
          <s v="01/out"/>
          <s v="02/out"/>
          <s v="03/out"/>
          <s v="04/out"/>
          <s v="05/out"/>
          <s v="06/out"/>
          <s v="07/out"/>
          <s v="08/out"/>
          <s v="09/out"/>
          <s v="10/out"/>
          <s v="11/out"/>
          <s v="12/out"/>
          <s v="13/out"/>
          <s v="14/out"/>
          <s v="15/out"/>
          <s v="16/out"/>
          <s v="17/out"/>
          <s v="18/out"/>
          <s v="19/out"/>
          <s v="20/out"/>
          <s v="21/out"/>
          <s v="22/out"/>
          <s v="23/out"/>
          <s v="24/out"/>
          <s v="25/out"/>
          <s v="26/out"/>
          <s v="27/out"/>
          <s v="28/out"/>
          <s v="29/out"/>
          <s v="30/out"/>
          <s v="31/out"/>
          <s v="01/nov"/>
          <s v="02/nov"/>
          <s v="03/nov"/>
          <s v="04/nov"/>
          <s v="05/nov"/>
          <s v="06/nov"/>
          <s v="07/nov"/>
          <s v="08/nov"/>
          <s v="09/nov"/>
          <s v="10/nov"/>
          <s v="11/nov"/>
          <s v="12/nov"/>
          <s v="13/nov"/>
          <s v="14/nov"/>
          <s v="15/nov"/>
          <s v="16/nov"/>
          <s v="17/nov"/>
          <s v="18/nov"/>
          <s v="19/nov"/>
          <s v="20/nov"/>
          <s v="21/nov"/>
          <s v="22/nov"/>
          <s v="23/nov"/>
          <s v="24/nov"/>
          <s v="25/nov"/>
          <s v="26/nov"/>
          <s v="27/nov"/>
          <s v="28/nov"/>
          <s v="29/nov"/>
          <s v="30/nov"/>
          <s v="01/dez"/>
          <s v="02/dez"/>
          <s v="03/dez"/>
          <s v="04/dez"/>
          <s v="05/dez"/>
          <s v="06/dez"/>
          <s v="07/dez"/>
          <s v="08/dez"/>
          <s v="09/dez"/>
          <s v="10/dez"/>
          <s v="11/dez"/>
          <s v="12/dez"/>
          <s v="13/dez"/>
          <s v="14/dez"/>
          <s v="15/dez"/>
          <s v="16/dez"/>
          <s v="17/dez"/>
          <s v="18/dez"/>
          <s v="19/dez"/>
          <s v="20/dez"/>
          <s v="21/dez"/>
          <s v="22/dez"/>
          <s v="23/dez"/>
          <s v="24/dez"/>
          <s v="25/dez"/>
          <s v="26/dez"/>
          <s v="27/dez"/>
          <s v="28/dez"/>
          <s v="29/dez"/>
          <s v="30/dez"/>
          <s v="31/dez"/>
          <s v="&gt;02/05/2026"/>
        </groupItems>
      </fieldGroup>
    </cacheField>
    <cacheField name="Meses (Mês)" numFmtId="0" databaseField="0">
      <fieldGroup base="1">
        <rangePr groupBy="months" startDate="2025-01-01T00:00:00" endDate="2026-05-02T00:00:00"/>
        <groupItems count="14">
          <s v="&lt;01/01/2025"/>
          <s v="jan"/>
          <s v="fev"/>
          <s v="mar"/>
          <s v="abr"/>
          <s v="mai"/>
          <s v="jun"/>
          <s v="jul"/>
          <s v="ago"/>
          <s v="set"/>
          <s v="out"/>
          <s v="nov"/>
          <s v="dez"/>
          <s v="&gt;02/05/2026"/>
        </groupItems>
      </fieldGroup>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aulo Santos de Souza" refreshedDate="46162.316965972219" createdVersion="8" refreshedVersion="8" minRefreshableVersion="3" recordCount="471" xr:uid="{00000000-000A-0000-FFFF-FFFF05000000}">
  <cacheSource type="worksheet">
    <worksheetSource name="Vendas2025"/>
  </cacheSource>
  <cacheFields count="22">
    <cacheField name="Data" numFmtId="14">
      <sharedItems containsSemiMixedTypes="0" containsNonDate="0" containsDate="1" containsString="0" minDate="2025-01-06T00:00:00" maxDate="2025-12-06T00:00:00" count="100">
        <d v="2025-01-06T00:00:00"/>
        <d v="2025-01-07T00:00:00"/>
        <d v="2025-01-08T00:00:00"/>
        <d v="2025-01-09T00:00:00"/>
        <d v="2025-01-10T00:00:00"/>
        <d v="2025-01-13T00:00:00"/>
        <d v="2025-01-14T00:00:00"/>
        <d v="2025-01-15T00:00:00"/>
        <d v="2025-01-16T00:00:00"/>
        <d v="2025-01-17T00:00:00"/>
        <d v="2025-01-24T00:00:00"/>
        <d v="2025-01-28T00:00:00"/>
        <d v="2025-01-29T00:00:00"/>
        <d v="2025-02-03T00:00:00"/>
        <d v="2025-02-09T00:00:00"/>
        <d v="2025-02-10T00:00:00"/>
        <d v="2025-02-14T00:00:00"/>
        <d v="2025-02-19T00:00:00"/>
        <d v="2025-02-24T00:00:00"/>
        <d v="2025-02-25T00:00:00"/>
        <d v="2025-02-26T00:00:00"/>
        <d v="2025-02-27T00:00:00"/>
        <d v="2025-02-28T00:00:00"/>
        <d v="2025-03-01T00:00:00"/>
        <d v="2025-03-04T00:00:00"/>
        <d v="2025-03-10T00:00:00"/>
        <d v="2025-03-12T00:00:00"/>
        <d v="2025-03-13T00:00:00"/>
        <d v="2025-03-18T00:00:00"/>
        <d v="2025-03-20T00:00:00"/>
        <d v="2025-03-25T00:00:00"/>
        <d v="2025-03-26T00:00:00"/>
        <d v="2025-03-27T00:00:00"/>
        <d v="2025-04-01T00:00:00"/>
        <d v="2025-04-02T00:00:00"/>
        <d v="2025-04-04T00:00:00"/>
        <d v="2025-04-23T00:00:00"/>
        <d v="2025-04-29T00:00:00"/>
        <d v="2025-05-02T00:00:00"/>
        <d v="2025-05-05T00:00:00"/>
        <d v="2025-05-06T00:00:00"/>
        <d v="2025-05-09T00:00:00"/>
        <d v="2025-05-12T00:00:00"/>
        <d v="2025-05-13T00:00:00"/>
        <d v="2025-05-14T00:00:00"/>
        <d v="2025-05-15T00:00:00"/>
        <d v="2025-05-22T00:00:00"/>
        <d v="2025-05-30T00:00:00"/>
        <d v="2025-06-01T00:00:00"/>
        <d v="2025-06-02T00:00:00"/>
        <d v="2025-06-05T00:00:00"/>
        <d v="2025-06-06T00:00:00"/>
        <d v="2025-06-10T00:00:00"/>
        <d v="2025-06-11T00:00:00"/>
        <d v="2025-06-16T00:00:00"/>
        <d v="2025-06-23T00:00:00"/>
        <d v="2025-06-24T00:00:00"/>
        <d v="2025-06-25T00:00:00"/>
        <d v="2025-06-27T00:00:00"/>
        <d v="2025-07-01T00:00:00"/>
        <d v="2025-07-16T00:00:00"/>
        <d v="2025-07-17T00:00:00"/>
        <d v="2025-07-21T00:00:00"/>
        <d v="2025-07-22T00:00:00"/>
        <d v="2025-07-24T00:00:00"/>
        <d v="2025-07-25T00:00:00"/>
        <d v="2025-07-30T00:00:00"/>
        <d v="2025-07-31T00:00:00"/>
        <d v="2025-08-01T00:00:00"/>
        <d v="2025-08-04T00:00:00"/>
        <d v="2025-08-07T00:00:00"/>
        <d v="2025-08-19T00:00:00"/>
        <d v="2025-08-27T00:00:00"/>
        <d v="2025-09-02T00:00:00"/>
        <d v="2025-09-10T00:00:00"/>
        <d v="2025-09-19T00:00:00"/>
        <d v="2025-09-22T00:00:00"/>
        <d v="2025-09-23T00:00:00"/>
        <d v="2025-09-24T00:00:00"/>
        <d v="2025-09-30T00:00:00"/>
        <d v="2025-10-06T00:00:00"/>
        <d v="2025-10-07T00:00:00"/>
        <d v="2025-10-30T00:00:00"/>
        <d v="2025-10-24T00:00:00"/>
        <d v="2025-10-22T00:00:00"/>
        <d v="2025-10-15T00:00:00"/>
        <d v="2025-10-17T00:00:00"/>
        <d v="2025-10-14T00:00:00"/>
        <d v="2025-10-16T00:00:00"/>
        <d v="2025-11-07T00:00:00"/>
        <d v="2025-11-04T00:00:00"/>
        <d v="2025-11-05T00:00:00"/>
        <d v="2025-11-13T00:00:00"/>
        <d v="2025-11-14T00:00:00"/>
        <d v="2025-11-24T00:00:00"/>
        <d v="2025-11-27T00:00:00"/>
        <d v="2025-12-01T00:00:00"/>
        <d v="2025-12-02T00:00:00"/>
        <d v="2025-12-04T00:00:00"/>
        <d v="2025-12-05T00:00:00"/>
      </sharedItems>
      <fieldGroup par="21"/>
    </cacheField>
    <cacheField name="Ticket" numFmtId="0">
      <sharedItems containsMixedTypes="1" containsNumber="1" containsInteger="1" minValue="78364" maxValue="134873"/>
    </cacheField>
    <cacheField name="Vendedor" numFmtId="0">
      <sharedItems count="3">
        <s v="Junior Lopes"/>
        <s v="Paulo Souza"/>
        <s v="Rayssa Karapeticov"/>
      </sharedItems>
    </cacheField>
    <cacheField name="Cliente" numFmtId="0">
      <sharedItems/>
    </cacheField>
    <cacheField name="Produto" numFmtId="0">
      <sharedItems count="35">
        <s v="Importação XML"/>
        <s v="ERP"/>
        <s v="AFV"/>
        <s v="Cloud"/>
        <s v="WMS"/>
        <s v="PDV"/>
        <s v="PDV ERP"/>
        <s v="MDe"/>
        <s v="Treinamento"/>
        <s v="Melhoria"/>
        <s v="CNPJ"/>
        <s v="Tray"/>
        <s v="Envio de Boleto"/>
        <s v="MDFe"/>
        <s v="PCP"/>
        <s v="BI"/>
        <s v="Guarani B2B"/>
        <s v="Telemarketing"/>
        <s v="CTE"/>
        <s v="AFV Preposto"/>
        <s v="CRM RD Station"/>
        <s v="Intelipost"/>
        <s v="Contábil"/>
        <s v="B2B"/>
        <s v="Link de Pagamento"/>
        <s v="Routeasy"/>
        <s v="Addon Propsta WEB"/>
        <s v="PDV Server"/>
        <s v="PDV Pre Venda"/>
        <s v="MDFE e CTE"/>
        <s v="Addon Multilojas"/>
        <s v="Addon Iara"/>
        <s v="Lexos"/>
        <s v="CIAP"/>
        <s v="Magis"/>
      </sharedItems>
    </cacheField>
    <cacheField name="TipoReceita" numFmtId="0">
      <sharedItems count="4">
        <s v="Mensalidade"/>
        <s v="Treinamentos"/>
        <s v="CDU"/>
        <s v="Melhoria"/>
      </sharedItems>
    </cacheField>
    <cacheField name="Qtde" numFmtId="1">
      <sharedItems containsSemiMixedTypes="0" containsString="0" containsNumber="1" minValue="0" maxValue="612"/>
    </cacheField>
    <cacheField name="VlrUnitário" numFmtId="164">
      <sharedItems containsSemiMixedTypes="0" containsString="0" containsNumber="1" minValue="0" maxValue="22000"/>
    </cacheField>
    <cacheField name="VlrTotal" numFmtId="165">
      <sharedItems containsSemiMixedTypes="0" containsString="0" containsNumber="1" minValue="0" maxValue="108936"/>
    </cacheField>
    <cacheField name="%Comissão" numFmtId="10">
      <sharedItems containsSemiMixedTypes="0" containsString="0" containsNumber="1" minValue="0" maxValue="1"/>
    </cacheField>
    <cacheField name="%ComissãoSupervisor" numFmtId="0">
      <sharedItems containsSemiMixedTypes="0" containsString="0" containsNumber="1" minValue="0" maxValue="0.25"/>
    </cacheField>
    <cacheField name="Base" numFmtId="165">
      <sharedItems/>
    </cacheField>
    <cacheField name="ComissãoVendedor " numFmtId="165">
      <sharedItems containsSemiMixedTypes="0" containsString="0" containsNumber="1" minValue="0" maxValue="10810"/>
    </cacheField>
    <cacheField name="ComissãoSupervisor" numFmtId="165">
      <sharedItems containsSemiMixedTypes="0" containsString="0" containsNumber="1" minValue="0" maxValue="2702.5"/>
    </cacheField>
    <cacheField name="Clicksign" numFmtId="0">
      <sharedItems/>
    </cacheField>
    <cacheField name="Contrato_Termo Aditivo" numFmtId="0">
      <sharedItems/>
    </cacheField>
    <cacheField name="Obs" numFmtId="0">
      <sharedItems containsNonDate="0" containsString="0" containsBlank="1"/>
    </cacheField>
    <cacheField name="Parcelas" numFmtId="0">
      <sharedItems containsSemiMixedTypes="0" containsString="0" containsNumber="1" containsInteger="1" minValue="0" maxValue="12"/>
    </cacheField>
    <cacheField name="Contrato" numFmtId="0">
      <sharedItems/>
    </cacheField>
    <cacheField name="SDR_RESPONSÁVEL" numFmtId="0">
      <sharedItems/>
    </cacheField>
    <cacheField name="Dias (Data)" numFmtId="0" databaseField="0">
      <fieldGroup base="0">
        <rangePr groupBy="days" startDate="2025-01-06T00:00:00" endDate="2025-12-06T00:00:00"/>
        <groupItems count="368">
          <s v="&lt;06/01/2025"/>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v"/>
          <s v="02/fev"/>
          <s v="03/fev"/>
          <s v="04/fev"/>
          <s v="05/fev"/>
          <s v="06/fev"/>
          <s v="07/fev"/>
          <s v="08/fev"/>
          <s v="09/fev"/>
          <s v="10/fev"/>
          <s v="11/fev"/>
          <s v="12/fev"/>
          <s v="13/fev"/>
          <s v="14/fev"/>
          <s v="15/fev"/>
          <s v="16/fev"/>
          <s v="17/fev"/>
          <s v="18/fev"/>
          <s v="19/fev"/>
          <s v="20/fev"/>
          <s v="21/fev"/>
          <s v="22/fev"/>
          <s v="23/fev"/>
          <s v="24/fev"/>
          <s v="25/fev"/>
          <s v="26/fev"/>
          <s v="27/fev"/>
          <s v="28/fev"/>
          <s v="29/fev"/>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br"/>
          <s v="02/abr"/>
          <s v="03/abr"/>
          <s v="04/abr"/>
          <s v="05/abr"/>
          <s v="06/abr"/>
          <s v="07/abr"/>
          <s v="08/abr"/>
          <s v="09/abr"/>
          <s v="10/abr"/>
          <s v="11/abr"/>
          <s v="12/abr"/>
          <s v="13/abr"/>
          <s v="14/abr"/>
          <s v="15/abr"/>
          <s v="16/abr"/>
          <s v="17/abr"/>
          <s v="18/abr"/>
          <s v="19/abr"/>
          <s v="20/abr"/>
          <s v="21/abr"/>
          <s v="22/abr"/>
          <s v="23/abr"/>
          <s v="24/abr"/>
          <s v="25/abr"/>
          <s v="26/abr"/>
          <s v="27/abr"/>
          <s v="28/abr"/>
          <s v="29/abr"/>
          <s v="30/abr"/>
          <s v="01/mai"/>
          <s v="02/mai"/>
          <s v="03/mai"/>
          <s v="04/mai"/>
          <s v="05/mai"/>
          <s v="06/mai"/>
          <s v="07/mai"/>
          <s v="08/mai"/>
          <s v="09/mai"/>
          <s v="10/mai"/>
          <s v="11/mai"/>
          <s v="12/mai"/>
          <s v="13/mai"/>
          <s v="14/mai"/>
          <s v="15/mai"/>
          <s v="16/mai"/>
          <s v="17/mai"/>
          <s v="18/mai"/>
          <s v="19/mai"/>
          <s v="20/mai"/>
          <s v="21/mai"/>
          <s v="22/mai"/>
          <s v="23/mai"/>
          <s v="24/mai"/>
          <s v="25/mai"/>
          <s v="26/mai"/>
          <s v="27/mai"/>
          <s v="28/mai"/>
          <s v="29/mai"/>
          <s v="30/mai"/>
          <s v="31/mai"/>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go"/>
          <s v="02/ago"/>
          <s v="03/ago"/>
          <s v="04/ago"/>
          <s v="05/ago"/>
          <s v="06/ago"/>
          <s v="07/ago"/>
          <s v="08/ago"/>
          <s v="09/ago"/>
          <s v="10/ago"/>
          <s v="11/ago"/>
          <s v="12/ago"/>
          <s v="13/ago"/>
          <s v="14/ago"/>
          <s v="15/ago"/>
          <s v="16/ago"/>
          <s v="17/ago"/>
          <s v="18/ago"/>
          <s v="19/ago"/>
          <s v="20/ago"/>
          <s v="21/ago"/>
          <s v="22/ago"/>
          <s v="23/ago"/>
          <s v="24/ago"/>
          <s v="25/ago"/>
          <s v="26/ago"/>
          <s v="27/ago"/>
          <s v="28/ago"/>
          <s v="29/ago"/>
          <s v="30/ago"/>
          <s v="31/ago"/>
          <s v="01/set"/>
          <s v="02/set"/>
          <s v="03/set"/>
          <s v="04/set"/>
          <s v="05/set"/>
          <s v="06/set"/>
          <s v="07/set"/>
          <s v="08/set"/>
          <s v="09/set"/>
          <s v="10/set"/>
          <s v="11/set"/>
          <s v="12/set"/>
          <s v="13/set"/>
          <s v="14/set"/>
          <s v="15/set"/>
          <s v="16/set"/>
          <s v="17/set"/>
          <s v="18/set"/>
          <s v="19/set"/>
          <s v="20/set"/>
          <s v="21/set"/>
          <s v="22/set"/>
          <s v="23/set"/>
          <s v="24/set"/>
          <s v="25/set"/>
          <s v="26/set"/>
          <s v="27/set"/>
          <s v="28/set"/>
          <s v="29/set"/>
          <s v="30/set"/>
          <s v="01/out"/>
          <s v="02/out"/>
          <s v="03/out"/>
          <s v="04/out"/>
          <s v="05/out"/>
          <s v="06/out"/>
          <s v="07/out"/>
          <s v="08/out"/>
          <s v="09/out"/>
          <s v="10/out"/>
          <s v="11/out"/>
          <s v="12/out"/>
          <s v="13/out"/>
          <s v="14/out"/>
          <s v="15/out"/>
          <s v="16/out"/>
          <s v="17/out"/>
          <s v="18/out"/>
          <s v="19/out"/>
          <s v="20/out"/>
          <s v="21/out"/>
          <s v="22/out"/>
          <s v="23/out"/>
          <s v="24/out"/>
          <s v="25/out"/>
          <s v="26/out"/>
          <s v="27/out"/>
          <s v="28/out"/>
          <s v="29/out"/>
          <s v="30/out"/>
          <s v="31/out"/>
          <s v="01/nov"/>
          <s v="02/nov"/>
          <s v="03/nov"/>
          <s v="04/nov"/>
          <s v="05/nov"/>
          <s v="06/nov"/>
          <s v="07/nov"/>
          <s v="08/nov"/>
          <s v="09/nov"/>
          <s v="10/nov"/>
          <s v="11/nov"/>
          <s v="12/nov"/>
          <s v="13/nov"/>
          <s v="14/nov"/>
          <s v="15/nov"/>
          <s v="16/nov"/>
          <s v="17/nov"/>
          <s v="18/nov"/>
          <s v="19/nov"/>
          <s v="20/nov"/>
          <s v="21/nov"/>
          <s v="22/nov"/>
          <s v="23/nov"/>
          <s v="24/nov"/>
          <s v="25/nov"/>
          <s v="26/nov"/>
          <s v="27/nov"/>
          <s v="28/nov"/>
          <s v="29/nov"/>
          <s v="30/nov"/>
          <s v="01/dez"/>
          <s v="02/dez"/>
          <s v="03/dez"/>
          <s v="04/dez"/>
          <s v="05/dez"/>
          <s v="06/dez"/>
          <s v="07/dez"/>
          <s v="08/dez"/>
          <s v="09/dez"/>
          <s v="10/dez"/>
          <s v="11/dez"/>
          <s v="12/dez"/>
          <s v="13/dez"/>
          <s v="14/dez"/>
          <s v="15/dez"/>
          <s v="16/dez"/>
          <s v="17/dez"/>
          <s v="18/dez"/>
          <s v="19/dez"/>
          <s v="20/dez"/>
          <s v="21/dez"/>
          <s v="22/dez"/>
          <s v="23/dez"/>
          <s v="24/dez"/>
          <s v="25/dez"/>
          <s v="26/dez"/>
          <s v="27/dez"/>
          <s v="28/dez"/>
          <s v="29/dez"/>
          <s v="30/dez"/>
          <s v="31/dez"/>
          <s v="&gt;06/12/2025"/>
        </groupItems>
      </fieldGroup>
    </cacheField>
    <cacheField name="Meses (Data)" numFmtId="0" databaseField="0">
      <fieldGroup base="0">
        <rangePr groupBy="months" startDate="2025-01-06T00:00:00" endDate="2025-12-06T00:00:00"/>
        <groupItems count="14">
          <s v="&lt;06/01/2025"/>
          <s v="jan"/>
          <s v="fev"/>
          <s v="mar"/>
          <s v="abr"/>
          <s v="mai"/>
          <s v="jun"/>
          <s v="jul"/>
          <s v="ago"/>
          <s v="set"/>
          <s v="out"/>
          <s v="nov"/>
          <s v="dez"/>
          <s v="&gt;06/12/2025"/>
        </groupItems>
      </fieldGroup>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aulo Santos de Souza" refreshedDate="46162.316965972219" createdVersion="8" refreshedVersion="8" minRefreshableVersion="3" recordCount="82" xr:uid="{00000000-000A-0000-FFFF-FFFF04000000}">
  <cacheSource type="worksheet">
    <worksheetSource name="FORECAST"/>
  </cacheSource>
  <cacheFields count="9">
    <cacheField name="Qtde" numFmtId="0">
      <sharedItems containsSemiMixedTypes="0" containsString="0" containsNumber="1" containsInteger="1" minValue="1" maxValue="1"/>
    </cacheField>
    <cacheField name="Cliente" numFmtId="0">
      <sharedItems count="82">
        <s v="Porto Brasil Cerâmica – AFV"/>
        <s v="Renovação Porcelanas – AFV"/>
        <s v="Tiago Eletrônicos – B2B"/>
        <s v="Amilplast Ind – ERP"/>
        <s v="MDL Import – Cloud"/>
        <s v="Plasbrink Embalagens Plásticas Ltda – ERP"/>
        <s v="Plasbrink Embalagens Plásticas Ltda – Cloud"/>
        <s v="Preciza Import – Boleto WhatsApp"/>
        <s v="Marka Têxtil – ERP"/>
        <s v="Marka Têxtil – Cloud"/>
        <s v="Sevilla Trade – ERP"/>
        <s v="Sevilla Trade – Cloud"/>
        <s v="Fafá Import – WMS"/>
        <s v="VIC Import – ERP"/>
        <s v="VIC Import – AFV"/>
        <s v="VIC Import – Cloud"/>
        <s v="Conthey – ERP"/>
        <s v="Conthey – AFV"/>
        <s v="Conthey – Cloud"/>
        <s v="Star – B2B"/>
        <s v="Erca Alumínio – Imp. XML"/>
        <s v="Toptem – ERP"/>
        <s v="Toptem – AFV"/>
        <s v="Chavetas Comércio de Peças e Ferramentas Ltda"/>
        <s v="Color Unhas"/>
        <s v="Folha Dourada Tabacos Ltda"/>
        <s v="Atacadão Delfino"/>
        <s v="BK Comércio"/>
        <s v="Sunguider Importador/Distribuidor"/>
        <s v="Indústria Oyshi"/>
        <s v="Alumínio Ramos"/>
        <s v="Wellmix – ERP"/>
        <s v="Medihosp"/>
        <s v="Bela Flor"/>
        <s v="Imev Proteínas"/>
        <s v="AIH Importadora de Artigos de Presentes Ltda"/>
        <s v="Maia 4"/>
        <s v="Zomax"/>
        <s v="Val Port"/>
        <s v="Tron"/>
        <s v="HF Utilidades"/>
        <s v="Valport – B2B"/>
        <s v="Atual Mix"/>
        <s v="Union Ind"/>
        <s v="Distribuidora do Wicca"/>
        <s v="JP Distribuidora – Agenda Visita"/>
        <s v="Alumínio Nacional"/>
        <s v="Afey Peças"/>
        <s v="NVT Importadora"/>
        <s v="Olé Alimentos"/>
        <s v="Loggix Serviços Material Escolar"/>
        <s v="Zini Home"/>
        <s v="Russa 7 Berg Distribuidora"/>
        <s v="Stok Frios"/>
        <s v="Deltamed Comércio"/>
        <s v="Evolux – ERP · PCP · WMS · AFV"/>
        <s v="Doce Festa – ERP · AFV"/>
        <s v="Irriga House"/>
        <s v="CLS Indústria de Produtos Químicos Ltda"/>
        <s v="Maral"/>
        <s v="Fisiohosp"/>
        <s v="Vida Fitness"/>
        <s v="Horto das Acácias"/>
        <s v="Devons Hair"/>
        <s v="Alpinpro"/>
        <s v="DUS – Mercado Livre Full"/>
        <s v="Gyn Atacado Ltda – Integrador E-commerce"/>
        <s v="Univendas – Cloud"/>
        <s v="Qualyplas – PCP"/>
        <s v="Qualyplas – MDE"/>
        <s v="Qualyplas – Contábil"/>
        <s v="Rischioto – Routeasy"/>
        <s v="Colorflex – AFV"/>
        <s v="Parolar – Checkout"/>
        <s v="Multipresentes Presentes e Brinquedos Ltda"/>
        <s v="Chahin – Alteração Empresa Integrador"/>
        <s v="Gyn Atacado Ltda – B2B"/>
        <s v="Gyn Atacado Ltda – BI"/>
        <s v="Rischioto – CNPJ"/>
        <s v="Quality House – BI"/>
        <s v="Quality House – WMS"/>
        <s v="Dvidros – Estoque Futuro"/>
      </sharedItems>
    </cacheField>
    <cacheField name="Produto" numFmtId="0">
      <sharedItems count="25">
        <s v="AFV"/>
        <s v="B2B"/>
        <s v="ERP"/>
        <s v="CLOUD"/>
        <s v="ADDON BOLETO WHATSAPP"/>
        <s v="WMS"/>
        <s v="ADDON IMPORTAÇÃO XML"/>
        <s v="QUALIFICANDO"/>
        <s v="ERP, AFV, WMS"/>
        <s v="ERP, AFV "/>
        <s v="ERP, PDV"/>
        <s v="ADDON AGENDA "/>
        <s v="TREINAMENTO"/>
        <s v="ERP, AFV"/>
        <s v="ERP, PCP, WMS, AFV"/>
        <s v="Addon Mercado Livrefull"/>
        <s v="Hub Ecommerce"/>
        <s v="PCP"/>
        <s v="MDE"/>
        <s v="Contábil"/>
        <s v="Routeasy"/>
        <s v="Checkout"/>
        <s v="Proposta WEB"/>
        <s v="BI"/>
        <s v="CNPJ"/>
      </sharedItems>
    </cacheField>
    <cacheField name="Responsável" numFmtId="0">
      <sharedItems count="3">
        <s v="Junior Lopes"/>
        <s v="Paulo Souza"/>
        <s v="Rayssa Karapeticov"/>
      </sharedItems>
    </cacheField>
    <cacheField name="Vlr Projeto" numFmtId="44">
      <sharedItems containsBlank="1" containsMixedTypes="1" containsNumber="1" containsInteger="1" minValue="0" maxValue="315000"/>
    </cacheField>
    <cacheField name="Mensalidade" numFmtId="44">
      <sharedItems containsBlank="1" containsMixedTypes="1" containsNumber="1" minValue="0" maxValue="32575"/>
    </cacheField>
    <cacheField name="Horas" numFmtId="0">
      <sharedItems containsBlank="1" containsMixedTypes="1" containsNumber="1" containsInteger="1" minValue="0" maxValue="1500"/>
    </cacheField>
    <cacheField name="Pipeline" numFmtId="0">
      <sharedItems/>
    </cacheField>
    <cacheField name="Temperatura" numFmtId="9">
      <sharedItems containsSemiMixedTypes="0" containsString="0" containsNumber="1" minValue="0.3" maxValue="0.9" count="4">
        <n v="0.5"/>
        <n v="0.3"/>
        <n v="0.9"/>
        <n v="0.8"/>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aulo Souza" refreshedDate="46055.705580324073" createdVersion="8" refreshedVersion="8" minRefreshableVersion="3" recordCount="160" xr:uid="{00000000-000A-0000-FFFF-FFFF00000000}">
  <cacheSource type="worksheet">
    <worksheetSource name="comissao"/>
  </cacheSource>
  <cacheFields count="13">
    <cacheField name="Mês" numFmtId="14">
      <sharedItems containsSemiMixedTypes="0" containsNonDate="0" containsDate="1" containsString="0" minDate="2020-01-01T00:00:00" maxDate="2025-12-06T00:00:00" count="73">
        <d v="2020-01-01T00:00:00"/>
        <d v="2020-02-01T00:00:00"/>
        <d v="2020-03-01T00:00:00"/>
        <d v="2020-04-01T00:00:00"/>
        <d v="2020-05-01T00:00:00"/>
        <d v="2020-06-01T00:00:00"/>
        <d v="2020-07-01T00:00:00"/>
        <d v="2020-08-01T00:00:00"/>
        <d v="2020-09-01T00:00:00"/>
        <d v="2020-10-01T00:00:00"/>
        <d v="2020-11-01T00:00:00"/>
        <d v="2020-12-01T00:00:00"/>
        <d v="2021-01-01T00:00:00"/>
        <d v="2021-02-01T00:00:00"/>
        <d v="2021-03-01T00:00:00"/>
        <d v="2021-04-01T00:00:00"/>
        <d v="2021-05-01T00:00:00"/>
        <d v="2021-06-01T00:00:00"/>
        <d v="2021-07-01T00:00:00"/>
        <d v="2021-08-01T00:00:00"/>
        <d v="2021-09-01T00:00:00"/>
        <d v="2021-10-01T00:00:00"/>
        <d v="2021-11-01T00:00:00"/>
        <d v="2021-12-01T00:00:00"/>
        <d v="2022-01-01T00:00:00"/>
        <d v="2022-02-01T00:00:00"/>
        <d v="2022-03-01T00:00:00"/>
        <d v="2022-04-01T00:00:00"/>
        <d v="2022-05-01T00:00:00"/>
        <d v="2022-06-01T00:00:00"/>
        <d v="2022-07-01T00:00:00"/>
        <d v="2022-08-01T00:00:00"/>
        <d v="2022-09-01T00:00:00"/>
        <d v="2022-10-01T00:00:00"/>
        <d v="2022-11-01T00:00:00"/>
        <d v="2022-12-01T00:00:00"/>
        <d v="2023-01-05T00:00:00"/>
        <d v="2023-02-05T00:00:00"/>
        <d v="2023-03-05T00:00:00"/>
        <d v="2023-04-05T00:00:00"/>
        <d v="2023-05-05T00:00:00"/>
        <d v="2023-06-05T00:00:00"/>
        <d v="2023-07-05T00:00:00"/>
        <d v="2023-08-05T00:00:00"/>
        <d v="2023-09-05T00:00:00"/>
        <d v="2023-10-05T00:00:00"/>
        <d v="2023-11-05T00:00:00"/>
        <d v="2023-12-05T00:00:00"/>
        <d v="2024-01-05T00:00:00"/>
        <d v="2024-02-05T00:00:00"/>
        <d v="2024-03-05T00:00:00"/>
        <d v="2024-04-05T00:00:00"/>
        <d v="2024-05-05T00:00:00"/>
        <d v="2024-06-05T00:00:00"/>
        <d v="2024-07-05T00:00:00"/>
        <d v="2024-08-05T00:00:00"/>
        <d v="2024-09-05T00:00:00"/>
        <d v="2024-10-05T00:00:00"/>
        <d v="2024-11-05T00:00:00"/>
        <d v="2024-12-05T00:00:00"/>
        <d v="2025-01-05T00:00:00"/>
        <d v="2025-02-04T00:00:00"/>
        <d v="2025-03-04T00:00:00"/>
        <d v="2025-04-05T00:00:00"/>
        <d v="2025-05-05T00:00:00"/>
        <d v="2025-06-05T00:00:00"/>
        <d v="2025-07-05T00:00:00"/>
        <d v="2025-08-05T00:00:00"/>
        <d v="2025-09-05T00:00:00"/>
        <d v="2025-10-05T00:00:00"/>
        <d v="2025-11-05T00:00:00"/>
        <d v="2025-12-05T00:00:00"/>
        <d v="2025-04-04T00:00:00" u="1"/>
      </sharedItems>
      <fieldGroup par="8"/>
    </cacheField>
    <cacheField name="Vendedor" numFmtId="0">
      <sharedItems count="5">
        <s v="Paulo"/>
        <s v="Rayssa"/>
        <s v="Junior"/>
        <s v="Débora"/>
        <s v="Mariana"/>
      </sharedItems>
    </cacheField>
    <cacheField name="Comissão" numFmtId="166">
      <sharedItems containsSemiMixedTypes="0" containsString="0" containsNumber="1" minValue="0" maxValue="28964.69"/>
    </cacheField>
    <cacheField name="Pago em" numFmtId="14">
      <sharedItems containsSemiMixedTypes="0" containsNonDate="0" containsDate="1" containsString="0" minDate="2020-01-01T00:00:00" maxDate="2026-01-06T00:00:00" count="74">
        <d v="2020-01-01T00:00:00"/>
        <d v="2020-02-01T00:00:00"/>
        <d v="2020-03-01T00:00:00"/>
        <d v="2020-04-01T00:00:00"/>
        <d v="2020-05-01T00:00:00"/>
        <d v="2020-06-01T00:00:00"/>
        <d v="2020-07-01T00:00:00"/>
        <d v="2020-08-01T00:00:00"/>
        <d v="2020-09-01T00:00:00"/>
        <d v="2020-10-01T00:00:00"/>
        <d v="2020-11-01T00:00:00"/>
        <d v="2020-12-01T00:00:00"/>
        <d v="2021-02-01T00:00:00"/>
        <d v="2021-03-01T00:00:00"/>
        <d v="2021-04-01T00:00:00"/>
        <d v="2021-05-01T00:00:00"/>
        <d v="2021-06-01T00:00:00"/>
        <d v="2021-07-01T00:00:00"/>
        <d v="2021-08-01T00:00:00"/>
        <d v="2021-09-01T00:00:00"/>
        <d v="2021-10-01T00:00:00"/>
        <d v="2021-11-01T00:00:00"/>
        <d v="2021-12-01T00:00:00"/>
        <d v="2022-01-01T00:00:00"/>
        <d v="2022-02-01T00:00:00"/>
        <d v="2022-03-01T00:00:00"/>
        <d v="2022-04-01T00:00:00"/>
        <d v="2022-05-01T00:00:00"/>
        <d v="2022-06-01T00:00:00"/>
        <d v="2022-07-01T00:00:00"/>
        <d v="2022-08-01T00:00:00"/>
        <d v="2022-09-01T00:00:00"/>
        <d v="2022-10-01T00:00:00"/>
        <d v="2022-11-01T00:00:00"/>
        <d v="2022-12-01T00:00:00"/>
        <d v="2023-01-05T00:00:00"/>
        <d v="2023-02-05T00:00:00"/>
        <d v="2023-03-05T00:00:00"/>
        <d v="2023-04-05T00:00:00"/>
        <d v="2023-05-05T00:00:00"/>
        <d v="2023-06-05T00:00:00"/>
        <d v="2023-07-05T00:00:00"/>
        <d v="2023-08-05T00:00:00"/>
        <d v="2023-09-05T00:00:00"/>
        <d v="2023-10-05T00:00:00"/>
        <d v="2023-11-05T00:00:00"/>
        <d v="2023-12-05T00:00:00"/>
        <d v="2024-01-05T00:00:00"/>
        <d v="2024-02-05T00:00:00"/>
        <d v="2024-03-05T00:00:00"/>
        <d v="2024-04-05T00:00:00"/>
        <d v="2024-05-05T00:00:00"/>
        <d v="2024-06-05T00:00:00"/>
        <d v="2024-07-05T00:00:00"/>
        <d v="2024-08-05T00:00:00"/>
        <d v="2024-09-05T00:00:00"/>
        <d v="2024-10-05T00:00:00"/>
        <d v="2024-11-05T00:00:00"/>
        <d v="2024-12-05T00:00:00"/>
        <d v="2025-01-05T00:00:00"/>
        <d v="2025-02-05T00:00:00"/>
        <d v="2025-03-05T00:00:00"/>
        <d v="2025-04-05T00:00:00"/>
        <d v="2025-05-05T00:00:00"/>
        <d v="2025-06-05T00:00:00"/>
        <d v="2025-07-05T00:00:00"/>
        <d v="2025-08-05T00:00:00"/>
        <d v="2025-09-05T00:00:00"/>
        <d v="2025-10-05T00:00:00"/>
        <d v="2025-11-05T00:00:00"/>
        <d v="2025-12-05T00:00:00"/>
        <d v="2026-01-05T00:00:00"/>
        <d v="2023-01-01T00:00:00" u="1"/>
        <d v="2021-01-01T00:00:00" u="1"/>
      </sharedItems>
      <fieldGroup par="11"/>
    </cacheField>
    <cacheField name="Count" numFmtId="0">
      <sharedItems containsSemiMixedTypes="0" containsString="0" containsNumber="1" containsInteger="1" minValue="1" maxValue="1"/>
    </cacheField>
    <cacheField name="Ano" numFmtId="0">
      <sharedItems containsSemiMixedTypes="0" containsString="0" containsNumber="1" containsInteger="1" minValue="2020" maxValue="2026" count="7">
        <n v="2020"/>
        <n v="2021"/>
        <n v="2022"/>
        <n v="2023"/>
        <n v="2024"/>
        <n v="2025"/>
        <n v="2026"/>
      </sharedItems>
    </cacheField>
    <cacheField name="Meses (Mês)" numFmtId="0" databaseField="0">
      <fieldGroup base="0">
        <rangePr groupBy="months" startDate="2020-01-01T00:00:00" endDate="2025-12-06T00:00:00"/>
        <groupItems count="14">
          <s v="&lt;01/01/2020"/>
          <s v="jan"/>
          <s v="fev"/>
          <s v="mar"/>
          <s v="abr"/>
          <s v="mai"/>
          <s v="jun"/>
          <s v="jul"/>
          <s v="ago"/>
          <s v="set"/>
          <s v="out"/>
          <s v="nov"/>
          <s v="dez"/>
          <s v="&gt;06/12/2025"/>
        </groupItems>
      </fieldGroup>
    </cacheField>
    <cacheField name="Trimestres (Mês)" numFmtId="0" databaseField="0">
      <fieldGroup base="0">
        <rangePr groupBy="quarters" startDate="2020-01-01T00:00:00" endDate="2025-12-06T00:00:00"/>
        <groupItems count="6">
          <s v="&lt;01/01/2020"/>
          <s v="Trim1"/>
          <s v="Trim2"/>
          <s v="Trim3"/>
          <s v="Trim4"/>
          <s v="&gt;06/12/2025"/>
        </groupItems>
      </fieldGroup>
    </cacheField>
    <cacheField name="Anos (Mês)" numFmtId="0" databaseField="0">
      <fieldGroup base="0">
        <rangePr groupBy="years" startDate="2020-01-01T00:00:00" endDate="2025-12-06T00:00:00"/>
        <groupItems count="8">
          <s v="&lt;01/01/2020"/>
          <s v="2020"/>
          <s v="2021"/>
          <s v="2022"/>
          <s v="2023"/>
          <s v="2024"/>
          <s v="2025"/>
          <s v="&gt;06/12/2025"/>
        </groupItems>
      </fieldGroup>
    </cacheField>
    <cacheField name="Meses (Pago em)" numFmtId="0" databaseField="0">
      <fieldGroup base="3">
        <rangePr groupBy="months" startDate="2020-01-01T00:00:00" endDate="2026-01-06T00:00:00"/>
        <groupItems count="14">
          <s v="&lt;01/01/2020"/>
          <s v="jan"/>
          <s v="fev"/>
          <s v="mar"/>
          <s v="abr"/>
          <s v="mai"/>
          <s v="jun"/>
          <s v="jul"/>
          <s v="ago"/>
          <s v="set"/>
          <s v="out"/>
          <s v="nov"/>
          <s v="dez"/>
          <s v="&gt;06/01/2026"/>
        </groupItems>
      </fieldGroup>
    </cacheField>
    <cacheField name="Trimestres (Pago em)" numFmtId="0" databaseField="0">
      <fieldGroup base="3">
        <rangePr groupBy="quarters" startDate="2020-01-01T00:00:00" endDate="2026-01-06T00:00:00"/>
        <groupItems count="6">
          <s v="&lt;01/01/2020"/>
          <s v="Trim1"/>
          <s v="Trim2"/>
          <s v="Trim3"/>
          <s v="Trim4"/>
          <s v="&gt;06/01/2026"/>
        </groupItems>
      </fieldGroup>
    </cacheField>
    <cacheField name="Anos (Pago em)" numFmtId="0" databaseField="0">
      <fieldGroup base="3">
        <rangePr groupBy="years" startDate="2020-01-01T00:00:00" endDate="2026-01-06T00:00:00"/>
        <groupItems count="9">
          <s v="&lt;01/01/2020"/>
          <s v="2020"/>
          <s v="2021"/>
          <s v="2022"/>
          <s v="2023"/>
          <s v="2024"/>
          <s v="2025"/>
          <s v="2026"/>
          <s v="&gt;06/01/2026"/>
        </groupItems>
      </fieldGroup>
    </cacheField>
    <cacheField name="media" numFmtId="0" formula="Comissão/Count" databaseField="0"/>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aulo Santos de Souza" refreshedDate="46162.316965625003" createdVersion="8" refreshedVersion="8" minRefreshableVersion="3" recordCount="172" xr:uid="{00000000-000A-0000-FFFF-FFFF03000000}">
  <cacheSource type="worksheet">
    <worksheetSource name="comissao"/>
  </cacheSource>
  <cacheFields count="13">
    <cacheField name="Mês" numFmtId="14">
      <sharedItems containsSemiMixedTypes="0" containsNonDate="0" containsDate="1" containsString="0" minDate="2020-01-01T00:00:00" maxDate="2026-04-06T00:00:00" count="76">
        <d v="2020-01-01T00:00:00"/>
        <d v="2020-02-01T00:00:00"/>
        <d v="2020-03-01T00:00:00"/>
        <d v="2020-04-01T00:00:00"/>
        <d v="2020-05-01T00:00:00"/>
        <d v="2020-06-01T00:00:00"/>
        <d v="2020-07-01T00:00:00"/>
        <d v="2020-08-01T00:00:00"/>
        <d v="2020-09-01T00:00:00"/>
        <d v="2020-10-01T00:00:00"/>
        <d v="2020-11-01T00:00:00"/>
        <d v="2020-12-01T00:00:00"/>
        <d v="2021-01-01T00:00:00"/>
        <d v="2021-02-01T00:00:00"/>
        <d v="2021-03-01T00:00:00"/>
        <d v="2021-04-01T00:00:00"/>
        <d v="2021-05-01T00:00:00"/>
        <d v="2021-06-01T00:00:00"/>
        <d v="2021-07-01T00:00:00"/>
        <d v="2021-08-01T00:00:00"/>
        <d v="2021-09-01T00:00:00"/>
        <d v="2021-10-01T00:00:00"/>
        <d v="2021-11-01T00:00:00"/>
        <d v="2021-12-01T00:00:00"/>
        <d v="2022-01-01T00:00:00"/>
        <d v="2022-02-01T00:00:00"/>
        <d v="2022-03-01T00:00:00"/>
        <d v="2022-04-01T00:00:00"/>
        <d v="2022-05-01T00:00:00"/>
        <d v="2022-06-01T00:00:00"/>
        <d v="2022-07-01T00:00:00"/>
        <d v="2022-08-01T00:00:00"/>
        <d v="2022-09-01T00:00:00"/>
        <d v="2022-10-01T00:00:00"/>
        <d v="2022-11-01T00:00:00"/>
        <d v="2022-12-01T00:00:00"/>
        <d v="2023-01-05T00:00:00"/>
        <d v="2023-02-05T00:00:00"/>
        <d v="2023-03-05T00:00:00"/>
        <d v="2023-04-05T00:00:00"/>
        <d v="2023-05-05T00:00:00"/>
        <d v="2023-06-05T00:00:00"/>
        <d v="2023-07-05T00:00:00"/>
        <d v="2023-08-05T00:00:00"/>
        <d v="2023-09-05T00:00:00"/>
        <d v="2023-10-05T00:00:00"/>
        <d v="2023-11-05T00:00:00"/>
        <d v="2023-12-05T00:00:00"/>
        <d v="2024-01-05T00:00:00"/>
        <d v="2024-02-05T00:00:00"/>
        <d v="2024-03-05T00:00:00"/>
        <d v="2024-04-05T00:00:00"/>
        <d v="2024-05-05T00:00:00"/>
        <d v="2024-06-05T00:00:00"/>
        <d v="2024-07-05T00:00:00"/>
        <d v="2024-08-05T00:00:00"/>
        <d v="2024-09-05T00:00:00"/>
        <d v="2024-10-05T00:00:00"/>
        <d v="2024-11-05T00:00:00"/>
        <d v="2024-12-05T00:00:00"/>
        <d v="2025-01-05T00:00:00"/>
        <d v="2025-02-04T00:00:00"/>
        <d v="2025-03-04T00:00:00"/>
        <d v="2025-04-05T00:00:00"/>
        <d v="2025-05-05T00:00:00"/>
        <d v="2025-06-05T00:00:00"/>
        <d v="2025-07-05T00:00:00"/>
        <d v="2025-08-05T00:00:00"/>
        <d v="2025-09-05T00:00:00"/>
        <d v="2025-10-05T00:00:00"/>
        <d v="2025-11-05T00:00:00"/>
        <d v="2025-12-05T00:00:00"/>
        <d v="2026-01-05T00:00:00"/>
        <d v="2026-02-05T00:00:00"/>
        <d v="2026-03-05T00:00:00"/>
        <d v="2026-04-05T00:00:00"/>
      </sharedItems>
      <fieldGroup par="8"/>
    </cacheField>
    <cacheField name="Vendedor" numFmtId="0">
      <sharedItems count="5">
        <s v="Paulo"/>
        <s v="Rayssa"/>
        <s v="Junior"/>
        <s v="Débora"/>
        <s v="Mariana"/>
      </sharedItems>
    </cacheField>
    <cacheField name="Comissão" numFmtId="166">
      <sharedItems containsSemiMixedTypes="0" containsString="0" containsNumber="1" minValue="0" maxValue="30776.53"/>
    </cacheField>
    <cacheField name="Pago em" numFmtId="14">
      <sharedItems containsSemiMixedTypes="0" containsNonDate="0" containsDate="1" containsString="0" minDate="2020-01-01T00:00:00" maxDate="2026-05-06T00:00:00" count="76">
        <d v="2020-01-01T00:00:00"/>
        <d v="2020-02-01T00:00:00"/>
        <d v="2020-03-01T00:00:00"/>
        <d v="2020-04-01T00:00:00"/>
        <d v="2020-05-01T00:00:00"/>
        <d v="2020-06-01T00:00:00"/>
        <d v="2020-07-01T00:00:00"/>
        <d v="2020-08-01T00:00:00"/>
        <d v="2020-09-01T00:00:00"/>
        <d v="2020-10-01T00:00:00"/>
        <d v="2020-11-01T00:00:00"/>
        <d v="2020-12-01T00:00:00"/>
        <d v="2021-02-01T00:00:00"/>
        <d v="2021-03-01T00:00:00"/>
        <d v="2021-04-01T00:00:00"/>
        <d v="2021-05-01T00:00:00"/>
        <d v="2021-06-01T00:00:00"/>
        <d v="2021-07-01T00:00:00"/>
        <d v="2021-08-01T00:00:00"/>
        <d v="2021-09-01T00:00:00"/>
        <d v="2021-10-01T00:00:00"/>
        <d v="2021-11-01T00:00:00"/>
        <d v="2021-12-01T00:00:00"/>
        <d v="2022-01-01T00:00:00"/>
        <d v="2022-02-01T00:00:00"/>
        <d v="2022-03-01T00:00:00"/>
        <d v="2022-04-01T00:00:00"/>
        <d v="2022-05-01T00:00:00"/>
        <d v="2022-06-01T00:00:00"/>
        <d v="2022-07-01T00:00:00"/>
        <d v="2022-08-01T00:00:00"/>
        <d v="2022-09-01T00:00:00"/>
        <d v="2022-10-01T00:00:00"/>
        <d v="2022-11-01T00:00:00"/>
        <d v="2022-12-01T00:00:00"/>
        <d v="2023-01-05T00:00:00"/>
        <d v="2023-02-05T00:00:00"/>
        <d v="2023-03-05T00:00:00"/>
        <d v="2023-04-05T00:00:00"/>
        <d v="2023-05-05T00:00:00"/>
        <d v="2023-06-05T00:00:00"/>
        <d v="2023-07-05T00:00:00"/>
        <d v="2023-08-05T00:00:00"/>
        <d v="2023-09-05T00:00:00"/>
        <d v="2023-10-05T00:00:00"/>
        <d v="2023-11-05T00:00:00"/>
        <d v="2023-12-05T00:00:00"/>
        <d v="2024-01-05T00:00:00"/>
        <d v="2024-02-05T00:00:00"/>
        <d v="2024-03-05T00:00:00"/>
        <d v="2024-04-05T00:00:00"/>
        <d v="2024-05-05T00:00:00"/>
        <d v="2024-06-05T00:00:00"/>
        <d v="2024-07-05T00:00:00"/>
        <d v="2024-08-05T00:00:00"/>
        <d v="2024-09-05T00:00:00"/>
        <d v="2024-10-05T00:00:00"/>
        <d v="2024-11-05T00:00:00"/>
        <d v="2024-12-05T00:00:00"/>
        <d v="2025-01-05T00:00:00"/>
        <d v="2025-02-05T00:00:00"/>
        <d v="2025-03-05T00:00:00"/>
        <d v="2025-04-05T00:00:00"/>
        <d v="2025-05-05T00:00:00"/>
        <d v="2025-06-05T00:00:00"/>
        <d v="2025-07-05T00:00:00"/>
        <d v="2025-08-05T00:00:00"/>
        <d v="2025-09-05T00:00:00"/>
        <d v="2025-10-05T00:00:00"/>
        <d v="2025-11-05T00:00:00"/>
        <d v="2025-12-05T00:00:00"/>
        <d v="2026-01-05T00:00:00"/>
        <d v="2026-02-05T00:00:00"/>
        <d v="2026-03-05T00:00:00"/>
        <d v="2026-04-05T00:00:00"/>
        <d v="2026-05-05T00:00:00"/>
      </sharedItems>
      <fieldGroup par="11"/>
    </cacheField>
    <cacheField name="Count" numFmtId="0">
      <sharedItems containsSemiMixedTypes="0" containsString="0" containsNumber="1" containsInteger="1" minValue="1" maxValue="1"/>
    </cacheField>
    <cacheField name="Ano" numFmtId="0">
      <sharedItems containsSemiMixedTypes="0" containsString="0" containsNumber="1" containsInteger="1" minValue="2020" maxValue="2026" count="7">
        <n v="2020"/>
        <n v="2021"/>
        <n v="2022"/>
        <n v="2023"/>
        <n v="2024"/>
        <n v="2025"/>
        <n v="2026"/>
      </sharedItems>
    </cacheField>
    <cacheField name="Meses (Mês)" numFmtId="0" databaseField="0">
      <fieldGroup base="0">
        <rangePr groupBy="months" startDate="2020-01-01T00:00:00" endDate="2026-04-06T00:00:00"/>
        <groupItems count="14">
          <s v="&lt;01/01/2020"/>
          <s v="jan"/>
          <s v="fev"/>
          <s v="mar"/>
          <s v="abr"/>
          <s v="mai"/>
          <s v="jun"/>
          <s v="jul"/>
          <s v="ago"/>
          <s v="set"/>
          <s v="out"/>
          <s v="nov"/>
          <s v="dez"/>
          <s v="&gt;06/04/2026"/>
        </groupItems>
      </fieldGroup>
    </cacheField>
    <cacheField name="Trimestres (Mês)" numFmtId="0" databaseField="0">
      <fieldGroup base="0">
        <rangePr groupBy="quarters" startDate="2020-01-01T00:00:00" endDate="2026-04-06T00:00:00"/>
        <groupItems count="6">
          <s v="&lt;01/01/2020"/>
          <s v="Trim1"/>
          <s v="Trim2"/>
          <s v="Trim3"/>
          <s v="Trim4"/>
          <s v="&gt;06/04/2026"/>
        </groupItems>
      </fieldGroup>
    </cacheField>
    <cacheField name="Anos (Mês)" numFmtId="0" databaseField="0">
      <fieldGroup base="0">
        <rangePr groupBy="years" startDate="2020-01-01T00:00:00" endDate="2026-04-06T00:00:00"/>
        <groupItems count="9">
          <s v="&lt;01/01/2020"/>
          <s v="2020"/>
          <s v="2021"/>
          <s v="2022"/>
          <s v="2023"/>
          <s v="2024"/>
          <s v="2025"/>
          <s v="2026"/>
          <s v="&gt;06/04/2026"/>
        </groupItems>
      </fieldGroup>
    </cacheField>
    <cacheField name="Meses (Pago em)" numFmtId="0" databaseField="0">
      <fieldGroup base="3">
        <rangePr groupBy="months" startDate="2020-01-01T00:00:00" endDate="2026-05-06T00:00:00"/>
        <groupItems count="14">
          <s v="&lt;01/01/2020"/>
          <s v="jan"/>
          <s v="fev"/>
          <s v="mar"/>
          <s v="abr"/>
          <s v="mai"/>
          <s v="jun"/>
          <s v="jul"/>
          <s v="ago"/>
          <s v="set"/>
          <s v="out"/>
          <s v="nov"/>
          <s v="dez"/>
          <s v="&gt;06/05/2026"/>
        </groupItems>
      </fieldGroup>
    </cacheField>
    <cacheField name="Trimestres (Pago em)" numFmtId="0" databaseField="0">
      <fieldGroup base="3">
        <rangePr groupBy="quarters" startDate="2020-01-01T00:00:00" endDate="2026-05-06T00:00:00"/>
        <groupItems count="6">
          <s v="&lt;01/01/2020"/>
          <s v="Trim1"/>
          <s v="Trim2"/>
          <s v="Trim3"/>
          <s v="Trim4"/>
          <s v="&gt;06/05/2026"/>
        </groupItems>
      </fieldGroup>
    </cacheField>
    <cacheField name="Anos (Pago em)" numFmtId="0" databaseField="0">
      <fieldGroup base="3">
        <rangePr groupBy="years" startDate="2020-01-01T00:00:00" endDate="2026-05-06T00:00:00"/>
        <groupItems count="9">
          <s v="&lt;01/01/2020"/>
          <s v="2020"/>
          <s v="2021"/>
          <s v="2022"/>
          <s v="2023"/>
          <s v="2024"/>
          <s v="2025"/>
          <s v="2026"/>
          <s v="&gt;06/05/2026"/>
        </groupItems>
      </fieldGroup>
    </cacheField>
    <cacheField name="media" numFmtId="0" formula="Comissão/Count" databaseField="0"/>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count="716">
  <r>
    <x v="0"/>
    <n v="87"/>
    <m/>
    <n v="548"/>
    <s v=""/>
    <s v=""/>
    <x v="0"/>
    <m/>
    <s v=""/>
    <s v="Paulo Teste"/>
    <s v="16997181604"/>
    <s v=""/>
    <s v="paulo.souza@guaranisistemas.com.br"/>
    <s v=""/>
    <s v=""/>
    <s v=""/>
    <s v=""/>
    <s v=""/>
    <s v=""/>
    <s v=""/>
    <s v=""/>
    <s v="Guarani AFV;SDRPaulo"/>
    <s v="Pipeline de Vendas"/>
    <s v="Agendamento (0%)"/>
    <s v=""/>
    <m/>
    <n v="0"/>
    <n v="27562"/>
    <n v="540"/>
    <s v="Paulo Souza"/>
    <d v="2024-11-26T00:00:00"/>
    <d v="1899-12-30T17:25:50"/>
    <s v=""/>
    <s v="Ativo"/>
    <m/>
    <m/>
    <s v=""/>
    <s v=""/>
    <s v=""/>
    <x v="0"/>
    <s v="Paulo Souza"/>
    <x v="0"/>
    <s v=""/>
    <m/>
    <m/>
    <s v=""/>
    <s v=""/>
    <s v=""/>
    <s v=""/>
    <n v="1"/>
  </r>
  <r>
    <x v="1"/>
    <n v="88"/>
    <m/>
    <n v="269"/>
    <s v=""/>
    <s v="EDDI INDUSTRIA E COMERCIO DE ARTEFATOS PLASTICOS LTDA"/>
    <x v="1"/>
    <n v="24870219000100"/>
    <s v=""/>
    <s v="EDDI CASA"/>
    <s v="16997246190"/>
    <s v=""/>
    <s v="comercial@eddicasa.com"/>
    <s v=""/>
    <s v="EDDI CASA;Bruno"/>
    <s v=""/>
    <s v="Ibitinga - SP"/>
    <s v="SP"/>
    <s v="Outbound"/>
    <s v=""/>
    <s v=""/>
    <s v="Guarani AFV;Importado a partir de lista;SDRFernanda"/>
    <s v="Pipeline de Vendas"/>
    <s v="Apresentar Proposta (50%)"/>
    <s v=""/>
    <m/>
    <m/>
    <m/>
    <n v="55"/>
    <s v="Fernanda Santiago"/>
    <d v="2024-11-27T00:00:00"/>
    <d v="1899-12-30T14:28:37"/>
    <s v=""/>
    <s v="Perdido"/>
    <d v="2025-01-21T00:00:00"/>
    <d v="1899-12-30T11:55:50"/>
    <s v="Projeto adiado / sem prazo definido"/>
    <s v="sem retorno do cliente"/>
    <s v="27/11/2024"/>
    <x v="1"/>
    <s v="Fernanda Santiago"/>
    <x v="1"/>
    <s v=""/>
    <m/>
    <m/>
    <s v=""/>
    <s v=""/>
    <s v=""/>
    <s v=""/>
    <n v="1"/>
  </r>
  <r>
    <x v="0"/>
    <n v="89"/>
    <m/>
    <n v="439"/>
    <s v="APÓS PESQUISA ENCONTREI O TELEFONE 88 98114-7695 NO CATALAGO DIGITAL DA EMPRESA, MANDEI MSG PARA VALIDAR E CONVERSEI COM LUCAS, ELE DISSE QUE NO PASSADO JA NOS PROCUROU PARA CONHECER NOSSO ERP, POIS QUEREM MUDAR DE SISTEMA, O GERENTE DELES DE PRODUÇÃO JA TRABALHOU CONOSCO NA ARCA PLAST E INDICOU. ATUALMENTE USA SISTEMA CHAMADO WSHOP, MAS NÃO ATENDE ELES BEM. QUER VER TODA PARTE DE PRODUÇÃO, PRODUTOS, CUSTOS, FATURAMENTO... POSSUEM POUCOS REPRESENTANTES, FOCO NO MOMENTO É O ERP, APÓS ELE VE O FORÇA DE VENDAS._x000a_AGENDADO APRESENTAÇÃO COM O PAULO DIA 27/11 AS 15H"/>
    <s v=""/>
    <x v="2"/>
    <n v="51921277000198"/>
    <s v=""/>
    <s v="Lucas"/>
    <s v="(88) 98114-7695"/>
    <s v=""/>
    <s v="lucasnewway@gmail.com"/>
    <s v=""/>
    <s v=""/>
    <s v=""/>
    <s v=""/>
    <s v=""/>
    <s v="Base de empresas Leads2b"/>
    <s v=""/>
    <s v=""/>
    <s v="SDRDébora"/>
    <s v="Pipeline de Vendas"/>
    <s v="Em negociação (75%)"/>
    <s v=""/>
    <m/>
    <m/>
    <m/>
    <n v="63"/>
    <s v="Débora Duarte"/>
    <d v="2024-11-27T00:00:00"/>
    <d v="1899-12-30T14:29:05"/>
    <s v=""/>
    <s v="Perdido"/>
    <d v="2025-01-29T00:00:00"/>
    <d v="1899-12-30T01:04:01"/>
    <s v="Cliente não quer contato LGPD"/>
    <s v=""/>
    <s v="27/11/2024"/>
    <x v="0"/>
    <s v="Débora Duarte"/>
    <x v="0"/>
    <s v=""/>
    <m/>
    <m/>
    <s v=""/>
    <s v=""/>
    <s v=""/>
    <s v=""/>
    <n v="1"/>
  </r>
  <r>
    <x v="1"/>
    <n v="90"/>
    <m/>
    <n v="372"/>
    <s v="FALEI COM SILDÁCIO, ATUALMENTE USAM SISTEMA PROPRIO, MAS BUSCAM MELHORIAS E CONFORMA PLANEJAMENTO PARA 2025 ESTÁ COTANDO COM SOLUÇÕES DO MERCADO, OUVI DE OUTRAS IMPORTADORAS QUE USAM NOSSA SISTEMA PARA FORÇA DE VENDAS. HOJE SÃO 5 RCA, MAS ESTÃO EXPANDIDO O ATENDIMENTO PARA OUTROS ESTADOS E AUMENTANDO A EQUIPE. USAM ERP TOTVS. SÃO IMPORTADORA UD/BRINQUEDOS/DECOR_x000a_AGENDADO APRESENTAÇÃO DIA 21/11 AS 11H30_x000a_INCLUIR NO INVITE jacqueline.santos@casafreitas.com.br"/>
    <s v=""/>
    <x v="3"/>
    <n v="1740627000575"/>
    <s v=""/>
    <s v="Sildácio Amaral"/>
    <s v="(85) 99797-0405"/>
    <s v=""/>
    <s v="sildacio.amaral@casafreitas.com.br"/>
    <s v=""/>
    <s v=""/>
    <s v=""/>
    <s v=""/>
    <s v=""/>
    <s v="Site"/>
    <s v=""/>
    <s v=""/>
    <s v="90%;Guarani AFV;SDRDébora;SDRInbound"/>
    <s v="Pipeline de Vendas"/>
    <s v="Em Fechamento (100%)"/>
    <s v="6x sem juros (0/30/60/90/120/150...)"/>
    <m/>
    <n v="14416"/>
    <n v="18072"/>
    <n v="266"/>
    <s v="Débora Duarte"/>
    <d v="2024-11-27T00:00:00"/>
    <d v="1899-12-30T15:32:35"/>
    <s v=""/>
    <s v="Ganho"/>
    <d v="2025-08-20T00:00:00"/>
    <d v="1899-12-30T09:37:28"/>
    <s v=""/>
    <s v=""/>
    <s v="19/11/2024 00:00"/>
    <x v="2"/>
    <s v="Débora Duarte"/>
    <x v="2"/>
    <s v="07/03/2025"/>
    <m/>
    <m/>
    <s v=""/>
    <s v=""/>
    <s v=""/>
    <s v=""/>
    <n v="1"/>
  </r>
  <r>
    <x v="1"/>
    <n v="91"/>
    <m/>
    <n v="502"/>
    <s v="Então, eu conheci o sistema AFV por um fornecedor nosso e ficamos interessados pelo recursos que você possui em realizar vendas e consultar estoques pelo celular_x000a_Somos um grupo o KWI, que é composto por 3 empresas, 2 é varejista e não fazemos vendas externas e nem representantes. E 1 é Atacadista, no momento é uma empresa nova, mas estamos nos organizando para incorporar vendas externas_x000a_Varejista e Atacadista_x000a_Porque ficamos interessamos em por exemplo quando estamos na feira para expor ao invés de fazer pedido no papel, utilizar um celular que é mais pratico_x000a_Ultimamos o ERP Verup_x000a_Ah então pode ser quinta 10hrs? Sou Supervisora do T.I_x000a_Recebi. Muito obrigada!!"/>
    <s v=""/>
    <x v="4"/>
    <n v="8196258000117"/>
    <s v=""/>
    <s v="Giovanna Seguette"/>
    <s v="(11) 94444-8474"/>
    <s v=""/>
    <s v="suppliers@bongmoon.com"/>
    <s v=""/>
    <s v=""/>
    <s v=""/>
    <s v=""/>
    <s v=""/>
    <s v="Site"/>
    <s v=""/>
    <s v=""/>
    <s v="Guarani AFV;SDRDébora;SDRInbound"/>
    <s v="Pipeline de Vendas"/>
    <s v="Apresentar Proposta (50%)"/>
    <s v=""/>
    <m/>
    <m/>
    <m/>
    <n v="55"/>
    <s v="Débora Duarte"/>
    <d v="2024-11-27T00:00:00"/>
    <d v="1899-12-30T15:34:41"/>
    <s v=""/>
    <s v="Perdido"/>
    <d v="2025-01-21T00:00:00"/>
    <d v="1899-12-30T11:59:45"/>
    <s v="Projeto adiado / sem prazo definido"/>
    <s v="sem retorno do cliente"/>
    <s v="25/11/2024 00:00"/>
    <x v="3"/>
    <s v="Débora Duarte"/>
    <x v="3"/>
    <s v=""/>
    <m/>
    <m/>
    <s v=""/>
    <s v=""/>
    <s v=""/>
    <s v=""/>
    <n v="1"/>
  </r>
  <r>
    <x v="1"/>
    <n v="92"/>
    <m/>
    <n v="360"/>
    <s v="APÓS INDICAÇÃO DO TEL 16 99776-7635 CONTATO PASSOU O Nº DA JESSICA, FALEI COM ELA POR WHATS, ATUALMENTE USAM SISTEMA DA IDEIA, MAS ELA ACEITOU VER UMA DEMONSTRAÇÃO DO NOSSO FORÇA DE VENDAS._x000a_EMPRESA É DE ARARAQUARA, INDUSTRIA DE UD_x000a_AGENDADO APRESENTAÇÃO DIA 03/12 AS 10H COM O JUCA"/>
    <s v="Utiliplas Fabricacao E Comercio De Artefatos Plasticos Ltda"/>
    <x v="5"/>
    <n v="32364538000171"/>
    <s v=""/>
    <s v="Jessica Edevania"/>
    <s v="(16) 3332-7378"/>
    <s v=""/>
    <s v="comercialutiliplas@gmail.com"/>
    <s v=""/>
    <s v=""/>
    <s v=""/>
    <s v="ARARAQUARA"/>
    <s v="SP"/>
    <s v="Base de empresas Leads2b"/>
    <s v=""/>
    <s v=""/>
    <s v="Guarani AFV;SDRDébora"/>
    <s v="Pipeline de Vendas"/>
    <s v="Em negociação (75%)"/>
    <s v=""/>
    <m/>
    <n v="2496"/>
    <m/>
    <n v="62"/>
    <s v="Débora Duarte"/>
    <d v="2024-11-27T00:00:00"/>
    <d v="1899-12-30T15:37:15"/>
    <s v=""/>
    <s v="Perdido"/>
    <d v="2025-01-28T00:00:00"/>
    <d v="1899-12-30T15:33:32"/>
    <s v="Projeto adiado / sem prazo definido"/>
    <s v="cliente não da retorno"/>
    <s v="26/11/2024 00:00"/>
    <x v="4"/>
    <s v="Débora Duarte"/>
    <x v="2"/>
    <s v=""/>
    <m/>
    <m/>
    <s v=""/>
    <s v=""/>
    <s v=""/>
    <s v=""/>
    <n v="1"/>
  </r>
  <r>
    <x v="0"/>
    <n v="93"/>
    <m/>
    <n v="598"/>
    <s v="A Primu's Rio é uma rede de lojas especializada em Brinquedos, Cama, Mesa e Banho, Utensílios domésticos, Papelaria, Plástico, Vidro, Alumínio e muito mais._x000a_São mais de 25 anos no mercado, oferecendo os melhores produtos com os melhores preços, tanto para o consumidor varejista, quanto para o atacadista._x000a_Site: Loja online de Primu's Rio - Quem Somos_x000a_O Grupo primus é um grupo econômico com 7 empresas, e estão divididas da seguinte maneira:_x000a_Distribuidora/Importadora_x000a_ERP = 10_x000a_AFV = 2_x000a_PDV = 10_x000a_7 CNPJ_x000a_Produtos de Interesse (ERP, AFV, PDV, MDFE, MDE, B2B)_x000a_Atacado e Lojas_x000a_4 lojas com 28 PDV, sendo que uma dessa loja é atacado._x000a_ASSUNTOS A SER DETALHANDOS NA APRESENTAÇÃO:_x000a_Política de preço, eles fazer 3 tipos de preço T1 (9,90), T2 (8,90), T3 (7,90), a regra é que com determinado volume financeiro na compra o preço flute entre as tabelas;_x000a_Tem dois tipos de custo quando a mercadoria entra pela importadora é um e pela distribuidora é outro, entender melhor isso_x000a_A apresentação dever ser focada na distribuidora e seus processos diários. Seguir o fluxo apresentando a Estoque, Financeiro, Fiscal, Politicas de Preço, Faturamento e Gerenciamento da Operação."/>
    <s v=""/>
    <x v="6"/>
    <n v="3375396000492"/>
    <s v=""/>
    <s v="Celso"/>
    <s v="21964236193"/>
    <s v=""/>
    <s v="celsomsc@gmail.com"/>
    <s v=""/>
    <s v=""/>
    <s v=""/>
    <s v="RIO DE JANEIRO"/>
    <s v="RJ"/>
    <s v="Outbound"/>
    <s v=""/>
    <s v=""/>
    <s v="Guarani AFV;Guarani B2B;Guarani ERP;Guarani PDV;MORNO;SDRPaulo"/>
    <s v="Pipeline de Vendas"/>
    <s v="Em negociação (75%)"/>
    <s v=""/>
    <m/>
    <n v="0"/>
    <n v="0"/>
    <n v="61"/>
    <s v="Paulo Souza"/>
    <d v="2024-11-28T00:00:00"/>
    <d v="1899-12-30T08:47:53"/>
    <s v=""/>
    <s v="Perdido"/>
    <d v="2025-01-28T00:00:00"/>
    <d v="1899-12-30T16:47:21"/>
    <s v="Projeto adiado / sem prazo definido"/>
    <s v="cliente não tem mais interesse."/>
    <s v=""/>
    <x v="0"/>
    <s v="Paulo Souza"/>
    <x v="0"/>
    <s v=""/>
    <m/>
    <m/>
    <s v=""/>
    <s v=""/>
    <s v=""/>
    <s v=""/>
    <n v="1"/>
  </r>
  <r>
    <x v="1"/>
    <n v="94"/>
    <m/>
    <n v="378"/>
    <s v=""/>
    <s v="GA CERAMICA ARTISTICA"/>
    <x v="7"/>
    <n v="11650898000160"/>
    <s v=""/>
    <s v="GA CERAMICA"/>
    <s v="1935815351"/>
    <s v=""/>
    <s v="atendimento@gaceramica.com.br"/>
    <s v=""/>
    <s v="GA CERAMICA;GA CERAMICA, Jorge"/>
    <s v=""/>
    <s v=""/>
    <s v=""/>
    <s v="Outbound"/>
    <s v=""/>
    <s v=""/>
    <s v="Guarani AFV;Importado a partir de lista;SDRFernanda"/>
    <s v="Pipeline de Vendas"/>
    <s v="Apresentar Solução (35%)"/>
    <s v=""/>
    <m/>
    <n v="0"/>
    <n v="0"/>
    <n v="61"/>
    <s v="Fernanda Santiago"/>
    <d v="2024-11-28T00:00:00"/>
    <d v="1899-12-30T15:01:56"/>
    <s v=""/>
    <s v="Perdido"/>
    <d v="2025-01-28T00:00:00"/>
    <d v="1899-12-30T13:56:56"/>
    <s v="Não quer mudar a solução atual"/>
    <s v="Falei com o Jorge, ele disse que esta acontecendo umas mudanças administrativas um dos socios esta saindo, então toda previsao de alterar sistemas ficou em stand by, disse para falarmos em fevereiro. Até a feira ele falou que pode ser que ja tenha resolvido entao falamos depois."/>
    <s v="02/12/2024 10:00"/>
    <x v="0"/>
    <s v="Fernanda Santiago"/>
    <x v="0"/>
    <s v=""/>
    <m/>
    <m/>
    <s v=""/>
    <s v=""/>
    <s v=""/>
    <s v=""/>
    <n v="1"/>
  </r>
  <r>
    <x v="0"/>
    <n v="95"/>
    <m/>
    <n v="778"/>
    <s v="Resumo de envio do Formulário Web_x000a_Produtos:_x000a_Guarani ERP_x000a_Nome_x000a_Viviane Gomes_x000a_E-mail_x000a_fiscal@aloebaf.com.br_x000a_Telefone / Whatsapp_x000a_38 99127-5338_x000a_Nome da Empresa_x000a_ALOEBAF COMERCIO DE COSMETICOS_x000a_Segmento_x000a_Distribuidor_x000a_Descrição da necessidade_x000a_Precisamos do Força de vendas"/>
    <s v=""/>
    <x v="8"/>
    <n v="15211327000180"/>
    <s v=""/>
    <s v="Viviane Gomes"/>
    <s v="38991275338"/>
    <s v=""/>
    <s v="fiscal@aloebaf.com.br"/>
    <s v=""/>
    <s v=""/>
    <s v=""/>
    <s v=""/>
    <s v=""/>
    <s v="Outbound"/>
    <s v=""/>
    <s v=""/>
    <s v="Adicionais ERP;Guarani AFV;Guarani ERP;Pausado;SDRDébora"/>
    <s v="Pipeline de Vendas"/>
    <s v="Apresentar Proposta (50%)"/>
    <s v=""/>
    <m/>
    <m/>
    <m/>
    <n v="39"/>
    <s v="Paulo Souza"/>
    <d v="2024-11-29T00:00:00"/>
    <d v="1899-12-30T14:07:35"/>
    <s v=""/>
    <s v="Perdido"/>
    <d v="2025-01-07T00:00:00"/>
    <d v="1899-12-30T17:01:29"/>
    <s v="Preço muito alto - fora do budget de investimento"/>
    <s v=""/>
    <s v=""/>
    <x v="0"/>
    <s v="Débora Duarte"/>
    <x v="4"/>
    <s v=""/>
    <m/>
    <m/>
    <s v=""/>
    <s v=""/>
    <s v=""/>
    <s v=""/>
    <n v="1"/>
  </r>
  <r>
    <x v="1"/>
    <n v="96"/>
    <n v="155"/>
    <n v="812"/>
    <s v=""/>
    <s v=""/>
    <x v="9"/>
    <n v="13609763000186"/>
    <s v="BAAG (Bahia Artes Gráficas)"/>
    <s v="BAAG (Bahia Artes Gráficas)"/>
    <s v="7532217777"/>
    <s v=""/>
    <s v="cleber@bahiagrafica.com.br"/>
    <s v=""/>
    <s v=""/>
    <s v=""/>
    <s v="Feira de Santana"/>
    <s v="BA"/>
    <s v="Outbound"/>
    <s v=""/>
    <s v=""/>
    <s v="Guarani AFV;Guarani ERP;QUENTE"/>
    <s v="Pipeline de Vendas"/>
    <s v="Em Fechamento (100%)"/>
    <s v="6x sem juros (0/30/60/90/120/150...)"/>
    <d v="2025-01-31T00:00:00"/>
    <n v="8479884"/>
    <n v="630984"/>
    <n v="62"/>
    <s v="Paulo Souza"/>
    <d v="2024-12-01T00:00:00"/>
    <d v="1899-12-30T20:30:36"/>
    <s v=""/>
    <s v="Ganho"/>
    <d v="2025-02-01T00:00:00"/>
    <d v="1899-12-30T01:40:07"/>
    <s v=""/>
    <s v=""/>
    <s v=""/>
    <x v="5"/>
    <s v="Junior Lopes"/>
    <x v="5"/>
    <s v=""/>
    <m/>
    <m/>
    <s v=""/>
    <s v=""/>
    <s v=""/>
    <s v=""/>
    <n v="1"/>
  </r>
  <r>
    <x v="1"/>
    <n v="97"/>
    <n v="155"/>
    <n v="813"/>
    <s v=""/>
    <s v=""/>
    <x v="10"/>
    <n v="13609763000186"/>
    <s v="BAAG (Bahia Artes Gráficas)"/>
    <s v="Cleber Chagas"/>
    <s v="75981337574"/>
    <s v=""/>
    <s v="cleber@bahiagrafica.com.br"/>
    <s v=""/>
    <s v=""/>
    <s v=""/>
    <s v="Feira de Santana"/>
    <s v="BA"/>
    <s v=""/>
    <s v=""/>
    <s v=""/>
    <s v="Guarani CLOUD;QUENTE"/>
    <s v="Pipeline de Vendas"/>
    <s v="Em negociação (75%)"/>
    <s v=""/>
    <m/>
    <m/>
    <m/>
    <n v="82"/>
    <s v="Paulo Souza"/>
    <d v="2024-12-01T00:00:00"/>
    <d v="1899-12-30T20:30:37"/>
    <s v=""/>
    <s v="Perdido"/>
    <d v="2025-02-21T00:00:00"/>
    <d v="1899-12-30T12:13:20"/>
    <s v="Não quer mudar a solução atual"/>
    <s v="servidor local"/>
    <s v=""/>
    <x v="5"/>
    <s v=""/>
    <x v="5"/>
    <s v=""/>
    <m/>
    <m/>
    <s v=""/>
    <s v=""/>
    <s v=""/>
    <s v=""/>
    <n v="1"/>
  </r>
  <r>
    <x v="1"/>
    <n v="98"/>
    <n v="156"/>
    <n v="816"/>
    <s v=""/>
    <s v=""/>
    <x v="11"/>
    <n v="3921447000272"/>
    <s v="Vaso Forte"/>
    <s v="Clovis &amp; Heli"/>
    <s v="11912422620"/>
    <s v=""/>
    <s v="heli@vasoforte.com.br"/>
    <s v=""/>
    <s v=""/>
    <s v=""/>
    <s v="Vargem Grande Paulista"/>
    <s v="SP"/>
    <s v=""/>
    <s v=""/>
    <s v=""/>
    <s v="Guarani ERP"/>
    <s v="Pipeline de Vendas"/>
    <s v="Em Fechamento (100%)"/>
    <s v=""/>
    <m/>
    <n v="532332"/>
    <n v="292918"/>
    <n v="110"/>
    <s v="Paulo Souza"/>
    <d v="2024-12-01T00:00:00"/>
    <d v="1899-12-30T20:30:37"/>
    <s v=""/>
    <s v="Ganho"/>
    <d v="2025-03-21T00:00:00"/>
    <d v="1899-12-30T10:49:38"/>
    <s v=""/>
    <s v=""/>
    <s v=""/>
    <x v="6"/>
    <s v=""/>
    <x v="6"/>
    <s v="24/01/2025"/>
    <m/>
    <m/>
    <s v=""/>
    <s v=""/>
    <s v=""/>
    <s v=""/>
    <n v="1"/>
  </r>
  <r>
    <x v="1"/>
    <n v="99"/>
    <n v="157"/>
    <n v="818"/>
    <s v=""/>
    <s v=""/>
    <x v="12"/>
    <n v="55773964000164"/>
    <s v="Plásticos Santana Ltda"/>
    <s v="Celso"/>
    <s v="19974093075"/>
    <s v=""/>
    <s v="comercial1@plasticossantana.com.br"/>
    <s v=""/>
    <s v=""/>
    <s v=""/>
    <s v="Artur Nogueira"/>
    <s v="SP"/>
    <s v=""/>
    <s v=""/>
    <s v=""/>
    <s v="Guarani AFV;Guarani ERP"/>
    <s v="Pipeline de Vendas"/>
    <s v="Qualificação de Vendas (SQL) (25%)"/>
    <s v=""/>
    <m/>
    <m/>
    <m/>
    <n v="11"/>
    <s v="Paulo Souza"/>
    <d v="2024-12-01T00:00:00"/>
    <d v="1899-12-30T20:30:37"/>
    <s v=""/>
    <s v="Perdido"/>
    <d v="2024-12-12T00:00:00"/>
    <d v="1899-12-30T10:02:11"/>
    <s v="Não informou motivo da desistência"/>
    <s v="retornar contato em 2025"/>
    <s v=""/>
    <x v="0"/>
    <s v=""/>
    <x v="0"/>
    <s v=""/>
    <m/>
    <m/>
    <s v=""/>
    <s v=""/>
    <s v=""/>
    <s v=""/>
    <n v="1"/>
  </r>
  <r>
    <x v="1"/>
    <n v="100"/>
    <n v="156"/>
    <n v="816"/>
    <s v=""/>
    <s v=""/>
    <x v="13"/>
    <n v="3921447000272"/>
    <s v="Vaso Forte"/>
    <s v="Clovis &amp; Heli"/>
    <s v="11912422620"/>
    <s v=""/>
    <s v="heli@vasoforte.com.br"/>
    <s v=""/>
    <s v=""/>
    <s v=""/>
    <s v="Vargem Grande Paulista"/>
    <s v="SP"/>
    <s v=""/>
    <s v=""/>
    <s v=""/>
    <s v="Guarani CLOUD"/>
    <s v="Pipeline de Vendas"/>
    <s v="Em Fechamento (100%)"/>
    <s v=""/>
    <m/>
    <n v="1600"/>
    <n v="256119"/>
    <n v="110"/>
    <s v="Paulo Souza"/>
    <d v="2024-12-01T00:00:00"/>
    <d v="1899-12-30T20:30:37"/>
    <s v=""/>
    <s v="Perdido"/>
    <d v="2025-03-21T00:00:00"/>
    <d v="1899-12-30T10:21:47"/>
    <s v="Projeto adiado / sem prazo definido"/>
    <s v="atualmente tem muita instabilidade de internet"/>
    <s v=""/>
    <x v="6"/>
    <s v=""/>
    <x v="7"/>
    <s v="24/01/2025"/>
    <m/>
    <m/>
    <s v=""/>
    <s v=""/>
    <s v=""/>
    <s v=""/>
    <n v="1"/>
  </r>
  <r>
    <x v="1"/>
    <n v="101"/>
    <n v="158"/>
    <n v="821"/>
    <s v=""/>
    <s v=""/>
    <x v="14"/>
    <n v="4207648000194"/>
    <s v="EDITORA ONLINE"/>
    <s v="João Carlos Gomes Brasil"/>
    <s v="11993739551"/>
    <s v=""/>
    <s v="joao@editoraonline.com.br"/>
    <s v=""/>
    <s v=""/>
    <s v=""/>
    <s v="Barueri"/>
    <s v="SP"/>
    <s v=""/>
    <s v=""/>
    <s v=""/>
    <s v="Guarani AFV;SDRDébora"/>
    <s v="Pipeline de Vendas"/>
    <s v="Em negociação (75%)"/>
    <s v=""/>
    <d v="2025-01-31T00:00:00"/>
    <n v="3928"/>
    <m/>
    <n v="51"/>
    <s v="Paulo Souza"/>
    <d v="2024-12-01T00:00:00"/>
    <d v="1899-12-30T20:30:37"/>
    <s v=""/>
    <s v="Perdido"/>
    <d v="2025-01-21T00:00:00"/>
    <d v="1899-12-30T11:56:46"/>
    <s v="Projeto adiado / sem prazo definido"/>
    <s v="sem retorno do cliente"/>
    <s v="14/10/2024"/>
    <x v="7"/>
    <s v="Débora Duarte"/>
    <x v="8"/>
    <s v=""/>
    <m/>
    <m/>
    <s v=""/>
    <s v=""/>
    <s v=""/>
    <s v=""/>
    <n v="1"/>
  </r>
  <r>
    <x v="1"/>
    <n v="102"/>
    <n v="159"/>
    <n v="823"/>
    <s v=""/>
    <s v=""/>
    <x v="15"/>
    <n v="43526090000161"/>
    <s v="Precisa Import"/>
    <s v="Carlos"/>
    <s v="11972961489"/>
    <s v=""/>
    <s v="comercial@prorepresentacao.com.nr"/>
    <s v=""/>
    <s v=""/>
    <s v=""/>
    <s v="Barueri"/>
    <s v="SP"/>
    <s v=""/>
    <s v=""/>
    <s v=""/>
    <s v="Guarani AFV;Guarani ERP"/>
    <s v="Pipeline de Vendas"/>
    <s v="Em Fechamento (100%)"/>
    <s v=""/>
    <d v="2024-12-06T00:00:00"/>
    <n v="49012"/>
    <m/>
    <n v="18"/>
    <s v="Paulo Souza"/>
    <d v="2024-12-01T00:00:00"/>
    <d v="1899-12-30T20:30:37"/>
    <s v=""/>
    <s v="Ganho"/>
    <d v="2024-12-19T00:00:00"/>
    <d v="1899-12-30T14:38:30"/>
    <s v=""/>
    <s v=""/>
    <s v=""/>
    <x v="8"/>
    <s v=""/>
    <x v="9"/>
    <s v=""/>
    <m/>
    <m/>
    <s v=""/>
    <s v=""/>
    <s v=""/>
    <s v=""/>
    <n v="1"/>
  </r>
  <r>
    <x v="1"/>
    <n v="103"/>
    <n v="160"/>
    <n v="825"/>
    <s v=""/>
    <s v=""/>
    <x v="16"/>
    <n v="4949701000122"/>
    <s v="Polimax"/>
    <s v="Valen Lesinelli"/>
    <s v="11998367755"/>
    <s v=""/>
    <s v="comercial@polimaxpolimeros.com.br"/>
    <s v=""/>
    <s v=""/>
    <s v=""/>
    <s v="São Paulo"/>
    <s v="SP"/>
    <s v=""/>
    <s v=""/>
    <s v=""/>
    <s v="Guarani AFV;Guarani ERP;QUENTE"/>
    <s v="Pipeline de Vendas"/>
    <s v="Em Fechamento (100%)"/>
    <s v="6x sem juros (0/30/60/90/120/150...)"/>
    <d v="2025-01-31T00:00:00"/>
    <n v="46854"/>
    <n v="348312"/>
    <n v="54"/>
    <s v="Paulo Souza"/>
    <d v="2024-12-01T00:00:00"/>
    <d v="1899-12-30T20:30:37"/>
    <s v=""/>
    <s v="Ganho"/>
    <d v="2025-01-24T00:00:00"/>
    <d v="1899-12-30T12:08:20"/>
    <s v=""/>
    <s v=""/>
    <s v=""/>
    <x v="9"/>
    <s v=""/>
    <x v="10"/>
    <s v="15/01/2025"/>
    <m/>
    <m/>
    <s v=""/>
    <s v=""/>
    <s v=""/>
    <s v=""/>
    <n v="1"/>
  </r>
  <r>
    <x v="1"/>
    <n v="104"/>
    <n v="161"/>
    <n v="843"/>
    <s v=""/>
    <s v=""/>
    <x v="17"/>
    <n v="2609426000172"/>
    <s v="MD Importação"/>
    <s v="Juliana"/>
    <s v="47991450725"/>
    <s v=""/>
    <s v="mdimposrtacao@gmail.com"/>
    <s v=""/>
    <s v=""/>
    <s v=""/>
    <s v="Rio do Sul"/>
    <s v="SC"/>
    <s v="Indicação"/>
    <s v=""/>
    <s v=""/>
    <s v="Guarani AFV;Guarani ERP"/>
    <s v="Pipeline de Vendas"/>
    <s v="Em negociação (75%)"/>
    <s v=""/>
    <m/>
    <m/>
    <m/>
    <n v="120"/>
    <s v="Paulo Souza"/>
    <d v="2024-12-01T00:00:00"/>
    <d v="1899-12-30T20:30:37"/>
    <s v=""/>
    <s v="Perdido"/>
    <d v="2025-03-31T00:00:00"/>
    <d v="1899-12-30T15:45:45"/>
    <s v="Não houve aprovação financeira"/>
    <s v="cliente esfriou após proposta comercial"/>
    <s v=""/>
    <x v="10"/>
    <s v=""/>
    <x v="11"/>
    <s v=""/>
    <m/>
    <m/>
    <s v=""/>
    <s v=""/>
    <s v=""/>
    <s v=""/>
    <n v="1"/>
  </r>
  <r>
    <x v="1"/>
    <n v="105"/>
    <n v="162"/>
    <n v="829"/>
    <s v=""/>
    <s v=""/>
    <x v="18"/>
    <n v="17545517000169"/>
    <s v="DPOT PLASTICOS"/>
    <s v="Michel Stracci"/>
    <s v="19997264646"/>
    <s v=""/>
    <s v="dpot.plasticos@gmail.com"/>
    <s v=""/>
    <s v=""/>
    <s v=""/>
    <s v="Pedreira"/>
    <s v="SP"/>
    <s v=""/>
    <s v=""/>
    <s v=""/>
    <s v="Guarani AFV;Guarani ERP;SDRDébora"/>
    <s v="Pipeline de Vendas"/>
    <s v="Em negociação (75%)"/>
    <s v=""/>
    <m/>
    <m/>
    <m/>
    <n v="58"/>
    <s v="Paulo Souza"/>
    <d v="2024-12-01T00:00:00"/>
    <d v="1899-12-30T20:30:37"/>
    <s v=""/>
    <s v="Perdido"/>
    <d v="2025-01-28T00:00:00"/>
    <d v="1899-12-30T15:31:14"/>
    <s v="Projeto adiado / sem prazo definido"/>
    <s v="sem retorno do cliente"/>
    <s v="04/11/2024"/>
    <x v="11"/>
    <s v="Débora Duarte"/>
    <x v="12"/>
    <s v=""/>
    <m/>
    <m/>
    <s v=""/>
    <s v=""/>
    <s v=""/>
    <s v=""/>
    <n v="1"/>
  </r>
  <r>
    <x v="1"/>
    <n v="106"/>
    <n v="162"/>
    <n v="829"/>
    <s v=""/>
    <s v=""/>
    <x v="19"/>
    <n v="17545517000169"/>
    <s v="DPOT PLASTICOS"/>
    <s v="Michel Stracci"/>
    <s v="19997264646"/>
    <s v=""/>
    <s v="dpot.plasticos@gmail.com"/>
    <s v=""/>
    <s v=""/>
    <s v=""/>
    <s v="Pedreira"/>
    <s v="SP"/>
    <s v=""/>
    <s v=""/>
    <s v=""/>
    <s v="Guarani CLOUD;SDRDébora"/>
    <s v="Pipeline de Vendas"/>
    <s v="Em negociação (75%)"/>
    <s v=""/>
    <m/>
    <m/>
    <m/>
    <n v="58"/>
    <s v="Paulo Souza"/>
    <d v="2024-12-01T00:00:00"/>
    <d v="1899-12-30T20:30:37"/>
    <s v=""/>
    <s v="Perdido"/>
    <d v="2025-01-28T00:00:00"/>
    <d v="1899-12-30T15:31:50"/>
    <s v="Projeto adiado / sem prazo definido"/>
    <s v="sem retorno do cliente"/>
    <s v="04/11/2024"/>
    <x v="11"/>
    <s v="Débora Duarte"/>
    <x v="12"/>
    <s v=""/>
    <m/>
    <m/>
    <s v=""/>
    <s v=""/>
    <s v=""/>
    <s v=""/>
    <n v="1"/>
  </r>
  <r>
    <x v="1"/>
    <n v="107"/>
    <n v="163"/>
    <n v="832"/>
    <s v=""/>
    <s v=""/>
    <x v="20"/>
    <n v="5861238000125"/>
    <s v="GRUPO GALA"/>
    <s v="Diego"/>
    <s v="6735659555"/>
    <s v=""/>
    <s v="diego@gala.com.br"/>
    <s v=""/>
    <s v=""/>
    <s v=""/>
    <s v="Aparecida do Taboado"/>
    <s v="MS"/>
    <s v=""/>
    <s v=""/>
    <s v=""/>
    <s v="Guarani B2B"/>
    <s v="Pipeline de Vendas"/>
    <s v="Em negociação (75%)"/>
    <s v=""/>
    <m/>
    <m/>
    <m/>
    <n v="58"/>
    <s v="Paulo Souza"/>
    <d v="2024-12-01T00:00:00"/>
    <d v="1899-12-30T20:30:37"/>
    <s v=""/>
    <s v="Perdido"/>
    <d v="2025-01-28T00:00:00"/>
    <d v="1899-12-30T15:32:41"/>
    <s v="Não houve aprovação financeira"/>
    <s v=""/>
    <s v=""/>
    <x v="12"/>
    <s v=""/>
    <x v="13"/>
    <s v=""/>
    <m/>
    <m/>
    <s v=""/>
    <s v=""/>
    <s v=""/>
    <s v=""/>
    <n v="1"/>
  </r>
  <r>
    <x v="1"/>
    <n v="108"/>
    <n v="160"/>
    <n v="825"/>
    <s v=""/>
    <s v=""/>
    <x v="21"/>
    <n v="4949701000122"/>
    <s v="Polimax"/>
    <s v="Valen Lesinelli"/>
    <s v="11998367755"/>
    <s v=""/>
    <s v="comercial@polimaxpolimeros.com.br"/>
    <s v=""/>
    <s v=""/>
    <s v=""/>
    <s v="São Paulo"/>
    <s v="SP"/>
    <s v=""/>
    <s v=""/>
    <s v=""/>
    <s v="Guarani CLOUD;QUENTE"/>
    <s v="Pipeline de Vendas"/>
    <s v="Em Fechamento (100%)"/>
    <s v="8x sem juros (0/30/60/90/120/150...)"/>
    <d v="2025-01-31T00:00:00"/>
    <n v="1600"/>
    <n v="224819"/>
    <n v="60"/>
    <s v="Paulo Souza"/>
    <d v="2024-12-01T00:00:00"/>
    <d v="1899-12-30T20:30:37"/>
    <s v=""/>
    <s v="Ganho"/>
    <d v="2025-01-30T00:00:00"/>
    <d v="1899-12-30T09:31:52"/>
    <s v=""/>
    <s v=""/>
    <s v=""/>
    <x v="13"/>
    <s v=""/>
    <x v="14"/>
    <s v="15/01/2025"/>
    <m/>
    <m/>
    <s v=""/>
    <s v=""/>
    <s v=""/>
    <s v=""/>
    <n v="1"/>
  </r>
  <r>
    <x v="1"/>
    <n v="109"/>
    <n v="164"/>
    <n v="835"/>
    <s v=""/>
    <s v=""/>
    <x v="22"/>
    <n v="2531826000102"/>
    <s v="Fosboi da Bahia"/>
    <s v="Marcelo Luz"/>
    <s v="75991975073"/>
    <s v=""/>
    <s v="marceloluizlimafilho@outlook.com"/>
    <s v=""/>
    <s v=""/>
    <s v=""/>
    <s v="Feira de Santana"/>
    <s v="BA"/>
    <s v=""/>
    <s v=""/>
    <s v=""/>
    <s v="Guarani AFV;Guarani ERP"/>
    <s v="Pipeline de Vendas"/>
    <s v="Apresentar Solução (35%)"/>
    <s v=""/>
    <m/>
    <m/>
    <m/>
    <n v="18"/>
    <s v="Paulo Souza"/>
    <d v="2024-12-01T00:00:00"/>
    <d v="1899-12-30T20:30:37"/>
    <s v=""/>
    <s v="Perdido"/>
    <d v="2024-12-19T00:00:00"/>
    <d v="1899-12-30T15:08:41"/>
    <s v="Não informou motivo da desistência"/>
    <s v="sem retorno"/>
    <s v=""/>
    <x v="1"/>
    <s v=""/>
    <x v="1"/>
    <s v=""/>
    <m/>
    <m/>
    <s v=""/>
    <s v=""/>
    <s v=""/>
    <s v=""/>
    <n v="1"/>
  </r>
  <r>
    <x v="1"/>
    <n v="110"/>
    <n v="165"/>
    <n v="836"/>
    <s v=""/>
    <s v=""/>
    <x v="23"/>
    <n v="29341068000116"/>
    <s v="TEK MIX DISTRIBUICAO"/>
    <s v="TEK MIX DISTRIBUICAO"/>
    <s v="62991561717"/>
    <s v=""/>
    <s v="Wolneyaraujolino@gmail.com"/>
    <s v=""/>
    <s v=""/>
    <s v=""/>
    <s v="Anapólis"/>
    <s v="GO"/>
    <s v=""/>
    <s v=""/>
    <s v=""/>
    <s v="Guarani AFV;Guarani ERP"/>
    <s v="Pipeline de Vendas"/>
    <s v="Apresentar Proposta (50%)"/>
    <s v=""/>
    <m/>
    <m/>
    <m/>
    <n v="57"/>
    <s v="Paulo Souza"/>
    <d v="2024-12-01T00:00:00"/>
    <d v="1899-12-30T20:30:37"/>
    <s v=""/>
    <s v="Perdido"/>
    <d v="2025-01-27T00:00:00"/>
    <d v="1899-12-30T11:52:01"/>
    <s v="Fechou com o concorrente - preço"/>
    <s v="Devido a localização e proposta do concorrente (Target) perdemos a concorrência"/>
    <s v=""/>
    <x v="1"/>
    <s v=""/>
    <x v="1"/>
    <s v=""/>
    <m/>
    <m/>
    <s v=""/>
    <s v=""/>
    <s v=""/>
    <s v=""/>
    <n v="1"/>
  </r>
  <r>
    <x v="1"/>
    <n v="111"/>
    <n v="165"/>
    <n v="837"/>
    <s v=""/>
    <s v=""/>
    <x v="24"/>
    <n v="29341068000116"/>
    <s v="TEK MIX DISTRIBUICAO"/>
    <s v="Wolden"/>
    <s v="62991561717"/>
    <s v=""/>
    <s v="Wolneyaraujolino@gmail.com"/>
    <s v=""/>
    <s v=""/>
    <s v=""/>
    <s v="Anapólis"/>
    <s v="GO"/>
    <s v=""/>
    <s v=""/>
    <s v=""/>
    <s v="Guarani CLOUD"/>
    <s v="Pipeline de Vendas"/>
    <s v="Apresentar Proposta (50%)"/>
    <s v=""/>
    <m/>
    <m/>
    <m/>
    <n v="57"/>
    <s v="Paulo Souza"/>
    <d v="2024-12-01T00:00:00"/>
    <d v="1899-12-30T20:30:37"/>
    <s v=""/>
    <s v="Perdido"/>
    <d v="2025-01-27T00:00:00"/>
    <d v="1899-12-30T11:52:59"/>
    <s v="Fechou com o concorrente - preço"/>
    <s v="Devido a localização e proposta do concorrente (Target) perdemos a concorrência"/>
    <s v=""/>
    <x v="1"/>
    <s v=""/>
    <x v="1"/>
    <s v=""/>
    <m/>
    <m/>
    <s v=""/>
    <s v=""/>
    <s v=""/>
    <s v=""/>
    <n v="1"/>
  </r>
  <r>
    <x v="1"/>
    <n v="113"/>
    <n v="167"/>
    <n v="842"/>
    <s v=""/>
    <s v=""/>
    <x v="25"/>
    <n v="7973104000121"/>
    <s v="ELMO ATACADO"/>
    <s v="João Carlos Tasca"/>
    <s v="47999949301"/>
    <s v=""/>
    <s v="joao@atacadoelmo.com.br"/>
    <s v=""/>
    <s v=""/>
    <s v=""/>
    <s v="Joinville"/>
    <s v="SC"/>
    <s v=""/>
    <s v=""/>
    <s v=""/>
    <s v="Adicionais ERP"/>
    <s v="Pipeline de Vendas"/>
    <s v="Em negociação (75%)"/>
    <s v=""/>
    <m/>
    <m/>
    <m/>
    <n v="81"/>
    <s v="Paulo Souza"/>
    <d v="2024-12-01T00:00:00"/>
    <d v="1899-12-30T20:30:38"/>
    <s v=""/>
    <s v="Perdido"/>
    <d v="2025-02-20T00:00:00"/>
    <d v="1899-12-30T11:26:46"/>
    <s v="Projeto adiado / sem prazo definido"/>
    <s v="cliente ainda não decidiu"/>
    <s v=""/>
    <x v="14"/>
    <s v=""/>
    <x v="0"/>
    <s v=""/>
    <m/>
    <m/>
    <s v=""/>
    <s v=""/>
    <s v=""/>
    <s v=""/>
    <n v="1"/>
  </r>
  <r>
    <x v="1"/>
    <n v="114"/>
    <n v="161"/>
    <n v="827"/>
    <s v=""/>
    <s v=""/>
    <x v="26"/>
    <n v="2609426000172"/>
    <s v="MD Importação"/>
    <s v="Juliana"/>
    <s v="47991450725"/>
    <s v=""/>
    <s v="mdimposrtacao@gmail.com"/>
    <s v=""/>
    <s v=""/>
    <s v=""/>
    <s v="Rio do Sul"/>
    <s v="SC"/>
    <s v="Indicação"/>
    <s v=""/>
    <s v=""/>
    <s v="Guarani CLOUD"/>
    <s v="Pipeline de Vendas"/>
    <s v="Em negociação (75%)"/>
    <s v=""/>
    <m/>
    <m/>
    <m/>
    <n v="120"/>
    <s v="Paulo Souza"/>
    <d v="2024-12-01T00:00:00"/>
    <d v="1899-12-30T20:30:38"/>
    <s v=""/>
    <s v="Perdido"/>
    <d v="2025-03-31T00:00:00"/>
    <d v="1899-12-30T15:46:33"/>
    <s v="Não houve aprovação financeira"/>
    <s v="cliente esfriou após envio da proposta comercial"/>
    <s v=""/>
    <x v="10"/>
    <s v=""/>
    <x v="11"/>
    <s v=""/>
    <m/>
    <m/>
    <s v=""/>
    <s v=""/>
    <s v=""/>
    <s v=""/>
    <n v="1"/>
  </r>
  <r>
    <x v="1"/>
    <n v="116"/>
    <m/>
    <n v="847"/>
    <s v=""/>
    <s v=""/>
    <x v="27"/>
    <n v="58151616000143"/>
    <s v=""/>
    <s v="Pedro"/>
    <s v="19993040768"/>
    <s v=""/>
    <s v="pehpbroglio@gmail.com"/>
    <s v=""/>
    <s v=""/>
    <s v=""/>
    <s v="ITAJAI"/>
    <s v="SC"/>
    <s v=""/>
    <s v=""/>
    <s v=""/>
    <s v="QUENTE"/>
    <s v="Pipeline de Vendas"/>
    <s v="Em Fechamento (100%)"/>
    <s v="10x sem juros (0/30/60/90/120/150...)"/>
    <d v="2025-01-31T00:00:00"/>
    <n v="4736912"/>
    <n v="98326"/>
    <n v="53"/>
    <s v="Junior Lopes"/>
    <d v="2024-12-02T00:00:00"/>
    <d v="1899-12-30T09:35:49"/>
    <s v=""/>
    <s v="Ganho"/>
    <d v="2025-01-24T00:00:00"/>
    <d v="1899-12-30T11:23:35"/>
    <s v=""/>
    <s v=""/>
    <s v=""/>
    <x v="15"/>
    <s v="Junior Lopes"/>
    <x v="15"/>
    <s v=""/>
    <m/>
    <m/>
    <s v=""/>
    <s v=""/>
    <s v=""/>
    <s v=""/>
    <n v="1"/>
  </r>
  <r>
    <x v="1"/>
    <n v="118"/>
    <m/>
    <n v="851"/>
    <s v=""/>
    <s v=""/>
    <x v="28"/>
    <n v="64582232000188"/>
    <s v=""/>
    <s v="Edi"/>
    <s v="11981337574"/>
    <s v=""/>
    <s v="ggealdo@injeplastec.com.br"/>
    <s v=""/>
    <s v=""/>
    <s v=""/>
    <s v=""/>
    <s v=""/>
    <s v=""/>
    <s v=""/>
    <s v=""/>
    <s v=""/>
    <s v="Pipeline de Vendas"/>
    <s v="Em negociação (75%)"/>
    <s v=""/>
    <d v="2025-01-31T00:00:00"/>
    <n v="202945"/>
    <m/>
    <n v="64"/>
    <s v="Junior Lopes"/>
    <d v="2024-12-04T00:00:00"/>
    <d v="1899-12-30T11:49:15"/>
    <s v=""/>
    <s v="Perdido"/>
    <d v="2025-02-06T00:00:00"/>
    <d v="1899-12-30T15:53:07"/>
    <s v="Não quer mudar a solução atual"/>
    <s v="cliente não decidiu seguir"/>
    <s v="02/12/2024"/>
    <x v="16"/>
    <s v="Junior Lopes"/>
    <x v="16"/>
    <s v=""/>
    <m/>
    <m/>
    <s v=""/>
    <s v=""/>
    <s v=""/>
    <s v=""/>
    <n v="1"/>
  </r>
  <r>
    <x v="1"/>
    <n v="122"/>
    <m/>
    <n v="855"/>
    <s v="Após a visita realizada em 10/12/2025, foi agendada uma nova reunião para tratar de assuntos técnicos em 12/12/2025 às 14h._x000a_13:47, 27/01/2026 Fabio Porto Brasil: Boa tarde Junior_x000a_13:47, 27/01/2026 Fabio Porto Brasil: tudo certo ?_x000a_13:47, 27/01/2026 Junior Lopes: Olá ! Sou Junior Lopes, consultor comercial Guarani sistemas _x000a_Como posso te ajudar ?_x000a_13:47, 27/01/2026 Fabio Porto Brasil: Antes de mais nada (e ainda em tempo kkkk), obrigado pela mensagem. Desejo um ótimo 2026_x000a_13:47, 27/01/2026 Fabio Porto Brasil: somente alinhado o status, a PBC deve iniciar em março/26, porém vou revisitar o cronograma de aprovação com eles para podermos nos alinhar._x000a_13:53, 27/01/2026 Junior Lopes: Olá Fábio, boa tarde ! Obrigado pelo retorno _x000a_Ficamos no aguardo então ! Caso necessário pode me chamar _x000a_Abraços"/>
    <s v=""/>
    <x v="29"/>
    <n v="8520654000158"/>
    <s v=""/>
    <s v="Marina"/>
    <s v="19999128074"/>
    <s v=""/>
    <s v="marina@portobrasilceramica.com.br"/>
    <s v=""/>
    <s v=""/>
    <s v=""/>
    <s v=""/>
    <s v=""/>
    <s v="Outbound"/>
    <s v=""/>
    <s v=""/>
    <s v="80%;Fabio Indica;Guarani AFV"/>
    <s v="Pipeline de Vendas"/>
    <s v="Em Fechamento (100%)"/>
    <s v="6x sem juros (0/30/60/90/120/150...)"/>
    <d v="2026-03-31T00:00:00"/>
    <n v="4519984"/>
    <n v="522464"/>
    <n v="512"/>
    <s v="Débora Duarte"/>
    <d v="2024-12-04T00:00:00"/>
    <d v="1899-12-30T14:40:54"/>
    <s v=""/>
    <s v="Ganho"/>
    <d v="2026-04-30T00:00:00"/>
    <d v="1899-12-30T14:25:28"/>
    <s v=""/>
    <s v=""/>
    <s v="04/12/2024 00:00"/>
    <x v="17"/>
    <s v="Junior Lopes"/>
    <x v="17"/>
    <s v="30/01/2025"/>
    <d v="2026-01-27T00:00:00"/>
    <n v="80"/>
    <s v=""/>
    <s v=""/>
    <s v=""/>
    <s v=""/>
    <n v="1"/>
  </r>
  <r>
    <x v="1"/>
    <n v="125"/>
    <m/>
    <n v="860"/>
    <s v=""/>
    <s v=""/>
    <x v="30"/>
    <m/>
    <s v=""/>
    <s v="GB Importadora - Clou"/>
    <s v="19993040768"/>
    <s v=""/>
    <s v="pehpbroglio@gmail.com"/>
    <s v=""/>
    <s v=""/>
    <s v=""/>
    <s v=""/>
    <s v=""/>
    <s v=""/>
    <s v=""/>
    <s v=""/>
    <s v="QUENTE"/>
    <s v="Pipeline de Vendas"/>
    <s v="Em Fechamento (100%)"/>
    <s v=""/>
    <d v="2025-01-31T00:00:00"/>
    <n v="1600"/>
    <n v="157626"/>
    <n v="49"/>
    <s v="Junior Lopes"/>
    <d v="2024-12-06T00:00:00"/>
    <d v="1899-12-30T16:28:22"/>
    <s v=""/>
    <s v="Ganho"/>
    <d v="2025-01-24T00:00:00"/>
    <d v="1899-12-30T11:42:08"/>
    <s v=""/>
    <s v=""/>
    <s v=""/>
    <x v="15"/>
    <s v=""/>
    <x v="18"/>
    <s v=""/>
    <m/>
    <m/>
    <s v=""/>
    <s v=""/>
    <s v=""/>
    <s v=""/>
    <n v="1"/>
  </r>
  <r>
    <x v="1"/>
    <n v="127"/>
    <m/>
    <n v="981"/>
    <s v=""/>
    <s v=""/>
    <x v="31"/>
    <n v="48885921000105"/>
    <s v=""/>
    <s v="Helder"/>
    <s v="(11) 3098-7840"/>
    <s v=""/>
    <s v="helder@ssdistribuidora.com.br"/>
    <s v=""/>
    <s v=""/>
    <s v=""/>
    <s v=""/>
    <s v=""/>
    <s v="Outbound"/>
    <s v=""/>
    <s v=""/>
    <s v=""/>
    <s v="Pipeline de Vendas"/>
    <s v="Em Fechamento (100%)"/>
    <s v=""/>
    <d v="2024-12-31T00:00:00"/>
    <n v="450"/>
    <m/>
    <n v="2"/>
    <s v="Junior Lopes"/>
    <d v="2024-12-10T00:00:00"/>
    <d v="1899-12-30T10:37:47"/>
    <s v=""/>
    <s v="Ganho"/>
    <d v="2024-12-12T00:00:00"/>
    <d v="1899-12-30T16:15:01"/>
    <s v=""/>
    <s v=""/>
    <s v="03/12/2024"/>
    <x v="18"/>
    <s v="Junior Lopes"/>
    <x v="16"/>
    <s v="11/12/2024"/>
    <m/>
    <m/>
    <s v=""/>
    <s v=""/>
    <s v=""/>
    <s v=""/>
    <n v="1"/>
  </r>
  <r>
    <x v="1"/>
    <n v="130"/>
    <m/>
    <n v="987"/>
    <s v=""/>
    <s v=""/>
    <x v="32"/>
    <n v="5691820000190"/>
    <s v=""/>
    <s v="Culturama"/>
    <s v="54996596274"/>
    <s v=""/>
    <s v="vinicius.mathyas@culturama.com.br"/>
    <s v=""/>
    <s v=""/>
    <s v=""/>
    <s v="CAXIAS DO SUL"/>
    <s v="RS"/>
    <s v=""/>
    <s v=""/>
    <s v=""/>
    <s v="QUENTE"/>
    <s v="Pipeline de Vendas"/>
    <s v="Em Fechamento (100%)"/>
    <s v=""/>
    <d v="2025-01-31T00:00:00"/>
    <n v="0"/>
    <n v="3564"/>
    <n v="43"/>
    <s v="Junior Lopes"/>
    <d v="2024-12-12T00:00:00"/>
    <d v="1899-12-30T09:14:28"/>
    <s v=""/>
    <s v="Ganho"/>
    <d v="2025-01-24T00:00:00"/>
    <d v="1899-12-30T11:07:30"/>
    <s v=""/>
    <s v=""/>
    <s v="05/12/2024"/>
    <x v="19"/>
    <s v="Junior Lopes"/>
    <x v="2"/>
    <s v=""/>
    <m/>
    <m/>
    <s v=""/>
    <s v=""/>
    <s v=""/>
    <s v=""/>
    <n v="1"/>
  </r>
  <r>
    <x v="1"/>
    <n v="131"/>
    <m/>
    <n v="990"/>
    <s v=""/>
    <s v=""/>
    <x v="33"/>
    <m/>
    <s v=""/>
    <s v="Rigomal"/>
    <s v="16997486376"/>
    <s v=""/>
    <s v="junior@rigomel.com.br"/>
    <s v=""/>
    <s v=""/>
    <s v=""/>
    <s v=""/>
    <s v=""/>
    <s v=""/>
    <s v=""/>
    <s v=""/>
    <s v=""/>
    <s v="Pipeline de Vendas"/>
    <s v="Apresentar Solução (35%)"/>
    <s v=""/>
    <m/>
    <n v="37964"/>
    <m/>
    <n v="7"/>
    <s v="Junior Lopes"/>
    <d v="2024-12-12T00:00:00"/>
    <d v="1899-12-30T10:50:50"/>
    <s v=""/>
    <s v="Perdido"/>
    <d v="2024-12-19T00:00:00"/>
    <d v="1899-12-30T09:39:21"/>
    <s v="Fechou com o concorrente - preço"/>
    <s v="junior informou que vai seguir com Mercus ! indicaçãom do seu atual ERP Triplus"/>
    <s v=""/>
    <x v="20"/>
    <s v=""/>
    <x v="19"/>
    <s v="16/12/2024"/>
    <m/>
    <m/>
    <s v=""/>
    <s v=""/>
    <s v=""/>
    <s v=""/>
    <n v="1"/>
  </r>
  <r>
    <x v="1"/>
    <n v="135"/>
    <m/>
    <n v="996"/>
    <s v=""/>
    <s v=""/>
    <x v="34"/>
    <m/>
    <s v=""/>
    <s v="Viva Vidros"/>
    <s v="11988839646"/>
    <s v=""/>
    <s v="comercial@vivavidros.com.br"/>
    <s v=""/>
    <s v=""/>
    <s v=""/>
    <s v=""/>
    <s v=""/>
    <s v=""/>
    <s v=""/>
    <s v=""/>
    <s v="QUENTE"/>
    <s v="Pipeline de Vendas"/>
    <s v="Em Fechamento (100%)"/>
    <s v=""/>
    <m/>
    <n v="28832"/>
    <n v="110248"/>
    <n v="83"/>
    <s v="Junior Lopes"/>
    <d v="2024-12-12T00:00:00"/>
    <d v="1899-12-30T17:20:55"/>
    <s v=""/>
    <s v="Perdido"/>
    <d v="2025-03-05T00:00:00"/>
    <d v="1899-12-30T11:12:51"/>
    <s v="Projeto adiado / sem prazo definido"/>
    <s v="cliente com situação de pendencias financeiras"/>
    <s v=""/>
    <x v="21"/>
    <s v=""/>
    <x v="0"/>
    <s v=""/>
    <m/>
    <m/>
    <s v=""/>
    <s v=""/>
    <s v=""/>
    <s v=""/>
    <n v="1"/>
  </r>
  <r>
    <x v="1"/>
    <n v="138"/>
    <m/>
    <n v="1103"/>
    <s v=""/>
    <s v=""/>
    <x v="35"/>
    <n v="54734384000103"/>
    <s v=""/>
    <s v="Star Distribuidora"/>
    <s v="17997793113"/>
    <s v=""/>
    <s v="comercial@distribuidorastar.com.br"/>
    <s v=""/>
    <s v=""/>
    <s v=""/>
    <s v=""/>
    <s v=""/>
    <s v=""/>
    <s v=""/>
    <s v=""/>
    <s v="QUENTE"/>
    <s v="Pipeline de Vendas"/>
    <s v="Em negociação (75%)"/>
    <s v=""/>
    <m/>
    <n v="49588"/>
    <m/>
    <n v="23"/>
    <s v="Junior Lopes"/>
    <d v="2024-12-17T00:00:00"/>
    <d v="1899-12-30T12:22:38"/>
    <s v=""/>
    <s v="Perdido"/>
    <d v="2025-01-09T00:00:00"/>
    <d v="1899-12-30T15:57:21"/>
    <s v="Projeto adiado / sem prazo definido"/>
    <s v="estamos fechando solução completa"/>
    <s v=""/>
    <x v="22"/>
    <s v=""/>
    <x v="20"/>
    <s v=""/>
    <m/>
    <m/>
    <s v=""/>
    <s v=""/>
    <s v=""/>
    <s v=""/>
    <n v="1"/>
  </r>
  <r>
    <x v="1"/>
    <n v="139"/>
    <m/>
    <n v="1113"/>
    <s v=""/>
    <s v=""/>
    <x v="36"/>
    <m/>
    <s v=""/>
    <s v="DCL Editora"/>
    <s v="11991297401"/>
    <s v=""/>
    <s v="administrativo@editoradcl.com.br"/>
    <s v=""/>
    <s v=""/>
    <s v=""/>
    <s v=""/>
    <s v=""/>
    <s v=""/>
    <s v=""/>
    <s v=""/>
    <s v=""/>
    <s v="Pipeline de Vendas"/>
    <s v="Apresentar Proposta (50%)"/>
    <s v=""/>
    <d v="2025-01-31T00:00:00"/>
    <n v="168592"/>
    <n v="6426"/>
    <n v="40"/>
    <s v="Junior Lopes"/>
    <d v="2024-12-19T00:00:00"/>
    <d v="1899-12-30T09:42:19"/>
    <s v=""/>
    <s v="Perdido"/>
    <d v="2025-01-28T00:00:00"/>
    <d v="1899-12-30T14:28:25"/>
    <s v="Não houve aprovação financeira"/>
    <s v="cliente não deu sequencia em nossa negociação"/>
    <s v="12/12/2024"/>
    <x v="16"/>
    <s v=""/>
    <x v="21"/>
    <s v=""/>
    <m/>
    <m/>
    <s v=""/>
    <s v=""/>
    <s v=""/>
    <s v=""/>
    <n v="1"/>
  </r>
  <r>
    <x v="1"/>
    <n v="140"/>
    <m/>
    <n v="1114"/>
    <s v=""/>
    <s v=""/>
    <x v="37"/>
    <m/>
    <s v=""/>
    <s v="Everson"/>
    <s v="17997793113"/>
    <s v=""/>
    <s v="comercial@distribuidorastar.com.br"/>
    <s v=""/>
    <s v=""/>
    <s v=""/>
    <s v=""/>
    <s v=""/>
    <s v=""/>
    <s v=""/>
    <s v=""/>
    <s v=""/>
    <s v="Pipeline de Vendas"/>
    <s v="Em Fechamento (100%)"/>
    <s v="10x sem juros (0/30/60/90/120/150...)"/>
    <d v="2025-01-31T00:00:00"/>
    <n v="4587892"/>
    <n v="628168"/>
    <n v="36"/>
    <s v="Junior Lopes"/>
    <d v="2024-12-19T00:00:00"/>
    <d v="1899-12-30T10:01:34"/>
    <s v=""/>
    <s v="Ganho"/>
    <d v="2025-01-24T00:00:00"/>
    <d v="1899-12-30T12:26:37"/>
    <s v=""/>
    <s v=""/>
    <s v=""/>
    <x v="23"/>
    <s v=""/>
    <x v="22"/>
    <s v="09/01/2025"/>
    <m/>
    <m/>
    <s v=""/>
    <s v=""/>
    <s v=""/>
    <s v=""/>
    <n v="1"/>
  </r>
  <r>
    <x v="1"/>
    <n v="141"/>
    <n v="159"/>
    <n v="1115"/>
    <s v=""/>
    <s v=""/>
    <x v="38"/>
    <n v="43526090000161"/>
    <s v="Precisa Import"/>
    <s v="Tony"/>
    <s v="11972961489"/>
    <s v=""/>
    <s v="comercial@prorepresentacao.com.nr"/>
    <s v=""/>
    <s v=""/>
    <s v=""/>
    <s v="Barueri"/>
    <s v="SP"/>
    <s v=""/>
    <s v=""/>
    <s v=""/>
    <s v=""/>
    <s v="Pipeline de Vendas"/>
    <s v="Em Fechamento (100%)"/>
    <s v="8x sem juros (0/30/60/90/120/150...)"/>
    <d v="2025-01-31T00:00:00"/>
    <n v="1600"/>
    <n v="2500"/>
    <n v="42"/>
    <s v="Junior Lopes"/>
    <d v="2024-12-19T00:00:00"/>
    <d v="1899-12-30T14:40:15"/>
    <s v=""/>
    <s v="Ganho"/>
    <d v="2025-01-28T00:00:00"/>
    <d v="1899-12-30T16:21:11"/>
    <s v=""/>
    <s v="0"/>
    <s v="20/01/2025"/>
    <x v="24"/>
    <s v=""/>
    <x v="0"/>
    <s v=""/>
    <m/>
    <m/>
    <s v=""/>
    <s v=""/>
    <s v=""/>
    <s v=""/>
    <n v="1"/>
  </r>
  <r>
    <x v="1"/>
    <n v="142"/>
    <m/>
    <n v="1117"/>
    <s v=""/>
    <s v=""/>
    <x v="39"/>
    <m/>
    <s v=""/>
    <s v="Everson"/>
    <s v="17997793113"/>
    <s v=""/>
    <s v="comercial@distribuidorastar.com.br"/>
    <s v=""/>
    <s v=""/>
    <s v=""/>
    <s v=""/>
    <s v=""/>
    <s v=""/>
    <s v=""/>
    <s v=""/>
    <s v=""/>
    <s v="Pipeline de Vendas"/>
    <s v="Em Fechamento (100%)"/>
    <s v=""/>
    <d v="2025-01-31T00:00:00"/>
    <n v="1600"/>
    <n v="243721"/>
    <n v="35"/>
    <s v="Junior Lopes"/>
    <d v="2024-12-20T00:00:00"/>
    <d v="1899-12-30T14:30:10"/>
    <s v=""/>
    <s v="Ganho"/>
    <d v="2025-01-24T00:00:00"/>
    <d v="1899-12-30T14:02:50"/>
    <s v=""/>
    <s v=""/>
    <s v=""/>
    <x v="23"/>
    <s v=""/>
    <x v="22"/>
    <s v="09/01/2025"/>
    <m/>
    <m/>
    <s v=""/>
    <s v=""/>
    <s v=""/>
    <s v=""/>
    <n v="1"/>
  </r>
  <r>
    <x v="0"/>
    <n v="144"/>
    <m/>
    <n v="181"/>
    <s v="Me chamou no whatsapp, possível indicação."/>
    <s v=""/>
    <x v="40"/>
    <n v="27805256000122"/>
    <s v=""/>
    <s v="Jefeerson"/>
    <s v="(83) 3441-1738 / (83) 9882-5004"/>
    <s v=""/>
    <s v=""/>
    <s v=""/>
    <s v=""/>
    <s v=""/>
    <s v="CATOLE DO ROCHA"/>
    <s v="PB"/>
    <s v="Feiras"/>
    <s v=""/>
    <s v=""/>
    <s v="Abup2025Fevereiro;GELADO"/>
    <s v="Pipeline de Vendas"/>
    <s v="Em Fechamento (100%)"/>
    <s v="6x sem juros (0/30/60/90/120/150...)"/>
    <m/>
    <n v="146772"/>
    <n v="1102804"/>
    <n v="154"/>
    <s v="Paulo Souza"/>
    <d v="2025-01-07T00:00:00"/>
    <d v="1899-12-30T16:58:48"/>
    <s v=""/>
    <s v="Ganho"/>
    <d v="2025-01-29T00:00:00"/>
    <d v="1899-12-30T01:04:49"/>
    <s v=""/>
    <s v="0"/>
    <s v=""/>
    <x v="25"/>
    <s v="Paulo Souza"/>
    <x v="23"/>
    <s v=""/>
    <m/>
    <m/>
    <s v=""/>
    <s v=""/>
    <s v=""/>
    <s v=""/>
    <n v="1"/>
  </r>
  <r>
    <x v="0"/>
    <n v="145"/>
    <m/>
    <n v="12"/>
    <s v="Indústria de alumínio atualmente utiliza um ERP local, junto com o EPR do mesmo fornecedor. Porém a principal dificuldade esta no processo produtivo, que ainda não foi implantado. Por este motivo a empresa necessita de um módulo de PCP (Planejamento e controle da produção) e o AFV atual não atende as necessidades comerciais._x000a_MBA Alumínios_x000a_Com mais de 38 anos de atuação no setor de alumínios, a MBA Alumínios é uma fábrica consolidada que abrange toda a cadeia produtiva de panelas de alumínio, desde a compra de sucata, produção de discos, estamparia, pintura, montagem, até embalagem e armazenamento._x000a_A empresa adotará os seguintes produtos:_x000a_ERP + PCP: 10 usuários_x000a_Checkout (ERP): 4 usuários_x000a_AFV: 14 usuários_x000a_MDe_x000a_MDFe_x000a_Possui dois CNPJs enquadrados no Simples Nacional e está localizada na cidade de Itaúna - MG."/>
    <s v="MBA ALUMINIOS LTDA."/>
    <x v="41"/>
    <n v="22752240000185"/>
    <s v=""/>
    <s v="Selmo Fernandes"/>
    <s v="(37) 99856-9457"/>
    <s v=""/>
    <s v="selmofilho@mbaluminios.com.br"/>
    <s v=""/>
    <s v=""/>
    <s v=""/>
    <s v="ITAUNA"/>
    <s v=""/>
    <s v="Outbound"/>
    <s v=""/>
    <s v=""/>
    <s v="SDRDébora"/>
    <s v="Pipeline de Vendas"/>
    <s v="Em negociação (75%)"/>
    <s v=""/>
    <m/>
    <m/>
    <m/>
    <n v="38"/>
    <s v="Paulo Souza"/>
    <d v="2025-01-07T00:00:00"/>
    <d v="1899-12-30T17:36:41"/>
    <s v=""/>
    <s v="Perdido"/>
    <d v="2025-02-14T00:00:00"/>
    <d v="1899-12-30T15:35:32"/>
    <s v="Projeto adiado / sem prazo definido"/>
    <s v=""/>
    <s v=""/>
    <x v="0"/>
    <s v=""/>
    <x v="24"/>
    <s v=""/>
    <m/>
    <m/>
    <s v=""/>
    <s v=""/>
    <s v=""/>
    <s v=""/>
    <n v="1"/>
  </r>
  <r>
    <x v="1"/>
    <n v="148"/>
    <m/>
    <n v="270"/>
    <s v="Carlos informou que possui hoje 50 RCA, e utilizam o ERP Solides."/>
    <s v="ETRURIA INDUSTRIA DE FIBRAS E FIOS SINTETICOS LTDA"/>
    <x v="42"/>
    <n v="45723541000186"/>
    <s v=""/>
    <s v="ETRURIA"/>
    <s v="1147188700"/>
    <s v=""/>
    <s v="etruria@etruria.com.br"/>
    <s v=""/>
    <s v="ETRURIA;Carlos"/>
    <s v=""/>
    <s v="Mairinque - SP"/>
    <s v="SP"/>
    <s v="Outbound"/>
    <s v=""/>
    <s v=""/>
    <s v="Importado a partir de lista;SDRFernanda"/>
    <s v="Pipeline de Vendas"/>
    <s v="Em negociação (75%)"/>
    <s v=""/>
    <m/>
    <n v="16960"/>
    <n v="4714"/>
    <n v="72"/>
    <s v="Fernanda Santiago"/>
    <d v="2025-01-08T00:00:00"/>
    <d v="1899-12-30T11:08:30"/>
    <s v=""/>
    <s v="Perdido"/>
    <d v="2025-03-21T00:00:00"/>
    <d v="1899-12-30T10:20:05"/>
    <s v="Não quer mudar a solução atual"/>
    <s v="decidiu não mudar força de vendas nesse momento"/>
    <s v=""/>
    <x v="26"/>
    <s v="Fernanda Santiago"/>
    <x v="25"/>
    <s v="21/01/2025"/>
    <m/>
    <m/>
    <s v=""/>
    <s v=""/>
    <s v=""/>
    <s v=""/>
    <n v="1"/>
  </r>
  <r>
    <x v="1"/>
    <n v="151"/>
    <m/>
    <n v="1540"/>
    <s v=""/>
    <s v=""/>
    <x v="43"/>
    <n v="21733807000103"/>
    <s v=""/>
    <s v="News aviamentos"/>
    <s v="(11) 3229-6911"/>
    <s v=""/>
    <s v="caiotls@hotmail.com"/>
    <s v=""/>
    <s v=""/>
    <s v=""/>
    <s v="SAO PAULO"/>
    <s v="SP"/>
    <s v=""/>
    <s v=""/>
    <s v=""/>
    <s v=""/>
    <s v="Pipeline de Vendas"/>
    <s v="Em negociação (75%)"/>
    <s v=""/>
    <m/>
    <n v="4830624"/>
    <n v="384549"/>
    <n v="43"/>
    <s v="Junior Lopes"/>
    <d v="2025-01-09T00:00:00"/>
    <d v="1899-12-30T16:01:24"/>
    <s v=""/>
    <s v="Perdido"/>
    <d v="2025-02-21T00:00:00"/>
    <d v="1899-12-30T14:27:38"/>
    <s v="Não houve aprovação financeira"/>
    <s v="achou investimento fora para o momento"/>
    <s v=""/>
    <x v="26"/>
    <s v=""/>
    <x v="26"/>
    <s v="20/01/2025"/>
    <m/>
    <m/>
    <s v=""/>
    <s v=""/>
    <s v=""/>
    <s v=""/>
    <n v="1"/>
  </r>
  <r>
    <x v="0"/>
    <n v="154"/>
    <n v="177"/>
    <n v="1546"/>
    <s v=""/>
    <s v=""/>
    <x v="44"/>
    <n v="58636773000149"/>
    <s v="GLOBAL MIX ATACADISTA LTDA."/>
    <s v="Juan Charles Brandão Bastos"/>
    <s v="(32) 98458-5164"/>
    <s v=""/>
    <s v="afonso@assecon.net.br"/>
    <s v="Matriz"/>
    <s v=""/>
    <s v="R DOM LUIZ ORIONE 577"/>
    <s v="Juiz de Fora"/>
    <s v="MG"/>
    <s v="Site"/>
    <s v="Site"/>
    <s v=""/>
    <s v="GELADO;Pausado;Solicita demo"/>
    <s v="Pipeline de Vendas"/>
    <s v="Em negociação (75%)"/>
    <s v="6x sem juros (0/30/60/90/120/150...)"/>
    <m/>
    <n v="5689656"/>
    <n v="259936"/>
    <n v="151"/>
    <s v="Fernanda Santiago"/>
    <d v="2025-01-10T00:00:00"/>
    <d v="1899-12-30T12:12:42"/>
    <s v=""/>
    <s v="Perdido"/>
    <d v="2025-06-10T00:00:00"/>
    <d v="1899-12-30T14:40:29"/>
    <s v="Não quer mudar a solução atual"/>
    <s v=""/>
    <s v="10/01/2025 16:00"/>
    <x v="13"/>
    <s v="Paulo Souza"/>
    <x v="27"/>
    <s v=""/>
    <m/>
    <m/>
    <s v=""/>
    <s v=""/>
    <s v=""/>
    <s v=""/>
    <n v="1"/>
  </r>
  <r>
    <x v="0"/>
    <n v="155"/>
    <m/>
    <n v="1547"/>
    <s v=""/>
    <s v=""/>
    <x v="45"/>
    <m/>
    <s v=""/>
    <s v="Bruce"/>
    <s v="21995977179"/>
    <s v=""/>
    <s v="null"/>
    <s v=""/>
    <s v=""/>
    <s v=""/>
    <s v=""/>
    <s v=""/>
    <s v=""/>
    <s v=""/>
    <s v=""/>
    <s v=""/>
    <s v="Pipeline de Vendas"/>
    <s v="Apresentar Solução (35%)"/>
    <s v=""/>
    <m/>
    <m/>
    <m/>
    <n v="18"/>
    <s v="Paulo Souza"/>
    <d v="2025-01-10T00:00:00"/>
    <d v="1899-12-30T14:48:28"/>
    <s v=""/>
    <s v="Perdido"/>
    <d v="2025-01-28T00:00:00"/>
    <d v="1899-12-30T16:53:34"/>
    <s v="Projeto adiado / sem prazo definido"/>
    <s v="Rayssa, está tratando no funil de pós-venda"/>
    <s v=""/>
    <x v="27"/>
    <s v="Paulo Souza"/>
    <x v="28"/>
    <s v=""/>
    <m/>
    <m/>
    <s v=""/>
    <s v=""/>
    <s v=""/>
    <s v=""/>
    <n v="1"/>
  </r>
  <r>
    <x v="0"/>
    <n v="164"/>
    <m/>
    <n v="1582"/>
    <s v=""/>
    <s v=""/>
    <x v="46"/>
    <n v="2675142000184"/>
    <s v=""/>
    <s v="Thiago"/>
    <s v="(11) 98534-8231"/>
    <s v=""/>
    <s v="thiago.ramos@sltexpress.com.br"/>
    <s v=""/>
    <s v=""/>
    <s v=""/>
    <s v="São Paulo"/>
    <s v=""/>
    <s v="Site"/>
    <s v=""/>
    <s v=""/>
    <s v="Contato;QUENTE"/>
    <s v="Pipeline de Vendas"/>
    <s v="Em negociação (75%)"/>
    <s v=""/>
    <m/>
    <m/>
    <m/>
    <n v="65"/>
    <s v="Fernanda Santiago"/>
    <d v="2025-01-15T00:00:00"/>
    <d v="1899-12-30T17:35:14"/>
    <s v=""/>
    <s v="Perdido"/>
    <d v="2025-03-21T00:00:00"/>
    <d v="1899-12-30T14:37:57"/>
    <s v="Fora do segmento atendido"/>
    <s v=""/>
    <s v="15/01/2025 17:00"/>
    <x v="13"/>
    <s v="Fernanda Santiago"/>
    <x v="29"/>
    <s v=""/>
    <m/>
    <m/>
    <s v=""/>
    <s v=""/>
    <s v=""/>
    <s v=""/>
    <n v="1"/>
  </r>
  <r>
    <x v="1"/>
    <n v="166"/>
    <m/>
    <n v="745"/>
    <s v=""/>
    <s v="VERSIVA COMERCIAL VERSIVA DISTRIBUIDORA"/>
    <x v="47"/>
    <n v="48314771000180"/>
    <s v=""/>
    <s v="Gilberto"/>
    <s v="11984587496"/>
    <s v=""/>
    <s v="gilberto.brito@quantiva.com.br"/>
    <s v=""/>
    <s v="Gilberto;null"/>
    <s v=""/>
    <s v=""/>
    <s v=""/>
    <s v=""/>
    <s v=""/>
    <s v=""/>
    <s v="SDRFernanda;TAG1SEM"/>
    <s v="Pipeline de Vendas"/>
    <s v="Apresentar Solução (35%)"/>
    <s v=""/>
    <m/>
    <m/>
    <m/>
    <n v="36"/>
    <s v="Fernanda Santiago"/>
    <d v="2025-01-16T00:00:00"/>
    <d v="1899-12-30T11:04:39"/>
    <s v=""/>
    <s v="Perdido"/>
    <d v="2025-02-21T00:00:00"/>
    <d v="1899-12-30T12:11:57"/>
    <s v="Projeto adiado / sem prazo definido"/>
    <s v="cliente não tem tempo para apresentação"/>
    <s v="16/01/2025 11:00"/>
    <x v="0"/>
    <s v="Fernanda Santiago"/>
    <x v="30"/>
    <s v=""/>
    <m/>
    <m/>
    <s v=""/>
    <s v=""/>
    <s v=""/>
    <s v=""/>
    <n v="1"/>
  </r>
  <r>
    <x v="0"/>
    <n v="167"/>
    <m/>
    <n v="1599"/>
    <s v=""/>
    <s v=""/>
    <x v="48"/>
    <m/>
    <s v=""/>
    <s v="Felipe"/>
    <s v="11975126999"/>
    <s v=""/>
    <s v="null"/>
    <s v=""/>
    <s v=""/>
    <s v=""/>
    <s v=""/>
    <s v=""/>
    <s v="Indicação"/>
    <s v=""/>
    <s v=""/>
    <s v="GELADO"/>
    <s v="Pipeline de Vendas"/>
    <s v="Em negociação (75%)"/>
    <s v="6x sem juros (0/30/60/90/120/150...)"/>
    <d v="2025-05-31T00:00:00"/>
    <n v="46000"/>
    <n v="308546"/>
    <n v="82"/>
    <s v="Paulo Souza"/>
    <d v="2025-01-16T00:00:00"/>
    <d v="1899-12-30T14:02:22"/>
    <s v=""/>
    <s v="Perdido"/>
    <d v="2025-04-08T00:00:00"/>
    <d v="1899-12-30T09:30:31"/>
    <s v="Não quer mudar a solução atual"/>
    <s v=""/>
    <s v=""/>
    <x v="28"/>
    <s v="Paulo Souza"/>
    <x v="31"/>
    <s v=""/>
    <m/>
    <m/>
    <s v=""/>
    <s v=""/>
    <s v=""/>
    <s v=""/>
    <n v="1"/>
  </r>
  <r>
    <x v="1"/>
    <n v="169"/>
    <m/>
    <n v="735"/>
    <s v=""/>
    <s v="ECOLIMP DISTRIBUIDORA ATACADISTA DE PRODUTOS DE HIGIENE - EIRELI"/>
    <x v="49"/>
    <n v="16941656000149"/>
    <s v=""/>
    <s v="Ecolimp Distribuidora"/>
    <s v="11956368569"/>
    <s v=""/>
    <s v="adrianarosa@ecolimpatacadista.com.br"/>
    <s v=""/>
    <s v="Ecolimp Distribuidora;null, Adriana"/>
    <s v=""/>
    <s v=""/>
    <s v=""/>
    <s v=""/>
    <s v=""/>
    <s v=""/>
    <s v=""/>
    <s v="Pipeline de Vendas"/>
    <s v="Apresentar Proposta (50%)"/>
    <s v=""/>
    <m/>
    <n v="16700"/>
    <n v="18186"/>
    <n v="6"/>
    <s v="Fernanda Santiago"/>
    <d v="2025-01-16T00:00:00"/>
    <d v="1899-12-30T17:13:16"/>
    <s v=""/>
    <s v="Perdido"/>
    <d v="2025-01-22T00:00:00"/>
    <d v="1899-12-30T12:12:09"/>
    <s v="Projeto adiado / sem prazo definido"/>
    <s v="pediu para retornar no futuro"/>
    <s v="16/01/2025 17:00"/>
    <x v="29"/>
    <s v="Fernanda Santiago"/>
    <x v="32"/>
    <s v=""/>
    <m/>
    <m/>
    <s v=""/>
    <s v=""/>
    <s v=""/>
    <s v=""/>
    <n v="1"/>
  </r>
  <r>
    <x v="1"/>
    <n v="174"/>
    <m/>
    <n v="734"/>
    <s v=""/>
    <s v="DISTRIBUIDORA CHAMPION LIMITADA"/>
    <x v="50"/>
    <n v="66559436000123"/>
    <s v=""/>
    <s v="Distribuidora Champion"/>
    <s v="1155237947"/>
    <s v=""/>
    <s v="andre@distribuidorachampion.com.br"/>
    <s v=""/>
    <s v="Distribuidora Champion;null"/>
    <s v=""/>
    <s v=""/>
    <s v=""/>
    <s v=""/>
    <s v=""/>
    <s v=""/>
    <s v=""/>
    <s v="Pipeline de Vendas"/>
    <s v="Agendamento (0%)"/>
    <s v=""/>
    <m/>
    <m/>
    <m/>
    <n v="31"/>
    <s v="Fernanda Santiago"/>
    <d v="2025-01-21T00:00:00"/>
    <d v="1899-12-30T10:39:04"/>
    <s v=""/>
    <s v="Perdido"/>
    <d v="2025-02-21T00:00:00"/>
    <d v="1899-12-30T10:55:19"/>
    <s v="Projeto adiado / sem prazo definido"/>
    <s v="sem resposta do cliente"/>
    <s v="21/01/2025 10:37"/>
    <x v="0"/>
    <s v="Fernanda Santiago"/>
    <x v="33"/>
    <s v=""/>
    <m/>
    <m/>
    <s v=""/>
    <s v=""/>
    <s v=""/>
    <s v=""/>
    <n v="1"/>
  </r>
  <r>
    <x v="1"/>
    <n v="178"/>
    <m/>
    <n v="1619"/>
    <s v=""/>
    <s v=""/>
    <x v="51"/>
    <n v="2306559000331"/>
    <s v=""/>
    <s v="Royal Toys"/>
    <s v="44999065000"/>
    <s v=""/>
    <s v="ney@royaltoys.com.br"/>
    <s v=""/>
    <s v=""/>
    <s v=""/>
    <s v=""/>
    <s v=""/>
    <s v=""/>
    <s v=""/>
    <s v=""/>
    <s v=""/>
    <s v="Pipeline de Vendas"/>
    <s v="Em negociação (75%)"/>
    <s v="6x sem juros (0/30/60/90/120/150...)"/>
    <m/>
    <n v="11520"/>
    <n v="14114"/>
    <n v="30"/>
    <s v="Junior Lopes"/>
    <d v="2025-01-22T00:00:00"/>
    <d v="1899-12-30T12:15:34"/>
    <s v=""/>
    <s v="Perdido"/>
    <d v="2025-02-21T00:00:00"/>
    <d v="1899-12-30T12:14:01"/>
    <s v="Fechou com o concorrente - preço"/>
    <s v="fechou com Mercus"/>
    <s v=""/>
    <x v="29"/>
    <s v=""/>
    <x v="34"/>
    <s v=""/>
    <m/>
    <m/>
    <s v=""/>
    <s v=""/>
    <s v=""/>
    <s v=""/>
    <n v="1"/>
  </r>
  <r>
    <x v="1"/>
    <n v="179"/>
    <m/>
    <n v="1621"/>
    <s v=""/>
    <s v=""/>
    <x v="52"/>
    <m/>
    <s v=""/>
    <s v="Atacado Junior"/>
    <s v="65984636358"/>
    <s v=""/>
    <s v="atacadojunior@uol.com.br"/>
    <s v=""/>
    <s v=""/>
    <s v=""/>
    <s v=""/>
    <s v=""/>
    <s v=""/>
    <s v=""/>
    <s v=""/>
    <s v=""/>
    <s v="Pipeline de Vendas"/>
    <s v="Apresentar Proposta (50%)"/>
    <s v="6x sem juros (0/30/60/90/120/150...)"/>
    <m/>
    <n v="61056"/>
    <n v="625045"/>
    <n v="14"/>
    <s v="Junior Lopes"/>
    <d v="2025-01-23T00:00:00"/>
    <d v="1899-12-30T09:32:50"/>
    <s v=""/>
    <s v="Perdido"/>
    <d v="2025-02-06T00:00:00"/>
    <d v="1899-12-30T16:03:00"/>
    <s v="Preço muito alto - fora do budget de investimento"/>
    <s v="valor alto para investimento"/>
    <s v=""/>
    <x v="30"/>
    <s v=""/>
    <x v="35"/>
    <s v="27/01/2025"/>
    <m/>
    <m/>
    <s v=""/>
    <s v=""/>
    <s v=""/>
    <s v=""/>
    <n v="1"/>
  </r>
  <r>
    <x v="1"/>
    <n v="183"/>
    <m/>
    <n v="1631"/>
    <s v=""/>
    <s v=""/>
    <x v="53"/>
    <m/>
    <s v=""/>
    <s v="Multiflon"/>
    <s v="54981117994"/>
    <s v=""/>
    <s v="cesar@multiflon.com.br"/>
    <s v=""/>
    <s v=""/>
    <s v=""/>
    <s v=""/>
    <s v=""/>
    <s v="Feiras"/>
    <s v=""/>
    <s v=""/>
    <s v=""/>
    <s v="Pipeline de Vendas"/>
    <s v="Em Fechamento (100%)"/>
    <s v="6x sem juros (0/30/60/90/120/150...)"/>
    <m/>
    <n v="16960"/>
    <n v="863104"/>
    <n v="103"/>
    <s v="Junior Lopes"/>
    <d v="2025-01-24T00:00:00"/>
    <d v="1899-12-30T10:40:09"/>
    <s v=""/>
    <s v="Ganho"/>
    <d v="2025-05-07T00:00:00"/>
    <d v="1899-12-30T08:53:35"/>
    <s v=""/>
    <s v=""/>
    <s v=""/>
    <x v="31"/>
    <s v=""/>
    <x v="35"/>
    <s v=""/>
    <m/>
    <m/>
    <s v=""/>
    <s v=""/>
    <s v=""/>
    <s v=""/>
    <n v="1"/>
  </r>
  <r>
    <x v="1"/>
    <n v="187"/>
    <m/>
    <n v="1642"/>
    <s v=""/>
    <s v=""/>
    <x v="54"/>
    <m/>
    <s v=""/>
    <s v="Metalmix tanque"/>
    <s v="16997631389"/>
    <s v=""/>
    <s v="metalmix.ibate@hotmail.com"/>
    <s v=""/>
    <s v=""/>
    <s v=""/>
    <s v=""/>
    <s v=""/>
    <s v=""/>
    <s v=""/>
    <s v=""/>
    <s v=""/>
    <s v="Pipeline de Vendas"/>
    <s v="Apresentar Solução (35%)"/>
    <s v=""/>
    <m/>
    <m/>
    <m/>
    <n v="49"/>
    <s v="Junior Lopes"/>
    <d v="2025-01-27T00:00:00"/>
    <d v="1899-12-30T14:53:37"/>
    <s v=""/>
    <s v="Perdido"/>
    <d v="2025-03-17T00:00:00"/>
    <d v="1899-12-30T09:55:20"/>
    <s v="Projeto adiado / sem prazo definido"/>
    <s v="Cliente fora do segmento"/>
    <s v=""/>
    <x v="0"/>
    <s v=""/>
    <x v="36"/>
    <s v=""/>
    <m/>
    <m/>
    <s v=""/>
    <s v=""/>
    <s v=""/>
    <s v=""/>
    <n v="1"/>
  </r>
  <r>
    <x v="1"/>
    <n v="188"/>
    <m/>
    <n v="1643"/>
    <s v=""/>
    <s v=""/>
    <x v="55"/>
    <m/>
    <s v=""/>
    <s v="C.a Teles Armarinhos E Papelaria Ltda"/>
    <s v="11999279928"/>
    <s v=""/>
    <s v="caiotls@hotmail.com"/>
    <s v=""/>
    <s v=""/>
    <s v=""/>
    <s v=""/>
    <s v=""/>
    <s v=""/>
    <s v=""/>
    <s v=""/>
    <s v=""/>
    <s v="Pipeline de Vendas"/>
    <s v="Em negociação (75%)"/>
    <s v=""/>
    <m/>
    <n v="1600"/>
    <n v="314528"/>
    <n v="25"/>
    <s v="Junior Lopes"/>
    <d v="2025-01-27T00:00:00"/>
    <d v="1899-12-30T15:48:35"/>
    <s v=""/>
    <s v="Perdido"/>
    <d v="2025-02-21T00:00:00"/>
    <d v="1899-12-30T14:28:44"/>
    <s v="Não houve aprovação financeira"/>
    <s v=""/>
    <s v=""/>
    <x v="29"/>
    <s v=""/>
    <x v="26"/>
    <s v=""/>
    <m/>
    <m/>
    <s v=""/>
    <s v=""/>
    <s v=""/>
    <s v=""/>
    <n v="1"/>
  </r>
  <r>
    <x v="1"/>
    <n v="191"/>
    <m/>
    <n v="1651"/>
    <s v=""/>
    <s v=""/>
    <x v="56"/>
    <m/>
    <s v=""/>
    <s v="Atacado Junior"/>
    <s v="65984636358"/>
    <s v=""/>
    <s v="atacadojunior@uol.com.br"/>
    <s v=""/>
    <s v=""/>
    <s v=""/>
    <s v=""/>
    <s v=""/>
    <s v=""/>
    <s v=""/>
    <s v=""/>
    <s v=""/>
    <s v="Pipeline de Vendas"/>
    <s v="Apresentar Proposta (50%)"/>
    <s v=""/>
    <m/>
    <n v="1600"/>
    <n v="4063"/>
    <n v="9"/>
    <s v="Junior Lopes"/>
    <d v="2025-01-28T00:00:00"/>
    <d v="1899-12-30T15:02:42"/>
    <s v=""/>
    <s v="Perdido"/>
    <d v="2025-02-06T00:00:00"/>
    <d v="1899-12-30T16:04:47"/>
    <s v="Preço muito alto - fora do budget de investimento"/>
    <s v="valor alto para investimento"/>
    <s v=""/>
    <x v="0"/>
    <s v=""/>
    <x v="0"/>
    <s v=""/>
    <m/>
    <m/>
    <s v=""/>
    <s v=""/>
    <s v=""/>
    <s v=""/>
    <n v="1"/>
  </r>
  <r>
    <x v="0"/>
    <n v="193"/>
    <m/>
    <n v="1608"/>
    <s v=""/>
    <s v=""/>
    <x v="57"/>
    <n v="2142286000175"/>
    <s v=""/>
    <s v="giovanna sesso"/>
    <s v="(11) 3777-2416"/>
    <s v=""/>
    <s v="giovanna@bolplast.com.br"/>
    <s v=""/>
    <s v=""/>
    <s v=""/>
    <s v="São Paulo"/>
    <s v=""/>
    <s v="Site"/>
    <s v=""/>
    <s v=""/>
    <s v="Solicita demo"/>
    <s v="Pipeline de Vendas"/>
    <s v="Em negociação (75%)"/>
    <s v=""/>
    <m/>
    <m/>
    <m/>
    <n v="9"/>
    <s v="Paulo Souza"/>
    <d v="2025-01-28T00:00:00"/>
    <d v="1899-12-30T16:45:54"/>
    <s v=""/>
    <s v="Perdido"/>
    <d v="2025-02-06T00:00:00"/>
    <d v="1899-12-30T17:27:05"/>
    <s v="Preço muito alto - fora do budget de investimento"/>
    <s v=""/>
    <s v=""/>
    <x v="32"/>
    <s v=""/>
    <x v="37"/>
    <s v=""/>
    <m/>
    <m/>
    <s v=""/>
    <s v=""/>
    <s v=""/>
    <s v=""/>
    <n v="1"/>
  </r>
  <r>
    <x v="0"/>
    <n v="195"/>
    <m/>
    <n v="1603"/>
    <s v=""/>
    <s v=""/>
    <x v="58"/>
    <m/>
    <s v=""/>
    <s v="Stanley Neves"/>
    <s v="(16) 99788-8387"/>
    <s v=""/>
    <s v="null"/>
    <s v=""/>
    <s v=""/>
    <s v=""/>
    <s v=""/>
    <s v=""/>
    <s v="Inbound"/>
    <s v=""/>
    <s v=""/>
    <s v=""/>
    <s v="Pipeline de Vendas"/>
    <s v="Em negociação (75%)"/>
    <s v=""/>
    <m/>
    <m/>
    <m/>
    <n v="9"/>
    <s v="Paulo Souza"/>
    <d v="2025-01-28T00:00:00"/>
    <d v="1899-12-30T17:10:34"/>
    <s v=""/>
    <s v="Perdido"/>
    <d v="2025-02-06T00:00:00"/>
    <d v="1899-12-30T17:32:16"/>
    <s v="Não quer mudar a solução atual"/>
    <s v=""/>
    <s v=""/>
    <x v="32"/>
    <s v=""/>
    <x v="37"/>
    <s v=""/>
    <m/>
    <m/>
    <s v=""/>
    <s v=""/>
    <s v=""/>
    <s v=""/>
    <n v="1"/>
  </r>
  <r>
    <x v="0"/>
    <n v="196"/>
    <m/>
    <n v="1596"/>
    <s v=""/>
    <s v="Vigi Ltda"/>
    <x v="59"/>
    <n v="56884678000139"/>
    <s v=""/>
    <s v="Vinicius Oliveira"/>
    <s v="(19) 98275-0709"/>
    <s v=""/>
    <s v="societario@gmcontabil.com.br"/>
    <s v=""/>
    <s v=""/>
    <s v=""/>
    <s v="CAMPINAS"/>
    <s v="SP"/>
    <s v="Inbound"/>
    <s v=""/>
    <s v=""/>
    <s v="Contato"/>
    <s v="Pipeline de Vendas"/>
    <s v="Em negociação (75%)"/>
    <s v=""/>
    <m/>
    <m/>
    <m/>
    <n v="1"/>
    <s v="Paulo Souza"/>
    <d v="2025-01-28T00:00:00"/>
    <d v="1899-12-30T17:12:05"/>
    <s v=""/>
    <s v="Perdido"/>
    <d v="2025-01-29T00:00:00"/>
    <d v="1899-12-30T01:00:16"/>
    <s v="Preço muito alto - fora do budget de investimento"/>
    <s v=""/>
    <s v=""/>
    <x v="32"/>
    <s v="Paulo Souza"/>
    <x v="37"/>
    <s v=""/>
    <m/>
    <m/>
    <s v=""/>
    <s v=""/>
    <s v=""/>
    <s v=""/>
    <n v="1"/>
  </r>
  <r>
    <x v="0"/>
    <n v="197"/>
    <m/>
    <n v="1598"/>
    <s v=""/>
    <s v=""/>
    <x v="60"/>
    <m/>
    <s v=""/>
    <s v="Isaias"/>
    <s v="(15) 99747-1187"/>
    <s v=""/>
    <s v="null"/>
    <s v=""/>
    <s v=""/>
    <s v=""/>
    <s v=""/>
    <s v=""/>
    <s v="Inbound"/>
    <s v=""/>
    <s v=""/>
    <s v="Contato"/>
    <s v="Pipeline de Vendas"/>
    <s v="Em negociação (75%)"/>
    <s v=""/>
    <m/>
    <m/>
    <m/>
    <n v="1"/>
    <s v="Paulo Souza"/>
    <d v="2025-01-28T00:00:00"/>
    <d v="1899-12-30T17:12:39"/>
    <s v=""/>
    <s v="Perdido"/>
    <d v="2025-01-29T00:00:00"/>
    <d v="1899-12-30T01:02:09"/>
    <s v="Preço muito alto - fora do budget de investimento"/>
    <s v=""/>
    <s v=""/>
    <x v="32"/>
    <s v=""/>
    <x v="37"/>
    <s v=""/>
    <m/>
    <m/>
    <s v=""/>
    <s v=""/>
    <s v=""/>
    <s v=""/>
    <n v="1"/>
  </r>
  <r>
    <x v="0"/>
    <n v="198"/>
    <m/>
    <n v="1600"/>
    <s v=""/>
    <s v=""/>
    <x v="61"/>
    <m/>
    <s v=""/>
    <s v="pz presentes"/>
    <s v="(31) 99735-8058"/>
    <s v=""/>
    <s v="administrativo@tempori.com.br"/>
    <s v=""/>
    <s v=""/>
    <s v=""/>
    <s v="Belo Horizonte"/>
    <s v=""/>
    <s v="Site"/>
    <s v=""/>
    <s v=""/>
    <s v="Contato"/>
    <s v="Pipeline de Vendas"/>
    <s v="Em negociação (75%)"/>
    <s v=""/>
    <m/>
    <m/>
    <m/>
    <n v="1"/>
    <s v="Paulo Souza"/>
    <d v="2025-01-28T00:00:00"/>
    <d v="1899-12-30T17:13:17"/>
    <s v=""/>
    <s v="Perdido"/>
    <d v="2025-01-29T00:00:00"/>
    <d v="1899-12-30T01:05:46"/>
    <s v="Preço muito alto - fora do budget de investimento"/>
    <s v=""/>
    <s v=""/>
    <x v="32"/>
    <s v=""/>
    <x v="37"/>
    <s v=""/>
    <m/>
    <m/>
    <s v=""/>
    <s v=""/>
    <s v=""/>
    <s v=""/>
    <n v="1"/>
  </r>
  <r>
    <x v="0"/>
    <n v="199"/>
    <m/>
    <n v="1623"/>
    <s v="Todos os dados preenchidos:_x000a_name: Eliedson Alves _x000a_phone: 81988636626 _x000a_email: eliedsonrepresentante@gmail.com _x000a_referrer: https://www.guaranisistemas.com.br/"/>
    <s v=""/>
    <x v="62"/>
    <m/>
    <s v=""/>
    <s v="Eliedson Alves"/>
    <s v="81988636626"/>
    <s v=""/>
    <s v="eliedsonrepresentante@gmail.com"/>
    <s v=""/>
    <s v=""/>
    <s v=""/>
    <s v="Recife"/>
    <s v=""/>
    <s v="Feiras"/>
    <s v=""/>
    <s v=""/>
    <s v="Feiras"/>
    <s v="Pipeline de Vendas"/>
    <s v="Em negociação (75%)"/>
    <s v=""/>
    <m/>
    <m/>
    <m/>
    <n v="9"/>
    <s v="Paulo Souza"/>
    <d v="2025-01-28T00:00:00"/>
    <d v="1899-12-30T17:14:04"/>
    <s v=""/>
    <s v="Perdido"/>
    <d v="2025-02-06T00:00:00"/>
    <d v="1899-12-30T17:40:07"/>
    <s v="Preço muito alto - fora do budget de investimento"/>
    <s v=""/>
    <s v=""/>
    <x v="32"/>
    <s v=""/>
    <x v="0"/>
    <s v="28/01/2025 00:00"/>
    <m/>
    <m/>
    <s v=""/>
    <s v=""/>
    <s v=""/>
    <s v=""/>
    <n v="1"/>
  </r>
  <r>
    <x v="1"/>
    <n v="200"/>
    <m/>
    <n v="1660"/>
    <s v=""/>
    <s v=""/>
    <x v="63"/>
    <m/>
    <s v=""/>
    <s v="Alumínio Higsberg"/>
    <s v="1935513873"/>
    <s v=""/>
    <s v="adm@aluminiohigsberg.com.br"/>
    <s v=""/>
    <s v=""/>
    <s v=""/>
    <s v=""/>
    <s v=""/>
    <s v=""/>
    <s v=""/>
    <s v=""/>
    <s v=""/>
    <s v="Pipeline de Vendas"/>
    <s v="Qualificação de Vendas (SQL) (25%)"/>
    <s v=""/>
    <m/>
    <m/>
    <m/>
    <n v="51"/>
    <s v="Junior Lopes"/>
    <d v="2025-01-29T00:00:00"/>
    <d v="1899-12-30T09:30:56"/>
    <s v=""/>
    <s v="Perdido"/>
    <d v="2025-03-21T00:00:00"/>
    <d v="1899-12-30T14:43:11"/>
    <s v="Não quer mudar a solução atual"/>
    <s v="cliente não respondeu mais aos contatos"/>
    <s v=""/>
    <x v="0"/>
    <s v=""/>
    <x v="38"/>
    <s v=""/>
    <m/>
    <m/>
    <s v=""/>
    <s v=""/>
    <s v=""/>
    <s v=""/>
    <n v="1"/>
  </r>
  <r>
    <x v="0"/>
    <n v="201"/>
    <m/>
    <n v="198"/>
    <s v=""/>
    <s v="REGIS PECLAT BASTOS"/>
    <x v="64"/>
    <n v="13474916000125"/>
    <s v=""/>
    <s v="REGIS"/>
    <s v="13997252966"/>
    <s v=""/>
    <s v="VR_DISTRIBUIDORA@YAHOO.COM.BR"/>
    <s v=""/>
    <s v="REGIS;REGIS, Roni"/>
    <s v=""/>
    <s v="JACUPIRANGA"/>
    <s v="SP"/>
    <s v="Outbound"/>
    <s v=""/>
    <s v=""/>
    <s v="Importado a partir de lista;TAG1SEM"/>
    <s v="Pipeline de Vendas"/>
    <s v="Apresentar Solução (35%)"/>
    <s v=""/>
    <m/>
    <m/>
    <m/>
    <n v="8"/>
    <s v="Fernanda Santiago"/>
    <d v="2025-01-29T00:00:00"/>
    <d v="1899-12-30T11:59:53"/>
    <s v=""/>
    <s v="Perdido"/>
    <d v="2025-02-06T00:00:00"/>
    <d v="1899-12-30T13:53:38"/>
    <s v="Fora do porte mínimo (sem fit estrutural)"/>
    <s v=""/>
    <s v="29/01/2025 11:58"/>
    <x v="0"/>
    <s v="Fernanda Santiago"/>
    <x v="39"/>
    <s v=""/>
    <m/>
    <m/>
    <s v=""/>
    <s v=""/>
    <s v=""/>
    <s v=""/>
    <n v="1"/>
  </r>
  <r>
    <x v="1"/>
    <n v="202"/>
    <m/>
    <n v="1665"/>
    <s v=""/>
    <s v=""/>
    <x v="65"/>
    <m/>
    <s v=""/>
    <s v="Viva Vidros"/>
    <s v="11988839646"/>
    <s v=""/>
    <s v="comercial@vivavidros.com.br"/>
    <s v=""/>
    <s v=""/>
    <s v=""/>
    <s v=""/>
    <s v=""/>
    <s v=""/>
    <s v=""/>
    <s v=""/>
    <s v=""/>
    <s v="Pipeline de Vendas"/>
    <s v="Em Fechamento (100%)"/>
    <s v=""/>
    <m/>
    <n v="1600"/>
    <n v="1824"/>
    <n v="34"/>
    <s v="Junior Lopes"/>
    <d v="2025-01-30T00:00:00"/>
    <d v="1899-12-30T09:58:14"/>
    <s v=""/>
    <s v="Perdido"/>
    <d v="2025-03-05T00:00:00"/>
    <d v="1899-12-30T11:11:54"/>
    <s v="Projeto adiado / sem prazo definido"/>
    <s v="cliente com situação de pendencias financeiras"/>
    <s v=""/>
    <x v="21"/>
    <s v=""/>
    <x v="0"/>
    <s v=""/>
    <m/>
    <m/>
    <s v=""/>
    <s v=""/>
    <s v=""/>
    <s v=""/>
    <n v="1"/>
  </r>
  <r>
    <x v="1"/>
    <n v="203"/>
    <m/>
    <n v="1666"/>
    <s v=""/>
    <s v=""/>
    <x v="66"/>
    <m/>
    <s v=""/>
    <s v="Stamaco"/>
    <s v="11967327458"/>
    <s v=""/>
    <s v="felipe@stamaco.com.br"/>
    <s v=""/>
    <s v=""/>
    <s v=""/>
    <s v=""/>
    <s v=""/>
    <s v=""/>
    <s v=""/>
    <s v=""/>
    <s v=""/>
    <s v="Pipeline de Vendas"/>
    <s v="Apresentar Solução (35%)"/>
    <s v=""/>
    <m/>
    <m/>
    <m/>
    <n v="22"/>
    <s v="Junior Lopes"/>
    <d v="2025-01-30T00:00:00"/>
    <d v="1899-12-30T10:59:59"/>
    <s v=""/>
    <s v="Perdido"/>
    <d v="2025-02-21T00:00:00"/>
    <d v="1899-12-30T12:09:49"/>
    <s v="Não quer mudar a solução atual"/>
    <s v="Aguardará Retaguarda Web"/>
    <s v=""/>
    <x v="0"/>
    <s v=""/>
    <x v="40"/>
    <s v=""/>
    <m/>
    <m/>
    <s v=""/>
    <s v=""/>
    <s v=""/>
    <s v=""/>
    <n v="1"/>
  </r>
  <r>
    <x v="1"/>
    <n v="204"/>
    <m/>
    <n v="1669"/>
    <s v=""/>
    <s v=""/>
    <x v="67"/>
    <m/>
    <s v=""/>
    <s v="Fabio"/>
    <s v="47988469270"/>
    <s v=""/>
    <s v="Fabio@atacadoelmo.com.br"/>
    <s v=""/>
    <s v=""/>
    <s v=""/>
    <s v=""/>
    <s v=""/>
    <s v=""/>
    <s v=""/>
    <s v=""/>
    <s v=""/>
    <s v="Pipeline de Vendas"/>
    <s v="Agendamento (0%)"/>
    <s v=""/>
    <m/>
    <n v="837998"/>
    <n v="516364"/>
    <n v="0"/>
    <s v="Paulo Souza"/>
    <d v="2025-02-01T00:00:00"/>
    <d v="1899-12-30T01:46:53"/>
    <s v=""/>
    <s v="Ganho"/>
    <d v="2025-02-01T00:00:00"/>
    <d v="1899-12-30T03:23:37"/>
    <s v=""/>
    <s v=""/>
    <s v=""/>
    <x v="0"/>
    <s v=""/>
    <x v="0"/>
    <s v=""/>
    <m/>
    <m/>
    <s v=""/>
    <s v=""/>
    <s v=""/>
    <s v=""/>
    <n v="1"/>
  </r>
  <r>
    <x v="0"/>
    <n v="205"/>
    <m/>
    <n v="1670"/>
    <s v=""/>
    <s v=""/>
    <x v="68"/>
    <m/>
    <s v=""/>
    <s v="Alexandre"/>
    <s v="75999540838"/>
    <s v=""/>
    <s v="terraboaespeciarias@hotmail.com"/>
    <s v=""/>
    <s v=""/>
    <s v=""/>
    <s v=""/>
    <s v=""/>
    <s v=""/>
    <s v=""/>
    <s v=""/>
    <s v=""/>
    <s v="Pipeline de Vendas"/>
    <s v="Em Fechamento (100%)"/>
    <s v=""/>
    <m/>
    <n v="299984"/>
    <n v="0"/>
    <n v="0"/>
    <s v="Paulo Souza"/>
    <d v="2025-02-01T00:00:00"/>
    <d v="1899-12-30T02:11:10"/>
    <s v=""/>
    <s v="Ganho"/>
    <d v="2025-02-01T00:00:00"/>
    <d v="1899-12-30T02:22:51"/>
    <s v=""/>
    <s v=""/>
    <s v=""/>
    <x v="6"/>
    <s v="Paulo Souza"/>
    <x v="41"/>
    <s v=""/>
    <m/>
    <m/>
    <s v=""/>
    <s v=""/>
    <s v=""/>
    <s v=""/>
    <n v="1"/>
  </r>
  <r>
    <x v="0"/>
    <n v="206"/>
    <m/>
    <n v="1671"/>
    <s v=""/>
    <s v=""/>
    <x v="69"/>
    <m/>
    <s v=""/>
    <s v="Helvecio"/>
    <s v="55479993859"/>
    <s v=""/>
    <s v="Helvecio.Deitos@newellco.com"/>
    <s v=""/>
    <s v=""/>
    <s v=""/>
    <s v=""/>
    <s v=""/>
    <s v=""/>
    <s v=""/>
    <s v=""/>
    <s v=""/>
    <s v="Pipeline de Vendas"/>
    <s v="Em Fechamento (100%)"/>
    <s v=""/>
    <m/>
    <n v="1936"/>
    <n v="0"/>
    <n v="0"/>
    <s v="Paulo Souza"/>
    <d v="2025-02-01T00:00:00"/>
    <d v="1899-12-30T02:12:42"/>
    <s v=""/>
    <s v="Ganho"/>
    <d v="2025-02-01T00:00:00"/>
    <d v="1899-12-30T02:19:45"/>
    <s v=""/>
    <s v=""/>
    <s v=""/>
    <x v="33"/>
    <s v="Paulo Souza"/>
    <x v="42"/>
    <s v=""/>
    <m/>
    <m/>
    <s v=""/>
    <s v=""/>
    <s v=""/>
    <s v=""/>
    <n v="1"/>
  </r>
  <r>
    <x v="0"/>
    <n v="207"/>
    <m/>
    <n v="1672"/>
    <s v=""/>
    <s v=""/>
    <x v="70"/>
    <m/>
    <s v=""/>
    <s v="Marcelha"/>
    <s v=""/>
    <s v=""/>
    <s v="marcelha@paramountplasticos.com.br"/>
    <s v=""/>
    <s v=""/>
    <s v=""/>
    <s v=""/>
    <s v=""/>
    <s v=""/>
    <s v=""/>
    <s v=""/>
    <s v=""/>
    <s v="Pipeline de Vendas"/>
    <s v="Em Fechamento (100%)"/>
    <s v=""/>
    <m/>
    <n v="6160"/>
    <n v="0"/>
    <n v="0"/>
    <s v="Paulo Souza"/>
    <d v="2025-02-01T00:00:00"/>
    <d v="1899-12-30T02:13:12"/>
    <s v=""/>
    <s v="Ganho"/>
    <d v="2025-02-01T00:00:00"/>
    <d v="1899-12-30T02:20:51"/>
    <s v=""/>
    <s v=""/>
    <s v=""/>
    <x v="34"/>
    <s v="Paulo Souza"/>
    <x v="43"/>
    <s v=""/>
    <m/>
    <m/>
    <s v=""/>
    <s v=""/>
    <s v=""/>
    <s v=""/>
    <n v="1"/>
  </r>
  <r>
    <x v="0"/>
    <n v="208"/>
    <m/>
    <n v="1673"/>
    <s v=""/>
    <s v=""/>
    <x v="71"/>
    <m/>
    <s v=""/>
    <s v="Giftutil"/>
    <s v=""/>
    <s v=""/>
    <s v="eduardapaivapaula@hotmail.com"/>
    <s v=""/>
    <s v=""/>
    <s v=""/>
    <s v=""/>
    <s v=""/>
    <s v=""/>
    <s v=""/>
    <s v=""/>
    <s v=""/>
    <s v="Pipeline de Vendas"/>
    <s v="Em Fechamento (100%)"/>
    <s v=""/>
    <m/>
    <n v="486308"/>
    <n v="3564"/>
    <n v="0"/>
    <s v="Paulo Souza"/>
    <d v="2025-02-01T00:00:00"/>
    <d v="1899-12-30T02:14:22"/>
    <s v=""/>
    <s v="Ganho"/>
    <d v="2025-02-01T00:00:00"/>
    <d v="1899-12-30T02:18:18"/>
    <s v=""/>
    <s v=""/>
    <s v=""/>
    <x v="25"/>
    <s v="Paulo Souza"/>
    <x v="23"/>
    <s v=""/>
    <m/>
    <m/>
    <s v=""/>
    <s v=""/>
    <s v=""/>
    <s v=""/>
    <n v="1"/>
  </r>
  <r>
    <x v="1"/>
    <n v="209"/>
    <m/>
    <n v="1710"/>
    <s v=""/>
    <s v=""/>
    <x v="72"/>
    <m/>
    <s v=""/>
    <s v="Maxximo Utilidades"/>
    <s v="11999804489"/>
    <s v=""/>
    <s v="flavio@maxximo.com.br"/>
    <s v=""/>
    <s v=""/>
    <s v=""/>
    <s v=""/>
    <s v=""/>
    <s v="Feiras"/>
    <s v=""/>
    <s v=""/>
    <s v=""/>
    <s v="Pipeline de Vendas"/>
    <s v="Apresentar Solução (35%)"/>
    <s v="6x sem juros (0/30/60/90/120/150...)"/>
    <m/>
    <m/>
    <m/>
    <n v="68"/>
    <s v="Junior Lopes"/>
    <d v="2025-02-06T00:00:00"/>
    <d v="1899-12-30T10:24:33"/>
    <s v=""/>
    <s v="Perdido"/>
    <d v="2025-04-15T00:00:00"/>
    <d v="1899-12-30T16:38:15"/>
    <s v="Projeto adiado / sem prazo definido"/>
    <s v="cliente não responde as mensagens, continuarei a prospectar em paralelo"/>
    <s v=""/>
    <x v="0"/>
    <s v=""/>
    <x v="44"/>
    <s v=""/>
    <m/>
    <m/>
    <s v=""/>
    <s v=""/>
    <s v=""/>
    <s v=""/>
    <n v="1"/>
  </r>
  <r>
    <x v="1"/>
    <n v="210"/>
    <m/>
    <n v="1711"/>
    <s v=""/>
    <s v=""/>
    <x v="73"/>
    <n v="12792269000137"/>
    <s v=""/>
    <s v="Plastutti"/>
    <s v="11983334304"/>
    <s v=""/>
    <s v="Thiago@plastutti.com.br"/>
    <s v=""/>
    <s v=""/>
    <s v=""/>
    <s v=""/>
    <s v=""/>
    <s v=""/>
    <s v=""/>
    <s v=""/>
    <s v="Abup2025Fevereiro"/>
    <s v="Pipeline de Vendas"/>
    <s v="Em Fechamento (100%)"/>
    <s v="10x sem juros (0/30/60/90/120/150...)"/>
    <m/>
    <n v="65920"/>
    <n v="481924"/>
    <n v="25"/>
    <s v="Junior Lopes"/>
    <d v="2025-02-06T00:00:00"/>
    <d v="1899-12-30T10:53:24"/>
    <s v=""/>
    <s v="Ganho"/>
    <d v="2025-03-03T00:00:00"/>
    <d v="1899-12-30T11:32:48"/>
    <s v=""/>
    <s v=""/>
    <s v=""/>
    <x v="35"/>
    <s v=""/>
    <x v="44"/>
    <s v="18/02/2025"/>
    <m/>
    <m/>
    <s v=""/>
    <s v=""/>
    <s v=""/>
    <s v=""/>
    <n v="1"/>
  </r>
  <r>
    <x v="1"/>
    <n v="211"/>
    <m/>
    <n v="1712"/>
    <s v=""/>
    <s v=""/>
    <x v="74"/>
    <m/>
    <s v=""/>
    <s v="Plastutti - Clou"/>
    <s v="11983334304"/>
    <s v=""/>
    <s v="Thiago@plastutti.com.br"/>
    <s v=""/>
    <s v=""/>
    <s v=""/>
    <s v=""/>
    <s v=""/>
    <s v=""/>
    <s v=""/>
    <s v=""/>
    <s v="Abup2025Fevereiro"/>
    <s v="Pipeline de Vendas"/>
    <s v="Em Fechamento (100%)"/>
    <s v=""/>
    <m/>
    <n v="1600"/>
    <n v="25908"/>
    <n v="14"/>
    <s v="Junior Lopes"/>
    <d v="2025-02-06T00:00:00"/>
    <d v="1899-12-30T11:39:54"/>
    <s v=""/>
    <s v="Perdido"/>
    <d v="2025-02-20T00:00:00"/>
    <d v="1899-12-30T15:57:59"/>
    <s v="Não quer mudar a solução atual"/>
    <s v="atualmente tem servidor local"/>
    <s v=""/>
    <x v="35"/>
    <s v=""/>
    <x v="44"/>
    <s v="18/02/2025"/>
    <m/>
    <m/>
    <s v=""/>
    <s v=""/>
    <s v=""/>
    <s v=""/>
    <n v="1"/>
  </r>
  <r>
    <x v="1"/>
    <n v="212"/>
    <m/>
    <n v="1713"/>
    <s v=""/>
    <s v=""/>
    <x v="75"/>
    <m/>
    <s v=""/>
    <s v="Cozzillar"/>
    <s v="1935479372"/>
    <s v=""/>
    <s v="gilberto@cozzillar.com.br"/>
    <s v=""/>
    <s v=""/>
    <s v=""/>
    <s v=""/>
    <s v=""/>
    <s v="Feiras"/>
    <s v=""/>
    <s v=""/>
    <s v=""/>
    <s v="Pipeline de Vendas"/>
    <s v="Apresentar Solução (35%)"/>
    <s v="6x sem juros (0/30/60/90/120/150...)"/>
    <m/>
    <m/>
    <m/>
    <n v="60"/>
    <s v="Junior Lopes"/>
    <d v="2025-02-06T00:00:00"/>
    <d v="1899-12-30T12:23:29"/>
    <s v=""/>
    <s v="Perdido"/>
    <d v="2025-04-07T00:00:00"/>
    <d v="1899-12-30T11:50:11"/>
    <s v="Projeto adiado / sem prazo definido"/>
    <s v="10:07, 02/04/2025 Junior Lopes: Olá Gilberto, Junior da Guarani sistemas por aqui _x000a_Espero que esteja bem _x000a_Ficamos de organizar uma visita com vocês para apresentação da solução Guarani sistemas_x000a_10:07, 02/04/2025 Junior Lopes: Vamos avançar?_x000a_09:21, 07/04/2025 Junior Lopes: Olá Gilberto! Infelizmente não consigo seu retorno _x000a_Entendo que deve estar bem corrido para você _x000a_De qualquer forma fico a disposição no momento que vc puder _x000a_Forte abraço e ótimos negócios _x000a_Jr Guarani sistemas"/>
    <s v=""/>
    <x v="0"/>
    <s v=""/>
    <x v="44"/>
    <s v=""/>
    <m/>
    <m/>
    <s v=""/>
    <s v=""/>
    <s v=""/>
    <s v=""/>
    <n v="1"/>
  </r>
  <r>
    <x v="1"/>
    <n v="213"/>
    <m/>
    <n v="1714"/>
    <s v=""/>
    <s v=""/>
    <x v="76"/>
    <m/>
    <s v=""/>
    <s v="Marca Textil"/>
    <s v="1168296999"/>
    <s v=""/>
    <s v="atendimento@markatextil.com.br"/>
    <s v=""/>
    <s v=""/>
    <s v=""/>
    <s v=""/>
    <s v=""/>
    <s v=""/>
    <s v=""/>
    <s v=""/>
    <s v=""/>
    <s v="Pipeline de Vendas"/>
    <s v="Qualificação de Vendas (SQL) (25%)"/>
    <s v=""/>
    <m/>
    <n v="14400"/>
    <n v="18034"/>
    <n v="43"/>
    <s v="Junior Lopes"/>
    <d v="2025-02-06T00:00:00"/>
    <d v="1899-12-30T12:36:48"/>
    <s v=""/>
    <s v="Perdido"/>
    <d v="2025-03-21T00:00:00"/>
    <d v="1899-12-30T14:36:30"/>
    <s v="Não quer mudar a solução atual"/>
    <s v="não seguirá no momento"/>
    <s v=""/>
    <x v="36"/>
    <s v=""/>
    <x v="44"/>
    <s v=""/>
    <m/>
    <m/>
    <s v=""/>
    <s v=""/>
    <s v=""/>
    <s v=""/>
    <n v="1"/>
  </r>
  <r>
    <x v="0"/>
    <n v="214"/>
    <m/>
    <n v="1661"/>
    <s v=""/>
    <s v=""/>
    <x v="77"/>
    <m/>
    <s v=""/>
    <s v="Carlos"/>
    <s v="(13) 99770-3018"/>
    <s v=""/>
    <s v="opa.eskinao.compras@gmail.com"/>
    <s v=""/>
    <s v=""/>
    <s v=""/>
    <s v="São Vicente"/>
    <s v=""/>
    <s v="Site"/>
    <s v=""/>
    <s v=""/>
    <s v=""/>
    <s v="Pipeline de Vendas"/>
    <s v="Em negociação (75%)"/>
    <s v=""/>
    <m/>
    <m/>
    <m/>
    <n v="0"/>
    <s v="Paulo Souza"/>
    <d v="2025-02-06T00:00:00"/>
    <d v="1899-12-30T13:55:00"/>
    <s v=""/>
    <s v="Perdido"/>
    <d v="2025-02-06T00:00:00"/>
    <d v="1899-12-30T17:30:59"/>
    <s v="Preço muito alto - fora do budget de investimento"/>
    <s v=""/>
    <s v=""/>
    <x v="37"/>
    <s v=""/>
    <x v="45"/>
    <s v=""/>
    <m/>
    <m/>
    <s v=""/>
    <s v=""/>
    <s v=""/>
    <s v=""/>
    <n v="1"/>
  </r>
  <r>
    <x v="0"/>
    <n v="215"/>
    <m/>
    <n v="1715"/>
    <s v=""/>
    <s v=""/>
    <x v="78"/>
    <m/>
    <s v=""/>
    <s v="João"/>
    <s v="(11) 94793-3497"/>
    <s v=""/>
    <s v="jvprocacino@gmail.com"/>
    <s v=""/>
    <s v=""/>
    <s v=""/>
    <s v=""/>
    <s v=""/>
    <s v="Site"/>
    <s v=""/>
    <s v=""/>
    <s v="Abcasa2025fevereiro;Solicita demo"/>
    <s v="Pipeline de Vendas"/>
    <s v="Em negociação (75%)"/>
    <s v=""/>
    <m/>
    <n v="43740"/>
    <n v="158239"/>
    <n v="13"/>
    <s v="Paulo Souza"/>
    <d v="2025-02-06T00:00:00"/>
    <d v="1899-12-30T13:55:44"/>
    <s v=""/>
    <s v="Perdido"/>
    <d v="2025-02-19T00:00:00"/>
    <d v="1899-12-30T09:18:02"/>
    <s v="Preço muito alto - fora do budget de investimento"/>
    <s v=""/>
    <s v=""/>
    <x v="38"/>
    <s v=""/>
    <x v="46"/>
    <s v=""/>
    <m/>
    <m/>
    <s v=""/>
    <s v=""/>
    <s v=""/>
    <s v=""/>
    <n v="1"/>
  </r>
  <r>
    <x v="0"/>
    <n v="219"/>
    <m/>
    <n v="1720"/>
    <s v=""/>
    <s v=""/>
    <x v="79"/>
    <m/>
    <s v=""/>
    <s v="Nassib Saleh"/>
    <s v="11951945790"/>
    <s v=""/>
    <s v="nassib.saleh58@gmail.com"/>
    <s v=""/>
    <s v=""/>
    <s v=""/>
    <s v=""/>
    <s v=""/>
    <s v=""/>
    <s v=""/>
    <s v=""/>
    <s v=""/>
    <s v="Pipeline de Vendas"/>
    <s v="Em Fechamento (100%)"/>
    <s v=""/>
    <m/>
    <n v="14400"/>
    <n v="122984"/>
    <n v="8"/>
    <s v="Paulo Souza"/>
    <d v="2025-02-06T00:00:00"/>
    <d v="1899-12-30T17:42:46"/>
    <s v=""/>
    <s v="Ganho"/>
    <d v="2025-02-14T00:00:00"/>
    <d v="1899-12-30T11:16:20"/>
    <s v=""/>
    <s v=""/>
    <s v=""/>
    <x v="39"/>
    <s v="Paulo Souza"/>
    <x v="46"/>
    <s v=""/>
    <m/>
    <m/>
    <s v=""/>
    <s v=""/>
    <s v=""/>
    <s v=""/>
    <n v="1"/>
  </r>
  <r>
    <x v="1"/>
    <n v="230"/>
    <m/>
    <n v="1734"/>
    <s v=""/>
    <s v=""/>
    <x v="80"/>
    <m/>
    <s v=""/>
    <s v="Oikos"/>
    <s v="21968201725"/>
    <s v=""/>
    <s v="michele.pepalia@grupoecoa.com.br"/>
    <s v=""/>
    <s v=""/>
    <s v=""/>
    <s v=""/>
    <s v=""/>
    <s v="Feiras"/>
    <s v=""/>
    <s v=""/>
    <s v="90%;Abcasa2025fevereiro"/>
    <s v="Pipeline de Vendas"/>
    <s v="Em Fechamento (100%)"/>
    <s v="6x sem juros (0/30/60/90/120/150...)"/>
    <m/>
    <n v="56000"/>
    <n v="2101739"/>
    <n v="161"/>
    <s v="Junior Lopes"/>
    <d v="2025-02-10T00:00:00"/>
    <d v="1899-12-30T07:54:34"/>
    <s v=""/>
    <s v="Perdido"/>
    <d v="2025-07-21T00:00:00"/>
    <d v="1899-12-30T09:46:56"/>
    <s v="Projeto adiado / sem prazo definido"/>
    <s v="cliente não responde sobre a continuidade"/>
    <s v=""/>
    <x v="40"/>
    <s v=""/>
    <x v="47"/>
    <s v=""/>
    <m/>
    <m/>
    <s v=""/>
    <s v=""/>
    <s v=""/>
    <s v=""/>
    <n v="1"/>
  </r>
  <r>
    <x v="0"/>
    <n v="231"/>
    <m/>
    <n v="1733"/>
    <s v="Todos os dados preenchidos:_x000a_name: Ana Beatriz Costa dos Santos  _x000a_phone: 12997420947 _x000a_email: administrativo@camposdiaromas.com"/>
    <s v="Stefanie Forsterling"/>
    <x v="81"/>
    <n v="14936505000258"/>
    <s v=""/>
    <s v="Ana Beatriz Costa dos Santos"/>
    <s v="(12) 3662-5043"/>
    <s v=""/>
    <s v="administrativo@camposdiaromas.com"/>
    <s v=""/>
    <s v=""/>
    <s v=""/>
    <s v="CAMPOS DO JORDAO"/>
    <s v="SP"/>
    <s v="Feiras"/>
    <s v=""/>
    <s v=""/>
    <s v="Feiras"/>
    <s v="Pipeline de Vendas"/>
    <s v="Qualificação de Vendas (SQL) (25%)"/>
    <s v=""/>
    <m/>
    <m/>
    <m/>
    <n v="38"/>
    <s v="Fernanda Santiago"/>
    <d v="2025-02-11T00:00:00"/>
    <d v="1899-12-30T15:36:50"/>
    <s v=""/>
    <s v="Perdido"/>
    <d v="2025-03-21T00:00:00"/>
    <d v="1899-12-30T15:15:41"/>
    <s v="Fora do porte mínimo (sem fite estrutural)"/>
    <s v="Lojas muitos pequenas"/>
    <s v="11/02/2025 15:30"/>
    <x v="0"/>
    <s v="Fernanda Santiago"/>
    <x v="48"/>
    <s v=""/>
    <m/>
    <m/>
    <s v=""/>
    <s v=""/>
    <s v=""/>
    <s v=""/>
    <n v="1"/>
  </r>
  <r>
    <x v="0"/>
    <n v="232"/>
    <m/>
    <n v="1704"/>
    <s v=""/>
    <s v=""/>
    <x v="82"/>
    <n v="29432229000187"/>
    <s v=""/>
    <s v="Adriana"/>
    <s v="(41) 99861-1071"/>
    <s v=""/>
    <s v="contato@euromats.com.br"/>
    <s v=""/>
    <s v=""/>
    <s v=""/>
    <s v=""/>
    <s v=""/>
    <s v="Base de empresas Leads2b"/>
    <s v=""/>
    <s v=""/>
    <s v="msgabupfevereiro2025;REP+"/>
    <s v="Pipeline de Vendas"/>
    <s v="Qualificação de Vendas (SQL) (25%)"/>
    <s v=""/>
    <m/>
    <m/>
    <m/>
    <n v="42"/>
    <s v="Fernanda Santiago"/>
    <d v="2025-02-12T00:00:00"/>
    <d v="1899-12-30T10:51:17"/>
    <s v=""/>
    <s v="Perdido"/>
    <d v="2025-03-26T00:00:00"/>
    <d v="1899-12-30T17:34:58"/>
    <s v="Preço muito alto - fora do budget de investimento"/>
    <s v=""/>
    <s v="12/02/2025 08:00"/>
    <x v="0"/>
    <s v="Fernanda Santiago"/>
    <x v="49"/>
    <s v=""/>
    <m/>
    <m/>
    <s v=""/>
    <s v=""/>
    <s v=""/>
    <s v=""/>
    <n v="1"/>
  </r>
  <r>
    <x v="1"/>
    <n v="233"/>
    <m/>
    <n v="1747"/>
    <s v=""/>
    <s v=""/>
    <x v="83"/>
    <m/>
    <s v=""/>
    <s v="Ad &amp; Ad Comercio de Importacao"/>
    <s v="14996930353"/>
    <s v=""/>
    <s v="daniel@adimportacao.com.br"/>
    <s v=""/>
    <s v=""/>
    <s v=""/>
    <s v=""/>
    <s v=""/>
    <s v=""/>
    <s v=""/>
    <s v=""/>
    <s v="Abcasa2025fevereiro"/>
    <s v="Pipeline de Vendas"/>
    <s v="Em Fechamento (100%)"/>
    <s v=""/>
    <m/>
    <n v="60534"/>
    <n v="27562"/>
    <n v="18"/>
    <s v="Junior Lopes"/>
    <d v="2025-02-13T00:00:00"/>
    <d v="1899-12-30T10:18:19"/>
    <s v=""/>
    <s v="Ganho"/>
    <d v="2025-03-03T00:00:00"/>
    <d v="1899-12-30T11:33:34"/>
    <s v=""/>
    <s v=""/>
    <s v=""/>
    <x v="41"/>
    <s v=""/>
    <x v="47"/>
    <s v=""/>
    <m/>
    <m/>
    <s v=""/>
    <s v=""/>
    <s v=""/>
    <s v=""/>
    <n v="1"/>
  </r>
  <r>
    <x v="1"/>
    <n v="234"/>
    <m/>
    <n v="1748"/>
    <s v=""/>
    <s v=""/>
    <x v="84"/>
    <n v="26981837000152"/>
    <s v=""/>
    <s v="Chamma Festas (PDV)"/>
    <s v="(61) 9145-0480"/>
    <s v=""/>
    <s v="chammasuprimentos@hotmail.com"/>
    <s v=""/>
    <s v=""/>
    <s v=""/>
    <s v="BRASILIA"/>
    <s v="DF"/>
    <s v=""/>
    <s v=""/>
    <s v=""/>
    <s v="Abcasa2025fevereiro"/>
    <s v="Pipeline de Vendas"/>
    <s v="Apresentar Proposta (50%)"/>
    <s v=""/>
    <m/>
    <n v="40440"/>
    <n v="340574"/>
    <n v="11"/>
    <s v="Junior Lopes"/>
    <d v="2025-02-13T00:00:00"/>
    <d v="1899-12-30T10:49:31"/>
    <s v=""/>
    <s v="Perdido"/>
    <d v="2025-02-24T00:00:00"/>
    <d v="1899-12-30T16:44:24"/>
    <s v="Preço muito alto - fora do budget de investimento"/>
    <s v="14:59, 14/02/2025 Robson Chamma Festa: Obrigado júnior_x000a_14:59, 17/02/2025 Robson Chamma Festa: Oi Junior, ficou bem fora do nosso orçamento. No momento não vamos levar adiante. Fico grato pela sua atenção."/>
    <s v=""/>
    <x v="41"/>
    <s v=""/>
    <x v="50"/>
    <s v=""/>
    <m/>
    <m/>
    <s v=""/>
    <s v=""/>
    <s v=""/>
    <s v=""/>
    <n v="1"/>
  </r>
  <r>
    <x v="1"/>
    <n v="235"/>
    <m/>
    <n v="1750"/>
    <s v=""/>
    <s v=""/>
    <x v="85"/>
    <n v="43530585000164"/>
    <s v=""/>
    <s v="P10 Importadora"/>
    <s v="(49) 8817-6299"/>
    <s v=""/>
    <s v="prioridade10e20financeiro@hotmail.com"/>
    <s v=""/>
    <s v=""/>
    <s v=""/>
    <s v="CUNHA PORA"/>
    <s v="SC"/>
    <s v=""/>
    <s v=""/>
    <s v=""/>
    <s v="Abcasa2025fevereiro"/>
    <s v="Pipeline de Vendas"/>
    <s v="Apresentar Proposta (50%)"/>
    <s v=""/>
    <m/>
    <n v="4663152"/>
    <n v="15528"/>
    <n v="11"/>
    <s v="Junior Lopes"/>
    <d v="2025-02-13T00:00:00"/>
    <d v="1899-12-30T11:07:42"/>
    <s v=""/>
    <s v="Perdido"/>
    <d v="2025-02-24T00:00:00"/>
    <d v="1899-12-30T17:13:56"/>
    <s v="Preço muito alto - fora do budget de investimento"/>
    <s v="Bom dia_x000a_Junior, achei o sistema completo, não foge do que outras empresas proporcionam no mercado… no entanto, achei o valor de implantação muito elevado, da próximo de 80 mil reais pra fazer a implantação de um sistema"/>
    <s v=""/>
    <x v="42"/>
    <s v=""/>
    <x v="50"/>
    <s v=""/>
    <m/>
    <m/>
    <s v=""/>
    <s v=""/>
    <s v=""/>
    <s v=""/>
    <n v="1"/>
  </r>
  <r>
    <x v="1"/>
    <n v="236"/>
    <m/>
    <n v="1754"/>
    <s v=""/>
    <s v=""/>
    <x v="86"/>
    <n v="43530585000164"/>
    <s v=""/>
    <s v="P10 IMPORTADORA"/>
    <s v="(49) 8817-6299"/>
    <s v=""/>
    <s v="prioridade10e20financeiro@hotmail.com"/>
    <s v=""/>
    <s v=""/>
    <s v=""/>
    <s v="CUNHA PORA"/>
    <s v="SC"/>
    <s v=""/>
    <s v=""/>
    <s v=""/>
    <s v="Abcasa2025fevereiro"/>
    <s v="Pipeline de Vendas"/>
    <s v="Apresentar Proposta (50%)"/>
    <s v=""/>
    <m/>
    <n v="23580"/>
    <n v="3060"/>
    <n v="11"/>
    <s v="Junior Lopes"/>
    <d v="2025-02-13T00:00:00"/>
    <d v="1899-12-30T11:14:38"/>
    <s v=""/>
    <s v="Perdido"/>
    <d v="2025-02-24T00:00:00"/>
    <d v="1899-12-30T17:14:25"/>
    <s v="Preço muito alto - fora do budget de investimento"/>
    <s v="Bom dia_x000a_Junior, achei o sistema completo, não foge do que outras empresas proporcionam no mercado… no entanto, achei o valor de implantação muito elevado, da próximo de 80 mil reais pra fazer a implantação de um sistema"/>
    <s v=""/>
    <x v="42"/>
    <s v=""/>
    <x v="50"/>
    <s v=""/>
    <m/>
    <m/>
    <s v=""/>
    <s v=""/>
    <s v=""/>
    <s v=""/>
    <n v="1"/>
  </r>
  <r>
    <x v="1"/>
    <n v="237"/>
    <m/>
    <n v="1758"/>
    <s v=""/>
    <s v=""/>
    <x v="87"/>
    <n v="12182313000197"/>
    <s v=""/>
    <s v="PLASBERG INDUSTRIA E COMERCIO"/>
    <s v="(75) 2102-2102 / (75) 2101-2101"/>
    <s v=""/>
    <s v="cadastro@asseplan.cnt.br"/>
    <s v=""/>
    <s v=""/>
    <s v=""/>
    <s v="Feira de Santana"/>
    <s v="BA"/>
    <s v="Feiras"/>
    <s v=""/>
    <s v=""/>
    <s v="Abcasa2025fevereiro"/>
    <s v="Pipeline de Vendas"/>
    <s v="Apresentar Proposta (50%)"/>
    <s v="6x sem juros (0/30/60/90/120/150...)"/>
    <m/>
    <n v="85500"/>
    <n v="769354"/>
    <n v="62"/>
    <s v="Junior Lopes"/>
    <d v="2025-02-13T00:00:00"/>
    <d v="1899-12-30T11:27:23"/>
    <s v=""/>
    <s v="Perdido"/>
    <d v="2025-04-16T00:00:00"/>
    <d v="1899-12-30T09:27:55"/>
    <s v="Projeto adiado / sem prazo definido"/>
    <s v="Breno não responde as mensagens ! estou fechando oportunidade mas continuo em busca da oportunidade"/>
    <s v=""/>
    <x v="43"/>
    <s v=""/>
    <x v="47"/>
    <s v=""/>
    <m/>
    <m/>
    <s v=""/>
    <s v=""/>
    <s v=""/>
    <s v=""/>
    <n v="1"/>
  </r>
  <r>
    <x v="0"/>
    <n v="242"/>
    <m/>
    <n v="1746"/>
    <s v=""/>
    <s v=""/>
    <x v="88"/>
    <n v="865166000170"/>
    <s v=""/>
    <s v="Renor Preto"/>
    <s v="(19) 99188-1436"/>
    <s v=""/>
    <s v="renor.preto@adere.com"/>
    <s v=""/>
    <s v=""/>
    <s v=""/>
    <s v="Juiz de Fora"/>
    <s v=""/>
    <s v="Site"/>
    <s v=""/>
    <s v=""/>
    <s v="MORNO;Solicita demo"/>
    <s v="Pipeline de Vendas"/>
    <s v="Em negociação (75%)"/>
    <s v=""/>
    <m/>
    <m/>
    <m/>
    <n v="25"/>
    <s v="Paulo Souza"/>
    <d v="2025-02-13T00:00:00"/>
    <d v="1899-12-30T17:39:49"/>
    <s v=""/>
    <s v="Perdido"/>
    <d v="2025-03-10T00:00:00"/>
    <d v="1899-12-30T17:37:28"/>
    <s v="Nossa solução não atende - falta funcionalidade"/>
    <s v=""/>
    <s v=""/>
    <x v="0"/>
    <s v="Paulo Souza"/>
    <x v="51"/>
    <s v=""/>
    <m/>
    <m/>
    <s v=""/>
    <s v=""/>
    <s v=""/>
    <s v=""/>
    <n v="1"/>
  </r>
  <r>
    <x v="0"/>
    <n v="245"/>
    <m/>
    <n v="1763"/>
    <s v=""/>
    <s v=""/>
    <x v="89"/>
    <n v="30164963000191"/>
    <s v=""/>
    <s v="FERNANDA ALVES"/>
    <s v="(11) 99763-3759"/>
    <s v=""/>
    <s v="fernanda@jlkplasticos.com.br"/>
    <s v=""/>
    <s v=""/>
    <s v=""/>
    <s v="São Paulo"/>
    <s v=""/>
    <s v="Site"/>
    <s v=""/>
    <s v=""/>
    <s v="Abcasa2025fevereiro;Solicita demo"/>
    <s v="Pipeline de Vendas"/>
    <s v="Em Fechamento (100%)"/>
    <s v=""/>
    <m/>
    <n v="46332"/>
    <n v="257546"/>
    <n v="35"/>
    <s v="Paulo Souza"/>
    <d v="2025-02-14T00:00:00"/>
    <d v="1899-12-30T11:03:12"/>
    <s v=""/>
    <s v="Ganho"/>
    <d v="2025-03-21T00:00:00"/>
    <d v="1899-12-30T14:50:46"/>
    <s v=""/>
    <s v=""/>
    <s v=""/>
    <x v="44"/>
    <s v="Paulo Souza"/>
    <x v="51"/>
    <s v=""/>
    <m/>
    <m/>
    <s v=""/>
    <s v=""/>
    <s v=""/>
    <s v=""/>
    <n v="1"/>
  </r>
  <r>
    <x v="0"/>
    <n v="246"/>
    <m/>
    <n v="1768"/>
    <s v=""/>
    <s v=""/>
    <x v="90"/>
    <m/>
    <s v=""/>
    <s v="Nacib"/>
    <s v="11951945790"/>
    <s v=""/>
    <s v="nassib.saleh58@gmail.com"/>
    <s v=""/>
    <s v=""/>
    <s v=""/>
    <s v=""/>
    <s v=""/>
    <s v=""/>
    <s v=""/>
    <s v=""/>
    <s v=""/>
    <s v="Pipeline de Vendas"/>
    <s v="Em Fechamento (100%)"/>
    <s v=""/>
    <m/>
    <n v="0"/>
    <n v="3062"/>
    <n v="0"/>
    <s v="Paulo Souza"/>
    <d v="2025-02-14T00:00:00"/>
    <d v="1899-12-30T11:22:59"/>
    <s v=""/>
    <s v="Ganho"/>
    <d v="2025-02-14T00:00:00"/>
    <d v="1899-12-30T11:27:19"/>
    <s v=""/>
    <s v=""/>
    <s v=""/>
    <x v="41"/>
    <s v="Paulo Souza"/>
    <x v="52"/>
    <s v=""/>
    <m/>
    <m/>
    <s v=""/>
    <s v=""/>
    <s v=""/>
    <s v=""/>
    <n v="1"/>
  </r>
  <r>
    <x v="0"/>
    <n v="248"/>
    <m/>
    <n v="1770"/>
    <s v=""/>
    <s v=""/>
    <x v="91"/>
    <m/>
    <s v=""/>
    <s v="Caetano"/>
    <s v="11941743784"/>
    <s v=""/>
    <s v="aflordk@gmail.com"/>
    <s v=""/>
    <s v=""/>
    <s v=""/>
    <s v=""/>
    <s v=""/>
    <s v="Feiras"/>
    <s v=""/>
    <s v=""/>
    <s v="Abcasa2025fevereiro"/>
    <s v="Pipeline de Vendas"/>
    <s v="Em negociação (75%)"/>
    <s v="6x sem juros (0/30/60/90/120/150...)"/>
    <m/>
    <n v="64600"/>
    <n v="199064"/>
    <n v="53"/>
    <s v="Paulo Souza"/>
    <d v="2025-02-14T00:00:00"/>
    <d v="1899-12-30T16:18:04"/>
    <s v=""/>
    <s v="Perdido"/>
    <d v="2025-04-08T00:00:00"/>
    <d v="1899-12-30T09:04:24"/>
    <s v="Não quer mudar a solução atual"/>
    <s v=""/>
    <s v=""/>
    <x v="42"/>
    <s v=""/>
    <x v="52"/>
    <s v=""/>
    <m/>
    <m/>
    <s v=""/>
    <s v=""/>
    <s v=""/>
    <s v=""/>
    <n v="1"/>
  </r>
  <r>
    <x v="0"/>
    <n v="249"/>
    <m/>
    <n v="1771"/>
    <s v=""/>
    <s v=""/>
    <x v="92"/>
    <m/>
    <s v=""/>
    <s v="Keila"/>
    <s v="11996600206"/>
    <s v=""/>
    <s v="null"/>
    <s v=""/>
    <s v=""/>
    <s v=""/>
    <s v=""/>
    <s v=""/>
    <s v="Indicação"/>
    <s v=""/>
    <s v=""/>
    <s v="Abcasa2025fevereiro"/>
    <s v="Pipeline de Vendas"/>
    <s v="Em negociação (75%)"/>
    <s v="6x sem juros (0/30/60/90/120/150...)"/>
    <m/>
    <n v="16000"/>
    <n v="3724"/>
    <n v="116"/>
    <s v="Paulo Souza"/>
    <d v="2025-02-14T00:00:00"/>
    <d v="1899-12-30T16:24:00"/>
    <s v=""/>
    <s v="Perdido"/>
    <d v="2025-06-10T00:00:00"/>
    <d v="1899-12-30T14:49:46"/>
    <s v="Não quer mudar a solução atual"/>
    <s v=""/>
    <s v=""/>
    <x v="45"/>
    <s v="Paulo Souza"/>
    <x v="53"/>
    <s v=""/>
    <m/>
    <m/>
    <s v=""/>
    <s v=""/>
    <s v=""/>
    <s v=""/>
    <n v="1"/>
  </r>
  <r>
    <x v="0"/>
    <n v="250"/>
    <m/>
    <n v="1772"/>
    <s v=""/>
    <s v=""/>
    <x v="93"/>
    <m/>
    <s v=""/>
    <s v="Fabio"/>
    <s v="11981721166"/>
    <s v=""/>
    <s v="null"/>
    <s v=""/>
    <s v=""/>
    <s v=""/>
    <s v=""/>
    <s v=""/>
    <s v="Feiras"/>
    <s v=""/>
    <s v=""/>
    <s v="30%;Abcasa2025fevereiro;Pausado"/>
    <s v="Pipeline de Vendas"/>
    <s v="Apresentar Solução (35%)"/>
    <s v="6x sem juros (0/30/60/90/120/150...)"/>
    <d v="2028-07-01T00:00:00"/>
    <m/>
    <m/>
    <n v="208"/>
    <s v="Paulo Souza"/>
    <d v="2025-02-14T00:00:00"/>
    <d v="1899-12-30T16:27:14"/>
    <s v=""/>
    <s v="Perdido"/>
    <d v="2025-09-10T00:00:00"/>
    <d v="1899-12-30T16:11:00"/>
    <s v="Projeto adiado / sem prazo definido"/>
    <s v=""/>
    <s v=""/>
    <x v="0"/>
    <s v="Paulo Souza"/>
    <x v="54"/>
    <s v=""/>
    <m/>
    <m/>
    <s v=""/>
    <s v=""/>
    <s v=""/>
    <s v=""/>
    <n v="1"/>
  </r>
  <r>
    <x v="0"/>
    <n v="253"/>
    <m/>
    <n v="1776"/>
    <s v=""/>
    <s v=""/>
    <x v="94"/>
    <m/>
    <s v=""/>
    <s v="Guga"/>
    <s v="31984513164"/>
    <s v=""/>
    <s v="null"/>
    <s v=""/>
    <s v=""/>
    <s v=""/>
    <s v=""/>
    <s v=""/>
    <s v="Feiras"/>
    <s v=""/>
    <s v=""/>
    <s v="Abcasa2025fevereiro;Pausado"/>
    <s v="Pipeline de Vendas"/>
    <s v="Em negociação (75%)"/>
    <s v="6x sem juros (0/30/60/90/120/150...)"/>
    <d v="2026-01-15T00:00:00"/>
    <n v="48000"/>
    <n v="1690959"/>
    <n v="299"/>
    <s v="Paulo Souza"/>
    <d v="2025-02-14T00:00:00"/>
    <d v="1899-12-30T17:28:04"/>
    <s v=""/>
    <s v="Perdido"/>
    <d v="2025-12-10T00:00:00"/>
    <d v="1899-12-30T17:09:31"/>
    <s v="Não quer mudar a solução atual"/>
    <s v=""/>
    <s v=""/>
    <x v="46"/>
    <s v="Paulo Souza"/>
    <x v="51"/>
    <s v=""/>
    <m/>
    <m/>
    <s v=""/>
    <s v=""/>
    <s v=""/>
    <s v=""/>
    <n v="1"/>
  </r>
  <r>
    <x v="0"/>
    <n v="254"/>
    <m/>
    <n v="1777"/>
    <s v=""/>
    <s v=""/>
    <x v="95"/>
    <m/>
    <s v=""/>
    <s v="Emilio"/>
    <s v="11947392525"/>
    <s v=""/>
    <s v="null"/>
    <s v=""/>
    <s v=""/>
    <s v=""/>
    <s v=""/>
    <s v=""/>
    <s v="Feiras"/>
    <s v=""/>
    <s v=""/>
    <s v="Abcasa2025fevereiro"/>
    <s v="Pipeline de Vendas"/>
    <s v="Qualificação de Vendas (SQL) (25%)"/>
    <s v="6x sem juros (0/30/60/90/120/150...)"/>
    <m/>
    <m/>
    <m/>
    <n v="40"/>
    <s v="Paulo Souza"/>
    <d v="2025-02-14T00:00:00"/>
    <d v="1899-12-30T17:35:16"/>
    <s v=""/>
    <s v="Perdido"/>
    <d v="2025-03-26T00:00:00"/>
    <d v="1899-12-30T17:30:46"/>
    <s v="Fora do porte mínimo (sem fit estrutural)"/>
    <s v=""/>
    <s v=""/>
    <x v="0"/>
    <s v=""/>
    <x v="51"/>
    <s v=""/>
    <m/>
    <m/>
    <s v=""/>
    <s v=""/>
    <s v=""/>
    <s v=""/>
    <n v="1"/>
  </r>
  <r>
    <x v="0"/>
    <n v="255"/>
    <m/>
    <n v="1778"/>
    <s v=""/>
    <s v=""/>
    <x v="96"/>
    <m/>
    <s v=""/>
    <s v="Tiago - Diretor da Empresa"/>
    <s v="54981340574"/>
    <s v=""/>
    <s v="null"/>
    <s v=""/>
    <s v=""/>
    <s v=""/>
    <s v=""/>
    <s v=""/>
    <s v="Feiras"/>
    <s v=""/>
    <s v=""/>
    <s v="Abcasa2025fevereiro"/>
    <s v="Pipeline de Vendas"/>
    <s v="Qualificação de Vendas (SQL) (25%)"/>
    <s v="6x sem juros (0/30/60/90/120/150...)"/>
    <m/>
    <m/>
    <m/>
    <n v="116"/>
    <s v="Paulo Souza"/>
    <d v="2025-02-14T00:00:00"/>
    <d v="1899-12-30T17:37:06"/>
    <s v=""/>
    <s v="Perdido"/>
    <d v="2025-06-10T00:00:00"/>
    <d v="1899-12-30T14:50:38"/>
    <s v="Projeto adiado / sem prazo definido"/>
    <s v=""/>
    <s v=""/>
    <x v="0"/>
    <s v=""/>
    <x v="54"/>
    <s v=""/>
    <m/>
    <m/>
    <s v=""/>
    <s v=""/>
    <s v=""/>
    <s v=""/>
    <n v="1"/>
  </r>
  <r>
    <x v="0"/>
    <n v="256"/>
    <m/>
    <n v="1781"/>
    <s v=""/>
    <s v=""/>
    <x v="97"/>
    <m/>
    <s v=""/>
    <s v="Wanessa"/>
    <s v="38998346343"/>
    <s v=""/>
    <s v="rh@xododeminasmoc.com.br"/>
    <s v=""/>
    <s v=""/>
    <s v=""/>
    <s v=""/>
    <s v=""/>
    <s v="Indicação"/>
    <s v=""/>
    <s v=""/>
    <s v=""/>
    <s v="Pipeline de Vendas"/>
    <s v="Apresentar Solução (35%)"/>
    <s v="6x sem juros (0/30/60/90/120/150...)"/>
    <m/>
    <m/>
    <m/>
    <n v="37"/>
    <s v="Paulo Souza"/>
    <d v="2025-02-17T00:00:00"/>
    <d v="1899-12-30T12:20:30"/>
    <s v=""/>
    <s v="Perdido"/>
    <d v="2025-03-26T00:00:00"/>
    <d v="1899-12-30T17:36:27"/>
    <s v="Não quer mudar a solução atual"/>
    <s v=""/>
    <s v=""/>
    <x v="47"/>
    <s v="Paulo Souza"/>
    <x v="54"/>
    <s v=""/>
    <m/>
    <m/>
    <s v=""/>
    <s v=""/>
    <s v=""/>
    <s v=""/>
    <n v="1"/>
  </r>
  <r>
    <x v="0"/>
    <n v="257"/>
    <m/>
    <n v="1780"/>
    <s v=""/>
    <s v=""/>
    <x v="98"/>
    <m/>
    <s v=""/>
    <s v="Waldemar"/>
    <s v="(43) 99141-6611"/>
    <s v=""/>
    <s v="ti@gelonisorvetes.com.br"/>
    <s v=""/>
    <s v=""/>
    <s v=""/>
    <s v="Flórida"/>
    <s v=""/>
    <s v="Site"/>
    <s v=""/>
    <s v=""/>
    <s v="Abcasa2025fevereiro;Contato;GELADO"/>
    <s v="Pipeline de Vendas"/>
    <s v="Em negociação (75%)"/>
    <s v="6x sem juros (0/30/60/90/120/150...)"/>
    <m/>
    <n v="1234935"/>
    <n v="833725"/>
    <n v="113"/>
    <s v="Paulo Souza"/>
    <d v="2025-02-17T00:00:00"/>
    <d v="1899-12-30T12:55:36"/>
    <s v=""/>
    <s v="Perdido"/>
    <d v="2025-06-10T00:00:00"/>
    <d v="1899-12-30T14:38:18"/>
    <s v="Fechou com o concorrente - preço"/>
    <s v=""/>
    <s v=""/>
    <x v="47"/>
    <s v="Paulo Souza"/>
    <x v="54"/>
    <s v=""/>
    <m/>
    <m/>
    <s v=""/>
    <s v=""/>
    <s v=""/>
    <s v=""/>
    <n v="1"/>
  </r>
  <r>
    <x v="0"/>
    <n v="258"/>
    <m/>
    <n v="1782"/>
    <s v=""/>
    <s v=""/>
    <x v="99"/>
    <m/>
    <s v=""/>
    <s v="Elton"/>
    <s v="73999081706"/>
    <s v=""/>
    <s v="frutyba.rh@hotmail.com"/>
    <s v=""/>
    <s v=""/>
    <s v=""/>
    <s v=""/>
    <s v=""/>
    <s v=""/>
    <s v=""/>
    <s v=""/>
    <s v="Abcasa2025fevereiro"/>
    <s v="Pipeline de Vendas"/>
    <s v="Em negociação (75%)"/>
    <s v=""/>
    <m/>
    <m/>
    <m/>
    <n v="21"/>
    <s v="Paulo Souza"/>
    <d v="2025-02-17T00:00:00"/>
    <d v="1899-12-30T12:57:36"/>
    <s v=""/>
    <s v="Perdido"/>
    <d v="2025-03-10T00:00:00"/>
    <d v="1899-12-30T17:40:22"/>
    <s v="Preço muito alto - fora do budget de investimento"/>
    <s v=""/>
    <s v=""/>
    <x v="47"/>
    <s v="Paulo Souza"/>
    <x v="54"/>
    <s v=""/>
    <m/>
    <m/>
    <s v=""/>
    <s v=""/>
    <s v=""/>
    <s v=""/>
    <n v="1"/>
  </r>
  <r>
    <x v="0"/>
    <n v="259"/>
    <m/>
    <n v="1783"/>
    <s v=""/>
    <s v=""/>
    <x v="100"/>
    <m/>
    <s v=""/>
    <s v="Jose e Felipe"/>
    <s v="11997681796"/>
    <s v=""/>
    <s v="null"/>
    <s v=""/>
    <s v=""/>
    <s v=""/>
    <s v=""/>
    <s v=""/>
    <s v="Feiras"/>
    <s v=""/>
    <s v=""/>
    <s v="Abup2025Fevereiro;Pausado"/>
    <s v="Pipeline de Vendas"/>
    <s v="Qualificação de Vendas (SQL) (25%)"/>
    <s v="6x sem juros (0/30/60/90/120/150...)"/>
    <m/>
    <m/>
    <m/>
    <n v="75"/>
    <s v="Paulo Souza"/>
    <d v="2025-02-17T00:00:00"/>
    <d v="1899-12-30T13:19:01"/>
    <s v=""/>
    <s v="Perdido"/>
    <d v="2025-05-03T00:00:00"/>
    <d v="1899-12-30T11:01:03"/>
    <s v="Projeto adiado / sem prazo definido"/>
    <s v=""/>
    <s v=""/>
    <x v="0"/>
    <s v="Paulo Souza"/>
    <x v="55"/>
    <s v=""/>
    <m/>
    <m/>
    <s v=""/>
    <s v=""/>
    <s v=""/>
    <s v=""/>
    <n v="1"/>
  </r>
  <r>
    <x v="0"/>
    <n v="260"/>
    <m/>
    <n v="1785"/>
    <s v=""/>
    <s v=""/>
    <x v="101"/>
    <m/>
    <s v=""/>
    <s v="Luis Felips"/>
    <s v="11964237222"/>
    <s v=""/>
    <s v="null"/>
    <s v=""/>
    <s v=""/>
    <s v=""/>
    <s v=""/>
    <s v=""/>
    <s v="Feiras"/>
    <s v=""/>
    <s v=""/>
    <s v="Abup2025Fevereiro"/>
    <s v="Pipeline de Vendas"/>
    <s v="Qualificação de Vendas (SQL) (25%)"/>
    <s v="6x sem juros (0/30/60/90/120/150...)"/>
    <m/>
    <m/>
    <m/>
    <n v="37"/>
    <s v="Paulo Souza"/>
    <d v="2025-02-17T00:00:00"/>
    <d v="1899-12-30T13:24:02"/>
    <s v=""/>
    <s v="Perdido"/>
    <d v="2025-03-26T00:00:00"/>
    <d v="1899-12-30T17:33:35"/>
    <s v="Preço muito alto - fora do budget de investimento"/>
    <s v=""/>
    <s v=""/>
    <x v="0"/>
    <s v="Paulo Souza"/>
    <x v="55"/>
    <s v=""/>
    <m/>
    <m/>
    <s v=""/>
    <s v=""/>
    <s v=""/>
    <s v=""/>
    <n v="1"/>
  </r>
  <r>
    <x v="1"/>
    <n v="261"/>
    <m/>
    <n v="1786"/>
    <s v=""/>
    <s v=""/>
    <x v="102"/>
    <m/>
    <s v=""/>
    <s v="Prioridade 10"/>
    <s v="49991999161"/>
    <s v=""/>
    <s v="prioridade10e20financeiro@hotmail.com"/>
    <s v=""/>
    <s v=""/>
    <s v=""/>
    <s v=""/>
    <s v=""/>
    <s v=""/>
    <s v=""/>
    <s v=""/>
    <s v="Abcasa2025fevereiro"/>
    <s v="Pipeline de Vendas"/>
    <s v="Apresentar Proposta (50%)"/>
    <s v=""/>
    <m/>
    <n v="1600"/>
    <n v="2101"/>
    <n v="7"/>
    <s v="Junior Lopes"/>
    <d v="2025-02-17T00:00:00"/>
    <d v="1899-12-30T14:58:43"/>
    <s v=""/>
    <s v="Perdido"/>
    <d v="2025-02-24T00:00:00"/>
    <d v="1899-12-30T17:14:55"/>
    <s v="Preço muito alto - fora do budget de investimento"/>
    <s v="Bom dia_x000a_Junior, achei o sistema completo, não foge do que outras empresas proporcionam no mercado… no entanto, achei o valor de implantação muito elevado, da próximo de 80 mil reais pra fazer a implantação de um sistema"/>
    <s v=""/>
    <x v="42"/>
    <s v=""/>
    <x v="50"/>
    <s v=""/>
    <m/>
    <m/>
    <s v=""/>
    <s v=""/>
    <s v=""/>
    <s v=""/>
    <n v="1"/>
  </r>
  <r>
    <x v="0"/>
    <n v="263"/>
    <m/>
    <n v="1790"/>
    <s v="Falei com a Suzana sobre a sequencia do projeto. Ela esta de férias e retorna na semana do dia 12/01e vamos retomar. _x000a_Ligar para Susana no dia 14/01._x000a_23/01 Fiz FUP com a Susana que estava de férias e retornou hoje. Combinamos de eu Enviar para ela o form para ela preencher e após fazer a proposta ._x000a_17/02 Por falta de interação e interesse, estou declinando o lead."/>
    <s v=""/>
    <x v="103"/>
    <m/>
    <s v=""/>
    <s v="Suzana"/>
    <s v="11914779683"/>
    <s v=""/>
    <s v="null"/>
    <s v=""/>
    <s v=""/>
    <s v=""/>
    <s v=""/>
    <s v=""/>
    <s v="Outbound"/>
    <s v=""/>
    <s v=""/>
    <s v="50%"/>
    <s v="Pipeline de Vendas"/>
    <s v="Apresentar Proposta (50%)"/>
    <s v="6x sem juros (0/30/60/90/120/150...)"/>
    <d v="2026-01-31T00:00:00"/>
    <m/>
    <m/>
    <n v="364"/>
    <s v="Paulo Souza"/>
    <d v="2025-02-18T00:00:00"/>
    <d v="1899-12-30T10:00:38"/>
    <s v=""/>
    <s v="Perdido"/>
    <d v="2026-02-17T00:00:00"/>
    <d v="1899-12-30T14:29:08"/>
    <s v="Projeto adiado / sem prazo definido"/>
    <s v="17/02 Por falta de interação e interesse, estou declinando o lead."/>
    <s v=""/>
    <x v="48"/>
    <s v="Paulo Souza"/>
    <x v="56"/>
    <s v="21/11/2025"/>
    <d v="2026-01-23T00:00:00"/>
    <n v="50"/>
    <s v=""/>
    <s v=""/>
    <s v=""/>
    <s v=""/>
    <n v="1"/>
  </r>
  <r>
    <x v="1"/>
    <n v="266"/>
    <m/>
    <n v="1866"/>
    <s v=""/>
    <s v=""/>
    <x v="104"/>
    <n v="8652421000109"/>
    <s v=""/>
    <s v="Berenardi &amp; Bernardi"/>
    <s v="(55) 3744-6412 / (55) 3744-3600"/>
    <s v=""/>
    <s v="pedidos@suifarma.com.br"/>
    <s v=""/>
    <s v=""/>
    <s v=""/>
    <s v="FREDERICO WESTPHALEN"/>
    <s v="RS"/>
    <s v=""/>
    <s v=""/>
    <s v=""/>
    <s v=""/>
    <s v="Pipeline de Vendas"/>
    <s v="Qualificação de Vendas (SQL) (25%)"/>
    <s v=""/>
    <m/>
    <n v="14400"/>
    <n v="18034"/>
    <n v="30"/>
    <s v="Junior Lopes"/>
    <d v="2025-02-19T00:00:00"/>
    <d v="1899-12-30T17:02:21"/>
    <s v=""/>
    <s v="Perdido"/>
    <d v="2025-03-21T00:00:00"/>
    <d v="1899-12-30T14:43:49"/>
    <s v="Não quer mudar a solução atual"/>
    <s v="cliente esfriou após envio da proposta"/>
    <s v=""/>
    <x v="49"/>
    <s v=""/>
    <x v="57"/>
    <s v=""/>
    <m/>
    <m/>
    <s v=""/>
    <s v=""/>
    <s v=""/>
    <s v=""/>
    <n v="1"/>
  </r>
  <r>
    <x v="1"/>
    <n v="267"/>
    <m/>
    <n v="1871"/>
    <s v=""/>
    <s v=""/>
    <x v="105"/>
    <n v="21969045000149"/>
    <s v=""/>
    <s v="Açomix"/>
    <s v="(18) 3638-8000"/>
    <s v=""/>
    <s v="paulo@acomix.net"/>
    <s v=""/>
    <s v=""/>
    <s v=""/>
    <s v="COROADOS"/>
    <s v="SP"/>
    <s v="Feiras"/>
    <s v=""/>
    <s v=""/>
    <s v="Abup2025Fevereiro"/>
    <s v="Pipeline de Vendas"/>
    <s v="Em Fechamento (100%)"/>
    <s v="6x sem juros (0/30/60/90/120/150...)"/>
    <m/>
    <n v="88000"/>
    <n v="450432"/>
    <n v="64"/>
    <s v="Junior Lopes"/>
    <d v="2025-02-19T00:00:00"/>
    <d v="1899-12-30T17:06:03"/>
    <s v=""/>
    <s v="Ganho"/>
    <d v="2025-04-24T00:00:00"/>
    <d v="1899-12-30T12:10:45"/>
    <s v=""/>
    <s v=""/>
    <s v=""/>
    <x v="50"/>
    <s v=""/>
    <x v="0"/>
    <s v=""/>
    <m/>
    <m/>
    <s v=""/>
    <s v=""/>
    <s v=""/>
    <s v=""/>
    <n v="1"/>
  </r>
  <r>
    <x v="1"/>
    <n v="268"/>
    <m/>
    <n v="1874"/>
    <s v=""/>
    <s v=""/>
    <x v="106"/>
    <n v="52556578000122"/>
    <s v=""/>
    <s v="Elgin S/A"/>
    <s v="(11) 3411-2010"/>
    <s v=""/>
    <s v="rogerio.machado@elgin.com.br"/>
    <s v=""/>
    <s v=""/>
    <s v=""/>
    <s v="MOGI DAS CRUZES"/>
    <s v="SP"/>
    <s v="Feiras"/>
    <s v=""/>
    <s v=""/>
    <s v="Abup2025Fevereiro"/>
    <s v="Pipeline de Vendas"/>
    <s v="Qualificação de Vendas (SQL) (25%)"/>
    <s v="6x sem juros (0/30/60/90/120/150...)"/>
    <m/>
    <m/>
    <m/>
    <n v="54"/>
    <s v="Junior Lopes"/>
    <d v="2025-02-20T00:00:00"/>
    <d v="1899-12-30T10:37:30"/>
    <s v=""/>
    <s v="Perdido"/>
    <d v="2025-04-15T00:00:00"/>
    <d v="1899-12-30T16:39:42"/>
    <s v="Projeto adiado / sem prazo definido"/>
    <s v="cliente não responde as mensagens continuarei a prospectar em paralelo"/>
    <s v=""/>
    <x v="0"/>
    <s v=""/>
    <x v="0"/>
    <s v=""/>
    <m/>
    <m/>
    <s v=""/>
    <s v=""/>
    <s v=""/>
    <s v=""/>
    <n v="1"/>
  </r>
  <r>
    <x v="1"/>
    <n v="270"/>
    <n v="167"/>
    <n v="1880"/>
    <s v=""/>
    <s v=""/>
    <x v="107"/>
    <n v="7973104000121"/>
    <s v="ELMO ATACADO"/>
    <s v="Fabio"/>
    <s v="47999949301"/>
    <s v=""/>
    <s v="joao@atacadoelmo.com.br"/>
    <s v=""/>
    <s v=""/>
    <s v=""/>
    <s v="Joinville"/>
    <s v="SC"/>
    <s v=""/>
    <s v=""/>
    <s v=""/>
    <s v=""/>
    <s v="Pipeline de Vendas"/>
    <s v="Em Fechamento (100%)"/>
    <s v=""/>
    <m/>
    <n v="0"/>
    <n v="49896"/>
    <n v="11"/>
    <s v="Junior Lopes"/>
    <d v="2025-02-20T00:00:00"/>
    <d v="1899-12-30T11:43:19"/>
    <s v=""/>
    <s v="Ganho"/>
    <d v="2025-03-03T00:00:00"/>
    <d v="1899-12-30T11:34:05"/>
    <s v=""/>
    <s v=""/>
    <s v=""/>
    <x v="50"/>
    <s v=""/>
    <x v="0"/>
    <s v=""/>
    <m/>
    <m/>
    <s v=""/>
    <s v=""/>
    <s v=""/>
    <s v=""/>
    <n v="1"/>
  </r>
  <r>
    <x v="1"/>
    <n v="272"/>
    <m/>
    <n v="1882"/>
    <s v=""/>
    <s v=""/>
    <x v="108"/>
    <m/>
    <s v=""/>
    <s v="123 util"/>
    <s v="31987570994"/>
    <s v=""/>
    <s v="123util@maxximusimportadora.com.br"/>
    <s v=""/>
    <s v=""/>
    <s v=""/>
    <s v=""/>
    <s v=""/>
    <s v="Feiras"/>
    <s v=""/>
    <s v=""/>
    <s v="Abcasa2025fevereiro"/>
    <s v="Pipeline de Vendas"/>
    <s v="Qualificação de Vendas (SQL) (25%)"/>
    <s v="6x sem juros (0/30/60/90/120/150...)"/>
    <m/>
    <m/>
    <m/>
    <n v="50"/>
    <s v="Junior Lopes"/>
    <d v="2025-02-24T00:00:00"/>
    <d v="1899-12-30T09:24:09"/>
    <s v=""/>
    <s v="Perdido"/>
    <d v="2025-04-15T00:00:00"/>
    <d v="1899-12-30T16:37:27"/>
    <s v="Projeto adiado / sem prazo definido"/>
    <s v="cliente não responde as mensagens , continuarei a prospectar em paralelo"/>
    <s v=""/>
    <x v="0"/>
    <s v=""/>
    <x v="44"/>
    <s v=""/>
    <m/>
    <m/>
    <s v=""/>
    <s v=""/>
    <s v=""/>
    <s v=""/>
    <n v="1"/>
  </r>
  <r>
    <x v="2"/>
    <n v="273"/>
    <m/>
    <n v="1883"/>
    <s v=""/>
    <s v=""/>
    <x v="109"/>
    <m/>
    <s v=""/>
    <s v="Ilan Couselo"/>
    <s v="11991554630"/>
    <s v=""/>
    <s v="ilan@couselo.com.br"/>
    <s v=""/>
    <s v=""/>
    <s v=""/>
    <s v=""/>
    <s v=""/>
    <s v="Feiras"/>
    <s v=""/>
    <s v=""/>
    <s v=""/>
    <s v="Pipeline de Vendas"/>
    <s v="Em Fechamento (100%)"/>
    <s v="6x sem juros (0/30/60/90/120/150...)"/>
    <m/>
    <n v="55440"/>
    <n v="560465"/>
    <n v="39"/>
    <s v="Rayssa Karapeticov"/>
    <d v="2025-02-24T00:00:00"/>
    <d v="1899-12-30T15:53:45"/>
    <s v=""/>
    <s v="Perdido"/>
    <d v="2025-04-04T00:00:00"/>
    <d v="1899-12-30T15:28:34"/>
    <s v="Preço muito alto - fora do budget de investimento"/>
    <s v=""/>
    <s v=""/>
    <x v="51"/>
    <s v="Rayssa Karapeticov"/>
    <x v="58"/>
    <s v="24/02/2025 00:00"/>
    <m/>
    <m/>
    <s v=""/>
    <s v=""/>
    <s v=""/>
    <s v=""/>
    <n v="1"/>
  </r>
  <r>
    <x v="1"/>
    <n v="277"/>
    <m/>
    <n v="1887"/>
    <s v=""/>
    <s v=""/>
    <x v="110"/>
    <m/>
    <s v=""/>
    <s v="Erca Aluminio"/>
    <s v="19997023116"/>
    <s v=""/>
    <s v="rafael@ercaaluminio.com.br"/>
    <s v=""/>
    <s v=""/>
    <s v=""/>
    <s v=""/>
    <s v=""/>
    <s v=""/>
    <s v=""/>
    <s v=""/>
    <s v=""/>
    <s v="Pipeline de Vendas"/>
    <s v="Em Fechamento (100%)"/>
    <s v=""/>
    <m/>
    <n v="0"/>
    <n v="3564"/>
    <n v="5"/>
    <s v="Junior Lopes"/>
    <d v="2025-02-26T00:00:00"/>
    <d v="1899-12-30T09:12:09"/>
    <s v=""/>
    <s v="Ganho"/>
    <d v="2025-03-03T00:00:00"/>
    <d v="1899-12-30T11:34:23"/>
    <s v=""/>
    <s v=""/>
    <s v=""/>
    <x v="52"/>
    <s v=""/>
    <x v="0"/>
    <s v=""/>
    <m/>
    <m/>
    <s v=""/>
    <s v=""/>
    <s v=""/>
    <s v=""/>
    <n v="1"/>
  </r>
  <r>
    <x v="1"/>
    <n v="279"/>
    <m/>
    <n v="1890"/>
    <s v=""/>
    <s v=""/>
    <x v="111"/>
    <m/>
    <s v=""/>
    <s v="Claudio"/>
    <s v="14997530243"/>
    <s v=""/>
    <s v="null"/>
    <s v=""/>
    <s v=""/>
    <s v=""/>
    <s v=""/>
    <s v=""/>
    <s v=""/>
    <s v=""/>
    <s v=""/>
    <s v=""/>
    <s v="Pipeline de Vendas"/>
    <s v="Qualificação de Vendas (SQL) (25%)"/>
    <s v=""/>
    <m/>
    <m/>
    <m/>
    <n v="2"/>
    <s v="Paulo Souza"/>
    <d v="2025-02-26T00:00:00"/>
    <d v="1899-12-30T17:34:49"/>
    <s v=""/>
    <s v="Perdido"/>
    <d v="2025-02-28T00:00:00"/>
    <d v="1899-12-30T17:04:22"/>
    <s v="Fora do porte mínimo (sem fit estrutural)"/>
    <s v="Representante"/>
    <s v=""/>
    <x v="0"/>
    <s v="Junior Lopes"/>
    <x v="0"/>
    <s v=""/>
    <m/>
    <m/>
    <s v=""/>
    <s v=""/>
    <s v=""/>
    <s v=""/>
    <n v="1"/>
  </r>
  <r>
    <x v="1"/>
    <n v="281"/>
    <m/>
    <n v="1892"/>
    <s v=""/>
    <s v=""/>
    <x v="112"/>
    <m/>
    <s v=""/>
    <s v="açomix soluções para o lar"/>
    <s v="17996266839"/>
    <s v=""/>
    <s v="fernando@acomix.net"/>
    <s v=""/>
    <s v=""/>
    <s v=""/>
    <s v=""/>
    <s v=""/>
    <s v="Feiras"/>
    <s v=""/>
    <s v=""/>
    <s v=""/>
    <s v="Pipeline de Vendas"/>
    <s v="Em Fechamento (100%)"/>
    <s v="6x sem juros (0/30/60/90/120/150...)"/>
    <m/>
    <n v="0"/>
    <n v="449635"/>
    <n v="55"/>
    <s v="Junior Lopes"/>
    <d v="2025-02-28T00:00:00"/>
    <d v="1899-12-30T10:13:32"/>
    <s v=""/>
    <s v="Ganho"/>
    <d v="2025-04-24T00:00:00"/>
    <d v="1899-12-30T12:11:29"/>
    <s v=""/>
    <s v=""/>
    <s v=""/>
    <x v="46"/>
    <s v=""/>
    <x v="59"/>
    <s v=""/>
    <m/>
    <m/>
    <s v=""/>
    <s v=""/>
    <s v=""/>
    <s v=""/>
    <n v="1"/>
  </r>
  <r>
    <x v="1"/>
    <n v="282"/>
    <m/>
    <n v="1894"/>
    <s v=""/>
    <s v=""/>
    <x v="113"/>
    <m/>
    <s v=""/>
    <s v="Plasberg"/>
    <s v="75981412000"/>
    <s v=""/>
    <s v="breno@plasberg.com.br"/>
    <s v=""/>
    <s v=""/>
    <s v=""/>
    <s v=""/>
    <s v=""/>
    <s v="Feiras"/>
    <s v=""/>
    <s v=""/>
    <s v=""/>
    <s v="Pipeline de Vendas"/>
    <s v="Apresentar Proposta (50%)"/>
    <s v="6x sem juros (0/30/60/90/120/150...)"/>
    <m/>
    <n v="1600"/>
    <n v="5"/>
    <n v="47"/>
    <s v="Junior Lopes"/>
    <d v="2025-02-28T00:00:00"/>
    <d v="1899-12-30T16:52:57"/>
    <s v=""/>
    <s v="Perdido"/>
    <d v="2025-04-16T00:00:00"/>
    <d v="1899-12-30T09:28:18"/>
    <s v="Projeto adiado / sem prazo definido"/>
    <s v="Breno não responde as mensagens ! estou fechando oportunidade mas continuo em busca da oportunidade"/>
    <s v=""/>
    <x v="43"/>
    <s v=""/>
    <x v="47"/>
    <s v=""/>
    <m/>
    <m/>
    <s v=""/>
    <s v=""/>
    <s v=""/>
    <s v=""/>
    <n v="1"/>
  </r>
  <r>
    <x v="2"/>
    <n v="283"/>
    <m/>
    <n v="1895"/>
    <s v=""/>
    <s v=""/>
    <x v="114"/>
    <n v="37075503000136"/>
    <s v=""/>
    <s v="Rafael"/>
    <s v="(48) 3380-3374"/>
    <s v=""/>
    <s v="pupiimports@gmail.com"/>
    <s v=""/>
    <s v=""/>
    <s v=""/>
    <s v="TIJUCAS"/>
    <s v="SC"/>
    <s v=""/>
    <s v=""/>
    <s v=""/>
    <s v=""/>
    <s v="Pipeline de Vendas"/>
    <s v="Em Fechamento (100%)"/>
    <s v=""/>
    <m/>
    <n v="63000"/>
    <n v="211328"/>
    <n v="20"/>
    <s v="Rayssa Karapeticov"/>
    <d v="2025-03-04T00:00:00"/>
    <d v="1899-12-30T09:43:38"/>
    <s v=""/>
    <s v="Ganho"/>
    <d v="2025-03-24T00:00:00"/>
    <d v="1899-12-30T19:14:21"/>
    <s v=""/>
    <s v=""/>
    <s v=""/>
    <x v="53"/>
    <s v="Rayssa Karapeticov"/>
    <x v="0"/>
    <s v=""/>
    <m/>
    <m/>
    <s v=""/>
    <s v=""/>
    <s v=""/>
    <s v=""/>
    <n v="1"/>
  </r>
  <r>
    <x v="2"/>
    <n v="284"/>
    <m/>
    <n v="1897"/>
    <s v=""/>
    <s v=""/>
    <x v="115"/>
    <n v="37075503000136"/>
    <s v=""/>
    <s v="Rafael"/>
    <s v="(48) 3380-3374"/>
    <s v=""/>
    <s v="pupiimports@gmail.com"/>
    <s v=""/>
    <s v=""/>
    <s v=""/>
    <s v="TIJUCAS"/>
    <s v="SC"/>
    <s v="Feiras"/>
    <s v=""/>
    <s v=""/>
    <s v=""/>
    <s v="Pipeline de Vendas"/>
    <s v="Em Fechamento (100%)"/>
    <s v=""/>
    <m/>
    <n v="1600"/>
    <n v="287073"/>
    <n v="22"/>
    <s v="Rayssa Karapeticov"/>
    <d v="2025-03-04T00:00:00"/>
    <d v="1899-12-30T15:18:52"/>
    <s v=""/>
    <s v="Ganho"/>
    <d v="2025-03-26T00:00:00"/>
    <d v="1899-12-30T10:41:15"/>
    <s v=""/>
    <s v=""/>
    <s v=""/>
    <x v="53"/>
    <s v="Rayssa Karapeticov"/>
    <x v="60"/>
    <s v=""/>
    <m/>
    <m/>
    <s v=""/>
    <s v=""/>
    <s v=""/>
    <s v=""/>
    <n v="1"/>
  </r>
  <r>
    <x v="2"/>
    <n v="286"/>
    <m/>
    <n v="1900"/>
    <s v=""/>
    <s v=""/>
    <x v="116"/>
    <n v="37075503000136"/>
    <s v=""/>
    <s v="Rafael"/>
    <s v="5196199231"/>
    <s v=""/>
    <s v="pupiimports@gmail.com"/>
    <s v=""/>
    <s v=""/>
    <s v=""/>
    <s v="TIJUCAS"/>
    <s v="SC"/>
    <s v="Outbound"/>
    <s v=""/>
    <s v=""/>
    <s v=""/>
    <s v="Pipeline de Vendas"/>
    <s v="Em negociação (75%)"/>
    <s v="6x sem juros (0/30/60/90/120/150...)"/>
    <m/>
    <n v="23580"/>
    <n v="1800"/>
    <n v="65"/>
    <s v="Rayssa Karapeticov"/>
    <d v="2025-03-10T00:00:00"/>
    <d v="1899-12-30T15:20:29"/>
    <s v=""/>
    <s v="Perdido"/>
    <d v="2025-05-14T00:00:00"/>
    <d v="1899-12-30T11:32:41"/>
    <s v="Não houve aprovação financeira"/>
    <s v=""/>
    <s v=""/>
    <x v="54"/>
    <s v="Rayssa Karapeticov"/>
    <x v="61"/>
    <s v=""/>
    <m/>
    <m/>
    <s v=""/>
    <s v=""/>
    <s v=""/>
    <s v=""/>
    <n v="1"/>
  </r>
  <r>
    <x v="0"/>
    <n v="287"/>
    <m/>
    <n v="1902"/>
    <s v=""/>
    <s v=""/>
    <x v="117"/>
    <n v="7764744000202"/>
    <s v=""/>
    <s v="Xeryus"/>
    <s v="11997802621"/>
    <s v=""/>
    <s v="jesica@xeryus.com.br"/>
    <s v=""/>
    <s v=""/>
    <s v=""/>
    <s v=""/>
    <s v=""/>
    <s v="Outbound"/>
    <s v=""/>
    <s v=""/>
    <s v="MORNO"/>
    <s v="Pipeline de Vendas"/>
    <s v="Em negociação (75%)"/>
    <s v="6x sem juros (0/30/60/90/120/150...)"/>
    <m/>
    <n v="16000"/>
    <n v="68607"/>
    <n v="54"/>
    <s v="Paulo Souza"/>
    <d v="2025-03-10T00:00:00"/>
    <d v="1899-12-30T16:44:02"/>
    <s v=""/>
    <s v="Perdido"/>
    <d v="2025-05-03T00:00:00"/>
    <d v="1899-12-30T10:37:26"/>
    <s v="Fechou com o concorrente - preço"/>
    <s v=""/>
    <s v=""/>
    <x v="55"/>
    <s v="Paulo Souza"/>
    <x v="62"/>
    <s v="11/03/2025 00:00"/>
    <m/>
    <m/>
    <s v=""/>
    <s v=""/>
    <s v=""/>
    <s v=""/>
    <n v="1"/>
  </r>
  <r>
    <x v="1"/>
    <n v="291"/>
    <m/>
    <n v="1904"/>
    <s v=""/>
    <s v=""/>
    <x v="118"/>
    <m/>
    <s v=""/>
    <s v="Ponto 10"/>
    <s v="7199841895"/>
    <s v=""/>
    <s v="gabriel@grupoponto10.com.br"/>
    <s v=""/>
    <s v=""/>
    <s v=""/>
    <s v=""/>
    <s v=""/>
    <s v="Parceiros"/>
    <s v=""/>
    <s v=""/>
    <s v=""/>
    <s v="Pipeline de Vendas"/>
    <s v="Em Fechamento (100%)"/>
    <s v="6x sem juros (0/30/60/90/120/150...)"/>
    <m/>
    <n v="12720"/>
    <n v="1764"/>
    <n v="47"/>
    <s v="Junior Lopes"/>
    <d v="2025-03-13T00:00:00"/>
    <d v="1899-12-30T14:19:18"/>
    <s v=""/>
    <s v="Ganho"/>
    <d v="2025-04-29T00:00:00"/>
    <d v="1899-12-30T14:35:30"/>
    <s v=""/>
    <s v=""/>
    <s v=""/>
    <x v="56"/>
    <s v=""/>
    <x v="63"/>
    <s v=""/>
    <m/>
    <m/>
    <s v=""/>
    <s v=""/>
    <s v=""/>
    <s v=""/>
    <n v="1"/>
  </r>
  <r>
    <x v="0"/>
    <n v="293"/>
    <m/>
    <n v="1907"/>
    <s v=""/>
    <s v=""/>
    <x v="119"/>
    <m/>
    <s v=""/>
    <s v="Rodrigo"/>
    <s v="(17) 99734-7687"/>
    <s v=""/>
    <s v="rodrigovaquerosilva@gmail.com"/>
    <s v=""/>
    <s v=""/>
    <s v=""/>
    <s v="Jales"/>
    <s v=""/>
    <s v="Site"/>
    <s v=""/>
    <s v=""/>
    <s v="Contato"/>
    <s v="Pipeline de Vendas"/>
    <s v="Apresentar Solução (35%)"/>
    <s v="6x sem juros (0/30/60/90/120/150...)"/>
    <m/>
    <m/>
    <m/>
    <n v="21"/>
    <s v="Paulo Souza"/>
    <d v="2025-03-17T00:00:00"/>
    <d v="1899-12-30T08:53:12"/>
    <s v=""/>
    <s v="Perdido"/>
    <d v="2025-04-07T00:00:00"/>
    <d v="1899-12-30T14:00:24"/>
    <s v="Não quer mudar a solução atual"/>
    <s v=""/>
    <s v=""/>
    <x v="57"/>
    <s v=""/>
    <x v="64"/>
    <s v=""/>
    <m/>
    <m/>
    <s v=""/>
    <s v=""/>
    <s v=""/>
    <s v=""/>
    <n v="1"/>
  </r>
  <r>
    <x v="0"/>
    <n v="294"/>
    <m/>
    <n v="1908"/>
    <s v=""/>
    <s v=""/>
    <x v="120"/>
    <m/>
    <s v=""/>
    <s v="Anne"/>
    <s v="31995069963"/>
    <s v=""/>
    <s v="null"/>
    <s v=""/>
    <s v=""/>
    <s v=""/>
    <s v=""/>
    <s v=""/>
    <s v="Inbound"/>
    <s v=""/>
    <s v=""/>
    <s v=""/>
    <s v="Pipeline de Vendas"/>
    <s v="Apresentar Solução (35%)"/>
    <s v="6x sem juros (0/30/60/90/120/150...)"/>
    <m/>
    <m/>
    <m/>
    <n v="21"/>
    <s v="Paulo Souza"/>
    <d v="2025-03-17T00:00:00"/>
    <d v="1899-12-30T08:58:27"/>
    <s v=""/>
    <s v="Perdido"/>
    <d v="2025-04-07T00:00:00"/>
    <d v="1899-12-30T11:48:49"/>
    <s v="Não quer mudar a solução atual"/>
    <s v=""/>
    <s v=""/>
    <x v="57"/>
    <s v="Paulo Souza"/>
    <x v="64"/>
    <s v=""/>
    <m/>
    <m/>
    <s v=""/>
    <s v=""/>
    <s v=""/>
    <s v=""/>
    <n v="1"/>
  </r>
  <r>
    <x v="1"/>
    <n v="295"/>
    <m/>
    <n v="1909"/>
    <s v=""/>
    <s v=""/>
    <x v="121"/>
    <m/>
    <s v=""/>
    <s v="GBL Import"/>
    <s v="21996127685"/>
    <s v=""/>
    <s v="gilberto@gblimport.com.br"/>
    <s v=""/>
    <s v=""/>
    <s v=""/>
    <s v=""/>
    <s v=""/>
    <s v="Indicação"/>
    <s v=""/>
    <s v=""/>
    <s v=""/>
    <s v="Pipeline de Vendas"/>
    <s v="Em negociação (75%)"/>
    <s v="6x sem juros (0/30/60/90/120/150...)"/>
    <m/>
    <n v="79920"/>
    <n v="33813"/>
    <n v="59"/>
    <s v="Junior Lopes"/>
    <d v="2025-03-17T00:00:00"/>
    <d v="1899-12-30T12:35:35"/>
    <s v=""/>
    <s v="Perdido"/>
    <d v="2025-05-15T00:00:00"/>
    <d v="1899-12-30T16:21:33"/>
    <s v="Projeto adiado / sem prazo definido"/>
    <s v="sem retorno do cliente"/>
    <s v=""/>
    <x v="58"/>
    <s v=""/>
    <x v="65"/>
    <s v=""/>
    <m/>
    <m/>
    <s v=""/>
    <s v=""/>
    <s v=""/>
    <s v=""/>
    <n v="1"/>
  </r>
  <r>
    <x v="1"/>
    <n v="298"/>
    <m/>
    <n v="1913"/>
    <s v=""/>
    <s v=""/>
    <x v="122"/>
    <m/>
    <s v=""/>
    <s v="GBL Import - Cloud"/>
    <s v="21996127685"/>
    <s v=""/>
    <s v="geraldolima@gblimport.com.br"/>
    <s v=""/>
    <s v=""/>
    <s v=""/>
    <s v=""/>
    <s v=""/>
    <s v="Indicação"/>
    <s v=""/>
    <s v=""/>
    <s v=""/>
    <s v="Pipeline de Vendas"/>
    <s v="Em negociação (75%)"/>
    <s v="6x sem juros (0/30/60/90/120/150...)"/>
    <m/>
    <n v="1600"/>
    <n v="3196"/>
    <n v="58"/>
    <s v="Junior Lopes"/>
    <d v="2025-03-18T00:00:00"/>
    <d v="1899-12-30T15:00:29"/>
    <s v=""/>
    <s v="Perdido"/>
    <d v="2025-05-15T00:00:00"/>
    <d v="1899-12-30T16:22:10"/>
    <s v="Projeto adiado / sem prazo definido"/>
    <s v="sem retorno do cliente"/>
    <s v=""/>
    <x v="58"/>
    <s v=""/>
    <x v="65"/>
    <s v=""/>
    <m/>
    <m/>
    <s v=""/>
    <s v=""/>
    <s v=""/>
    <s v=""/>
    <n v="1"/>
  </r>
  <r>
    <x v="1"/>
    <n v="301"/>
    <m/>
    <n v="1916"/>
    <s v=""/>
    <s v=""/>
    <x v="123"/>
    <m/>
    <s v=""/>
    <s v="Erca alumínio"/>
    <s v="19997023116"/>
    <s v=""/>
    <s v="rafael@ercaaluminio.com.br"/>
    <s v=""/>
    <s v=""/>
    <s v=""/>
    <s v=""/>
    <s v=""/>
    <s v="Outbound"/>
    <s v=""/>
    <s v=""/>
    <s v=""/>
    <s v="Pipeline de Vendas"/>
    <s v="Em Fechamento (100%)"/>
    <s v=""/>
    <m/>
    <n v="2339208"/>
    <n v="0"/>
    <n v="13"/>
    <s v="Junior Lopes"/>
    <d v="2025-03-20T00:00:00"/>
    <d v="1899-12-30T14:50:12"/>
    <s v=""/>
    <s v="Ganho"/>
    <d v="2025-04-02T00:00:00"/>
    <d v="1899-12-30T10:04:50"/>
    <s v=""/>
    <s v=""/>
    <s v=""/>
    <x v="59"/>
    <s v=""/>
    <x v="0"/>
    <s v=""/>
    <m/>
    <m/>
    <s v=""/>
    <s v=""/>
    <s v=""/>
    <s v=""/>
    <n v="1"/>
  </r>
  <r>
    <x v="1"/>
    <n v="303"/>
    <m/>
    <n v="1919"/>
    <s v=""/>
    <s v=""/>
    <x v="124"/>
    <m/>
    <s v=""/>
    <s v="Dayane"/>
    <s v="(62) 99360-9476"/>
    <s v=""/>
    <s v="dayane.tecelagemcastilho@gmail.com"/>
    <s v=""/>
    <s v=""/>
    <s v=""/>
    <s v="Goiânia"/>
    <s v=""/>
    <s v="Site"/>
    <s v=""/>
    <s v=""/>
    <s v="Solicita demo"/>
    <s v="Pipeline de Vendas"/>
    <s v="Em Fechamento (100%)"/>
    <s v="6x sem juros (0/30/60/90/120/150...)"/>
    <m/>
    <n v="583848"/>
    <n v="229112"/>
    <n v="57"/>
    <s v="Paulo Souza"/>
    <d v="2025-03-25T00:00:00"/>
    <d v="1899-12-30T09:13:21"/>
    <s v=""/>
    <s v="Ganho"/>
    <d v="2025-05-21T00:00:00"/>
    <d v="1899-12-30T09:01:18"/>
    <s v=""/>
    <s v=""/>
    <s v=""/>
    <x v="60"/>
    <s v=""/>
    <x v="66"/>
    <s v="28/03/2025"/>
    <m/>
    <m/>
    <s v=""/>
    <s v=""/>
    <s v=""/>
    <s v=""/>
    <n v="1"/>
  </r>
  <r>
    <x v="1"/>
    <n v="304"/>
    <m/>
    <n v="1922"/>
    <s v=""/>
    <s v=""/>
    <x v="125"/>
    <m/>
    <s v=""/>
    <s v="Erca Alumínio"/>
    <s v="19997023116"/>
    <s v=""/>
    <s v="rafael@ercaaluminio.com.br"/>
    <s v=""/>
    <s v=""/>
    <s v=""/>
    <s v=""/>
    <s v=""/>
    <s v=""/>
    <s v=""/>
    <s v=""/>
    <s v=""/>
    <s v="Pipeline de Vendas"/>
    <s v="Em Fechamento (100%)"/>
    <s v=""/>
    <m/>
    <n v="0"/>
    <n v="14256"/>
    <n v="0"/>
    <s v="Junior Lopes"/>
    <d v="2025-03-26T00:00:00"/>
    <d v="1899-12-30T12:26:05"/>
    <s v=""/>
    <s v="Ganho"/>
    <d v="2025-03-26T00:00:00"/>
    <d v="1899-12-30T12:28:36"/>
    <s v=""/>
    <s v=""/>
    <s v=""/>
    <x v="61"/>
    <s v=""/>
    <x v="0"/>
    <s v=""/>
    <m/>
    <m/>
    <s v=""/>
    <s v=""/>
    <s v=""/>
    <s v=""/>
    <n v="1"/>
  </r>
  <r>
    <x v="1"/>
    <n v="305"/>
    <m/>
    <n v="1923"/>
    <s v=""/>
    <s v=""/>
    <x v="126"/>
    <n v="49695060000165"/>
    <s v=""/>
    <s v="Sk Importacao e Exportacao"/>
    <s v="(11) 2171-0800"/>
    <s v=""/>
    <s v="legal@vrscontabil.com.br"/>
    <s v=""/>
    <s v=""/>
    <s v=""/>
    <s v="SAO PAULO"/>
    <s v="SP"/>
    <s v="Inbound"/>
    <s v=""/>
    <s v=""/>
    <s v=""/>
    <s v="Pipeline de Vendas"/>
    <s v="Apresentar Proposta (50%)"/>
    <s v="6x sem juros (0/30/60/90/120/150...)"/>
    <m/>
    <n v="64448"/>
    <n v="159326"/>
    <n v="50"/>
    <s v="Junior Lopes"/>
    <d v="2025-03-26T00:00:00"/>
    <d v="1899-12-30T12:54:52"/>
    <s v=""/>
    <s v="Perdido"/>
    <d v="2025-05-15T00:00:00"/>
    <d v="1899-12-30T15:25:04"/>
    <s v="Projeto adiado / sem prazo definido"/>
    <s v="14:31, 06/05/2025 Jamal: Tudo bem_x000a_14:34, 06/05/2025 Junior Lopes: por aqui td bem Jamal_x000a_14:35, 06/05/2025 Junior Lopes: sobre o Software Guarani, vamos dar sequencia ?_x000a_15:02, 06/05/2025 Jamal: Meu amigo pra ser sincero estou em mudanças e esta muita correria por aqui_x000a_15:02, 06/05/2025 Jamal: Mas depois vou estudar melhor sobre"/>
    <s v=""/>
    <x v="62"/>
    <s v=""/>
    <x v="67"/>
    <s v=""/>
    <m/>
    <m/>
    <s v=""/>
    <s v=""/>
    <s v=""/>
    <s v=""/>
    <n v="1"/>
  </r>
  <r>
    <x v="1"/>
    <n v="311"/>
    <m/>
    <n v="1942"/>
    <s v=""/>
    <s v=""/>
    <x v="127"/>
    <m/>
    <s v=""/>
    <s v="Tritec"/>
    <s v="47991900625"/>
    <s v=""/>
    <s v="gisele.ehlert@tritec.ind.com"/>
    <s v=""/>
    <s v=""/>
    <s v=""/>
    <s v=""/>
    <s v=""/>
    <s v=""/>
    <s v=""/>
    <s v=""/>
    <s v=""/>
    <s v="Pipeline de Vendas"/>
    <s v="Em Fechamento (100%)"/>
    <s v="4x sem juros (0/30/60/90)"/>
    <m/>
    <n v="16960"/>
    <n v="10810"/>
    <n v="43"/>
    <s v="Junior Lopes"/>
    <d v="2025-03-27T00:00:00"/>
    <d v="1899-12-30T12:48:43"/>
    <s v=""/>
    <s v="Ganho"/>
    <d v="2025-05-09T00:00:00"/>
    <d v="1899-12-30T12:02:54"/>
    <s v=""/>
    <s v=""/>
    <s v=""/>
    <x v="60"/>
    <s v=""/>
    <x v="66"/>
    <s v="24/04/2025"/>
    <m/>
    <m/>
    <s v=""/>
    <s v=""/>
    <s v=""/>
    <s v=""/>
    <n v="1"/>
  </r>
  <r>
    <x v="0"/>
    <n v="313"/>
    <m/>
    <n v="1944"/>
    <s v=""/>
    <s v=""/>
    <x v="128"/>
    <n v="1787082000129"/>
    <s v=""/>
    <s v="Marcos"/>
    <s v="(11) 99755-7094"/>
    <s v=""/>
    <s v="contato@styroform.com.br"/>
    <s v=""/>
    <s v=""/>
    <s v=""/>
    <s v=""/>
    <s v=""/>
    <s v="Indicação"/>
    <s v=""/>
    <s v=""/>
    <s v="MORNO"/>
    <s v="Pipeline de Vendas"/>
    <s v="Em Fechamento (100%)"/>
    <s v="6x sem juros (0/30/60/90/120/150...)"/>
    <d v="2028-05-31T00:00:00"/>
    <n v="51200"/>
    <n v="42262"/>
    <n v="75"/>
    <s v="Paulo Souza"/>
    <d v="2025-03-27T00:00:00"/>
    <d v="1899-12-30T15:59:16"/>
    <s v=""/>
    <s v="Perdido"/>
    <d v="2025-06-10T00:00:00"/>
    <d v="1899-12-30T12:16:08"/>
    <s v="Preço muito alto - fora do budget de investimento"/>
    <s v=""/>
    <s v=""/>
    <x v="45"/>
    <s v="Paulo Souza"/>
    <x v="68"/>
    <s v=""/>
    <m/>
    <m/>
    <s v=""/>
    <s v=""/>
    <s v=""/>
    <s v=""/>
    <n v="1"/>
  </r>
  <r>
    <x v="0"/>
    <n v="314"/>
    <m/>
    <n v="1948"/>
    <s v=""/>
    <s v=""/>
    <x v="129"/>
    <m/>
    <s v=""/>
    <s v="Claudio"/>
    <s v="12991051939"/>
    <s v=""/>
    <s v="null"/>
    <s v=""/>
    <s v=""/>
    <s v=""/>
    <s v=""/>
    <s v=""/>
    <s v=""/>
    <s v=""/>
    <s v=""/>
    <s v=""/>
    <s v="Pipeline de Vendas"/>
    <s v="Qualificação de Vendas (SQL) (25%)"/>
    <s v=""/>
    <m/>
    <m/>
    <m/>
    <n v="10"/>
    <s v="Paulo Souza"/>
    <d v="2025-03-28T00:00:00"/>
    <d v="1899-12-30T11:11:42"/>
    <s v=""/>
    <s v="Perdido"/>
    <d v="2025-04-07T00:00:00"/>
    <d v="1899-12-30T14:36:03"/>
    <s v="Fora do porte mínimo (sem fit estrutural)"/>
    <s v=""/>
    <s v=""/>
    <x v="0"/>
    <s v="Paulo Souza"/>
    <x v="69"/>
    <s v=""/>
    <m/>
    <m/>
    <s v=""/>
    <s v=""/>
    <s v=""/>
    <s v=""/>
    <n v="1"/>
  </r>
  <r>
    <x v="1"/>
    <n v="315"/>
    <m/>
    <n v="1949"/>
    <s v=""/>
    <s v=""/>
    <x v="130"/>
    <m/>
    <s v=""/>
    <s v="Tecelagem Castitho - Cloud"/>
    <s v="62993609476"/>
    <s v=""/>
    <s v="dayane.tecelagemcastilho@gmail.com"/>
    <s v=""/>
    <s v=""/>
    <s v=""/>
    <s v=""/>
    <s v=""/>
    <s v=""/>
    <s v=""/>
    <s v=""/>
    <s v=""/>
    <s v="Pipeline de Vendas"/>
    <s v="Em Fechamento (100%)"/>
    <s v="10x sem juros (0/30/60/90/120/150...)"/>
    <m/>
    <n v="1600"/>
    <n v="180443"/>
    <n v="54"/>
    <s v="Junior Lopes"/>
    <d v="2025-03-28T00:00:00"/>
    <d v="1899-12-30T11:49:45"/>
    <s v=""/>
    <s v="Ganho"/>
    <d v="2025-05-21T00:00:00"/>
    <d v="1899-12-30T09:02:37"/>
    <s v=""/>
    <s v=""/>
    <s v=""/>
    <x v="60"/>
    <s v=""/>
    <x v="66"/>
    <s v=""/>
    <m/>
    <m/>
    <s v=""/>
    <s v=""/>
    <s v=""/>
    <s v=""/>
    <n v="1"/>
  </r>
  <r>
    <x v="1"/>
    <n v="316"/>
    <m/>
    <n v="1950"/>
    <s v=""/>
    <s v=""/>
    <x v="131"/>
    <n v="49695060000165"/>
    <s v=""/>
    <s v="SK Importação - Cloud"/>
    <s v="(11) 2171-0800"/>
    <s v=""/>
    <s v="legal@vrscontabil.com.br"/>
    <s v=""/>
    <s v=""/>
    <s v=""/>
    <s v="SAO PAULO"/>
    <s v="SP"/>
    <s v=""/>
    <s v=""/>
    <s v=""/>
    <s v=""/>
    <s v="Pipeline de Vendas"/>
    <s v="Apresentar Proposta (50%)"/>
    <s v=""/>
    <m/>
    <n v="1600"/>
    <n v="2178"/>
    <n v="48"/>
    <s v="Junior Lopes"/>
    <d v="2025-03-28T00:00:00"/>
    <d v="1899-12-30T15:06:00"/>
    <s v=""/>
    <s v="Perdido"/>
    <d v="2025-05-15T00:00:00"/>
    <d v="1899-12-30T15:26:40"/>
    <s v="Projeto adiado / sem prazo definido"/>
    <s v="14:31, 06/05/2025 Jamal: Tudo bem_x000a_14:34, 06/05/2025 Junior Lopes: por aqui td bem Jamal_x000a_14:35, 06/05/2025 Junior Lopes: sobre o Software Guarani, vamos dar sequencia ?_x000a_15:02, 06/05/2025 Jamal: Meu amigo pra ser sincero estou em mudanças e esta muita correria por aqui_x000a_15:02, 06/05/2025 Jamal: Mas depois vou estudar melhor sobre"/>
    <s v="26/03/2025"/>
    <x v="61"/>
    <s v=""/>
    <x v="67"/>
    <s v=""/>
    <m/>
    <m/>
    <s v=""/>
    <s v=""/>
    <s v=""/>
    <s v=""/>
    <n v="1"/>
  </r>
  <r>
    <x v="1"/>
    <n v="317"/>
    <m/>
    <n v="1952"/>
    <s v=""/>
    <s v=""/>
    <x v="132"/>
    <n v="8652421000109"/>
    <s v=""/>
    <s v="Comércio de prod. vet. bernardi e bernardi"/>
    <s v="(55) 3744-6412"/>
    <s v=""/>
    <s v="pedidos@suifarma.com.br"/>
    <s v=""/>
    <s v=""/>
    <s v=""/>
    <s v="FREDERICO WESTPHALEN"/>
    <s v="RS"/>
    <s v=""/>
    <s v=""/>
    <s v=""/>
    <s v=""/>
    <s v="Pipeline de Vendas"/>
    <s v="Em negociação (75%)"/>
    <s v=""/>
    <m/>
    <n v="74860"/>
    <n v="641932"/>
    <n v="48"/>
    <s v="Junior Lopes"/>
    <d v="2025-03-28T00:00:00"/>
    <d v="1899-12-30T15:37:47"/>
    <s v=""/>
    <s v="Perdido"/>
    <d v="2025-05-15T00:00:00"/>
    <d v="1899-12-30T11:35:21"/>
    <s v="Projeto adiado / sem prazo definido"/>
    <s v="cliente ainda não definiu _x000a_estou baixando oportunidade mas manterei contato via WhatsApp"/>
    <s v=""/>
    <x v="60"/>
    <s v=""/>
    <x v="70"/>
    <s v=""/>
    <m/>
    <m/>
    <s v=""/>
    <s v=""/>
    <s v=""/>
    <s v=""/>
    <n v="1"/>
  </r>
  <r>
    <x v="1"/>
    <n v="318"/>
    <m/>
    <n v="1957"/>
    <s v=""/>
    <s v=""/>
    <x v="133"/>
    <n v="8652421000109"/>
    <s v=""/>
    <s v="Comércio Bernardi e Bernardi - Cloud"/>
    <s v="43991395000"/>
    <s v=""/>
    <s v="pedidos@suifarma.com.br"/>
    <s v=""/>
    <s v=""/>
    <s v=""/>
    <s v=""/>
    <s v=""/>
    <s v=""/>
    <s v=""/>
    <s v=""/>
    <s v=""/>
    <s v="Pipeline de Vendas"/>
    <s v="Apresentar Proposta (50%)"/>
    <s v=""/>
    <m/>
    <m/>
    <m/>
    <n v="19"/>
    <s v="Junior Lopes"/>
    <d v="2025-03-28T00:00:00"/>
    <d v="1899-12-30T15:40:43"/>
    <s v=""/>
    <s v="Perdido"/>
    <d v="2025-04-16T00:00:00"/>
    <d v="1899-12-30T09:39:03"/>
    <s v="Projeto adiado / sem prazo definido"/>
    <s v="cadastro em duplicidade"/>
    <s v=""/>
    <x v="60"/>
    <s v=""/>
    <x v="70"/>
    <s v=""/>
    <m/>
    <m/>
    <s v=""/>
    <s v=""/>
    <s v=""/>
    <s v=""/>
    <n v="1"/>
  </r>
  <r>
    <x v="1"/>
    <n v="319"/>
    <m/>
    <n v="1958"/>
    <s v=""/>
    <s v=""/>
    <x v="134"/>
    <m/>
    <s v=""/>
    <s v="culturama - Horas"/>
    <s v="54996596274"/>
    <s v=""/>
    <s v="vinicius.mathyas@culturama.com.br"/>
    <s v=""/>
    <s v=""/>
    <s v=""/>
    <s v=""/>
    <s v=""/>
    <s v=""/>
    <s v=""/>
    <s v=""/>
    <s v=""/>
    <s v="Pipeline de Vendas"/>
    <s v="Em Fechamento (100%)"/>
    <s v=""/>
    <m/>
    <n v="1760013"/>
    <n v="0"/>
    <n v="0"/>
    <s v="Junior Lopes"/>
    <d v="2025-03-31T00:00:00"/>
    <d v="1899-12-30T11:20:59"/>
    <s v=""/>
    <s v="Ganho"/>
    <d v="2025-03-31T00:00:00"/>
    <d v="1899-12-30T11:36:21"/>
    <s v=""/>
    <s v=""/>
    <s v=""/>
    <x v="56"/>
    <s v=""/>
    <x v="0"/>
    <s v=""/>
    <m/>
    <m/>
    <s v=""/>
    <s v=""/>
    <s v=""/>
    <s v=""/>
    <n v="1"/>
  </r>
  <r>
    <x v="1"/>
    <n v="321"/>
    <m/>
    <n v="1961"/>
    <s v=""/>
    <s v=""/>
    <x v="133"/>
    <m/>
    <s v=""/>
    <s v="Comércio Bernardi e Bernardi - Cloud"/>
    <s v="5537446412"/>
    <s v=""/>
    <s v="pedidos@suifarma.com.br"/>
    <s v=""/>
    <s v=""/>
    <s v=""/>
    <s v=""/>
    <s v=""/>
    <s v=""/>
    <s v=""/>
    <s v=""/>
    <s v=""/>
    <s v="Pipeline de Vendas"/>
    <s v="Em negociação (75%)"/>
    <s v=""/>
    <m/>
    <n v="1600"/>
    <n v="462522"/>
    <n v="45"/>
    <s v="Junior Lopes"/>
    <d v="2025-03-31T00:00:00"/>
    <d v="1899-12-30T15:10:22"/>
    <s v=""/>
    <s v="Perdido"/>
    <d v="2025-05-15T00:00:00"/>
    <d v="1899-12-30T11:36:48"/>
    <s v="Projeto adiado / sem prazo definido"/>
    <s v="cliente ainda não definiu _x000a_estou baixando oportunidade mas manterei contato via WhatsApp"/>
    <s v=""/>
    <x v="60"/>
    <s v=""/>
    <x v="70"/>
    <s v=""/>
    <m/>
    <m/>
    <s v=""/>
    <s v=""/>
    <s v=""/>
    <s v=""/>
    <n v="1"/>
  </r>
  <r>
    <x v="1"/>
    <n v="322"/>
    <m/>
    <n v="1962"/>
    <s v=""/>
    <s v=""/>
    <x v="135"/>
    <m/>
    <s v=""/>
    <s v="GB . Importadora - XML"/>
    <s v="19993040768"/>
    <s v=""/>
    <s v="pehpbroglio@gmail.com"/>
    <s v=""/>
    <s v=""/>
    <s v=""/>
    <s v=""/>
    <s v=""/>
    <s v=""/>
    <s v=""/>
    <s v=""/>
    <s v=""/>
    <s v="Pipeline de Vendas"/>
    <s v="Em Fechamento (100%)"/>
    <s v=""/>
    <m/>
    <n v="0"/>
    <n v="30002"/>
    <n v="24"/>
    <s v="Junior Lopes"/>
    <d v="2025-03-31T00:00:00"/>
    <d v="1899-12-30T16:37:55"/>
    <s v=""/>
    <s v="Ganho"/>
    <d v="2025-04-24T00:00:00"/>
    <d v="1899-12-30T12:03:46"/>
    <s v=""/>
    <s v=""/>
    <s v=""/>
    <x v="60"/>
    <s v=""/>
    <x v="0"/>
    <s v=""/>
    <m/>
    <m/>
    <s v=""/>
    <s v=""/>
    <s v=""/>
    <s v=""/>
    <n v="1"/>
  </r>
  <r>
    <x v="1"/>
    <n v="323"/>
    <m/>
    <n v="1963"/>
    <s v=""/>
    <s v=""/>
    <x v="136"/>
    <m/>
    <s v=""/>
    <s v="ARK Brasil"/>
    <s v="21964397621"/>
    <s v=""/>
    <s v="luana.dale@arkbrasil.com.br"/>
    <s v=""/>
    <s v=""/>
    <s v=""/>
    <s v=""/>
    <s v=""/>
    <s v=""/>
    <s v=""/>
    <s v=""/>
    <s v=""/>
    <s v="Pipeline de Vendas"/>
    <s v="Apresentar Proposta (50%)"/>
    <s v=""/>
    <m/>
    <n v="16960"/>
    <n v="1980"/>
    <n v="64"/>
    <s v="Junior Lopes"/>
    <d v="2025-03-31T00:00:00"/>
    <d v="1899-12-30T16:49:47"/>
    <s v=""/>
    <s v="Perdido"/>
    <d v="2025-06-03T00:00:00"/>
    <d v="1899-12-30T11:06:14"/>
    <s v="Não quer mudar a solução atual"/>
    <s v="estou mantendo contato para força de vendas"/>
    <s v=""/>
    <x v="60"/>
    <s v=""/>
    <x v="71"/>
    <s v=""/>
    <m/>
    <m/>
    <s v=""/>
    <s v=""/>
    <s v=""/>
    <s v=""/>
    <n v="1"/>
  </r>
  <r>
    <x v="1"/>
    <n v="328"/>
    <m/>
    <n v="1970"/>
    <s v=""/>
    <s v=""/>
    <x v="137"/>
    <m/>
    <s v=""/>
    <s v="Casa Ambiente"/>
    <s v="11983264135"/>
    <s v=""/>
    <s v="contato@casaambienteud.com.br"/>
    <s v=""/>
    <s v=""/>
    <s v=""/>
    <s v=""/>
    <s v=""/>
    <s v=""/>
    <s v=""/>
    <s v=""/>
    <s v=""/>
    <s v="Pipeline de Vendas"/>
    <s v="Qualificação de Vendas (SQL) (25%)"/>
    <s v=""/>
    <m/>
    <m/>
    <m/>
    <n v="71"/>
    <s v="Junior Lopes"/>
    <d v="2025-04-01T00:00:00"/>
    <d v="1899-12-30T15:57:21"/>
    <s v=""/>
    <s v="Perdido"/>
    <d v="2025-06-11T00:00:00"/>
    <d v="1899-12-30T14:35:24"/>
    <s v="Projeto adiado / sem prazo definido"/>
    <s v="sem resposta ao contato"/>
    <s v="09/04/2025"/>
    <x v="0"/>
    <s v=""/>
    <x v="0"/>
    <s v=""/>
    <m/>
    <m/>
    <s v=""/>
    <s v=""/>
    <s v=""/>
    <s v=""/>
    <n v="1"/>
  </r>
  <r>
    <x v="1"/>
    <n v="333"/>
    <m/>
    <n v="1977"/>
    <s v=""/>
    <s v=""/>
    <x v="138"/>
    <n v="32921219000110"/>
    <s v=""/>
    <s v="MDL Import"/>
    <s v="11910695515"/>
    <s v=""/>
    <s v="janaina@mdlimport.com.br"/>
    <s v=""/>
    <s v=""/>
    <s v=""/>
    <s v=""/>
    <s v=""/>
    <s v=""/>
    <s v=""/>
    <s v=""/>
    <s v="80%"/>
    <s v="Pipeline de Vendas"/>
    <s v="Em negociação (75%)"/>
    <s v=""/>
    <m/>
    <n v="69112"/>
    <n v="318388"/>
    <n v="88"/>
    <s v="Junior Lopes"/>
    <d v="2025-04-03T00:00:00"/>
    <d v="1899-12-30T15:52:15"/>
    <s v=""/>
    <s v="Perdido"/>
    <d v="2025-06-30T00:00:00"/>
    <d v="1899-12-30T15:11:40"/>
    <s v="Não houve aprovação financeira"/>
    <s v="integração com WMS inviabilizou o projeto"/>
    <s v=""/>
    <x v="63"/>
    <s v="Junior Lopes"/>
    <x v="72"/>
    <s v="15/04/2025"/>
    <m/>
    <m/>
    <s v=""/>
    <s v=""/>
    <s v=""/>
    <s v=""/>
    <n v="1"/>
  </r>
  <r>
    <x v="2"/>
    <n v="334"/>
    <m/>
    <n v="1978"/>
    <s v=""/>
    <s v=""/>
    <x v="139"/>
    <n v="55940574000131"/>
    <s v=""/>
    <s v="Herbert Felipe Monteiro"/>
    <s v="16994380062"/>
    <s v=""/>
    <s v="felipe.monteiro@pimpinella.com.br"/>
    <s v=""/>
    <s v=""/>
    <s v=""/>
    <s v=""/>
    <s v=""/>
    <s v="Indicação"/>
    <s v=""/>
    <s v=""/>
    <s v="80%"/>
    <s v="Pipeline de Vendas"/>
    <s v="Em negociação (75%)"/>
    <s v="10x sem juros (0/30/60/90/120/150...)"/>
    <d v="2026-01-31T00:00:00"/>
    <m/>
    <m/>
    <n v="228"/>
    <s v="Rayssa Karapeticov"/>
    <d v="2025-04-04T00:00:00"/>
    <d v="1899-12-30T15:30:02"/>
    <s v=""/>
    <s v="Perdido"/>
    <d v="2025-11-18T00:00:00"/>
    <d v="1899-12-30T09:22:52"/>
    <s v="Projeto adiado / sem prazo definido"/>
    <s v=""/>
    <s v=""/>
    <x v="64"/>
    <s v="Rayssa Karapeticov"/>
    <x v="73"/>
    <s v="16/04/2025"/>
    <m/>
    <m/>
    <s v=""/>
    <s v=""/>
    <s v=""/>
    <s v=""/>
    <n v="1"/>
  </r>
  <r>
    <x v="1"/>
    <n v="336"/>
    <m/>
    <n v="1980"/>
    <s v=""/>
    <s v=""/>
    <x v="140"/>
    <n v="56262451000151"/>
    <s v=""/>
    <s v="Mais Barato Brinquedos"/>
    <s v="(11) 2492-2763"/>
    <s v=""/>
    <s v="fbastosauditores@terra.com.br"/>
    <s v=""/>
    <s v=""/>
    <s v=""/>
    <s v="GUARULHOS"/>
    <s v="SP"/>
    <s v=""/>
    <s v=""/>
    <s v=""/>
    <s v=""/>
    <s v="Pipeline de Vendas"/>
    <s v="Em negociação (75%)"/>
    <s v=""/>
    <m/>
    <n v="110486"/>
    <n v="704412"/>
    <n v="16"/>
    <s v="Junior Lopes"/>
    <d v="2025-04-07T00:00:00"/>
    <d v="1899-12-30T10:11:44"/>
    <s v=""/>
    <s v="Perdido"/>
    <d v="2025-04-23T00:00:00"/>
    <d v="1899-12-30T15:03:14"/>
    <s v="Não houve aprovação financeira"/>
    <s v="Após envio da proposta comercial, não obtive mais retorno do Kaique, estou declinando a oportunidade mas continuarei tentando contato"/>
    <s v="10/04/2025"/>
    <x v="65"/>
    <s v=""/>
    <x v="0"/>
    <s v=""/>
    <m/>
    <m/>
    <s v=""/>
    <s v=""/>
    <s v=""/>
    <s v=""/>
    <n v="1"/>
  </r>
  <r>
    <x v="0"/>
    <n v="338"/>
    <m/>
    <n v="1983"/>
    <s v=""/>
    <s v=""/>
    <x v="141"/>
    <n v="750764000102"/>
    <s v=""/>
    <s v="Adavilson"/>
    <s v="4834332503"/>
    <s v=""/>
    <s v="adavilson@bruver.com.br"/>
    <s v=""/>
    <s v=""/>
    <s v=""/>
    <s v=""/>
    <s v=""/>
    <s v=""/>
    <s v=""/>
    <s v=""/>
    <s v=""/>
    <s v="Pipeline de Vendas"/>
    <s v="Em negociação (75%)"/>
    <s v=""/>
    <m/>
    <n v="50000"/>
    <n v="30502"/>
    <n v="26"/>
    <s v="Paulo Souza"/>
    <d v="2025-04-07T00:00:00"/>
    <d v="1899-12-30T14:24:21"/>
    <s v=""/>
    <s v="Perdido"/>
    <d v="2025-05-03T00:00:00"/>
    <d v="1899-12-30T10:41:00"/>
    <s v="Preço muito alto - fora do budget de investimento"/>
    <s v=""/>
    <s v=""/>
    <x v="66"/>
    <s v="Paulo Souza"/>
    <x v="74"/>
    <s v=""/>
    <m/>
    <m/>
    <s v=""/>
    <s v=""/>
    <s v=""/>
    <s v=""/>
    <n v="1"/>
  </r>
  <r>
    <x v="1"/>
    <n v="343"/>
    <m/>
    <n v="1988"/>
    <s v=""/>
    <s v=""/>
    <x v="142"/>
    <m/>
    <s v=""/>
    <s v="ALMAPY"/>
    <s v="11940062281"/>
    <s v=""/>
    <s v="projetos@almapy.com.br"/>
    <s v=""/>
    <s v=""/>
    <s v=""/>
    <s v=""/>
    <s v=""/>
    <s v=""/>
    <s v=""/>
    <s v=""/>
    <s v=""/>
    <s v="Pipeline de Vendas"/>
    <s v="Apresentar Proposta (50%)"/>
    <s v=""/>
    <m/>
    <n v="32400"/>
    <n v="104544"/>
    <n v="34"/>
    <s v="Junior Lopes"/>
    <d v="2025-04-11T00:00:00"/>
    <d v="1899-12-30T11:56:04"/>
    <s v=""/>
    <s v="Perdido"/>
    <d v="2025-05-15T00:00:00"/>
    <d v="1899-12-30T11:17:15"/>
    <s v="Projeto adiado / sem prazo definido"/>
    <s v="Não vai dar sequencia no momento"/>
    <s v=""/>
    <x v="67"/>
    <s v=""/>
    <x v="75"/>
    <s v=""/>
    <m/>
    <m/>
    <s v=""/>
    <s v=""/>
    <s v=""/>
    <s v=""/>
    <n v="1"/>
  </r>
  <r>
    <x v="1"/>
    <n v="346"/>
    <m/>
    <n v="1991"/>
    <s v=""/>
    <s v=""/>
    <x v="143"/>
    <m/>
    <s v=""/>
    <s v="Renovação Porcelanas"/>
    <s v="11965745182"/>
    <s v=""/>
    <s v="camila@rnporcelanas.com.br"/>
    <s v=""/>
    <s v=""/>
    <s v=""/>
    <s v=""/>
    <s v=""/>
    <s v=""/>
    <s v=""/>
    <s v=""/>
    <s v="30%;90%;Fabio Indica"/>
    <s v="Pipeline de Vendas"/>
    <s v="Em Fechamento (100%)"/>
    <s v=""/>
    <d v="2026-01-31T00:00:00"/>
    <n v="51306"/>
    <n v="2700"/>
    <n v="296"/>
    <s v="Junior Lopes"/>
    <d v="2025-04-15T00:00:00"/>
    <d v="1899-12-30T14:58:16"/>
    <s v=""/>
    <s v="Ganho"/>
    <d v="2025-05-06T00:00:00"/>
    <d v="1899-12-30T11:39:55"/>
    <s v=""/>
    <s v="0"/>
    <s v=""/>
    <x v="6"/>
    <s v=""/>
    <x v="41"/>
    <s v=""/>
    <d v="2026-01-06T00:00:00"/>
    <m/>
    <s v=""/>
    <s v=""/>
    <s v=""/>
    <s v=""/>
    <n v="1"/>
  </r>
  <r>
    <x v="1"/>
    <n v="347"/>
    <m/>
    <n v="1992"/>
    <s v=""/>
    <s v=""/>
    <x v="144"/>
    <m/>
    <s v=""/>
    <s v="Renovação Porcelanas - AFV"/>
    <s v="11965745182"/>
    <s v=""/>
    <s v="camila@rnporcelanas.com.br"/>
    <s v=""/>
    <s v=""/>
    <s v=""/>
    <s v=""/>
    <s v=""/>
    <s v=""/>
    <s v=""/>
    <s v=""/>
    <s v=""/>
    <s v="Pipeline de Vendas"/>
    <s v="Em negociação (75%)"/>
    <s v=""/>
    <m/>
    <n v="15216"/>
    <n v="37684"/>
    <n v="21"/>
    <s v="Junior Lopes"/>
    <d v="2025-04-15T00:00:00"/>
    <d v="1899-12-30T14:59:35"/>
    <s v=""/>
    <s v="Perdido"/>
    <d v="2025-05-06T00:00:00"/>
    <d v="1899-12-30T11:41:13"/>
    <s v="Preço muito alto - fora do budget de investimento"/>
    <s v="Camila ! Sobre o projeto, acredita que vamos dar sequência?_x000a_,_x000a_Camila ? Boa tarde ! Espero que esteja bem ._x000a_Acredita que vamos seguir !_x000a_Oi boa tarde_x000a_Olá Camila ! Bom dia _x000a_Sobre o software? Tem interesse em dar continuidade?_x000a_Oi Camila, acredito que não tenham interesse nesse momento e tudo bem ! fico a disposição caso queira voltar sobre o projeto em breve_x000a_Junior bom dia_x000a_estou te devendo um retorno_x000a_esse valor de investimento no momento não faz sentido pra nós_x000a_voces querem fazer uma contra proposta ? posso verificar com minha diretoria"/>
    <s v=""/>
    <x v="68"/>
    <s v=""/>
    <x v="76"/>
    <s v=""/>
    <m/>
    <m/>
    <s v=""/>
    <s v=""/>
    <s v=""/>
    <s v=""/>
    <n v="1"/>
  </r>
  <r>
    <x v="1"/>
    <n v="348"/>
    <m/>
    <n v="1993"/>
    <s v=""/>
    <s v=""/>
    <x v="145"/>
    <m/>
    <s v=""/>
    <s v="Unik"/>
    <s v="11997371774"/>
    <s v=""/>
    <s v="leonardo@unik.com.br"/>
    <s v=""/>
    <s v=""/>
    <s v=""/>
    <s v=""/>
    <s v=""/>
    <s v=""/>
    <s v=""/>
    <s v=""/>
    <s v=""/>
    <s v="Pipeline de Vendas"/>
    <s v="Em Fechamento (100%)"/>
    <s v="10x sem juros (0/30/60/90/120/150...)"/>
    <m/>
    <n v="15264"/>
    <n v="8210"/>
    <n v="22"/>
    <s v="Junior Lopes"/>
    <d v="2025-04-15T00:00:00"/>
    <d v="1899-12-30T17:21:27"/>
    <s v=""/>
    <s v="Ganho"/>
    <d v="2025-05-07T00:00:00"/>
    <d v="1899-12-30T08:54:54"/>
    <s v=""/>
    <s v=""/>
    <s v=""/>
    <x v="69"/>
    <s v=""/>
    <x v="0"/>
    <s v=""/>
    <m/>
    <m/>
    <s v=""/>
    <s v=""/>
    <s v=""/>
    <s v=""/>
    <n v="1"/>
  </r>
  <r>
    <x v="1"/>
    <n v="351"/>
    <m/>
    <n v="1997"/>
    <s v=""/>
    <s v=""/>
    <x v="146"/>
    <n v="56262451000151"/>
    <s v=""/>
    <s v="XieXie Com. de brinquedos - B2B"/>
    <s v="(11) 2492-2763"/>
    <s v=""/>
    <s v="fbastosauditores@terra.com.br"/>
    <s v=""/>
    <s v=""/>
    <s v=""/>
    <s v="GUARULHOS"/>
    <s v="SP"/>
    <s v=""/>
    <s v=""/>
    <s v=""/>
    <s v=""/>
    <s v="Pipeline de Vendas"/>
    <s v="Em negociação (75%)"/>
    <s v=""/>
    <m/>
    <n v="1620001"/>
    <n v="3400"/>
    <n v="6"/>
    <s v="Junior Lopes"/>
    <d v="2025-04-17T00:00:00"/>
    <d v="1899-12-30T10:20:26"/>
    <s v=""/>
    <s v="Perdido"/>
    <d v="2025-04-23T00:00:00"/>
    <d v="1899-12-30T15:04:23"/>
    <s v="Não houve aprovação financeira"/>
    <s v="Após envio da proposta comercial, não obtive mais retorno do Kaique, estou declinando a oportunidade mas continuarei tentando contato"/>
    <s v=""/>
    <x v="70"/>
    <s v=""/>
    <x v="77"/>
    <s v=""/>
    <m/>
    <m/>
    <s v=""/>
    <s v=""/>
    <s v=""/>
    <s v=""/>
    <n v="1"/>
  </r>
  <r>
    <x v="1"/>
    <n v="352"/>
    <m/>
    <n v="1999"/>
    <s v=""/>
    <s v=""/>
    <x v="147"/>
    <m/>
    <s v=""/>
    <s v="XieXie Com. de brinquedos - BI"/>
    <s v="11949590732"/>
    <s v=""/>
    <s v="fbastosauditores@terra.com.br"/>
    <s v=""/>
    <s v=""/>
    <s v=""/>
    <s v=""/>
    <s v=""/>
    <s v=""/>
    <s v=""/>
    <s v=""/>
    <s v=""/>
    <s v="Pipeline de Vendas"/>
    <s v="Em negociação (75%)"/>
    <s v=""/>
    <m/>
    <n v="16200"/>
    <n v="2160"/>
    <n v="6"/>
    <s v="Junior Lopes"/>
    <d v="2025-04-17T00:00:00"/>
    <d v="1899-12-30T11:11:07"/>
    <s v=""/>
    <s v="Perdido"/>
    <d v="2025-04-23T00:00:00"/>
    <d v="1899-12-30T15:05:19"/>
    <s v="Não houve aprovação financeira"/>
    <s v="Após envio da proposta comercial, não obtive mais retorno do Kaique, estou declinando a oportunidade mas continuarei tentando contato"/>
    <s v=""/>
    <x v="70"/>
    <s v=""/>
    <x v="77"/>
    <s v=""/>
    <m/>
    <m/>
    <s v=""/>
    <s v=""/>
    <s v=""/>
    <s v=""/>
    <n v="1"/>
  </r>
  <r>
    <x v="1"/>
    <n v="353"/>
    <m/>
    <n v="2000"/>
    <s v=""/>
    <s v=""/>
    <x v="148"/>
    <n v="8678467000105"/>
    <s v=""/>
    <s v="Y-888 - ERP"/>
    <s v="(21) 2784-2650"/>
    <s v=""/>
    <s v=""/>
    <s v=""/>
    <s v=""/>
    <s v=""/>
    <s v="DUQUE DE CAXIAS"/>
    <s v="RJ"/>
    <s v=""/>
    <s v=""/>
    <s v=""/>
    <s v="50%"/>
    <s v="Pipeline de Vendas"/>
    <s v="Em negociação (75%)"/>
    <s v=""/>
    <m/>
    <n v="5667184"/>
    <n v="539533"/>
    <n v="68"/>
    <s v="Junior Lopes"/>
    <d v="2025-04-17T00:00:00"/>
    <d v="1899-12-30T12:16:07"/>
    <s v=""/>
    <s v="Perdido"/>
    <d v="2025-06-24T00:00:00"/>
    <d v="1899-12-30T11:54:52"/>
    <s v="Não houve aprovação financeira"/>
    <s v="estou fechando oportunidade porem manterei contato com Victor"/>
    <s v=""/>
    <x v="63"/>
    <s v=""/>
    <x v="72"/>
    <s v=""/>
    <m/>
    <m/>
    <s v=""/>
    <s v=""/>
    <s v=""/>
    <s v=""/>
    <n v="1"/>
  </r>
  <r>
    <x v="1"/>
    <n v="354"/>
    <m/>
    <n v="2002"/>
    <s v=""/>
    <s v=""/>
    <x v="149"/>
    <n v="8678467000105"/>
    <s v=""/>
    <s v="Y 888 importação - AFV"/>
    <s v="(21) 2784-2650"/>
    <s v=""/>
    <s v=""/>
    <s v=""/>
    <s v=""/>
    <s v=""/>
    <s v="DUQUE DE CAXIAS"/>
    <s v="RJ"/>
    <s v=""/>
    <s v=""/>
    <s v=""/>
    <s v="50%"/>
    <s v="Pipeline de Vendas"/>
    <s v="Em negociação (75%)"/>
    <s v=""/>
    <m/>
    <n v="1600"/>
    <n v="28747"/>
    <n v="68"/>
    <s v="Junior Lopes"/>
    <d v="2025-04-17T00:00:00"/>
    <d v="1899-12-30T14:20:48"/>
    <s v=""/>
    <s v="Perdido"/>
    <d v="2025-06-24T00:00:00"/>
    <d v="1899-12-30T11:56:26"/>
    <s v="Não houve aprovação financeira"/>
    <s v="estou descartando oportunidade porem vou manter contato com Victor"/>
    <s v=""/>
    <x v="63"/>
    <s v=""/>
    <x v="72"/>
    <s v=""/>
    <m/>
    <m/>
    <s v=""/>
    <s v=""/>
    <s v=""/>
    <s v=""/>
    <n v="1"/>
  </r>
  <r>
    <x v="1"/>
    <n v="355"/>
    <m/>
    <n v="2004"/>
    <s v=""/>
    <s v=""/>
    <x v="150"/>
    <m/>
    <s v=""/>
    <s v="MDL Import - Cloud"/>
    <s v="11910695515"/>
    <s v=""/>
    <s v="janaina@mdlimpoort.com.br"/>
    <s v=""/>
    <s v=""/>
    <s v=""/>
    <s v=""/>
    <s v=""/>
    <s v=""/>
    <s v=""/>
    <s v=""/>
    <s v="80%"/>
    <s v="Pipeline de Vendas"/>
    <s v="Em negociação (75%)"/>
    <s v=""/>
    <m/>
    <n v="1600"/>
    <n v="32107"/>
    <n v="74"/>
    <s v="Junior Lopes"/>
    <d v="2025-04-17T00:00:00"/>
    <d v="1899-12-30T15:26:06"/>
    <s v=""/>
    <s v="Perdido"/>
    <d v="2025-06-30T00:00:00"/>
    <d v="1899-12-30T15:13:09"/>
    <s v="Não houve aprovação financeira"/>
    <s v="integração com WMS inviabilizou projeto"/>
    <s v=""/>
    <x v="63"/>
    <s v=""/>
    <x v="72"/>
    <s v="15/04/2025"/>
    <m/>
    <m/>
    <s v=""/>
    <s v=""/>
    <s v=""/>
    <s v=""/>
    <n v="1"/>
  </r>
  <r>
    <x v="1"/>
    <n v="358"/>
    <m/>
    <n v="2008"/>
    <s v=""/>
    <s v=""/>
    <x v="151"/>
    <m/>
    <s v=""/>
    <s v="Cassio"/>
    <s v="(22) 99967-1888"/>
    <s v=""/>
    <s v="ngcassio@gmail.com"/>
    <s v=""/>
    <s v=""/>
    <s v=""/>
    <s v="Nova Friburgo"/>
    <s v=""/>
    <s v="Site"/>
    <s v=""/>
    <s v=""/>
    <s v="Solicita demo"/>
    <s v="Pipeline de Vendas"/>
    <s v="Apresentar Proposta (50%)"/>
    <s v=""/>
    <m/>
    <n v="58088"/>
    <n v="112089"/>
    <n v="17"/>
    <s v="Paulo Souza"/>
    <d v="2025-04-28T00:00:00"/>
    <d v="1899-12-30T16:40:49"/>
    <s v=""/>
    <s v="Perdido"/>
    <d v="2025-05-15T00:00:00"/>
    <d v="1899-12-30T15:31:10"/>
    <s v="Projeto adiado / sem prazo definido"/>
    <s v="empresa ainda esta no zero ! cliente mentaliza algo fora da realidade !"/>
    <s v=""/>
    <x v="64"/>
    <s v="Junior Lopes"/>
    <x v="78"/>
    <s v=""/>
    <m/>
    <m/>
    <s v=""/>
    <s v=""/>
    <s v=""/>
    <s v=""/>
    <n v="1"/>
  </r>
  <r>
    <x v="0"/>
    <n v="359"/>
    <m/>
    <n v="2019"/>
    <s v=""/>
    <s v=""/>
    <x v="152"/>
    <m/>
    <s v=""/>
    <s v="Vagner"/>
    <s v="(16) 99126-8825"/>
    <s v=""/>
    <s v="flordesedaimportadora@outlook.com"/>
    <s v=""/>
    <s v=""/>
    <s v=""/>
    <s v=""/>
    <s v=""/>
    <s v=""/>
    <s v=""/>
    <s v=""/>
    <s v=""/>
    <s v="Pipeline de Vendas"/>
    <s v="Em Fechamento (100%)"/>
    <s v=""/>
    <m/>
    <n v="40000"/>
    <n v="23581"/>
    <n v="43"/>
    <s v="Paulo Souza"/>
    <d v="2025-04-28T00:00:00"/>
    <d v="1899-12-30T16:44:09"/>
    <s v=""/>
    <s v="Ganho"/>
    <d v="2025-06-10T00:00:00"/>
    <d v="1899-12-30T12:15:46"/>
    <s v=""/>
    <s v=""/>
    <s v=""/>
    <x v="71"/>
    <s v="Paulo Souza"/>
    <x v="79"/>
    <s v=""/>
    <m/>
    <m/>
    <s v=""/>
    <s v=""/>
    <s v=""/>
    <s v=""/>
    <n v="1"/>
  </r>
  <r>
    <x v="0"/>
    <n v="360"/>
    <m/>
    <n v="1986"/>
    <s v=""/>
    <s v=""/>
    <x v="153"/>
    <m/>
    <s v=""/>
    <s v="Gabrielle"/>
    <s v="(11) 93449-7333"/>
    <s v=""/>
    <s v="gabi.bertoni@outlook.com"/>
    <s v=""/>
    <s v=""/>
    <s v=""/>
    <s v="São Paulo"/>
    <s v=""/>
    <s v="Site"/>
    <s v=""/>
    <s v=""/>
    <s v="Solicita demo"/>
    <s v="Pipeline de Vendas"/>
    <s v="Em negociação (75%)"/>
    <s v=""/>
    <m/>
    <n v="68400"/>
    <n v="302046"/>
    <n v="43"/>
    <s v="Paulo Souza"/>
    <d v="2025-04-28T00:00:00"/>
    <d v="1899-12-30T16:51:09"/>
    <s v=""/>
    <s v="Perdido"/>
    <d v="2025-06-10T00:00:00"/>
    <d v="1899-12-30T14:43:33"/>
    <s v="Não quer mudar a solução atual"/>
    <s v=""/>
    <s v=""/>
    <x v="71"/>
    <s v="Paulo Souza"/>
    <x v="79"/>
    <s v=""/>
    <m/>
    <m/>
    <s v=""/>
    <s v=""/>
    <s v=""/>
    <s v=""/>
    <n v="1"/>
  </r>
  <r>
    <x v="1"/>
    <n v="361"/>
    <m/>
    <n v="2010"/>
    <s v=""/>
    <s v=""/>
    <x v="154"/>
    <m/>
    <s v=""/>
    <s v="Importadora Cassio - Cloud"/>
    <s v="22999671888"/>
    <s v=""/>
    <s v="ngcassio@gmail.com"/>
    <s v=""/>
    <s v=""/>
    <s v=""/>
    <s v=""/>
    <s v=""/>
    <s v=""/>
    <s v=""/>
    <s v=""/>
    <s v=""/>
    <s v="Pipeline de Vendas"/>
    <s v="Apresentar Proposta (50%)"/>
    <s v=""/>
    <m/>
    <n v="26200"/>
    <n v="3400"/>
    <n v="16"/>
    <s v="Junior Lopes"/>
    <d v="2025-04-29T00:00:00"/>
    <d v="1899-12-30T14:49:37"/>
    <s v=""/>
    <s v="Perdido"/>
    <d v="2025-05-15T00:00:00"/>
    <d v="1899-12-30T15:31:35"/>
    <s v="Projeto adiado / sem prazo definido"/>
    <s v="empresa ainda esta no zero ! cliente mentaliza algo fora da realidade !"/>
    <s v=""/>
    <x v="64"/>
    <s v=""/>
    <x v="78"/>
    <s v=""/>
    <m/>
    <m/>
    <s v=""/>
    <s v=""/>
    <s v=""/>
    <s v=""/>
    <n v="1"/>
  </r>
  <r>
    <x v="1"/>
    <n v="362"/>
    <m/>
    <n v="2011"/>
    <s v=""/>
    <s v=""/>
    <x v="155"/>
    <m/>
    <s v=""/>
    <s v="Renovação porcelanas - Cloud"/>
    <s v="11965745182"/>
    <s v=""/>
    <s v="camila@rnporcelanas.com.br"/>
    <s v=""/>
    <s v=""/>
    <s v=""/>
    <s v=""/>
    <s v=""/>
    <s v=""/>
    <s v=""/>
    <s v=""/>
    <s v=""/>
    <s v="Pipeline de Vendas"/>
    <s v="Em negociação (75%)"/>
    <s v=""/>
    <m/>
    <n v="1600"/>
    <n v="1026"/>
    <n v="7"/>
    <s v="Junior Lopes"/>
    <d v="2025-04-29T00:00:00"/>
    <d v="1899-12-30T16:51:32"/>
    <s v=""/>
    <s v="Perdido"/>
    <d v="2025-05-06T00:00:00"/>
    <d v="1899-12-30T15:02:15"/>
    <s v="Preço muito alto - fora do budget de investimento"/>
    <s v=""/>
    <s v=""/>
    <x v="68"/>
    <s v=""/>
    <x v="76"/>
    <s v=""/>
    <m/>
    <m/>
    <s v=""/>
    <s v=""/>
    <s v=""/>
    <s v=""/>
    <n v="1"/>
  </r>
  <r>
    <x v="2"/>
    <n v="366"/>
    <m/>
    <n v="2015"/>
    <s v=""/>
    <s v=""/>
    <x v="156"/>
    <m/>
    <s v=""/>
    <s v="Jose Roberto"/>
    <s v=""/>
    <s v=""/>
    <s v="diretoria@grupobeline.com.br"/>
    <s v=""/>
    <s v=""/>
    <s v=""/>
    <s v=""/>
    <s v=""/>
    <s v=""/>
    <s v=""/>
    <s v=""/>
    <s v=""/>
    <s v="Pipeline de Vendas"/>
    <s v="Em Fechamento (100%)"/>
    <s v=""/>
    <m/>
    <n v="3360"/>
    <n v="165372"/>
    <n v="19"/>
    <s v="Rayssa Karapeticov"/>
    <d v="2025-04-30T00:00:00"/>
    <d v="1899-12-30T15:10:38"/>
    <s v=""/>
    <s v="Ganho"/>
    <d v="2025-05-19T00:00:00"/>
    <d v="1899-12-30T09:02:32"/>
    <s v=""/>
    <s v=""/>
    <s v=""/>
    <x v="72"/>
    <s v=""/>
    <x v="80"/>
    <s v=""/>
    <m/>
    <m/>
    <s v=""/>
    <s v=""/>
    <s v=""/>
    <s v=""/>
    <n v="1"/>
  </r>
  <r>
    <x v="1"/>
    <n v="367"/>
    <m/>
    <n v="2016"/>
    <s v=""/>
    <s v=""/>
    <x v="157"/>
    <m/>
    <s v=""/>
    <s v="Cassio importadora - Cloud"/>
    <s v="22999671888"/>
    <s v=""/>
    <s v="ngcassio@gmail.com"/>
    <s v=""/>
    <s v=""/>
    <s v=""/>
    <s v=""/>
    <s v=""/>
    <s v=""/>
    <s v=""/>
    <s v=""/>
    <s v=""/>
    <s v="Pipeline de Vendas"/>
    <s v="Apresentar Proposta (50%)"/>
    <s v=""/>
    <m/>
    <n v="1600"/>
    <n v="210169"/>
    <n v="15"/>
    <s v="Junior Lopes"/>
    <d v="2025-04-30T00:00:00"/>
    <d v="1899-12-30T15:30:14"/>
    <s v=""/>
    <s v="Perdido"/>
    <d v="2025-05-15T00:00:00"/>
    <d v="1899-12-30T15:31:57"/>
    <s v="Projeto adiado / sem prazo definido"/>
    <s v="empresa ainda esta no zero ! cliente mentaliza algo fora da realidade !"/>
    <s v=""/>
    <x v="64"/>
    <s v=""/>
    <x v="78"/>
    <s v=""/>
    <m/>
    <m/>
    <s v=""/>
    <s v=""/>
    <s v=""/>
    <s v=""/>
    <n v="1"/>
  </r>
  <r>
    <x v="0"/>
    <n v="368"/>
    <m/>
    <n v="2017"/>
    <s v=""/>
    <s v=""/>
    <x v="158"/>
    <n v="18677964000134"/>
    <s v=""/>
    <s v="L&amp;T Importadora"/>
    <s v="1127696004"/>
    <s v=""/>
    <s v="financeiro@ltimportadora.com.br"/>
    <s v=""/>
    <s v=""/>
    <s v=""/>
    <s v=""/>
    <s v=""/>
    <s v=""/>
    <s v=""/>
    <s v=""/>
    <s v=""/>
    <s v="Pipeline de Vendas"/>
    <s v="Em Fechamento (100%)"/>
    <s v=""/>
    <m/>
    <n v="14000"/>
    <n v="886"/>
    <n v="0"/>
    <s v="Paulo Souza"/>
    <d v="2025-05-02T00:00:00"/>
    <d v="1899-12-30T13:58:07"/>
    <s v=""/>
    <s v="Ganho"/>
    <d v="2025-05-02T00:00:00"/>
    <d v="1899-12-30T14:04:33"/>
    <s v=""/>
    <s v=""/>
    <s v=""/>
    <x v="73"/>
    <s v="Paulo Souza"/>
    <x v="81"/>
    <s v=""/>
    <m/>
    <m/>
    <s v=""/>
    <s v=""/>
    <s v=""/>
    <s v=""/>
    <n v="1"/>
  </r>
  <r>
    <x v="0"/>
    <n v="369"/>
    <m/>
    <n v="2018"/>
    <s v=""/>
    <s v=""/>
    <x v="159"/>
    <n v="10906096000105"/>
    <s v=""/>
    <s v="Sakes"/>
    <s v="1133133243"/>
    <s v=""/>
    <s v="MARCIA@SAKES.COM.BR"/>
    <s v=""/>
    <s v=""/>
    <s v=""/>
    <s v=""/>
    <s v=""/>
    <s v=""/>
    <s v=""/>
    <s v=""/>
    <s v=""/>
    <s v="Pipeline de Vendas"/>
    <s v="Agendamento (0%)"/>
    <s v=""/>
    <m/>
    <n v="13600"/>
    <n v="886"/>
    <n v="0"/>
    <s v="Paulo Souza"/>
    <d v="2025-05-02T00:00:00"/>
    <d v="1899-12-30T14:06:04"/>
    <s v=""/>
    <s v="Ganho"/>
    <d v="2025-05-02T00:00:00"/>
    <d v="1899-12-30T14:08:29"/>
    <s v=""/>
    <s v=""/>
    <s v=""/>
    <x v="73"/>
    <s v="Paulo Souza"/>
    <x v="81"/>
    <s v=""/>
    <m/>
    <m/>
    <s v=""/>
    <s v=""/>
    <s v=""/>
    <s v=""/>
    <n v="1"/>
  </r>
  <r>
    <x v="0"/>
    <n v="370"/>
    <m/>
    <n v="2020"/>
    <s v=""/>
    <s v=""/>
    <x v="160"/>
    <m/>
    <s v=""/>
    <s v="Nathan"/>
    <s v="15998182143"/>
    <s v=""/>
    <s v="null"/>
    <s v=""/>
    <s v=""/>
    <s v=""/>
    <s v=""/>
    <s v=""/>
    <s v=""/>
    <s v=""/>
    <s v=""/>
    <s v="50%"/>
    <s v="Pipeline de Vendas"/>
    <s v="Em negociação (75%)"/>
    <s v=""/>
    <m/>
    <n v="51250"/>
    <n v="33381"/>
    <n v="114"/>
    <s v="Paulo Souza"/>
    <d v="2025-05-03T00:00:00"/>
    <d v="1899-12-30T11:03:22"/>
    <s v=""/>
    <s v="Perdido"/>
    <d v="2025-08-25T00:00:00"/>
    <d v="1899-12-30T14:34:31"/>
    <s v="Projeto adiado / sem prazo definido"/>
    <s v=""/>
    <s v=""/>
    <x v="0"/>
    <s v="Paulo Souza"/>
    <x v="82"/>
    <s v=""/>
    <m/>
    <m/>
    <s v=""/>
    <s v=""/>
    <s v=""/>
    <s v=""/>
    <n v="1"/>
  </r>
  <r>
    <x v="1"/>
    <n v="375"/>
    <m/>
    <n v="2024"/>
    <s v=""/>
    <s v=""/>
    <x v="161"/>
    <m/>
    <s v=""/>
    <s v="Mundial Log"/>
    <s v="11947482090"/>
    <s v=""/>
    <s v="rafael@mundiallog.com.br"/>
    <s v=""/>
    <s v=""/>
    <s v=""/>
    <s v=""/>
    <s v=""/>
    <s v=""/>
    <s v=""/>
    <s v=""/>
    <s v=""/>
    <s v="Pipeline de Vendas"/>
    <s v="Apresentar Proposta (50%)"/>
    <s v=""/>
    <m/>
    <n v="69112"/>
    <n v="508112"/>
    <n v="7"/>
    <s v="Junior Lopes"/>
    <d v="2025-05-08T00:00:00"/>
    <d v="1899-12-30T16:11:25"/>
    <s v=""/>
    <s v="Perdido"/>
    <d v="2025-05-15T00:00:00"/>
    <d v="1899-12-30T16:22:48"/>
    <s v="Não houve aprovação financeira"/>
    <s v=""/>
    <s v=""/>
    <x v="74"/>
    <s v=""/>
    <x v="83"/>
    <s v=""/>
    <m/>
    <m/>
    <s v=""/>
    <s v=""/>
    <s v=""/>
    <s v=""/>
    <n v="1"/>
  </r>
  <r>
    <x v="1"/>
    <n v="376"/>
    <m/>
    <n v="2025"/>
    <s v=""/>
    <s v=""/>
    <x v="162"/>
    <m/>
    <s v=""/>
    <s v="Mundial Log - Cloud"/>
    <s v="11947482090"/>
    <s v=""/>
    <s v="rafael@mundiallog.com.br"/>
    <s v=""/>
    <s v=""/>
    <s v=""/>
    <s v=""/>
    <s v=""/>
    <s v=""/>
    <s v=""/>
    <s v=""/>
    <s v=""/>
    <s v="Pipeline de Vendas"/>
    <s v="Apresentar Proposta (50%)"/>
    <s v=""/>
    <m/>
    <n v="1600"/>
    <n v="32107"/>
    <n v="7"/>
    <s v="Junior Lopes"/>
    <d v="2025-05-08T00:00:00"/>
    <d v="1899-12-30T16:29:40"/>
    <s v=""/>
    <s v="Perdido"/>
    <d v="2025-05-15T00:00:00"/>
    <d v="1899-12-30T16:23:14"/>
    <s v="Não houve aprovação financeira"/>
    <s v=""/>
    <s v=""/>
    <x v="74"/>
    <s v=""/>
    <x v="83"/>
    <s v=""/>
    <m/>
    <m/>
    <s v=""/>
    <s v=""/>
    <s v=""/>
    <s v=""/>
    <n v="1"/>
  </r>
  <r>
    <x v="0"/>
    <n v="379"/>
    <m/>
    <n v="2199"/>
    <s v=""/>
    <s v=""/>
    <x v="163"/>
    <m/>
    <s v=""/>
    <s v="Anderson"/>
    <s v="(16) 99707-0733"/>
    <s v=""/>
    <s v=""/>
    <s v=""/>
    <s v=""/>
    <s v=""/>
    <s v=""/>
    <s v=""/>
    <s v="Indicação"/>
    <s v=""/>
    <s v=""/>
    <s v="50%"/>
    <s v="Pipeline de Vendas"/>
    <s v="Em negociação (75%)"/>
    <s v=""/>
    <m/>
    <n v="68400"/>
    <n v="17345"/>
    <n v="108"/>
    <s v="Paulo Souza"/>
    <d v="2025-05-09T00:00:00"/>
    <d v="1899-12-30T16:01:00"/>
    <s v=""/>
    <s v="Perdido"/>
    <d v="2025-08-25T00:00:00"/>
    <d v="1899-12-30T14:28:20"/>
    <s v="Fechou com o concorrente - preço"/>
    <s v=""/>
    <s v=""/>
    <x v="0"/>
    <s v=""/>
    <x v="0"/>
    <s v=""/>
    <m/>
    <m/>
    <s v=""/>
    <s v=""/>
    <s v=""/>
    <s v=""/>
    <n v="1"/>
  </r>
  <r>
    <x v="1"/>
    <n v="382"/>
    <m/>
    <n v="2031"/>
    <s v=""/>
    <s v=""/>
    <x v="164"/>
    <n v="27173648000116"/>
    <s v=""/>
    <s v="Fest Buuble"/>
    <s v="(11) 9342-9915"/>
    <s v=""/>
    <s v="amandfast@gmail.com"/>
    <s v=""/>
    <s v=""/>
    <s v=""/>
    <s v="SAO PAULO"/>
    <s v="SP"/>
    <s v=""/>
    <s v=""/>
    <s v=""/>
    <s v=""/>
    <s v="Pipeline de Vendas"/>
    <s v="Agendamento (0%)"/>
    <s v=""/>
    <m/>
    <m/>
    <m/>
    <n v="50"/>
    <s v="Junior Lopes"/>
    <d v="2025-05-12T00:00:00"/>
    <d v="1899-12-30T15:21:57"/>
    <s v=""/>
    <s v="Perdido"/>
    <d v="2025-07-01T00:00:00"/>
    <d v="1899-12-30T09:46:00"/>
    <s v="Projeto adiado / sem prazo definido"/>
    <s v="Aguardar Rep Mais"/>
    <s v=""/>
    <x v="0"/>
    <s v=""/>
    <x v="84"/>
    <s v=""/>
    <m/>
    <m/>
    <s v=""/>
    <s v=""/>
    <s v=""/>
    <s v=""/>
    <n v="1"/>
  </r>
  <r>
    <x v="1"/>
    <n v="383"/>
    <m/>
    <n v="2033"/>
    <s v=""/>
    <s v=""/>
    <x v="165"/>
    <n v="86890639000105"/>
    <s v=""/>
    <s v="Arrtef Brasil - RMS"/>
    <s v=""/>
    <s v=""/>
    <s v=""/>
    <s v=""/>
    <s v=""/>
    <s v=""/>
    <s v="CURITIBA"/>
    <s v="PR"/>
    <s v=""/>
    <s v=""/>
    <s v=""/>
    <s v=""/>
    <s v="Pipeline de Vendas"/>
    <s v="Agendamento (0%)"/>
    <s v=""/>
    <m/>
    <m/>
    <m/>
    <n v="50"/>
    <s v="Junior Lopes"/>
    <d v="2025-05-12T00:00:00"/>
    <d v="1899-12-30T15:34:32"/>
    <s v=""/>
    <s v="Perdido"/>
    <d v="2025-07-01T00:00:00"/>
    <d v="1899-12-30T09:46:34"/>
    <s v="Projeto adiado / sem prazo definido"/>
    <s v="Aguardar Rep Mais"/>
    <s v=""/>
    <x v="0"/>
    <s v=""/>
    <x v="0"/>
    <s v=""/>
    <m/>
    <m/>
    <s v=""/>
    <s v=""/>
    <s v=""/>
    <s v=""/>
    <n v="1"/>
  </r>
  <r>
    <x v="1"/>
    <n v="384"/>
    <m/>
    <n v="2036"/>
    <s v=""/>
    <s v=""/>
    <x v="166"/>
    <m/>
    <s v=""/>
    <s v="Fa fa Import"/>
    <s v="21989290057"/>
    <s v=""/>
    <s v="lucianadsmoura@gmail.com"/>
    <s v=""/>
    <s v=""/>
    <s v=""/>
    <s v=""/>
    <s v=""/>
    <s v=""/>
    <s v=""/>
    <s v=""/>
    <s v="90%"/>
    <s v="Pipeline de Vendas"/>
    <s v="Em Fechamento (100%)"/>
    <s v=""/>
    <m/>
    <n v="3230634"/>
    <n v="17706"/>
    <n v="35"/>
    <s v="Junior Lopes"/>
    <d v="2025-05-13T00:00:00"/>
    <d v="1899-12-30T17:15:52"/>
    <s v=""/>
    <s v="Ganho"/>
    <d v="2025-06-17T00:00:00"/>
    <d v="1899-12-30T16:19:34"/>
    <s v=""/>
    <s v=""/>
    <s v=""/>
    <x v="75"/>
    <s v=""/>
    <x v="85"/>
    <s v=""/>
    <m/>
    <m/>
    <s v=""/>
    <s v=""/>
    <s v=""/>
    <s v=""/>
    <n v="1"/>
  </r>
  <r>
    <x v="1"/>
    <n v="385"/>
    <m/>
    <n v="2037"/>
    <s v=""/>
    <s v=""/>
    <x v="167"/>
    <m/>
    <s v=""/>
    <s v="Fa Fa Import - Cloud"/>
    <s v="21989290058"/>
    <s v=""/>
    <s v="lucianadsmoura@gmail.com"/>
    <s v=""/>
    <s v=""/>
    <s v=""/>
    <s v=""/>
    <s v=""/>
    <s v=""/>
    <s v=""/>
    <s v=""/>
    <s v="90%"/>
    <s v="Pipeline de Vendas"/>
    <s v="Em Fechamento (100%)"/>
    <s v=""/>
    <m/>
    <n v="0"/>
    <n v="208313"/>
    <n v="35"/>
    <s v="Junior Lopes"/>
    <d v="2025-05-13T00:00:00"/>
    <d v="1899-12-30T17:16:59"/>
    <s v=""/>
    <s v="Ganho"/>
    <d v="2025-06-17T00:00:00"/>
    <d v="1899-12-30T16:20:18"/>
    <s v=""/>
    <s v=""/>
    <s v=""/>
    <x v="75"/>
    <s v=""/>
    <x v="85"/>
    <s v=""/>
    <m/>
    <m/>
    <s v=""/>
    <s v=""/>
    <s v=""/>
    <s v=""/>
    <n v="1"/>
  </r>
  <r>
    <x v="1"/>
    <n v="405"/>
    <m/>
    <n v="2061"/>
    <s v=""/>
    <s v=""/>
    <x v="168"/>
    <m/>
    <s v=""/>
    <s v="Amazonia aromas"/>
    <s v="11991266405"/>
    <s v=""/>
    <s v="atendimento@amazoniaaromas.com.br"/>
    <s v=""/>
    <s v=""/>
    <s v=""/>
    <s v=""/>
    <s v=""/>
    <s v=""/>
    <s v=""/>
    <s v=""/>
    <s v="50%"/>
    <s v="Pipeline de Vendas"/>
    <s v="Em negociação (75%)"/>
    <s v=""/>
    <m/>
    <m/>
    <m/>
    <n v="20"/>
    <s v="Junior Lopes"/>
    <d v="2025-05-28T00:00:00"/>
    <d v="1899-12-30T09:32:20"/>
    <s v=""/>
    <s v="Perdido"/>
    <d v="2025-06-17T00:00:00"/>
    <d v="1899-12-30T16:21:42"/>
    <s v="Nossa solução não atende - falta funcionalidade"/>
    <s v="15:18, 3/6/2025 André Oliveira (Amazonia Aromas): Quanto?_x000a_15:21, 3/6/2025 Junior Lopes: acredito que uns 90 dias ! estamos em homologação em um cliente da nossa base_x000a_15:31, 3/6/2025 André Oliveira (Amazonia Aromas): Mobile Android e ios normal_x000a_15:34, 3/6/2025 Junior Lopes: Mobile Android Off-line _x000a_iOS e Windows on-line_x000a_15:37, 3/6/2025 André Oliveira (Amazonia Aromas): Hum ios ferra um pouco"/>
    <s v=""/>
    <x v="76"/>
    <s v=""/>
    <x v="86"/>
    <s v=""/>
    <m/>
    <m/>
    <s v=""/>
    <s v=""/>
    <s v=""/>
    <s v=""/>
    <n v="1"/>
  </r>
  <r>
    <x v="1"/>
    <n v="406"/>
    <m/>
    <n v="2062"/>
    <s v=""/>
    <s v=""/>
    <x v="169"/>
    <n v="5215210000110"/>
    <s v=""/>
    <s v="AZPR"/>
    <s v="(41) 3376-2439"/>
    <s v=""/>
    <s v=""/>
    <s v=""/>
    <s v=""/>
    <s v=""/>
    <s v="CURITIBA"/>
    <s v="PR"/>
    <s v=""/>
    <s v=""/>
    <s v=""/>
    <s v="30%"/>
    <s v="Pipeline de Vendas"/>
    <s v="Apresentar Solução (35%)"/>
    <s v=""/>
    <m/>
    <n v="622008"/>
    <n v="23661"/>
    <n v="26"/>
    <s v="Junior Lopes"/>
    <d v="2025-05-28T00:00:00"/>
    <d v="1899-12-30T09:50:40"/>
    <s v=""/>
    <s v="Perdido"/>
    <d v="2025-06-23T00:00:00"/>
    <d v="1899-12-30T08:51:59"/>
    <s v="Projeto adiado / sem prazo definido"/>
    <s v="voltar contato quando RepMais"/>
    <s v=""/>
    <x v="77"/>
    <s v=""/>
    <x v="87"/>
    <s v=""/>
    <m/>
    <m/>
    <s v=""/>
    <s v=""/>
    <s v=""/>
    <s v=""/>
    <n v="1"/>
  </r>
  <r>
    <x v="1"/>
    <n v="407"/>
    <m/>
    <n v="2065"/>
    <s v=""/>
    <s v=""/>
    <x v="170"/>
    <n v="5215210000110"/>
    <s v=""/>
    <s v="AZPR"/>
    <s v="(41) 3376-2439"/>
    <s v=""/>
    <s v=""/>
    <s v=""/>
    <s v=""/>
    <s v=""/>
    <s v="CURITIBA"/>
    <s v="PR"/>
    <s v=""/>
    <s v=""/>
    <s v=""/>
    <s v="30%"/>
    <s v="Pipeline de Vendas"/>
    <s v="Apresentar Solução (35%)"/>
    <s v=""/>
    <m/>
    <n v="1600"/>
    <n v="26507"/>
    <n v="26"/>
    <s v="Junior Lopes"/>
    <d v="2025-05-28T00:00:00"/>
    <d v="1899-12-30T09:54:27"/>
    <s v=""/>
    <s v="Perdido"/>
    <d v="2025-06-23T00:00:00"/>
    <d v="1899-12-30T08:53:19"/>
    <s v="Projeto adiado / sem prazo definido"/>
    <s v="Procurar quando RepMais"/>
    <s v=""/>
    <x v="77"/>
    <s v=""/>
    <x v="87"/>
    <s v=""/>
    <m/>
    <m/>
    <s v=""/>
    <s v=""/>
    <s v=""/>
    <s v=""/>
    <n v="1"/>
  </r>
  <r>
    <x v="1"/>
    <n v="408"/>
    <m/>
    <n v="2068"/>
    <s v=""/>
    <s v=""/>
    <x v="171"/>
    <m/>
    <s v=""/>
    <s v="Erca alumínio"/>
    <s v="19997023116"/>
    <s v=""/>
    <s v="rafael@ercaaluminio.com.br"/>
    <s v=""/>
    <s v=""/>
    <s v=""/>
    <s v=""/>
    <s v=""/>
    <s v=""/>
    <s v=""/>
    <s v=""/>
    <s v=""/>
    <s v="Pipeline de Vendas"/>
    <s v="Em Fechamento (100%)"/>
    <s v="10x sem juros (0/30/60/90/120/150...)"/>
    <m/>
    <n v="123066"/>
    <n v="0"/>
    <n v="0"/>
    <s v="Junior Lopes"/>
    <d v="2025-05-28T00:00:00"/>
    <d v="1899-12-30T10:09:38"/>
    <s v=""/>
    <s v="Ganho"/>
    <d v="2025-05-28T00:00:00"/>
    <d v="1899-12-30T10:22:07"/>
    <s v=""/>
    <s v=""/>
    <s v=""/>
    <x v="78"/>
    <s v=""/>
    <x v="0"/>
    <s v=""/>
    <m/>
    <m/>
    <s v=""/>
    <s v=""/>
    <s v=""/>
    <s v=""/>
    <n v="1"/>
  </r>
  <r>
    <x v="1"/>
    <n v="409"/>
    <m/>
    <n v="2069"/>
    <s v=""/>
    <s v=""/>
    <x v="172"/>
    <n v="56262451000151"/>
    <s v=""/>
    <s v="XieXie Mais barato"/>
    <s v="(11) 2492-2763"/>
    <s v=""/>
    <s v="fbastosauditores@terra.com.br"/>
    <s v=""/>
    <s v=""/>
    <s v=""/>
    <s v="GUARULHOS"/>
    <s v="SP"/>
    <s v=""/>
    <s v=""/>
    <s v=""/>
    <s v=""/>
    <s v="Pipeline de Vendas"/>
    <s v="Em negociação (75%)"/>
    <s v=""/>
    <m/>
    <n v="52258"/>
    <n v="606364"/>
    <n v="6"/>
    <s v="Junior Lopes"/>
    <d v="2025-05-28T00:00:00"/>
    <d v="1899-12-30T10:32:07"/>
    <s v=""/>
    <s v="Perdido"/>
    <d v="2025-06-03T00:00:00"/>
    <d v="1899-12-30T10:00:29"/>
    <s v="Preço muito alto - fora do budget de investimento"/>
    <s v="PROPOSTA RENOVCADA POREM CLIENTE NÃO DEU SEQUENCIA"/>
    <s v=""/>
    <x v="79"/>
    <s v=""/>
    <x v="0"/>
    <s v=""/>
    <m/>
    <m/>
    <s v=""/>
    <s v=""/>
    <s v=""/>
    <s v=""/>
    <n v="1"/>
  </r>
  <r>
    <x v="1"/>
    <n v="410"/>
    <m/>
    <n v="2071"/>
    <s v=""/>
    <s v=""/>
    <x v="173"/>
    <n v="56262451000151"/>
    <s v=""/>
    <s v="XieXie Mais Barato - BI B2B"/>
    <s v="(11) 2492-2763"/>
    <s v=""/>
    <s v="fbastosauditores@terra.com.br"/>
    <s v=""/>
    <s v=""/>
    <s v=""/>
    <s v="GUARULHOS"/>
    <s v="SP"/>
    <s v=""/>
    <s v=""/>
    <s v=""/>
    <s v=""/>
    <s v="Pipeline de Vendas"/>
    <s v="Em negociação (75%)"/>
    <s v=""/>
    <m/>
    <n v="42400"/>
    <n v="5560"/>
    <n v="6"/>
    <s v="Junior Lopes"/>
    <d v="2025-05-28T00:00:00"/>
    <d v="1899-12-30T10:38:48"/>
    <s v=""/>
    <s v="Perdido"/>
    <d v="2025-06-03T00:00:00"/>
    <d v="1899-12-30T10:01:26"/>
    <s v="Preço muito alto - fora do budget de investimento"/>
    <s v="PROPOSTA RENOVADA POREM CÇIENTE NÃO DEU SEQUENCIA"/>
    <s v=""/>
    <x v="79"/>
    <s v=""/>
    <x v="0"/>
    <s v=""/>
    <m/>
    <m/>
    <s v=""/>
    <s v=""/>
    <s v=""/>
    <s v=""/>
    <n v="1"/>
  </r>
  <r>
    <x v="1"/>
    <n v="412"/>
    <m/>
    <n v="2075"/>
    <s v=""/>
    <s v=""/>
    <x v="174"/>
    <m/>
    <s v=""/>
    <s v="Gala - B2B"/>
    <s v="67981004151"/>
    <s v=""/>
    <s v="diego@grupogala.com.br"/>
    <s v=""/>
    <s v=""/>
    <s v=""/>
    <s v=""/>
    <s v=""/>
    <s v=""/>
    <s v=""/>
    <s v=""/>
    <s v="50%"/>
    <s v="Pipeline de Vendas"/>
    <s v="Em negociação (75%)"/>
    <s v=""/>
    <m/>
    <n v="26200"/>
    <n v="3400"/>
    <n v="92"/>
    <s v="Junior Lopes"/>
    <d v="2025-05-28T00:00:00"/>
    <d v="1899-12-30T10:50:13"/>
    <s v=""/>
    <s v="Perdido"/>
    <d v="2025-08-28T00:00:00"/>
    <d v="1899-12-30T15:33:20"/>
    <s v="Não houve aprovação financeira"/>
    <s v=""/>
    <s v=""/>
    <x v="80"/>
    <s v=""/>
    <x v="87"/>
    <s v=""/>
    <m/>
    <m/>
    <s v=""/>
    <s v=""/>
    <s v=""/>
    <s v=""/>
    <n v="1"/>
  </r>
  <r>
    <x v="1"/>
    <n v="413"/>
    <m/>
    <n v="2076"/>
    <s v=""/>
    <s v=""/>
    <x v="175"/>
    <m/>
    <s v=""/>
    <s v="Flora Nectar - AFV"/>
    <s v="19971332893"/>
    <s v=""/>
    <s v="marina.dopekevicuz@v4company.com"/>
    <s v=""/>
    <s v=""/>
    <s v=""/>
    <s v=""/>
    <s v=""/>
    <s v=""/>
    <s v=""/>
    <s v=""/>
    <s v=""/>
    <s v="Pipeline de Vendas"/>
    <s v="Apresentar Solução (35%)"/>
    <s v=""/>
    <m/>
    <m/>
    <m/>
    <n v="12"/>
    <s v="Junior Lopes"/>
    <d v="2025-05-28T00:00:00"/>
    <d v="1899-12-30T11:12:16"/>
    <s v=""/>
    <s v="Perdido"/>
    <d v="2025-06-09T00:00:00"/>
    <d v="1899-12-30T15:53:56"/>
    <s v="Projeto adiado / sem prazo definido"/>
    <s v="Rayssa esta mantendo contato"/>
    <s v=""/>
    <x v="0"/>
    <s v=""/>
    <x v="88"/>
    <s v=""/>
    <m/>
    <m/>
    <s v=""/>
    <s v=""/>
    <s v=""/>
    <s v=""/>
    <n v="1"/>
  </r>
  <r>
    <x v="1"/>
    <n v="415"/>
    <m/>
    <n v="2127"/>
    <s v=""/>
    <s v=""/>
    <x v="176"/>
    <m/>
    <s v=""/>
    <s v="Xpert - ERP"/>
    <s v="11996219888"/>
    <s v=""/>
    <s v="manuela.xpert@gmail.com"/>
    <s v=""/>
    <s v=""/>
    <s v=""/>
    <s v=""/>
    <s v=""/>
    <s v=""/>
    <s v=""/>
    <s v=""/>
    <s v=""/>
    <s v="Pipeline de Vendas"/>
    <s v="Apresentar Solução (35%)"/>
    <s v=""/>
    <m/>
    <n v="622008"/>
    <n v="28481"/>
    <n v="12"/>
    <s v="Junior Lopes"/>
    <d v="2025-05-30T00:00:00"/>
    <d v="1899-12-30T09:10:03"/>
    <s v=""/>
    <s v="Perdido"/>
    <d v="2025-06-11T00:00:00"/>
    <d v="1899-12-30T14:24:50"/>
    <s v="Não houve aprovação financeira"/>
    <s v="informou que não tem verba de investimento"/>
    <s v=""/>
    <x v="76"/>
    <s v=""/>
    <x v="89"/>
    <s v=""/>
    <m/>
    <m/>
    <s v=""/>
    <s v=""/>
    <s v=""/>
    <s v=""/>
    <n v="1"/>
  </r>
  <r>
    <x v="1"/>
    <n v="416"/>
    <m/>
    <n v="2132"/>
    <s v=""/>
    <s v=""/>
    <x v="177"/>
    <m/>
    <s v=""/>
    <s v="Xpert - Cloud"/>
    <s v="11996219888"/>
    <s v=""/>
    <s v="manuela.xpert@gmail.com"/>
    <s v=""/>
    <s v=""/>
    <s v=""/>
    <s v=""/>
    <s v=""/>
    <s v=""/>
    <s v=""/>
    <s v=""/>
    <s v=""/>
    <s v="Pipeline de Vendas"/>
    <s v="Apresentar Proposta (50%)"/>
    <s v=""/>
    <m/>
    <n v="1600"/>
    <n v="28747"/>
    <n v="12"/>
    <s v="Junior Lopes"/>
    <d v="2025-05-30T00:00:00"/>
    <d v="1899-12-30T10:11:13"/>
    <s v=""/>
    <s v="Perdido"/>
    <d v="2025-06-11T00:00:00"/>
    <d v="1899-12-30T14:25:29"/>
    <s v="Não houve aprovação financeira"/>
    <s v="informou que não tem verba para investimento"/>
    <s v=""/>
    <x v="76"/>
    <s v=""/>
    <x v="89"/>
    <s v=""/>
    <m/>
    <m/>
    <s v=""/>
    <s v=""/>
    <s v=""/>
    <s v=""/>
    <n v="1"/>
  </r>
  <r>
    <x v="1"/>
    <n v="417"/>
    <m/>
    <n v="2133"/>
    <s v=""/>
    <s v=""/>
    <x v="178"/>
    <m/>
    <s v=""/>
    <s v="Ponto das festas"/>
    <s v="43988505997"/>
    <s v=""/>
    <s v="gerencia@pontodasfestas.com.br"/>
    <s v=""/>
    <s v=""/>
    <s v=""/>
    <s v=""/>
    <s v=""/>
    <s v=""/>
    <s v=""/>
    <s v=""/>
    <s v="30%"/>
    <s v="Pipeline de Vendas"/>
    <s v="Apresentar Proposta (50%)"/>
    <s v=""/>
    <m/>
    <n v="16960"/>
    <n v="40572"/>
    <n v="52"/>
    <s v="Junior Lopes"/>
    <d v="2025-05-30T00:00:00"/>
    <d v="1899-12-30T10:33:15"/>
    <s v=""/>
    <s v="Perdido"/>
    <d v="2025-07-21T00:00:00"/>
    <d v="1899-12-30T09:14:38"/>
    <s v="Projeto adiado / sem prazo definido"/>
    <s v="varias tentativas de contato sem retorno"/>
    <s v=""/>
    <x v="76"/>
    <s v=""/>
    <x v="89"/>
    <s v=""/>
    <m/>
    <m/>
    <s v=""/>
    <s v=""/>
    <s v=""/>
    <s v=""/>
    <n v="1"/>
  </r>
  <r>
    <x v="1"/>
    <n v="419"/>
    <m/>
    <n v="2144"/>
    <s v=""/>
    <s v=""/>
    <x v="179"/>
    <m/>
    <s v=""/>
    <s v="Oikos - Cloud"/>
    <s v="11987154112"/>
    <s v=""/>
    <s v="pedro@grupoecoa.com.br"/>
    <s v=""/>
    <s v=""/>
    <s v=""/>
    <s v=""/>
    <s v=""/>
    <s v=""/>
    <s v=""/>
    <s v=""/>
    <s v="90%"/>
    <s v="Pipeline de Vendas"/>
    <s v="Em Fechamento (100%)"/>
    <s v=""/>
    <m/>
    <n v="1600"/>
    <n v="1833334"/>
    <n v="52"/>
    <s v="Junior Lopes"/>
    <d v="2025-05-30T00:00:00"/>
    <d v="1899-12-30T14:05:15"/>
    <s v=""/>
    <s v="Perdido"/>
    <d v="2025-07-21T00:00:00"/>
    <d v="1899-12-30T09:47:38"/>
    <s v="Projeto adiado / sem prazo definido"/>
    <s v="cliente não responde sobre a continuidade"/>
    <s v=""/>
    <x v="80"/>
    <s v=""/>
    <x v="0"/>
    <s v=""/>
    <m/>
    <m/>
    <s v=""/>
    <s v=""/>
    <s v=""/>
    <s v=""/>
    <n v="1"/>
  </r>
  <r>
    <x v="1"/>
    <n v="422"/>
    <m/>
    <n v="2141"/>
    <s v=""/>
    <s v=""/>
    <x v="180"/>
    <n v="27898532000144"/>
    <s v=""/>
    <s v="Tainã"/>
    <s v="(14) 99811-7753"/>
    <s v=""/>
    <s v="atacadaodastripasfinanceiro@hotmail.com"/>
    <s v=""/>
    <s v=""/>
    <s v=""/>
    <s v="Tupã"/>
    <s v="SP"/>
    <s v="Inbound Opens"/>
    <s v=""/>
    <s v=""/>
    <s v=""/>
    <s v="Pipeline de Vendas"/>
    <s v="Apresentar Solução (35%)"/>
    <s v=""/>
    <m/>
    <n v="69592"/>
    <n v="23661"/>
    <n v="42"/>
    <s v="Débora Duarte"/>
    <d v="2025-06-02T00:00:00"/>
    <d v="1899-12-30T10:51:39"/>
    <s v=""/>
    <s v="Perdido"/>
    <d v="2025-07-14T00:00:00"/>
    <d v="1899-12-30T10:33:15"/>
    <s v="Projeto adiado / sem prazo definido"/>
    <s v="Descartando ! cliente não encontra tempo para seguir"/>
    <s v="30/05/2025 11:00"/>
    <x v="81"/>
    <s v="Débora Duarte"/>
    <x v="90"/>
    <s v="13/06/2025"/>
    <m/>
    <m/>
    <s v=""/>
    <s v=""/>
    <s v=""/>
    <s v=""/>
    <n v="1"/>
  </r>
  <r>
    <x v="2"/>
    <n v="423"/>
    <m/>
    <n v="2179"/>
    <s v=""/>
    <s v=""/>
    <x v="181"/>
    <n v="62182753000112"/>
    <s v=""/>
    <s v="Felipe"/>
    <s v="16994380062"/>
    <s v=""/>
    <s v="felipe.monteiro@pimpinella.com.br"/>
    <s v=""/>
    <s v=""/>
    <s v=""/>
    <s v=""/>
    <s v=""/>
    <s v="Indicação"/>
    <s v=""/>
    <s v=""/>
    <s v="80%"/>
    <s v="Pipeline de Vendas"/>
    <s v="Em negociação (75%)"/>
    <s v=""/>
    <m/>
    <n v="14280"/>
    <n v="127673"/>
    <n v="168"/>
    <s v="Rayssa Karapeticov"/>
    <d v="2025-06-03T00:00:00"/>
    <d v="1899-12-30T11:32:35"/>
    <s v=""/>
    <s v="Perdido"/>
    <d v="2025-11-18T00:00:00"/>
    <d v="1899-12-30T09:34:53"/>
    <s v="Projeto adiado / sem prazo definido"/>
    <s v=""/>
    <s v=""/>
    <x v="82"/>
    <s v="Rayssa Karapeticov"/>
    <x v="91"/>
    <s v=""/>
    <m/>
    <m/>
    <s v=""/>
    <s v=""/>
    <s v=""/>
    <s v=""/>
    <n v="1"/>
  </r>
  <r>
    <x v="1"/>
    <n v="425"/>
    <m/>
    <n v="2181"/>
    <s v=""/>
    <s v=""/>
    <x v="182"/>
    <n v="3971592000187"/>
    <s v=""/>
    <s v="Brinquedos Afv (RMS_AFV)"/>
    <s v="(51) 99840-3160"/>
    <s v=""/>
    <s v=""/>
    <s v=""/>
    <s v=""/>
    <s v=""/>
    <s v="PORTAO"/>
    <s v="RS"/>
    <s v=""/>
    <s v=""/>
    <s v=""/>
    <s v="30%"/>
    <s v="Pipeline de Vendas"/>
    <s v="Apresentar Solução (35%)"/>
    <s v=""/>
    <m/>
    <m/>
    <m/>
    <n v="26"/>
    <s v="Junior Lopes"/>
    <d v="2025-06-05T00:00:00"/>
    <d v="1899-12-30T10:52:19"/>
    <s v=""/>
    <s v="Perdido"/>
    <d v="2025-07-01T00:00:00"/>
    <d v="1899-12-30T09:56:25"/>
    <s v="Projeto adiado / sem prazo definido"/>
    <s v="Aguardar Rep Mais"/>
    <s v=""/>
    <x v="0"/>
    <s v=""/>
    <x v="0"/>
    <s v=""/>
    <m/>
    <m/>
    <s v=""/>
    <s v=""/>
    <s v=""/>
    <s v=""/>
    <n v="1"/>
  </r>
  <r>
    <x v="1"/>
    <n v="426"/>
    <m/>
    <n v="2186"/>
    <s v=""/>
    <s v=""/>
    <x v="183"/>
    <n v="480542000290"/>
    <s v=""/>
    <s v="Anjo brinquedos (RMS - AFV)"/>
    <s v="15997651713"/>
    <s v=""/>
    <s v="fat@brinquedosanjo.com.br"/>
    <s v=""/>
    <s v=""/>
    <s v=""/>
    <s v="LARANJAL PAULISTA"/>
    <s v="SP"/>
    <s v=""/>
    <s v=""/>
    <s v=""/>
    <s v=""/>
    <s v="Pipeline de Vendas"/>
    <s v="Agendamento (0%)"/>
    <s v=""/>
    <m/>
    <m/>
    <m/>
    <n v="26"/>
    <s v="Junior Lopes"/>
    <d v="2025-06-05T00:00:00"/>
    <d v="1899-12-30T11:03:34"/>
    <s v=""/>
    <s v="Perdido"/>
    <d v="2025-07-01T00:00:00"/>
    <d v="1899-12-30T09:47:14"/>
    <s v="Projeto adiado / sem prazo definido"/>
    <s v="Aguardar Rep Mais"/>
    <s v=""/>
    <x v="0"/>
    <s v=""/>
    <x v="0"/>
    <s v=""/>
    <m/>
    <m/>
    <s v=""/>
    <s v=""/>
    <s v=""/>
    <s v=""/>
    <n v="1"/>
  </r>
  <r>
    <x v="1"/>
    <n v="428"/>
    <m/>
    <n v="2189"/>
    <s v=""/>
    <s v=""/>
    <x v="184"/>
    <n v="10509268000107"/>
    <s v=""/>
    <s v="meio atacado"/>
    <s v="19997556622"/>
    <s v=""/>
    <s v="camila@meioatacado.com.br"/>
    <s v=""/>
    <s v=""/>
    <s v=""/>
    <s v="PIRACICABA"/>
    <s v="SP"/>
    <s v=""/>
    <s v=""/>
    <s v=""/>
    <s v="30%"/>
    <s v="Pipeline de Vendas"/>
    <s v="Apresentar Solução (35%)"/>
    <s v=""/>
    <m/>
    <n v="73430"/>
    <n v="37382"/>
    <n v="24"/>
    <s v="Junior Lopes"/>
    <d v="2025-06-06T00:00:00"/>
    <d v="1899-12-30T10:17:02"/>
    <s v=""/>
    <s v="Perdido"/>
    <d v="2025-06-30T00:00:00"/>
    <d v="1899-12-30T15:06:25"/>
    <s v="Projeto adiado / sem prazo definido"/>
    <s v="não responde mais aos contatos"/>
    <s v=""/>
    <x v="83"/>
    <s v=""/>
    <x v="92"/>
    <s v="16/06/2025"/>
    <m/>
    <m/>
    <s v=""/>
    <s v=""/>
    <s v=""/>
    <s v=""/>
    <n v="1"/>
  </r>
  <r>
    <x v="1"/>
    <n v="431"/>
    <m/>
    <n v="2194"/>
    <s v=""/>
    <s v=""/>
    <x v="185"/>
    <n v="28646036000166"/>
    <s v=""/>
    <s v="Goal comercial"/>
    <s v="11938010304"/>
    <s v=""/>
    <s v="juraci@goalcomercial.com.br"/>
    <s v=""/>
    <s v=""/>
    <s v=""/>
    <s v="SAO CAETANO DO SUL"/>
    <s v="SP"/>
    <s v=""/>
    <s v=""/>
    <s v=""/>
    <s v="30%"/>
    <s v="Pipeline de Vendas"/>
    <s v="Em negociação (75%)"/>
    <s v=""/>
    <m/>
    <n v="16960"/>
    <n v="70432"/>
    <n v="80"/>
    <s v="Junior Lopes"/>
    <d v="2025-06-09T00:00:00"/>
    <d v="1899-12-30T11:25:17"/>
    <s v=""/>
    <s v="Perdido"/>
    <d v="2025-08-28T00:00:00"/>
    <d v="1899-12-30T15:35:05"/>
    <s v="Projeto adiado / sem prazo definido"/>
    <s v="sem retorno do cliente"/>
    <s v=""/>
    <x v="84"/>
    <s v=""/>
    <x v="93"/>
    <s v="13/03/2026"/>
    <m/>
    <m/>
    <s v=""/>
    <s v=""/>
    <s v=""/>
    <s v=""/>
    <n v="1"/>
  </r>
  <r>
    <x v="1"/>
    <n v="433"/>
    <m/>
    <n v="2197"/>
    <s v=""/>
    <s v=""/>
    <x v="186"/>
    <m/>
    <s v=""/>
    <s v="Galpão importadora"/>
    <s v="81992522279"/>
    <s v=""/>
    <s v="null"/>
    <s v=""/>
    <s v=""/>
    <s v=""/>
    <s v=""/>
    <s v=""/>
    <s v=""/>
    <s v=""/>
    <s v=""/>
    <s v=""/>
    <s v="Pipeline de Vendas"/>
    <s v="Apresentar Solução (35%)"/>
    <s v=""/>
    <m/>
    <n v="16960"/>
    <n v="998"/>
    <n v="20"/>
    <s v="Junior Lopes"/>
    <d v="2025-06-11T00:00:00"/>
    <d v="1899-12-30T09:05:28"/>
    <s v=""/>
    <s v="Perdido"/>
    <d v="2025-07-01T00:00:00"/>
    <d v="1899-12-30T09:59:28"/>
    <s v="Projeto adiado / sem prazo definido"/>
    <s v="cliente não encontra tempo para apresentação"/>
    <s v=""/>
    <x v="85"/>
    <s v=""/>
    <x v="94"/>
    <s v=""/>
    <m/>
    <m/>
    <s v=""/>
    <s v=""/>
    <s v=""/>
    <s v=""/>
    <n v="1"/>
  </r>
  <r>
    <x v="0"/>
    <n v="434"/>
    <m/>
    <n v="2198"/>
    <s v=""/>
    <s v=""/>
    <x v="187"/>
    <m/>
    <s v=""/>
    <s v="Alexandre"/>
    <s v="11976806556"/>
    <s v=""/>
    <s v="vendas@finaideia.com.br"/>
    <s v=""/>
    <s v=""/>
    <s v=""/>
    <s v=""/>
    <s v=""/>
    <s v="Indicação"/>
    <s v=""/>
    <s v=""/>
    <s v="30%"/>
    <s v="Pipeline de Vendas"/>
    <s v="Apresentar Solução (35%)"/>
    <s v="6x sem juros (0/30/60/90/120/150...)"/>
    <m/>
    <m/>
    <m/>
    <n v="90"/>
    <s v="Paulo Souza"/>
    <d v="2025-06-12T00:00:00"/>
    <d v="1899-12-30T15:13:20"/>
    <s v=""/>
    <s v="Perdido"/>
    <d v="2025-09-10T00:00:00"/>
    <d v="1899-12-30T16:13:03"/>
    <s v="Projeto adiado / sem prazo definido"/>
    <s v=""/>
    <s v=""/>
    <x v="0"/>
    <s v="Paulo Souza"/>
    <x v="0"/>
    <s v=""/>
    <m/>
    <m/>
    <s v=""/>
    <s v=""/>
    <s v=""/>
    <s v=""/>
    <n v="1"/>
  </r>
  <r>
    <x v="0"/>
    <n v="435"/>
    <m/>
    <n v="2200"/>
    <s v=""/>
    <s v=""/>
    <x v="188"/>
    <m/>
    <s v=""/>
    <s v="Gustavo"/>
    <s v="16996352359"/>
    <s v=""/>
    <s v="null"/>
    <s v=""/>
    <s v=""/>
    <s v=""/>
    <s v=""/>
    <s v=""/>
    <s v="Indicação"/>
    <s v=""/>
    <s v=""/>
    <s v="50%"/>
    <s v="Pipeline de Vendas"/>
    <s v="Em Fechamento (100%)"/>
    <s v=""/>
    <m/>
    <n v="28800"/>
    <n v="201012"/>
    <n v="56"/>
    <s v="Paulo Souza"/>
    <d v="2025-06-12T00:00:00"/>
    <d v="1899-12-30T16:24:50"/>
    <s v=""/>
    <s v="Ganho"/>
    <d v="2025-08-07T00:00:00"/>
    <d v="1899-12-30T12:06:18"/>
    <s v=""/>
    <s v=""/>
    <s v=""/>
    <x v="0"/>
    <s v="Paulo Souza"/>
    <x v="0"/>
    <s v=""/>
    <m/>
    <m/>
    <s v=""/>
    <s v=""/>
    <s v=""/>
    <s v=""/>
    <n v="1"/>
  </r>
  <r>
    <x v="1"/>
    <n v="447"/>
    <m/>
    <n v="2213"/>
    <s v=""/>
    <s v=""/>
    <x v="189"/>
    <m/>
    <s v=""/>
    <s v="Vitoria cortinas"/>
    <s v="53999594657"/>
    <s v=""/>
    <s v="compras@vitoriacortinasdecoracoes.com.br"/>
    <s v=""/>
    <s v=""/>
    <s v=""/>
    <s v=""/>
    <s v=""/>
    <s v=""/>
    <s v=""/>
    <s v=""/>
    <s v=""/>
    <s v="Pipeline de Vendas"/>
    <s v="Em Fechamento (100%)"/>
    <s v=""/>
    <m/>
    <n v="1782"/>
    <n v="3564"/>
    <n v="2"/>
    <s v="Junior Lopes"/>
    <d v="2025-06-16T00:00:00"/>
    <d v="1899-12-30T15:57:47"/>
    <s v=""/>
    <s v="Ganho"/>
    <d v="2025-06-18T00:00:00"/>
    <d v="1899-12-30T14:49:21"/>
    <s v=""/>
    <s v=""/>
    <s v=""/>
    <x v="86"/>
    <s v=""/>
    <x v="93"/>
    <s v=""/>
    <m/>
    <m/>
    <s v=""/>
    <s v=""/>
    <s v=""/>
    <s v=""/>
    <n v="1"/>
  </r>
  <r>
    <x v="1"/>
    <n v="451"/>
    <m/>
    <n v="2217"/>
    <s v=""/>
    <s v=""/>
    <x v="190"/>
    <n v="27898532000144"/>
    <s v=""/>
    <s v="Atacadão das Tripas (cloud)"/>
    <s v="14998117753"/>
    <s v=""/>
    <s v="atacadaodastripasfinanceiro@hotmail.com"/>
    <s v=""/>
    <s v=""/>
    <s v=""/>
    <s v="TUPA"/>
    <s v="SP"/>
    <s v=""/>
    <s v=""/>
    <s v=""/>
    <s v=""/>
    <s v="Pipeline de Vendas"/>
    <s v="Apresentar Solução (35%)"/>
    <s v=""/>
    <m/>
    <n v="1600"/>
    <n v="26507"/>
    <n v="26"/>
    <s v="Junior Lopes"/>
    <d v="2025-06-18T00:00:00"/>
    <d v="1899-12-30T14:31:48"/>
    <s v=""/>
    <s v="Perdido"/>
    <d v="2025-07-14T00:00:00"/>
    <d v="1899-12-30T10:34:04"/>
    <s v="Projeto adiado / sem prazo definido"/>
    <s v="Descartando ! cliente não encontra tempo para seguir"/>
    <s v=""/>
    <x v="81"/>
    <s v=""/>
    <x v="93"/>
    <s v=""/>
    <m/>
    <m/>
    <s v=""/>
    <s v=""/>
    <s v=""/>
    <s v=""/>
    <n v="1"/>
  </r>
  <r>
    <x v="1"/>
    <n v="453"/>
    <m/>
    <n v="2219"/>
    <s v=""/>
    <s v=""/>
    <x v="191"/>
    <m/>
    <s v=""/>
    <s v="MDL Import - int.WMS"/>
    <s v="11910695515"/>
    <s v=""/>
    <s v="janaina@mdlimport.com.br"/>
    <s v=""/>
    <s v=""/>
    <s v=""/>
    <s v=""/>
    <s v=""/>
    <s v=""/>
    <s v=""/>
    <s v=""/>
    <s v="30%"/>
    <s v="Pipeline de Vendas"/>
    <s v="Em negociação (75%)"/>
    <s v=""/>
    <m/>
    <n v="29680"/>
    <n v="0"/>
    <n v="7"/>
    <s v="Junior Lopes"/>
    <d v="2025-06-23T00:00:00"/>
    <d v="1899-12-30T09:14:24"/>
    <s v=""/>
    <s v="Perdido"/>
    <d v="2025-06-30T00:00:00"/>
    <d v="1899-12-30T15:12:28"/>
    <s v="Não houve aprovação financeira"/>
    <s v="orçamento não foi aprovado"/>
    <s v=""/>
    <x v="83"/>
    <s v=""/>
    <x v="95"/>
    <s v=""/>
    <m/>
    <m/>
    <s v=""/>
    <s v=""/>
    <s v=""/>
    <s v=""/>
    <n v="1"/>
  </r>
  <r>
    <x v="1"/>
    <n v="455"/>
    <m/>
    <n v="2221"/>
    <s v=""/>
    <s v=""/>
    <x v="192"/>
    <n v="1537246000160"/>
    <s v=""/>
    <s v="BS Toys (RMS)"/>
    <s v="15997551770"/>
    <s v=""/>
    <s v="atendimento@bstoys.com.br"/>
    <s v=""/>
    <s v=""/>
    <s v=""/>
    <s v="BOITUVA"/>
    <s v="SP"/>
    <s v=""/>
    <s v=""/>
    <s v=""/>
    <s v=""/>
    <s v="Pipeline de Vendas"/>
    <s v="Agendamento (0%)"/>
    <s v=""/>
    <m/>
    <m/>
    <m/>
    <n v="7"/>
    <s v="Junior Lopes"/>
    <d v="2025-06-24T00:00:00"/>
    <d v="1899-12-30T11:14:18"/>
    <s v=""/>
    <s v="Perdido"/>
    <d v="2025-07-01T00:00:00"/>
    <d v="1899-12-30T09:49:52"/>
    <s v="Projeto adiado / sem prazo definido"/>
    <s v="Aguardar Rep Mais"/>
    <s v=""/>
    <x v="0"/>
    <s v=""/>
    <x v="0"/>
    <s v=""/>
    <m/>
    <m/>
    <s v=""/>
    <s v=""/>
    <s v=""/>
    <s v=""/>
    <n v="1"/>
  </r>
  <r>
    <x v="1"/>
    <n v="456"/>
    <m/>
    <n v="2226"/>
    <s v=""/>
    <s v=""/>
    <x v="193"/>
    <n v="1684187000152"/>
    <s v=""/>
    <s v="Dielu"/>
    <s v="11947837975"/>
    <s v=""/>
    <s v=""/>
    <s v=""/>
    <s v=""/>
    <s v=""/>
    <s v="SAO PAULO"/>
    <s v="SP"/>
    <s v=""/>
    <s v=""/>
    <s v=""/>
    <s v=""/>
    <s v="Pipeline de Vendas"/>
    <s v="Agendamento (0%)"/>
    <s v=""/>
    <m/>
    <m/>
    <m/>
    <n v="7"/>
    <s v="Junior Lopes"/>
    <d v="2025-06-24T00:00:00"/>
    <d v="1899-12-30T11:20:52"/>
    <s v=""/>
    <s v="Perdido"/>
    <d v="2025-07-01T00:00:00"/>
    <d v="1899-12-30T09:50:21"/>
    <s v="Projeto adiado / sem prazo definido"/>
    <s v="Aguardar Rep Mais"/>
    <s v=""/>
    <x v="0"/>
    <s v=""/>
    <x v="0"/>
    <s v=""/>
    <m/>
    <m/>
    <s v=""/>
    <s v=""/>
    <s v=""/>
    <s v=""/>
    <n v="1"/>
  </r>
  <r>
    <x v="1"/>
    <n v="457"/>
    <m/>
    <n v="2230"/>
    <s v=""/>
    <s v=""/>
    <x v="194"/>
    <n v="28895260000191"/>
    <s v=""/>
    <s v="ceramica salute"/>
    <s v="19999094519"/>
    <s v=""/>
    <s v="comercial@ceramicasalute.com.br"/>
    <s v=""/>
    <s v=""/>
    <s v=""/>
    <s v="JABOTICABAL"/>
    <s v="SP"/>
    <s v=""/>
    <s v=""/>
    <s v=""/>
    <s v=""/>
    <s v="Pipeline de Vendas"/>
    <s v="Agendamento (0%)"/>
    <s v=""/>
    <m/>
    <m/>
    <m/>
    <n v="7"/>
    <s v="Junior Lopes"/>
    <d v="2025-06-24T00:00:00"/>
    <d v="1899-12-30T11:28:08"/>
    <s v=""/>
    <s v="Perdido"/>
    <d v="2025-07-01T00:00:00"/>
    <d v="1899-12-30T09:50:51"/>
    <s v="Projeto adiado / sem prazo definido"/>
    <s v="Aguardar Rep Mais"/>
    <s v=""/>
    <x v="0"/>
    <s v=""/>
    <x v="0"/>
    <s v=""/>
    <m/>
    <m/>
    <s v=""/>
    <s v=""/>
    <s v=""/>
    <s v=""/>
    <n v="1"/>
  </r>
  <r>
    <x v="1"/>
    <n v="462"/>
    <m/>
    <n v="2237"/>
    <s v=""/>
    <s v=""/>
    <x v="195"/>
    <n v="61630786000115"/>
    <s v=""/>
    <s v="Palete Chiari"/>
    <s v="16993303692"/>
    <s v=""/>
    <s v=""/>
    <s v=""/>
    <s v=""/>
    <s v=""/>
    <s v="SAO CARLOS"/>
    <s v="SP"/>
    <s v=""/>
    <s v=""/>
    <s v=""/>
    <s v=""/>
    <s v="Pipeline de Vendas"/>
    <s v="Apresentar Solução (35%)"/>
    <s v=""/>
    <m/>
    <n v="80560"/>
    <n v="249008"/>
    <n v="1"/>
    <s v="Junior Lopes"/>
    <d v="2025-06-25T00:00:00"/>
    <d v="1899-12-30T10:30:51"/>
    <s v=""/>
    <s v="Perdido"/>
    <d v="2025-06-26T00:00:00"/>
    <d v="1899-12-30T10:45:55"/>
    <s v="Projeto adiado / sem prazo definido"/>
    <s v="cliente não respondeu mais aos contatos ! estou decertando e manterei contato"/>
    <s v=""/>
    <x v="86"/>
    <s v=""/>
    <x v="96"/>
    <s v=""/>
    <m/>
    <m/>
    <s v=""/>
    <s v=""/>
    <s v=""/>
    <s v=""/>
    <n v="1"/>
  </r>
  <r>
    <x v="1"/>
    <n v="463"/>
    <m/>
    <n v="2239"/>
    <s v=""/>
    <s v=""/>
    <x v="196"/>
    <n v="61630786000115"/>
    <s v=""/>
    <s v="Chiare Palete - Cloud"/>
    <s v="16993303692"/>
    <s v=""/>
    <s v=""/>
    <s v=""/>
    <s v=""/>
    <s v=""/>
    <s v="SAO CARLOS"/>
    <s v="SP"/>
    <s v=""/>
    <s v=""/>
    <s v=""/>
    <s v=""/>
    <s v="Pipeline de Vendas"/>
    <s v="Apresentar Solução (35%)"/>
    <s v=""/>
    <m/>
    <n v="1600"/>
    <n v="278556"/>
    <n v="1"/>
    <s v="Junior Lopes"/>
    <d v="2025-06-25T00:00:00"/>
    <d v="1899-12-30T10:37:01"/>
    <s v=""/>
    <s v="Perdido"/>
    <d v="2025-06-26T00:00:00"/>
    <d v="1899-12-30T10:46:25"/>
    <s v="Projeto adiado / sem prazo definido"/>
    <s v="cliente não respondeu mais aos contatos ! estou decertando e manterei contato"/>
    <s v=""/>
    <x v="86"/>
    <s v=""/>
    <x v="96"/>
    <s v=""/>
    <m/>
    <m/>
    <s v=""/>
    <s v=""/>
    <s v=""/>
    <s v=""/>
    <n v="1"/>
  </r>
  <r>
    <x v="1"/>
    <n v="466"/>
    <m/>
    <n v="2243"/>
    <s v=""/>
    <s v=""/>
    <x v="197"/>
    <m/>
    <s v=""/>
    <s v="vitoria cortinas - User AFV"/>
    <s v="3599959465"/>
    <s v=""/>
    <s v="comercial@vitoriacortninasdecoracoes.com.br"/>
    <s v=""/>
    <s v=""/>
    <s v=""/>
    <s v=""/>
    <s v=""/>
    <s v=""/>
    <s v=""/>
    <s v=""/>
    <s v=""/>
    <s v="Pipeline de Vendas"/>
    <s v="Em Fechamento (100%)"/>
    <s v=""/>
    <m/>
    <n v="0"/>
    <n v="54887"/>
    <n v="5"/>
    <s v="Junior Lopes"/>
    <d v="2025-06-25T00:00:00"/>
    <d v="1899-12-30T14:32:40"/>
    <s v=""/>
    <s v="Ganho"/>
    <d v="2025-06-30T00:00:00"/>
    <d v="1899-12-30T08:34:12"/>
    <s v=""/>
    <s v=""/>
    <s v=""/>
    <x v="87"/>
    <s v=""/>
    <x v="97"/>
    <s v=""/>
    <m/>
    <m/>
    <s v=""/>
    <s v=""/>
    <s v=""/>
    <s v=""/>
    <n v="1"/>
  </r>
  <r>
    <x v="1"/>
    <n v="467"/>
    <m/>
    <n v="2244"/>
    <s v=""/>
    <s v=""/>
    <x v="198"/>
    <m/>
    <s v=""/>
    <s v="Meio atacado - Cloud"/>
    <s v="19997556622"/>
    <s v=""/>
    <s v="camila@meioatacado.com.br"/>
    <s v=""/>
    <s v=""/>
    <s v=""/>
    <s v=""/>
    <s v=""/>
    <s v=""/>
    <s v=""/>
    <s v=""/>
    <s v=""/>
    <s v="Pipeline de Vendas"/>
    <s v="Apresentar Solução (35%)"/>
    <s v=""/>
    <m/>
    <n v="1600"/>
    <n v="309656"/>
    <n v="5"/>
    <s v="Junior Lopes"/>
    <d v="2025-06-25T00:00:00"/>
    <d v="1899-12-30T15:54:02"/>
    <s v=""/>
    <s v="Perdido"/>
    <d v="2025-06-30T00:00:00"/>
    <d v="1899-12-30T15:06:57"/>
    <s v="Projeto adiado / sem prazo definido"/>
    <s v="não responde mais aos contatos"/>
    <s v=""/>
    <x v="83"/>
    <s v=""/>
    <x v="98"/>
    <s v=""/>
    <m/>
    <m/>
    <s v=""/>
    <s v=""/>
    <s v=""/>
    <s v=""/>
    <n v="1"/>
  </r>
  <r>
    <x v="1"/>
    <n v="468"/>
    <m/>
    <n v="2245"/>
    <s v=""/>
    <s v=""/>
    <x v="199"/>
    <n v="9509581000166"/>
    <s v=""/>
    <s v="Emporio Villamarin"/>
    <s v="11999265872"/>
    <s v=""/>
    <s v="alfonso@emporiovillamarin.com.br"/>
    <s v=""/>
    <s v=""/>
    <s v=""/>
    <s v="SAO PAULO"/>
    <s v="SP"/>
    <s v=""/>
    <s v=""/>
    <s v=""/>
    <s v=""/>
    <s v="Pipeline de Vendas"/>
    <s v="Apresentar Proposta (50%)"/>
    <s v=""/>
    <m/>
    <n v="10800"/>
    <n v="450"/>
    <n v="5"/>
    <s v="Junior Lopes"/>
    <d v="2025-06-25T00:00:00"/>
    <d v="1899-12-30T16:08:55"/>
    <s v=""/>
    <s v="Perdido"/>
    <d v="2025-06-30T00:00:00"/>
    <d v="1899-12-30T15:05:29"/>
    <s v="Projeto adiado / sem prazo definido"/>
    <s v="não ira dar continuidade no momento"/>
    <s v=""/>
    <x v="88"/>
    <s v=""/>
    <x v="92"/>
    <s v=""/>
    <m/>
    <m/>
    <s v=""/>
    <s v=""/>
    <s v=""/>
    <s v=""/>
    <n v="1"/>
  </r>
  <r>
    <x v="1"/>
    <n v="469"/>
    <m/>
    <n v="2250"/>
    <s v=""/>
    <s v=""/>
    <x v="200"/>
    <m/>
    <s v=""/>
    <s v="Elmo atacado (horas exc)"/>
    <s v="47984366161"/>
    <s v=""/>
    <s v="fabio@elmoatacado.com.br"/>
    <s v=""/>
    <s v=""/>
    <s v=""/>
    <s v=""/>
    <s v=""/>
    <s v=""/>
    <s v=""/>
    <s v=""/>
    <s v=""/>
    <s v="Pipeline de Vendas"/>
    <s v="Em Fechamento (100%)"/>
    <s v=""/>
    <m/>
    <n v="607121"/>
    <n v="0"/>
    <n v="25"/>
    <s v="Junior Lopes"/>
    <d v="2025-06-26T00:00:00"/>
    <d v="1899-12-30T11:58:43"/>
    <s v=""/>
    <s v="Ganho"/>
    <d v="2025-07-21T00:00:00"/>
    <d v="1899-12-30T09:16:58"/>
    <s v=""/>
    <s v=""/>
    <s v=""/>
    <x v="89"/>
    <s v=""/>
    <x v="99"/>
    <s v=""/>
    <m/>
    <m/>
    <s v=""/>
    <s v=""/>
    <s v=""/>
    <s v=""/>
    <n v="1"/>
  </r>
  <r>
    <x v="1"/>
    <n v="470"/>
    <m/>
    <n v="2272"/>
    <s v=""/>
    <s v=""/>
    <x v="201"/>
    <n v="912882000161"/>
    <s v=""/>
    <s v="Grupo K1"/>
    <s v="51980225006"/>
    <s v=""/>
    <s v="angela@kappersberg.com.br"/>
    <s v=""/>
    <s v=""/>
    <s v=""/>
    <s v="TUPANDI"/>
    <s v="RS"/>
    <s v=""/>
    <s v=""/>
    <s v=""/>
    <s v="30%"/>
    <s v="Pipeline de Vendas"/>
    <s v="Em negociação (75%)"/>
    <s v=""/>
    <m/>
    <n v="16960"/>
    <n v="14034"/>
    <n v="84"/>
    <s v="Junior Lopes"/>
    <d v="2025-06-30T00:00:00"/>
    <d v="1899-12-30T11:52:50"/>
    <s v=""/>
    <s v="Perdido"/>
    <d v="2025-09-22T00:00:00"/>
    <d v="1899-12-30T11:28:00"/>
    <s v="Projeto adiado / sem prazo definido"/>
    <s v="em contato com Ângela, nao esta descartado porem não seguirá nesse momento"/>
    <s v=""/>
    <x v="90"/>
    <s v=""/>
    <x v="100"/>
    <s v=""/>
    <m/>
    <m/>
    <s v=""/>
    <s v=""/>
    <s v=""/>
    <s v=""/>
    <n v="1"/>
  </r>
  <r>
    <x v="2"/>
    <n v="475"/>
    <m/>
    <n v="2299"/>
    <s v=""/>
    <s v=""/>
    <x v="202"/>
    <n v="3436772000169"/>
    <s v=""/>
    <s v="Julia Soares"/>
    <s v="11983386298"/>
    <s v=""/>
    <s v="vendas@trilharty.com.br"/>
    <s v=""/>
    <s v=""/>
    <s v=""/>
    <s v="SAO PAULO"/>
    <s v="SP"/>
    <s v=""/>
    <s v=""/>
    <s v=""/>
    <s v=""/>
    <s v="Pipeline de Vendas"/>
    <s v="Apresentar Proposta (50%)"/>
    <s v=""/>
    <m/>
    <m/>
    <m/>
    <n v="60"/>
    <s v="Rayssa Karapeticov"/>
    <d v="2025-07-04T00:00:00"/>
    <d v="1899-12-30T09:23:22"/>
    <s v=""/>
    <s v="Perdido"/>
    <d v="2025-09-02T00:00:00"/>
    <d v="1899-12-30T09:58:39"/>
    <s v="Projeto adiado / sem prazo definido"/>
    <s v=""/>
    <s v=""/>
    <x v="91"/>
    <s v=""/>
    <x v="101"/>
    <s v=""/>
    <m/>
    <m/>
    <s v=""/>
    <s v=""/>
    <s v=""/>
    <s v=""/>
    <n v="1"/>
  </r>
  <r>
    <x v="1"/>
    <n v="485"/>
    <m/>
    <n v="2341"/>
    <s v=""/>
    <s v=""/>
    <x v="203"/>
    <n v="20750928000109"/>
    <s v=""/>
    <s v="Tiago eletrodomésticos"/>
    <s v="(48) 9960-6091"/>
    <s v=""/>
    <s v="financeiro@saeletronicos.com.br"/>
    <s v=""/>
    <s v=""/>
    <s v=""/>
    <s v="ICARA"/>
    <s v="SC"/>
    <s v=""/>
    <s v=""/>
    <s v=""/>
    <s v="50%"/>
    <s v="Pipeline de Vendas"/>
    <s v="Em Fechamento (100%)"/>
    <s v=""/>
    <m/>
    <n v="6429976"/>
    <n v="399322"/>
    <n v="73"/>
    <s v="Junior Lopes"/>
    <d v="2025-07-14T00:00:00"/>
    <d v="1899-12-30T10:10:19"/>
    <s v=""/>
    <s v="Ganho"/>
    <d v="2025-09-25T00:00:00"/>
    <d v="1899-12-30T15:08:43"/>
    <s v=""/>
    <s v=""/>
    <s v=""/>
    <x v="92"/>
    <s v=""/>
    <x v="102"/>
    <s v=""/>
    <m/>
    <m/>
    <s v=""/>
    <s v=""/>
    <s v=""/>
    <s v=""/>
    <n v="1"/>
  </r>
  <r>
    <x v="1"/>
    <n v="486"/>
    <m/>
    <n v="2343"/>
    <s v=""/>
    <s v=""/>
    <x v="204"/>
    <n v="20750928000109"/>
    <s v=""/>
    <s v="Tiago eleytonicos"/>
    <s v="(48) 9960-6091"/>
    <s v=""/>
    <s v="financeiro@saeletronicos.com.br"/>
    <s v=""/>
    <s v=""/>
    <s v=""/>
    <s v="ICARA"/>
    <s v="SC"/>
    <s v=""/>
    <s v=""/>
    <s v=""/>
    <s v=""/>
    <s v="Pipeline de Vendas"/>
    <s v="Em Fechamento (100%)"/>
    <s v=""/>
    <m/>
    <n v="1600"/>
    <n v="2325"/>
    <n v="73"/>
    <s v="Junior Lopes"/>
    <d v="2025-07-14T00:00:00"/>
    <d v="1899-12-30T10:59:03"/>
    <s v=""/>
    <s v="Perdido"/>
    <d v="2025-09-25T00:00:00"/>
    <d v="1899-12-30T14:59:17"/>
    <s v="Não quer mudar a solução atual"/>
    <s v="cliente decidiu manter o servidor local"/>
    <s v=""/>
    <x v="92"/>
    <s v=""/>
    <x v="102"/>
    <s v=""/>
    <m/>
    <m/>
    <s v=""/>
    <s v=""/>
    <s v=""/>
    <s v=""/>
    <n v="1"/>
  </r>
  <r>
    <x v="1"/>
    <n v="487"/>
    <m/>
    <n v="2345"/>
    <s v=""/>
    <s v=""/>
    <x v="205"/>
    <m/>
    <s v=""/>
    <s v="Star distribuidora - Expede"/>
    <s v="17997793113"/>
    <s v=""/>
    <s v="comercial@distribuidorastar.com.br"/>
    <s v=""/>
    <s v=""/>
    <s v=""/>
    <s v=""/>
    <s v=""/>
    <s v=""/>
    <s v=""/>
    <s v=""/>
    <s v=""/>
    <s v="Pipeline de Vendas"/>
    <s v="Em Fechamento (100%)"/>
    <s v=""/>
    <m/>
    <n v="0"/>
    <n v="14256"/>
    <n v="7"/>
    <s v="Junior Lopes"/>
    <d v="2025-07-14T00:00:00"/>
    <d v="1899-12-30T14:38:51"/>
    <s v=""/>
    <s v="Ganho"/>
    <d v="2025-07-21T00:00:00"/>
    <d v="1899-12-30T09:23:38"/>
    <s v=""/>
    <s v=""/>
    <s v=""/>
    <x v="93"/>
    <s v=""/>
    <x v="103"/>
    <s v=""/>
    <m/>
    <m/>
    <s v=""/>
    <s v=""/>
    <s v=""/>
    <s v=""/>
    <n v="1"/>
  </r>
  <r>
    <x v="1"/>
    <n v="488"/>
    <m/>
    <n v="2346"/>
    <s v="O projeto B2B já está fechado, porém a continuidade dependerá da finalização da carga de dados na implantação do ERP. Assim que essa etapa for concluída, Junior Lopes deve retomar o contato com o cliente, verificar pendências e alinhar os próximos passos com data definida."/>
    <s v=""/>
    <x v="206"/>
    <n v="20750928000109"/>
    <s v=""/>
    <s v="Tiago eletrônicos - B2B"/>
    <s v="4899606091"/>
    <s v=""/>
    <s v="financeiro@saeletronicos.com.br"/>
    <s v=""/>
    <s v=""/>
    <s v=""/>
    <s v=""/>
    <s v=""/>
    <s v=""/>
    <s v=""/>
    <s v=""/>
    <s v="90%"/>
    <s v="Pipeline de Vendas"/>
    <s v="Em Fechamento (100%)"/>
    <s v=""/>
    <d v="2026-02-02T00:00:00"/>
    <n v="26200"/>
    <n v="3400"/>
    <n v="206"/>
    <s v="Junior Lopes"/>
    <d v="2025-07-15T00:00:00"/>
    <d v="1899-12-30T17:26:45"/>
    <s v=""/>
    <s v="Ganho"/>
    <d v="2026-02-06T00:00:00"/>
    <d v="1899-12-30T12:10:05"/>
    <s v=""/>
    <s v=""/>
    <s v=""/>
    <x v="92"/>
    <s v="Junior Lopes"/>
    <x v="102"/>
    <s v=""/>
    <d v="2025-12-10T00:00:00"/>
    <m/>
    <s v=""/>
    <s v=""/>
    <s v=""/>
    <s v=""/>
    <n v="1"/>
  </r>
  <r>
    <x v="1"/>
    <n v="493"/>
    <m/>
    <n v="2352"/>
    <s v=""/>
    <s v=""/>
    <x v="207"/>
    <n v="39750889000160"/>
    <s v=""/>
    <s v="MDL Comércio importação (ERP+AFV"/>
    <s v="(11) 91069-5515"/>
    <s v=""/>
    <s v="janaina@mdlimport.com.br"/>
    <s v=""/>
    <s v=""/>
    <s v=""/>
    <s v="SAO CAETANO DO SUL"/>
    <s v="SP"/>
    <s v=""/>
    <s v=""/>
    <s v=""/>
    <s v=""/>
    <s v="Pipeline de Vendas"/>
    <s v="Em Fechamento (100%)"/>
    <s v="10x sem juros (0/30/60/90/120/150...)"/>
    <m/>
    <n v="4327344"/>
    <n v="37442"/>
    <n v="42"/>
    <s v="Junior Lopes"/>
    <d v="2025-07-17T00:00:00"/>
    <d v="1899-12-30T14:23:39"/>
    <s v=""/>
    <s v="Ganho"/>
    <d v="2025-08-28T00:00:00"/>
    <d v="1899-12-30T15:08:55"/>
    <s v=""/>
    <s v=""/>
    <s v=""/>
    <x v="94"/>
    <s v=""/>
    <x v="104"/>
    <s v=""/>
    <m/>
    <m/>
    <s v=""/>
    <s v=""/>
    <s v=""/>
    <s v=""/>
    <n v="1"/>
  </r>
  <r>
    <x v="1"/>
    <n v="494"/>
    <m/>
    <n v="2354"/>
    <s v=""/>
    <s v=""/>
    <x v="208"/>
    <m/>
    <s v=""/>
    <s v="MDL comércio de importação (Int.WMS)"/>
    <s v="11910695515"/>
    <s v=""/>
    <s v="janaina@mdlimport.com.br"/>
    <s v=""/>
    <s v=""/>
    <s v=""/>
    <s v=""/>
    <s v=""/>
    <s v=""/>
    <s v=""/>
    <s v=""/>
    <s v=""/>
    <s v="Pipeline de Vendas"/>
    <s v="Em Fechamento (100%)"/>
    <s v="10x sem juros (0/30/60/90/120/150...)"/>
    <m/>
    <n v="1167696"/>
    <n v="0"/>
    <n v="42"/>
    <s v="Junior Lopes"/>
    <d v="2025-07-17T00:00:00"/>
    <d v="1899-12-30T14:38:09"/>
    <s v=""/>
    <s v="Ganho"/>
    <d v="2025-08-28T00:00:00"/>
    <d v="1899-12-30T15:11:27"/>
    <s v=""/>
    <s v=""/>
    <s v=""/>
    <x v="94"/>
    <s v=""/>
    <x v="104"/>
    <s v=""/>
    <m/>
    <m/>
    <s v=""/>
    <s v=""/>
    <s v=""/>
    <s v=""/>
    <n v="1"/>
  </r>
  <r>
    <x v="1"/>
    <n v="495"/>
    <m/>
    <n v="2356"/>
    <s v=""/>
    <s v=""/>
    <x v="209"/>
    <m/>
    <s v=""/>
    <s v="Germer porcenalas"/>
    <s v="41984816685"/>
    <s v=""/>
    <s v="ti@germerporcelanas.com.br"/>
    <s v=""/>
    <s v=""/>
    <s v=""/>
    <s v=""/>
    <s v=""/>
    <s v=""/>
    <s v=""/>
    <s v=""/>
    <s v="30%"/>
    <s v="Pipeline de Vendas"/>
    <s v="Em negociação (75%)"/>
    <s v=""/>
    <m/>
    <n v="16960"/>
    <n v="10748"/>
    <n v="67"/>
    <s v="Junior Lopes"/>
    <d v="2025-07-17T00:00:00"/>
    <d v="1899-12-30T16:01:44"/>
    <s v=""/>
    <s v="Perdido"/>
    <d v="2025-09-22T00:00:00"/>
    <d v="1899-12-30T11:35:25"/>
    <s v="Não quer mudar a solução atual"/>
    <s v="em contato com Claudinei projeto está estagnado"/>
    <s v=""/>
    <x v="93"/>
    <s v=""/>
    <x v="103"/>
    <s v="10/07/2025"/>
    <m/>
    <m/>
    <s v=""/>
    <s v=""/>
    <s v=""/>
    <s v=""/>
    <n v="1"/>
  </r>
  <r>
    <x v="1"/>
    <n v="496"/>
    <m/>
    <n v="2361"/>
    <s v="O próximo passo é Junior Lopes alinhar com o cliente o objetivo final da oportunidade, considerando que o cliente ainda está negociando o desenvolvimento da integração técnica que o ERP deles precisa construir. Somente após essa definição e após os ajustes técnicos com a Marília será possível retomar as conversas em janeiro de 2026 e avançar para o fechamento, previsto para 31/01/2026."/>
    <s v="Editora Dcl - Difusao Cultural Do Livro Ltda"/>
    <x v="210"/>
    <n v="60444098000521"/>
    <s v=""/>
    <s v="Editora Dcl - Difusao Cultural Do Livro Ltda"/>
    <s v="(11) 3932-5222"/>
    <s v=""/>
    <s v="welington@editoradcl.com.br"/>
    <s v=""/>
    <s v=""/>
    <s v=""/>
    <s v="ITUPEVA"/>
    <s v="SP"/>
    <s v="Base de empresas Leads2b"/>
    <s v=""/>
    <s v=""/>
    <s v="80%"/>
    <s v="Pipeline de Vendas"/>
    <s v="Em Fechamento (100%)"/>
    <s v="4x sem juros (0/30/60/90)"/>
    <d v="2026-01-30T00:00:00"/>
    <n v="16960"/>
    <n v="37395"/>
    <n v="166"/>
    <s v="Junior Lopes"/>
    <d v="2025-07-23T00:00:00"/>
    <d v="1899-12-30T11:53:55"/>
    <s v=""/>
    <s v="Ganho"/>
    <d v="2026-01-05T00:00:00"/>
    <d v="1899-12-30T14:50:49"/>
    <s v=""/>
    <s v=""/>
    <s v=""/>
    <x v="93"/>
    <s v="Junior Lopes"/>
    <x v="105"/>
    <s v="11/07/2025"/>
    <d v="2025-12-12T00:00:00"/>
    <m/>
    <s v=""/>
    <s v=""/>
    <s v=""/>
    <s v=""/>
    <n v="1"/>
  </r>
  <r>
    <x v="1"/>
    <n v="497"/>
    <m/>
    <n v="2363"/>
    <s v=""/>
    <s v="Associacao Medianeira Fuzipar"/>
    <x v="211"/>
    <n v="8306975000154"/>
    <s v=""/>
    <s v="Associacao Medianeira Fuzipar"/>
    <s v="(54) 3321-5456"/>
    <s v=""/>
    <s v=""/>
    <s v=""/>
    <s v=""/>
    <s v=""/>
    <s v="ERECHIM"/>
    <s v="RS"/>
    <s v="Base de empresas Leads2b"/>
    <s v=""/>
    <s v=""/>
    <s v=""/>
    <s v="Pipeline de Vendas"/>
    <s v="Em Fechamento (100%)"/>
    <s v=""/>
    <m/>
    <n v="16960"/>
    <n v="2455"/>
    <n v="64"/>
    <s v="Junior Lopes"/>
    <d v="2025-07-23T00:00:00"/>
    <d v="1899-12-30T12:05:00"/>
    <s v=""/>
    <s v="Ganho"/>
    <d v="2025-09-25T00:00:00"/>
    <d v="1899-12-30T14:58:22"/>
    <s v=""/>
    <s v=""/>
    <s v=""/>
    <x v="95"/>
    <s v=""/>
    <x v="105"/>
    <s v="18/08/2025"/>
    <m/>
    <m/>
    <s v=""/>
    <s v=""/>
    <s v=""/>
    <s v=""/>
    <n v="1"/>
  </r>
  <r>
    <x v="1"/>
    <n v="503"/>
    <m/>
    <n v="2433"/>
    <s v=""/>
    <s v=""/>
    <x v="212"/>
    <n v="46083438000181"/>
    <s v=""/>
    <s v="Adelmo Jeronimo"/>
    <s v="(81) 99252-2279"/>
    <s v=""/>
    <s v="adelmoo.jeronimo@gmail.com"/>
    <s v=""/>
    <s v=""/>
    <s v=""/>
    <s v=""/>
    <s v=""/>
    <s v="Base de empresas Leads2b"/>
    <s v=""/>
    <s v=""/>
    <s v=""/>
    <s v="Pipeline de Vendas"/>
    <s v="Apresentar Solução (35%)"/>
    <s v=""/>
    <m/>
    <n v="16960"/>
    <n v="998"/>
    <n v="29"/>
    <s v="Junior Lopes"/>
    <d v="2025-07-30T00:00:00"/>
    <d v="1899-12-30T11:50:21"/>
    <s v=""/>
    <s v="Perdido"/>
    <d v="2025-08-28T00:00:00"/>
    <d v="1899-12-30T16:43:54"/>
    <s v="Projeto adiado / sem prazo definido"/>
    <s v="após vários contatos não obtivemos retorno"/>
    <s v=""/>
    <x v="96"/>
    <s v=""/>
    <x v="106"/>
    <s v=""/>
    <m/>
    <m/>
    <s v=""/>
    <s v=""/>
    <s v=""/>
    <s v=""/>
    <n v="1"/>
  </r>
  <r>
    <x v="1"/>
    <n v="504"/>
    <m/>
    <n v="2434"/>
    <s v=""/>
    <s v=""/>
    <x v="213"/>
    <n v="8306975000154"/>
    <s v=""/>
    <s v="Fuzipar (ERP)"/>
    <s v="5499823395"/>
    <s v=""/>
    <s v=""/>
    <s v=""/>
    <s v=""/>
    <s v=""/>
    <s v="ERECHIM"/>
    <s v="RS"/>
    <s v=""/>
    <s v=""/>
    <s v=""/>
    <s v="50%"/>
    <s v="Pipeline de Vendas"/>
    <s v="Em negociação (75%)"/>
    <s v=""/>
    <m/>
    <n v="87344"/>
    <n v="514788"/>
    <n v="41"/>
    <s v="Junior Lopes"/>
    <d v="2025-07-30T00:00:00"/>
    <d v="1899-12-30T15:13:04"/>
    <s v=""/>
    <s v="Perdido"/>
    <d v="2025-09-09T00:00:00"/>
    <d v="1899-12-30T15:35:44"/>
    <s v="Não quer mudar a solução atual"/>
    <s v="cliente vai seguir somente com força de vendas"/>
    <s v=""/>
    <x v="97"/>
    <s v=""/>
    <x v="0"/>
    <s v=""/>
    <m/>
    <m/>
    <s v=""/>
    <s v=""/>
    <s v=""/>
    <s v=""/>
    <n v="1"/>
  </r>
  <r>
    <x v="1"/>
    <n v="505"/>
    <m/>
    <n v="2436"/>
    <s v=""/>
    <s v=""/>
    <x v="214"/>
    <n v="8306975000154"/>
    <s v=""/>
    <s v="Fuzipar (Cloud)"/>
    <s v="5499823395"/>
    <s v=""/>
    <s v=""/>
    <s v=""/>
    <s v=""/>
    <s v=""/>
    <s v="ERECHIM"/>
    <s v="RS"/>
    <s v=""/>
    <s v=""/>
    <s v=""/>
    <s v=""/>
    <s v="Pipeline de Vendas"/>
    <s v="Apresentar Solução (35%)"/>
    <s v=""/>
    <m/>
    <n v="1600"/>
    <n v="334556"/>
    <n v="30"/>
    <s v="Junior Lopes"/>
    <d v="2025-07-30T00:00:00"/>
    <d v="1899-12-30T16:07:10"/>
    <s v=""/>
    <s v="Perdido"/>
    <d v="2025-08-29T00:00:00"/>
    <d v="1899-12-30T15:49:29"/>
    <s v="Não quer mudar a solução atual"/>
    <s v="vai seguir somente com força de vendas"/>
    <s v=""/>
    <x v="96"/>
    <s v=""/>
    <x v="0"/>
    <s v=""/>
    <m/>
    <m/>
    <s v=""/>
    <s v=""/>
    <s v=""/>
    <s v=""/>
    <n v="1"/>
  </r>
  <r>
    <x v="1"/>
    <n v="506"/>
    <m/>
    <n v="2439"/>
    <s v=""/>
    <s v=""/>
    <x v="215"/>
    <n v="30924882000142"/>
    <s v=""/>
    <s v="PEDRO DE ROZENDO PACO DA SILVEIRA"/>
    <s v=""/>
    <s v=""/>
    <s v="pedro@grupoecoa.com.br"/>
    <s v=""/>
    <s v=""/>
    <s v=""/>
    <s v=""/>
    <s v=""/>
    <s v="Base de empresas Leads2b"/>
    <s v=""/>
    <s v=""/>
    <s v="90%"/>
    <s v="Pipeline de Vendas"/>
    <s v="Em Fechamento (100%)"/>
    <s v=""/>
    <m/>
    <n v="72240"/>
    <n v="2167539"/>
    <n v="56"/>
    <s v="Junior Lopes"/>
    <d v="2025-07-30T00:00:00"/>
    <d v="1899-12-30T16:26:43"/>
    <s v=""/>
    <s v="Perdido"/>
    <d v="2025-09-24T00:00:00"/>
    <d v="1899-12-30T09:34:51"/>
    <s v="Não quer mudar a solução atual"/>
    <s v="Pedro não responde mais aos contatos"/>
    <s v=""/>
    <x v="96"/>
    <s v=""/>
    <x v="0"/>
    <s v=""/>
    <m/>
    <m/>
    <s v=""/>
    <s v=""/>
    <s v=""/>
    <s v=""/>
    <n v="1"/>
  </r>
  <r>
    <x v="1"/>
    <n v="507"/>
    <m/>
    <n v="2440"/>
    <s v=""/>
    <s v=""/>
    <x v="216"/>
    <n v="30924882000142"/>
    <s v=""/>
    <s v="Grupo Ecoa"/>
    <s v="11987154112"/>
    <s v=""/>
    <s v="pedro@grupoecoa.com"/>
    <s v=""/>
    <s v=""/>
    <s v=""/>
    <s v="DUQUE DE CAXIAS"/>
    <s v="RJ"/>
    <s v=""/>
    <s v=""/>
    <s v=""/>
    <s v="80%"/>
    <s v="Pipeline de Vendas"/>
    <s v="Em Fechamento (100%)"/>
    <s v=""/>
    <m/>
    <n v="1620001"/>
    <n v="2900"/>
    <n v="56"/>
    <s v="Junior Lopes"/>
    <d v="2025-07-30T00:00:00"/>
    <d v="1899-12-30T17:20:05"/>
    <s v=""/>
    <s v="Perdido"/>
    <d v="2025-09-24T00:00:00"/>
    <d v="1899-12-30T09:17:39"/>
    <s v="Não quer mudar a solução atual"/>
    <s v="Pedro não responde mais os contatos"/>
    <s v=""/>
    <x v="96"/>
    <s v=""/>
    <x v="0"/>
    <s v=""/>
    <m/>
    <m/>
    <s v=""/>
    <s v=""/>
    <s v=""/>
    <s v=""/>
    <n v="1"/>
  </r>
  <r>
    <x v="1"/>
    <n v="508"/>
    <m/>
    <n v="2442"/>
    <s v=""/>
    <s v=""/>
    <x v="217"/>
    <m/>
    <s v=""/>
    <s v="Vitoria cortinas"/>
    <s v="35993445286"/>
    <s v=""/>
    <s v="compras@vitoriacortinasdecoracoes.com.br"/>
    <s v=""/>
    <s v=""/>
    <s v=""/>
    <s v=""/>
    <s v=""/>
    <s v=""/>
    <s v=""/>
    <s v=""/>
    <s v=""/>
    <s v="Pipeline de Vendas"/>
    <s v="Em Fechamento (100%)"/>
    <s v=""/>
    <m/>
    <n v="62169"/>
    <n v="0"/>
    <n v="53"/>
    <s v="Junior Lopes"/>
    <d v="2025-07-31T00:00:00"/>
    <d v="1899-12-30T09:07:55"/>
    <s v=""/>
    <s v="Ganho"/>
    <d v="2025-09-22T00:00:00"/>
    <d v="1899-12-30T10:43:58"/>
    <s v=""/>
    <s v=""/>
    <s v=""/>
    <x v="98"/>
    <s v=""/>
    <x v="107"/>
    <s v=""/>
    <m/>
    <m/>
    <s v=""/>
    <s v=""/>
    <s v=""/>
    <s v=""/>
    <n v="1"/>
  </r>
  <r>
    <x v="1"/>
    <n v="509"/>
    <m/>
    <n v="2443"/>
    <s v=""/>
    <s v="Maxsoy Alimentos Ltda"/>
    <x v="218"/>
    <n v="6346005000157"/>
    <s v=""/>
    <s v="Maxsoy Alimentos Ltda"/>
    <s v="(19) 3809-5454"/>
    <s v=""/>
    <s v="vendas@maxsoy.com.br"/>
    <s v=""/>
    <s v=""/>
    <s v=""/>
    <s v="HORTOLANDIA"/>
    <s v="SP"/>
    <s v="Base de empresas Leads2b"/>
    <s v=""/>
    <s v=""/>
    <s v=""/>
    <s v="Pipeline de Vendas"/>
    <s v="Apresentar Solução (35%)"/>
    <s v=""/>
    <m/>
    <n v="16960"/>
    <n v="67275"/>
    <n v="28"/>
    <s v="Junior Lopes"/>
    <d v="2025-07-31T00:00:00"/>
    <d v="1899-12-30T11:57:17"/>
    <s v=""/>
    <s v="Perdido"/>
    <d v="2025-08-28T00:00:00"/>
    <d v="1899-12-30T16:25:26"/>
    <s v="Preço muito alto - fora do budget de investimento"/>
    <s v="cliente não quer dar sequencia no momento por conta do valor"/>
    <s v=""/>
    <x v="99"/>
    <s v=""/>
    <x v="108"/>
    <s v="01/08/2025"/>
    <m/>
    <m/>
    <s v=""/>
    <s v=""/>
    <s v=""/>
    <s v=""/>
    <n v="1"/>
  </r>
  <r>
    <x v="1"/>
    <n v="510"/>
    <m/>
    <n v="2446"/>
    <s v=""/>
    <s v="Brinquemix Industria E Comercio Ltda"/>
    <x v="219"/>
    <n v="60315995000101"/>
    <s v=""/>
    <s v="Brinquemix Industria E Comercio Ltda"/>
    <s v="(11) 4116-5272"/>
    <s v=""/>
    <s v="fiscal@codepcontabilidade.com.br"/>
    <s v=""/>
    <s v=""/>
    <s v=""/>
    <s v="ITAQUAQUECETUBA"/>
    <s v="SP"/>
    <s v="Base de empresas Leads2b"/>
    <s v=""/>
    <s v=""/>
    <s v=""/>
    <s v="Pipeline de Vendas"/>
    <s v="Apresentar Solução (35%)"/>
    <s v=""/>
    <m/>
    <n v="94976"/>
    <n v="566152"/>
    <n v="29"/>
    <s v="Junior Lopes"/>
    <d v="2025-07-31T00:00:00"/>
    <d v="1899-12-30T17:09:31"/>
    <s v=""/>
    <s v="Perdido"/>
    <d v="2025-08-29T00:00:00"/>
    <d v="1899-12-30T11:05:45"/>
    <s v="Projeto adiado / sem prazo definido"/>
    <s v="16:26, 28/8/2025 Junior Lopes: Olá Simone, boa tarde_x000a_17:06, 28/8/2025 Simone Brinquemix : Olá Dra_x000a_17:06, 28/8/2025 Simone Brinquemix : Olá_x000a_11:03, 29/8/2025 Junior Lopes: Olá Simone ! Como não tive retorno de sua parte, vou encerrar este atendimento! _x000a_Caso mude de ideia ou precise de algo no futuro pode me chamar por aqui _x000a_Estimo sucesso para vocês 🤝"/>
    <s v=""/>
    <x v="100"/>
    <s v=""/>
    <x v="109"/>
    <s v="05/08/2025"/>
    <m/>
    <m/>
    <s v=""/>
    <s v=""/>
    <s v=""/>
    <s v=""/>
    <n v="1"/>
  </r>
  <r>
    <x v="0"/>
    <n v="516"/>
    <m/>
    <n v="2454"/>
    <s v=""/>
    <s v=""/>
    <x v="220"/>
    <n v="72677693000162"/>
    <s v=""/>
    <s v="Milene Fonseca"/>
    <s v="(11) 2431-1432"/>
    <s v=""/>
    <s v="compras@tapetesoasis.com.br"/>
    <s v=""/>
    <s v=""/>
    <s v=""/>
    <s v="Campinas"/>
    <s v=""/>
    <s v="Site"/>
    <s v=""/>
    <s v=""/>
    <s v="Solicita demo"/>
    <s v="Pipeline de Vendas"/>
    <s v="Em negociação (75%)"/>
    <s v=""/>
    <m/>
    <m/>
    <m/>
    <n v="53"/>
    <s v="Paulo Souza"/>
    <d v="2025-08-07T00:00:00"/>
    <d v="1899-12-30T12:08:11"/>
    <s v=""/>
    <s v="Perdido"/>
    <d v="2025-09-29T00:00:00"/>
    <d v="1899-12-30T16:35:41"/>
    <s v="Projeto adiado / sem prazo definido"/>
    <s v=""/>
    <s v=""/>
    <x v="0"/>
    <s v="Paulo Souza"/>
    <x v="110"/>
    <s v=""/>
    <m/>
    <m/>
    <s v=""/>
    <s v=""/>
    <s v=""/>
    <s v=""/>
    <n v="1"/>
  </r>
  <r>
    <x v="0"/>
    <n v="517"/>
    <m/>
    <n v="2453"/>
    <s v=""/>
    <s v=""/>
    <x v="221"/>
    <n v="38470026000176"/>
    <s v=""/>
    <s v="Matheus Ambrosi"/>
    <s v="(51) 99658-9275"/>
    <s v=""/>
    <s v="matheus.ambrosi@sanremo.com.br"/>
    <s v=""/>
    <s v=""/>
    <s v=""/>
    <s v="São Paulo"/>
    <s v=""/>
    <s v="Site"/>
    <s v=""/>
    <s v=""/>
    <s v=""/>
    <s v="Pipeline de Vendas"/>
    <s v="Qualificação de Vendas (SQL) (25%)"/>
    <s v=""/>
    <m/>
    <m/>
    <m/>
    <n v="53"/>
    <s v="Paulo Souza"/>
    <d v="2025-08-07T00:00:00"/>
    <d v="1899-12-30T12:08:57"/>
    <s v=""/>
    <s v="Perdido"/>
    <d v="2025-09-29T00:00:00"/>
    <d v="1899-12-30T16:37:57"/>
    <s v="Projeto adiado / sem prazo definido"/>
    <s v=""/>
    <s v=""/>
    <x v="0"/>
    <s v="Paulo Souza"/>
    <x v="0"/>
    <s v=""/>
    <m/>
    <m/>
    <s v=""/>
    <s v=""/>
    <s v=""/>
    <s v=""/>
    <n v="1"/>
  </r>
  <r>
    <x v="0"/>
    <n v="518"/>
    <m/>
    <n v="2456"/>
    <s v="Falei hoje com o Gomes consultor Totvs da empresa Oyshi e o mesmo que agendar uma reunião técnica de alinhamento para integrar o AFV com Protheus._x000a_19-01; Após nossa reunião na sexta-feira para alinhar sobre a integração, o Gomes ficou de providências uma agenda com o Rodrigo para fechar a negociação._x000a_22/01 - Cobrei novamente o Evandro para ele me posicionar se conseguiu falar com o Rodrigo para avançar com o contrato e fechamento e assim dar sequencias no projeto. Ele falou que estava envolvido em tarefas adicionais e isso atrasou a conversa que vai ocorrer na próxima semana._x000a_26/02 Fiz FUP com o Evandro hoje perguntando uma posição, no aguardo. Já falei com a Isabella diretor comercial, e até agora nada de retorno._x000a_12/03 Fiz FUP com o Evandro e ele falou que a decisão para seguir ou não vai ser tomada na próxima sexta-feira 13/03._x000a_23/03 Falei com a Isabella a mesma me avisou que semana que vem vai"/>
    <s v=""/>
    <x v="222"/>
    <n v="30340720000167"/>
    <s v=""/>
    <s v="Rodrigo"/>
    <s v="4491813443"/>
    <s v=""/>
    <s v="rodrigo.fongari@oyshi.com.br"/>
    <s v=""/>
    <s v=""/>
    <s v=""/>
    <s v=""/>
    <s v=""/>
    <s v="Outbound"/>
    <s v=""/>
    <s v=""/>
    <s v="80%"/>
    <s v="Pipeline de Vendas"/>
    <s v="Em Fechamento (100%)"/>
    <s v=""/>
    <d v="2026-03-31T00:00:00"/>
    <n v="27340"/>
    <n v="32992"/>
    <n v="246"/>
    <s v="Paulo Souza"/>
    <d v="2025-08-07T00:00:00"/>
    <d v="1899-12-30T13:57:39"/>
    <s v=""/>
    <s v="Perdido"/>
    <d v="2026-04-10T00:00:00"/>
    <d v="1899-12-30T16:56:59"/>
    <s v="Projeto adiado / sem prazo definido"/>
    <s v=""/>
    <s v=""/>
    <x v="101"/>
    <s v="Paulo Souza"/>
    <x v="111"/>
    <s v=""/>
    <d v="2026-04-10T00:00:00"/>
    <n v="90"/>
    <s v="80"/>
    <s v="AFV, BI"/>
    <s v="R$ 16.000"/>
    <s v="R$ 1.558"/>
    <n v="1"/>
  </r>
  <r>
    <x v="0"/>
    <n v="519"/>
    <m/>
    <n v="2457"/>
    <s v=""/>
    <s v=""/>
    <x v="223"/>
    <m/>
    <s v=""/>
    <s v="Fernanda"/>
    <s v="11997633759"/>
    <s v=""/>
    <s v="fernanda@jlkplasticos.com"/>
    <s v=""/>
    <s v=""/>
    <s v=""/>
    <s v=""/>
    <s v=""/>
    <s v=""/>
    <s v=""/>
    <s v=""/>
    <s v=""/>
    <s v="Pipeline de Vendas"/>
    <s v="Em negociação (75%)"/>
    <s v=""/>
    <m/>
    <m/>
    <m/>
    <n v="34"/>
    <s v="Paulo Souza"/>
    <d v="2025-08-07T00:00:00"/>
    <d v="1899-12-30T14:05:56"/>
    <s v=""/>
    <s v="Perdido"/>
    <d v="2025-09-10T00:00:00"/>
    <d v="1899-12-30T16:14:07"/>
    <s v="Preço muito alto - fora do budget de investimento"/>
    <s v=""/>
    <s v=""/>
    <x v="99"/>
    <s v="Paulo Souza"/>
    <x v="110"/>
    <s v=""/>
    <m/>
    <m/>
    <s v=""/>
    <s v=""/>
    <s v=""/>
    <s v=""/>
    <n v="1"/>
  </r>
  <r>
    <x v="0"/>
    <n v="521"/>
    <m/>
    <n v="2459"/>
    <s v=""/>
    <s v=""/>
    <x v="224"/>
    <n v="7380599000428"/>
    <s v=""/>
    <s v="Raymond"/>
    <s v="11982685555"/>
    <s v=""/>
    <s v="raymond@deltaimport.com.br"/>
    <s v=""/>
    <s v=""/>
    <s v=""/>
    <s v=""/>
    <s v=""/>
    <s v=""/>
    <s v=""/>
    <s v=""/>
    <s v=""/>
    <s v="Pipeline de Vendas"/>
    <s v="Em Fechamento (100%)"/>
    <s v=""/>
    <m/>
    <n v="55500"/>
    <n v="53662"/>
    <n v="17"/>
    <s v="Paulo Souza"/>
    <d v="2025-08-08T00:00:00"/>
    <d v="1899-12-30T11:45:56"/>
    <s v=""/>
    <s v="Ganho"/>
    <d v="2025-08-25T00:00:00"/>
    <d v="1899-12-30T14:26:43"/>
    <s v=""/>
    <s v=""/>
    <s v=""/>
    <x v="102"/>
    <s v="Paulo Souza"/>
    <x v="112"/>
    <s v=""/>
    <m/>
    <m/>
    <s v=""/>
    <s v=""/>
    <s v=""/>
    <s v=""/>
    <n v="1"/>
  </r>
  <r>
    <x v="2"/>
    <n v="531"/>
    <m/>
    <n v="2475"/>
    <s v=""/>
    <s v=""/>
    <x v="225"/>
    <n v="19733550000148"/>
    <s v=""/>
    <s v="Naiara"/>
    <s v="(19) 3496-7474 / (19) 3885-1725"/>
    <s v=""/>
    <s v="renatapalace@impal.ind.br"/>
    <s v=""/>
    <s v=""/>
    <s v=""/>
    <s v="RAFARD"/>
    <s v="SP"/>
    <s v=""/>
    <s v=""/>
    <s v=""/>
    <s v=""/>
    <s v="Pipeline de Vendas"/>
    <s v="Em negociação (75%)"/>
    <s v=""/>
    <m/>
    <n v="84420"/>
    <n v="4137"/>
    <n v="34"/>
    <s v="Rayssa Karapeticov"/>
    <d v="2025-08-20T00:00:00"/>
    <d v="1899-12-30T09:16:59"/>
    <s v=""/>
    <s v="Perdido"/>
    <d v="2025-09-23T00:00:00"/>
    <d v="1899-12-30T11:10:15"/>
    <s v="Preço muito alto - fora do budget de investimento"/>
    <s v=""/>
    <s v=""/>
    <x v="103"/>
    <s v=""/>
    <x v="113"/>
    <s v=""/>
    <m/>
    <m/>
    <s v=""/>
    <s v=""/>
    <s v=""/>
    <s v=""/>
    <n v="1"/>
  </r>
  <r>
    <x v="1"/>
    <n v="532"/>
    <m/>
    <n v="2478"/>
    <s v=""/>
    <s v="Distribuidora Tropical Aromas Ltda"/>
    <x v="226"/>
    <n v="12902777000120"/>
    <s v=""/>
    <s v="Distribuidora Tropical Aromas Ltda"/>
    <s v="(13) 3329-5855"/>
    <s v=""/>
    <s v="contato@keurequimica.com.br"/>
    <s v=""/>
    <s v=""/>
    <s v=""/>
    <s v="ITAQUAQUECETUBA"/>
    <s v="SP"/>
    <s v="Base de empresas Leads2b"/>
    <s v=""/>
    <s v=""/>
    <s v=""/>
    <s v="Pipeline de Vendas"/>
    <s v="Apresentar Solução (35%)"/>
    <s v=""/>
    <m/>
    <n v="16960"/>
    <n v="4910"/>
    <n v="69"/>
    <s v="Junior Lopes"/>
    <d v="2025-08-20T00:00:00"/>
    <d v="1899-12-30T09:53:51"/>
    <s v=""/>
    <s v="Perdido"/>
    <d v="2025-10-28T00:00:00"/>
    <d v="1899-12-30T10:23:56"/>
    <s v="Projeto adiado / sem prazo definido"/>
    <s v="Voltar contato em Janeiro 2026"/>
    <s v=""/>
    <x v="95"/>
    <s v=""/>
    <x v="114"/>
    <s v=""/>
    <m/>
    <m/>
    <s v=""/>
    <s v=""/>
    <s v=""/>
    <s v=""/>
    <n v="1"/>
  </r>
  <r>
    <x v="1"/>
    <n v="534"/>
    <m/>
    <n v="2481"/>
    <s v=""/>
    <s v="Usual Plastic - Utilidade Domestica E Comercio Ltda"/>
    <x v="227"/>
    <n v="12589391000291"/>
    <s v=""/>
    <s v="Usual Plastic - Utilidade Domestica E Comercio Ltda"/>
    <s v="(15) 3283-3659"/>
    <s v=""/>
    <s v="adm@usualutilidades.com.br"/>
    <s v=""/>
    <s v=""/>
    <s v=""/>
    <s v="CESARIO LANGE"/>
    <s v="SP"/>
    <s v="Base de empresas Leads2b"/>
    <s v=""/>
    <s v=""/>
    <s v="30%;50%"/>
    <s v="Pipeline de Vendas"/>
    <s v="Apresentar Solução (35%)"/>
    <s v=""/>
    <m/>
    <n v="16960"/>
    <n v="56568"/>
    <n v="20"/>
    <s v="Junior Lopes"/>
    <d v="2025-08-20T00:00:00"/>
    <d v="1899-12-30T09:59:57"/>
    <s v=""/>
    <s v="Perdido"/>
    <d v="2025-09-09T00:00:00"/>
    <d v="1899-12-30T15:34:30"/>
    <s v="Não quer mudar a solução atual"/>
    <s v="Gustavo conversou com os sócios e decidiu por não trocar de software no momento"/>
    <s v=""/>
    <x v="104"/>
    <s v=""/>
    <x v="115"/>
    <s v=""/>
    <m/>
    <m/>
    <s v=""/>
    <s v=""/>
    <s v=""/>
    <s v=""/>
    <n v="1"/>
  </r>
  <r>
    <x v="1"/>
    <n v="537"/>
    <m/>
    <n v="2486"/>
    <s v="O projeto já está fechado; porém, devido ao fim de ano e à alta demanda interna do cliente, a assinatura do contrato foi adiada. O cliente preferiu formalizar tudo na primeira semana de janeiro, com assinatura prevista para 05/01/2026."/>
    <s v=""/>
    <x v="228"/>
    <n v="4049280000183"/>
    <s v=""/>
    <s v="AmilPlast indústria"/>
    <s v="11973107041"/>
    <s v=""/>
    <s v="amilplast@amilplastt.com.br"/>
    <s v=""/>
    <s v=""/>
    <s v=""/>
    <s v="GUARULHOS"/>
    <s v="SP"/>
    <s v=""/>
    <s v=""/>
    <s v=""/>
    <s v="90%"/>
    <s v="Pipeline de Vendas"/>
    <s v="Em Fechamento (100%)"/>
    <s v=""/>
    <d v="2026-01-16T00:00:00"/>
    <n v="51300"/>
    <n v="17345"/>
    <n v="160"/>
    <s v="Junior Lopes"/>
    <d v="2025-08-20T00:00:00"/>
    <d v="1899-12-30T10:42:44"/>
    <s v=""/>
    <s v="Ganho"/>
    <d v="2026-01-27T00:00:00"/>
    <d v="1899-12-30T17:02:07"/>
    <s v=""/>
    <s v=""/>
    <s v="21/10/2025"/>
    <x v="105"/>
    <s v="Junior Lopes"/>
    <x v="116"/>
    <s v=""/>
    <d v="2026-01-06T00:00:00"/>
    <m/>
    <s v=""/>
    <s v=""/>
    <s v=""/>
    <s v=""/>
    <n v="1"/>
  </r>
  <r>
    <x v="1"/>
    <n v="539"/>
    <m/>
    <n v="2490"/>
    <s v=""/>
    <s v="Pracaza Decor Comercio Importacao E Exportacao De Artigos Para Decoracao Ltda."/>
    <x v="229"/>
    <n v="39679781000128"/>
    <s v=""/>
    <s v="Pracaza Decor Comercio Importacao E Exportacao De Artigos Para Decoracao Ltda."/>
    <s v="(11) 4395-7650"/>
    <s v=""/>
    <s v="contato@acrosscontabil.com.br"/>
    <s v=""/>
    <s v=""/>
    <s v=""/>
    <s v="SAO PAULO"/>
    <s v="SP"/>
    <s v="Base de empresas Leads2b"/>
    <s v=""/>
    <s v=""/>
    <s v=""/>
    <s v="Pipeline de Vendas"/>
    <s v="Apresentar Solução (35%)"/>
    <s v=""/>
    <m/>
    <n v="67840"/>
    <n v="13781"/>
    <n v="69"/>
    <s v="Junior Lopes"/>
    <d v="2025-08-20T00:00:00"/>
    <d v="1899-12-30T11:16:16"/>
    <s v=""/>
    <s v="Perdido"/>
    <d v="2025-10-28T00:00:00"/>
    <d v="1899-12-30T10:24:21"/>
    <s v="Não quer mudar a solução atual"/>
    <s v="sem retorno"/>
    <s v=""/>
    <x v="106"/>
    <s v=""/>
    <x v="0"/>
    <s v=""/>
    <m/>
    <m/>
    <s v=""/>
    <s v=""/>
    <s v=""/>
    <s v=""/>
    <n v="1"/>
  </r>
  <r>
    <x v="1"/>
    <n v="540"/>
    <m/>
    <n v="2493"/>
    <s v=""/>
    <s v="Aluminio Marcolar Ltda"/>
    <x v="230"/>
    <n v="43066372000204"/>
    <s v=""/>
    <s v="Aluminio Marcolar Ltda"/>
    <s v="(11) 2067-1299"/>
    <s v=""/>
    <s v="sac@marcolar.com.br"/>
    <s v=""/>
    <s v=""/>
    <s v=""/>
    <s v="RIBEIRAO PIRES"/>
    <s v="SP"/>
    <s v="Base de empresas Leads2b"/>
    <s v=""/>
    <s v=""/>
    <s v=""/>
    <s v="Pipeline de Vendas"/>
    <s v="Apresentar Solução (35%)"/>
    <s v=""/>
    <m/>
    <n v="16960"/>
    <n v="37712"/>
    <n v="71"/>
    <s v="Junior Lopes"/>
    <d v="2025-08-20T00:00:00"/>
    <d v="1899-12-30T11:29:31"/>
    <s v=""/>
    <s v="Perdido"/>
    <d v="2025-10-30T00:00:00"/>
    <d v="1899-12-30T10:08:50"/>
    <s v="Projeto adiado / sem prazo definido"/>
    <s v="Rogerio pediu para aguardar um pouco mais"/>
    <s v=""/>
    <x v="107"/>
    <s v=""/>
    <x v="117"/>
    <s v=""/>
    <m/>
    <m/>
    <s v=""/>
    <s v=""/>
    <s v=""/>
    <s v=""/>
    <n v="1"/>
  </r>
  <r>
    <x v="1"/>
    <n v="542"/>
    <m/>
    <n v="2496"/>
    <s v=""/>
    <s v=""/>
    <x v="231"/>
    <n v="1715468000125"/>
    <s v=""/>
    <s v="Off Paper"/>
    <s v="35984074473"/>
    <s v=""/>
    <s v="jessica@papeisoffpaper.com.br"/>
    <s v=""/>
    <s v=""/>
    <s v=""/>
    <s v="LAMBARI"/>
    <s v="MG"/>
    <s v=""/>
    <s v=""/>
    <s v=""/>
    <s v="30%"/>
    <s v="Pipeline de Vendas"/>
    <s v="Apresentar Proposta (50%)"/>
    <s v=""/>
    <m/>
    <n v="212"/>
    <n v="69045"/>
    <n v="41"/>
    <s v="Junior Lopes"/>
    <d v="2025-08-21T00:00:00"/>
    <d v="1899-12-30T09:33:37"/>
    <s v=""/>
    <s v="Perdido"/>
    <d v="2025-10-01T00:00:00"/>
    <d v="1899-12-30T15:59:20"/>
    <s v="Fechou com o concorrente - preço"/>
    <s v="fechou sem mesmo falar com Guarani"/>
    <s v=""/>
    <x v="106"/>
    <s v=""/>
    <x v="115"/>
    <s v="22/08/2025"/>
    <m/>
    <m/>
    <s v=""/>
    <s v=""/>
    <s v=""/>
    <s v=""/>
    <n v="1"/>
  </r>
  <r>
    <x v="0"/>
    <n v="545"/>
    <m/>
    <n v="2464"/>
    <s v=""/>
    <s v=""/>
    <x v="232"/>
    <m/>
    <s v=""/>
    <s v="Carlos"/>
    <s v="(11) 91852-0852"/>
    <s v=""/>
    <s v="cpedro@shinyt.com.br"/>
    <s v=""/>
    <s v=""/>
    <s v=""/>
    <s v="São Paulo"/>
    <s v=""/>
    <s v="Site"/>
    <s v=""/>
    <s v=""/>
    <s v=""/>
    <s v="Pipeline de Vendas"/>
    <s v="Apresentar Proposta (50%)"/>
    <s v=""/>
    <m/>
    <n v="47500"/>
    <n v="28571"/>
    <n v="3"/>
    <s v="Paulo Souza"/>
    <d v="2025-08-22T00:00:00"/>
    <d v="1899-12-30T16:30:14"/>
    <s v=""/>
    <s v="Perdido"/>
    <d v="2025-08-25T00:00:00"/>
    <d v="1899-12-30T14:44:29"/>
    <s v="Preço muito alto - fora do budget de investimento"/>
    <s v=""/>
    <s v=""/>
    <x v="99"/>
    <s v="Paulo Souza"/>
    <x v="113"/>
    <s v=""/>
    <m/>
    <m/>
    <s v=""/>
    <s v=""/>
    <s v=""/>
    <s v=""/>
    <n v="1"/>
  </r>
  <r>
    <x v="0"/>
    <n v="546"/>
    <m/>
    <n v="2463"/>
    <s v=""/>
    <s v=""/>
    <x v="233"/>
    <n v="27616615000101"/>
    <s v=""/>
    <s v="Raquel"/>
    <s v="(47) 99227-7535"/>
    <s v=""/>
    <s v="comercial@dgbcomex.com.br"/>
    <s v=""/>
    <s v=""/>
    <s v=""/>
    <s v="Santa Bárbara d'Oeste"/>
    <s v=""/>
    <s v="Site"/>
    <s v=""/>
    <s v=""/>
    <s v="Contato"/>
    <s v="Pipeline de Vendas"/>
    <s v="Em negociação (75%)"/>
    <s v=""/>
    <m/>
    <n v="56000"/>
    <n v="340834"/>
    <n v="38"/>
    <s v="Paulo Souza"/>
    <d v="2025-08-22T00:00:00"/>
    <d v="1899-12-30T16:30:46"/>
    <s v=""/>
    <s v="Perdido"/>
    <d v="2025-09-29T00:00:00"/>
    <d v="1899-12-30T16:42:31"/>
    <s v="Projeto adiado / sem prazo definido"/>
    <s v=""/>
    <s v=""/>
    <x v="108"/>
    <s v="Paulo Souza"/>
    <x v="118"/>
    <s v=""/>
    <m/>
    <m/>
    <s v=""/>
    <s v=""/>
    <s v=""/>
    <s v=""/>
    <n v="1"/>
  </r>
  <r>
    <x v="0"/>
    <n v="550"/>
    <m/>
    <n v="2506"/>
    <s v=""/>
    <s v=""/>
    <x v="234"/>
    <n v="7225431000103"/>
    <s v=""/>
    <s v="Ezequiel"/>
    <s v="49999523158"/>
    <s v=""/>
    <s v="adm@duarteestofaria.com.br"/>
    <s v=""/>
    <s v=""/>
    <s v=""/>
    <s v=""/>
    <s v=""/>
    <s v=""/>
    <s v=""/>
    <s v=""/>
    <s v=""/>
    <s v="Pipeline de Vendas"/>
    <s v="Em negociação (75%)"/>
    <s v=""/>
    <m/>
    <n v="519984"/>
    <n v="15378"/>
    <n v="0"/>
    <s v="Paulo Souza"/>
    <d v="2025-08-25T00:00:00"/>
    <d v="1899-12-30T14:30:34"/>
    <s v=""/>
    <s v="Perdido"/>
    <d v="2025-08-25T00:00:00"/>
    <d v="1899-12-30T14:33:38"/>
    <s v="Preço muito alto - fora do budget de investimento"/>
    <s v=""/>
    <s v=""/>
    <x v="109"/>
    <s v="Paulo Souza"/>
    <x v="119"/>
    <s v=""/>
    <m/>
    <m/>
    <s v=""/>
    <s v=""/>
    <s v=""/>
    <s v=""/>
    <n v="1"/>
  </r>
  <r>
    <x v="0"/>
    <n v="552"/>
    <m/>
    <n v="2508"/>
    <s v="Falei hoje 09/01/2026 com Helton e questionei ele sobre a sequência ou não do projeto sistema._x000a_Esta oportunidade encontra-se pausado durante 2026._x000a_22/01 - Retorno do Helton:  Paulo, bom dia! Peço desculpas pelo atraso na resposta. Desejo um ótimo 2026 para você também! _x000a_Analisamos as opções para uma possível troca, mas infelizmente não obtivemos a adesão esperada. Portanto, por enquanto, vamos manter o ERP atual."/>
    <s v=""/>
    <x v="235"/>
    <n v="17739326000138"/>
    <s v=""/>
    <s v="Helton"/>
    <s v="1633347333"/>
    <s v=""/>
    <s v="helton@ramos.com.br"/>
    <s v=""/>
    <s v=""/>
    <s v=""/>
    <s v=""/>
    <s v=""/>
    <s v=""/>
    <s v=""/>
    <s v=""/>
    <s v="30%"/>
    <s v="Pipeline de Vendas"/>
    <s v="Em negociação (75%)"/>
    <s v=""/>
    <d v="2026-01-22T00:00:00"/>
    <n v="15359994"/>
    <n v="924744"/>
    <n v="151"/>
    <s v="Paulo Souza"/>
    <d v="2025-08-25T00:00:00"/>
    <d v="1899-12-30T14:49:40"/>
    <s v=""/>
    <s v="Perdido"/>
    <d v="2026-01-23T00:00:00"/>
    <d v="1899-12-30T11:11:59"/>
    <s v="Não quer mudar a solução atual"/>
    <s v=""/>
    <s v=""/>
    <x v="110"/>
    <s v="Paulo Souza"/>
    <x v="120"/>
    <s v=""/>
    <d v="2026-01-22T00:00:00"/>
    <m/>
    <s v=""/>
    <s v=""/>
    <s v=""/>
    <s v=""/>
    <n v="1"/>
  </r>
  <r>
    <x v="0"/>
    <n v="553"/>
    <m/>
    <n v="2509"/>
    <s v=""/>
    <s v=""/>
    <x v="236"/>
    <m/>
    <s v=""/>
    <s v="Fabiana e Gilson"/>
    <s v="11950946784"/>
    <s v=""/>
    <s v="null"/>
    <s v=""/>
    <s v=""/>
    <s v=""/>
    <s v=""/>
    <s v=""/>
    <s v=""/>
    <s v=""/>
    <s v=""/>
    <s v=""/>
    <s v="Pipeline de Vendas"/>
    <s v="Em Fechamento (100%)"/>
    <s v=""/>
    <m/>
    <n v="9600"/>
    <n v="412064"/>
    <n v="84"/>
    <s v="Paulo Souza"/>
    <d v="2025-08-25T00:00:00"/>
    <d v="1899-12-30T14:58:26"/>
    <s v=""/>
    <s v="Ganho"/>
    <d v="2025-11-17T00:00:00"/>
    <d v="1899-12-30T15:27:00"/>
    <s v=""/>
    <s v=""/>
    <s v=""/>
    <x v="110"/>
    <s v="Paulo Souza"/>
    <x v="120"/>
    <s v=""/>
    <m/>
    <m/>
    <s v=""/>
    <s v=""/>
    <s v=""/>
    <s v=""/>
    <n v="1"/>
  </r>
  <r>
    <x v="1"/>
    <n v="557"/>
    <m/>
    <n v="2516"/>
    <s v=""/>
    <s v=""/>
    <x v="237"/>
    <n v="59716480000134"/>
    <s v=""/>
    <s v="Plastutti - Cloud"/>
    <s v="1146311986"/>
    <s v=""/>
    <s v="thiago@plasstutti.com.br"/>
    <s v=""/>
    <s v=""/>
    <s v=""/>
    <s v="DIADEMA"/>
    <s v="SP"/>
    <s v=""/>
    <s v=""/>
    <s v=""/>
    <s v=""/>
    <s v="Pipeline de Vendas"/>
    <s v="Apresentar Proposta (50%)"/>
    <s v=""/>
    <m/>
    <m/>
    <m/>
    <n v="0"/>
    <s v="Junior Lopes"/>
    <d v="2025-08-28T00:00:00"/>
    <d v="1899-12-30T16:54:42"/>
    <s v=""/>
    <s v="Perdido"/>
    <d v="2025-08-28T00:00:00"/>
    <d v="1899-12-30T17:00:14"/>
    <s v="Preço muito alto - fora do budget de investimento"/>
    <s v="achou valores acima"/>
    <s v=""/>
    <x v="111"/>
    <s v=""/>
    <x v="121"/>
    <s v=""/>
    <m/>
    <m/>
    <s v=""/>
    <s v=""/>
    <s v=""/>
    <s v=""/>
    <n v="1"/>
  </r>
  <r>
    <x v="1"/>
    <n v="558"/>
    <m/>
    <n v="2518"/>
    <s v=""/>
    <s v=""/>
    <x v="238"/>
    <n v="60315995000101"/>
    <s v=""/>
    <s v="Brinquemix - Cloud"/>
    <s v="11996823494"/>
    <s v=""/>
    <s v="simonee@brinquemix.com.br"/>
    <s v=""/>
    <s v=""/>
    <s v=""/>
    <s v="ITAQUAQUECETUBA"/>
    <s v="SP"/>
    <s v=""/>
    <s v=""/>
    <s v=""/>
    <s v=""/>
    <s v="Pipeline de Vendas"/>
    <s v="Apresentar Solução (35%)"/>
    <s v=""/>
    <m/>
    <n v="1600"/>
    <n v="323356"/>
    <n v="0"/>
    <s v="Junior Lopes"/>
    <d v="2025-08-29T00:00:00"/>
    <d v="1899-12-30T10:43:20"/>
    <s v=""/>
    <s v="Perdido"/>
    <d v="2025-08-29T00:00:00"/>
    <d v="1899-12-30T11:06:35"/>
    <s v="Projeto adiado / sem prazo definido"/>
    <s v="16:26, 28/8/2025 Junior Lopes: Olá Simone, boa tarde_x000a_17:06, 28/8/2025 Simone Brinquemix : Olá Dra_x000a_17:06, 28/8/2025 Simone Brinquemix : Olá_x000a_11:03, 29/8/2025 Junior Lopes: Olá Simone ! Como não tive retorno de sua parte, vou encerrar este atendimento! _x000a_Caso mude de ideia ou precise de algo no futuro pode me chamar por aqui _x000a_Estimo sucesso para vocês 🤝"/>
    <s v=""/>
    <x v="112"/>
    <s v=""/>
    <x v="109"/>
    <s v=""/>
    <m/>
    <m/>
    <s v=""/>
    <s v=""/>
    <s v=""/>
    <s v=""/>
    <n v="1"/>
  </r>
  <r>
    <x v="1"/>
    <n v="559"/>
    <n v="155"/>
    <m/>
    <s v=""/>
    <s v=""/>
    <x v="239"/>
    <n v="13609763000186"/>
    <s v="BAAG (Bahia Artes Gráficas)"/>
    <s v=""/>
    <s v=""/>
    <s v=""/>
    <s v="cleber@bahiagrafica.com.br"/>
    <s v=""/>
    <s v=""/>
    <s v=""/>
    <s v="Feira de Santana"/>
    <s v="BA"/>
    <s v=""/>
    <s v=""/>
    <s v=""/>
    <s v=""/>
    <s v="Pipeline de Vendas"/>
    <s v="Apresentar Solução (35%)"/>
    <s v=""/>
    <m/>
    <n v="16960"/>
    <n v="14256"/>
    <n v="32"/>
    <s v="Junior Lopes"/>
    <d v="2025-08-29T00:00:00"/>
    <d v="1899-12-30T15:55:01"/>
    <s v=""/>
    <s v="Perdido"/>
    <d v="2025-09-30T00:00:00"/>
    <d v="1899-12-30T16:26:43"/>
    <s v="Projeto adiado / sem prazo definido"/>
    <s v="em analise do consultor Munhoz, cliente não esta no momento  certo"/>
    <s v=""/>
    <x v="113"/>
    <s v=""/>
    <x v="0"/>
    <s v=""/>
    <m/>
    <m/>
    <s v=""/>
    <s v=""/>
    <s v=""/>
    <s v=""/>
    <n v="1"/>
  </r>
  <r>
    <x v="1"/>
    <n v="561"/>
    <m/>
    <n v="2523"/>
    <s v=""/>
    <s v=""/>
    <x v="240"/>
    <n v="4049280000183"/>
    <s v=""/>
    <s v="Amilplast - Cloud"/>
    <s v="11973107041"/>
    <s v=""/>
    <s v="amilplast@amilplastt.com.br"/>
    <s v=""/>
    <s v=""/>
    <s v=""/>
    <s v="GUARULHOS"/>
    <s v="SP"/>
    <s v=""/>
    <s v=""/>
    <s v=""/>
    <s v=""/>
    <s v="Pipeline de Vendas"/>
    <s v="Em Fechamento (100%)"/>
    <s v=""/>
    <m/>
    <n v="1600"/>
    <n v="390556"/>
    <n v="61"/>
    <s v="Junior Lopes"/>
    <d v="2025-08-29T00:00:00"/>
    <d v="1899-12-30T16:40:34"/>
    <s v=""/>
    <s v="Perdido"/>
    <d v="2025-10-29T00:00:00"/>
    <d v="1899-12-30T10:37:03"/>
    <s v="Não quer mudar a solução atual"/>
    <s v="Amilplast continuará com servidor físico"/>
    <s v="21/10/2025"/>
    <x v="105"/>
    <s v=""/>
    <x v="116"/>
    <s v=""/>
    <m/>
    <m/>
    <s v=""/>
    <s v=""/>
    <s v=""/>
    <s v=""/>
    <n v="1"/>
  </r>
  <r>
    <x v="1"/>
    <n v="562"/>
    <m/>
    <n v="2526"/>
    <s v=""/>
    <s v=""/>
    <x v="241"/>
    <n v="1715468000125"/>
    <s v=""/>
    <s v="Off Paper (ERP)"/>
    <s v="35984074473"/>
    <s v=""/>
    <s v="jessica@papeisoffpaper.com.br"/>
    <s v=""/>
    <s v=""/>
    <s v=""/>
    <s v="LAMBARI"/>
    <s v="MG"/>
    <s v=""/>
    <s v=""/>
    <s v=""/>
    <s v=""/>
    <s v="Pipeline de Vendas"/>
    <s v="Apresentar Solução (35%)"/>
    <s v=""/>
    <m/>
    <n v="1600"/>
    <n v="480156"/>
    <n v="33"/>
    <s v="Junior Lopes"/>
    <d v="2025-08-29T00:00:00"/>
    <d v="1899-12-30T16:52:44"/>
    <s v=""/>
    <s v="Perdido"/>
    <d v="2025-10-01T00:00:00"/>
    <d v="1899-12-30T15:58:53"/>
    <s v="Fechou com o concorrente - preço"/>
    <s v="fechou sem mesmo falar com Guarani"/>
    <s v=""/>
    <x v="106"/>
    <s v=""/>
    <x v="0"/>
    <s v=""/>
    <m/>
    <m/>
    <s v=""/>
    <s v=""/>
    <s v=""/>
    <s v=""/>
    <n v="1"/>
  </r>
  <r>
    <x v="1"/>
    <n v="563"/>
    <m/>
    <n v="2530"/>
    <s v=""/>
    <s v=""/>
    <x v="242"/>
    <n v="1715468000125"/>
    <s v=""/>
    <s v="Off Paper (Cloud)"/>
    <s v="35984074473"/>
    <s v=""/>
    <s v="jessica@papeisoffpaper.com.br"/>
    <s v=""/>
    <s v=""/>
    <s v=""/>
    <s v="LAMBARI"/>
    <s v="MG"/>
    <s v=""/>
    <s v=""/>
    <s v=""/>
    <s v=""/>
    <s v="Pipeline de Vendas"/>
    <s v="Apresentar Solução (35%)"/>
    <s v=""/>
    <m/>
    <n v="93280"/>
    <n v="1163416"/>
    <n v="33"/>
    <s v="Junior Lopes"/>
    <d v="2025-08-29T00:00:00"/>
    <d v="1899-12-30T16:55:00"/>
    <s v=""/>
    <s v="Perdido"/>
    <d v="2025-10-01T00:00:00"/>
    <d v="1899-12-30T15:58:22"/>
    <s v="Fechou com o concorrente - preço"/>
    <s v="fechou sem mesmo falar com Guarani"/>
    <s v=""/>
    <x v="106"/>
    <s v=""/>
    <x v="0"/>
    <s v=""/>
    <m/>
    <m/>
    <s v=""/>
    <s v=""/>
    <s v=""/>
    <s v=""/>
    <n v="1"/>
  </r>
  <r>
    <x v="1"/>
    <n v="564"/>
    <m/>
    <n v="2534"/>
    <s v=""/>
    <s v=""/>
    <x v="243"/>
    <m/>
    <s v=""/>
    <s v="Usual plastic (BI)"/>
    <s v="1532833659"/>
    <s v=""/>
    <s v="adm@usualutilidades.com.br"/>
    <s v=""/>
    <s v=""/>
    <s v=""/>
    <s v=""/>
    <s v=""/>
    <s v=""/>
    <s v=""/>
    <s v=""/>
    <s v=""/>
    <s v="Pipeline de Vendas"/>
    <s v="Apresentar Solução (35%)"/>
    <s v=""/>
    <m/>
    <n v="16200"/>
    <n v="2160"/>
    <n v="11"/>
    <s v="Junior Lopes"/>
    <d v="2025-08-29T00:00:00"/>
    <d v="1899-12-30T17:43:06"/>
    <s v=""/>
    <s v="Perdido"/>
    <d v="2025-09-09T00:00:00"/>
    <d v="1899-12-30T15:32:46"/>
    <s v="Não quer mudar a solução atual"/>
    <s v="Gustavo conversou com os sócios e decidiu por não trocar de software no momento"/>
    <s v=""/>
    <x v="104"/>
    <s v=""/>
    <x v="0"/>
    <s v=""/>
    <m/>
    <m/>
    <s v=""/>
    <s v=""/>
    <s v=""/>
    <s v=""/>
    <n v="1"/>
  </r>
  <r>
    <x v="2"/>
    <n v="566"/>
    <m/>
    <n v="2538"/>
    <s v=""/>
    <s v="Jr Comercio De Motos E Pecas Ltda"/>
    <x v="244"/>
    <n v="46964028000140"/>
    <s v=""/>
    <s v="Jr Comercio De Motos E Pecas Ltda"/>
    <s v="(67) 9121-3638"/>
    <s v=""/>
    <s v="custodiojadi@gmail.com"/>
    <s v=""/>
    <s v=""/>
    <s v=""/>
    <s v="CAMPO GRANDE"/>
    <s v="MS"/>
    <s v="Base de empresas Leads2b"/>
    <s v=""/>
    <s v=""/>
    <s v=""/>
    <s v="Pipeline de Vendas"/>
    <s v="Apresentar Solução (35%)"/>
    <s v=""/>
    <m/>
    <m/>
    <m/>
    <n v="28"/>
    <s v="Rayssa Karapeticov"/>
    <d v="2025-09-02T00:00:00"/>
    <d v="1899-12-30T09:34:13"/>
    <s v=""/>
    <s v="Perdido"/>
    <d v="2025-09-30T00:00:00"/>
    <d v="1899-12-30T09:44:47"/>
    <s v="Preço muito alto - fora do budget de investimento"/>
    <s v=""/>
    <s v=""/>
    <x v="0"/>
    <s v=""/>
    <x v="0"/>
    <s v=""/>
    <m/>
    <m/>
    <s v=""/>
    <s v=""/>
    <s v=""/>
    <s v=""/>
    <n v="1"/>
  </r>
  <r>
    <x v="2"/>
    <n v="567"/>
    <m/>
    <n v="2541"/>
    <s v=""/>
    <s v="Jomafe Brasil - Comercio De Utensilios Domesticos E Cutelarias Ltda."/>
    <x v="245"/>
    <n v="13039863000203"/>
    <s v=""/>
    <s v="Jomafe Brasil - Comercio De Utensilios Domesticos E Cutelarias Ltda."/>
    <s v="(11) 3283-3767"/>
    <s v=""/>
    <s v="vendas.br@jomafe.pt"/>
    <s v=""/>
    <s v=""/>
    <s v=""/>
    <s v="SAO PAULO"/>
    <s v="SP"/>
    <s v="Base de empresas Leads2b"/>
    <s v=""/>
    <s v=""/>
    <s v="WhatsappRayssa"/>
    <s v="Pipeline de Vendas"/>
    <s v="Agendamento (0%)"/>
    <s v=""/>
    <m/>
    <m/>
    <m/>
    <n v="98"/>
    <s v="Rayssa Karapeticov"/>
    <d v="2025-09-02T00:00:00"/>
    <d v="1899-12-30T10:57:13"/>
    <s v=""/>
    <s v="Perdido"/>
    <d v="2025-12-09T00:00:00"/>
    <d v="1899-12-30T11:48:37"/>
    <s v="Projeto adiado / sem prazo definido"/>
    <s v=""/>
    <s v=""/>
    <x v="0"/>
    <s v=""/>
    <x v="0"/>
    <s v=""/>
    <m/>
    <m/>
    <s v=""/>
    <s v=""/>
    <s v=""/>
    <s v=""/>
    <n v="1"/>
  </r>
  <r>
    <x v="0"/>
    <n v="575"/>
    <m/>
    <n v="2547"/>
    <s v=""/>
    <s v=""/>
    <x v="246"/>
    <m/>
    <s v=""/>
    <s v="NATALIA GABRIELA DAMACENO MOTA"/>
    <s v="(11) 9667-2094"/>
    <s v=""/>
    <s v="naty-gabriela@hotmail.com"/>
    <s v=""/>
    <s v=""/>
    <s v=""/>
    <s v="São Paulo"/>
    <s v=""/>
    <s v="Site"/>
    <s v=""/>
    <s v=""/>
    <s v="Contato"/>
    <s v="Pipeline de Vendas"/>
    <s v="Apresentar Proposta (50%)"/>
    <s v=""/>
    <m/>
    <m/>
    <m/>
    <n v="19"/>
    <s v="Paulo Souza"/>
    <d v="2025-09-10T00:00:00"/>
    <d v="1899-12-30T15:39:28"/>
    <s v=""/>
    <s v="Perdido"/>
    <d v="2025-09-29T00:00:00"/>
    <d v="1899-12-30T16:41:35"/>
    <s v="Fora do porte mínimo (sem fit estrutural)"/>
    <s v=""/>
    <s v=""/>
    <x v="108"/>
    <s v="Paulo Souza"/>
    <x v="118"/>
    <s v=""/>
    <m/>
    <m/>
    <s v=""/>
    <s v=""/>
    <s v=""/>
    <s v=""/>
    <n v="1"/>
  </r>
  <r>
    <x v="1"/>
    <n v="576"/>
    <m/>
    <n v="2551"/>
    <s v=""/>
    <s v="Natalia Gabriela Damaceno Mota"/>
    <x v="247"/>
    <n v="36621794000158"/>
    <s v=""/>
    <s v="Natalia Gabriela Damaceno Mota"/>
    <s v="(11) 4292-3358"/>
    <s v=""/>
    <s v="catocontabilidade@gmail.com"/>
    <s v=""/>
    <s v=""/>
    <s v=""/>
    <s v="SUZANO"/>
    <s v="SP"/>
    <s v="Base de empresas Leads2b"/>
    <s v=""/>
    <s v=""/>
    <s v=""/>
    <s v="Pipeline de Vendas"/>
    <s v="Apresentar Solução (35%)"/>
    <s v=""/>
    <m/>
    <n v="10176"/>
    <n v="2060"/>
    <n v="23"/>
    <s v="Junior Lopes"/>
    <d v="2025-09-10T00:00:00"/>
    <d v="1899-12-30T15:53:14"/>
    <s v=""/>
    <s v="Perdido"/>
    <d v="2025-10-03T00:00:00"/>
    <d v="1899-12-30T09:59:47"/>
    <s v="Não houve aprovação financeira"/>
    <s v="Após proposta cliente não respondeu mais"/>
    <s v=""/>
    <x v="114"/>
    <s v=""/>
    <x v="122"/>
    <s v=""/>
    <m/>
    <m/>
    <s v=""/>
    <s v=""/>
    <s v=""/>
    <s v=""/>
    <n v="1"/>
  </r>
  <r>
    <x v="0"/>
    <n v="577"/>
    <m/>
    <n v="2502"/>
    <s v=""/>
    <s v=""/>
    <x v="248"/>
    <m/>
    <s v=""/>
    <s v="Lara"/>
    <s v="(19) 99985-2953"/>
    <s v=""/>
    <s v="lfabian.pereira@gmail.com"/>
    <s v=""/>
    <s v=""/>
    <s v=""/>
    <s v="Pedreira"/>
    <s v=""/>
    <s v="Site"/>
    <s v=""/>
    <s v=""/>
    <s v="Contato"/>
    <s v="Pipeline de Vendas"/>
    <s v="Em negociação (75%)"/>
    <s v=""/>
    <m/>
    <m/>
    <m/>
    <n v="0"/>
    <s v="Paulo Souza"/>
    <d v="2025-09-10T00:00:00"/>
    <d v="1899-12-30T15:54:51"/>
    <s v=""/>
    <s v="Perdido"/>
    <d v="2025-09-10T00:00:00"/>
    <d v="1899-12-30T15:56:27"/>
    <s v="Preço muito alto - fora do budget de investimento"/>
    <s v=""/>
    <s v=""/>
    <x v="115"/>
    <s v="Paulo Souza"/>
    <x v="123"/>
    <s v=""/>
    <m/>
    <m/>
    <s v=""/>
    <s v=""/>
    <s v=""/>
    <s v=""/>
    <n v="1"/>
  </r>
  <r>
    <x v="0"/>
    <n v="578"/>
    <m/>
    <n v="2515"/>
    <s v=""/>
    <s v=""/>
    <x v="249"/>
    <m/>
    <s v=""/>
    <s v="Sidney Stabile"/>
    <s v="(11) 98122-0797"/>
    <s v=""/>
    <s v="sidneysmr1@gmail.com"/>
    <s v=""/>
    <s v=""/>
    <s v=""/>
    <s v="São Paulo"/>
    <s v=""/>
    <s v="Site"/>
    <s v=""/>
    <s v=""/>
    <s v="Solicita demo"/>
    <s v="Pipeline de Vendas"/>
    <s v="Apresentar Proposta (50%)"/>
    <s v=""/>
    <m/>
    <m/>
    <m/>
    <n v="0"/>
    <s v="Paulo Souza"/>
    <d v="2025-09-11T00:00:00"/>
    <d v="1899-12-30T08:35:20"/>
    <s v=""/>
    <s v="Perdido"/>
    <d v="2025-09-11T00:00:00"/>
    <d v="1899-12-30T08:38:05"/>
    <s v="Preço muito alto - fora do budget de investimento"/>
    <s v=""/>
    <s v=""/>
    <x v="116"/>
    <s v=""/>
    <x v="124"/>
    <s v=""/>
    <m/>
    <m/>
    <s v=""/>
    <s v=""/>
    <s v=""/>
    <s v=""/>
    <n v="1"/>
  </r>
  <r>
    <x v="1"/>
    <n v="582"/>
    <m/>
    <n v="2555"/>
    <s v="O projeto só avançará após o ERP entrar em produção. É necessário alinhar com o Mário e o Fernando para confirmar a data exata de go-live, pois o projeto permanece aguardando essa etapa da implantação para seguir com as próximas fases."/>
    <s v=""/>
    <x v="150"/>
    <n v="32921219000110"/>
    <s v=""/>
    <s v="MDL Import - Cloud"/>
    <s v="1190695515"/>
    <s v=""/>
    <s v="janaina@mdlimport.com.br"/>
    <s v=""/>
    <s v=""/>
    <s v=""/>
    <s v=""/>
    <s v=""/>
    <s v=""/>
    <s v=""/>
    <s v=""/>
    <s v="80%"/>
    <s v="Pipeline de Vendas"/>
    <s v="Em Fechamento (100%)"/>
    <s v=""/>
    <d v="2026-02-02T00:00:00"/>
    <n v="1600"/>
    <n v="256856"/>
    <n v="231"/>
    <s v="Junior Lopes"/>
    <d v="2025-09-11T00:00:00"/>
    <d v="1899-12-30T13:00:08"/>
    <s v=""/>
    <s v="Perdido"/>
    <d v="2026-04-30T00:00:00"/>
    <d v="1899-12-30T14:30:32"/>
    <s v="Não quer mudar a solução atual"/>
    <s v="esta em uso de servidor próprio"/>
    <s v=""/>
    <x v="117"/>
    <s v="Junior Lopes"/>
    <x v="125"/>
    <s v=""/>
    <d v="2025-12-12T00:00:00"/>
    <n v="80"/>
    <s v=""/>
    <s v=""/>
    <s v=""/>
    <s v=""/>
    <n v="1"/>
  </r>
  <r>
    <x v="0"/>
    <n v="583"/>
    <m/>
    <n v="578"/>
    <s v="A empresa está enfrentando uma situação delicada com a Receita Federal e, por isso, decidiu aguardar antes de assinar o contrato, já que não sabe se manterá a operação de atacado. O plano é retomar o contato na primeira semana de janeiro de 2026._x000a_06/02 A Michele me ligou retomando o projeto, agora estamos na fase de negociação."/>
    <s v="Futuro Brasil Importacao E Exportacao Ltda"/>
    <x v="250"/>
    <n v="7664689000289"/>
    <s v=""/>
    <s v="Futuro Brasil Importacao E Exportacao Ltda"/>
    <s v="(11) 3312-3990"/>
    <s v=""/>
    <s v="financeiro.michele@futurobrasil.com"/>
    <s v=""/>
    <s v=""/>
    <s v=""/>
    <s v="EXTREMA"/>
    <s v="MG"/>
    <s v="Base de empresas Leads2b"/>
    <s v=""/>
    <s v=""/>
    <s v="30%;Pausado"/>
    <s v="Pipeline de Vendas"/>
    <s v="Em negociação (75%)"/>
    <s v=""/>
    <d v="2026-04-30T00:00:00"/>
    <n v="100800"/>
    <n v="5484"/>
    <n v="249"/>
    <s v="Paulo Souza"/>
    <d v="2025-09-11T00:00:00"/>
    <d v="1899-12-30T15:56:45"/>
    <s v=""/>
    <s v="Perdido"/>
    <d v="2026-05-18T00:00:00"/>
    <d v="1899-12-30T16:49:23"/>
    <s v="Projeto adiado / sem prazo definido"/>
    <s v=""/>
    <s v=""/>
    <x v="118"/>
    <s v="Paulo Souza"/>
    <x v="126"/>
    <s v=""/>
    <d v="2026-03-31T00:00:00"/>
    <n v="30"/>
    <s v="504"/>
    <s v="ERP, AFV, ADICIONAIS, CLOUD, WMS"/>
    <s v="R$ 100.800"/>
    <s v="R$ 5.484"/>
    <n v="1"/>
  </r>
  <r>
    <x v="1"/>
    <n v="585"/>
    <m/>
    <n v="2557"/>
    <s v=""/>
    <s v=""/>
    <x v="251"/>
    <m/>
    <s v=""/>
    <s v="Fantoys comércio de brinquedos ltda"/>
    <s v="44999841977"/>
    <s v=""/>
    <s v="Fantoyscomercial@gmail.com"/>
    <s v=""/>
    <s v=""/>
    <s v=""/>
    <s v=""/>
    <s v=""/>
    <s v=""/>
    <s v=""/>
    <s v=""/>
    <s v=""/>
    <s v="Pipeline de Vendas"/>
    <s v="Apresentar Proposta (50%)"/>
    <s v=""/>
    <m/>
    <n v="58088"/>
    <n v="645602"/>
    <n v="13"/>
    <s v="Junior Lopes"/>
    <d v="2025-09-12T00:00:00"/>
    <d v="1899-12-30T14:48:47"/>
    <s v=""/>
    <s v="Perdido"/>
    <d v="2025-09-25T00:00:00"/>
    <d v="1899-12-30T16:14:01"/>
    <s v="Não houve aprovação financeira"/>
    <s v="cliente achou investimento muito alto"/>
    <s v=""/>
    <x v="119"/>
    <s v=""/>
    <x v="127"/>
    <s v=""/>
    <m/>
    <m/>
    <s v=""/>
    <s v=""/>
    <s v=""/>
    <s v=""/>
    <n v="1"/>
  </r>
  <r>
    <x v="2"/>
    <n v="587"/>
    <m/>
    <n v="2559"/>
    <s v=""/>
    <s v=""/>
    <x v="252"/>
    <m/>
    <s v=""/>
    <s v="Junior"/>
    <s v="19987126669"/>
    <s v=""/>
    <s v="null"/>
    <s v=""/>
    <s v=""/>
    <s v=""/>
    <s v=""/>
    <s v=""/>
    <s v=""/>
    <s v=""/>
    <s v=""/>
    <s v=""/>
    <s v="Pipeline de Vendas"/>
    <s v="Em Fechamento (100%)"/>
    <s v=""/>
    <m/>
    <n v="64200"/>
    <n v="254344"/>
    <n v="78"/>
    <s v="Rayssa Karapeticov"/>
    <d v="2025-09-15T00:00:00"/>
    <d v="1899-12-30T10:48:08"/>
    <s v=""/>
    <s v="Ganho"/>
    <d v="2025-12-02T00:00:00"/>
    <d v="1899-12-30T11:19:47"/>
    <s v=""/>
    <s v=""/>
    <s v=""/>
    <x v="120"/>
    <s v=""/>
    <x v="128"/>
    <s v="17/09/2025 00:00"/>
    <m/>
    <m/>
    <s v=""/>
    <s v=""/>
    <s v=""/>
    <s v=""/>
    <n v="1"/>
  </r>
  <r>
    <x v="1"/>
    <n v="589"/>
    <m/>
    <n v="2561"/>
    <s v=""/>
    <s v=""/>
    <x v="253"/>
    <n v="7548592000120"/>
    <s v=""/>
    <s v="KAIQUE ARAUJO"/>
    <s v="(67) 99250-3056"/>
    <s v=""/>
    <s v="comercial.centralracoes@hotmail.com"/>
    <s v=""/>
    <s v=""/>
    <s v=""/>
    <s v="CAMPO GRANDE"/>
    <s v="MS"/>
    <s v="Site"/>
    <s v=""/>
    <s v=""/>
    <s v="Solicita demo"/>
    <s v="Pipeline de Vendas"/>
    <s v="Apresentar Proposta (50%)"/>
    <s v=""/>
    <m/>
    <n v="103032"/>
    <n v="696032"/>
    <n v="30"/>
    <s v="Paulo Souza"/>
    <d v="2025-09-16T00:00:00"/>
    <d v="1899-12-30T09:41:24"/>
    <s v=""/>
    <s v="Perdido"/>
    <d v="2025-10-16T00:00:00"/>
    <d v="1899-12-30T12:01:25"/>
    <s v="Projeto adiado / sem prazo definido"/>
    <s v="informações salvo em notas"/>
    <s v=""/>
    <x v="121"/>
    <s v="Junior Lopes"/>
    <x v="129"/>
    <s v="30/09/2025"/>
    <m/>
    <m/>
    <s v=""/>
    <s v=""/>
    <s v=""/>
    <s v=""/>
    <n v="1"/>
  </r>
  <r>
    <x v="1"/>
    <n v="590"/>
    <m/>
    <n v="2561"/>
    <s v=""/>
    <s v=""/>
    <x v="254"/>
    <n v="7548592000120"/>
    <s v=""/>
    <s v="KAIQUE ARAUJO"/>
    <s v="(67) 99250-3056"/>
    <s v=""/>
    <s v="comercial.centralracoes@hotmail.com"/>
    <s v=""/>
    <s v=""/>
    <s v=""/>
    <s v="CAMPO GRANDE"/>
    <s v="MS"/>
    <s v="Site"/>
    <s v=""/>
    <s v=""/>
    <s v="Solicita demo"/>
    <s v="Pipeline de Vendas"/>
    <s v="Agendamento (0%)"/>
    <s v=""/>
    <m/>
    <m/>
    <m/>
    <n v="0"/>
    <s v="Junior Lopes"/>
    <d v="2025-09-16T00:00:00"/>
    <d v="1899-12-30T09:45:26"/>
    <s v=""/>
    <s v="Perdido"/>
    <d v="2025-09-16T00:00:00"/>
    <d v="1899-12-30T09:58:11"/>
    <s v="Fora do porte mínimo (sem fit estrutural)"/>
    <s v="cadastro duplicado"/>
    <s v=""/>
    <x v="0"/>
    <s v=""/>
    <x v="0"/>
    <s v=""/>
    <m/>
    <m/>
    <s v=""/>
    <s v=""/>
    <s v=""/>
    <s v=""/>
    <n v="1"/>
  </r>
  <r>
    <x v="1"/>
    <n v="597"/>
    <m/>
    <n v="2571"/>
    <s v=""/>
    <s v="Ilumac Industria Comercio E Servicos Ltda"/>
    <x v="255"/>
    <n v="49872306000127"/>
    <s v=""/>
    <s v="Ilumac Industria Comercio E Servicos Ltda"/>
    <s v="(14) 3213-1100"/>
    <s v=""/>
    <s v="direcao@safeway.ind.br"/>
    <s v=""/>
    <s v=""/>
    <s v=""/>
    <s v="BAURU"/>
    <s v="SP"/>
    <s v="Base de empresas Leads2b"/>
    <s v=""/>
    <s v=""/>
    <s v=""/>
    <s v="Pipeline de Vendas"/>
    <s v="Apresentar Proposta (50%)"/>
    <s v=""/>
    <m/>
    <n v="7021439"/>
    <n v="37362"/>
    <n v="14"/>
    <s v="Junior Lopes"/>
    <d v="2025-09-19T00:00:00"/>
    <d v="1899-12-30T15:49:06"/>
    <s v=""/>
    <s v="Perdido"/>
    <d v="2025-10-03T00:00:00"/>
    <d v="1899-12-30T09:41:38"/>
    <s v="Não quer mudar a solução atual"/>
    <s v="cliente não responde as mensagens e ligações"/>
    <s v=""/>
    <x v="114"/>
    <s v=""/>
    <x v="130"/>
    <s v=""/>
    <m/>
    <m/>
    <s v=""/>
    <s v=""/>
    <s v=""/>
    <s v=""/>
    <n v="1"/>
  </r>
  <r>
    <x v="0"/>
    <n v="600"/>
    <m/>
    <n v="2477"/>
    <s v=""/>
    <s v=""/>
    <x v="256"/>
    <m/>
    <s v=""/>
    <s v="Lucas"/>
    <s v="(11) 98527-7256"/>
    <s v=""/>
    <s v="marketing@mewoof.com.br"/>
    <s v=""/>
    <s v=""/>
    <s v=""/>
    <s v="São Paulo"/>
    <s v=""/>
    <s v="Site"/>
    <s v=""/>
    <s v=""/>
    <s v="Solicita demo"/>
    <s v="Pipeline de Vendas"/>
    <s v="Em negociação (75%)"/>
    <s v=""/>
    <m/>
    <m/>
    <m/>
    <n v="43"/>
    <s v="Paulo Souza"/>
    <d v="2025-09-23T00:00:00"/>
    <d v="1899-12-30T16:50:25"/>
    <s v=""/>
    <s v="Perdido"/>
    <d v="2025-11-05T00:00:00"/>
    <d v="1899-12-30T09:56:42"/>
    <s v="Fora do porte mínimo (sem fit estrutural)"/>
    <s v=""/>
    <s v=""/>
    <x v="108"/>
    <s v="Paulo Souza"/>
    <x v="131"/>
    <s v=""/>
    <m/>
    <m/>
    <s v=""/>
    <s v=""/>
    <s v=""/>
    <s v=""/>
    <n v="1"/>
  </r>
  <r>
    <x v="1"/>
    <n v="601"/>
    <m/>
    <n v="2579"/>
    <s v=""/>
    <s v=""/>
    <x v="257"/>
    <m/>
    <s v=""/>
    <s v="Fantoys Brinquedos - Cloud"/>
    <s v="44999841977"/>
    <s v=""/>
    <s v="Fantoyscomercial@gmail.com"/>
    <s v=""/>
    <s v=""/>
    <s v=""/>
    <s v=""/>
    <s v=""/>
    <s v=""/>
    <s v=""/>
    <s v=""/>
    <s v=""/>
    <s v="Pipeline de Vendas"/>
    <s v="Apresentar Proposta (50%)"/>
    <s v=""/>
    <m/>
    <n v="1600"/>
    <n v="2396"/>
    <n v="1"/>
    <s v="Junior Lopes"/>
    <d v="2025-09-24T00:00:00"/>
    <d v="1899-12-30T09:48:02"/>
    <s v=""/>
    <s v="Perdido"/>
    <d v="2025-09-25T00:00:00"/>
    <d v="1899-12-30T16:14:54"/>
    <s v="Não houve aprovação financeira"/>
    <s v="cliente achou investimento muito  alto"/>
    <s v=""/>
    <x v="119"/>
    <s v=""/>
    <x v="127"/>
    <s v=""/>
    <m/>
    <m/>
    <s v=""/>
    <s v=""/>
    <s v=""/>
    <s v=""/>
    <n v="1"/>
  </r>
  <r>
    <x v="1"/>
    <n v="602"/>
    <m/>
    <n v="2582"/>
    <s v=""/>
    <s v="Principios Representacoes De Artigos De Uso Domestico Ltda"/>
    <x v="258"/>
    <n v="11392803000155"/>
    <s v=""/>
    <s v="Principios Representacoes De Artigos De Uso Domestico Ltda"/>
    <s v="(48) 9123-3777"/>
    <s v=""/>
    <s v="fabiane.principios@gmail.com"/>
    <s v=""/>
    <s v=""/>
    <s v=""/>
    <s v="ARARANGUA"/>
    <s v="SC"/>
    <s v="Base de empresas Leads2b"/>
    <s v=""/>
    <s v=""/>
    <s v=""/>
    <s v="Pipeline de Vendas"/>
    <s v="Apresentar Proposta (50%)"/>
    <s v=""/>
    <m/>
    <m/>
    <m/>
    <n v="42"/>
    <s v="Junior Lopes"/>
    <d v="2025-09-24T00:00:00"/>
    <d v="1899-12-30T14:10:49"/>
    <s v=""/>
    <s v="Perdido"/>
    <d v="2025-11-05T00:00:00"/>
    <d v="1899-12-30T09:29:11"/>
    <s v="Projeto adiado / sem prazo definido"/>
    <s v="cliente Rep Mais"/>
    <s v=""/>
    <x v="0"/>
    <s v=""/>
    <x v="118"/>
    <s v=""/>
    <m/>
    <m/>
    <s v=""/>
    <s v=""/>
    <s v=""/>
    <s v=""/>
    <n v="1"/>
  </r>
  <r>
    <x v="1"/>
    <n v="603"/>
    <m/>
    <n v="2581"/>
    <s v=""/>
    <s v=""/>
    <x v="259"/>
    <n v="8019257000105"/>
    <s v=""/>
    <s v="Ramão"/>
    <s v=""/>
    <s v=""/>
    <s v="diego.barcelli@guaranisistemas.com.br"/>
    <s v=""/>
    <s v=""/>
    <s v=""/>
    <s v="Brumadinho"/>
    <s v=""/>
    <s v="Indicação"/>
    <s v=""/>
    <s v=""/>
    <s v=""/>
    <s v="Pipeline de Vendas"/>
    <s v="Agendamento (0%)"/>
    <s v=""/>
    <m/>
    <m/>
    <m/>
    <n v="13"/>
    <s v="Paulo Souza"/>
    <d v="2025-09-24T00:00:00"/>
    <d v="1899-12-30T16:01:16"/>
    <s v=""/>
    <s v="Perdido"/>
    <d v="2025-10-07T00:00:00"/>
    <d v="1899-12-30T14:43:39"/>
    <s v="Não quer mudar a solução atual"/>
    <s v="Sem retorno dos contatos"/>
    <s v=""/>
    <x v="0"/>
    <s v="Junior Lopes"/>
    <x v="132"/>
    <s v=""/>
    <m/>
    <m/>
    <s v=""/>
    <s v=""/>
    <s v=""/>
    <s v=""/>
    <n v="1"/>
  </r>
  <r>
    <x v="1"/>
    <n v="604"/>
    <m/>
    <n v="2580"/>
    <s v="Todos os dados preenchidos:_x000a_name: Ramão _x000a_phone: 67 9 9169-7702 _x000a_email: ramaodlara@gmail.com _x000a_nome_da_empresa_indicada: LUZIA LARA GUILHEN- MEI _x000a_field_6: Guarani ERP, PDV _x000a_nome_de_quem_indica: Diego Luis Barcelli _x000a_e_mail_de_quem_indica: diego.barcelli@guaranisistemas.com.br _x000a_telefone_de_quem_indica: 16 9 9265-3506 _x000a_Quais_produtos_Guarani_você_indica_para_essa_empresa?: Guarani ERP, PDV _x000a_0: Guarani ERP, PDV"/>
    <s v=""/>
    <x v="260"/>
    <m/>
    <s v=""/>
    <s v="Ramão"/>
    <s v="67 9 9169-7702"/>
    <s v=""/>
    <s v="ramaodlara@gmail.com"/>
    <s v=""/>
    <s v=""/>
    <s v=""/>
    <s v=""/>
    <s v=""/>
    <s v="Indicação"/>
    <s v=""/>
    <s v=""/>
    <s v=""/>
    <s v="Pipeline de Vendas"/>
    <s v="Agendamento (0%)"/>
    <s v=""/>
    <m/>
    <m/>
    <m/>
    <n v="13"/>
    <s v="Paulo Souza"/>
    <d v="2025-09-24T00:00:00"/>
    <d v="1899-12-30T16:02:08"/>
    <s v=""/>
    <s v="Perdido"/>
    <d v="2025-10-07T00:00:00"/>
    <d v="1899-12-30T09:36:27"/>
    <s v="Não quer mudar a solução atual"/>
    <s v="não responde ao contato"/>
    <s v=""/>
    <x v="0"/>
    <s v="Junior Lopes"/>
    <x v="132"/>
    <s v=""/>
    <m/>
    <m/>
    <s v=""/>
    <s v=""/>
    <s v=""/>
    <s v=""/>
    <n v="1"/>
  </r>
  <r>
    <x v="1"/>
    <n v="607"/>
    <m/>
    <n v="2590"/>
    <s v=""/>
    <s v=""/>
    <x v="261"/>
    <n v="1099426000107"/>
    <s v=""/>
    <s v="Chame Rio (Cloud)"/>
    <s v="21996087296"/>
    <s v=""/>
    <s v="leon@chamerio.com.br"/>
    <s v=""/>
    <s v=""/>
    <s v=""/>
    <s v=""/>
    <s v=""/>
    <s v=""/>
    <s v=""/>
    <s v=""/>
    <s v=""/>
    <s v="Pipeline de Vendas"/>
    <s v="Em negociação (75%)"/>
    <s v=""/>
    <m/>
    <n v="1600"/>
    <n v="3360"/>
    <n v="62"/>
    <s v="Junior Lopes"/>
    <d v="2025-09-25T00:00:00"/>
    <d v="1899-12-30T15:54:00"/>
    <s v=""/>
    <s v="Perdido"/>
    <d v="2025-11-26T00:00:00"/>
    <d v="1899-12-30T14:16:02"/>
    <s v="Projeto adiado / sem prazo definido"/>
    <s v="Aguardar ativação das lojas"/>
    <s v=""/>
    <x v="122"/>
    <s v=""/>
    <x v="133"/>
    <s v=""/>
    <m/>
    <m/>
    <s v=""/>
    <s v=""/>
    <s v=""/>
    <s v=""/>
    <n v="1"/>
  </r>
  <r>
    <x v="1"/>
    <n v="608"/>
    <m/>
    <n v="2591"/>
    <s v=""/>
    <s v=""/>
    <x v="262"/>
    <n v="6302372000159"/>
    <s v=""/>
    <s v="DVidros (CNPJ)"/>
    <s v="31992324071"/>
    <s v=""/>
    <s v="comercial@dvidros.com.br"/>
    <s v=""/>
    <s v=""/>
    <s v=""/>
    <s v=""/>
    <s v=""/>
    <s v=""/>
    <s v=""/>
    <s v=""/>
    <s v=""/>
    <s v="Pipeline de Vendas"/>
    <s v="Em Fechamento (100%)"/>
    <s v=""/>
    <m/>
    <n v="260148"/>
    <n v="0"/>
    <n v="0"/>
    <s v="Junior Lopes"/>
    <d v="2025-09-25T00:00:00"/>
    <d v="1899-12-30T16:03:28"/>
    <s v=""/>
    <s v="Ganho"/>
    <d v="2025-09-25T00:00:00"/>
    <d v="1899-12-30T16:12:47"/>
    <s v=""/>
    <s v=""/>
    <s v=""/>
    <x v="115"/>
    <s v=""/>
    <x v="123"/>
    <s v=""/>
    <m/>
    <m/>
    <s v=""/>
    <s v=""/>
    <s v=""/>
    <s v=""/>
    <n v="1"/>
  </r>
  <r>
    <x v="1"/>
    <n v="609"/>
    <m/>
    <n v="2592"/>
    <s v=""/>
    <s v=""/>
    <x v="263"/>
    <n v="7548592000120"/>
    <s v=""/>
    <s v="Central Rações - BI"/>
    <s v="67992503056"/>
    <s v=""/>
    <s v="comercial.centralracoes@hotmail.com"/>
    <s v=""/>
    <s v=""/>
    <s v=""/>
    <s v="CAMPO GRANDE"/>
    <s v="MS"/>
    <s v=""/>
    <s v=""/>
    <s v=""/>
    <s v=""/>
    <s v="Pipeline de Vendas"/>
    <s v="Apresentar Proposta (50%)"/>
    <s v=""/>
    <m/>
    <n v="16200"/>
    <n v="2160"/>
    <n v="21"/>
    <s v="Junior Lopes"/>
    <d v="2025-09-25T00:00:00"/>
    <d v="1899-12-30T16:39:10"/>
    <s v=""/>
    <s v="Perdido"/>
    <d v="2025-10-16T00:00:00"/>
    <d v="1899-12-30T12:02:57"/>
    <s v="Projeto adiado / sem prazo definido"/>
    <s v="informações salvo em notas"/>
    <s v=""/>
    <x v="121"/>
    <s v=""/>
    <x v="134"/>
    <s v=""/>
    <m/>
    <m/>
    <s v=""/>
    <s v=""/>
    <s v=""/>
    <s v=""/>
    <n v="1"/>
  </r>
  <r>
    <x v="1"/>
    <n v="610"/>
    <m/>
    <n v="2595"/>
    <s v=""/>
    <s v=""/>
    <x v="264"/>
    <n v="7548592000120"/>
    <s v=""/>
    <s v="Central Rações - Cloud"/>
    <s v="67992503056"/>
    <s v=""/>
    <s v="comercial.centralracoes@hotmail.com"/>
    <s v=""/>
    <s v=""/>
    <s v=""/>
    <s v="CAMPO GRANDE"/>
    <s v="MS"/>
    <s v=""/>
    <s v=""/>
    <s v=""/>
    <s v=""/>
    <s v="Pipeline de Vendas"/>
    <s v="Apresentar Proposta (50%)"/>
    <s v=""/>
    <m/>
    <n v="1600"/>
    <n v="405552"/>
    <n v="21"/>
    <s v="Junior Lopes"/>
    <d v="2025-09-25T00:00:00"/>
    <d v="1899-12-30T16:41:53"/>
    <s v=""/>
    <s v="Perdido"/>
    <d v="2025-10-16T00:00:00"/>
    <d v="1899-12-30T12:02:06"/>
    <s v="Projeto adiado / sem prazo definido"/>
    <s v="informações salvo em notas"/>
    <s v=""/>
    <x v="121"/>
    <s v=""/>
    <x v="134"/>
    <s v=""/>
    <m/>
    <m/>
    <s v=""/>
    <s v=""/>
    <s v=""/>
    <s v=""/>
    <n v="1"/>
  </r>
  <r>
    <x v="2"/>
    <n v="611"/>
    <m/>
    <n v="2598"/>
    <s v=""/>
    <s v=""/>
    <x v="265"/>
    <n v="11861121000306"/>
    <s v=""/>
    <s v="Emerson Silva"/>
    <s v="(55) 11941-3524"/>
    <s v=""/>
    <s v="operacional@facinato.com.br"/>
    <s v=""/>
    <s v=""/>
    <s v=""/>
    <s v="São Paulo"/>
    <s v=""/>
    <s v="Site"/>
    <s v=""/>
    <s v=""/>
    <s v="Solicita demo"/>
    <s v="Pipeline de Vendas"/>
    <s v="Apresentar Proposta (50%)"/>
    <s v=""/>
    <m/>
    <m/>
    <m/>
    <n v="28"/>
    <s v="Paulo Souza"/>
    <d v="2025-09-26T00:00:00"/>
    <d v="1899-12-30T10:12:27"/>
    <s v=""/>
    <s v="Perdido"/>
    <d v="2025-10-24T00:00:00"/>
    <d v="1899-12-30T12:02:58"/>
    <s v="Preço muito alto - fora do budget de investimento"/>
    <s v=""/>
    <s v=""/>
    <x v="0"/>
    <s v="Rayssa Karapeticov"/>
    <x v="135"/>
    <s v=""/>
    <m/>
    <m/>
    <s v=""/>
    <s v=""/>
    <s v=""/>
    <s v=""/>
    <n v="1"/>
  </r>
  <r>
    <x v="1"/>
    <n v="613"/>
    <m/>
    <n v="2600"/>
    <s v="11:51, 06/01/2026 Junior Lopes: lá Wilkerson, bom dia_x000a_11:51, 06/01/2026 Junior Lopes: Um Feliz 2026 para vc e toda equipe 🙏🙏_x000a_11:51, 06/01/2026 Junior Lopes: Me recebe aí para discutirmos sobre a proposta comercial?_x000a_15:32, 23/01/2026 Junior Lopes: Olá Wilkerson, boa tarde_x000a_13:34, 27/01/2026 Wilkerson Plasbrin: Ola_x000a_13:34, 27/01/2026 Wilkerson Plasbrin: Estou analisando a proposta sina_x000a_13:34, 27/01/2026 Wilkerson Plasbrin: Ainda_x000a_13:35, 27/01/2026 Wilkerson Plasbrin: Creio que em fevereiro te contato sobre uma negociação_x000a_13:36, 27/01/2026 Junior Lopes: Olá meu amigo! Ótimo _x000a_Veja o que precisa para fecharmos! Nossa solução vai ajudar muito em seus processos _x000a_Te aguardo 👊_x000a_14:25, 27/01/2026 Wilkerson Plasbrin: Pode deixar_x000a_14:25, 27/01/2026 Wilkerson Plasbrin: Vamos avaliar_x000a_08:53, 24/02/2026 Junior Lopes: Olá Wilkerson, bom dia , Td bem ?_x000a_08:54, 24/02/2026 Junior Lopes: Vamos agendar um bate papo para próxima semana ? _x000a_Se sim vou até você !"/>
    <s v=""/>
    <x v="266"/>
    <n v="221294000181"/>
    <s v=""/>
    <s v="PlasBink"/>
    <s v="11997580006"/>
    <s v=""/>
    <s v="falgat@terra.com.br"/>
    <s v=""/>
    <s v=""/>
    <s v=""/>
    <s v="CABREUVA"/>
    <s v="SP"/>
    <s v=""/>
    <s v=""/>
    <s v=""/>
    <s v="50%"/>
    <s v="Pipeline de Vendas"/>
    <s v="Em negociação (75%)"/>
    <s v=""/>
    <d v="2026-03-31T00:00:00"/>
    <n v="81786"/>
    <n v="79654"/>
    <n v="233"/>
    <s v="Junior Lopes"/>
    <d v="2025-09-29T00:00:00"/>
    <d v="1899-12-30T11:41:56"/>
    <s v=""/>
    <s v="Ativo"/>
    <m/>
    <m/>
    <s v=""/>
    <s v=""/>
    <s v="08/10/2025"/>
    <x v="123"/>
    <s v="Junior Lopes"/>
    <x v="118"/>
    <s v=""/>
    <d v="2026-02-24T00:00:00"/>
    <n v="50"/>
    <s v=""/>
    <s v=""/>
    <s v=""/>
    <s v=""/>
    <n v="1"/>
  </r>
  <r>
    <x v="0"/>
    <n v="614"/>
    <m/>
    <n v="2603"/>
    <s v="Indefinido se vamos ou não seguir . O Wellington esta em analise se vamos evoluir!_x000a_Esta oportunidade encontra-se pausado durante 2026._x000a_07/02 Por motivo de gerenciamento do meu CRM, estou declinando a proposta e futuramente quando o cliente demonstrar interesse novamente retornamos com a proposta."/>
    <s v=""/>
    <x v="267"/>
    <n v="9517464000144"/>
    <s v=""/>
    <s v="Wellington"/>
    <s v=""/>
    <s v=""/>
    <s v="well@wellmix.com.br"/>
    <s v=""/>
    <s v=""/>
    <s v=""/>
    <s v=""/>
    <s v=""/>
    <s v=""/>
    <s v=""/>
    <s v=""/>
    <s v="30%;Pausado"/>
    <s v="Pipeline de Vendas"/>
    <s v="Em negociação (75%)"/>
    <s v=""/>
    <d v="2026-03-31T00:00:00"/>
    <n v="254760"/>
    <n v="1578632"/>
    <n v="131"/>
    <s v="Paulo Souza"/>
    <d v="2025-09-29T00:00:00"/>
    <d v="1899-12-30T17:19:09"/>
    <s v=""/>
    <s v="Perdido"/>
    <d v="2026-02-07T00:00:00"/>
    <d v="1899-12-30T08:47:53"/>
    <s v="Não quer mudar a solução atual"/>
    <s v="07/02 Por motivo de gerenciamento do meu CRM, estou declinando a proposta e futuramente quando o cliente demonstrar interesse novamente retornamos com a proposta."/>
    <s v=""/>
    <x v="124"/>
    <s v="Paulo Souza"/>
    <x v="136"/>
    <s v=""/>
    <d v="2026-02-07T00:00:00"/>
    <n v="30"/>
    <s v=""/>
    <s v=""/>
    <s v=""/>
    <s v=""/>
    <n v="1"/>
  </r>
  <r>
    <x v="0"/>
    <n v="615"/>
    <m/>
    <n v="2604"/>
    <s v=""/>
    <s v=""/>
    <x v="268"/>
    <n v="73114894000114"/>
    <s v=""/>
    <s v="Sidney"/>
    <s v=""/>
    <s v=""/>
    <s v="sidney@unikhome.com.br"/>
    <s v=""/>
    <s v=""/>
    <s v=""/>
    <s v=""/>
    <s v=""/>
    <s v=""/>
    <s v=""/>
    <s v=""/>
    <s v=""/>
    <s v="Pipeline de Vendas"/>
    <s v="Em negociação (75%)"/>
    <s v=""/>
    <m/>
    <m/>
    <m/>
    <n v="0"/>
    <s v="Paulo Souza"/>
    <d v="2025-09-29T00:00:00"/>
    <d v="1899-12-30T17:22:41"/>
    <s v=""/>
    <s v="Perdido"/>
    <d v="2025-09-29T00:00:00"/>
    <d v="1899-12-30T17:22:55"/>
    <s v="Preço muito alto - fora do budget de investimento"/>
    <s v=""/>
    <s v=""/>
    <x v="125"/>
    <s v="Paulo Souza"/>
    <x v="137"/>
    <s v=""/>
    <m/>
    <m/>
    <s v=""/>
    <s v=""/>
    <s v=""/>
    <s v=""/>
    <n v="1"/>
  </r>
  <r>
    <x v="0"/>
    <n v="616"/>
    <m/>
    <n v="2605"/>
    <s v=""/>
    <s v=""/>
    <x v="269"/>
    <n v="18628799000120"/>
    <s v=""/>
    <s v="Gabeirl"/>
    <s v="(11) 3567-5470"/>
    <s v=""/>
    <s v="atendimento@dolcehome.com.br"/>
    <s v=""/>
    <s v=""/>
    <s v=""/>
    <s v="SAO PAULO"/>
    <s v="SP"/>
    <s v=""/>
    <s v=""/>
    <s v=""/>
    <s v=""/>
    <s v="Pipeline de Vendas"/>
    <s v="Em negociação (75%)"/>
    <s v=""/>
    <m/>
    <m/>
    <m/>
    <n v="37"/>
    <s v="Paulo Souza"/>
    <d v="2025-09-29T00:00:00"/>
    <d v="1899-12-30T17:28:50"/>
    <s v=""/>
    <s v="Perdido"/>
    <d v="2025-11-05T00:00:00"/>
    <d v="1899-12-30T09:54:48"/>
    <s v="Fora do porte mínimo (sem fit estrutural)"/>
    <s v=""/>
    <s v=""/>
    <x v="126"/>
    <s v="Paulo Souza"/>
    <x v="136"/>
    <s v=""/>
    <m/>
    <m/>
    <s v=""/>
    <s v=""/>
    <s v=""/>
    <s v=""/>
    <n v="1"/>
  </r>
  <r>
    <x v="1"/>
    <n v="618"/>
    <m/>
    <n v="2609"/>
    <s v=""/>
    <s v=""/>
    <x v="270"/>
    <n v="49872306000127"/>
    <s v=""/>
    <s v="Illumac Industria - Cloud"/>
    <s v="1432131100"/>
    <s v=""/>
    <s v="direcao@safeway.ind.br"/>
    <s v=""/>
    <s v=""/>
    <s v=""/>
    <s v="BAURU"/>
    <s v="SP"/>
    <s v=""/>
    <s v=""/>
    <s v=""/>
    <s v=""/>
    <s v="Pipeline de Vendas"/>
    <s v="Apresentar Proposta (50%)"/>
    <s v=""/>
    <m/>
    <n v="1600"/>
    <n v="2468"/>
    <n v="3"/>
    <s v="Junior Lopes"/>
    <d v="2025-09-30T00:00:00"/>
    <d v="1899-12-30T14:38:16"/>
    <s v=""/>
    <s v="Perdido"/>
    <d v="2025-10-03T00:00:00"/>
    <d v="1899-12-30T09:42:31"/>
    <s v="Não quer mudar a solução atual"/>
    <s v="cliente não responde as mensagens e ligações"/>
    <s v=""/>
    <x v="114"/>
    <s v=""/>
    <x v="130"/>
    <s v=""/>
    <m/>
    <m/>
    <s v=""/>
    <s v=""/>
    <s v=""/>
    <s v=""/>
    <n v="1"/>
  </r>
  <r>
    <x v="1"/>
    <n v="619"/>
    <m/>
    <n v="2614"/>
    <s v=""/>
    <s v=""/>
    <x v="271"/>
    <n v="1099426000107"/>
    <s v=""/>
    <s v="Chame Rio - Horas"/>
    <s v="21996087296"/>
    <s v=""/>
    <s v="leon@chamerio.com.br"/>
    <s v=""/>
    <s v=""/>
    <s v=""/>
    <s v=""/>
    <s v=""/>
    <s v=""/>
    <s v=""/>
    <s v=""/>
    <s v=""/>
    <s v="Pipeline de Vendas"/>
    <s v="Em Fechamento (100%)"/>
    <s v=""/>
    <m/>
    <n v="2527318"/>
    <n v="0"/>
    <n v="29"/>
    <s v="Junior Lopes"/>
    <d v="2025-09-30T00:00:00"/>
    <d v="1899-12-30T15:58:34"/>
    <s v=""/>
    <s v="Ganho"/>
    <d v="2025-10-29T00:00:00"/>
    <d v="1899-12-30T10:50:59"/>
    <s v=""/>
    <s v=""/>
    <s v=""/>
    <x v="127"/>
    <s v=""/>
    <x v="0"/>
    <s v=""/>
    <m/>
    <m/>
    <s v=""/>
    <s v=""/>
    <s v=""/>
    <s v=""/>
    <n v="1"/>
  </r>
  <r>
    <x v="0"/>
    <n v="620"/>
    <m/>
    <n v="2615"/>
    <s v=""/>
    <s v=""/>
    <x v="272"/>
    <n v="5856090000130"/>
    <s v=""/>
    <s v="José Luiz Gomes Junior"/>
    <s v=""/>
    <s v=""/>
    <s v="controladoria@bionov.com.br"/>
    <s v=""/>
    <s v=""/>
    <s v=""/>
    <s v=""/>
    <s v=""/>
    <s v=""/>
    <s v=""/>
    <s v=""/>
    <s v=""/>
    <s v="Pipeline de Vendas"/>
    <s v="Em negociação (75%)"/>
    <s v=""/>
    <m/>
    <m/>
    <m/>
    <n v="36"/>
    <s v="Paulo Souza"/>
    <d v="2025-09-30T00:00:00"/>
    <d v="1899-12-30T16:04:40"/>
    <s v=""/>
    <s v="Perdido"/>
    <d v="2025-11-05T00:00:00"/>
    <d v="1899-12-30T09:53:42"/>
    <s v="Preço muito alto - fora do budget de investimento"/>
    <s v=""/>
    <s v=""/>
    <x v="128"/>
    <s v="Paulo Souza"/>
    <x v="138"/>
    <s v=""/>
    <m/>
    <m/>
    <s v=""/>
    <s v=""/>
    <s v=""/>
    <s v=""/>
    <n v="1"/>
  </r>
  <r>
    <x v="1"/>
    <n v="621"/>
    <m/>
    <n v="2616"/>
    <s v=""/>
    <s v=""/>
    <x v="273"/>
    <m/>
    <s v=""/>
    <s v="Vitoria cortinas - Horas"/>
    <s v="35999594857"/>
    <s v=""/>
    <s v="financeiro@vitoriacortinas.com.br"/>
    <s v=""/>
    <s v=""/>
    <s v=""/>
    <s v=""/>
    <s v=""/>
    <s v=""/>
    <s v=""/>
    <s v=""/>
    <s v=""/>
    <s v="Pipeline de Vendas"/>
    <s v="Em Fechamento (100%)"/>
    <s v=""/>
    <m/>
    <n v="5406"/>
    <n v="0"/>
    <n v="0"/>
    <s v="Junior Lopes"/>
    <d v="2025-09-30T00:00:00"/>
    <d v="1899-12-30T16:31:01"/>
    <s v=""/>
    <s v="Ganho"/>
    <d v="2025-09-30T00:00:00"/>
    <d v="1899-12-30T16:32:13"/>
    <s v=""/>
    <s v=""/>
    <s v=""/>
    <x v="121"/>
    <s v=""/>
    <x v="0"/>
    <s v=""/>
    <m/>
    <m/>
    <s v=""/>
    <s v=""/>
    <s v=""/>
    <s v=""/>
    <n v="1"/>
  </r>
  <r>
    <x v="1"/>
    <n v="622"/>
    <m/>
    <n v="2617"/>
    <s v=""/>
    <s v=""/>
    <x v="274"/>
    <m/>
    <s v=""/>
    <s v="Casa Bonitta - Cloud"/>
    <s v="1142923358"/>
    <s v=""/>
    <s v="catocontabilidade@gmail.com"/>
    <s v=""/>
    <s v=""/>
    <s v=""/>
    <s v=""/>
    <s v=""/>
    <s v=""/>
    <s v=""/>
    <s v=""/>
    <s v=""/>
    <s v="Pipeline de Vendas"/>
    <s v="Apresentar Solução (35%)"/>
    <s v=""/>
    <m/>
    <n v="1600"/>
    <n v="2468"/>
    <n v="3"/>
    <s v="Junior Lopes"/>
    <d v="2025-09-30T00:00:00"/>
    <d v="1899-12-30T16:35:41"/>
    <s v=""/>
    <s v="Perdido"/>
    <d v="2025-10-03T00:00:00"/>
    <d v="1899-12-30T09:59:20"/>
    <s v="Não houve aprovação financeira"/>
    <s v="Após proposta cliente não respondeu mais"/>
    <s v=""/>
    <x v="114"/>
    <s v=""/>
    <x v="122"/>
    <s v=""/>
    <m/>
    <m/>
    <s v=""/>
    <s v=""/>
    <s v=""/>
    <s v=""/>
    <n v="1"/>
  </r>
  <r>
    <x v="1"/>
    <n v="623"/>
    <m/>
    <n v="2618"/>
    <s v=""/>
    <s v=""/>
    <x v="275"/>
    <m/>
    <s v=""/>
    <s v="Casa Bonitta - PDV"/>
    <s v="1142923358"/>
    <s v=""/>
    <s v="catocontabilidade@gmail.com"/>
    <s v=""/>
    <s v=""/>
    <s v=""/>
    <s v=""/>
    <s v=""/>
    <s v=""/>
    <s v=""/>
    <s v=""/>
    <s v=""/>
    <s v="Pipeline de Vendas"/>
    <s v="Apresentar Solução (35%)"/>
    <s v=""/>
    <m/>
    <n v="59360"/>
    <n v="27562"/>
    <n v="3"/>
    <s v="Junior Lopes"/>
    <d v="2025-09-30T00:00:00"/>
    <d v="1899-12-30T16:38:47"/>
    <s v=""/>
    <s v="Perdido"/>
    <d v="2025-10-03T00:00:00"/>
    <d v="1899-12-30T09:58:51"/>
    <s v="Não houve aprovação financeira"/>
    <s v="Após proposta cliente não respondeu mais"/>
    <s v=""/>
    <x v="114"/>
    <s v=""/>
    <x v="122"/>
    <s v=""/>
    <m/>
    <m/>
    <s v=""/>
    <s v=""/>
    <s v=""/>
    <s v=""/>
    <n v="1"/>
  </r>
  <r>
    <x v="0"/>
    <n v="624"/>
    <m/>
    <n v="2619"/>
    <s v=""/>
    <s v=""/>
    <x v="276"/>
    <m/>
    <s v=""/>
    <s v="Hussein"/>
    <s v="96170057610"/>
    <s v=""/>
    <s v="null"/>
    <s v=""/>
    <s v=""/>
    <s v=""/>
    <s v=""/>
    <s v=""/>
    <s v=""/>
    <s v=""/>
    <s v=""/>
    <s v=""/>
    <s v="Pipeline de Vendas"/>
    <s v="Em negociação (75%)"/>
    <s v=""/>
    <m/>
    <m/>
    <m/>
    <n v="36"/>
    <s v="Paulo Souza"/>
    <d v="2025-09-30T00:00:00"/>
    <d v="1899-12-30T17:35:39"/>
    <s v=""/>
    <s v="Perdido"/>
    <d v="2025-11-05T00:00:00"/>
    <d v="1899-12-30T09:51:43"/>
    <s v="Projeto adiado / sem prazo definido"/>
    <s v=""/>
    <s v=""/>
    <x v="128"/>
    <s v="Paulo Souza"/>
    <x v="138"/>
    <s v=""/>
    <m/>
    <m/>
    <s v=""/>
    <s v=""/>
    <s v=""/>
    <s v=""/>
    <n v="1"/>
  </r>
  <r>
    <x v="1"/>
    <n v="628"/>
    <m/>
    <n v="2622"/>
    <s v=""/>
    <s v=""/>
    <x v="277"/>
    <m/>
    <s v=""/>
    <s v="Leandro carlos gonçalves"/>
    <s v="(16) 99270-3152"/>
    <s v=""/>
    <s v="solpratae@gmail.com"/>
    <s v=""/>
    <s v=""/>
    <s v=""/>
    <s v="São Carlos"/>
    <s v=""/>
    <s v="Site"/>
    <s v=""/>
    <s v=""/>
    <s v="Solicita demo"/>
    <s v="Pipeline de Vendas"/>
    <s v="Qualificação de Vendas (SQL) (25%)"/>
    <s v=""/>
    <m/>
    <m/>
    <m/>
    <n v="4"/>
    <s v="Paulo Souza"/>
    <d v="2025-10-03T00:00:00"/>
    <d v="1899-12-30T11:10:44"/>
    <s v=""/>
    <s v="Perdido"/>
    <d v="2025-10-07T00:00:00"/>
    <d v="1899-12-30T09:34:17"/>
    <s v="Nossa solução não atende - falta funcionalidade"/>
    <s v="cliente fora do perfil"/>
    <s v=""/>
    <x v="0"/>
    <s v="Junior Lopes"/>
    <x v="0"/>
    <s v=""/>
    <m/>
    <m/>
    <s v=""/>
    <s v=""/>
    <s v=""/>
    <s v=""/>
    <n v="1"/>
  </r>
  <r>
    <x v="1"/>
    <n v="634"/>
    <m/>
    <n v="2631"/>
    <s v=""/>
    <s v="Artesanato Uni-art Industria E Comercio Ltda"/>
    <x v="278"/>
    <n v="43400571000126"/>
    <s v=""/>
    <s v="Artesanato Uni-art Industria E Comercio Ltda"/>
    <s v="(19) 3876-4260"/>
    <s v=""/>
    <s v="thiago@uniartrelogios.com.br"/>
    <s v=""/>
    <s v=""/>
    <s v=""/>
    <s v="VINHEDO"/>
    <s v="SP"/>
    <s v="Base de empresas Leads2b"/>
    <s v=""/>
    <s v=""/>
    <s v=""/>
    <s v="Pipeline de Vendas"/>
    <s v="Apresentar Proposta (50%)"/>
    <s v=""/>
    <m/>
    <n v="7021439"/>
    <n v="417338"/>
    <n v="20"/>
    <s v="Junior Lopes"/>
    <d v="2025-10-09T00:00:00"/>
    <d v="1899-12-30T15:47:08"/>
    <s v=""/>
    <s v="Perdido"/>
    <d v="2025-10-29T00:00:00"/>
    <d v="1899-12-30T10:23:53"/>
    <s v="Projeto adiado / sem prazo definido"/>
    <s v="sem retorno do cliente"/>
    <s v=""/>
    <x v="129"/>
    <s v=""/>
    <x v="139"/>
    <s v=""/>
    <m/>
    <m/>
    <s v=""/>
    <s v=""/>
    <s v=""/>
    <s v=""/>
    <n v="1"/>
  </r>
  <r>
    <x v="1"/>
    <n v="638"/>
    <m/>
    <n v="2640"/>
    <s v=""/>
    <s v=""/>
    <x v="279"/>
    <m/>
    <s v=""/>
    <s v="Star Distribuidora (WMS)"/>
    <s v="17996266970"/>
    <s v=""/>
    <s v="null"/>
    <s v=""/>
    <s v=""/>
    <s v=""/>
    <s v=""/>
    <s v=""/>
    <s v=""/>
    <s v=""/>
    <s v=""/>
    <s v=""/>
    <s v="Pipeline de Vendas"/>
    <s v="Em negociação (75%)"/>
    <s v=""/>
    <m/>
    <m/>
    <m/>
    <n v="62"/>
    <s v="Junior Lopes"/>
    <d v="2025-10-10T00:00:00"/>
    <d v="1899-12-30T15:25:31"/>
    <s v=""/>
    <s v="Perdido"/>
    <d v="2025-12-11T00:00:00"/>
    <d v="1899-12-30T15:22:39"/>
    <s v="Projeto adiado / sem prazo definido"/>
    <s v=""/>
    <s v=""/>
    <x v="0"/>
    <s v=""/>
    <x v="139"/>
    <s v=""/>
    <m/>
    <m/>
    <s v=""/>
    <s v=""/>
    <s v=""/>
    <s v=""/>
    <n v="1"/>
  </r>
  <r>
    <x v="0"/>
    <n v="639"/>
    <m/>
    <n v="2644"/>
    <s v=""/>
    <s v=""/>
    <x v="280"/>
    <m/>
    <s v=""/>
    <s v="Alexsandro"/>
    <s v="75988472625"/>
    <s v=""/>
    <s v="null"/>
    <s v=""/>
    <s v=""/>
    <s v=""/>
    <s v=""/>
    <s v=""/>
    <s v=""/>
    <s v=""/>
    <s v=""/>
    <s v=""/>
    <s v="Pipeline de Vendas"/>
    <s v="Em negociação (75%)"/>
    <s v=""/>
    <m/>
    <m/>
    <m/>
    <n v="33"/>
    <s v="Paulo Souza"/>
    <d v="2025-10-15T00:00:00"/>
    <d v="1899-12-30T17:33:19"/>
    <s v=""/>
    <s v="Perdido"/>
    <d v="2025-11-17T00:00:00"/>
    <d v="1899-12-30T15:27:20"/>
    <s v="Não houve aprovação financeira"/>
    <s v=""/>
    <s v=""/>
    <x v="130"/>
    <s v="Paulo Souza"/>
    <x v="140"/>
    <s v=""/>
    <m/>
    <m/>
    <s v=""/>
    <s v=""/>
    <s v=""/>
    <s v=""/>
    <n v="1"/>
  </r>
  <r>
    <x v="1"/>
    <n v="640"/>
    <m/>
    <n v="2646"/>
    <s v=""/>
    <s v=""/>
    <x v="281"/>
    <m/>
    <s v=""/>
    <s v="Preciza Import"/>
    <s v="11947600755"/>
    <s v=""/>
    <s v="financeiro@precizaimports.com.br"/>
    <s v=""/>
    <s v=""/>
    <s v=""/>
    <s v=""/>
    <s v=""/>
    <s v=""/>
    <s v=""/>
    <s v=""/>
    <s v=""/>
    <s v="Pipeline de Vendas"/>
    <s v="Em Fechamento (100%)"/>
    <s v=""/>
    <m/>
    <n v="1380825"/>
    <n v="0"/>
    <n v="0"/>
    <s v="Junior Lopes"/>
    <d v="2025-10-16T00:00:00"/>
    <d v="1899-12-30T14:48:50"/>
    <s v=""/>
    <s v="Ganho"/>
    <d v="2025-10-16T00:00:00"/>
    <d v="1899-12-30T14:51:47"/>
    <s v=""/>
    <s v=""/>
    <s v=""/>
    <x v="131"/>
    <s v=""/>
    <x v="0"/>
    <s v=""/>
    <m/>
    <m/>
    <s v=""/>
    <s v=""/>
    <s v=""/>
    <s v=""/>
    <n v="1"/>
  </r>
  <r>
    <x v="1"/>
    <n v="641"/>
    <m/>
    <n v="2647"/>
    <s v=""/>
    <s v=""/>
    <x v="282"/>
    <m/>
    <s v=""/>
    <s v="Artesanato Uni-art Ind.- Cloud"/>
    <s v="1938764260"/>
    <s v=""/>
    <s v="thiago@uniartrelogios.com.br"/>
    <s v=""/>
    <s v=""/>
    <s v=""/>
    <s v=""/>
    <s v=""/>
    <s v=""/>
    <s v=""/>
    <s v=""/>
    <s v=""/>
    <s v="Pipeline de Vendas"/>
    <s v="Apresentar Proposta (50%)"/>
    <s v=""/>
    <m/>
    <n v="1600"/>
    <n v="3695"/>
    <n v="13"/>
    <s v="Junior Lopes"/>
    <d v="2025-10-16T00:00:00"/>
    <d v="1899-12-30T16:42:09"/>
    <s v=""/>
    <s v="Perdido"/>
    <d v="2025-10-29T00:00:00"/>
    <d v="1899-12-30T10:25:19"/>
    <s v="Projeto adiado / sem prazo definido"/>
    <s v="cliente não atende aos contatos"/>
    <s v=""/>
    <x v="129"/>
    <s v=""/>
    <x v="139"/>
    <s v=""/>
    <m/>
    <m/>
    <s v=""/>
    <s v=""/>
    <s v=""/>
    <s v=""/>
    <n v="1"/>
  </r>
  <r>
    <x v="1"/>
    <n v="642"/>
    <m/>
    <n v="2648"/>
    <s v="11:51, 06/01/2026 Junior Lopes: lá Wilkerson, bom dia_x000a_11:51, 06/01/2026 Junior Lopes: Um Feliz 2026 para vc e toda equipe 🙏🙏_x000a_11:51, 06/01/2026 Junior Lopes: Me recebe aí para discutirmos sobre a proposta comercial?_x000a_15:32, 23/01/2026 Junior Lopes: Olá Wilkerson, boa tarde_x000a_13:34, 27/01/2026 Wilkerson Plasbrin: Ola_x000a_13:34, 27/01/2026 Wilkerson Plasbrin: Estou analisando a proposta sina_x000a_13:34, 27/01/2026 Wilkerson Plasbrin: Ainda_x000a_13:35, 27/01/2026 Wilkerson Plasbrin: Creio que em fevereiro te contato sobre uma negociação_x000a_13:36, 27/01/2026 Junior Lopes: Olá meu amigo! Ótimo _x000a_Veja o que precisa para fecharmos! Nossa solução vai ajudar muito em seus processos _x000a_Te aguardo 👊_x000a_14:25, 27/01/2026 Wilkerson Plasbrin: Pode deixar_x000a_14:25, 27/01/2026 Wilkerson Plasbrin: Vamos avaliar_x000a_08:53, 24/02/2026 Junior Lopes: Olá Wilkerson, bom dia , Td bem ?_x000a_08:54, 24/02/2026 Junior Lopes: Vamos agendar um bate papo para próxima semana ? _x000a_Se sim vou até você !"/>
    <s v=""/>
    <x v="283"/>
    <m/>
    <s v=""/>
    <s v="Plasbrink Embalagens Plasticas Ltda - Cloud"/>
    <s v="11997580006"/>
    <s v=""/>
    <s v="falgat@terra.com.br"/>
    <s v=""/>
    <s v=""/>
    <s v=""/>
    <s v=""/>
    <s v=""/>
    <s v=""/>
    <s v=""/>
    <s v=""/>
    <s v="50%"/>
    <s v="Pipeline de Vendas"/>
    <s v="Em negociação (75%)"/>
    <s v=""/>
    <d v="2026-03-31T00:00:00"/>
    <n v="1600"/>
    <n v="335607"/>
    <n v="215"/>
    <s v="Junior Lopes"/>
    <d v="2025-10-17T00:00:00"/>
    <d v="1899-12-30T09:45:53"/>
    <s v=""/>
    <s v="Ativo"/>
    <m/>
    <m/>
    <s v=""/>
    <s v=""/>
    <s v=""/>
    <x v="123"/>
    <s v="Junior Lopes"/>
    <x v="141"/>
    <s v=""/>
    <d v="2026-02-24T00:00:00"/>
    <n v="50"/>
    <s v=""/>
    <s v=""/>
    <s v=""/>
    <s v=""/>
    <n v="1"/>
  </r>
  <r>
    <x v="1"/>
    <n v="643"/>
    <m/>
    <n v="2649"/>
    <s v="O cliente está utilizando o módulo em período de degustação de 7 dias, com término em 16/12/2025. Após essa data, ele deverá decidir se seguirá com a contratação ou se irá declinar."/>
    <s v=""/>
    <x v="284"/>
    <n v="43028557000143"/>
    <s v=""/>
    <s v="Preciza Import - Boleto WhatsApp"/>
    <s v="11947600755"/>
    <s v=""/>
    <s v="financeiro@precizaimports.com.br"/>
    <s v=""/>
    <s v=""/>
    <s v=""/>
    <s v=""/>
    <s v=""/>
    <s v=""/>
    <s v=""/>
    <s v=""/>
    <s v="80%"/>
    <s v="Pipeline de Vendas"/>
    <s v="Em Fechamento (100%)"/>
    <s v=""/>
    <d v="2025-11-28T00:00:00"/>
    <n v="0"/>
    <n v="3564"/>
    <n v="129"/>
    <s v="Junior Lopes"/>
    <d v="2025-10-17T00:00:00"/>
    <d v="1899-12-30T09:48:43"/>
    <s v=""/>
    <s v="Perdido"/>
    <d v="2026-02-23T00:00:00"/>
    <d v="1899-12-30T10:22:57"/>
    <s v="Projeto adiado / sem prazo definido"/>
    <s v="cliente não assinou contrato"/>
    <s v=""/>
    <x v="132"/>
    <s v="Junior Lopes"/>
    <x v="142"/>
    <s v=""/>
    <d v="2025-12-12T00:00:00"/>
    <n v="80"/>
    <s v=""/>
    <s v=""/>
    <s v=""/>
    <s v=""/>
    <n v="1"/>
  </r>
  <r>
    <x v="1"/>
    <n v="644"/>
    <m/>
    <n v="2650"/>
    <s v="Após a apresentação de 10/12/2025, ficou definido que a equipe da Marka Têxtil se reunirá para decidir sobre a continuidade do projeto. Farei um follow-up em 15/12/2025 para obter a definição._x000a_16:22, 27/01/2026 Junior Lopes: Olá Regina ! Boa tarde_x000a_16:22, 27/01/2026 Regina Chagas: Boa tarde_x000a_16:27, 27/01/2026 Junior Lopes: Como está a evolução do projeto?_x000a_16:29, 27/01/2026 Junior Lopes: Sei que vcs estão em contato com outras ferramentas! E que está tudo bem _x000a_Porém fico preocupado com valor que já negociamos! A proposta é do ano passado ! Viramos a nossa tabela _x000a_Estou segurando os valores aqui ! Mas preciso de um feedback_x000a_16:49, 27/01/2026 Regina Chagas: Entendo, acredito que até sexta feira eu te dou um retorno final_x000a_(03/02/2026) em contato com a Bruna na feira Abup informou que decidiu seguir com ERP que apresentou uma proposta mais atrativa em questão de valores ! abaixo mensagem da Regina com mesmo contexto : _x000a_07:57, 09/02/2026 Regina Chagas: Bom dia Junior, desculpe a demora no retorno._x000a_Fechamos com outra empresa, em reunião foi decidido que seria mais vantajoso além do custo/beneficio._x000a_Muito obrigada pelo seu ótimo atendimento_x000a_08:59, 09/02/2026 Junior Lopes: Olá Regina bom dia ! Falei com a Bruna na feira _x000a_Desejo sucesso para vocês"/>
    <s v=""/>
    <x v="285"/>
    <n v="62499934000177"/>
    <s v=""/>
    <s v="Marka Textil"/>
    <s v="11975444564"/>
    <s v=""/>
    <s v="brunaantonelli@markatextil.com.br"/>
    <s v=""/>
    <s v=""/>
    <s v=""/>
    <s v="GUARAREMA"/>
    <s v="SP"/>
    <s v=""/>
    <s v=""/>
    <s v=""/>
    <s v="80%"/>
    <s v="Pipeline de Vendas"/>
    <s v="Em negociação (75%)"/>
    <s v=""/>
    <d v="2026-02-28T00:00:00"/>
    <n v="118908"/>
    <n v="1304844"/>
    <n v="117"/>
    <s v="Junior Lopes"/>
    <d v="2025-10-17T00:00:00"/>
    <d v="1899-12-30T10:09:46"/>
    <s v=""/>
    <s v="Perdido"/>
    <d v="2026-02-11T00:00:00"/>
    <d v="1899-12-30T17:32:54"/>
    <s v="Fechou com o concorrente - preço"/>
    <s v="fechou por preço"/>
    <s v=""/>
    <x v="133"/>
    <s v="Junior Lopes"/>
    <x v="142"/>
    <s v="05/11/2025"/>
    <d v="2026-02-03T00:00:00"/>
    <n v="80"/>
    <s v=""/>
    <s v=""/>
    <s v=""/>
    <s v=""/>
    <n v="1"/>
  </r>
  <r>
    <x v="1"/>
    <n v="645"/>
    <m/>
    <n v="2654"/>
    <s v="Após a apresentação de 10/12/2025, ficou definido que a equipe da Marka Têxtil se reunirá para decidir sobre a continuidade do projeto. Farei um follow-up em 15/12/2025 para obter a definição._x000a_16:22, 27/01/2026 Junior Lopes: Olá Regina ! Boa tarde_x000a_16:22, 27/01/2026 Regina Chagas: Boa tarde_x000a_16:27, 27/01/2026 Junior Lopes: Como está a evolução do projeto?_x000a_16:29, 27/01/2026 Junior Lopes: Sei que vcs estão em contato com outras ferramentas! E que está tudo bem _x000a_Porém fico preocupado com valor que já negociamos! A proposta é do ano passado ! Viramos a nossa tabela _x000a_Estou segurando os valores aqui ! Mas preciso de um feedback_x000a_16:49, 27/01/2026 Regina Chagas: Entendo, acredito que até sexta feira eu te dou um retorno final_x000a_(03/02/2026) em contato com a Bruna na feira Abup informou que decidiu seguir com ERP que apresentou uma proposta mais atrativa em questão de valores ! abaixo mensagem da Regina com mesmo contexto : _x000a_07:57, 09/02/2026 Regina Chagas: Bom dia Junior, desculpe a demora no retorno._x000a_Fechamos com outra empresa, em reunião foi decidido que seria mais vantajoso além do custo/beneficio._x000a_Muito obrigada pelo seu ótimo atendimento_x000a_08:59, 09/02/2026 Junior Lopes: Olá Regina bom dia ! Falei com a Bruna na feira _x000a_Desejo sucesso para vocês"/>
    <s v=""/>
    <x v="286"/>
    <n v="62499934000177"/>
    <s v=""/>
    <s v="Marka Textil - Cloud"/>
    <s v="11975444564"/>
    <s v=""/>
    <s v="brunaantonelli@markatextil.com.br"/>
    <s v=""/>
    <s v=""/>
    <s v=""/>
    <s v="GUARAREMA"/>
    <s v="SP"/>
    <s v=""/>
    <s v=""/>
    <s v=""/>
    <s v="80%"/>
    <s v="Pipeline de Vendas"/>
    <s v="Em negociação (75%)"/>
    <s v=""/>
    <d v="2026-02-28T00:00:00"/>
    <n v="1600"/>
    <n v="68466"/>
    <n v="117"/>
    <s v="Junior Lopes"/>
    <d v="2025-10-17T00:00:00"/>
    <d v="1899-12-30T10:12:49"/>
    <s v=""/>
    <s v="Perdido"/>
    <d v="2026-02-11T00:00:00"/>
    <d v="1899-12-30T17:34:29"/>
    <s v="Fechou com o concorrente - preço"/>
    <s v="fechou por preço"/>
    <s v=""/>
    <x v="134"/>
    <s v="Junior Lopes"/>
    <x v="143"/>
    <s v=""/>
    <d v="2026-02-03T00:00:00"/>
    <n v="80"/>
    <s v=""/>
    <s v=""/>
    <s v=""/>
    <s v=""/>
    <n v="1"/>
  </r>
  <r>
    <x v="1"/>
    <n v="656"/>
    <m/>
    <n v="2261"/>
    <s v=""/>
    <s v="Imprime Industria E Comercio De Plasticos Ltda"/>
    <x v="287"/>
    <n v="37905383000157"/>
    <s v=""/>
    <s v="Imprime Industria E Comercio De Plasticos Ltda"/>
    <s v="(11) 4552-8400"/>
    <s v=""/>
    <s v="sac@ascampoli.com.br"/>
    <s v=""/>
    <s v=""/>
    <s v=""/>
    <s v="SAO PAULO"/>
    <s v="SP"/>
    <s v="Base de empresas Leads2b"/>
    <s v=""/>
    <s v=""/>
    <s v=""/>
    <s v="Pipeline de Vendas"/>
    <s v="Apresentar Solução (35%)"/>
    <s v=""/>
    <m/>
    <m/>
    <m/>
    <n v="34"/>
    <s v="Junior Lopes"/>
    <d v="2025-10-22T00:00:00"/>
    <d v="1899-12-30T17:04:38"/>
    <s v=""/>
    <s v="Perdido"/>
    <d v="2025-11-25T00:00:00"/>
    <d v="1899-12-30T16:56:11"/>
    <s v="Não quer mudar a solução atual"/>
    <s v=""/>
    <s v=""/>
    <x v="0"/>
    <s v=""/>
    <x v="0"/>
    <s v=""/>
    <m/>
    <m/>
    <s v=""/>
    <s v=""/>
    <s v=""/>
    <s v=""/>
    <n v="1"/>
  </r>
  <r>
    <x v="1"/>
    <n v="657"/>
    <m/>
    <n v="2659"/>
    <s v=""/>
    <s v=""/>
    <x v="288"/>
    <m/>
    <s v=""/>
    <s v="Jones da Costa Grance"/>
    <s v="(67) 99147-9660"/>
    <s v=""/>
    <s v="distribuidoraprime067@gmail.com"/>
    <s v=""/>
    <s v=""/>
    <s v=""/>
    <s v="Campo Grande"/>
    <s v=""/>
    <s v="Site"/>
    <s v=""/>
    <s v=""/>
    <s v="Solicita demo"/>
    <s v="Pipeline de Vendas"/>
    <s v="Apresentar Solução (35%)"/>
    <s v=""/>
    <m/>
    <n v="38380"/>
    <n v="107526"/>
    <n v="32"/>
    <s v="Paulo Souza"/>
    <d v="2025-10-23T00:00:00"/>
    <d v="1899-12-30T15:08:08"/>
    <s v=""/>
    <s v="Perdido"/>
    <d v="2025-11-24T00:00:00"/>
    <d v="1899-12-30T16:49:44"/>
    <s v="Preço muito alto - fora do budget de investimento"/>
    <s v="cliente não esta no tempo certo, achou investimento muito alto"/>
    <s v=""/>
    <x v="123"/>
    <s v="Junior Lopes"/>
    <x v="144"/>
    <s v=""/>
    <m/>
    <m/>
    <s v=""/>
    <s v=""/>
    <s v=""/>
    <s v=""/>
    <n v="1"/>
  </r>
  <r>
    <x v="1"/>
    <n v="659"/>
    <m/>
    <n v="2680"/>
    <s v=""/>
    <s v=""/>
    <x v="289"/>
    <m/>
    <s v=""/>
    <s v="Karam kaiss"/>
    <s v="(11) 98348-6116"/>
    <s v=""/>
    <s v="mbcontatokaram@gmail.com"/>
    <s v=""/>
    <s v=""/>
    <s v=""/>
    <s v="São Paulo"/>
    <s v=""/>
    <s v="Site"/>
    <s v=""/>
    <s v=""/>
    <s v="Solicita demo"/>
    <s v="Pipeline de Vendas"/>
    <s v="Qualificação de Vendas (SQL) (25%)"/>
    <s v=""/>
    <m/>
    <m/>
    <m/>
    <n v="9"/>
    <s v="Paulo Souza"/>
    <d v="2025-10-27T00:00:00"/>
    <d v="1899-12-30T15:37:34"/>
    <s v=""/>
    <s v="Perdido"/>
    <d v="2025-11-05T00:00:00"/>
    <d v="1899-12-30T09:12:53"/>
    <s v="Nossa solução não atende - falta funcionalidade"/>
    <s v="cliente busca apenas módulo de compras"/>
    <s v=""/>
    <x v="0"/>
    <s v="Junior Lopes"/>
    <x v="0"/>
    <s v=""/>
    <m/>
    <m/>
    <s v=""/>
    <s v=""/>
    <s v=""/>
    <s v=""/>
    <n v="1"/>
  </r>
  <r>
    <x v="1"/>
    <n v="662"/>
    <m/>
    <n v="2684"/>
    <s v="(16/01/2026) Bruno decidiu por não fazer o investimento nesse momento ! esta estruturando a equipe de vendas"/>
    <s v="Sevilha Comercio Internacional Ltda"/>
    <x v="290"/>
    <n v="44628219000105"/>
    <s v=""/>
    <s v="Sevilha Comercio Internacional Ltda"/>
    <s v="(11) 4115-0797"/>
    <s v=""/>
    <s v="diego@gruposevilha.com"/>
    <s v=""/>
    <s v=""/>
    <s v=""/>
    <s v="NAVEGANTES"/>
    <s v="SC"/>
    <s v="Base de empresas Leads2b"/>
    <s v=""/>
    <s v=""/>
    <s v="30%"/>
    <s v="Pipeline de Vendas"/>
    <s v="Em negociação (75%)"/>
    <s v=""/>
    <d v="2026-01-30T00:00:00"/>
    <n v="38380"/>
    <n v="107526"/>
    <n v="80"/>
    <s v="Junior Lopes"/>
    <d v="2025-10-28T00:00:00"/>
    <d v="1899-12-30T10:15:43"/>
    <s v=""/>
    <s v="Perdido"/>
    <d v="2026-01-16T00:00:00"/>
    <d v="1899-12-30T15:59:13"/>
    <s v="Não houve aprovação financeira"/>
    <s v="(16/01/2026) Bruno decidiu por não fazer o investimento nesse momento ! esta estruturando a equipe de vendas"/>
    <s v=""/>
    <x v="135"/>
    <s v=""/>
    <x v="145"/>
    <s v=""/>
    <d v="2026-01-16T00:00:00"/>
    <m/>
    <s v=""/>
    <s v=""/>
    <s v=""/>
    <s v=""/>
    <n v="1"/>
  </r>
  <r>
    <x v="1"/>
    <n v="665"/>
    <m/>
    <n v="2692"/>
    <s v="(16/01/2026) Bruno decidiu por não fazer o investimento nesse momento ! esta estruturando a equipe de vendas"/>
    <s v=""/>
    <x v="291"/>
    <m/>
    <s v=""/>
    <s v="Sevilha Trade - Cloud"/>
    <s v="1141150797"/>
    <s v=""/>
    <s v="diego@gruposevilha.com"/>
    <s v=""/>
    <s v=""/>
    <s v=""/>
    <s v=""/>
    <s v=""/>
    <s v=""/>
    <s v=""/>
    <s v=""/>
    <s v="30%"/>
    <s v="Pipeline de Vendas"/>
    <s v="Em negociação (75%)"/>
    <s v=""/>
    <d v="2026-01-30T00:00:00"/>
    <n v="1600"/>
    <n v="2174"/>
    <n v="79"/>
    <s v="Junior Lopes"/>
    <d v="2025-10-29T00:00:00"/>
    <d v="1899-12-30T17:01:18"/>
    <s v=""/>
    <s v="Perdido"/>
    <d v="2026-01-16T00:00:00"/>
    <d v="1899-12-30T16:00:32"/>
    <s v="Não houve aprovação financeira"/>
    <s v="(16/01/2026) Bruno decidiu por não fazer o investimento nesse momento ! esta estruturando a equipe de vendas"/>
    <s v=""/>
    <x v="135"/>
    <s v=""/>
    <x v="145"/>
    <s v=""/>
    <d v="2026-01-16T00:00:00"/>
    <m/>
    <s v=""/>
    <s v=""/>
    <s v=""/>
    <s v=""/>
    <n v="1"/>
  </r>
  <r>
    <x v="1"/>
    <n v="667"/>
    <m/>
    <n v="2698"/>
    <s v=""/>
    <s v=""/>
    <x v="292"/>
    <m/>
    <s v=""/>
    <s v="Distribuidora Prime - Cloud"/>
    <s v="67991479660"/>
    <s v=""/>
    <s v="distribuidoraprime067@gmail.com"/>
    <s v=""/>
    <s v=""/>
    <s v=""/>
    <s v=""/>
    <s v=""/>
    <s v=""/>
    <s v=""/>
    <s v=""/>
    <s v=""/>
    <s v="Pipeline de Vendas"/>
    <s v="Apresentar Solução (35%)"/>
    <s v=""/>
    <m/>
    <n v="1600"/>
    <n v="21746"/>
    <n v="25"/>
    <s v="Junior Lopes"/>
    <d v="2025-10-30T00:00:00"/>
    <d v="1899-12-30T10:55:07"/>
    <s v=""/>
    <s v="Perdido"/>
    <d v="2025-11-24T00:00:00"/>
    <d v="1899-12-30T16:50:34"/>
    <s v="Preço muito alto - fora do budget de investimento"/>
    <s v="cliente não esta no tempo certo, achou investimento muito alto"/>
    <s v=""/>
    <x v="123"/>
    <s v=""/>
    <x v="144"/>
    <s v=""/>
    <m/>
    <m/>
    <s v=""/>
    <s v=""/>
    <s v=""/>
    <s v=""/>
    <n v="1"/>
  </r>
  <r>
    <x v="1"/>
    <n v="669"/>
    <m/>
    <n v="2718"/>
    <s v=""/>
    <s v=""/>
    <x v="293"/>
    <m/>
    <s v=""/>
    <s v="Tritec - Proposta Web"/>
    <s v="4791025652"/>
    <s v=""/>
    <s v="null"/>
    <s v=""/>
    <s v=""/>
    <s v=""/>
    <s v=""/>
    <s v=""/>
    <s v=""/>
    <s v=""/>
    <s v=""/>
    <s v=""/>
    <s v="Pipeline de Vendas"/>
    <s v="Apresentar Proposta (50%)"/>
    <s v=""/>
    <m/>
    <n v="0"/>
    <n v="2185"/>
    <n v="26"/>
    <s v="Junior Lopes"/>
    <d v="2025-10-31T00:00:00"/>
    <d v="1899-12-30T11:46:34"/>
    <s v=""/>
    <s v="Perdido"/>
    <d v="2025-11-26T00:00:00"/>
    <d v="1899-12-30T14:03:26"/>
    <s v="Projeto adiado / sem prazo definido"/>
    <s v="por enquanto nao vai adicionar proposta web"/>
    <s v=""/>
    <x v="133"/>
    <s v=""/>
    <x v="146"/>
    <s v=""/>
    <m/>
    <m/>
    <s v=""/>
    <s v=""/>
    <s v=""/>
    <s v=""/>
    <n v="1"/>
  </r>
  <r>
    <x v="2"/>
    <n v="672"/>
    <m/>
    <n v="2729"/>
    <s v="Realizei hoje, 12/12/2025, a apresentação do AFV para os gerentes comerciais e atualizei a proposta com os valores de licença do APP. O próximo passo será negociar a proposta, o que deve ocorrer somente na primeira quinzena de janeiro._x000a_05.02 Iniciaram a importação agora,previsão permace para março_x000a_18.03 tinham previsão para iniciar as importações, mas ainda não deu certo, retomar o contato daqui 3 meses"/>
    <s v=""/>
    <x v="294"/>
    <m/>
    <s v=""/>
    <s v="Lucas Pivetta"/>
    <s v="15996012600"/>
    <s v=""/>
    <s v="null"/>
    <s v=""/>
    <s v=""/>
    <s v=""/>
    <s v=""/>
    <s v=""/>
    <s v="Indicação"/>
    <s v=""/>
    <s v=""/>
    <s v="50%"/>
    <s v="Pipeline de Vendas"/>
    <s v="Em negociação (75%)"/>
    <s v=""/>
    <d v="2026-06-30T00:00:00"/>
    <n v="46200"/>
    <n v="146047"/>
    <n v="191"/>
    <s v="Rayssa Karapeticov"/>
    <d v="2025-11-03T00:00:00"/>
    <d v="1899-12-30T15:43:05"/>
    <s v=""/>
    <s v="Perdido"/>
    <d v="2026-05-13T00:00:00"/>
    <d v="1899-12-30T09:39:49"/>
    <s v="Projeto adiado / sem prazo definido"/>
    <s v=""/>
    <s v=""/>
    <x v="136"/>
    <s v="Rayssa Karapeticov"/>
    <x v="147"/>
    <s v="12/12/2025"/>
    <d v="2026-03-16T00:00:00"/>
    <n v="50"/>
    <s v=""/>
    <s v=""/>
    <s v=""/>
    <s v=""/>
    <n v="1"/>
  </r>
  <r>
    <x v="0"/>
    <n v="673"/>
    <m/>
    <n v="2730"/>
    <s v="Feito vários contatos com o cliente sem sucesso. _x000a_12/01/2026_x000a_23-01 Fiz Fups com o Jairo hoje para saber se ele vai seguir ou não com o projeto. Caso não me responda vou encerrar a oportunidade , prazo 31/01._x000a_06/02 Fiz FUP com  o Jairo e por falta de interesse estou declinando a proposta._x000a_07/02 Jairo me respondeu e avisou que vai implantar o Totvs lá. E futuramente retorna a falar comigo sobre Força de Venda."/>
    <s v=""/>
    <x v="295"/>
    <n v="22949063000121"/>
    <s v=""/>
    <s v="MEDIHOSP"/>
    <s v="(11) 2506-6323/ (11) 2506-6589"/>
    <s v=""/>
    <s v="medihosp@medihosp.com.br"/>
    <s v=""/>
    <s v=""/>
    <s v=""/>
    <s v="SAO PAULO"/>
    <s v="SP"/>
    <s v="Outbound"/>
    <s v=""/>
    <s v=""/>
    <s v="30%"/>
    <s v="Pipeline de Vendas"/>
    <s v="Em negociação (75%)"/>
    <s v=""/>
    <d v="2026-01-31T00:00:00"/>
    <n v="20000"/>
    <n v="5880"/>
    <n v="94"/>
    <s v="Paulo Souza"/>
    <d v="2025-11-05T00:00:00"/>
    <d v="1899-12-30T10:49:02"/>
    <s v=""/>
    <s v="Perdido"/>
    <d v="2026-02-07T00:00:00"/>
    <d v="1899-12-30T08:42:30"/>
    <s v="Fechou com o concorrente - preço"/>
    <s v="07/02 Jairo me respondeu e avisou que vai implantar o Totvs lá. E futuramente retorna a falar comigo sobre Força de Venda."/>
    <s v=""/>
    <x v="137"/>
    <s v="Paulo Souza"/>
    <x v="148"/>
    <s v=""/>
    <d v="2026-01-23T00:00:00"/>
    <n v="30"/>
    <s v=""/>
    <s v=""/>
    <s v=""/>
    <s v=""/>
    <n v="1"/>
  </r>
  <r>
    <x v="1"/>
    <n v="674"/>
    <m/>
    <n v="2733"/>
    <s v=""/>
    <s v="Salopet Embalagens Plasticas Ltda"/>
    <x v="296"/>
    <n v="4911908000370"/>
    <s v=""/>
    <s v="Salopet Embalagens Plasticas Ltda"/>
    <s v="(11) 2575-1800"/>
    <s v=""/>
    <s v="paralegal10@mgcontecnica.com.br"/>
    <s v=""/>
    <s v=""/>
    <s v=""/>
    <s v="EMBU DAS ARTES"/>
    <s v="SP"/>
    <s v="Base de empresas Leads2b"/>
    <s v=""/>
    <s v=""/>
    <s v=""/>
    <s v="Pipeline de Vendas"/>
    <s v="Apresentar Proposta (50%)"/>
    <s v=""/>
    <m/>
    <n v="81786"/>
    <n v="914979"/>
    <n v="21"/>
    <s v="Junior Lopes"/>
    <d v="2025-11-05T00:00:00"/>
    <d v="1899-12-30T15:31:21"/>
    <s v=""/>
    <s v="Perdido"/>
    <d v="2025-11-26T00:00:00"/>
    <d v="1899-12-30T12:30:08"/>
    <s v="Não quer mudar a solução atual"/>
    <s v="estou descartando por falta de atividades do André, já agendou varias vezes e não aparece nas reuniões _x000a_Fala chefe, boa tarde _x000a_Está uma loucura esse final de ano_x000a_Mais vamos lá_x000a_Hoje uso o sistema Areco ele é gigante e tem tudo o que precisamos mais está em falta com o suporte e o preço está ficando alto_x000a_Vou tentar finalizar algumas coisa e na sexta-feira na parte da manhã estarei mais tranquilo ai chamo pra que possamos conversar"/>
    <s v=""/>
    <x v="134"/>
    <s v=""/>
    <x v="149"/>
    <s v=""/>
    <m/>
    <m/>
    <s v=""/>
    <s v=""/>
    <s v=""/>
    <s v=""/>
    <n v="1"/>
  </r>
  <r>
    <x v="1"/>
    <n v="680"/>
    <m/>
    <n v="2755"/>
    <s v=""/>
    <s v=""/>
    <x v="297"/>
    <m/>
    <s v=""/>
    <s v="Tecelegam Castilho - MDFe"/>
    <s v="62993609476"/>
    <s v=""/>
    <s v="dayane.tecelagemcastilho@gmail.com"/>
    <s v=""/>
    <s v=""/>
    <s v=""/>
    <s v=""/>
    <s v=""/>
    <s v=""/>
    <s v=""/>
    <s v=""/>
    <s v=""/>
    <s v="Pipeline de Vendas"/>
    <s v="Em Fechamento (100%)"/>
    <s v=""/>
    <m/>
    <n v="0"/>
    <n v="3564"/>
    <n v="13"/>
    <s v="Junior Lopes"/>
    <d v="2025-11-12T00:00:00"/>
    <d v="1899-12-30T10:20:21"/>
    <s v=""/>
    <s v="Ganho"/>
    <d v="2025-11-25T00:00:00"/>
    <d v="1899-12-30T15:23:44"/>
    <s v=""/>
    <s v=""/>
    <s v=""/>
    <x v="138"/>
    <s v=""/>
    <x v="149"/>
    <s v=""/>
    <m/>
    <m/>
    <s v=""/>
    <s v=""/>
    <s v=""/>
    <s v=""/>
    <n v="1"/>
  </r>
  <r>
    <x v="1"/>
    <n v="681"/>
    <m/>
    <n v="2756"/>
    <s v="O projeto já está fechado e o contrato está com o cliente aguardando assinatura. O follow-up está sendo feito diariamente e a previsão de fechamento é até 19/12/2025."/>
    <s v=""/>
    <x v="298"/>
    <n v="43252675000130"/>
    <s v=""/>
    <s v="Atacadão MOntebello"/>
    <s v="(19) 3377-2746 / (19) 3426-1450"/>
    <s v=""/>
    <s v="administracao@atacadaoamontebello.com.br"/>
    <s v=""/>
    <s v=""/>
    <s v=""/>
    <s v="PIRACICABA"/>
    <s v="SP"/>
    <s v=""/>
    <s v=""/>
    <s v=""/>
    <s v="80%"/>
    <s v="Pipeline de Vendas"/>
    <s v="Em Fechamento (100%)"/>
    <s v=""/>
    <d v="2025-12-31T00:00:00"/>
    <n v="22000"/>
    <n v="1800"/>
    <n v="54"/>
    <s v="Junior Lopes"/>
    <d v="2025-11-12T00:00:00"/>
    <d v="1899-12-30T14:32:23"/>
    <s v=""/>
    <s v="Ganho"/>
    <d v="2026-01-05T00:00:00"/>
    <d v="1899-12-30T14:51:32"/>
    <s v=""/>
    <s v=""/>
    <s v=""/>
    <x v="138"/>
    <s v="Junior Lopes"/>
    <x v="149"/>
    <s v="28/11/2025"/>
    <d v="2025-12-12T00:00:00"/>
    <m/>
    <s v=""/>
    <s v=""/>
    <s v=""/>
    <s v=""/>
    <n v="1"/>
  </r>
  <r>
    <x v="1"/>
    <n v="684"/>
    <m/>
    <n v="2760"/>
    <s v=""/>
    <s v=""/>
    <x v="299"/>
    <m/>
    <s v=""/>
    <s v="NewBaby - ERP"/>
    <s v="11979734057"/>
    <s v=""/>
    <s v="dani@3lrepresentacoes.com.br"/>
    <s v=""/>
    <s v=""/>
    <s v=""/>
    <s v=""/>
    <s v=""/>
    <s v=""/>
    <s v=""/>
    <s v=""/>
    <s v="30%"/>
    <s v="Pipeline de Vendas"/>
    <s v="Apresentar Proposta (50%)"/>
    <s v=""/>
    <m/>
    <n v="106400"/>
    <n v="1419164"/>
    <n v="13"/>
    <s v="Junior Lopes"/>
    <d v="2025-11-13T00:00:00"/>
    <d v="1899-12-30T12:09:17"/>
    <s v=""/>
    <s v="Perdido"/>
    <d v="2025-11-26T00:00:00"/>
    <d v="1899-12-30T12:48:22"/>
    <s v="Projeto adiado / sem prazo definido"/>
    <s v="Em contato com Dani ! _x000a_eles só queriam a priori uma estimativa de investimento nas soluções Guarani ! a ideia é aos poucos convencer a Giselia na troca do sistema"/>
    <s v=""/>
    <x v="139"/>
    <s v=""/>
    <x v="150"/>
    <s v=""/>
    <m/>
    <m/>
    <s v=""/>
    <s v=""/>
    <s v=""/>
    <s v=""/>
    <n v="1"/>
  </r>
  <r>
    <x v="2"/>
    <n v="685"/>
    <m/>
    <n v="2761"/>
    <s v=""/>
    <s v="Kitay Industria E Comercio De Alimentos Ltda"/>
    <x v="300"/>
    <n v="42517186000109"/>
    <s v=""/>
    <s v="Kitay Industria E Comercio De Alimentos Ltda"/>
    <s v="(11) 4018-3764"/>
    <s v=""/>
    <s v="claudiorcsalles@gmail.com"/>
    <s v=""/>
    <s v=""/>
    <s v=""/>
    <s v="VARGEM GRANDE PAULISTA"/>
    <s v="SP"/>
    <s v="Base de empresas Leads2b"/>
    <s v=""/>
    <s v=""/>
    <s v=""/>
    <s v="Pipeline de Vendas"/>
    <s v="Agendamento (0%)"/>
    <s v=""/>
    <m/>
    <m/>
    <m/>
    <n v="0"/>
    <s v="Rayssa Karapeticov"/>
    <d v="2025-11-13T00:00:00"/>
    <d v="1899-12-30T16:09:55"/>
    <s v=""/>
    <s v="Perdido"/>
    <d v="2025-11-13T00:00:00"/>
    <d v="1899-12-30T16:12:25"/>
    <s v="Preço muito alto - fora do budget de investimento"/>
    <s v=""/>
    <s v=""/>
    <x v="0"/>
    <s v="Rayssa Karapeticov"/>
    <x v="0"/>
    <s v=""/>
    <m/>
    <m/>
    <s v=""/>
    <s v=""/>
    <s v=""/>
    <s v=""/>
    <n v="1"/>
  </r>
  <r>
    <x v="1"/>
    <n v="690"/>
    <m/>
    <n v="2872"/>
    <s v=""/>
    <s v=""/>
    <x v="301"/>
    <m/>
    <s v=""/>
    <s v="MDL - WMS"/>
    <s v="11910695515"/>
    <s v=""/>
    <s v="null"/>
    <s v=""/>
    <s v=""/>
    <s v=""/>
    <s v=""/>
    <s v=""/>
    <s v=""/>
    <s v=""/>
    <s v=""/>
    <s v="90%"/>
    <s v="Pipeline de Vendas"/>
    <s v="Em Fechamento (100%)"/>
    <s v=""/>
    <d v="2025-11-26T00:00:00"/>
    <n v="0"/>
    <n v="114048"/>
    <n v="16"/>
    <s v="Junior Lopes"/>
    <d v="2025-11-24T00:00:00"/>
    <d v="1899-12-30T16:53:16"/>
    <s v=""/>
    <s v="Ganho"/>
    <d v="2025-12-10T00:00:00"/>
    <d v="1899-12-30T10:14:04"/>
    <s v=""/>
    <s v=""/>
    <s v=""/>
    <x v="140"/>
    <s v=""/>
    <x v="151"/>
    <s v=""/>
    <m/>
    <m/>
    <s v=""/>
    <s v=""/>
    <s v=""/>
    <s v=""/>
    <n v="1"/>
  </r>
  <r>
    <x v="1"/>
    <n v="692"/>
    <m/>
    <n v="2880"/>
    <s v=""/>
    <s v=""/>
    <x v="302"/>
    <m/>
    <s v=""/>
    <s v="NewBaby - Cloud"/>
    <s v="11979734057"/>
    <s v=""/>
    <s v="dani@3lrepresentacoes.com.br"/>
    <s v=""/>
    <s v=""/>
    <s v=""/>
    <s v=""/>
    <s v=""/>
    <s v=""/>
    <s v=""/>
    <s v=""/>
    <s v="30%"/>
    <s v="Pipeline de Vendas"/>
    <s v="Apresentar Proposta (50%)"/>
    <s v=""/>
    <m/>
    <n v="1600"/>
    <n v="860304"/>
    <n v="1"/>
    <s v="Junior Lopes"/>
    <d v="2025-11-25T00:00:00"/>
    <d v="1899-12-30T15:03:40"/>
    <s v=""/>
    <s v="Perdido"/>
    <d v="2025-11-26T00:00:00"/>
    <d v="1899-12-30T12:49:30"/>
    <s v="Projeto adiado / sem prazo definido"/>
    <s v="Em contato com Dani ! _x000a_eles só queriam a priori uma estimativa de investimento nas soluções Guarani ! a ideia é aos poucos convencer a Giselia na troca do sistema"/>
    <s v=""/>
    <x v="139"/>
    <s v=""/>
    <x v="150"/>
    <s v=""/>
    <m/>
    <m/>
    <s v=""/>
    <s v=""/>
    <s v=""/>
    <s v=""/>
    <n v="1"/>
  </r>
  <r>
    <x v="1"/>
    <n v="693"/>
    <m/>
    <n v="2881"/>
    <s v=""/>
    <s v=""/>
    <x v="303"/>
    <m/>
    <s v=""/>
    <s v="Baag - Incl.CNPJ"/>
    <s v="7530217768"/>
    <s v=""/>
    <s v="null"/>
    <s v=""/>
    <s v=""/>
    <s v=""/>
    <s v=""/>
    <s v=""/>
    <s v=""/>
    <s v=""/>
    <s v=""/>
    <s v=""/>
    <s v="Pipeline de Vendas"/>
    <s v="Agendamento (0%)"/>
    <s v=""/>
    <m/>
    <n v="330714"/>
    <n v="0"/>
    <n v="0"/>
    <s v="Junior Lopes"/>
    <d v="2025-11-25T00:00:00"/>
    <d v="1899-12-30T15:44:44"/>
    <s v=""/>
    <s v="Ganho"/>
    <d v="2025-11-25T00:00:00"/>
    <d v="1899-12-30T15:47:26"/>
    <s v=""/>
    <s v=""/>
    <s v=""/>
    <x v="141"/>
    <s v=""/>
    <x v="152"/>
    <s v=""/>
    <m/>
    <m/>
    <s v=""/>
    <s v=""/>
    <s v=""/>
    <s v=""/>
    <n v="1"/>
  </r>
  <r>
    <x v="1"/>
    <n v="694"/>
    <m/>
    <n v="2882"/>
    <s v=""/>
    <s v=""/>
    <x v="304"/>
    <m/>
    <s v=""/>
    <s v="E.S Maia"/>
    <s v="11969325678"/>
    <s v=""/>
    <s v="null"/>
    <s v=""/>
    <s v=""/>
    <s v=""/>
    <s v=""/>
    <s v=""/>
    <s v=""/>
    <s v=""/>
    <s v=""/>
    <s v="30%"/>
    <s v="Pipeline de Vendas"/>
    <s v="Apresentar Proposta (50%)"/>
    <s v=""/>
    <d v="2026-01-01T00:00:00"/>
    <n v="16960"/>
    <n v="450"/>
    <n v="15"/>
    <s v="Junior Lopes"/>
    <d v="2025-11-25T00:00:00"/>
    <d v="1899-12-30T15:59:24"/>
    <s v=""/>
    <s v="Perdido"/>
    <d v="2025-12-10T00:00:00"/>
    <d v="1899-12-30T09:26:00"/>
    <s v="Projeto adiado / sem prazo definido"/>
    <s v="nao esta no momento certo"/>
    <s v=""/>
    <x v="134"/>
    <s v=""/>
    <x v="143"/>
    <s v=""/>
    <m/>
    <m/>
    <s v=""/>
    <s v=""/>
    <s v=""/>
    <s v=""/>
    <n v="1"/>
  </r>
  <r>
    <x v="1"/>
    <n v="695"/>
    <m/>
    <n v="2883"/>
    <s v=""/>
    <s v=""/>
    <x v="305"/>
    <n v="57524096000104"/>
    <s v=""/>
    <s v="Phabllo Parambu Atacado - ERP"/>
    <s v="88996365702"/>
    <s v=""/>
    <s v="phabllo2022@gmail.com"/>
    <s v=""/>
    <s v=""/>
    <s v=""/>
    <s v="COCAL"/>
    <s v="PI"/>
    <s v=""/>
    <s v=""/>
    <s v=""/>
    <s v="30%"/>
    <s v="Pipeline de Vendas"/>
    <s v="Apresentar Solução (35%)"/>
    <s v=""/>
    <m/>
    <m/>
    <m/>
    <n v="8"/>
    <s v="Junior Lopes"/>
    <d v="2025-11-25T00:00:00"/>
    <d v="1899-12-30T16:25:17"/>
    <s v=""/>
    <s v="Perdido"/>
    <d v="2025-12-03T00:00:00"/>
    <d v="1899-12-30T15:53:51"/>
    <s v="Projeto adiado / sem prazo definido"/>
    <s v="Cliente não tem tempo para fazermos apresentação"/>
    <s v=""/>
    <x v="142"/>
    <s v=""/>
    <x v="153"/>
    <s v=""/>
    <m/>
    <m/>
    <s v=""/>
    <s v=""/>
    <s v=""/>
    <s v=""/>
    <n v="1"/>
  </r>
  <r>
    <x v="1"/>
    <n v="696"/>
    <m/>
    <n v="2885"/>
    <s v=""/>
    <s v=""/>
    <x v="306"/>
    <n v="57524096000104"/>
    <s v=""/>
    <s v="Phabllo Parambu Atacado - Cloud"/>
    <s v="88996365702"/>
    <s v=""/>
    <s v="phabllo2022@gmail.com"/>
    <s v=""/>
    <s v=""/>
    <s v=""/>
    <s v=""/>
    <s v=""/>
    <s v=""/>
    <s v=""/>
    <s v=""/>
    <s v="30%"/>
    <s v="Pipeline de Vendas"/>
    <s v="Apresentar Solução (35%)"/>
    <s v=""/>
    <m/>
    <m/>
    <m/>
    <n v="8"/>
    <s v="Junior Lopes"/>
    <d v="2025-11-25T00:00:00"/>
    <d v="1899-12-30T16:48:26"/>
    <s v=""/>
    <s v="Perdido"/>
    <d v="2025-12-03T00:00:00"/>
    <d v="1899-12-30T15:53:19"/>
    <s v="Projeto adiado / sem prazo definido"/>
    <s v="Cliente não tem tempo para fazermos apresentação"/>
    <s v=""/>
    <x v="142"/>
    <s v=""/>
    <x v="153"/>
    <s v=""/>
    <m/>
    <m/>
    <s v=""/>
    <s v=""/>
    <s v=""/>
    <s v=""/>
    <n v="1"/>
  </r>
  <r>
    <x v="1"/>
    <n v="697"/>
    <m/>
    <n v="2887"/>
    <s v=""/>
    <s v=""/>
    <x v="307"/>
    <m/>
    <s v=""/>
    <s v="Salopet Embalagens Plasticas - Cloud"/>
    <s v="1125751800"/>
    <s v=""/>
    <s v="paralegal10@mgcontecnica.com.br"/>
    <s v=""/>
    <s v=""/>
    <s v=""/>
    <s v=""/>
    <s v=""/>
    <s v=""/>
    <s v=""/>
    <s v=""/>
    <s v=""/>
    <s v="Pipeline de Vendas"/>
    <s v="Apresentar Solução (35%)"/>
    <s v=""/>
    <m/>
    <n v="1600"/>
    <n v="335607"/>
    <n v="1"/>
    <s v="Junior Lopes"/>
    <d v="2025-11-25T00:00:00"/>
    <d v="1899-12-30T17:07:06"/>
    <s v=""/>
    <s v="Perdido"/>
    <d v="2025-11-26T00:00:00"/>
    <d v="1899-12-30T12:32:26"/>
    <s v="Não quer mudar a solução atual"/>
    <s v="estou descartando por falta de atividades do André, já agendou varias vezes e não aparece nas reuniões _x000a_Fala chefe, boa tarde _x000a_Está uma loucura esse final de ano_x000a_Mais vamos lá_x000a_Hoje uso o sistema Areco ele é gigante e tem tudo o que precisamos mais está em falta com o suporte e o preço está ficando alto_x000a_Vou tentar finalizar algumas coisa e na sexta-feira na parte da manhã estarei mais tranquilo ai chamo pra que possamos conversar"/>
    <s v=""/>
    <x v="134"/>
    <s v=""/>
    <x v="149"/>
    <s v=""/>
    <m/>
    <m/>
    <s v=""/>
    <s v=""/>
    <s v=""/>
    <s v=""/>
    <n v="1"/>
  </r>
  <r>
    <x v="0"/>
    <n v="700"/>
    <m/>
    <n v="2874"/>
    <s v=""/>
    <s v=""/>
    <x v="308"/>
    <m/>
    <s v=""/>
    <s v="Samuel Ferreira"/>
    <s v="(38) 99741-8594"/>
    <s v=""/>
    <s v="lojastem.financeiro@gmail.com"/>
    <s v=""/>
    <s v=""/>
    <s v=""/>
    <s v="Montes Claros"/>
    <s v=""/>
    <s v="Site"/>
    <s v=""/>
    <s v=""/>
    <s v="30%;Solicita demo"/>
    <s v="Pipeline de Vendas"/>
    <s v="Apresentar Proposta (50%)"/>
    <s v=""/>
    <d v="2026-01-31T00:00:00"/>
    <m/>
    <m/>
    <n v="14"/>
    <s v="Paulo Souza"/>
    <d v="2025-11-26T00:00:00"/>
    <d v="1899-12-30T11:24:38"/>
    <s v=""/>
    <s v="Perdido"/>
    <d v="2025-12-10T00:00:00"/>
    <d v="1899-12-30T23:13:47"/>
    <s v="Não houve aprovação financeira"/>
    <s v=""/>
    <s v=""/>
    <x v="143"/>
    <s v="Paulo Souza"/>
    <x v="154"/>
    <s v=""/>
    <m/>
    <m/>
    <s v=""/>
    <s v=""/>
    <s v=""/>
    <s v=""/>
    <n v="1"/>
  </r>
  <r>
    <x v="0"/>
    <n v="701"/>
    <m/>
    <n v="2829"/>
    <s v="Cobrei a Luciana sobre a sequência do projeto ou não (09/01/2026)_x000a_23/01 - Fiz FUPs hoje com a Lucimeire, chamando ela para retomar as negociações, aguardar ele responder para saber se vamos seguir ou não? R: Ela retornou avisando que a negociação está pausada por enquanto."/>
    <s v=""/>
    <x v="309"/>
    <n v="5825017000100"/>
    <s v=""/>
    <s v="Lucimeire Jardim"/>
    <s v="(17) 99270-5941"/>
    <s v=""/>
    <s v="gerencia.adm@belaflor.com.br"/>
    <s v=""/>
    <s v=""/>
    <s v=""/>
    <s v="São José do Rio Preto"/>
    <s v=""/>
    <s v="Site"/>
    <s v=""/>
    <s v=""/>
    <s v="30%;Pausado;Solicita demo"/>
    <s v="Pipeline de Vendas"/>
    <s v="Em negociação (75%)"/>
    <s v=""/>
    <d v="2026-03-31T00:00:00"/>
    <n v="130600"/>
    <n v="1680982"/>
    <n v="173"/>
    <s v="Paulo Souza"/>
    <d v="2025-11-26T00:00:00"/>
    <d v="1899-12-30T11:25:27"/>
    <s v=""/>
    <s v="Perdido"/>
    <d v="2026-05-18T00:00:00"/>
    <d v="1899-12-30T16:51:17"/>
    <s v="Projeto adiado / sem prazo definido"/>
    <s v=""/>
    <s v=""/>
    <x v="143"/>
    <s v="Paulo Souza"/>
    <x v="154"/>
    <s v=""/>
    <d v="2026-03-31T00:00:00"/>
    <n v="30"/>
    <s v="653"/>
    <s v="ERP, AFV, BI, WMS"/>
    <s v="R$ 130.600"/>
    <s v="R$ 16.809,82"/>
    <n v="1"/>
  </r>
  <r>
    <x v="0"/>
    <n v="702"/>
    <m/>
    <n v="2890"/>
    <s v="Falei com Rodrigo CFO, e vamos negociar a proposta na semana do dia 12/01/2025._x000a_Falei hoje 12/01 com Rodrigo cobrando um aposição dele._x000a_14/01 - Hoje o Jeferson TI me ligou avisando que a diretoria reprovou o valor mensal. Porém a equipe interna gostou muito do sistema e esta batalhando para seguir. Com isso ele apresentou um valor base de R$60,00 por usuário estou estudando uma estratégia para responder. Acionei o Fábio._x000a_19/01: No dia 15/01 foi resolvido a questão da proposta. A pendência agora é em relação a integração com Sênior, ou seja, Jeferson esta fazendo orçamento com pessoal da Sênior, só após daremos andamento. Previsto uma conversa para sexta-feira próxima, dia 23/01."/>
    <s v=""/>
    <x v="310"/>
    <m/>
    <s v=""/>
    <s v="Wellington"/>
    <s v="43996624014"/>
    <s v=""/>
    <s v="null"/>
    <s v=""/>
    <s v=""/>
    <s v=""/>
    <s v=""/>
    <s v=""/>
    <s v=""/>
    <s v=""/>
    <s v=""/>
    <s v="90%;Fabio Indica"/>
    <s v="Pipeline de Vendas"/>
    <s v="Em Fechamento (100%)"/>
    <s v=""/>
    <d v="2026-01-31T00:00:00"/>
    <n v="16000"/>
    <n v="5880"/>
    <n v="57"/>
    <s v="Paulo Souza"/>
    <d v="2025-11-26T00:00:00"/>
    <d v="1899-12-30T11:28:10"/>
    <s v=""/>
    <s v="Perdido"/>
    <d v="2026-01-22T00:00:00"/>
    <d v="1899-12-30T16:27:10"/>
    <s v="Não houve aprovação financeira"/>
    <s v="A diretoria não aprovou o projeto devido o total da implantação ficar na casa dos 32k. Somando o projeto do Sênior 15-20k e Guarani 16k"/>
    <s v=""/>
    <x v="144"/>
    <s v="Paulo Souza"/>
    <x v="155"/>
    <s v=""/>
    <d v="2026-01-09T00:00:00"/>
    <m/>
    <s v=""/>
    <s v=""/>
    <s v=""/>
    <s v=""/>
    <n v="1"/>
  </r>
  <r>
    <x v="0"/>
    <n v="703"/>
    <m/>
    <n v="2891"/>
    <s v="Falei hoje com o Abdallah, o mesmo esta fora do Brasil. Combinamos de falar na sua volta que é em 15/01/2026!_x000a_23/01 - Após conversa com o Abdallah, o mesmo ainda continua fora do brasil e em nossa conversa falou que não tem resposta se vai ou não mudar. Com base no histórico das conversa ele não tem interesse de mudança no curto prazo. Sendo assim, estou declinando a proposta e futuramente voltamos a falar."/>
    <s v=""/>
    <x v="311"/>
    <n v="7728812000105"/>
    <s v=""/>
    <s v="Abdallah"/>
    <s v="(11) 3228-9751"/>
    <s v=""/>
    <s v="aihfinanceiro@gmail.com"/>
    <s v=""/>
    <s v=""/>
    <s v=""/>
    <s v="SAO PAULO"/>
    <s v="SP"/>
    <s v=""/>
    <s v=""/>
    <s v=""/>
    <s v="30%"/>
    <s v="Pipeline de Vendas"/>
    <s v="Em negociação (75%)"/>
    <s v=""/>
    <d v="2026-01-23T00:00:00"/>
    <n v="72000"/>
    <n v="8045"/>
    <n v="58"/>
    <s v="Paulo Souza"/>
    <d v="2025-11-26T00:00:00"/>
    <d v="1899-12-30T11:30:14"/>
    <s v=""/>
    <s v="Perdido"/>
    <d v="2026-01-23T00:00:00"/>
    <d v="1899-12-30T11:38:34"/>
    <s v="Projeto adiado / sem prazo definido"/>
    <s v=""/>
    <s v=""/>
    <x v="48"/>
    <s v="Paulo Souza"/>
    <x v="156"/>
    <s v=""/>
    <d v="2026-01-23T00:00:00"/>
    <m/>
    <s v=""/>
    <s v=""/>
    <s v=""/>
    <s v=""/>
    <n v="1"/>
  </r>
  <r>
    <x v="0"/>
    <n v="704"/>
    <m/>
    <n v="2894"/>
    <s v="Hoje foi realizada a apresentação do PDV do ERP ao cliente. O fechamento está previsto para ocorrer até 19/12/2025."/>
    <s v=""/>
    <x v="312"/>
    <n v="3761404000196"/>
    <s v=""/>
    <s v="Jose Eduardo"/>
    <s v="(19) 3492-9944"/>
    <s v=""/>
    <s v="adm@plastcap.com.br"/>
    <s v=""/>
    <s v=""/>
    <s v=""/>
    <s v="CAPIVARI"/>
    <s v="SP"/>
    <s v=""/>
    <s v=""/>
    <s v=""/>
    <s v="90%"/>
    <s v="Pipeline de Vendas"/>
    <s v="Em Fechamento (100%)"/>
    <s v=""/>
    <d v="2026-01-15T00:00:00"/>
    <n v="17829"/>
    <n v="83997"/>
    <n v="44"/>
    <s v="Paulo Souza"/>
    <d v="2025-11-26T00:00:00"/>
    <d v="1899-12-30T11:36:11"/>
    <s v=""/>
    <s v="Ganho"/>
    <d v="2026-01-09T00:00:00"/>
    <d v="1899-12-30T14:02:37"/>
    <s v=""/>
    <s v=""/>
    <s v=""/>
    <x v="145"/>
    <s v="Paulo Souza"/>
    <x v="154"/>
    <s v=""/>
    <d v="2025-12-12T00:00:00"/>
    <m/>
    <s v=""/>
    <s v=""/>
    <s v=""/>
    <s v=""/>
    <n v="1"/>
  </r>
  <r>
    <x v="0"/>
    <n v="705"/>
    <m/>
    <n v="2896"/>
    <s v="Não vai seguir com esse projeto no momento! Primeiro vai fazer a reciclagem e no meio do ano de 2026, voltamos a falar."/>
    <s v=""/>
    <x v="313"/>
    <n v="3761404000196"/>
    <s v=""/>
    <s v="Jose Eduardo"/>
    <s v="(19) 3492-9944"/>
    <s v=""/>
    <s v="adm@plastcap.com.br"/>
    <s v=""/>
    <s v=""/>
    <s v=""/>
    <s v="CAPIVARI"/>
    <s v="SP"/>
    <s v=""/>
    <s v=""/>
    <s v=""/>
    <s v="30%"/>
    <s v="Pipeline de Vendas"/>
    <s v="Em negociação (75%)"/>
    <s v=""/>
    <d v="2025-12-31T00:00:00"/>
    <n v="1600"/>
    <n v="384454"/>
    <n v="44"/>
    <s v="Paulo Souza"/>
    <d v="2025-11-26T00:00:00"/>
    <d v="1899-12-30T11:54:10"/>
    <s v=""/>
    <s v="Perdido"/>
    <d v="2026-01-09T00:00:00"/>
    <d v="1899-12-30T14:22:58"/>
    <s v="Projeto adiado / sem prazo definido"/>
    <s v=""/>
    <s v=""/>
    <x v="143"/>
    <s v="Paulo Souza"/>
    <x v="154"/>
    <s v=""/>
    <d v="2026-01-09T00:00:00"/>
    <m/>
    <s v=""/>
    <s v=""/>
    <s v=""/>
    <s v=""/>
    <n v="1"/>
  </r>
  <r>
    <x v="0"/>
    <n v="706"/>
    <m/>
    <n v="2897"/>
    <s v=""/>
    <s v=""/>
    <x v="314"/>
    <m/>
    <s v=""/>
    <s v="Kaue Prado"/>
    <s v="49998169464"/>
    <s v=""/>
    <s v="null"/>
    <s v=""/>
    <s v=""/>
    <s v=""/>
    <s v=""/>
    <s v=""/>
    <s v=""/>
    <s v=""/>
    <s v=""/>
    <s v=""/>
    <s v="Pipeline de Vendas"/>
    <s v="Em negociação (75%)"/>
    <s v=""/>
    <d v="2026-01-15T00:00:00"/>
    <n v="50000"/>
    <n v="2355"/>
    <n v="14"/>
    <s v="Paulo Souza"/>
    <d v="2025-11-26T00:00:00"/>
    <d v="1899-12-30T11:57:13"/>
    <s v=""/>
    <s v="Perdido"/>
    <d v="2025-12-10T00:00:00"/>
    <d v="1899-12-30T17:18:17"/>
    <s v="Não houve aprovação financeira"/>
    <s v=""/>
    <s v=""/>
    <x v="146"/>
    <s v="Paulo Souza"/>
    <x v="157"/>
    <s v=""/>
    <m/>
    <m/>
    <s v=""/>
    <s v=""/>
    <s v=""/>
    <s v=""/>
    <n v="1"/>
  </r>
  <r>
    <x v="0"/>
    <n v="707"/>
    <m/>
    <n v="2898"/>
    <s v="Após retorno do Jeferson fui informado que ele não vai seguir com o projeto no momento."/>
    <s v=""/>
    <x v="315"/>
    <m/>
    <s v=""/>
    <s v="Jeferson"/>
    <s v="83998878069"/>
    <s v=""/>
    <s v="null"/>
    <s v=""/>
    <s v=""/>
    <s v=""/>
    <s v=""/>
    <s v=""/>
    <s v="Outbound"/>
    <s v=""/>
    <s v=""/>
    <s v="90%"/>
    <s v="Pipeline de Vendas"/>
    <s v="Em negociação (75%)"/>
    <s v=""/>
    <d v="2026-01-31T00:00:00"/>
    <n v="14400"/>
    <n v="185328"/>
    <n v="47"/>
    <s v="Paulo Souza"/>
    <d v="2025-11-26T00:00:00"/>
    <d v="1899-12-30T11:59:12"/>
    <s v=""/>
    <s v="Perdido"/>
    <d v="2026-01-12T00:00:00"/>
    <d v="1899-12-30T22:24:16"/>
    <s v="Projeto adiado / sem prazo definido"/>
    <s v=""/>
    <s v=""/>
    <x v="147"/>
    <s v="Paulo Souza"/>
    <x v="158"/>
    <s v=""/>
    <d v="2026-01-12T00:00:00"/>
    <m/>
    <s v=""/>
    <s v=""/>
    <s v=""/>
    <s v=""/>
    <n v="1"/>
  </r>
  <r>
    <x v="0"/>
    <n v="708"/>
    <m/>
    <n v="2899"/>
    <s v=""/>
    <s v=""/>
    <x v="236"/>
    <m/>
    <s v=""/>
    <s v="Fabiana"/>
    <s v="16996352359"/>
    <s v=""/>
    <s v="null"/>
    <s v=""/>
    <s v=""/>
    <s v=""/>
    <s v=""/>
    <s v=""/>
    <s v=""/>
    <s v=""/>
    <s v=""/>
    <s v=""/>
    <s v="Pipeline de Vendas"/>
    <s v="Em Fechamento (100%)"/>
    <s v=""/>
    <m/>
    <m/>
    <m/>
    <n v="12"/>
    <s v="Paulo Souza"/>
    <d v="2025-11-26T00:00:00"/>
    <d v="1899-12-30T12:01:20"/>
    <s v=""/>
    <s v="Ganho"/>
    <d v="2025-12-08T00:00:00"/>
    <d v="1899-12-30T13:53:33"/>
    <s v=""/>
    <s v=""/>
    <s v=""/>
    <x v="148"/>
    <s v="Paulo Souza"/>
    <x v="159"/>
    <s v=""/>
    <m/>
    <m/>
    <s v=""/>
    <s v=""/>
    <s v=""/>
    <s v=""/>
    <n v="1"/>
  </r>
  <r>
    <x v="0"/>
    <n v="709"/>
    <m/>
    <n v="2900"/>
    <s v=""/>
    <s v=""/>
    <x v="316"/>
    <m/>
    <s v=""/>
    <s v="Gustavo"/>
    <s v="16996352359"/>
    <s v=""/>
    <s v="null"/>
    <s v=""/>
    <s v=""/>
    <s v=""/>
    <s v=""/>
    <s v=""/>
    <s v=""/>
    <s v=""/>
    <s v=""/>
    <s v=""/>
    <s v="Pipeline de Vendas"/>
    <s v="Em Fechamento (100%)"/>
    <s v=""/>
    <m/>
    <m/>
    <m/>
    <n v="12"/>
    <s v="Paulo Souza"/>
    <d v="2025-11-26T00:00:00"/>
    <d v="1899-12-30T12:02:41"/>
    <s v=""/>
    <s v="Ganho"/>
    <d v="2025-12-08T00:00:00"/>
    <d v="1899-12-30T14:21:05"/>
    <s v=""/>
    <s v=""/>
    <s v=""/>
    <x v="149"/>
    <s v="Paulo Souza"/>
    <x v="160"/>
    <s v=""/>
    <m/>
    <m/>
    <s v=""/>
    <s v=""/>
    <s v=""/>
    <s v=""/>
    <n v="1"/>
  </r>
  <r>
    <x v="1"/>
    <n v="711"/>
    <m/>
    <n v="2902"/>
    <s v="O próximo passo é Junior Lopes contatar a Tânia para confirmar o envio do vídeo do armazém e obter uma data definida para isso. Ele também deve atualizar no sistema o campo “O que falta para atingir o objetivo” com os requisitos pendentes e registrar um próximo passo com data, como analisar o vídeo ou agendar uma reunião para discutir sua avaliação."/>
    <s v=""/>
    <x v="317"/>
    <m/>
    <s v=""/>
    <s v="FaFa Import - WMS"/>
    <s v="86188758539"/>
    <s v=""/>
    <s v="null"/>
    <s v=""/>
    <s v=""/>
    <s v=""/>
    <s v=""/>
    <s v=""/>
    <s v=""/>
    <s v=""/>
    <s v=""/>
    <s v="50%"/>
    <s v="Pipeline de Vendas"/>
    <s v="Em Fechamento (100%)"/>
    <s v=""/>
    <d v="2026-02-09T00:00:00"/>
    <n v="235848"/>
    <n v="14256"/>
    <n v="65"/>
    <s v="Junior Lopes"/>
    <d v="2025-11-26T00:00:00"/>
    <d v="1899-12-30T15:05:11"/>
    <s v=""/>
    <s v="Perdido"/>
    <d v="2026-01-30T00:00:00"/>
    <d v="1899-12-30T15:36:59"/>
    <s v="Projeto adiado / sem prazo definido"/>
    <s v="sem retorno"/>
    <s v=""/>
    <x v="132"/>
    <s v="Junior Lopes"/>
    <x v="153"/>
    <s v=""/>
    <d v="2025-12-12T00:00:00"/>
    <m/>
    <s v=""/>
    <s v=""/>
    <s v=""/>
    <s v=""/>
    <n v="1"/>
  </r>
  <r>
    <x v="1"/>
    <n v="714"/>
    <m/>
    <n v="2910"/>
    <s v=""/>
    <s v=""/>
    <x v="318"/>
    <m/>
    <s v=""/>
    <s v="Tecelagem Castilho - Proposta Web"/>
    <s v="6293622662"/>
    <s v=""/>
    <s v="null"/>
    <s v=""/>
    <s v=""/>
    <s v=""/>
    <s v=""/>
    <s v=""/>
    <s v=""/>
    <s v=""/>
    <s v=""/>
    <s v=""/>
    <s v="Pipeline de Vendas"/>
    <s v="Em negociação (75%)"/>
    <s v=""/>
    <m/>
    <n v="0"/>
    <n v="209"/>
    <n v="12"/>
    <s v="Junior Lopes"/>
    <d v="2025-11-28T00:00:00"/>
    <d v="1899-12-30T14:27:28"/>
    <s v=""/>
    <s v="Perdido"/>
    <d v="2025-12-10T00:00:00"/>
    <d v="1899-12-30T10:00:03"/>
    <s v="Não quer mudar a solução atual"/>
    <s v="por enquanto vai fazer as aprovações via ERP"/>
    <s v=""/>
    <x v="142"/>
    <s v=""/>
    <x v="161"/>
    <s v=""/>
    <m/>
    <m/>
    <s v=""/>
    <s v=""/>
    <s v=""/>
    <s v=""/>
    <n v="1"/>
  </r>
  <r>
    <x v="0"/>
    <n v="717"/>
    <m/>
    <n v="2945"/>
    <s v="Falei hoje 09/01/2026 com o Mario para saber se seguiremos. Ele está fora do brasil retomar contato em 15/01._x000a_23/01 fazer proposta e enviar ao mario._x000a_06/02 Fiz FUP e não evoluiu a conversa pois o Mario está estruturando a empresa e nesse momento vai aguardar."/>
    <s v=""/>
    <x v="319"/>
    <m/>
    <s v=""/>
    <s v="Mario Perez"/>
    <s v="(11) 99471-3332"/>
    <s v=""/>
    <s v="mariovperez@hotmail.com"/>
    <s v=""/>
    <s v=""/>
    <s v=""/>
    <s v="São Paulo"/>
    <s v=""/>
    <s v="Site"/>
    <s v=""/>
    <s v=""/>
    <s v="30%"/>
    <s v="Pipeline de Vendas"/>
    <s v="Apresentar Proposta (50%)"/>
    <s v=""/>
    <d v="2026-01-31T00:00:00"/>
    <m/>
    <m/>
    <n v="68"/>
    <s v="Paulo Souza"/>
    <d v="2025-12-01T00:00:00"/>
    <d v="1899-12-30T15:50:11"/>
    <s v=""/>
    <s v="Perdido"/>
    <d v="2026-02-07T00:00:00"/>
    <d v="1899-12-30T08:22:44"/>
    <s v="Não quer mudar a solução atual"/>
    <s v=""/>
    <s v=""/>
    <x v="150"/>
    <s v="Paulo Souza"/>
    <x v="162"/>
    <s v=""/>
    <d v="2026-01-23T00:00:00"/>
    <n v="30"/>
    <s v=""/>
    <s v=""/>
    <s v=""/>
    <s v=""/>
    <n v="1"/>
  </r>
  <r>
    <x v="0"/>
    <n v="718"/>
    <m/>
    <n v="2913"/>
    <s v="Falei com a Valeria hoje 09/01/26 para saber sobre a retomada do projeto._x000a_23/01 Fiz FUP hoje com a Valeria cobrando se seguiremos ou não com o projeto, prazo para declinar 31/01."/>
    <s v=""/>
    <x v="320"/>
    <m/>
    <s v=""/>
    <s v="Valéria Honorato da Silva"/>
    <s v="(45) 99903-2312"/>
    <s v=""/>
    <s v="valeriahonoratomkt@gmail.com"/>
    <s v=""/>
    <s v=""/>
    <s v=""/>
    <s v="Santa Tereza do Oeste"/>
    <s v=""/>
    <s v="Site"/>
    <s v=""/>
    <s v=""/>
    <s v="30%;Pausado;Solicita demo"/>
    <s v="Pipeline de Vendas"/>
    <s v="Qualificação de Vendas (SQL) (25%)"/>
    <s v=""/>
    <d v="2026-04-30T00:00:00"/>
    <m/>
    <m/>
    <n v="161"/>
    <s v="Paulo Souza"/>
    <d v="2025-12-01T00:00:00"/>
    <d v="1899-12-30T16:23:02"/>
    <s v=""/>
    <s v="Perdido"/>
    <d v="2026-05-11T00:00:00"/>
    <d v="1899-12-30T11:55:42"/>
    <s v="Projeto adiado / sem prazo definido"/>
    <s v=""/>
    <s v=""/>
    <x v="151"/>
    <s v="Paulo Souza"/>
    <x v="162"/>
    <s v=""/>
    <d v="2026-04-10T00:00:00"/>
    <n v="30"/>
    <s v=""/>
    <s v=""/>
    <s v=""/>
    <s v=""/>
    <n v="1"/>
  </r>
  <r>
    <x v="0"/>
    <n v="719"/>
    <m/>
    <n v="2904"/>
    <s v="Falei com a Kelly hoje que me passou as informações que faltava para formular a proposta. Agora e falar com o Fernando e montar a proposta e apresentar._x000a_23/01 Falei com a Kelly em 19/01, e ela avisou que estava de férias e que retorno essa semana , e que só vai conseguir analisar a proposta na semana do dia 26/01, quando retornarei o contato._x000a_07/02 Fiz FUP com a Kelly e perguntei se ela vai ou não seguir com o projeto, não retornou ainda._x000a_12/03 12/03 Fiz FUP com a Kelly e a mesma esta analisando a proposta. Como esta semana ela tá fazendo compra de natal, vai conseguir parar e ver a proposta amanhã 13/03._x000a_20/03 Cobrando a Kelly para ir para o fechamento."/>
    <s v=""/>
    <x v="321"/>
    <n v="3674537000125"/>
    <s v=""/>
    <s v="kelly"/>
    <s v="(12) 97403-0134"/>
    <s v=""/>
    <s v="mkt@valport.com.br"/>
    <s v=""/>
    <s v=""/>
    <s v=""/>
    <s v="São Paulo"/>
    <s v=""/>
    <s v="Site"/>
    <s v=""/>
    <s v=""/>
    <s v="50%;Solicita demo"/>
    <s v="Pipeline de Vendas"/>
    <s v="Em negociação (75%)"/>
    <s v=""/>
    <d v="2026-03-31T00:00:00"/>
    <n v="104490"/>
    <n v="111957"/>
    <n v="130"/>
    <s v="Paulo Souza"/>
    <d v="2025-12-01T00:00:00"/>
    <d v="1899-12-30T16:37:54"/>
    <s v=""/>
    <s v="Perdido"/>
    <d v="2026-04-10T00:00:00"/>
    <d v="1899-12-30T15:54:49"/>
    <s v="Projeto adiado / sem prazo definido"/>
    <s v=""/>
    <s v=""/>
    <x v="151"/>
    <s v="Paulo Souza"/>
    <x v="163"/>
    <s v=""/>
    <d v="2026-03-20T00:00:00"/>
    <n v="30"/>
    <s v="416"/>
    <s v="ERP, AFV, BI, PDV, ADICIONAIS"/>
    <s v="R$ 104.490"/>
    <s v="R$ 11.195,70"/>
    <n v="1"/>
  </r>
  <r>
    <x v="0"/>
    <n v="725"/>
    <m/>
    <n v="2970"/>
    <s v="Cobrei hoje 09/01 o Alex, para saber sobre a evolução do projeto em 2026._x000a_14/01 - O Alex me ligou hoje avisando que a empresa optou pelo mais barato e fechou com a RioSoft."/>
    <s v=""/>
    <x v="322"/>
    <m/>
    <s v=""/>
    <s v="Alex"/>
    <s v="1799137617"/>
    <s v=""/>
    <s v="null"/>
    <s v=""/>
    <s v=""/>
    <s v=""/>
    <s v=""/>
    <s v=""/>
    <s v=""/>
    <s v=""/>
    <s v=""/>
    <s v="30%;Pausado"/>
    <s v="Pipeline de Vendas"/>
    <s v="Em negociação (75%)"/>
    <s v=""/>
    <d v="2026-03-31T00:00:00"/>
    <n v="315000"/>
    <n v="32575"/>
    <n v="37"/>
    <s v="Paulo Souza"/>
    <d v="2025-12-08T00:00:00"/>
    <d v="1899-12-30T13:58:57"/>
    <s v=""/>
    <s v="Perdido"/>
    <d v="2026-01-14T00:00:00"/>
    <d v="1899-12-30T18:52:38"/>
    <s v="Fechou com o concorrente - preço"/>
    <s v="O Alex me ligou hoje avisando que a empresa optou pelo mais barato e fechou com a RioSoft."/>
    <s v=""/>
    <x v="151"/>
    <s v="Paulo Souza"/>
    <x v="164"/>
    <s v=""/>
    <d v="2026-01-09T00:00:00"/>
    <m/>
    <s v=""/>
    <s v=""/>
    <s v=""/>
    <s v=""/>
    <n v="1"/>
  </r>
  <r>
    <x v="0"/>
    <n v="726"/>
    <m/>
    <n v="2971"/>
    <s v=""/>
    <s v=""/>
    <x v="323"/>
    <m/>
    <s v=""/>
    <s v="Raymond"/>
    <s v="11982685555"/>
    <s v=""/>
    <s v="null"/>
    <s v=""/>
    <s v=""/>
    <s v=""/>
    <s v=""/>
    <s v=""/>
    <s v=""/>
    <s v=""/>
    <s v=""/>
    <s v=""/>
    <s v="Pipeline de Vendas"/>
    <s v="Em Fechamento (100%)"/>
    <s v=""/>
    <m/>
    <n v="0"/>
    <n v="57024"/>
    <n v="0"/>
    <s v="Paulo Souza"/>
    <d v="2025-12-08T00:00:00"/>
    <d v="1899-12-30T14:06:46"/>
    <s v=""/>
    <s v="Ganho"/>
    <d v="2025-12-08T00:00:00"/>
    <d v="1899-12-30T14:09:01"/>
    <s v=""/>
    <s v=""/>
    <s v=""/>
    <x v="152"/>
    <s v="Paulo Souza"/>
    <x v="162"/>
    <s v=""/>
    <m/>
    <m/>
    <s v=""/>
    <s v=""/>
    <s v=""/>
    <s v=""/>
    <n v="1"/>
  </r>
  <r>
    <x v="0"/>
    <n v="727"/>
    <m/>
    <n v="2969"/>
    <s v="Hoje 09/01/26 cobrei a Michelli para saber se ela vai seguir ou não com o projeto._x000a_23/01 - Fiz FUp com a Michelle hoje para saber se vamos ou não seguir com o projeto. _x000a_R: Falou que a proposta esta sobe analise da diretoria e que para a próxima semana já terá um retorno. _x000a_07/02 Fiz FUP com a Michelle e ela me posicionou que não vai trocar de sistema por enquanto."/>
    <s v=""/>
    <x v="324"/>
    <m/>
    <s v=""/>
    <s v="MICHELE"/>
    <s v="(12) 99635-6502"/>
    <s v=""/>
    <s v="flavia.honorato@hotmail.com"/>
    <s v=""/>
    <s v=""/>
    <s v=""/>
    <s v="Guaratinguetá"/>
    <s v=""/>
    <s v="Site"/>
    <s v=""/>
    <s v=""/>
    <s v="30%;Solicita demo"/>
    <s v="Pipeline de Vendas"/>
    <s v="Em negociação (75%)"/>
    <s v=""/>
    <d v="2026-01-31T00:00:00"/>
    <n v="47200"/>
    <n v="22981"/>
    <n v="60"/>
    <s v="Paulo Souza"/>
    <d v="2025-12-09T00:00:00"/>
    <d v="1899-12-30T14:14:17"/>
    <s v=""/>
    <s v="Perdido"/>
    <d v="2026-02-07T00:00:00"/>
    <d v="1899-12-30T08:55:56"/>
    <s v="Não quer mudar a solução atual"/>
    <s v="07/02 Fiz FUP com a Michelle e ela me posicionou que não vai trocar de sistema por enquanto."/>
    <s v=""/>
    <x v="153"/>
    <s v="Paulo Souza"/>
    <x v="165"/>
    <s v=""/>
    <d v="2026-02-07T00:00:00"/>
    <n v="30"/>
    <s v=""/>
    <s v=""/>
    <s v=""/>
    <s v=""/>
    <n v="1"/>
  </r>
  <r>
    <x v="0"/>
    <n v="728"/>
    <m/>
    <n v="2973"/>
    <s v="Falei com a Kelly hoje que me passou as informações que faltava para formular a proposta. Agora e falar com o Fernando e montar a proposta e apresentar._x000a_13/01/2026 - Apresentar proposta_x000a_23/01 Falei com a Kelly em 19/01, e ela avisou que estava de férias e que retorno essa semana , e que só vai conseguir analisar a proposta na semana do dia 26/01, quando retornarei o contato._x000a_07/02 Fiz FUP com a Kelly e perguntei se ela vai ou não seguir com o projeto, não retornou ainda._x000a_12/03 12/03 Fiz FUP com a Kelly e a mesma esta analisando a proposta. Como esta semana ela tá fazendo compra de natal, vai conseguir parar e ver a proposta amanhã 13/03._x000a_20/03 Cobrando a Kelly para ir para o fechamento."/>
    <s v=""/>
    <x v="325"/>
    <n v="3674537000125"/>
    <s v=""/>
    <s v="Kelly"/>
    <s v="(12) 3204-5200"/>
    <s v=""/>
    <s v="financeiro@valport.com.br"/>
    <s v=""/>
    <s v=""/>
    <s v=""/>
    <s v="SAO JOSE DOS CAMPOS"/>
    <s v="SP"/>
    <s v="Outbound"/>
    <s v=""/>
    <s v=""/>
    <s v="50%"/>
    <s v="Pipeline de Vendas"/>
    <s v="Em negociação (75%)"/>
    <s v=""/>
    <d v="2026-03-31T00:00:00"/>
    <n v="1700"/>
    <n v="13100"/>
    <n v="121"/>
    <s v="Paulo Souza"/>
    <d v="2025-12-10T00:00:00"/>
    <d v="1899-12-30T17:33:41"/>
    <s v=""/>
    <s v="Perdido"/>
    <d v="2026-04-10T00:00:00"/>
    <d v="1899-12-30T15:55:20"/>
    <s v="Projeto adiado / sem prazo definido"/>
    <s v=""/>
    <s v=""/>
    <x v="153"/>
    <s v="Paulo Souza"/>
    <x v="165"/>
    <s v=""/>
    <d v="2026-03-20T00:00:00"/>
    <n v="30"/>
    <s v="80"/>
    <s v="B2B"/>
    <s v="R$ 13.100"/>
    <s v="R$ 1.700"/>
    <n v="1"/>
  </r>
  <r>
    <x v="0"/>
    <n v="729"/>
    <m/>
    <n v="2972"/>
    <s v="Falei com o Dalvan que esta devendo os dados para fazer a proposta. Segundo ele até o dia 09/01/26 ele termina de preencher. Após receber fazer proposta junto ao Fernando._x000a_23/01 Fiz FUP hoje com o DALVAN, o bicho é enrolado não responde os questionamentos que preciso para fazer a proposta._x000a_06/02 Estou declinando a proposta por falta de interação. o Dalvan, não me responde."/>
    <s v=""/>
    <x v="326"/>
    <m/>
    <s v=""/>
    <s v="Dalvan barros"/>
    <s v="(99) 98265-8209"/>
    <s v=""/>
    <s v="atualmiix@gmail.com"/>
    <s v=""/>
    <s v=""/>
    <s v=""/>
    <s v="Porto Franco"/>
    <s v=""/>
    <s v="Site"/>
    <s v=""/>
    <s v=""/>
    <s v="30%;Solicita demo"/>
    <s v="Pipeline de Vendas"/>
    <s v="Apresentar Proposta (50%)"/>
    <s v=""/>
    <d v="2026-01-31T00:00:00"/>
    <m/>
    <m/>
    <n v="59"/>
    <s v="Paulo Souza"/>
    <d v="2025-12-10T00:00:00"/>
    <d v="1899-12-30T22:55:29"/>
    <s v=""/>
    <s v="Perdido"/>
    <d v="2026-02-07T00:00:00"/>
    <d v="1899-12-30T08:20:54"/>
    <s v="Projeto adiado / sem prazo definido"/>
    <s v="06/02 Estou declinando a proposta por falta de interação. o Dalvan, não me responde."/>
    <s v=""/>
    <x v="154"/>
    <s v="Paulo Souza"/>
    <x v="166"/>
    <s v=""/>
    <d v="2026-02-06T00:00:00"/>
    <n v="30"/>
    <s v=""/>
    <s v=""/>
    <s v=""/>
    <s v=""/>
    <n v="1"/>
  </r>
  <r>
    <x v="1"/>
    <n v="730"/>
    <m/>
    <n v="2977"/>
    <s v="(07/01/2026) visita comercial _x000a_(14/01/2026) Visita apresentação com Max _x000a_(29/01/2026) cliente esta ligando para nossos clientes  _x000a_(24/04/2026) Bassel não responde , não esta no momento certo"/>
    <s v="Vic Import, Comercio, Importacao E Exportacao De Brinquedos E Utilidades Em Geral Ltda"/>
    <x v="327"/>
    <n v="50828915000168"/>
    <s v=""/>
    <s v="Vic Import, Comercio, Importacao E Exportacao De Brinquedos E Utilidades Em Geral Ltda"/>
    <s v="(11) 2171-0800"/>
    <s v=""/>
    <s v="legal@vrscontabil.com.br"/>
    <s v=""/>
    <s v=""/>
    <s v=""/>
    <s v="SAO PAULO"/>
    <s v="SP"/>
    <s v="Base de empresas Leads2b"/>
    <s v=""/>
    <s v=""/>
    <s v="50%;Fabio Indica"/>
    <s v="Pipeline de Vendas"/>
    <s v="Em negociação (75%)"/>
    <s v=""/>
    <d v="2026-02-28T00:00:00"/>
    <n v="44000"/>
    <n v="13781"/>
    <n v="134"/>
    <s v="Junior Lopes"/>
    <d v="2025-12-11T00:00:00"/>
    <d v="1899-12-30T10:06:06"/>
    <s v=""/>
    <s v="Perdido"/>
    <d v="2026-04-24T00:00:00"/>
    <d v="1899-12-30T09:24:13"/>
    <s v="Projeto adiado / sem prazo definido"/>
    <s v="(24/04/2026) Bassel não responde , não esta no momento certo"/>
    <s v=""/>
    <x v="155"/>
    <s v="Junior Lopes"/>
    <x v="167"/>
    <s v="14/01/2026"/>
    <d v="2026-04-24T00:00:00"/>
    <n v="50"/>
    <s v=""/>
    <s v=""/>
    <s v=""/>
    <s v=""/>
    <n v="1"/>
  </r>
  <r>
    <x v="1"/>
    <n v="731"/>
    <m/>
    <n v="2980"/>
    <s v=""/>
    <s v=""/>
    <x v="328"/>
    <m/>
    <s v=""/>
    <s v="Vic Import - AFV"/>
    <s v="1121710800"/>
    <s v=""/>
    <s v="legal@vrscontabil.com.br"/>
    <s v=""/>
    <s v=""/>
    <s v=""/>
    <s v=""/>
    <s v=""/>
    <s v=""/>
    <s v=""/>
    <s v=""/>
    <s v="50%"/>
    <s v="Pipeline de Vendas"/>
    <s v="Em negociação (75%)"/>
    <s v=""/>
    <d v="2026-01-31T00:00:00"/>
    <n v="8000"/>
    <n v="19642"/>
    <n v="49"/>
    <s v="Junior Lopes"/>
    <d v="2025-12-11T00:00:00"/>
    <d v="1899-12-30T10:21:27"/>
    <s v=""/>
    <s v="Perdido"/>
    <d v="2026-01-29T00:00:00"/>
    <d v="1899-12-30T15:51:08"/>
    <s v="Não quer mudar a solução atual"/>
    <s v="seguindo com ERP"/>
    <s v=""/>
    <x v="156"/>
    <s v=""/>
    <x v="168"/>
    <s v=""/>
    <d v="2026-01-09T00:00:00"/>
    <m/>
    <s v=""/>
    <s v=""/>
    <s v=""/>
    <s v=""/>
    <n v="1"/>
  </r>
  <r>
    <x v="1"/>
    <n v="732"/>
    <m/>
    <n v="2981"/>
    <s v="(07/01/2026) visita comercial _x000a_(14/01/2026) Visita apresentação com Max _x000a_(29/01/2026) cliente esta ligando para nossos clientes"/>
    <s v=""/>
    <x v="329"/>
    <m/>
    <s v=""/>
    <s v="Vic Import - Cloud"/>
    <s v="1121710800"/>
    <s v=""/>
    <s v="legal@vrscontabil.com.br"/>
    <s v=""/>
    <s v=""/>
    <s v=""/>
    <s v=""/>
    <s v=""/>
    <s v=""/>
    <s v=""/>
    <s v=""/>
    <s v="50%"/>
    <s v="Pipeline de Vendas"/>
    <s v="Em negociação (75%)"/>
    <s v=""/>
    <d v="2026-02-28T00:00:00"/>
    <n v="1600"/>
    <n v="34428"/>
    <n v="134"/>
    <s v="Junior Lopes"/>
    <d v="2025-12-11T00:00:00"/>
    <d v="1899-12-30T10:23:08"/>
    <s v=""/>
    <s v="Perdido"/>
    <d v="2026-04-24T00:00:00"/>
    <d v="1899-12-30T09:35:19"/>
    <s v="Projeto adiado / sem prazo definido"/>
    <s v="(24/04/2026) Bassel não responde , não esta no momento certo"/>
    <s v=""/>
    <x v="155"/>
    <s v="Junior Lopes"/>
    <x v="167"/>
    <s v="14/01/2026"/>
    <d v="2026-04-24T00:00:00"/>
    <n v="50"/>
    <s v=""/>
    <s v=""/>
    <s v=""/>
    <s v=""/>
    <n v="1"/>
  </r>
  <r>
    <x v="1"/>
    <n v="733"/>
    <m/>
    <n v="2982"/>
    <s v=""/>
    <s v="Conthey Presentes E Decoracoes Ltda"/>
    <x v="330"/>
    <n v="96280292000809"/>
    <s v=""/>
    <s v="Conthey Presentes E Decoracoes Ltda"/>
    <s v="(11) 2081-7750"/>
    <s v=""/>
    <s v="sc@conthey.com.br"/>
    <s v=""/>
    <s v=""/>
    <s v=""/>
    <s v="PALHOCA"/>
    <s v="SC"/>
    <s v="Base de empresas Leads2b"/>
    <s v=""/>
    <s v=""/>
    <s v="90%;Fabio Indica"/>
    <s v="Pipeline de Vendas"/>
    <s v="Em Fechamento (100%)"/>
    <s v=""/>
    <d v="2026-02-28T00:00:00"/>
    <n v="580005"/>
    <n v="7230"/>
    <n v="62"/>
    <s v="Junior Lopes"/>
    <d v="2025-12-11T00:00:00"/>
    <d v="1899-12-30T11:21:41"/>
    <s v=""/>
    <s v="Ganho"/>
    <d v="2026-02-11T00:00:00"/>
    <d v="1899-12-30T17:49:12"/>
    <s v=""/>
    <s v=""/>
    <s v=""/>
    <x v="157"/>
    <s v="Junior Lopes"/>
    <x v="169"/>
    <s v=""/>
    <d v="2026-01-16T00:00:00"/>
    <n v="90"/>
    <s v=""/>
    <s v=""/>
    <s v=""/>
    <s v=""/>
    <n v="1"/>
  </r>
  <r>
    <x v="1"/>
    <n v="734"/>
    <m/>
    <n v="2985"/>
    <s v="fechamos ERP , estou descartando essa oportunidade"/>
    <s v=""/>
    <x v="331"/>
    <m/>
    <s v=""/>
    <s v="Conthey - AFV"/>
    <s v="11982163176"/>
    <s v=""/>
    <s v="sc@conthey.com.br"/>
    <s v=""/>
    <s v=""/>
    <s v=""/>
    <s v=""/>
    <s v=""/>
    <s v=""/>
    <s v=""/>
    <s v=""/>
    <s v="50%"/>
    <s v="Pipeline de Vendas"/>
    <s v="Em negociação (75%)"/>
    <s v=""/>
    <d v="2026-01-16T00:00:00"/>
    <n v="0"/>
    <n v="19642"/>
    <n v="47"/>
    <s v="Junior Lopes"/>
    <d v="2025-12-11T00:00:00"/>
    <d v="1899-12-30T11:31:04"/>
    <s v=""/>
    <s v="Perdido"/>
    <d v="2026-01-27T00:00:00"/>
    <d v="1899-12-30T16:32:05"/>
    <s v="Cliente não quer contato LGPD"/>
    <s v="fechamos ERP , estou descartando essa oportunidade"/>
    <s v=""/>
    <x v="157"/>
    <s v=""/>
    <x v="169"/>
    <s v=""/>
    <d v="2026-01-27T00:00:00"/>
    <m/>
    <s v=""/>
    <s v=""/>
    <s v=""/>
    <s v=""/>
    <n v="1"/>
  </r>
  <r>
    <x v="1"/>
    <n v="735"/>
    <m/>
    <n v="2986"/>
    <s v="(24/04/2026) Conthey vai manter o servidor local , em breve caso necessário irá migrar para cloud"/>
    <s v=""/>
    <x v="332"/>
    <m/>
    <s v=""/>
    <s v="Conthey - Cloud"/>
    <s v="11982163176"/>
    <s v=""/>
    <s v="sc@conthey.com.br"/>
    <s v=""/>
    <s v=""/>
    <s v=""/>
    <s v=""/>
    <s v=""/>
    <s v=""/>
    <s v=""/>
    <s v=""/>
    <s v="80%"/>
    <s v="Pipeline de Vendas"/>
    <s v="Em Fechamento (100%)"/>
    <s v=""/>
    <d v="2026-01-16T00:00:00"/>
    <n v="1600"/>
    <n v="524246"/>
    <n v="134"/>
    <s v="Junior Lopes"/>
    <d v="2025-12-11T00:00:00"/>
    <d v="1899-12-30T11:33:08"/>
    <s v=""/>
    <s v="Perdido"/>
    <d v="2026-04-24T00:00:00"/>
    <d v="1899-12-30T09:04:14"/>
    <s v="Não quer mudar a solução atual"/>
    <s v="(24/04/2026) Conthey vai manter o servidor local , em breve caso necessário irá migrar para cloud"/>
    <s v=""/>
    <x v="157"/>
    <s v="Junior Lopes"/>
    <x v="169"/>
    <s v=""/>
    <d v="2026-04-24T00:00:00"/>
    <n v="80"/>
    <s v=""/>
    <s v=""/>
    <s v=""/>
    <s v=""/>
    <n v="1"/>
  </r>
  <r>
    <x v="1"/>
    <n v="736"/>
    <m/>
    <n v="2988"/>
    <s v=""/>
    <s v=""/>
    <x v="333"/>
    <m/>
    <s v=""/>
    <s v="Star - B2B"/>
    <s v="17997793113"/>
    <s v=""/>
    <s v="comercial@distribuidorastar.com.br"/>
    <s v=""/>
    <s v=""/>
    <s v=""/>
    <s v=""/>
    <s v=""/>
    <s v=""/>
    <s v=""/>
    <s v=""/>
    <s v="30%"/>
    <s v="Pipeline de Vendas"/>
    <s v="Em negociação (75%)"/>
    <s v=""/>
    <d v="2025-12-17T00:00:00"/>
    <n v="26200"/>
    <n v="3400"/>
    <n v="50"/>
    <s v="Junior Lopes"/>
    <d v="2025-12-11T00:00:00"/>
    <d v="1899-12-30T15:26:26"/>
    <s v=""/>
    <s v="Perdido"/>
    <d v="2026-01-30T00:00:00"/>
    <d v="1899-12-30T15:36:18"/>
    <s v="Projeto adiado / sem prazo definido"/>
    <s v="sem retorno"/>
    <s v=""/>
    <x v="158"/>
    <s v=""/>
    <x v="170"/>
    <s v="15/12/2025"/>
    <d v="2026-01-09T00:00:00"/>
    <m/>
    <s v=""/>
    <s v=""/>
    <s v=""/>
    <s v=""/>
    <n v="1"/>
  </r>
  <r>
    <x v="1"/>
    <n v="737"/>
    <m/>
    <n v="2989"/>
    <s v=""/>
    <s v=""/>
    <x v="334"/>
    <m/>
    <s v=""/>
    <s v="Tecelagem Castilho - Contábil"/>
    <s v="62993609476"/>
    <s v=""/>
    <s v="null"/>
    <s v=""/>
    <s v=""/>
    <s v=""/>
    <s v=""/>
    <s v=""/>
    <s v=""/>
    <s v=""/>
    <s v=""/>
    <s v="30%"/>
    <s v="Pipeline de Vendas"/>
    <s v="Em negociação (75%)"/>
    <s v=""/>
    <d v="2025-12-17T00:00:00"/>
    <n v="22824"/>
    <n v="68904"/>
    <n v="1"/>
    <s v="Junior Lopes"/>
    <d v="2025-12-11T00:00:00"/>
    <d v="1899-12-30T15:56:07"/>
    <s v=""/>
    <s v="Perdido"/>
    <d v="2025-12-12T00:00:00"/>
    <d v="1899-12-30T16:41:43"/>
    <s v="Projeto adiado / sem prazo definido"/>
    <s v="rto, obrigada_x000a_Dayane ! O módulo contábil faz sentido para vocês  ?_x000a_No momento não_x000a_Olá Dayane ! perfeito , ficamos a disposição ! um ótimo final de semana"/>
    <s v=""/>
    <x v="157"/>
    <s v=""/>
    <x v="171"/>
    <s v=""/>
    <d v="2025-12-12T00:00:00"/>
    <m/>
    <s v=""/>
    <s v=""/>
    <s v=""/>
    <s v=""/>
    <n v="1"/>
  </r>
  <r>
    <x v="1"/>
    <n v="739"/>
    <m/>
    <n v="2991"/>
    <s v=""/>
    <s v=""/>
    <x v="335"/>
    <m/>
    <s v=""/>
    <s v="Erca Alumínio - Imp.XML"/>
    <s v="19999989392"/>
    <s v=""/>
    <s v="null"/>
    <s v=""/>
    <s v=""/>
    <s v=""/>
    <s v=""/>
    <s v=""/>
    <s v=""/>
    <s v=""/>
    <s v=""/>
    <s v="30%"/>
    <s v="Pipeline de Vendas"/>
    <s v="Apresentar Proposta (50%)"/>
    <s v=""/>
    <d v="2025-12-31T00:00:00"/>
    <n v="3392"/>
    <n v="3564"/>
    <n v="76"/>
    <s v="Junior Lopes"/>
    <d v="2025-12-12T00:00:00"/>
    <d v="1899-12-30T12:21:40"/>
    <s v=""/>
    <s v="Perdido"/>
    <d v="2026-02-26T00:00:00"/>
    <d v="1899-12-30T09:21:39"/>
    <s v="Projeto adiado / sem prazo definido"/>
    <s v="sem retorno do cliente"/>
    <s v=""/>
    <x v="159"/>
    <s v="Junior Lopes"/>
    <x v="172"/>
    <s v=""/>
    <d v="2025-12-12T00:00:00"/>
    <n v="30"/>
    <s v=""/>
    <s v=""/>
    <s v=""/>
    <s v=""/>
    <n v="1"/>
  </r>
  <r>
    <x v="0"/>
    <n v="740"/>
    <m/>
    <n v="2994"/>
    <s v="Em conversa com o Valter ficou combinado de falar no dia 19/01, pois ele esta em viagem._x000a_23/01 Fiz contato com o Walter hoje para cobrar ele nossa agenda para a próxima semana._x000a_11/03 Fiz FUP com Valter, ele tem resistência em aceitar a proposta devido aos valores._x000a_20/03 Após tentativas de negociar não evoluiu porque o preço ficou fora do que o cliente gostaria de investir."/>
    <s v=""/>
    <x v="336"/>
    <m/>
    <s v=""/>
    <s v="Valter"/>
    <s v="11996577830"/>
    <s v=""/>
    <s v="vppeliciari@gmail.com"/>
    <s v=""/>
    <s v=""/>
    <s v=""/>
    <s v=""/>
    <s v=""/>
    <s v="Campanha"/>
    <s v=""/>
    <s v=""/>
    <s v="30%;Dentro Perfil;Instagram"/>
    <s v="Pipeline de Vendas"/>
    <s v="Em negociação (75%)"/>
    <s v=""/>
    <d v="2026-03-31T00:00:00"/>
    <n v="115520"/>
    <n v="65721"/>
    <n v="94"/>
    <s v="Paulo Souza"/>
    <d v="2025-12-16T00:00:00"/>
    <d v="1899-12-30T12:13:29"/>
    <s v=""/>
    <s v="Perdido"/>
    <d v="2026-03-20T00:00:00"/>
    <d v="1899-12-30T16:59:02"/>
    <s v="Preço muito alto - fora do budget de investimento"/>
    <s v=""/>
    <s v=""/>
    <x v="160"/>
    <s v="Paulo Souza"/>
    <x v="173"/>
    <s v=""/>
    <d v="2026-03-20T00:00:00"/>
    <n v="30"/>
    <s v=""/>
    <s v="ERP, PCP"/>
    <s v=""/>
    <s v=""/>
    <n v="1"/>
  </r>
  <r>
    <x v="1"/>
    <n v="741"/>
    <m/>
    <n v="2995"/>
    <s v="(16/01/2026) Entrei em contato com Allan ! segundo ele esta verificando com a diretoria sobre a sequencia no projeto ! informei que nossa proposta está vencida e que preciso de uma decisão urgente para nao  perdemos o valor _x000a_16/01/2026 em contato com Allan ! decidiu por nao dar sequencia nesse momento ! o motivo é por conta do investimento"/>
    <s v=""/>
    <x v="337"/>
    <m/>
    <s v=""/>
    <s v="Allan Kaynã Vargas"/>
    <s v="(49) 99929-0242"/>
    <s v=""/>
    <s v="comercial2@topten.net.br"/>
    <s v=""/>
    <s v=""/>
    <s v=""/>
    <s v="Guarujá do Sul"/>
    <s v=""/>
    <s v="Site"/>
    <s v=""/>
    <s v=""/>
    <s v="30%;Solicita demo"/>
    <s v="Pipeline de Vendas"/>
    <s v="Em negociação (75%)"/>
    <s v=""/>
    <d v="2026-01-31T00:00:00"/>
    <n v="44000"/>
    <n v="110248"/>
    <n v="31"/>
    <s v="Junior Lopes"/>
    <d v="2025-12-16T00:00:00"/>
    <d v="1899-12-30T17:29:27"/>
    <s v=""/>
    <s v="Perdido"/>
    <d v="2026-01-16T00:00:00"/>
    <d v="1899-12-30T15:55:46"/>
    <s v="Não houve aprovação financeira"/>
    <s v="16/01/2026 em contato com Allan ! decidiu por nao dar sequencia nesse momento ! o motivo é por conta do investimento"/>
    <s v=""/>
    <x v="161"/>
    <s v=""/>
    <x v="174"/>
    <s v="19/12/2025"/>
    <d v="2026-01-16T00:00:00"/>
    <m/>
    <s v=""/>
    <s v=""/>
    <s v=""/>
    <s v=""/>
    <n v="1"/>
  </r>
  <r>
    <x v="1"/>
    <n v="742"/>
    <m/>
    <n v="2996"/>
    <s v="(16/01/2026) Entrei em contato com Allan ! segundo ele esta verificando com a diretoria sobre a sequencia no projeto ! informei que nossa proposta está vencida e que preciso de uma decisão urgente para nao  perdemos o valor _x000a_16/01/2026 em contato com Allan ! decidiu por nao dar sequencia nesse momento ! o motivo é por conta do investimento"/>
    <s v=""/>
    <x v="338"/>
    <m/>
    <s v=""/>
    <s v="TopTem - AFV"/>
    <s v="49999290242"/>
    <s v=""/>
    <s v="comercial2@topten.net.br"/>
    <s v=""/>
    <s v=""/>
    <s v=""/>
    <s v=""/>
    <s v=""/>
    <s v=""/>
    <s v=""/>
    <s v=""/>
    <s v="30%"/>
    <s v="Pipeline de Vendas"/>
    <s v="Em negociação (75%)"/>
    <s v=""/>
    <d v="2026-01-31T00:00:00"/>
    <n v="8000"/>
    <n v="186599"/>
    <n v="31"/>
    <s v="Junior Lopes"/>
    <d v="2025-12-16T00:00:00"/>
    <d v="1899-12-30T17:31:43"/>
    <s v=""/>
    <s v="Perdido"/>
    <d v="2026-01-16T00:00:00"/>
    <d v="1899-12-30T15:56:44"/>
    <s v="Não houve aprovação financeira"/>
    <s v="16/01/2026 em contato com Allan ! decidiu por nao dar sequencia nesse momento ! o motivo é por conta do investimento"/>
    <s v=""/>
    <x v="161"/>
    <s v=""/>
    <x v="174"/>
    <s v="19/12/2025"/>
    <d v="2026-01-16T00:00:00"/>
    <m/>
    <s v=""/>
    <s v=""/>
    <s v=""/>
    <s v=""/>
    <n v="1"/>
  </r>
  <r>
    <x v="1"/>
    <n v="746"/>
    <m/>
    <n v="3004"/>
    <s v=""/>
    <s v=""/>
    <x v="339"/>
    <m/>
    <s v=""/>
    <s v="Atacado Sibras 1.99"/>
    <s v="4191190775"/>
    <s v=""/>
    <s v="andrearnpauli@hotmail.com"/>
    <s v=""/>
    <s v=""/>
    <s v=""/>
    <s v=""/>
    <s v=""/>
    <s v="Campanha"/>
    <s v=""/>
    <s v=""/>
    <s v="Fora Perfil;Instagram"/>
    <s v="Pipeline de Vendas"/>
    <s v="Agendamento (0%)"/>
    <s v=""/>
    <m/>
    <m/>
    <m/>
    <n v="135"/>
    <s v="Junior Lopes"/>
    <d v="2025-12-22T00:00:00"/>
    <d v="1899-12-30T08:30:48"/>
    <s v=""/>
    <s v="Perdido"/>
    <d v="2026-05-06T00:00:00"/>
    <d v="1899-12-30T16:31:41"/>
    <s v="Fora do porte mínimo (sem fit estrutural)"/>
    <s v="lojista"/>
    <s v=""/>
    <x v="0"/>
    <s v=""/>
    <x v="0"/>
    <s v=""/>
    <m/>
    <m/>
    <s v=""/>
    <s v=""/>
    <s v=""/>
    <s v=""/>
    <n v="1"/>
  </r>
  <r>
    <x v="1"/>
    <n v="747"/>
    <m/>
    <n v="3003"/>
    <s v=""/>
    <s v=""/>
    <x v="340"/>
    <m/>
    <s v=""/>
    <s v="BJ Engenharia"/>
    <s v="6195770926"/>
    <s v=""/>
    <s v="eduaniceto@engenhariabomjesus.com.br"/>
    <s v=""/>
    <s v=""/>
    <s v=""/>
    <s v=""/>
    <s v=""/>
    <s v="Campanha"/>
    <s v=""/>
    <s v=""/>
    <s v="Fora Perfil;Instagram"/>
    <s v="Pipeline de Vendas"/>
    <s v="Agendamento (0%)"/>
    <s v=""/>
    <m/>
    <m/>
    <m/>
    <n v="138"/>
    <s v="Junior Lopes"/>
    <d v="2025-12-22T00:00:00"/>
    <d v="1899-12-30T08:35:32"/>
    <s v=""/>
    <s v="Perdido"/>
    <d v="2026-05-09T00:00:00"/>
    <d v="1899-12-30T08:04:32"/>
    <s v="Fora do segmento atendido"/>
    <s v=""/>
    <s v=""/>
    <x v="0"/>
    <s v=""/>
    <x v="0"/>
    <s v=""/>
    <m/>
    <m/>
    <s v=""/>
    <s v=""/>
    <s v=""/>
    <s v=""/>
    <n v="1"/>
  </r>
  <r>
    <x v="1"/>
    <n v="748"/>
    <m/>
    <n v="3011"/>
    <s v="Lead entrou em contato no Whatsapp Business do Damián._x000a_(21/01/2026) 09:14, 21/01/2026 Junior Lopes: Olá Dário ! Bom dia , Td bem ?_x000a_09:30, 21/01/2026 Chavetas: Bom dia Júnior, td bem ? Estou a analisar as diversas empresas que tive contato, os prós e contras, porém com calma, para fazer algo que realmente atenda a necessidades._x000a_(21/01/2026) além do material que enviei para Dário , sugeri a ele uma visita comercial para apresentar nossas soluções _x000a_(29/01/2026) Estou alinhando com Dário mais uma rodada de apresentação ! ele esta indeciso em algumas opções concorrentes _x000a_(02/03/2026) em contato com Dário _x000a_Esta em analise com alguns ERPs, porem nada com previsão imediata devido a outras prioridades ! estou descartando e manterei contato via WhatsApp"/>
    <s v=""/>
    <x v="341"/>
    <n v="9260618000165"/>
    <s v=""/>
    <s v="Chavetas Comércio de Peças e Ferramentas Ltda."/>
    <s v="(11) 98183-5003"/>
    <s v=""/>
    <s v="dario@chavetasecia.com.br"/>
    <s v=""/>
    <s v=""/>
    <s v=""/>
    <s v=""/>
    <s v=""/>
    <s v="Campanha"/>
    <s v=""/>
    <s v=""/>
    <s v="30%;Dentro Perfil;Instagram"/>
    <s v="Pipeline de Vendas"/>
    <s v="Apresentar Solução (35%)"/>
    <s v=""/>
    <d v="2026-01-31T00:00:00"/>
    <m/>
    <m/>
    <n v="62"/>
    <s v="Junior Lopes"/>
    <d v="2025-12-30T00:00:00"/>
    <d v="1899-12-30T11:08:44"/>
    <s v=""/>
    <s v="Perdido"/>
    <d v="2026-03-02T00:00:00"/>
    <d v="1899-12-30T11:31:09"/>
    <s v="Não quer mudar a solução atual"/>
    <s v="(02/03/2026) em contato com Dário _x000a_Esta em analise com alguns ERPs, porem nada com previsão imediata devido a outras prioridades ! estou descartando e manterei contato via WhatsApp"/>
    <s v=""/>
    <x v="0"/>
    <s v="Junior Lopes"/>
    <x v="167"/>
    <s v=""/>
    <d v="2026-03-02T00:00:00"/>
    <n v="30"/>
    <s v=""/>
    <s v=""/>
    <s v=""/>
    <s v=""/>
    <n v="1"/>
  </r>
  <r>
    <x v="1"/>
    <n v="749"/>
    <m/>
    <n v="3006"/>
    <s v="(21/01/2026) em contato com Edilson _x000a_pediu para retornar contato no dia 26/01 pois esta bem corrido devido a um feriado na cidade ! ele pediu para enviar material sobre nossas soluções _x000a_(29/01/2026) Cliente esta analisando demais ferramentas ! estamos organizando apresentação do AFV _x000a_(18/02/2026) Edilson declinou por conta do valor acima da expectativa de investimento ! não ofertou contra proposta pq valor estava bem acima do esperado"/>
    <s v=""/>
    <x v="342"/>
    <n v="34667612000154"/>
    <s v=""/>
    <s v="ColorUnhas"/>
    <s v="(44) 9706-9580"/>
    <s v=""/>
    <s v="colorunhas@uol.com.br"/>
    <s v=""/>
    <s v=""/>
    <s v=""/>
    <s v="TELEMACO BORBA"/>
    <s v="PR"/>
    <s v="Campanha"/>
    <s v=""/>
    <s v=""/>
    <s v="30%;Dentro Perfil;Instagram"/>
    <s v="Pipeline de Vendas"/>
    <s v="Apresentar Proposta (50%)"/>
    <s v=""/>
    <d v="2026-02-28T00:00:00"/>
    <n v="1117015"/>
    <n v="468739"/>
    <n v="50"/>
    <s v="Junior Lopes"/>
    <d v="2025-12-30T00:00:00"/>
    <d v="1899-12-30T11:28:58"/>
    <s v=""/>
    <s v="Perdido"/>
    <d v="2026-02-18T00:00:00"/>
    <d v="1899-12-30T08:52:33"/>
    <s v="Não houve aprovação financeira"/>
    <s v="(18/02/2026) Edilson declinou por conta do valor acima da expectativa de investimento ! não ofertou contra proposta pq valor estava bem acima do esperado"/>
    <s v=""/>
    <x v="162"/>
    <s v="Junior Lopes"/>
    <x v="175"/>
    <s v="05/02/2026"/>
    <d v="2026-02-18T00:00:00"/>
    <n v="30"/>
    <s v=""/>
    <s v=""/>
    <s v=""/>
    <s v=""/>
    <n v="1"/>
  </r>
  <r>
    <x v="2"/>
    <n v="750"/>
    <m/>
    <n v="3016"/>
    <s v="Reunião agendada para o dia 23/01 _x000a_17-02 Cliente deu negativa no avanço do projeto,pois o valor ficou fora do que estão planejando _x000a_E receberam uma proposta comercial de 30mil de implantação e 4mil de mensalidade do sistema webmais_x000a_https://webmaissistemas.com.br/"/>
    <s v=""/>
    <x v="343"/>
    <n v="1574467000108"/>
    <s v=""/>
    <s v="Doce festa"/>
    <s v="17981152060"/>
    <s v=""/>
    <s v="paulopedroso@produtosdocefesta.com.br"/>
    <s v=""/>
    <s v=""/>
    <s v=""/>
    <s v=""/>
    <s v=""/>
    <s v="Campanha"/>
    <s v=""/>
    <s v=""/>
    <s v="50%;Dentro Perfil;Instagram"/>
    <s v="Pipeline de Vendas"/>
    <s v="Em negociação (75%)"/>
    <s v=""/>
    <d v="2026-03-31T00:00:00"/>
    <n v="12996348"/>
    <n v="860884"/>
    <n v="43"/>
    <s v="Rayssa Karapeticov"/>
    <d v="2026-01-05T00:00:00"/>
    <d v="1899-12-30T11:50:01"/>
    <s v=""/>
    <s v="Perdido"/>
    <d v="2026-02-17T00:00:00"/>
    <d v="1899-12-30T16:19:52"/>
    <s v="Preço muito alto - fora do budget de investimento"/>
    <s v=""/>
    <s v=""/>
    <x v="0"/>
    <s v="Rayssa Karapeticov"/>
    <x v="167"/>
    <s v="05/02/2026"/>
    <d v="2026-02-05T00:00:00"/>
    <n v="50"/>
    <s v=""/>
    <s v=""/>
    <s v=""/>
    <s v=""/>
    <n v="1"/>
  </r>
  <r>
    <x v="2"/>
    <n v="754"/>
    <m/>
    <n v="3017"/>
    <s v="Proposta feita,aguardando agenda do cliente para apresentar_x000a_Oi, Rayssa, tudo bem?_x000a_Estamos em processo de mudança de local e, por isso, essa semana está bem corrida por aqui. Acabei ficando sem tempo para conseguir conversar com calma agora."/>
    <s v="Irriga House Irrigacao Comercial Agricola Ltda"/>
    <x v="344"/>
    <n v="61516270000144"/>
    <s v=""/>
    <s v="Irriga house"/>
    <s v="11973112176"/>
    <s v=""/>
    <s v="vendas@irrigahouse.com.br"/>
    <s v=""/>
    <s v=""/>
    <s v=""/>
    <s v="JUNDIAI"/>
    <s v="SP"/>
    <s v="Campanha"/>
    <s v=""/>
    <s v=""/>
    <s v="30%;Dentro Perfil;Instagram"/>
    <s v="Pipeline de Vendas"/>
    <s v="Apresentar Proposta (50%)"/>
    <s v=""/>
    <d v="2026-04-30T00:00:00"/>
    <m/>
    <m/>
    <n v="13"/>
    <s v="Rayssa Karapeticov"/>
    <d v="2026-01-07T00:00:00"/>
    <d v="1899-12-30T10:16:04"/>
    <s v=""/>
    <s v="Perdido"/>
    <d v="2026-01-20T00:00:00"/>
    <d v="1899-12-30T17:15:42"/>
    <s v="Não quer mudar a solução atual"/>
    <s v=""/>
    <s v=""/>
    <x v="163"/>
    <s v="Rayssa Karapeticov"/>
    <x v="176"/>
    <s v=""/>
    <d v="2026-01-19T00:00:00"/>
    <m/>
    <s v=""/>
    <s v=""/>
    <s v=""/>
    <s v=""/>
    <n v="1"/>
  </r>
  <r>
    <x v="0"/>
    <n v="757"/>
    <m/>
    <n v="3046"/>
    <s v="Hoje (12/01/26) cobrei o Allan se ele tem interesse nas soluções da Guarani Sim ou Não. Por ele não atende minhas ligações. (13/01 - Chamei e liguei para o Allan, sem retorno._x000a_12/01 Fiz FUP, com Allan, fechou com uma empresa de menor e falou que se não se adaptar volta a fazer contato."/>
    <s v=""/>
    <x v="345"/>
    <m/>
    <s v=""/>
    <s v="Allan"/>
    <s v="12982018157"/>
    <s v=""/>
    <s v="e.mazala@hotmail.com"/>
    <s v=""/>
    <s v=""/>
    <s v=""/>
    <s v=""/>
    <s v=""/>
    <s v="Campanha"/>
    <s v=""/>
    <s v=""/>
    <s v="30%;Dentro Perfil;Instagram"/>
    <s v="Pipeline de Vendas"/>
    <s v="Qualificação de Vendas (SQL) (25%)"/>
    <s v=""/>
    <d v="2026-01-12T00:00:00"/>
    <m/>
    <m/>
    <n v="15"/>
    <s v="Paulo Souza"/>
    <d v="2026-01-08T00:00:00"/>
    <d v="1899-12-30T15:56:57"/>
    <s v=""/>
    <s v="Perdido"/>
    <d v="2026-01-23T00:00:00"/>
    <d v="1899-12-30T17:53:36"/>
    <s v="Fechou com o concorrente - preço"/>
    <s v="optou por uma empresa menor neste momento."/>
    <s v=""/>
    <x v="0"/>
    <s v="Paulo Souza"/>
    <x v="0"/>
    <s v=""/>
    <d v="2026-01-12T00:00:00"/>
    <m/>
    <s v=""/>
    <s v=""/>
    <s v=""/>
    <s v=""/>
    <n v="1"/>
  </r>
  <r>
    <x v="0"/>
    <n v="758"/>
    <m/>
    <n v="3048"/>
    <s v="Liberado em degustação por 7 dias e depois efetivar vendas ._x000a_Liberado a degustação em 12/01._x000a_19/01: Cobrei o Mario pra saber se esta tudo ok. E se iremos seguir ou não com a contratação._x000a_23/01 - Em conversa com o Mario, o suporte ainda esta configurando e após vai treinar e assim vou conseguir contabilizar os 7 dias de degustação e fechar o negocio._x000a_26/02 Não avançou."/>
    <s v=""/>
    <x v="346"/>
    <m/>
    <s v=""/>
    <s v="Mario"/>
    <s v="11982243773"/>
    <s v=""/>
    <s v="vendas1.jpdistribuidora@gmail.com"/>
    <s v=""/>
    <s v=""/>
    <s v=""/>
    <s v=""/>
    <s v=""/>
    <s v=""/>
    <s v=""/>
    <s v=""/>
    <s v="50%"/>
    <s v="Pipeline de Vendas"/>
    <s v="Em negociação (75%)"/>
    <s v=""/>
    <d v="2026-02-26T00:00:00"/>
    <n v="0"/>
    <n v="66"/>
    <n v="49"/>
    <s v="Paulo Souza"/>
    <d v="2026-01-08T00:00:00"/>
    <d v="1899-12-30T16:54:28"/>
    <s v=""/>
    <s v="Perdido"/>
    <d v="2026-02-26T00:00:00"/>
    <d v="1899-12-30T22:15:54"/>
    <s v="Não houve aprovação financeira"/>
    <s v=""/>
    <s v=""/>
    <x v="164"/>
    <s v="Paulo Souza"/>
    <x v="177"/>
    <s v=""/>
    <d v="2026-02-26T00:00:00"/>
    <n v="50"/>
    <s v="2"/>
    <s v="ADICIONAIS"/>
    <s v="R$ 0"/>
    <s v="R$ 66"/>
    <n v="1"/>
  </r>
  <r>
    <x v="0"/>
    <n v="759"/>
    <m/>
    <n v="3049"/>
    <s v="Fechado."/>
    <s v=""/>
    <x v="347"/>
    <n v="10345472000130"/>
    <s v=""/>
    <s v="Walter"/>
    <s v="19983040748"/>
    <s v=""/>
    <s v="walter@akitembembarato.com"/>
    <s v=""/>
    <s v=""/>
    <s v=""/>
    <s v=""/>
    <s v=""/>
    <s v=""/>
    <s v=""/>
    <s v=""/>
    <s v="90%"/>
    <s v="Pipeline de Vendas"/>
    <s v="Em Fechamento (100%)"/>
    <s v=""/>
    <d v="2026-01-31T00:00:00"/>
    <n v="1505387"/>
    <n v="27562"/>
    <n v="4"/>
    <s v="Paulo Souza"/>
    <d v="2026-01-08T00:00:00"/>
    <d v="1899-12-30T17:14:43"/>
    <s v=""/>
    <s v="Ganho"/>
    <d v="2026-01-12T00:00:00"/>
    <d v="1899-12-30T14:36:45"/>
    <s v=""/>
    <s v=""/>
    <s v=""/>
    <x v="164"/>
    <s v="Paulo Souza"/>
    <x v="177"/>
    <s v=""/>
    <m/>
    <m/>
    <s v=""/>
    <s v=""/>
    <s v=""/>
    <s v=""/>
    <n v="1"/>
  </r>
  <r>
    <x v="0"/>
    <n v="760"/>
    <m/>
    <n v="3050"/>
    <s v="Falei com o Robson hoje , questionando sobre a proposta e se tem alguma dúvida._x000a_23/01 - Fiz FUPs hoje com o Robson :_x000a_R: Bom dia Paulo, fiz umas considerações na proposta e farei uma reunia com os diretores para apresentação, na sequência quero marcar uma reunião com vocês para conversarmos._x000a_Eu espero te posicionar na próxima terça-feira._x000a_26/02 Alinhar com o Fernando a sequência dos itens que será abordados. E qual item já foi entregue e horas consumidas!_x000a_12/03 O projeto já iniciou e o combinado é que vai cobrar conforme entrega de etapas._x000a_12/03 O projeto já iniciou e o combinado é que vai cobrar conforme entrega de etapas._x000a_20/03 Após alinhamento foi criado pela implantação 10 etapas no projeto, para o acompanhamento e posterior fechamento de horas."/>
    <s v=""/>
    <x v="348"/>
    <n v="3204281000192"/>
    <s v=""/>
    <s v="Robson"/>
    <s v="(11) 4677-6249/ (11) 4677-6250"/>
    <s v=""/>
    <s v="contato@aluminionacional.com.br"/>
    <s v=""/>
    <s v=""/>
    <s v=""/>
    <s v="FERRAZ DE VASCONCELOS"/>
    <s v="SP"/>
    <s v=""/>
    <s v=""/>
    <s v=""/>
    <s v="90%"/>
    <s v="Pipeline de Vendas"/>
    <s v="Em Fechamento (100%)"/>
    <s v=""/>
    <d v="2026-03-31T00:00:00"/>
    <n v="58000"/>
    <n v="0"/>
    <n v="132"/>
    <s v="Paulo Souza"/>
    <d v="2026-01-08T00:00:00"/>
    <d v="1899-12-30T17:22:05"/>
    <s v=""/>
    <s v="Ativo"/>
    <m/>
    <m/>
    <s v=""/>
    <s v=""/>
    <s v=""/>
    <x v="165"/>
    <s v="Paulo Souza"/>
    <x v="178"/>
    <s v=""/>
    <d v="2026-03-20T00:00:00"/>
    <n v="90"/>
    <s v="290"/>
    <s v="TREINAMENTO"/>
    <s v="R$ 58.000,00"/>
    <s v="R$ 0"/>
    <n v="1"/>
  </r>
  <r>
    <x v="0"/>
    <n v="761"/>
    <m/>
    <n v="3053"/>
    <s v="Falei com a Enila e cobrei uma posição se vamos avançar ou não com o projeto. Ela ficou de conversar com o Glayson e me dar um retorno até 12/01/2026."/>
    <s v=""/>
    <x v="349"/>
    <n v="12585697000199"/>
    <s v=""/>
    <s v="Enila"/>
    <s v="(16) 3412-8794"/>
    <s v=""/>
    <s v="operacao@pcp.eng.br"/>
    <s v=""/>
    <s v=""/>
    <s v=""/>
    <s v="SAO CARLOS"/>
    <s v="SP"/>
    <s v=""/>
    <s v=""/>
    <s v=""/>
    <s v=""/>
    <s v="Pipeline de Vendas"/>
    <s v="Em negociação (75%)"/>
    <s v=""/>
    <d v="2026-01-31T00:00:00"/>
    <n v="8100"/>
    <n v="1080"/>
    <n v="4"/>
    <s v="Paulo Souza"/>
    <d v="2026-01-08T00:00:00"/>
    <d v="1899-12-30T17:28:40"/>
    <s v=""/>
    <s v="Perdido"/>
    <d v="2026-01-12T00:00:00"/>
    <d v="1899-12-30T14:31:42"/>
    <s v="Não quer mudar a solução atual"/>
    <s v=""/>
    <s v=""/>
    <x v="164"/>
    <s v="Paulo Souza"/>
    <x v="177"/>
    <s v=""/>
    <d v="2026-01-09T00:00:00"/>
    <m/>
    <s v=""/>
    <s v=""/>
    <s v=""/>
    <s v=""/>
    <n v="1"/>
  </r>
  <r>
    <x v="0"/>
    <n v="762"/>
    <m/>
    <n v="3040"/>
    <s v="Falei com o Ivan hoje que não me deu atenção avisou que estava no transito e não podia atender. Falou para chamar ele no zap e combinar um horário semana que vem. 13/01 - Retomei contato com o IVan e não obtive retorno._x000a_23/01 declinei a proposta por falta de interesse por parte do cliente, não me atendeu e nem respondeu meus contatos."/>
    <s v=""/>
    <x v="350"/>
    <m/>
    <s v=""/>
    <s v="Ivan"/>
    <s v="11930305063"/>
    <s v=""/>
    <s v="liraivan2000@yahoo.com.br"/>
    <s v=""/>
    <s v=""/>
    <s v=""/>
    <s v=""/>
    <s v=""/>
    <s v="Campanha"/>
    <s v=""/>
    <s v=""/>
    <s v="30%;Fora Perfil;Instagram"/>
    <s v="Pipeline de Vendas"/>
    <s v="Qualificação de Vendas (SQL) (25%)"/>
    <s v=""/>
    <d v="2026-01-23T00:00:00"/>
    <m/>
    <m/>
    <n v="15"/>
    <s v="Paulo Souza"/>
    <d v="2026-01-08T00:00:00"/>
    <d v="1899-12-30T17:34:33"/>
    <s v=""/>
    <s v="Perdido"/>
    <d v="2026-01-23T00:00:00"/>
    <d v="1899-12-30T17:56:12"/>
    <s v="Fora do porte mínimo (sem fit estrutural)"/>
    <s v=""/>
    <s v=""/>
    <x v="0"/>
    <s v="Paulo Souza"/>
    <x v="0"/>
    <s v=""/>
    <d v="2026-01-23T00:00:00"/>
    <m/>
    <s v=""/>
    <s v=""/>
    <s v=""/>
    <s v=""/>
    <n v="1"/>
  </r>
  <r>
    <x v="1"/>
    <n v="763"/>
    <m/>
    <n v="3058"/>
    <s v="(12/01/2026) Em contato com Bruno realizamos uma apresentação do força de vendas em 12/01/2026 e falamos um pouco sobre nosso ERP ! logo pediu uma ideia de investimento para seguir _x000a_(29/01/2026) Após envio de proposta cliente não respondeu mais"/>
    <s v=""/>
    <x v="351"/>
    <n v="55042933000133"/>
    <s v=""/>
    <s v="Folha Dourada Tabacos Ltda"/>
    <s v="(32) 8408-3586"/>
    <s v=""/>
    <s v="atacabaco@gmail.com"/>
    <s v=""/>
    <s v=""/>
    <s v=""/>
    <s v="JUIZ DE FORA"/>
    <s v="MG"/>
    <s v="Campanha"/>
    <s v=""/>
    <s v=""/>
    <s v="30%;Dentro Perfil;Instagram"/>
    <s v="Pipeline de Vendas"/>
    <s v="Apresentar Solução (35%)"/>
    <s v=""/>
    <d v="2026-01-31T00:00:00"/>
    <n v="61904"/>
    <n v="13156"/>
    <n v="20"/>
    <s v="Junior Lopes"/>
    <d v="2026-01-09T00:00:00"/>
    <d v="1899-12-30T11:15:37"/>
    <s v=""/>
    <s v="Perdido"/>
    <d v="2026-01-29T00:00:00"/>
    <d v="1899-12-30T14:30:59"/>
    <s v="Projeto adiado / sem prazo definido"/>
    <s v="(29/01/2026) Após envio de proposta cliente não respondeu mais"/>
    <s v=""/>
    <x v="166"/>
    <s v=""/>
    <x v="179"/>
    <s v=""/>
    <d v="2026-01-29T00:00:00"/>
    <m/>
    <s v=""/>
    <s v=""/>
    <s v=""/>
    <s v=""/>
    <n v="1"/>
  </r>
  <r>
    <x v="2"/>
    <n v="764"/>
    <m/>
    <n v="3007"/>
    <s v="Realizamos a apresentação do ERP junto com o  Max seguindo o documento deles de chekilist d aderencia do software, tiraram duvidas dos processos e seguiemos para uma segunda apresentação do AFV e Do BI_x000a_26/01 Video do AFV encaminhado ao cliente, _x000a_Precisamos de mais uma agenda para demonstração das demais soluções_x000a_26.01 - aguardando Fernando passar horas do projeto_x000a_05.02 estou tentando falar com o cliente a algum tempo,fizemos uma reunião para discutir pontos sobre o ERP. E após isso cliente pediu uma proposta comercial, porém para seguir eu precisava levantar alguns dados que não me foram enviados e depois de várias tentativas cliente não me respondeu_x000a_Após nossa reunião sobre o ERP, preparei os pontos necessários para avançarmos com a proposta comercial. No entanto, não recebi os dados solicitados para dar continuidade e, sem eles, não conseguimos evoluir._x000a_Gostaria de reforçar que esta solução representa uma oportunidade única de crescimento e ganho de eficiência para sua empresa. Cada semana de Como não tive nenhum retorno, entendo que não há interesse em seguir neste momento e encerrarei o processo. Ainda assim, permanecerei à disposição para retomar quando considerar oportuno._x000a_Atenciosamente,"/>
    <s v=""/>
    <x v="352"/>
    <n v="51776465000170"/>
    <s v=""/>
    <s v="CLS Química"/>
    <s v="16996298460"/>
    <s v=""/>
    <s v="keila.graciele@clsquimica.com.br"/>
    <s v=""/>
    <s v=""/>
    <s v=""/>
    <s v=""/>
    <s v=""/>
    <s v="Campanha"/>
    <s v=""/>
    <s v=""/>
    <s v="30%;Dentro Perfil;Instagram"/>
    <s v="Pipeline de Vendas"/>
    <s v="Apresentar Proposta (50%)"/>
    <s v=""/>
    <d v="2026-03-31T00:00:00"/>
    <m/>
    <m/>
    <n v="120"/>
    <s v="Rayssa Karapeticov"/>
    <d v="2026-01-09T00:00:00"/>
    <d v="1899-12-30T11:44:25"/>
    <s v=""/>
    <s v="Perdido"/>
    <d v="2026-05-09T00:00:00"/>
    <d v="1899-12-30T08:32:37"/>
    <s v="Não quer mudar a solução atual"/>
    <s v=""/>
    <s v=""/>
    <x v="0"/>
    <s v="Rayssa Karapeticov"/>
    <x v="180"/>
    <s v=""/>
    <d v="2026-01-28T00:00:00"/>
    <m/>
    <s v=""/>
    <s v=""/>
    <s v=""/>
    <s v=""/>
    <n v="1"/>
  </r>
  <r>
    <x v="0"/>
    <n v="766"/>
    <m/>
    <n v="3063"/>
    <s v="Tiago, retorna apena no dia 15/01, data que retomo o contato com ele._x000a_23/01 - Fechamos negocio."/>
    <s v=""/>
    <x v="353"/>
    <m/>
    <s v=""/>
    <s v="Tiago"/>
    <s v="11971597112"/>
    <s v=""/>
    <s v="null"/>
    <s v=""/>
    <s v=""/>
    <s v=""/>
    <s v=""/>
    <s v=""/>
    <s v=""/>
    <s v=""/>
    <s v=""/>
    <s v="90%;Fabio Indica"/>
    <s v="Pipeline de Vendas"/>
    <s v="Em Fechamento (100%)"/>
    <s v=""/>
    <d v="2026-01-15T00:00:00"/>
    <n v="56100"/>
    <n v="67334"/>
    <n v="14"/>
    <s v="Paulo Souza"/>
    <d v="2026-01-09T00:00:00"/>
    <d v="1899-12-30T15:28:21"/>
    <s v=""/>
    <s v="Ganho"/>
    <d v="2026-01-23T00:00:00"/>
    <d v="1899-12-30T11:05:59"/>
    <s v=""/>
    <s v=""/>
    <s v=""/>
    <x v="164"/>
    <s v="Paulo Souza"/>
    <x v="181"/>
    <s v=""/>
    <d v="2026-01-15T00:00:00"/>
    <m/>
    <s v=""/>
    <s v=""/>
    <s v=""/>
    <s v=""/>
    <n v="1"/>
  </r>
  <r>
    <x v="0"/>
    <n v="767"/>
    <m/>
    <n v="3064"/>
    <s v="Cobrei o André hoje aguardando o retorno sobre a evolução do projeto._x000a_19/01 Fiz FUP com o Andre ele me posicionou que o presidente esta afastado por motivos de saúde e que como ele que decide, só na volta dele para avança. A previsão e que ele retorne na semana do dia 26/1._x000a_07/02 Fiz fup hoje com o André e aguardo a posição dele se a diretoria retornou e se vamos seguir ou não com o projeto._x000a_27/02 Por falta de retorno por parte do cliente, estou declinando a proposta."/>
    <s v=""/>
    <x v="354"/>
    <m/>
    <s v=""/>
    <s v="Andre"/>
    <s v="11982745856"/>
    <s v=""/>
    <s v="andrefelipone@olealimentos.com.br"/>
    <s v=""/>
    <s v=""/>
    <s v=""/>
    <s v=""/>
    <s v=""/>
    <s v=""/>
    <s v=""/>
    <s v=""/>
    <s v="30%;Fabio Indica"/>
    <s v="Pipeline de Vendas"/>
    <s v="Em negociação (75%)"/>
    <s v=""/>
    <d v="2026-01-31T00:00:00"/>
    <n v="16000"/>
    <n v="18330"/>
    <n v="49"/>
    <s v="Paulo Souza"/>
    <d v="2026-01-09T00:00:00"/>
    <d v="1899-12-30T15:38:45"/>
    <s v=""/>
    <s v="Perdido"/>
    <d v="2026-02-27T00:00:00"/>
    <d v="1899-12-30T21:22:05"/>
    <s v="Preço muito alto - fora do budget de investimento"/>
    <s v=""/>
    <s v=""/>
    <x v="167"/>
    <s v="Paulo Souza"/>
    <x v="178"/>
    <s v=""/>
    <d v="2026-01-19T00:00:00"/>
    <n v="30"/>
    <s v="80"/>
    <s v="AFV"/>
    <s v="R$ 16.000"/>
    <s v="R$ 18.330"/>
    <n v="1"/>
  </r>
  <r>
    <x v="2"/>
    <n v="768"/>
    <m/>
    <n v="2107"/>
    <s v="11:25, 1/13/2026 +55 47 8834-5510: Bom dia Rayssa. Tudo bem?_x000a_11:25, 1/13/2026 +55 47 8834-5510: Aguarde um pouco antes de continuar a RFP._x000a_11:25, 1/13/2026 Rayssa Karapeticov - Comercial - Guarani Sistemas: Tudo otimo e  você?_x000a_Blzinha_x000a_11:28, 1/13/2026 +55 47 8834-5510: Existem alguns itens que observei e conversei com as áreas envolvidas, e que são difícil de negociar, comparado com outros fabricantes que já estão também participando._x000a_11:29, 1/13/2026 +55 47 8834-5510: Vamos deixar nesse momento suspenso o processo de RFP com vcs, e caso ocorra alguma mudança muito grande com aqueles que estão participando, eu aviso a necessidade de retomar ok?_x000a_11:29, 1/13/2026 +55 47 8834-5510: Agradeço demais seu tempo até aqui, e é realmente para evitar um trabalho maior agora, que tz não seja possível avançar depois._x000a_11:30, 1/13/2026 +55 47 8834-5510: 🙏🏻🙏🏻🙏🏻🙏🏻_x000a_11:30, 1/13/2026 Rayssa Karapeticov - Comercial - Guarani Sistemas: Entendo perfeitamente, para resgistro de feedback, quais são esses pontos?_x000a_11:32, 1/13/2026 +55 47 8834-5510: Em especial itens de tecnologia, e alguns pontos das áreas de negócio já preenchidas. _x000a_Fiz um bate papo com a equipe para olharmos oq já foi preenchido, e relacionamos com os demais fabricantes que estão participando._x000a_11:33, 1/13/2026 Rayssa Karapeticov - Comercial - Guarani Sistemas: Certo, fico a disposição aqui caso queira continuar. _x000a_Qualquer duvida também pode me chamar_x000a_11:33, 1/13/2026 +55 47 8834-5510: Como o objetivo é seguir a prox fase com no máx 3 fabricantes, outros fabricantes já se enquadraram melhor no que estamos buscando._x000a_11:33, 1/13/2026 +55 47 8834-5510: Mas se algo mudar durante o processo, eu aviso. Muito obrigadoooo!!!_x000a_11:34, 1/13/2026 Rayssa Karapeticov - Comercial - Guarani Sistemas: Combinado"/>
    <s v="Maral Industria E Comercio De Brinquedos Ltda"/>
    <x v="355"/>
    <n v="10469551000152"/>
    <s v=""/>
    <s v="Carlos Alberto Kuehl"/>
    <s v="(47) 3387-5400/ (47) 3394-0982"/>
    <s v=""/>
    <s v="contato@maral.ind.br"/>
    <s v=""/>
    <s v=""/>
    <s v=""/>
    <s v="POMERODE"/>
    <s v="SC"/>
    <s v="Base de empresas Leads2b"/>
    <s v=""/>
    <s v=""/>
    <s v="30%;Dentro Perfil;Feiras"/>
    <s v="Pipeline de Vendas"/>
    <s v="Qualificação de Vendas (SQL) (25%)"/>
    <s v=""/>
    <d v="2026-04-30T00:00:00"/>
    <m/>
    <m/>
    <n v="11"/>
    <s v="Rayssa Karapeticov"/>
    <d v="2026-01-09T00:00:00"/>
    <d v="1899-12-30T16:53:32"/>
    <s v=""/>
    <s v="Perdido"/>
    <d v="2026-01-20T00:00:00"/>
    <d v="1899-12-30T17:10:21"/>
    <s v="Fechou com o concorrente - preço"/>
    <s v=""/>
    <s v=""/>
    <x v="0"/>
    <s v=""/>
    <x v="0"/>
    <s v=""/>
    <d v="2026-01-13T00:00:00"/>
    <m/>
    <s v=""/>
    <s v=""/>
    <s v=""/>
    <s v=""/>
    <n v="1"/>
  </r>
  <r>
    <x v="0"/>
    <n v="769"/>
    <m/>
    <n v="2997"/>
    <s v="Falei com o Kleber hoje novamente e estou aguardando ele me dar um retorno sobre agenda. 13/01 - Fiz contato com o Kleber para saber se tem interesse ou não em seguir,"/>
    <s v=""/>
    <x v="356"/>
    <m/>
    <s v=""/>
    <s v="Kleber"/>
    <s v="11991898161"/>
    <s v=""/>
    <s v="kleber.ppbh@gmail.com"/>
    <s v=""/>
    <s v=""/>
    <s v=""/>
    <s v=""/>
    <s v=""/>
    <s v="Campanha"/>
    <s v=""/>
    <s v=""/>
    <s v="30%;Dentro Perfil;Instagram"/>
    <s v="Pipeline de Vendas"/>
    <s v="Qualificação de Vendas (SQL) (25%)"/>
    <s v=""/>
    <d v="2026-01-31T00:00:00"/>
    <m/>
    <m/>
    <n v="1"/>
    <s v="Paulo Souza"/>
    <d v="2026-01-12T00:00:00"/>
    <d v="1899-12-30T17:30:01"/>
    <s v=""/>
    <s v="Perdido"/>
    <d v="2026-01-13T00:00:00"/>
    <d v="1899-12-30T17:30:51"/>
    <s v="Não quer mudar a solução atual"/>
    <s v=""/>
    <s v=""/>
    <x v="0"/>
    <s v="Paulo Souza"/>
    <x v="0"/>
    <s v=""/>
    <m/>
    <m/>
    <s v=""/>
    <s v=""/>
    <s v=""/>
    <s v=""/>
    <n v="1"/>
  </r>
  <r>
    <x v="0"/>
    <n v="770"/>
    <m/>
    <n v="3005"/>
    <s v="Falei Com Omar hoje 12/01 e ele falou que retorna de viagem dia 15/01 e é para procurá-lo._x000a_23/01 Fiz FUP hoje como o Omar, para avançar com uma agenda na quinta ou sexta da semana do dia 26/01. Aguardando o retorno do cleinte._x000a_09/02/26 Fiz fup e ele acabou fechando com um sistema pequeno."/>
    <s v=""/>
    <x v="357"/>
    <n v="18190972000151"/>
    <s v=""/>
    <s v="Zini home"/>
    <s v="12997937887"/>
    <s v=""/>
    <s v="omar@zinihome.com.br"/>
    <s v=""/>
    <s v=""/>
    <s v=""/>
    <s v=""/>
    <s v=""/>
    <s v="Campanha"/>
    <s v=""/>
    <s v=""/>
    <s v="30%;Dentro Perfil;Instagram"/>
    <s v="Pipeline de Vendas"/>
    <s v="Qualificação de Vendas (SQL) (25%)"/>
    <s v=""/>
    <d v="2026-01-31T00:00:00"/>
    <m/>
    <m/>
    <n v="38"/>
    <s v="Paulo Souza"/>
    <d v="2026-01-12T00:00:00"/>
    <d v="1899-12-30T17:33:46"/>
    <s v=""/>
    <s v="Perdido"/>
    <d v="2026-02-19T00:00:00"/>
    <d v="1899-12-30T17:50:16"/>
    <s v="Fechou com o concorrente - preço"/>
    <s v=""/>
    <s v=""/>
    <x v="0"/>
    <s v="Paulo Souza"/>
    <x v="0"/>
    <s v=""/>
    <d v="2026-01-23T00:00:00"/>
    <n v="30"/>
    <s v=""/>
    <s v=""/>
    <s v=""/>
    <s v=""/>
    <n v="1"/>
  </r>
  <r>
    <x v="0"/>
    <n v="771"/>
    <m/>
    <n v="3001"/>
    <s v="Fernando , esta de féria e só vamos conseguir realizar o bate-papo após o seu retorno. O previsto é no dia 16/01/2026._x000a_23/01 Fiz FUP hoje com o Fernando para agendar uma reunião na semana que vem , na quarta ou quinta._x000a_05/02 Fiz FUP hoje com o Fernando, e ele cancelou a nossa reunião das 10h. Fiz uma nova agenda para o dia 11/02 às 15h!_x000a_12/03  Fiz FUP com o Fernando afim de saber se ele vai querer continuar ou nao._x000a_12/03 Por falta de interesse estou declinando o lead. Após apresentar a solução o cliente esfriou e sumiu não dando retorno._x000a_20/03 Fiz FUP e cobrei o Fernando se seguiremos ou não com o projeto."/>
    <s v=""/>
    <x v="358"/>
    <m/>
    <s v=""/>
    <s v="Russa Diatribuidora"/>
    <s v="11991303160"/>
    <s v=""/>
    <s v="fernando@russadistribuidora.com.br"/>
    <s v=""/>
    <s v=""/>
    <s v=""/>
    <s v=""/>
    <s v=""/>
    <s v="Campanha"/>
    <s v=""/>
    <s v=""/>
    <s v="30%;Dentro Perfil;Instagram"/>
    <s v="Pipeline de Vendas"/>
    <s v="Em negociação (75%)"/>
    <s v=""/>
    <d v="2026-03-31T00:00:00"/>
    <n v="6840289"/>
    <n v="44907"/>
    <n v="126"/>
    <s v="Paulo Souza"/>
    <d v="2026-01-12T00:00:00"/>
    <d v="1899-12-30T17:38:29"/>
    <s v=""/>
    <s v="Perdido"/>
    <d v="2026-05-18T00:00:00"/>
    <d v="1899-12-30T16:52:10"/>
    <s v="Não era o decisor - sem acesso"/>
    <s v=""/>
    <s v=""/>
    <x v="168"/>
    <s v="Paulo Souza"/>
    <x v="182"/>
    <s v=""/>
    <d v="2026-04-20T00:00:00"/>
    <n v="30"/>
    <s v=""/>
    <s v="ERP, AFV"/>
    <s v=""/>
    <s v=""/>
    <n v="1"/>
  </r>
  <r>
    <x v="0"/>
    <n v="772"/>
    <m/>
    <n v="3008"/>
    <s v="Após conversa com Everaldo ele informou que el loja de varejo e não vamos atender varejo em 2026"/>
    <s v=""/>
    <x v="359"/>
    <m/>
    <s v=""/>
    <s v="Everaldo"/>
    <s v="(21) 96439-0742"/>
    <s v=""/>
    <s v="e.leonardojr@hotmail.com"/>
    <s v=""/>
    <s v=""/>
    <s v=""/>
    <s v="Rio de Janeiro"/>
    <s v=""/>
    <s v="Site"/>
    <s v=""/>
    <s v=""/>
    <s v="30%"/>
    <s v="Pipeline de Vendas"/>
    <s v="Qualificação de Vendas (SQL) (25%)"/>
    <s v=""/>
    <d v="2026-01-31T00:00:00"/>
    <m/>
    <m/>
    <n v="0"/>
    <s v="Paulo Souza"/>
    <d v="2026-01-12T00:00:00"/>
    <d v="1899-12-30T17:43:14"/>
    <s v=""/>
    <s v="Perdido"/>
    <d v="2026-01-12T00:00:00"/>
    <d v="1899-12-30T22:28:23"/>
    <s v="Fora do porte mínimo (sem fit estrutural)"/>
    <s v=""/>
    <s v=""/>
    <x v="0"/>
    <s v="Paulo Souza"/>
    <x v="0"/>
    <s v=""/>
    <m/>
    <m/>
    <s v=""/>
    <s v=""/>
    <s v=""/>
    <s v=""/>
    <n v="1"/>
  </r>
  <r>
    <x v="0"/>
    <n v="773"/>
    <m/>
    <n v="3000"/>
    <s v="Falei com o Joao hoje 12/01 e combinamos de conversa na segunda dia 15/01._x000a_23/01 Fiz FUP hoje com o João para agendar uma apresentação na próxima semana."/>
    <s v=""/>
    <x v="360"/>
    <m/>
    <s v=""/>
    <s v="João"/>
    <s v="(17) 98126-9337"/>
    <s v=""/>
    <s v="joao@stokfrios.com.br"/>
    <s v=""/>
    <s v=""/>
    <s v=""/>
    <s v="São José do Rio Preto"/>
    <s v=""/>
    <s v="Site"/>
    <s v=""/>
    <s v=""/>
    <s v="30%;Contato;Solicita demo"/>
    <s v="Inbound"/>
    <s v="Novos Leads (0%)"/>
    <s v=""/>
    <d v="2026-01-31T00:00:00"/>
    <m/>
    <m/>
    <n v="128"/>
    <s v="Paulo Souza"/>
    <d v="2026-01-12T00:00:00"/>
    <d v="1899-12-30T17:46:12"/>
    <s v=""/>
    <s v="Ativo"/>
    <m/>
    <m/>
    <s v=""/>
    <s v=""/>
    <s v=""/>
    <x v="0"/>
    <s v="Paulo Souza"/>
    <x v="0"/>
    <s v=""/>
    <d v="2026-01-23T00:00:00"/>
    <n v="30"/>
    <s v=""/>
    <s v=""/>
    <s v=""/>
    <s v=""/>
    <n v="1"/>
  </r>
  <r>
    <x v="1"/>
    <n v="774"/>
    <m/>
    <n v="3067"/>
    <s v="(14/01/2026)Em contato com Marcelo para entender mais sobre sua empresa e necessidades _x000a_(20/01/2026) em contato com André, sua confecção é de camisetas, uniformes, bonés ! existem algumas particularidades que necessitam no software como grades de cores e tamanhos e algumas particularidades para confecção ! atende cliente final B2C ! cliente de operação pequena que não esta na hora de embarcar com Guarani devido ao valor de investimento"/>
    <s v=""/>
    <x v="361"/>
    <m/>
    <s v=""/>
    <s v="Atacado Delfino"/>
    <s v="51986006121"/>
    <s v=""/>
    <s v="dhcamisetas@terra.com.br"/>
    <s v=""/>
    <s v=""/>
    <s v=""/>
    <s v=""/>
    <s v=""/>
    <s v="Campanha"/>
    <s v=""/>
    <s v=""/>
    <s v="30%;Fora Perfil;Instagram"/>
    <s v="Pipeline de Vendas"/>
    <s v="Qualificação de Vendas (SQL) (25%)"/>
    <s v=""/>
    <d v="2026-01-31T00:00:00"/>
    <m/>
    <m/>
    <n v="26"/>
    <s v="Paulo Souza"/>
    <d v="2026-01-12T00:00:00"/>
    <d v="1899-12-30T21:53:02"/>
    <s v=""/>
    <s v="Perdido"/>
    <d v="2026-02-07T00:00:00"/>
    <d v="1899-12-30T07:42:39"/>
    <s v="Fora do porte mínimo (sem fit estrutural)"/>
    <s v=""/>
    <s v=""/>
    <x v="0"/>
    <s v="Junior Lopes"/>
    <x v="0"/>
    <s v=""/>
    <d v="2026-01-20T00:00:00"/>
    <m/>
    <s v=""/>
    <s v=""/>
    <s v=""/>
    <s v=""/>
    <n v="1"/>
  </r>
  <r>
    <x v="1"/>
    <n v="775"/>
    <m/>
    <n v="3069"/>
    <s v="(14/01/2026) Após tentativa por ligação foi efetuado tentativa de contato via WhatsApp conforme mensagem abaixo : _x000a_(16/01/2026) tentei novamente contato via telefone com Nykollas porem sem retorno ! estou declinando oportunidade_x000a_16:31, 12/01/2026 Junior Lopes: Olá Nycollas , boa tarde_x000a_16:32, 12/01/2026 Junior Lopes: Sou Junior Lopes da Guarani sistemas! Td bem ?_x000a_11:56, 14/01/2026 Junior Lopes: Olá Boa tarde !  _x000a_Estamos retornando seu contato sobre nossas soluções em ERP ! Qual melhor horário para falarmos ?"/>
    <s v=""/>
    <x v="362"/>
    <m/>
    <s v=""/>
    <s v="BK COMÉRCIO LTDA"/>
    <s v="92988541804"/>
    <s v=""/>
    <s v="nykollaskelvyn86@gmail.com"/>
    <s v=""/>
    <s v=""/>
    <s v=""/>
    <s v=""/>
    <s v=""/>
    <s v="Campanha"/>
    <s v=""/>
    <s v=""/>
    <s v="30%;Fora Perfil;Instagram"/>
    <s v="Pipeline de Vendas"/>
    <s v="Qualificação de Vendas (SQL) (25%)"/>
    <s v=""/>
    <d v="2026-01-31T00:00:00"/>
    <m/>
    <m/>
    <n v="26"/>
    <s v="Paulo Souza"/>
    <d v="2026-01-12T00:00:00"/>
    <d v="1899-12-30T21:53:50"/>
    <s v=""/>
    <s v="Perdido"/>
    <d v="2026-02-07T00:00:00"/>
    <d v="1899-12-30T07:50:15"/>
    <s v="Fora do porte mínimo (sem fit estrutural)"/>
    <s v=""/>
    <s v=""/>
    <x v="0"/>
    <s v="Junior Lopes"/>
    <x v="0"/>
    <s v=""/>
    <d v="2026-01-16T00:00:00"/>
    <m/>
    <s v=""/>
    <s v=""/>
    <s v=""/>
    <s v=""/>
    <n v="1"/>
  </r>
  <r>
    <x v="2"/>
    <n v="776"/>
    <m/>
    <n v="3041"/>
    <s v="Não consegui retorno nem contato"/>
    <s v=""/>
    <x v="363"/>
    <m/>
    <s v=""/>
    <s v="Fisiohosp"/>
    <s v="6596658787"/>
    <s v=""/>
    <s v="contabilfisio2024@gmail.com"/>
    <s v=""/>
    <s v=""/>
    <s v=""/>
    <s v=""/>
    <s v=""/>
    <s v="Campanha"/>
    <s v=""/>
    <s v=""/>
    <s v="30%;Fora Perfil;Instagram"/>
    <s v="Pipeline de Vendas"/>
    <s v="Qualificação de Vendas (SQL) (25%)"/>
    <s v=""/>
    <d v="2026-01-31T00:00:00"/>
    <m/>
    <m/>
    <n v="105"/>
    <s v="Paulo Souza"/>
    <d v="2026-01-12T00:00:00"/>
    <d v="1899-12-30T21:57:54"/>
    <s v=""/>
    <s v="Perdido"/>
    <d v="2026-04-27T00:00:00"/>
    <d v="1899-12-30T16:00:34"/>
    <s v="Fora do porte mínimo (sem fit estrutural)"/>
    <s v=""/>
    <s v=""/>
    <x v="0"/>
    <s v="Junior Lopes"/>
    <x v="0"/>
    <s v=""/>
    <d v="2026-04-13T00:00:00"/>
    <n v="30"/>
    <s v=""/>
    <s v=""/>
    <s v=""/>
    <s v=""/>
    <n v="1"/>
  </r>
  <r>
    <x v="2"/>
    <n v="777"/>
    <m/>
    <n v="3047"/>
    <s v="cliente marcou uma reunião na sexta porém não entrou no link estou tentando reagendar mas não deu retorno"/>
    <s v=""/>
    <x v="364"/>
    <m/>
    <s v=""/>
    <s v="Vida Fitness"/>
    <s v="71996614629"/>
    <s v=""/>
    <s v="vidafitness@outlook.com.br"/>
    <s v=""/>
    <s v=""/>
    <s v=""/>
    <s v=""/>
    <s v=""/>
    <s v="Campanha"/>
    <s v=""/>
    <s v=""/>
    <s v="30%;Fora Perfil;Instagram"/>
    <s v="Pipeline de Vendas"/>
    <s v="Qualificação de Vendas (SQL) (25%)"/>
    <s v=""/>
    <d v="2026-01-31T00:00:00"/>
    <m/>
    <m/>
    <n v="26"/>
    <s v="Paulo Souza"/>
    <d v="2026-01-12T00:00:00"/>
    <d v="1899-12-30T21:58:55"/>
    <s v=""/>
    <s v="Perdido"/>
    <d v="2026-02-07T00:00:00"/>
    <d v="1899-12-30T07:47:45"/>
    <s v="Fora do porte mínimo (sem fit estrutural)"/>
    <s v=""/>
    <s v=""/>
    <x v="0"/>
    <s v="Rayssa Karapeticov"/>
    <x v="0"/>
    <s v=""/>
    <d v="2026-01-16T00:00:00"/>
    <m/>
    <s v=""/>
    <s v=""/>
    <s v=""/>
    <s v=""/>
    <n v="1"/>
  </r>
  <r>
    <x v="2"/>
    <n v="778"/>
    <m/>
    <n v="3059"/>
    <s v="Bom dia Luan, como vai?_x000a_Estou tentando contato com você para entender sua solicitação para conhecer nossos sistemas._x000a_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_x000a_Vou deixar uma apresentação de nossa empresa e quando tiver um tempo disponivel por retornar o contato"/>
    <s v=""/>
    <x v="365"/>
    <n v="30250062000112"/>
    <s v=""/>
    <s v="HORTODASACACIAS"/>
    <s v="21966014543"/>
    <s v=""/>
    <s v="financeiro1@hortodasacacias.com.br"/>
    <s v=""/>
    <s v=""/>
    <s v=""/>
    <s v="RIO DE JANEIRO"/>
    <s v="RJ"/>
    <s v="Campanha"/>
    <s v=""/>
    <s v=""/>
    <s v="30%;Fora Perfil;Instagram"/>
    <s v="Pipeline de Vendas"/>
    <s v="Qualificação de Vendas (SQL) (25%)"/>
    <s v=""/>
    <d v="2026-01-31T00:00:00"/>
    <m/>
    <m/>
    <n v="2"/>
    <s v="Paulo Souza"/>
    <d v="2026-01-12T00:00:00"/>
    <d v="1899-12-30T22:00:47"/>
    <s v=""/>
    <s v="Perdido"/>
    <d v="2026-01-14T00:00:00"/>
    <d v="1899-12-30T11:54:09"/>
    <s v="Fora do porte mínimo (sem fit estrutural)"/>
    <s v=""/>
    <s v=""/>
    <x v="0"/>
    <s v="Rayssa Karapeticov"/>
    <x v="0"/>
    <s v=""/>
    <d v="2026-01-13T00:00:00"/>
    <m/>
    <s v=""/>
    <s v=""/>
    <s v=""/>
    <s v=""/>
    <n v="1"/>
  </r>
  <r>
    <x v="2"/>
    <n v="779"/>
    <m/>
    <n v="3066"/>
    <s v="Empresa fora do perfil, vendem produto porta a porta e o contato é  vendedor"/>
    <s v=""/>
    <x v="366"/>
    <n v="22422233000115"/>
    <s v=""/>
    <s v="Devons Hair"/>
    <s v="(41) 9900-2255 / (41) 8428-6900 / (18) 3361-4423"/>
    <s v=""/>
    <s v="denilribeiro@gmail.com"/>
    <s v=""/>
    <s v=""/>
    <s v=""/>
    <s v="CAMPO LARGO"/>
    <s v="PR"/>
    <s v="Campanha"/>
    <s v=""/>
    <s v=""/>
    <s v="30%;Fora Perfil;Instagram"/>
    <s v="Pipeline de Vendas"/>
    <s v="Qualificação de Vendas (SQL) (25%)"/>
    <s v=""/>
    <d v="2026-01-31T00:00:00"/>
    <m/>
    <m/>
    <n v="4"/>
    <s v="Paulo Souza"/>
    <d v="2026-01-12T00:00:00"/>
    <d v="1899-12-30T22:01:35"/>
    <s v=""/>
    <s v="Perdido"/>
    <d v="2026-01-16T00:00:00"/>
    <d v="1899-12-30T09:34:44"/>
    <s v="Fora do porte mínimo (sem fit estrutural)"/>
    <s v=""/>
    <s v=""/>
    <x v="0"/>
    <s v="Rayssa Karapeticov"/>
    <x v="0"/>
    <s v=""/>
    <d v="2026-01-16T00:00:00"/>
    <m/>
    <s v=""/>
    <s v=""/>
    <s v=""/>
    <s v=""/>
    <n v="1"/>
  </r>
  <r>
    <x v="0"/>
    <n v="780"/>
    <m/>
    <n v="3068"/>
    <s v="Hoje 13/01 busquei agenda com o Ricardo sem sucesso._x000a_23/01 Fiz FUP hoje com o Ricardo para saber se ele quer ou nao seguir , pois ele não retorna os mus contatos._x000a_23/01 o numero estava errado , consegui o numero certo e retomei os contatos sem sucesso no retorno ainda. _x000a_07/02 Após diversas tentativa de contato com o Ricardo sem sucesso estou declinando a oportunidade."/>
    <s v=""/>
    <x v="367"/>
    <m/>
    <s v=""/>
    <s v="Deltamed Comércio e Servicos Ltda"/>
    <s v="51997766708"/>
    <s v=""/>
    <s v="rrnnaa@gmail.com"/>
    <s v=""/>
    <s v=""/>
    <s v=""/>
    <s v=""/>
    <s v=""/>
    <s v="Campanha"/>
    <s v=""/>
    <s v=""/>
    <s v="30%;Fora Perfil;Instagram"/>
    <s v="Pipeline de Vendas"/>
    <s v="Qualificação de Vendas (SQL) (25%)"/>
    <s v=""/>
    <d v="2026-01-31T00:00:00"/>
    <m/>
    <m/>
    <n v="26"/>
    <s v="Paulo Souza"/>
    <d v="2026-01-12T00:00:00"/>
    <d v="1899-12-30T22:02:28"/>
    <s v=""/>
    <s v="Perdido"/>
    <d v="2026-02-07T00:00:00"/>
    <d v="1899-12-30T07:27:31"/>
    <s v="Fora do porte mínimo (sem fit estrutural)"/>
    <s v="07/02 Após diversas tentativa de contato com o Ricardo sem sucesso estou declinando a oportunidade."/>
    <s v=""/>
    <x v="0"/>
    <s v="Paulo Souza"/>
    <x v="0"/>
    <s v=""/>
    <d v="2026-01-23T00:00:00"/>
    <n v="30"/>
    <s v=""/>
    <s v=""/>
    <s v=""/>
    <s v=""/>
    <n v="1"/>
  </r>
  <r>
    <x v="2"/>
    <n v="781"/>
    <m/>
    <n v="3070"/>
    <s v="Bom dia Adelita, como vai?_x000a_Estou tentando contato com você para entender sua solicitação para conhecer nossos sistemas._x000a_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_x000a_Vou deixar uma apresentação de nossa empresa e quando tiver um tempo disponivel por retornar o contato_x000a_tentie contato no celular cadastrado e no telefone fixo da empresa 35) 3067-8566"/>
    <s v=""/>
    <x v="368"/>
    <n v="29495831000163"/>
    <s v=""/>
    <s v="Alpinpro"/>
    <s v="(35) 9125-9412"/>
    <s v=""/>
    <s v="adelita@alpinpro.com.br"/>
    <s v=""/>
    <s v=""/>
    <s v=""/>
    <s v="VARGINHA"/>
    <s v="MG"/>
    <s v="Campanha"/>
    <s v=""/>
    <s v=""/>
    <s v="30%;Fora Perfil;Instagram"/>
    <s v="Pipeline de Vendas"/>
    <s v="Qualificação de Vendas (SQL) (25%)"/>
    <s v=""/>
    <d v="2026-01-31T00:00:00"/>
    <m/>
    <m/>
    <n v="101"/>
    <s v="Paulo Souza"/>
    <d v="2026-01-12T00:00:00"/>
    <d v="1899-12-30T22:03:10"/>
    <s v=""/>
    <s v="Perdido"/>
    <d v="2026-04-23T00:00:00"/>
    <d v="1899-12-30T09:18:28"/>
    <s v="Fora do porte mínimo (sem fit estrutural)"/>
    <s v=""/>
    <s v=""/>
    <x v="0"/>
    <s v="Rayssa Karapeticov"/>
    <x v="0"/>
    <s v=""/>
    <d v="2026-04-23T00:00:00"/>
    <m/>
    <s v=""/>
    <s v=""/>
    <s v=""/>
    <s v=""/>
    <n v="1"/>
  </r>
  <r>
    <x v="2"/>
    <n v="782"/>
    <m/>
    <n v="3009"/>
    <s v=""/>
    <s v=""/>
    <x v="369"/>
    <n v="10942276000142"/>
    <s v=""/>
    <s v="Suprema"/>
    <s v="4130959299"/>
    <s v=""/>
    <s v="ordelo01@jotmail.com"/>
    <s v=""/>
    <s v=""/>
    <s v=""/>
    <s v=""/>
    <s v=""/>
    <s v="Campanha"/>
    <s v=""/>
    <s v=""/>
    <s v="Fora Perfil;Instagram"/>
    <s v="Pipeline de Vendas"/>
    <s v="Agendamento (0%)"/>
    <s v=""/>
    <m/>
    <m/>
    <m/>
    <n v="0"/>
    <s v="Paulo Souza"/>
    <d v="2026-01-12T00:00:00"/>
    <d v="1899-12-30T22:36:32"/>
    <s v=""/>
    <s v="Perdido"/>
    <d v="2026-01-12T00:00:00"/>
    <d v="1899-12-30T22:36:54"/>
    <s v="Fora do porte mínimo (sem fit estrutural)"/>
    <s v=""/>
    <s v=""/>
    <x v="0"/>
    <s v="Rayssa Karapeticov"/>
    <x v="0"/>
    <s v=""/>
    <m/>
    <m/>
    <s v=""/>
    <s v=""/>
    <s v=""/>
    <s v=""/>
    <n v="1"/>
  </r>
  <r>
    <x v="0"/>
    <n v="783"/>
    <m/>
    <n v="3010"/>
    <s v=""/>
    <s v=""/>
    <x v="370"/>
    <m/>
    <s v=""/>
    <s v="Carlinhos Doces Artesanais"/>
    <s v="41997238911"/>
    <s v=""/>
    <s v="carlinhosrepresentacao24@gmail.com"/>
    <s v=""/>
    <s v=""/>
    <s v=""/>
    <s v=""/>
    <s v=""/>
    <s v="Campanha"/>
    <s v=""/>
    <s v=""/>
    <s v="Fora Perfil;Instagram"/>
    <s v="Pipeline de Vendas"/>
    <s v="Agendamento (0%)"/>
    <s v=""/>
    <m/>
    <m/>
    <m/>
    <n v="0"/>
    <s v="Paulo Souza"/>
    <d v="2026-01-12T00:00:00"/>
    <d v="1899-12-30T22:37:42"/>
    <s v=""/>
    <s v="Perdido"/>
    <d v="2026-01-12T00:00:00"/>
    <d v="1899-12-30T22:37:58"/>
    <s v="Fora do porte mínimo (sem fit estrutural)"/>
    <s v=""/>
    <s v=""/>
    <x v="0"/>
    <s v="Rayssa Karapeticov"/>
    <x v="0"/>
    <s v=""/>
    <m/>
    <m/>
    <s v=""/>
    <s v=""/>
    <s v=""/>
    <s v=""/>
    <n v="1"/>
  </r>
  <r>
    <x v="0"/>
    <n v="784"/>
    <m/>
    <n v="3015"/>
    <s v=""/>
    <s v=""/>
    <x v="371"/>
    <m/>
    <s v=""/>
    <s v="Kuff Consultoria"/>
    <s v="42998191259"/>
    <s v=""/>
    <s v="thiagokuf@hotmail.com"/>
    <s v=""/>
    <s v=""/>
    <s v=""/>
    <s v=""/>
    <s v=""/>
    <s v="Campanha"/>
    <s v=""/>
    <s v=""/>
    <s v="Fora Perfil;Instagram"/>
    <s v="Pipeline de Vendas"/>
    <s v="Agendamento (0%)"/>
    <s v=""/>
    <m/>
    <m/>
    <m/>
    <n v="0"/>
    <s v="Paulo Souza"/>
    <d v="2026-01-12T00:00:00"/>
    <d v="1899-12-30T22:38:54"/>
    <s v=""/>
    <s v="Perdido"/>
    <d v="2026-01-12T00:00:00"/>
    <d v="1899-12-30T22:39:05"/>
    <s v="Fora do porte mínimo (sem fit estrutural)"/>
    <s v=""/>
    <s v=""/>
    <x v="0"/>
    <s v="Junior Lopes"/>
    <x v="0"/>
    <s v=""/>
    <m/>
    <m/>
    <s v=""/>
    <s v=""/>
    <s v=""/>
    <s v=""/>
    <n v="1"/>
  </r>
  <r>
    <x v="0"/>
    <n v="785"/>
    <m/>
    <n v="2669"/>
    <s v=""/>
    <s v=""/>
    <x v="372"/>
    <m/>
    <s v=""/>
    <s v="RENATO DE MATTOS MALAQUIAS"/>
    <s v="(21) 99470-2428"/>
    <s v=""/>
    <s v="representacoesvendas02@gmail.com"/>
    <s v=""/>
    <s v=""/>
    <s v=""/>
    <s v="Nova Iguaçu"/>
    <s v=""/>
    <s v="Site"/>
    <s v=""/>
    <s v=""/>
    <s v="Contato;Fora Perfil;Instagram"/>
    <s v="Pipeline de Vendas"/>
    <s v="Agendamento (0%)"/>
    <s v=""/>
    <m/>
    <m/>
    <m/>
    <n v="0"/>
    <s v="Paulo Souza"/>
    <d v="2026-01-12T00:00:00"/>
    <d v="1899-12-30T22:39:38"/>
    <s v=""/>
    <s v="Perdido"/>
    <d v="2026-01-12T00:00:00"/>
    <d v="1899-12-30T22:39:50"/>
    <s v="Fora do porte mínimo (sem fit estrutural)"/>
    <s v=""/>
    <s v=""/>
    <x v="0"/>
    <s v="Junior Lopes"/>
    <x v="0"/>
    <s v=""/>
    <m/>
    <m/>
    <s v=""/>
    <s v=""/>
    <s v=""/>
    <s v=""/>
    <n v="1"/>
  </r>
  <r>
    <x v="0"/>
    <n v="786"/>
    <m/>
    <n v="3045"/>
    <s v=""/>
    <s v=""/>
    <x v="373"/>
    <m/>
    <s v=""/>
    <s v="Ana Maria Fonseca Garcia"/>
    <s v="18998215566"/>
    <s v=""/>
    <s v="garciacontabilidade15@gmail.com"/>
    <s v=""/>
    <s v=""/>
    <s v=""/>
    <s v=""/>
    <s v=""/>
    <s v="Campanha"/>
    <s v=""/>
    <s v=""/>
    <s v="Fora Perfil;Instagram"/>
    <s v="Pipeline de Vendas"/>
    <s v="Agendamento (0%)"/>
    <s v=""/>
    <m/>
    <m/>
    <m/>
    <n v="0"/>
    <s v="Paulo Souza"/>
    <d v="2026-01-12T00:00:00"/>
    <d v="1899-12-30T22:40:26"/>
    <s v=""/>
    <s v="Perdido"/>
    <d v="2026-01-12T00:00:00"/>
    <d v="1899-12-30T22:40:38"/>
    <s v="Fora do porte mínimo (sem fit estrutural)"/>
    <s v=""/>
    <s v=""/>
    <x v="0"/>
    <s v="Junior Lopes"/>
    <x v="0"/>
    <s v=""/>
    <m/>
    <m/>
    <s v=""/>
    <s v=""/>
    <s v=""/>
    <s v=""/>
    <n v="1"/>
  </r>
  <r>
    <x v="1"/>
    <n v="787"/>
    <m/>
    <n v="3057"/>
    <s v=""/>
    <s v=""/>
    <x v="374"/>
    <n v="10269690000132"/>
    <s v=""/>
    <s v="Ricieri Locacoes e Serviços"/>
    <s v="27999479659"/>
    <s v=""/>
    <s v="diego@ricieri.net.br"/>
    <s v=""/>
    <s v=""/>
    <s v=""/>
    <s v=""/>
    <s v=""/>
    <s v="Campanha"/>
    <s v=""/>
    <s v=""/>
    <s v="Fora Perfil;Instagram"/>
    <s v="Pipeline de Vendas"/>
    <s v="Agendamento (0%)"/>
    <s v=""/>
    <m/>
    <m/>
    <m/>
    <n v="117"/>
    <s v="Paulo Souza"/>
    <d v="2026-01-12T00:00:00"/>
    <d v="1899-12-30T22:41:13"/>
    <s v=""/>
    <s v="Perdido"/>
    <d v="2026-05-09T00:00:00"/>
    <d v="1899-12-30T08:08:37"/>
    <s v="Fora do segmento atendido"/>
    <s v=""/>
    <s v=""/>
    <x v="0"/>
    <s v="Junior Lopes"/>
    <x v="0"/>
    <s v=""/>
    <m/>
    <m/>
    <s v=""/>
    <s v=""/>
    <s v=""/>
    <s v=""/>
    <n v="1"/>
  </r>
  <r>
    <x v="2"/>
    <n v="788"/>
    <m/>
    <n v="3083"/>
    <s v="Cliente entrou em contato pedindo apresentação de nossas solução de AFV _x000a_Reuão agendada para segunda as 14h_x000a_26-01 proposta está em analise pela diretoria _x000a_29-01 Boa tarde, Tiago! Espero que esteja bem._x000a_No dia 19/01 encaminhamos à sua equipe a proposta comercial da Guarani Sistemas, que contempla uma condição exclusiva para evolução tecnológica e automação da força de vendas._x000a_Com o Guarani AFV, aliado à assistente virtual Iara e ao módulo de orçamento web, sua empresa terá:_x000a_Automação completa da equipe de vendas, com acompanhamento de objetivos e indicadores em tempo real;_x000a_Aumento de produtividade e faturamento, reduzindo rupturas no ponto de venda;_x000a_Dashboard inteligente para análise de desempenho e curva ABC de produtos;_x000a_Integração simplificada com o ERP, garantindo maior agilidade e menos retrabalho._x000a_Além disso, oferecemos condições comerciais diferenciadas, incluindo implantação com mentoria especializada e mensalidade ajustada ao perfil da sua operação._x000a_Diante de todos esses benefícios, gostaria de entender: o que falta para avançarmos juntos e garantir essas vantagens para sua equipe?_x000a_05.02Retornou que estão em analise pela diretoria previsão de retorno para proxima semana _x000a_18.03 - Estão tratando internamento com o ERP, porque precisam entende rse o sistema atual terá capacidade de atender a necessidade deles para integrar com o AFV_x000a_15.04 09:24, 15/04/2026 Rayssa Karapeticov - Comercial - Guarani Sistemas: Oi Tiago, como você está.?_x000a_Na última troca, você comentou que eles devem manter o sistema atual por mais tempo, e eu fiquei de marcar uma reunião presencial para detalharmos a integração e forma de trabalho._x000a_Queria entender contigo se ainda faz sentido seguirmos com esse alinhamento agora. Se sim, me indica por favor dois horários que funcionem para você"/>
    <s v="Alfa Seven Embalagens Industria E Comercio Ltda"/>
    <x v="375"/>
    <n v="14078994000254"/>
    <s v=""/>
    <s v="Alfa Seven Embalagens Industria E Comercio Ltda"/>
    <s v="(35) 3435-2255"/>
    <s v=""/>
    <s v="luizhenrique@julianicontabilidade.com.br"/>
    <s v=""/>
    <s v=""/>
    <s v=""/>
    <s v="EXTREMA"/>
    <s v="MG"/>
    <s v="Base de empresas Leads2b"/>
    <s v=""/>
    <s v=""/>
    <s v="50%;Dentro Perfil"/>
    <s v="Pipeline de Vendas"/>
    <s v="Em negociação (75%)"/>
    <s v=""/>
    <d v="2026-04-30T00:00:00"/>
    <n v="16800"/>
    <n v="73717"/>
    <n v="120"/>
    <s v="Rayssa Karapeticov"/>
    <d v="2026-01-13T00:00:00"/>
    <d v="1899-12-30T16:09:19"/>
    <s v=""/>
    <s v="Perdido"/>
    <d v="2026-05-13T00:00:00"/>
    <d v="1899-12-30T10:51:39"/>
    <s v="Não quer mudar a solução atual"/>
    <s v=""/>
    <s v=""/>
    <x v="163"/>
    <s v="Rayssa Karapeticov"/>
    <x v="183"/>
    <s v="02/03/2026"/>
    <d v="2026-05-13T00:00:00"/>
    <n v="50"/>
    <s v=""/>
    <s v="AFV"/>
    <s v=""/>
    <s v=""/>
    <n v="1"/>
  </r>
  <r>
    <x v="0"/>
    <n v="789"/>
    <m/>
    <n v="3084"/>
    <s v="Fernando, esta avaliando outros produtos e terei um retorno na próxima semana dia 15/01, que decide é a Luciana._x000a_23/01 Fiz FUP hoje com o Fernando o mesmo ainda não respondeu, perguntei o que nos impede de seguir?_x000a_26/02 Fernando me procurou essa semana , pedido atualização de informações sobre o projeto. Hoje fiz novo FUP solicitando informações se seguiremos ou não com o projeto._x000a_20/03 Fernando me passou que a proposta ainda continua na direção sem definição."/>
    <s v=""/>
    <x v="376"/>
    <n v="31507103000176"/>
    <s v=""/>
    <s v="Fernando e Luciana"/>
    <s v="18997715980"/>
    <s v=""/>
    <s v="comercial@casamiga.com.br"/>
    <s v=""/>
    <s v=""/>
    <s v=""/>
    <s v=""/>
    <s v=""/>
    <s v=""/>
    <s v=""/>
    <s v=""/>
    <s v="50%"/>
    <s v="Pipeline de Vendas"/>
    <s v="Em negociação (75%)"/>
    <s v=""/>
    <d v="2026-03-31T00:00:00"/>
    <n v="13100"/>
    <n v="1700"/>
    <n v="87"/>
    <s v="Paulo Souza"/>
    <d v="2026-01-13T00:00:00"/>
    <d v="1899-12-30T16:12:50"/>
    <s v=""/>
    <s v="Perdido"/>
    <d v="2026-04-10T00:00:00"/>
    <d v="1899-12-30T17:16:03"/>
    <s v="Nossa solução não atende - falta funcionalidade"/>
    <s v=""/>
    <s v=""/>
    <x v="169"/>
    <s v="Paulo Souza"/>
    <x v="184"/>
    <s v=""/>
    <d v="2026-03-20T00:00:00"/>
    <n v="50"/>
    <s v="80"/>
    <s v="B2B"/>
    <s v="R$ 13.100"/>
    <s v="R$ 1.700"/>
    <n v="1"/>
  </r>
  <r>
    <x v="1"/>
    <n v="790"/>
    <m/>
    <n v="3071"/>
    <s v="em contato com Sr. Barbosa !_x000a_atualmente tem 02 lojas físicas e esta fora do nosso perfil de atendimento"/>
    <s v=""/>
    <x v="377"/>
    <m/>
    <s v=""/>
    <s v="Casa bom dia bricolagem ltda"/>
    <s v="16981830404"/>
    <s v=""/>
    <s v="casabomdiabricolagem@gmail.com"/>
    <s v=""/>
    <s v=""/>
    <s v=""/>
    <s v=""/>
    <s v=""/>
    <s v="Campanha"/>
    <s v=""/>
    <s v=""/>
    <s v="Fora Perfil;Instagram"/>
    <s v="Pipeline de Vendas"/>
    <s v="Qualificação de Vendas (SQL) (25%)"/>
    <s v=""/>
    <d v="2026-01-31T00:00:00"/>
    <m/>
    <m/>
    <n v="23"/>
    <s v="Paulo Souza"/>
    <d v="2026-01-13T00:00:00"/>
    <d v="1899-12-30T16:54:22"/>
    <s v=""/>
    <s v="Perdido"/>
    <d v="2026-02-05T00:00:00"/>
    <d v="1899-12-30T14:15:34"/>
    <s v="Fora do porte mínimo (sem fit estrutural)"/>
    <s v=""/>
    <s v=""/>
    <x v="0"/>
    <s v="Junior Lopes"/>
    <x v="0"/>
    <s v=""/>
    <d v="2026-01-16T00:00:00"/>
    <m/>
    <s v=""/>
    <s v=""/>
    <s v=""/>
    <s v=""/>
    <n v="1"/>
  </r>
  <r>
    <x v="2"/>
    <n v="792"/>
    <m/>
    <n v="3072"/>
    <s v="Boa tarde Rogério, como vai? _x000a_Meu nome é Rayssa, sou do setor comercial e relacionamento da Guarani Sistemas._x000a_Recebi seu contato interessado em nossas soluções, você prefere que eu te ligue ou quer tratar por aqui?_x000a_Aguardando retorno,liguei e não atendeu_x000a_13.02 novamente disse que não podia falar que era para entrar em contato em outro momento"/>
    <s v=""/>
    <x v="378"/>
    <n v="6037707000230"/>
    <s v=""/>
    <s v="WB Engenharia"/>
    <s v="67999299440"/>
    <s v=""/>
    <s v="rogerio@wbmanutencao.com.br"/>
    <s v=""/>
    <s v=""/>
    <s v=""/>
    <s v=""/>
    <s v=""/>
    <s v="Campanha"/>
    <s v=""/>
    <s v=""/>
    <s v="Fora Perfil;Instagram"/>
    <s v="Pipeline de Vendas"/>
    <s v="Qualificação de Vendas (SQL) (25%)"/>
    <s v=""/>
    <d v="2026-01-31T00:00:00"/>
    <m/>
    <m/>
    <n v="31"/>
    <s v="Paulo Souza"/>
    <d v="2026-01-13T00:00:00"/>
    <d v="1899-12-30T16:56:09"/>
    <s v=""/>
    <s v="Perdido"/>
    <d v="2026-02-13T00:00:00"/>
    <d v="1899-12-30T11:46:12"/>
    <s v="Fora do porte mínimo (sem fit estrutural)"/>
    <s v=""/>
    <s v=""/>
    <x v="0"/>
    <s v="Rayssa Karapeticov"/>
    <x v="0"/>
    <s v=""/>
    <d v="2026-02-12T00:00:00"/>
    <n v="30"/>
    <s v=""/>
    <s v=""/>
    <s v=""/>
    <s v=""/>
    <n v="1"/>
  </r>
  <r>
    <x v="0"/>
    <n v="793"/>
    <m/>
    <n v="3082"/>
    <s v="Fiz contato hoje mais o cliente já não estava na empresa, vamos falar amanha 14/01_x000a_23/01 Fiz FUp hoje com a Jessica, para buscar agenda na proxima semana._x000a_19/02 Fiz varias tentativa sem retorno e por isso declinei a proposta."/>
    <s v=""/>
    <x v="379"/>
    <m/>
    <s v=""/>
    <s v="JESSICA"/>
    <s v="(38) 99730-0736"/>
    <s v=""/>
    <s v="centraleletricasolar@gmail.com"/>
    <s v=""/>
    <s v=""/>
    <s v=""/>
    <s v="São Paulo"/>
    <s v=""/>
    <s v="Site"/>
    <s v=""/>
    <s v=""/>
    <s v="30%;Solicita demo"/>
    <s v="Pipeline de Vendas"/>
    <s v="Qualificação de Vendas (SQL) (25%)"/>
    <s v=""/>
    <d v="2026-01-31T00:00:00"/>
    <m/>
    <m/>
    <n v="37"/>
    <s v="Paulo Souza"/>
    <d v="2026-01-13T00:00:00"/>
    <d v="1899-12-30T16:59:23"/>
    <s v=""/>
    <s v="Perdido"/>
    <d v="2026-02-19T00:00:00"/>
    <d v="1899-12-30T17:51:50"/>
    <s v="Fora do porte mínimo (sem fit estrutural)"/>
    <s v=""/>
    <s v=""/>
    <x v="0"/>
    <s v="Paulo Souza"/>
    <x v="0"/>
    <s v=""/>
    <d v="2026-01-23T00:00:00"/>
    <n v="30"/>
    <s v=""/>
    <s v=""/>
    <s v=""/>
    <s v=""/>
    <n v="1"/>
  </r>
  <r>
    <x v="2"/>
    <n v="794"/>
    <m/>
    <n v="3086"/>
    <s v="Falei com o cliente ele possui uma loja de embalagens (estilo Plasticap), levantei as informações dele e agendamos uma demonstração para amanhã as 9h_x000a_19/01- Olá Ederaldo, tudo bem?_x000a_No dia 15/01 encaminhamos a proposta de investimento para o Guarani ERP, contemplando os serviços de ERP + PDV, com foco na evolução tecnológica e no crescimento da sua empresa._x000a_Para avançarmos, gostaria de entender como foi sua análise e qual o investimento previsto para o software, assim conseguimos alinhar expectativas e próximos passos._x000a_Quando seria um bom momento para conversarmos?_x000a_26/01 - Após envio e apresentação da proposta comercial cliente não deu retorno. _x000a_Encerrando contato_x000a_Oi Ederaldo, tudo bem?_x000a_No dia 15/01 te enviei uma proposta que poderia mudar os rumos do seu negócio. Como não tivemos retorno, estou encerrando nosso contato._x000a_Quero deixar claro: essa não era apenas mais uma oferta, mas uma oportunidade única que dificilmente vai se repetir. Ao não avançar, você está deixando escapar aquilo que poderia ser o divisor de águas para sua empresa._x000a_Desejo sucesso nos seus próximos passos!"/>
    <s v=""/>
    <x v="380"/>
    <m/>
    <s v=""/>
    <s v="Marques Embalagens"/>
    <s v="16992159372"/>
    <s v=""/>
    <s v="marquesembalagens@hotmail.com"/>
    <s v=""/>
    <s v=""/>
    <s v=""/>
    <s v=""/>
    <s v=""/>
    <s v="Campanha"/>
    <s v=""/>
    <s v=""/>
    <s v="Dentro Perfil;Instagram"/>
    <s v="Pipeline de Vendas"/>
    <s v="Apresentar Proposta (50%)"/>
    <s v=""/>
    <d v="2026-01-31T00:00:00"/>
    <n v="6168744"/>
    <n v="149828"/>
    <n v="13"/>
    <s v="Paulo Souza"/>
    <d v="2026-01-13T00:00:00"/>
    <d v="1899-12-30T17:42:00"/>
    <s v=""/>
    <s v="Perdido"/>
    <d v="2026-01-26T00:00:00"/>
    <d v="1899-12-30T09:26:12"/>
    <s v="Preço muito alto - fora do budget de investimento"/>
    <s v=""/>
    <s v=""/>
    <x v="170"/>
    <s v="Rayssa Karapeticov"/>
    <x v="180"/>
    <s v=""/>
    <d v="2026-01-26T00:00:00"/>
    <m/>
    <s v=""/>
    <s v=""/>
    <s v=""/>
    <s v=""/>
    <n v="1"/>
  </r>
  <r>
    <x v="0"/>
    <n v="795"/>
    <m/>
    <n v="3088"/>
    <s v="Falei com a Kelly hoje que me passou as informações que faltava para formular a proposta. Agora e falar com o Fernando e montar a proposta e apresentar._x000a_23/01 Falei com a Kelly em 19/01, e ela avisou que estava de férias e que retorno essa semana , e que só vai conseguir analisar a proposta na semana do dia 26/01, quando retornarei o contato._x000a_07/02 Fiz FUP com a Kelly e perguntei se ela vai ou não seguir com o projeto, não retornou ainda._x000a_12/03 12/03 Fiz FUP com a Kelly e a mesma esta analisando a proposta. Como esta semana ela tá fazendo compra de natal, vai conseguir parar e ver a proposta amanhã 13/03._x000a_20/03 Cobrei a Kelly a evolução da negociação."/>
    <s v=""/>
    <x v="381"/>
    <n v="3674537000125"/>
    <s v=""/>
    <s v="Kelly"/>
    <s v="12974030134"/>
    <s v=""/>
    <s v="MKT@VALPORT.COM.BR"/>
    <s v=""/>
    <s v=""/>
    <s v=""/>
    <s v=""/>
    <s v=""/>
    <s v=""/>
    <s v=""/>
    <s v=""/>
    <s v="50%"/>
    <s v="Pipeline de Vendas"/>
    <s v="Em negociação (75%)"/>
    <s v=""/>
    <d v="2026-03-31T00:00:00"/>
    <n v="1600"/>
    <n v="384454"/>
    <n v="87"/>
    <s v="Paulo Souza"/>
    <d v="2026-01-13T00:00:00"/>
    <d v="1899-12-30T22:55:41"/>
    <s v=""/>
    <s v="Perdido"/>
    <d v="2026-04-10T00:00:00"/>
    <d v="1899-12-30T15:55:43"/>
    <s v="Projeto adiado / sem prazo definido"/>
    <s v=""/>
    <s v=""/>
    <x v="0"/>
    <s v="Paulo Souza"/>
    <x v="0"/>
    <s v=""/>
    <d v="2026-03-20T00:00:00"/>
    <n v="30"/>
    <s v="7"/>
    <s v="CLOUD"/>
    <s v="R$ 1.600"/>
    <s v="R$ 3.844,54"/>
    <n v="1"/>
  </r>
  <r>
    <x v="0"/>
    <n v="796"/>
    <m/>
    <n v="3087"/>
    <s v="Feito contato com o Vinicius afim de qualificar o LEAD._x000a_23/01 Fiz FUp hoje com o Vinicius para saber se e possível a nossa agenda na semana que vem na quinta feira._x000a_07/02 Fiz FUP com o Vinicius e avise que por falta de contato estou declinando a oportunidade e em caso de interesse retornamos o contato."/>
    <s v=""/>
    <x v="382"/>
    <m/>
    <s v=""/>
    <s v="MVF Lavadoras"/>
    <s v="35998687836"/>
    <s v=""/>
    <s v="ti@mvflavadoras.com.br"/>
    <s v=""/>
    <s v=""/>
    <s v=""/>
    <s v=""/>
    <s v=""/>
    <s v="Campanha"/>
    <s v=""/>
    <s v=""/>
    <s v="Dentro Perfil;Instagram"/>
    <s v="Pipeline de Vendas"/>
    <s v="Qualificação de Vendas (SQL) (25%)"/>
    <s v=""/>
    <d v="2026-01-31T00:00:00"/>
    <m/>
    <m/>
    <n v="24"/>
    <s v="Paulo Souza"/>
    <d v="2026-01-14T00:00:00"/>
    <d v="1899-12-30T10:15:54"/>
    <s v=""/>
    <s v="Perdido"/>
    <d v="2026-02-07T00:00:00"/>
    <d v="1899-12-30T07:35:17"/>
    <s v="Fora do porte mínimo (sem fit estrutural)"/>
    <s v="07/02 Fiz FUP com o Vinicius e avise que por falta de contato estou declinando a oportunidade e em caso de interesse retornamos o contato."/>
    <s v=""/>
    <x v="0"/>
    <s v="Paulo Souza"/>
    <x v="0"/>
    <s v=""/>
    <d v="2026-02-07T00:00:00"/>
    <n v="30"/>
    <s v=""/>
    <s v=""/>
    <s v=""/>
    <s v=""/>
    <n v="1"/>
  </r>
  <r>
    <x v="0"/>
    <n v="799"/>
    <m/>
    <n v="3091"/>
    <s v="Visita amanha em São Paulo no cliente_x000a_23/01 - fechamos negocio."/>
    <s v=""/>
    <x v="383"/>
    <m/>
    <s v=""/>
    <s v="Tiago"/>
    <s v="11971597112"/>
    <s v=""/>
    <s v="null"/>
    <s v=""/>
    <s v=""/>
    <s v=""/>
    <s v=""/>
    <s v=""/>
    <s v=""/>
    <s v=""/>
    <s v=""/>
    <s v="90%;Fabio Indica"/>
    <s v="Pipeline de Vendas"/>
    <s v="Em Fechamento (100%)"/>
    <s v=""/>
    <d v="2026-01-15T00:00:00"/>
    <n v="1600"/>
    <n v="252471"/>
    <n v="9"/>
    <s v="Paulo Souza"/>
    <d v="2026-01-14T00:00:00"/>
    <d v="1899-12-30T18:55:04"/>
    <s v=""/>
    <s v="Ganho"/>
    <d v="2026-01-23T00:00:00"/>
    <d v="1899-12-30T11:04:46"/>
    <s v=""/>
    <s v=""/>
    <s v="14/01/2026 00:00"/>
    <x v="171"/>
    <s v="Paulo Souza"/>
    <x v="185"/>
    <s v=""/>
    <d v="2026-01-15T00:00:00"/>
    <m/>
    <s v=""/>
    <s v=""/>
    <s v=""/>
    <s v=""/>
    <n v="1"/>
  </r>
  <r>
    <x v="2"/>
    <n v="800"/>
    <m/>
    <n v="3092"/>
    <s v=""/>
    <s v=""/>
    <x v="384"/>
    <n v="9205460000120"/>
    <s v=""/>
    <s v="Panveiga"/>
    <s v="(83) 3343-3391 / (83) 3343-3391"/>
    <s v=""/>
    <s v="null"/>
    <s v=""/>
    <s v=""/>
    <s v=""/>
    <s v="CAMPINA GRANDE"/>
    <s v="PB"/>
    <s v="Campanha"/>
    <s v=""/>
    <s v=""/>
    <s v="Fora Perfil;Instagram"/>
    <s v="Pipeline de Vendas"/>
    <s v="Agendamento (0%)"/>
    <s v=""/>
    <d v="2026-01-31T00:00:00"/>
    <m/>
    <m/>
    <n v="7"/>
    <s v="Paulo Souza"/>
    <d v="2026-01-16T00:00:00"/>
    <d v="1899-12-30T09:31:20"/>
    <s v=""/>
    <s v="Perdido"/>
    <d v="2026-01-23T00:00:00"/>
    <d v="1899-12-30T17:12:19"/>
    <s v="Fora do porte mínimo (sem fit estrutural)"/>
    <s v=""/>
    <s v=""/>
    <x v="0"/>
    <s v="Rayssa Karapeticov"/>
    <x v="0"/>
    <s v=""/>
    <d v="2026-01-23T00:00:00"/>
    <m/>
    <s v=""/>
    <s v=""/>
    <s v=""/>
    <s v=""/>
    <n v="1"/>
  </r>
  <r>
    <x v="1"/>
    <n v="803"/>
    <m/>
    <n v="3094"/>
    <s v="(20/01/2026) efetuei tentativa de ligação e mensagem no WhatsApp a fim de alinhar em bate papo com Ismael e entender suas necessidades , porem cliente não responde aos contatos"/>
    <s v=""/>
    <x v="385"/>
    <m/>
    <s v=""/>
    <s v="Autônomo"/>
    <s v="27999362925"/>
    <s v=""/>
    <s v="continente.of@gmail.com"/>
    <s v=""/>
    <s v=""/>
    <s v=""/>
    <s v=""/>
    <s v=""/>
    <s v="Campanha"/>
    <s v=""/>
    <s v=""/>
    <s v="Fora Perfil;Instagram"/>
    <s v="Pipeline de Vendas"/>
    <s v="Qualificação de Vendas (SQL) (25%)"/>
    <s v=""/>
    <d v="2026-01-31T00:00:00"/>
    <m/>
    <m/>
    <n v="113"/>
    <s v="Paulo Souza"/>
    <d v="2026-01-16T00:00:00"/>
    <d v="1899-12-30T16:05:09"/>
    <s v=""/>
    <s v="Perdido"/>
    <d v="2026-05-09T00:00:00"/>
    <d v="1899-12-30T07:39:04"/>
    <s v="Fora do porte mínimo (sem fit estrutural)"/>
    <s v=""/>
    <s v=""/>
    <x v="0"/>
    <s v="Junior Lopes"/>
    <x v="0"/>
    <s v=""/>
    <d v="2026-01-20T00:00:00"/>
    <m/>
    <s v=""/>
    <s v=""/>
    <s v=""/>
    <s v=""/>
    <n v="1"/>
  </r>
  <r>
    <x v="2"/>
    <n v="804"/>
    <m/>
    <n v="3099"/>
    <s v=""/>
    <s v=""/>
    <x v="386"/>
    <n v="33036815000180"/>
    <s v=""/>
    <s v="Haller Farmacêutica"/>
    <s v="21994011336"/>
    <s v=""/>
    <s v="marcelo.uchoa@haller.ind.br"/>
    <s v=""/>
    <s v=""/>
    <s v=""/>
    <s v=""/>
    <s v=""/>
    <s v="Campanha"/>
    <s v=""/>
    <s v=""/>
    <s v="Fora Perfil;Instagram"/>
    <s v="Pipeline de Vendas"/>
    <s v="Agendamento (0%)"/>
    <s v=""/>
    <d v="2026-01-31T00:00:00"/>
    <m/>
    <m/>
    <n v="5"/>
    <s v="Paulo Souza"/>
    <d v="2026-01-16T00:00:00"/>
    <d v="1899-12-30T16:06:39"/>
    <s v=""/>
    <s v="Perdido"/>
    <d v="2026-01-21T00:00:00"/>
    <d v="1899-12-30T11:42:22"/>
    <s v="Fora do porte mínimo (sem fit estrutural)"/>
    <s v=""/>
    <s v=""/>
    <x v="0"/>
    <s v="Rayssa Karapeticov"/>
    <x v="0"/>
    <s v=""/>
    <d v="2026-01-21T00:00:00"/>
    <m/>
    <s v=""/>
    <s v=""/>
    <s v=""/>
    <s v=""/>
    <n v="1"/>
  </r>
  <r>
    <x v="1"/>
    <n v="805"/>
    <m/>
    <n v="3093"/>
    <s v="(20/01/2026)  09:04, 20/01/2026 Junior Lopes: Olá Cláudio ! Bom dia_x000a_17:23, 27/01/2026 Claudio Teixeira: Boa tarde essa semana estou fora da empresa_x000a_17:23, 27/01/2026 Claudio Teixeira: Semana que vem falamos_x000a_17:32, 27/01/2026 Junior Lopes: Perfeito Claudio ! abraço _x000a_09:06, 20/01/2026 Claudio Teixeira: Bom dia_x000a_09:07, 20/01/2026 Junior Lopes: Td bem ? Vc entrou em contato com a Guarani sistemas, gostaria de marcar um horário para batermos um papo e entender melhor suas necessidades_x000a_09:08, 20/01/2026 Junior Lopes: Qual melhor horário para você?_x000a_09:08, 20/01/2026 Claudio Teixeira: Pode ser às 11:30_x000a_09:10, 20/01/2026 Junior Lopes: Ótimo, vou Estar terminando uma apresentação! Pode ser que atrase uns 15 minutos para ligar_x000a_09:11, 20/01/2026 Claudio Teixeira: Ok_x000a_Perfeito Cláudio ! Abraço_x000a_Olá Cláudio! Como vai ?_x000a_Olá Cláudio Td bem ? _x000a_Como não recebi seu retorno nos últimos dias, entendo que talvez não seja o melhor momento para seguirmos com projeto Guarani _x000a_Para nao lotar seu WhatsApp de mensagens estou encerrando o contato! _x000a_Caso suas prioridades mudem sigo a disposição _x000a_Abraço"/>
    <s v=""/>
    <x v="387"/>
    <n v="53629067000156"/>
    <s v=""/>
    <s v="Claudio Teixeira"/>
    <s v="(43) 99669-3593"/>
    <s v=""/>
    <s v="claudioteixeirasap@hotmail.com"/>
    <s v=""/>
    <s v=""/>
    <s v=""/>
    <s v="CONSELHEIRO MAIRINCK"/>
    <s v="PR"/>
    <s v="Site"/>
    <s v=""/>
    <s v=""/>
    <s v="Solicita demo"/>
    <s v="Pipeline de Vendas"/>
    <s v="Apresentar Proposta (50%)"/>
    <s v=""/>
    <d v="2026-01-31T00:00:00"/>
    <n v="72080"/>
    <n v="18676"/>
    <n v="52"/>
    <s v="Paulo Souza"/>
    <d v="2026-01-16T00:00:00"/>
    <d v="1899-12-30T16:08:11"/>
    <s v=""/>
    <s v="Perdido"/>
    <d v="2026-03-09T00:00:00"/>
    <d v="1899-12-30T11:02:30"/>
    <s v="Projeto adiado / sem prazo definido"/>
    <s v="Perfeito Cláudio ! Abraço_x000a_Olá Cláudio! Como vai ?_x000a_Olá Cláudio Td bem ? _x000a_Como não recebi seu retorno nos últimos dias, entendo que talvez não seja o melhor momento para seguirmos com projeto Guarani _x000a_Para nao lotar seu WhatsApp de mensagens estou encerrando o contato! _x000a_Caso suas prioridades mudem sigo a disposição _x000a_Abraço"/>
    <s v=""/>
    <x v="172"/>
    <s v="Junior Lopes"/>
    <x v="186"/>
    <s v=""/>
    <d v="2026-02-09T00:00:00"/>
    <m/>
    <s v=""/>
    <s v=""/>
    <s v=""/>
    <s v=""/>
    <n v="1"/>
  </r>
  <r>
    <x v="2"/>
    <n v="818"/>
    <m/>
    <n v="3101"/>
    <s v="Apresentação agendada para 27/01/2026 - 15:00 horas_x000a_26/01 - reunião agendada para amanhã, aguardand confirmação_x000a_27/01 - cliente não confirmou nem entrou na reunião_x000a_28/01 - Oi Renato, tudo bem?_x000a_No dia 27/01 tinhamos uma agenda de apresentação que poderia mudar os rumos do seu negócio. Como não tivemos retorno, estou encerrando nosso contato._x000a_Quero deixar claro: essa não era apenas mais uma oferta, mas uma oportunidade única que dificilmente vai se repetir. Ao não avançar, você está deixando escapar aquilo que poderia ser o divisor de águas para sua empresa._x000a_Desejo sucesso nos seus próximos passos!"/>
    <s v=""/>
    <x v="388"/>
    <m/>
    <s v=""/>
    <s v="Recanto Agricola"/>
    <s v="17999791171"/>
    <s v=""/>
    <s v="recantoagricola@gmail.com"/>
    <s v=""/>
    <s v=""/>
    <s v=""/>
    <s v=""/>
    <s v=""/>
    <s v="Campanha"/>
    <s v=""/>
    <s v=""/>
    <s v="Dentro Perfil;Instagram"/>
    <s v="Pipeline de Vendas"/>
    <s v="Apresentar Solução (35%)"/>
    <s v=""/>
    <d v="2026-03-31T00:00:00"/>
    <m/>
    <m/>
    <n v="9"/>
    <s v="Paulo Souza"/>
    <d v="2026-01-19T00:00:00"/>
    <d v="1899-12-30T11:30:57"/>
    <s v=""/>
    <s v="Perdido"/>
    <d v="2026-01-28T00:00:00"/>
    <d v="1899-12-30T16:29:00"/>
    <s v="Não quer mudar a solução atual"/>
    <s v=""/>
    <s v=""/>
    <x v="0"/>
    <s v="Rayssa Karapeticov"/>
    <x v="0"/>
    <s v=""/>
    <d v="2026-01-28T00:00:00"/>
    <m/>
    <s v=""/>
    <s v=""/>
    <s v=""/>
    <s v=""/>
    <n v="1"/>
  </r>
  <r>
    <x v="1"/>
    <n v="819"/>
    <m/>
    <n v="3102"/>
    <s v="(19/01/2026) reunião de apresentação agendada para 20/01/2026_x000a_(26/01/2026) _x000a_Olá Mauricio ! tudo bem ?_x000a_Como não recebi o seu retorno sobre o questionário após nossa apresentação, imagino que as prioridades tenham mudado por aí ou que este não seja o momento ideal para avançarmos com a proposta da Guarani Sistemas._x000a_Para não sobrecarregar sua caixa de entrada, estou encerrando o seu processo aqui no meu sistema por enquanto._x000a_Caso seus planos mudem no futuro, meus contatos continuam os mesmos. Desejo sucesso em seus projetos._x000a_Após mensagem enviada Mauricio compartilhou áudio dizendo que achou investimento muito alto e que no futuro vamos voltar a falar"/>
    <s v=""/>
    <x v="389"/>
    <n v="49827202000109"/>
    <s v=""/>
    <s v="Maurício Jorge lima"/>
    <s v="(93) 8406-4995"/>
    <s v=""/>
    <s v="mauriciojlatm@gmail.com"/>
    <s v=""/>
    <s v=""/>
    <s v=""/>
    <s v="ITAITUBA"/>
    <s v="PA"/>
    <s v="Site"/>
    <s v=""/>
    <s v=""/>
    <s v="Contato;Dentro Perfil"/>
    <s v="Pipeline de Vendas"/>
    <s v="Apresentar Solução (35%)"/>
    <s v=""/>
    <d v="2026-01-31T00:00:00"/>
    <n v="72080"/>
    <n v="881079"/>
    <n v="17"/>
    <s v="Paulo Souza"/>
    <d v="2026-01-19T00:00:00"/>
    <d v="1899-12-30T11:33:47"/>
    <s v=""/>
    <s v="Perdido"/>
    <d v="2026-02-05T00:00:00"/>
    <d v="1899-12-30T14:12:46"/>
    <s v="Preço muito alto - fora do budget de investimento"/>
    <s v=": Preço muito alto"/>
    <s v=""/>
    <x v="172"/>
    <s v="Junior Lopes"/>
    <x v="183"/>
    <s v=""/>
    <d v="2026-01-26T00:00:00"/>
    <m/>
    <s v=""/>
    <s v=""/>
    <s v=""/>
    <s v=""/>
    <n v="1"/>
  </r>
  <r>
    <x v="2"/>
    <n v="820"/>
    <m/>
    <n v="3103"/>
    <s v=""/>
    <s v=""/>
    <x v="390"/>
    <m/>
    <s v=""/>
    <s v="Max club"/>
    <s v="3194371833"/>
    <s v=""/>
    <s v="willian.portodasilva8@gmail.com"/>
    <s v=""/>
    <s v=""/>
    <s v=""/>
    <s v=""/>
    <s v=""/>
    <s v="Campanha"/>
    <s v=""/>
    <s v=""/>
    <s v="Fora Perfil;Instagram"/>
    <s v="Pipeline de Vendas"/>
    <s v="Agendamento (0%)"/>
    <s v=""/>
    <d v="2026-01-31T00:00:00"/>
    <m/>
    <m/>
    <n v="19"/>
    <s v="Paulo Souza"/>
    <d v="2026-01-19T00:00:00"/>
    <d v="1899-12-30T11:34:55"/>
    <s v=""/>
    <s v="Perdido"/>
    <d v="2026-02-07T00:00:00"/>
    <d v="1899-12-30T07:45:07"/>
    <s v="Fora do porte mínimo (sem fit estrutural)"/>
    <s v=""/>
    <s v=""/>
    <x v="0"/>
    <s v="Rayssa Karapeticov"/>
    <x v="0"/>
    <s v=""/>
    <d v="2026-01-27T00:00:00"/>
    <m/>
    <s v=""/>
    <s v=""/>
    <s v=""/>
    <s v=""/>
    <n v="1"/>
  </r>
  <r>
    <x v="0"/>
    <n v="821"/>
    <m/>
    <n v="3119"/>
    <s v="Liguei para o Gerson o mesmo não atendeu deixei msg no whatsapp._x000a_23/01 Foi feito apresentação para o cliente do institucional e AFV.  em resumo, a apresentação foi direcionada para a importadora DINATALE (Diego). Porém entrou na reunião a CASAART (William) e também o Mauricio cuja a empresa ainda não conheço. O Gerson (consultor0 que esta conduzindo o projeto participou e informou que são 5 empresa no total, a ideia é conseguir colocar o sistema nas 5 empresas. _x000a_O próximo passo é fazer uma nova agenda para a semana do dia 26/01, para apresentar o sistema novamente para uma equipe maior e expandido com o módulo OCMEX, ERP, REP+ E CONTABIL._x000a_13/02 Esse negócio está sendo tratado nas proposta da Iracema, Dinatale, Casart e MCFlores."/>
    <s v=""/>
    <x v="391"/>
    <n v="7658378000126"/>
    <s v=""/>
    <s v="Gerson Baesso"/>
    <s v="(49) 98872-0298"/>
    <s v=""/>
    <s v="consultor01@visionway.com.br"/>
    <s v=""/>
    <s v=""/>
    <s v=""/>
    <s v="Nova Aurora"/>
    <s v=""/>
    <s v="Site"/>
    <s v=""/>
    <s v=""/>
    <s v="30%;Solicita demo"/>
    <s v="Pipeline de Vendas"/>
    <s v="Apresentar Solução (35%)"/>
    <s v=""/>
    <d v="2026-01-31T00:00:00"/>
    <m/>
    <m/>
    <n v="24"/>
    <s v="Paulo Souza"/>
    <d v="2026-01-20T00:00:00"/>
    <d v="1899-12-30T08:41:55"/>
    <s v=""/>
    <s v="Perdido"/>
    <d v="2026-02-13T00:00:00"/>
    <d v="1899-12-30T17:34:46"/>
    <s v="Projeto adiado / sem prazo definido"/>
    <s v=""/>
    <s v=""/>
    <x v="173"/>
    <s v="Paulo Souza"/>
    <x v="187"/>
    <s v=""/>
    <d v="2026-01-23T00:00:00"/>
    <n v="30"/>
    <s v=""/>
    <s v="ERP, AFV, BI"/>
    <s v=""/>
    <s v=""/>
    <n v="1"/>
  </r>
  <r>
    <x v="2"/>
    <n v="823"/>
    <m/>
    <n v="3118"/>
    <s v="29/01 - retornar após o carnaval_x000a_18.03 - agendando um contato para negociação, sugeri hoje as 16:30_x000a_30.03 Boa tarde, Helena. Espero que esteja bem._x000a_Conversamos anteriormente sobre o software de gestão da Guarani Sistemas, empresa consolidada e referência no mercado de utilidades e abastecimento de artigos para o lar._x000a_Acreditamos que, com o potencial da sua empresa aliado à experiência da Guarani, seria possível alcançar resultados ainda mais expressivos. No entanto, após diversas tentativas de contato, não obtivemos retorno para avançar com esse projeto._x000a_Diante disso, estamos encerrando nosso contato neste momento, entendendo que não há interesse da Purai Suvinirs em seguir com essa oportunidade de crescimento. Permaneço à disposição para retomar a conversa quando fizer sentido para vocês._x000a_Atenciosamente,"/>
    <s v=""/>
    <x v="392"/>
    <n v="44530589000105"/>
    <s v=""/>
    <s v="Helena reis"/>
    <s v="(47) 3344-3239"/>
    <s v=""/>
    <s v="vendas@diceart.com.br"/>
    <s v=""/>
    <s v=""/>
    <s v=""/>
    <s v="ITAJAI"/>
    <s v="SC"/>
    <s v="Site"/>
    <s v=""/>
    <s v=""/>
    <s v="30%;Dentro Perfil"/>
    <s v="Pipeline de Vendas"/>
    <s v="Em negociação (75%)"/>
    <s v=""/>
    <d v="2026-05-31T00:00:00"/>
    <n v="579843"/>
    <n v="28845"/>
    <n v="69"/>
    <s v="Paulo Souza"/>
    <d v="2026-01-20T00:00:00"/>
    <d v="1899-12-30T08:46:51"/>
    <s v=""/>
    <s v="Perdido"/>
    <d v="2026-03-30T00:00:00"/>
    <d v="1899-12-30T15:47:48"/>
    <s v="Projeto adiado / sem prazo definido"/>
    <s v=""/>
    <s v=""/>
    <x v="174"/>
    <s v="Rayssa Karapeticov"/>
    <x v="188"/>
    <s v="12/03/2026"/>
    <d v="2026-03-30T00:00:00"/>
    <n v="30"/>
    <s v=""/>
    <s v="ERP, AFV"/>
    <s v=""/>
    <s v=""/>
    <n v="1"/>
  </r>
  <r>
    <x v="2"/>
    <n v="847"/>
    <m/>
    <n v="3129"/>
    <s v="Telefone cadastrado eé de um mercado"/>
    <s v=""/>
    <x v="393"/>
    <m/>
    <s v=""/>
    <s v="Bem bom pescados"/>
    <s v="6233899200"/>
    <s v=""/>
    <s v="edinho@grupo3ebr.com.br"/>
    <s v=""/>
    <s v=""/>
    <s v=""/>
    <s v=""/>
    <s v=""/>
    <s v="Campanha"/>
    <s v=""/>
    <s v=""/>
    <s v="Fora Perfil;Instagram"/>
    <s v="Pipeline de Vendas"/>
    <s v="Agendamento (0%)"/>
    <s v=""/>
    <d v="2026-01-31T00:00:00"/>
    <m/>
    <m/>
    <n v="0"/>
    <s v="Paulo Souza"/>
    <d v="2026-01-21T00:00:00"/>
    <d v="1899-12-30T10:51:15"/>
    <s v=""/>
    <s v="Perdido"/>
    <d v="2026-01-21T00:00:00"/>
    <d v="1899-12-30T11:14:02"/>
    <s v="Fora do porte mínimo (sem fit estrutural)"/>
    <s v=""/>
    <s v=""/>
    <x v="0"/>
    <s v="Rayssa Karapeticov"/>
    <x v="0"/>
    <s v=""/>
    <m/>
    <m/>
    <s v=""/>
    <s v=""/>
    <s v=""/>
    <s v=""/>
    <n v="1"/>
  </r>
  <r>
    <x v="1"/>
    <n v="848"/>
    <m/>
    <n v="3148"/>
    <s v="(23/01/2026) Sérgio não respondeu as minhas mensagens ! estou descartando de falta de retorno do cliente"/>
    <s v=""/>
    <x v="394"/>
    <m/>
    <s v=""/>
    <s v="Possani mix"/>
    <s v="11971375421"/>
    <s v=""/>
    <s v="possanimix@gmail.com"/>
    <s v=""/>
    <s v=""/>
    <s v=""/>
    <s v=""/>
    <s v=""/>
    <s v="Campanha"/>
    <s v=""/>
    <s v=""/>
    <s v="Fora Perfil;Instagram"/>
    <s v="Pipeline de Vendas"/>
    <s v="Agendamento (0%)"/>
    <s v=""/>
    <d v="2026-01-31T00:00:00"/>
    <m/>
    <m/>
    <n v="108"/>
    <s v="Paulo Souza"/>
    <d v="2026-01-21T00:00:00"/>
    <d v="1899-12-30T10:54:34"/>
    <s v=""/>
    <s v="Perdido"/>
    <d v="2026-05-09T00:00:00"/>
    <d v="1899-12-30T08:48:17"/>
    <s v="Fora do segmento atendido"/>
    <s v=""/>
    <s v=""/>
    <x v="0"/>
    <s v="Junior Lopes"/>
    <x v="0"/>
    <s v=""/>
    <d v="2026-01-23T00:00:00"/>
    <m/>
    <s v=""/>
    <s v=""/>
    <s v=""/>
    <s v=""/>
    <n v="1"/>
  </r>
  <r>
    <x v="2"/>
    <n v="849"/>
    <m/>
    <n v="3149"/>
    <s v=""/>
    <s v=""/>
    <x v="395"/>
    <n v="27343071000143"/>
    <s v=""/>
    <s v="Bombemi"/>
    <s v="11959925385"/>
    <s v=""/>
    <s v="adminitrativo@bombemi.com.br"/>
    <s v=""/>
    <s v=""/>
    <s v=""/>
    <s v=""/>
    <s v=""/>
    <s v="Campanha"/>
    <s v=""/>
    <s v=""/>
    <s v="Fora Perfil;Instagram"/>
    <s v="Pipeline de Vendas"/>
    <s v="Agendamento (0%)"/>
    <s v=""/>
    <d v="2026-01-31T00:00:00"/>
    <m/>
    <m/>
    <n v="17"/>
    <s v="Paulo Souza"/>
    <d v="2026-01-21T00:00:00"/>
    <d v="1899-12-30T12:23:03"/>
    <s v=""/>
    <s v="Perdido"/>
    <d v="2026-02-07T00:00:00"/>
    <d v="1899-12-30T07:43:30"/>
    <s v="Fora do porte mínimo (sem fit estrutural)"/>
    <s v=""/>
    <s v=""/>
    <x v="0"/>
    <s v="Rayssa Karapeticov"/>
    <x v="0"/>
    <s v=""/>
    <m/>
    <m/>
    <s v=""/>
    <s v=""/>
    <s v=""/>
    <s v=""/>
    <n v="1"/>
  </r>
  <r>
    <x v="2"/>
    <n v="850"/>
    <m/>
    <n v="3150"/>
    <s v=""/>
    <s v=""/>
    <x v="395"/>
    <n v="27343071000143"/>
    <s v=""/>
    <s v="MILENE DIAS"/>
    <s v="(11) 95992-5385"/>
    <s v=""/>
    <s v="administrativo@bombemi.com.br"/>
    <s v=""/>
    <s v=""/>
    <s v=""/>
    <s v="São Paulo"/>
    <s v=""/>
    <s v="Site"/>
    <s v=""/>
    <s v=""/>
    <s v="Dentro Perfil;Solicita demo"/>
    <s v="Pipeline de Vendas"/>
    <s v="Qualificação de Vendas (SQL) (25%)"/>
    <s v=""/>
    <d v="2026-01-31T00:00:00"/>
    <m/>
    <m/>
    <n v="1"/>
    <s v="Paulo Souza"/>
    <d v="2026-01-21T00:00:00"/>
    <d v="1899-12-30T12:24:02"/>
    <s v=""/>
    <s v="Perdido"/>
    <d v="2026-01-22T00:00:00"/>
    <d v="1899-12-30T10:03:56"/>
    <s v="Preço muito alto - fora do budget de investimento"/>
    <s v=""/>
    <s v=""/>
    <x v="0"/>
    <s v="Rayssa Karapeticov"/>
    <x v="0"/>
    <s v=""/>
    <m/>
    <m/>
    <s v=""/>
    <s v=""/>
    <s v=""/>
    <s v=""/>
    <n v="1"/>
  </r>
  <r>
    <x v="1"/>
    <n v="851"/>
    <m/>
    <n v="3151"/>
    <s v="14:08, 21/01/2026 Junior Lopes: Olá Edmilson, boa tarde ! Aqui é Junior da Guarani sistemas, Td bem ?_x000a_(26/01/2026) Ola Edmilson, bom dia tudo bem ? _x000a_Sobre as soluções em software ERP e Força de vendas Guarani ! Tem interesse em conhecer? _x000a_21/01/2026 - envio de Aúdio me apresentando e solicitando data para falarmos _x000a_15:30, 23/01/2026 Junior Lopes: Olá Edmilson, boa tarde_x000a_17:08, 27/01/2026 Junior Lopes: Olá, Edmilson! Como não conseguimos evoluir nossa conversa nos últimos dias, entendo que talvez este não seja o momento ideal para focarmos na Solução ERP e Força de vendas. Estou encerrando o seu processo por aqui para não lotar sua caixa de entrada. Vou deixar seu contato salvo e, assim que suas prioridades mudarem, sinta-se à vontade para me chamar_x000a_(18/05/2026) Após varias tentativas de contato , sem sucesso ! estou declinando oportunidade"/>
    <s v=""/>
    <x v="396"/>
    <m/>
    <s v=""/>
    <s v="Édy Distribuidora de Alimentos"/>
    <s v="12997313349"/>
    <s v=""/>
    <s v="edmilson.goulart1@gmail.com"/>
    <s v=""/>
    <s v=""/>
    <s v=""/>
    <s v=""/>
    <s v=""/>
    <s v="Campanha"/>
    <s v=""/>
    <s v=""/>
    <s v="Dentro Perfil;Instagram"/>
    <s v="Pipeline de Vendas"/>
    <s v="Qualificação de Vendas (SQL) (25%)"/>
    <s v=""/>
    <d v="2026-01-31T00:00:00"/>
    <m/>
    <m/>
    <n v="117"/>
    <s v="Paulo Souza"/>
    <d v="2026-01-21T00:00:00"/>
    <d v="1899-12-30T12:30:13"/>
    <s v=""/>
    <s v="Perdido"/>
    <d v="2026-05-18T00:00:00"/>
    <d v="1899-12-30T14:43:41"/>
    <s v="Sem qualificação — contato não atende ligações nem responde msg"/>
    <s v="(18/05/2026) Após varias tentativas de contato , sem sucesso ! estou declinando oportunidade"/>
    <s v=""/>
    <x v="0"/>
    <s v="Junior Lopes"/>
    <x v="0"/>
    <s v=""/>
    <d v="2026-05-18T00:00:00"/>
    <m/>
    <s v=""/>
    <s v=""/>
    <s v=""/>
    <s v=""/>
    <n v="1"/>
  </r>
  <r>
    <x v="2"/>
    <n v="853"/>
    <m/>
    <n v="3154"/>
    <s v="22/01/2026 Rayssa Karapeticov - Comercial - Guarani Sistemas: Bom dia Roberto, como vai? _x000a_29/01 Ok, entendi o objeto. Vejo que não estaremos aptos a fazer o investimento com a sua empresa._x000a_Fica agradecido._x000a_Obrigado pela franqueza e informações._x000a_É a Rayssa da Guarani Sistemas _x000a_recebi seu contato para falar de nossas soluções, você prefere que eu te ligue ou trate por aqui?_x000a_12:34, 22/01/2026 +55 62 8181-2473: Bom dia!_x000a_Pode ser por aqui..._x000a_15:40, 22/01/2026 Rayssa Karapeticov - Comercial - Guarani Sistemas: Perfeito, me passa o que esta procurando de solução de software e como posso te ajudar?_x000a_26/01/2026 Rayssa Karapeticov - Comercial - Guarani Sistemas: Bom dia Roberto como vai?_x000a_Para que possamos avançar, preciso entende um pouco da sua empresa e como as soluções da Guarani Sistemas podem potencializar seus processos e faturamento. _x000a_Podemos conversar?_x000a_27-01 Bom dia Roberto, tudo bem?_x000a_Ainda tem interesse em seguir com uma solução técnologica para sua empresa?_x000a_28/01 Somos uma empresa distribuição de secos e molhados._x000a_Faturamento médio de 350 mil mês_x000a_Trabalhamos com venda direta e pré-venda._x000a_7 vendedores externos_x000a_5 usuário do ERP interno._x000a_Certo, quantos CNPJs?_x000a_2 CNPJ_x000a_vocês precisam controlar lote e validade?_x000a_É interessante, embora não estamos fazendo. Por isso a mudança de ERP..."/>
    <s v=""/>
    <x v="397"/>
    <n v="8439142000161"/>
    <s v=""/>
    <s v="MSRAC"/>
    <s v="62981812473"/>
    <s v=""/>
    <s v="roberto@msrac.com.br"/>
    <s v=""/>
    <s v=""/>
    <s v=""/>
    <s v=""/>
    <s v=""/>
    <s v="Campanha"/>
    <s v=""/>
    <s v=""/>
    <s v="Dentro Perfil;Instagram"/>
    <s v="Pipeline de Vendas"/>
    <s v="Apresentar Proposta (50%)"/>
    <s v=""/>
    <d v="2026-03-31T00:00:00"/>
    <n v="58800"/>
    <n v="873144"/>
    <n v="8"/>
    <s v="Paulo Souza"/>
    <d v="2026-01-21T00:00:00"/>
    <d v="1899-12-30T21:58:26"/>
    <s v=""/>
    <s v="Perdido"/>
    <d v="2026-01-29T00:00:00"/>
    <d v="1899-12-30T16:08:35"/>
    <s v="Preço muito alto - fora do budget de investimento"/>
    <s v=""/>
    <s v=""/>
    <x v="175"/>
    <s v="Rayssa Karapeticov"/>
    <x v="189"/>
    <s v="29/01/2026"/>
    <d v="2026-01-28T00:00:00"/>
    <m/>
    <s v=""/>
    <s v=""/>
    <s v=""/>
    <s v=""/>
    <n v="1"/>
  </r>
  <r>
    <x v="2"/>
    <n v="854"/>
    <m/>
    <n v="3155"/>
    <s v=""/>
    <s v=""/>
    <x v="398"/>
    <m/>
    <s v=""/>
    <s v="Mundo Das Águas Turismo"/>
    <s v="4599648080"/>
    <s v=""/>
    <s v="mundodasaguasturismo@gmail.com"/>
    <s v=""/>
    <s v=""/>
    <s v=""/>
    <s v=""/>
    <s v=""/>
    <s v="Campanha"/>
    <s v=""/>
    <s v=""/>
    <s v="Fora Perfil;Instagram"/>
    <s v="Pipeline de Vendas"/>
    <s v="Agendamento (0%)"/>
    <s v=""/>
    <d v="2026-01-22T00:00:00"/>
    <m/>
    <m/>
    <n v="0"/>
    <s v="Paulo Souza"/>
    <d v="2026-01-22T00:00:00"/>
    <d v="1899-12-30T15:01:30"/>
    <s v=""/>
    <s v="Perdido"/>
    <d v="2026-01-22T00:00:00"/>
    <d v="1899-12-30T15:42:36"/>
    <s v="Fora do porte mínimo (sem fit estrutural)"/>
    <s v=""/>
    <s v=""/>
    <x v="0"/>
    <s v="Rayssa Karapeticov"/>
    <x v="0"/>
    <s v=""/>
    <m/>
    <m/>
    <s v=""/>
    <s v=""/>
    <s v=""/>
    <s v=""/>
    <n v="1"/>
  </r>
  <r>
    <x v="1"/>
    <n v="860"/>
    <m/>
    <n v="3164"/>
    <s v="23/01/2026 Enviei mensagem para Adriano me apresentando, aguardando resposta para agendar um bate papo _x000a_(26/01/2026) buscando contato, enviei áudio buscando o melhor momento para falarmos sobre as soluções _x000a_(29/01/2026) Após tentativas de contato sem sucesso estou desacatando oportunidade !_x000a_Olá Adriano ! Td bem ? _x000a_Tentei contato com você sobre nossas soluções ! Porém não tivemos sucesso no contato, acredito que você esteja com outras prioridades nesse momento _x000a_Para não ficar incomodando vou descartar nosso contato por aqui ! Vou deixar seu contato salvo se suas prioridades mudarem me chame por favor _x000a_Abraço"/>
    <s v=""/>
    <x v="399"/>
    <n v="1399482000167"/>
    <s v=""/>
    <s v="Bral-Max Ind.Com.Plasticos Ltda"/>
    <s v="24999136531"/>
    <s v=""/>
    <s v="adriano@bral-max.com.br"/>
    <s v=""/>
    <s v=""/>
    <s v=""/>
    <s v=""/>
    <s v=""/>
    <s v="Campanha"/>
    <s v=""/>
    <s v=""/>
    <s v="Dentro Perfil;Instagram"/>
    <s v="Pipeline de Vendas"/>
    <s v="Qualificação de Vendas (SQL) (25%)"/>
    <s v=""/>
    <d v="2026-01-31T00:00:00"/>
    <m/>
    <m/>
    <n v="106"/>
    <s v="Paulo Souza"/>
    <d v="2026-01-23T00:00:00"/>
    <d v="1899-12-30T10:04:40"/>
    <s v=""/>
    <s v="Perdido"/>
    <d v="2026-05-09T00:00:00"/>
    <d v="1899-12-30T07:44:36"/>
    <s v="Sem qualificação — contato não atende ligações nem responde msg"/>
    <s v=""/>
    <s v=""/>
    <x v="0"/>
    <s v="Junior Lopes"/>
    <x v="0"/>
    <s v=""/>
    <d v="2026-01-29T00:00:00"/>
    <m/>
    <s v=""/>
    <s v=""/>
    <s v=""/>
    <s v=""/>
    <n v="1"/>
  </r>
  <r>
    <x v="2"/>
    <n v="861"/>
    <m/>
    <n v="3165"/>
    <s v="tentativa de contato_x000a_26/01 - Faz venda porta a porta e tem PDV _x000a_13.02 Tentei contato por ligação e não atendeu_x000a_É um cliente que eu já havia conversado e faz venda PAP, atualmente o Guarani não atende ao que procura _x000a_Fora do perfil"/>
    <s v=""/>
    <x v="400"/>
    <m/>
    <s v=""/>
    <s v="Multiple business service"/>
    <s v="19971619676"/>
    <s v=""/>
    <s v="thomazdistribuidora@gmail.com"/>
    <s v=""/>
    <s v=""/>
    <s v=""/>
    <s v=""/>
    <s v=""/>
    <s v="Campanha"/>
    <s v=""/>
    <s v=""/>
    <s v="Fora Perfil;Instagram"/>
    <s v="Pipeline de Vendas"/>
    <s v="Agendamento (0%)"/>
    <s v=""/>
    <d v="2026-01-31T00:00:00"/>
    <m/>
    <m/>
    <n v="21"/>
    <s v="Paulo Souza"/>
    <d v="2026-01-23T00:00:00"/>
    <d v="1899-12-30T10:37:23"/>
    <s v=""/>
    <s v="Perdido"/>
    <d v="2026-02-13T00:00:00"/>
    <d v="1899-12-30T17:25:09"/>
    <s v="Fora do porte mínimo (sem fit estrutural)"/>
    <s v=""/>
    <s v=""/>
    <x v="0"/>
    <s v="Rayssa Karapeticov"/>
    <x v="0"/>
    <s v=""/>
    <d v="2026-02-13T00:00:00"/>
    <m/>
    <s v=""/>
    <s v=""/>
    <s v=""/>
    <s v=""/>
    <n v="1"/>
  </r>
  <r>
    <x v="0"/>
    <n v="862"/>
    <m/>
    <n v="3166"/>
    <s v="23/01 Apresentar o sistema ERP + AFV hoje as 14h para o Gerson (consultor)_x000a_23/01 23/01 Foi feito apresentação para o cliente do institucional e AFV.  em resumo, a apresentação foi direcionada para a importadora DINATALE (Diego). Porém entrou na reunião a CASAART (William) e também o Mauricio cuja a empresa ainda não conheço. O Gerson (consultor0 que esta conduzindo o projeto participou e informou que são 5 empresa no total, a ideia é conseguir colocar o sistema nas 5 empresas. _x000a_O próximo passo é fazer uma nova agenda para a semana do dia 26/01, para apresentar o sistema novamente para uma equipe maior e expandido com o módulo OCMEX, ERP, REP+ E CONTABIL._x000a_06/02 Fiz FUP hoje com o Gerson consultor e apresentei a proposta.  Na sequência ele vai falar com o a diretoria para agendar uma nova reunião de discursão de valores."/>
    <s v=""/>
    <x v="401"/>
    <n v="82808122000173"/>
    <s v=""/>
    <s v="Gerson"/>
    <s v="(49) 9945-2608"/>
    <s v=""/>
    <s v="contabilizar.atendimento@gmail.com"/>
    <s v=""/>
    <s v=""/>
    <s v=""/>
    <s v="FLOR DO SERTAO"/>
    <s v="SC"/>
    <s v=""/>
    <s v=""/>
    <s v=""/>
    <s v="50%"/>
    <s v="Pipeline de Vendas"/>
    <s v="Em negociação (75%)"/>
    <s v=""/>
    <d v="2026-02-28T00:00:00"/>
    <n v="987029"/>
    <n v="1811884"/>
    <n v="34"/>
    <s v="Paulo Souza"/>
    <d v="2026-01-23T00:00:00"/>
    <d v="1899-12-30T11:23:43"/>
    <s v=""/>
    <s v="Ganho"/>
    <d v="2026-02-26T00:00:00"/>
    <d v="1899-12-30T21:52:56"/>
    <s v=""/>
    <s v=""/>
    <s v=""/>
    <x v="118"/>
    <s v="Paulo Souza"/>
    <x v="126"/>
    <s v=""/>
    <d v="2026-02-27T00:00:00"/>
    <n v="50"/>
    <s v="270"/>
    <s v="ERP, AFV, BI, WMS, COMEX, ADICIONAIS"/>
    <s v="R$ 65.502,90"/>
    <s v="R$ 17.071,80"/>
    <n v="1"/>
  </r>
  <r>
    <x v="0"/>
    <n v="864"/>
    <m/>
    <n v="3169"/>
    <s v="23/01 Fiz FUP hoje com o Junior e o mesmo mencionou que a diretoria achou o valor da mensalidade alta. falou que tem contrato fechado com a GETT com mensal de R$900,00._x000a_Falar com o Fábio e negociar melhor essa questão._x000a_20/03 Hoje foi aberto um ticket para acompanhar dar apoio nas configurações do comex para que o pessoal consiga usar."/>
    <s v=""/>
    <x v="402"/>
    <m/>
    <s v=""/>
    <s v="Junior"/>
    <s v="19987126669"/>
    <s v=""/>
    <s v="junior@tiinfra.com.br"/>
    <s v=""/>
    <s v=""/>
    <s v=""/>
    <s v=""/>
    <s v=""/>
    <s v="BaseGua"/>
    <s v=""/>
    <s v=""/>
    <s v="30%"/>
    <s v="Pipeline de Vendas"/>
    <s v="Em Fechamento (100%)"/>
    <s v=""/>
    <d v="2026-01-31T00:00:00"/>
    <n v="10000"/>
    <n v="2000"/>
    <n v="117"/>
    <s v="Paulo Souza"/>
    <d v="2026-01-23T00:00:00"/>
    <d v="1899-12-30T16:24:12"/>
    <s v=""/>
    <s v="Ativo"/>
    <m/>
    <m/>
    <s v=""/>
    <s v=""/>
    <s v=""/>
    <x v="176"/>
    <s v="Paulo Souza"/>
    <x v="190"/>
    <s v=""/>
    <d v="2026-03-20T00:00:00"/>
    <n v="30"/>
    <s v="20"/>
    <s v="COMEX"/>
    <s v="R$ 10.000"/>
    <s v="R$ 2.000"/>
    <n v="1"/>
  </r>
  <r>
    <x v="0"/>
    <n v="865"/>
    <m/>
    <n v="3170"/>
    <s v="23/01 Fiz FUP com a Simone e o próximo asso e fazer a proposta._x000a_A principal dor do cliente é centralizar a operação em um único sistema, garantindo maior fluidez nos processos, redução de falhas de integração e ganho de produtividade, principalmente nas áreas comercial, faturamento e backoffice._x000a_06/02 Foi apresentado a proposta, que esta sob-analsie da diretoria._x000a_26/02 Fiz FUP com a Simone para saber se vamos seguir ou não._x000a_20/03 Estou cobrando a Simone se vamos seguir ou não."/>
    <s v=""/>
    <x v="403"/>
    <n v="13303103000172"/>
    <s v=""/>
    <s v="Simone"/>
    <s v="(49) 3322-8576 / (49) 3644-0850"/>
    <s v=""/>
    <s v="toyehome@toyehome.com.br"/>
    <s v=""/>
    <s v=""/>
    <s v=""/>
    <s v="CHAPECO"/>
    <s v="SC"/>
    <s v="Inbound"/>
    <s v=""/>
    <s v=""/>
    <s v="50%"/>
    <s v="Pipeline de Vendas"/>
    <s v="Em negociação (75%)"/>
    <s v=""/>
    <d v="2026-03-31T00:00:00"/>
    <n v="59184"/>
    <n v="488139"/>
    <n v="77"/>
    <s v="Paulo Souza"/>
    <d v="2026-01-23T00:00:00"/>
    <d v="1899-12-30T16:52:07"/>
    <s v=""/>
    <s v="Perdido"/>
    <d v="2026-04-10T00:00:00"/>
    <d v="1899-12-30T17:22:13"/>
    <s v="Projeto adiado / sem prazo definido"/>
    <s v=""/>
    <s v=""/>
    <x v="176"/>
    <s v="Paulo Souza"/>
    <x v="190"/>
    <s v=""/>
    <d v="2026-03-20T00:00:00"/>
    <n v="50"/>
    <s v="320"/>
    <s v="ERP, AFV, ADICIONAIS"/>
    <s v="R$ 79.311,16"/>
    <s v="R$ 6.145,44"/>
    <n v="1"/>
  </r>
  <r>
    <x v="2"/>
    <n v="866"/>
    <m/>
    <n v="3177"/>
    <s v="26/01 - é uma industria e esta buscando software de gestão da empresa. _x000a_Estou tentando marcar reunião mas o cliente não atende_x000a_27/01 - Bom dia Micael, tudo bem?_x000a_Ainda tem interesse em seguir com uma solução técnologica para sua empresa?"/>
    <s v=""/>
    <x v="404"/>
    <m/>
    <s v=""/>
    <s v="Lcosmeticos"/>
    <s v="11957608058"/>
    <s v=""/>
    <s v="carriaomicael@gmail.com"/>
    <s v=""/>
    <s v=""/>
    <s v=""/>
    <s v=""/>
    <s v=""/>
    <s v="Campanha"/>
    <s v=""/>
    <s v=""/>
    <s v="Dentro Perfil;Instagram"/>
    <s v="Pipeline de Vendas"/>
    <s v="Agendamento (0%)"/>
    <s v=""/>
    <d v="2026-01-31T00:00:00"/>
    <m/>
    <m/>
    <n v="3"/>
    <s v="Paulo Souza"/>
    <d v="2026-01-26T00:00:00"/>
    <d v="1899-12-30T13:12:42"/>
    <s v=""/>
    <s v="Perdido"/>
    <d v="2026-01-29T00:00:00"/>
    <d v="1899-12-30T16:04:41"/>
    <s v="Não houve aprovação financeira"/>
    <s v=""/>
    <s v=""/>
    <x v="0"/>
    <s v="Rayssa Karapeticov"/>
    <x v="0"/>
    <s v=""/>
    <d v="2026-01-27T00:00:00"/>
    <m/>
    <s v=""/>
    <s v=""/>
    <s v=""/>
    <s v=""/>
    <n v="1"/>
  </r>
  <r>
    <x v="1"/>
    <n v="867"/>
    <m/>
    <n v="3176"/>
    <s v="(27/01/2026) em contato com Thales , ficamos de falar por telefone as 11;30 horas do dia 27/01_x000a_(27/01/2026) Reunião de apresentação primeira Etapa AFV em 28/01/2026 as 14 horas _x000a_(28/01/2026) apresentação do força de vendas na integra e vídeos do força de vendas _x000a_cliente pediu para seguirmos com proposta comercial para ver se está dentro do sua previsão de investimento _x000a_(19/02/2026) Thales achou valor acima para o momento"/>
    <s v=""/>
    <x v="405"/>
    <n v="16743404000105"/>
    <s v=""/>
    <s v="MINAS MIX"/>
    <s v="3194143043"/>
    <s v=""/>
    <s v="thales_david@hotmail.com"/>
    <s v=""/>
    <s v=""/>
    <s v=""/>
    <s v="BELO HORIZONTE"/>
    <s v="MG"/>
    <s v="Campanha"/>
    <s v=""/>
    <s v=""/>
    <s v="30%;Dentro Perfil;Instagram"/>
    <s v="Pipeline de Vendas"/>
    <s v="Apresentar Proposta (50%)"/>
    <s v=""/>
    <d v="2026-02-28T00:00:00"/>
    <n v="61904"/>
    <n v="10192"/>
    <n v="24"/>
    <s v="Paulo Souza"/>
    <d v="2026-01-26T00:00:00"/>
    <d v="1899-12-30T13:15:19"/>
    <s v=""/>
    <s v="Perdido"/>
    <d v="2026-02-19T00:00:00"/>
    <d v="1899-12-30T16:36:15"/>
    <s v="Não houve aprovação financeira"/>
    <s v="(19/02/2026) Thales achou valor acima para o momento"/>
    <s v=""/>
    <x v="175"/>
    <s v="Junior Lopes"/>
    <x v="191"/>
    <s v=""/>
    <d v="2026-02-19T00:00:00"/>
    <n v="30"/>
    <s v=""/>
    <s v=""/>
    <s v=""/>
    <s v=""/>
    <n v="1"/>
  </r>
  <r>
    <x v="2"/>
    <n v="868"/>
    <m/>
    <n v="3174"/>
    <s v="Usa o sistema da Linx, é um armazem de bebida e fazvendas por Zé delivery e Ifood."/>
    <s v=""/>
    <x v="406"/>
    <m/>
    <s v=""/>
    <s v="Brasa e Malte"/>
    <s v="31997703979"/>
    <s v=""/>
    <s v="jsamaurin@gmail.com"/>
    <s v=""/>
    <s v=""/>
    <s v=""/>
    <s v=""/>
    <s v=""/>
    <s v="Campanha"/>
    <s v=""/>
    <s v=""/>
    <s v="Fora Perfil;Instagram"/>
    <s v="Pipeline de Vendas"/>
    <s v="Agendamento (0%)"/>
    <s v=""/>
    <d v="2026-01-31T00:00:00"/>
    <m/>
    <m/>
    <n v="0"/>
    <s v="Paulo Souza"/>
    <d v="2026-01-26T00:00:00"/>
    <d v="1899-12-30T13:17:49"/>
    <s v=""/>
    <s v="Perdido"/>
    <d v="2026-01-26T00:00:00"/>
    <d v="1899-12-30T14:29:56"/>
    <s v="Fora do porte mínimo (sem fit estrutural)"/>
    <s v=""/>
    <s v=""/>
    <x v="0"/>
    <s v="Rayssa Karapeticov"/>
    <x v="0"/>
    <s v=""/>
    <m/>
    <m/>
    <s v=""/>
    <s v=""/>
    <s v=""/>
    <s v=""/>
    <n v="1"/>
  </r>
  <r>
    <x v="1"/>
    <n v="869"/>
    <m/>
    <n v="3175"/>
    <s v="17:09, 26/01/2026 Junior Lopes: Olá Leonan ! Boa tarde _x000a_Sou Junior Lopes da Guarani sistemas, Td bem ?_x000a_17:11, 26/01/2026 Leonan: opa boa tarde_x000a_09:05, 27/01/2026 Junior Lopes: Olá Leonan, bom dia tudo bem ?_x000a_09:06, 27/01/2026 Junior Lopes: podemos bater um papo por telefone hoje as 14 horas ? a ideia é entender suas necessidades e te apresentar uma solução para te ajudar_x000a_17:25, 27/01/2026 Junior Lopes: Olá, Leonan! Como não conseguimos evoluir nossa conversa nos últimos dias, entendo que talvez este não seja o momento ideal para focarmos na Solução ERP e Força de vendas. Estou encerrando o seu processo por aqui para não lotar sua caixa de entrada. Vou deixar seu contato salvo e, assim que suas prioridades mudarem, sinta-se à vontade para me chamar"/>
    <s v=""/>
    <x v="407"/>
    <m/>
    <s v=""/>
    <s v="Leme"/>
    <s v="11976239673"/>
    <s v=""/>
    <s v="leonamj@gmail.com"/>
    <s v=""/>
    <s v=""/>
    <s v=""/>
    <s v=""/>
    <s v=""/>
    <s v="Campanha"/>
    <s v=""/>
    <s v=""/>
    <s v="Dentro Perfil;Instagram"/>
    <s v="Pipeline de Vendas"/>
    <s v="Agendamento (0%)"/>
    <s v=""/>
    <d v="2026-01-31T00:00:00"/>
    <m/>
    <m/>
    <n v="103"/>
    <s v="Paulo Souza"/>
    <d v="2026-01-26T00:00:00"/>
    <d v="1899-12-30T13:19:44"/>
    <s v=""/>
    <s v="Perdido"/>
    <d v="2026-05-09T00:00:00"/>
    <d v="1899-12-30T08:11:38"/>
    <s v="Sem qualificação — contato não atende ligações nem responde msg"/>
    <s v=""/>
    <s v=""/>
    <x v="0"/>
    <s v="Junior Lopes"/>
    <x v="0"/>
    <s v=""/>
    <d v="2026-01-27T00:00:00"/>
    <m/>
    <s v=""/>
    <s v=""/>
    <s v=""/>
    <s v=""/>
    <n v="1"/>
  </r>
  <r>
    <x v="2"/>
    <n v="870"/>
    <m/>
    <n v="3173"/>
    <s v="14:32, 1/26/2026 Rayssa Karapeticov - Comercial - Guarani Sistemas: Boa tarde, Adriano, como vai? _x000a_É a Rayssa da Guarani Sistemas _x000a_recebi seu contato para falar de nossas soluções, você prefere que eu te ligue ou trate por aqui?_x000a_15:53, 1/26/2026 +55 16 99614-4458: AMANHÃ ENTRO EM CONTATO_x000a_15:54, 1/26/2026 Rayssa Karapeticov - Comercial - Guarani Sistemas: Perfeito, aguardo retorno_x000a_09:53, 1/27/2026 Rayssa Karapeticov - Comercial - Guarani Sistemas: Bom dia Adriano, tudo bem? _x000a_Conseguimos falar hoje?_x000a_05.02 - Sem retorno do cliente Sem retorno do cliente _x000a_17.02Usa um  sistema do Rio grande do Sul Nova gestor e tem duas dificuldades _x000a_Não comunica com o banco C6Bank _x000a_Ordem de produção _x000a_São uma indústria química por batelada _x000a_Várias tipos de embalagem _x000a_Adesivos industriais _x000a_Minas Gerais - _x000a_8 RCA _x000a_3 pessoas _x000a_Atualmente pagar R$290,00 por mes com todos esses acessos, então fica inviavel a contratação"/>
    <s v=""/>
    <x v="408"/>
    <m/>
    <s v=""/>
    <s v="Kicollaadesivos.com.br"/>
    <s v="16996144458"/>
    <s v=""/>
    <s v="adrianosoaresm@yahoo.com.br"/>
    <s v=""/>
    <s v=""/>
    <s v=""/>
    <s v=""/>
    <s v=""/>
    <s v="Campanha"/>
    <s v=""/>
    <s v=""/>
    <s v="30%;Dentro Perfil;Instagram"/>
    <s v="Pipeline de Vendas"/>
    <s v="Qualificação de Vendas (SQL) (25%)"/>
    <s v=""/>
    <d v="2026-01-31T00:00:00"/>
    <m/>
    <m/>
    <n v="22"/>
    <s v="Paulo Souza"/>
    <d v="2026-01-26T00:00:00"/>
    <d v="1899-12-30T13:21:08"/>
    <s v=""/>
    <s v="Perdido"/>
    <d v="2026-02-17T00:00:00"/>
    <d v="1899-12-30T16:11:30"/>
    <s v="Preço muito alto - fora do budget de investimento"/>
    <s v=""/>
    <s v=""/>
    <x v="0"/>
    <s v="Rayssa Karapeticov"/>
    <x v="0"/>
    <s v=""/>
    <d v="2026-02-17T00:00:00"/>
    <n v="30"/>
    <s v=""/>
    <s v=""/>
    <s v=""/>
    <s v=""/>
    <n v="1"/>
  </r>
  <r>
    <x v="0"/>
    <n v="871"/>
    <m/>
    <n v="3172"/>
    <s v="contato realizado com o Alexanre, sem sucesso. Deixei msg no zap para faalrmos amanha!_x000a_28/01 Fiz FUP hoje com o Alexandre, sem sucesso. Deixei novamente recado no whatsapp e e-mail!_x000a_12/03 Por falta de retorno e interesse estou declinando o lead foi feita diversas tentativa de comunicação sem sucesso."/>
    <s v=""/>
    <x v="409"/>
    <n v="19933187000104"/>
    <s v=""/>
    <s v="Giacom Distribuidora Ltda"/>
    <s v="11918764203"/>
    <s v=""/>
    <s v="alexandre@giacomdistribuidora.com.br"/>
    <s v=""/>
    <s v=""/>
    <s v=""/>
    <s v=""/>
    <s v=""/>
    <s v="Campanha"/>
    <s v=""/>
    <s v=""/>
    <s v="30%;Dentro Perfil;Instagram"/>
    <s v="Pipeline de Vendas"/>
    <s v="Qualificação de Vendas (SQL) (25%)"/>
    <s v=""/>
    <d v="2026-01-31T00:00:00"/>
    <m/>
    <m/>
    <n v="45"/>
    <s v="Paulo Souza"/>
    <d v="2026-01-26T00:00:00"/>
    <d v="1899-12-30T13:21:53"/>
    <s v=""/>
    <s v="Perdido"/>
    <d v="2026-03-12T00:00:00"/>
    <d v="1899-12-30T17:29:31"/>
    <s v="Fora do porte mínimo (sem fit estrutural)"/>
    <s v=""/>
    <s v=""/>
    <x v="0"/>
    <s v="Paulo Souza"/>
    <x v="0"/>
    <s v=""/>
    <d v="2026-03-12T00:00:00"/>
    <n v="30"/>
    <s v=""/>
    <s v=""/>
    <s v=""/>
    <s v=""/>
    <n v="1"/>
  </r>
  <r>
    <x v="0"/>
    <n v="872"/>
    <m/>
    <n v="3178"/>
    <s v="Fiz o primeiro contato com a Maria e agendamos amanhã às 14h._x000a_28/01 Fiz FUP hoje com a maria sem sucesso. Liguei não atendeu , deixei recado no whats app e estou aguardando retorno._x000a_28/01 Consegui fazer a apresentação institucional para a Maria. O próximo passo é enviar a proposta !_x000a_06/02 Fiz uma reunião onde apresentei a proposta. A Maria, foi bem objetiva e falou que o valor ficou bem acima dos demais concorrentes, mesmo assim ela vai ter uma reunião com a diretoria na próxima semana e me retorna se seguiremos ou não!_x000a_26/02 Fiz FUP com a Maria cobrando uma posição se seguiremos ou não._x000a_27/02 Por falta de interação e retorno do cliente estou declinando a proposta."/>
    <s v=""/>
    <x v="410"/>
    <m/>
    <s v=""/>
    <s v="Maria"/>
    <s v="(11) 97129-2472"/>
    <s v=""/>
    <s v="financeiro@autovolth.com.br"/>
    <s v=""/>
    <s v=""/>
    <s v=""/>
    <s v="São Paulo"/>
    <s v=""/>
    <s v="Site"/>
    <s v=""/>
    <s v=""/>
    <s v="50%;Solicita demo"/>
    <s v="Pipeline de Vendas"/>
    <s v="Em negociação (75%)"/>
    <s v=""/>
    <d v="2026-02-28T00:00:00"/>
    <n v="701343"/>
    <n v="17345"/>
    <n v="32"/>
    <s v="Paulo Souza"/>
    <d v="2026-01-26T00:00:00"/>
    <d v="1899-12-30T17:09:40"/>
    <s v=""/>
    <s v="Perdido"/>
    <d v="2026-02-27T00:00:00"/>
    <d v="1899-12-30T21:20:57"/>
    <s v="Projeto adiado / sem prazo definido"/>
    <s v=""/>
    <s v=""/>
    <x v="177"/>
    <s v="Paulo Souza"/>
    <x v="192"/>
    <s v=""/>
    <d v="2026-02-26T00:00:00"/>
    <n v="50"/>
    <s v="330"/>
    <s v="ERP, PCP, ADICIONAIS"/>
    <s v="R$ 66.000"/>
    <s v="R$ 5.868,80"/>
    <n v="1"/>
  </r>
  <r>
    <x v="1"/>
    <n v="873"/>
    <m/>
    <n v="3179"/>
    <s v="(27/01/2026) Olá Fábio ! Bom dia _x000a_Sou Junior Lopes da Guarani sistemas, Td bem ?_x000a_acrescentei um áudio me apresentando e sugerindo um bate papo hoje as 14 horas _x000a_(29/01/2026) tentativa de contato sem retorno do Fabio !_x000a_Olá Fábio ! Estou tentando contato para falarmos sobre as soluções Guarani ! _x000a_Porém devido a falta de retorno acredito que você está com outras prioridades _x000a_Vou deixar seu contato salvo caso em breve queira conversar _x000a_Um grande abraço"/>
    <s v=""/>
    <x v="411"/>
    <m/>
    <s v=""/>
    <s v="FB dis"/>
    <s v="11992758370"/>
    <s v=""/>
    <s v="fabiojb80@gmail.com"/>
    <s v=""/>
    <s v=""/>
    <s v=""/>
    <s v=""/>
    <s v=""/>
    <s v="Campanha"/>
    <s v=""/>
    <s v=""/>
    <s v="Dentro Perfil;Instagram"/>
    <s v="Pipeline de Vendas"/>
    <s v="Agendamento (0%)"/>
    <s v=""/>
    <m/>
    <m/>
    <m/>
    <n v="102"/>
    <s v="Paulo Souza"/>
    <d v="2026-01-27T00:00:00"/>
    <d v="1899-12-30T08:39:12"/>
    <s v=""/>
    <s v="Perdido"/>
    <d v="2026-05-09T00:00:00"/>
    <d v="1899-12-30T08:13:07"/>
    <s v="Sem qualificação — contato não atende ligações nem responde msg"/>
    <s v=""/>
    <s v=""/>
    <x v="0"/>
    <s v="Junior Lopes"/>
    <x v="0"/>
    <s v=""/>
    <d v="2026-01-29T00:00:00"/>
    <m/>
    <s v=""/>
    <s v=""/>
    <s v=""/>
    <s v=""/>
    <n v="1"/>
  </r>
  <r>
    <x v="2"/>
    <n v="874"/>
    <m/>
    <n v="3180"/>
    <s v=""/>
    <s v=""/>
    <x v="412"/>
    <m/>
    <s v=""/>
    <s v="Scientech Ambiental"/>
    <s v="11999733410"/>
    <s v=""/>
    <s v="luissscaro@hotmail.com"/>
    <s v=""/>
    <s v=""/>
    <s v=""/>
    <s v=""/>
    <s v=""/>
    <s v="Campanha"/>
    <s v=""/>
    <s v=""/>
    <s v="Fora Perfil;Instagram"/>
    <s v="Pipeline de Vendas"/>
    <s v="Agendamento (0%)"/>
    <s v=""/>
    <d v="2026-01-31T00:00:00"/>
    <m/>
    <m/>
    <n v="2"/>
    <s v="Paulo Souza"/>
    <d v="2026-01-27T00:00:00"/>
    <d v="1899-12-30T08:40:17"/>
    <s v=""/>
    <s v="Perdido"/>
    <d v="2026-01-29T00:00:00"/>
    <d v="1899-12-30T15:59:33"/>
    <s v="Fora do porte mínimo (sem fit estrutural)"/>
    <s v=""/>
    <s v=""/>
    <x v="0"/>
    <s v="Rayssa Karapeticov"/>
    <x v="0"/>
    <s v=""/>
    <m/>
    <m/>
    <s v=""/>
    <s v=""/>
    <s v=""/>
    <s v=""/>
    <n v="1"/>
  </r>
  <r>
    <x v="1"/>
    <n v="876"/>
    <m/>
    <n v="3182"/>
    <s v=""/>
    <s v="Orbhes Espumas E Colchoes Ltda"/>
    <x v="413"/>
    <n v="5937946000100"/>
    <s v=""/>
    <s v="Orbhes Espumas E Colchoes Ltda"/>
    <s v="(47) 3376-8400"/>
    <s v=""/>
    <s v="orbhes@orbhes.com.br"/>
    <s v=""/>
    <s v=""/>
    <s v=""/>
    <s v="JARAGUA DO SUL"/>
    <s v="SC"/>
    <s v="Base de empresas Leads2b"/>
    <s v=""/>
    <s v=""/>
    <s v="80%"/>
    <s v="Pipeline de Vendas"/>
    <s v="Em Fechamento (100%)"/>
    <s v=""/>
    <d v="2026-02-28T00:00:00"/>
    <n v="16960"/>
    <n v="32775"/>
    <n v="16"/>
    <s v="Junior Lopes"/>
    <d v="2026-01-28T00:00:00"/>
    <d v="1899-12-30T09:06:40"/>
    <s v=""/>
    <s v="Ganho"/>
    <d v="2026-02-13T00:00:00"/>
    <d v="1899-12-30T12:16:48"/>
    <s v=""/>
    <s v=""/>
    <s v=""/>
    <x v="178"/>
    <s v="Junior Lopes"/>
    <x v="193"/>
    <s v=""/>
    <m/>
    <n v="80"/>
    <s v=""/>
    <s v=""/>
    <s v=""/>
    <s v=""/>
    <n v="1"/>
  </r>
  <r>
    <x v="0"/>
    <n v="877"/>
    <m/>
    <n v="3187"/>
    <s v="28/01 Apresentar o sistema B2B para Clevis o responsável de TI e Alessandro gerente de loja. _x000a_05/02/2026 Fiz apresentação do produto e da proposta, agora negociado._x000a_26/02 Fiz FUP com o CLEVIS, hoje cobrando a reunião para negociar!_x000a_10/03 Fiz reunião ontem com o Clevis e expliquei que o que e possível em relação a isenção da mensalidade é : 4 meses da assinatura ou qdo sistema em produção._x000a_12/03 Negociando o fechamento reunião técnica para o dia 17/03 as 15h._x000a_12/03 Fiz FUP hoje com o Clevis para firmar uma agenda de uma conversa técnica para terça feira dia 17/03 as 15h. Será feito nessa reunião um alinhamento de integração do nosso B2B com o JJsistema  . _x000a_A proposta ficou em 13k e a mensalidade iniciar com com 4 meses da assinatura do contrato ou sistema em produção._x000a_20/03 Esta na fase de coleta de documentação para assinar o contrato."/>
    <s v=""/>
    <x v="414"/>
    <m/>
    <s v=""/>
    <s v="Clevis"/>
    <s v="47992119052"/>
    <s v=""/>
    <s v="null"/>
    <s v=""/>
    <s v=""/>
    <s v=""/>
    <s v=""/>
    <s v=""/>
    <s v="BaseGua"/>
    <s v=""/>
    <s v=""/>
    <s v="90%"/>
    <s v="Pipeline de Vendas"/>
    <s v="Em Fechamento (100%)"/>
    <s v=""/>
    <d v="2026-03-31T00:00:00"/>
    <n v="12000"/>
    <n v="1700"/>
    <n v="110"/>
    <s v="Paulo Souza"/>
    <d v="2026-01-28T00:00:00"/>
    <d v="1899-12-30T15:54:53"/>
    <s v=""/>
    <s v="Perdido"/>
    <d v="2026-05-18T00:00:00"/>
    <d v="1899-12-30T17:08:31"/>
    <s v="Não houve aprovação financeira"/>
    <s v=""/>
    <s v=""/>
    <x v="118"/>
    <s v="Paulo Souza"/>
    <x v="194"/>
    <s v=""/>
    <d v="2026-03-20T00:00:00"/>
    <n v="80"/>
    <s v="24"/>
    <s v="B2B"/>
    <s v="R$ 0,00"/>
    <s v="R$ 0,00"/>
    <n v="1"/>
  </r>
  <r>
    <x v="1"/>
    <n v="879"/>
    <m/>
    <n v="3192"/>
    <s v="(29/01/2026) feito ligação para Marcelo para explicar valores da proposta comercial"/>
    <s v="Portal Importacao E Exportacao De Equipamentos De Informatica Ltda"/>
    <x v="415"/>
    <n v="42371959000183"/>
    <s v=""/>
    <s v="Portal Importacao E Exportacao De Equipamentos De Informatica Ltda"/>
    <s v="(11) 8444-8642"/>
    <s v=""/>
    <s v="portal@gmail.com"/>
    <s v=""/>
    <s v=""/>
    <s v=""/>
    <s v="GUARULHOS"/>
    <s v="SP"/>
    <s v="Base de empresas Leads2b"/>
    <s v=""/>
    <s v=""/>
    <s v="30%"/>
    <s v="Pipeline de Vendas"/>
    <s v="Apresentar Proposta (50%)"/>
    <s v=""/>
    <d v="2026-02-28T00:00:00"/>
    <n v="79958"/>
    <n v="45432"/>
    <n v="25"/>
    <s v="Junior Lopes"/>
    <d v="2026-01-29T00:00:00"/>
    <d v="1899-12-30T09:56:25"/>
    <s v=""/>
    <s v="Perdido"/>
    <d v="2026-02-23T00:00:00"/>
    <d v="1899-12-30T15:07:05"/>
    <s v="Não houve aprovação financeira"/>
    <s v="cliente declinou após recebimento da proposta comercial"/>
    <s v=""/>
    <x v="175"/>
    <s v="Junior Lopes"/>
    <x v="189"/>
    <s v=""/>
    <m/>
    <n v="30"/>
    <s v=""/>
    <s v=""/>
    <s v=""/>
    <s v=""/>
    <n v="1"/>
  </r>
  <r>
    <x v="1"/>
    <n v="882"/>
    <m/>
    <n v="3199"/>
    <s v="em contato na feira Abcasa , vai seguir com AFV"/>
    <s v=""/>
    <x v="416"/>
    <m/>
    <s v=""/>
    <s v="Plasberg - ERP"/>
    <s v="75981412000"/>
    <s v=""/>
    <s v="null"/>
    <s v=""/>
    <s v=""/>
    <s v=""/>
    <s v=""/>
    <s v=""/>
    <s v=""/>
    <s v=""/>
    <s v=""/>
    <s v="50%"/>
    <s v="Pipeline de Vendas"/>
    <s v="Em negociação (75%)"/>
    <s v=""/>
    <d v="2026-02-28T00:00:00"/>
    <n v="90000"/>
    <n v="921279"/>
    <n v="15"/>
    <s v="Junior Lopes"/>
    <d v="2026-01-29T00:00:00"/>
    <d v="1899-12-30T16:10:26"/>
    <s v=""/>
    <s v="Perdido"/>
    <d v="2026-02-13T00:00:00"/>
    <d v="1899-12-30T12:24:12"/>
    <s v="Não quer mudar a solução atual"/>
    <s v="em contato na feira Abcasa , vai seguir com AFV"/>
    <s v=""/>
    <x v="179"/>
    <s v="Junior Lopes"/>
    <x v="175"/>
    <s v=""/>
    <d v="2026-02-13T00:00:00"/>
    <n v="50"/>
    <s v=""/>
    <s v=""/>
    <s v=""/>
    <s v=""/>
    <n v="1"/>
  </r>
  <r>
    <x v="1"/>
    <n v="883"/>
    <m/>
    <n v="3200"/>
    <s v="em contato na feira Abcasa , vai seguir com AFV"/>
    <s v=""/>
    <x v="113"/>
    <m/>
    <s v=""/>
    <s v="Plasberg - AFV"/>
    <s v="75981412000"/>
    <s v=""/>
    <s v="null"/>
    <s v=""/>
    <s v=""/>
    <s v=""/>
    <s v=""/>
    <s v=""/>
    <s v=""/>
    <s v=""/>
    <s v=""/>
    <s v="50%"/>
    <s v="Pipeline de Vendas"/>
    <s v="Em negociação (75%)"/>
    <s v=""/>
    <d v="2026-02-28T00:00:00"/>
    <n v="1600"/>
    <n v="599515"/>
    <n v="15"/>
    <s v="Junior Lopes"/>
    <d v="2026-01-29T00:00:00"/>
    <d v="1899-12-30T16:20:50"/>
    <s v=""/>
    <s v="Perdido"/>
    <d v="2026-02-13T00:00:00"/>
    <d v="1899-12-30T12:25:47"/>
    <s v="Não quer mudar a solução atual"/>
    <s v="em contato na feira Abcasa , vai seguir com AFV"/>
    <s v=""/>
    <x v="179"/>
    <s v="Junior Lopes"/>
    <x v="175"/>
    <s v=""/>
    <d v="2026-02-13T00:00:00"/>
    <n v="50"/>
    <s v=""/>
    <s v=""/>
    <s v=""/>
    <s v=""/>
    <n v="1"/>
  </r>
  <r>
    <x v="1"/>
    <n v="884"/>
    <m/>
    <n v="3202"/>
    <s v="10:21, 09/03/2026 Junior Lopes: Olá Breno ! Como vai ?_x000a_11:06, 09/03/2026 Breno Plasberg: Bom dia_x000a_11:07, 09/03/2026 Junior Lopes: tudo bem meu amigo ! sobre a sequencia do projeto, alguma novidade ?"/>
    <s v=""/>
    <x v="417"/>
    <m/>
    <s v=""/>
    <s v="Plasberg - AFV"/>
    <s v="75981412000"/>
    <s v=""/>
    <s v="null"/>
    <s v=""/>
    <s v=""/>
    <s v=""/>
    <s v=""/>
    <s v=""/>
    <s v=""/>
    <s v=""/>
    <s v=""/>
    <s v="50%"/>
    <s v="Pipeline de Vendas"/>
    <s v="Em Fechamento (100%)"/>
    <s v=""/>
    <d v="2026-03-31T00:00:00"/>
    <n v="149248"/>
    <n v="29499"/>
    <n v="62"/>
    <s v="Junior Lopes"/>
    <d v="2026-01-29T00:00:00"/>
    <d v="1899-12-30T16:37:42"/>
    <s v=""/>
    <s v="Ganho"/>
    <d v="2026-04-01T00:00:00"/>
    <d v="1899-12-30T15:31:20"/>
    <s v=""/>
    <s v=""/>
    <s v=""/>
    <x v="175"/>
    <s v="Junior Lopes"/>
    <x v="175"/>
    <s v="11/02/2026"/>
    <d v="2026-02-09T00:00:00"/>
    <n v="50"/>
    <s v=""/>
    <s v=""/>
    <s v=""/>
    <s v=""/>
    <n v="1"/>
  </r>
  <r>
    <x v="1"/>
    <n v="885"/>
    <m/>
    <n v="3205"/>
    <s v="(29/01/2026) em contato com Artur, esta em analise interna"/>
    <s v=""/>
    <x v="418"/>
    <n v="4312818000109"/>
    <s v=""/>
    <s v="Pino lar"/>
    <s v=""/>
    <s v=""/>
    <s v=""/>
    <s v=""/>
    <s v=""/>
    <s v=""/>
    <s v="SAO PAULO"/>
    <s v="SP"/>
    <s v=""/>
    <s v=""/>
    <s v=""/>
    <s v="30%"/>
    <s v="Pipeline de Vendas"/>
    <s v="Em negociação (75%)"/>
    <s v=""/>
    <d v="2026-02-28T00:00:00"/>
    <n v="1600"/>
    <n v="384454"/>
    <n v="20"/>
    <s v="Junior Lopes"/>
    <d v="2026-01-30T00:00:00"/>
    <d v="1899-12-30T14:50:39"/>
    <s v=""/>
    <s v="Perdido"/>
    <d v="2026-02-19T00:00:00"/>
    <d v="1899-12-30T16:32:59"/>
    <s v="Não quer mudar a solução atual"/>
    <s v="11:13, 13/02/2026 Artur Pino Pino Lar: Bom dia_x000a_11:13, 13/02/2026 Artur Pino Pino Lar: Tudo bem ?_x000a_11:13, 13/02/2026 Artur Pino Pino Lar: Optei em fechar com a Penso_x000a_11:13, 13/02/2026 Artur Pino Pino Lar: Nossa empresa de TI_x000a_11:14, 13/02/2026 Artur Pino Pino Lar: O valor , pelo pacote que temos ficou muito atrativo_x000a_11:14, 13/02/2026 Artur Pino Pino Lar: Próxima semana já vamos iniciar a carga de dados_x000a_11:14, 13/02/2026 Artur Pino Pino Lar: Mas …… obrigado !_x000a_11:16, 13/02/2026 Junior Lopes: Olá Artur , perfeito!  Vou comunicar o Fernando por aqui"/>
    <s v=""/>
    <x v="172"/>
    <s v="Junior Lopes"/>
    <x v="0"/>
    <s v=""/>
    <d v="2026-02-19T00:00:00"/>
    <n v="30"/>
    <s v=""/>
    <s v=""/>
    <s v=""/>
    <s v=""/>
    <n v="1"/>
  </r>
  <r>
    <x v="1"/>
    <n v="886"/>
    <m/>
    <n v="3207"/>
    <s v="Perfeito Cláudio ! Abraço_x000a_Olá Cláudio! Como vai ?_x000a_Olá Cláudio Td bem ? _x000a_Como não recebi seu retorno nos últimos dias, entendo que talvez não seja o melhor momento para seguirmos com projeto Guarani _x000a_Para nao lotar seu WhatsApp de mensagens estou encerrando o contato! _x000a_Caso suas prioridades mudem sigo a disposição _x000a_Abraço"/>
    <s v=""/>
    <x v="419"/>
    <m/>
    <s v=""/>
    <s v="Claudio Teixeira"/>
    <s v="43996693593"/>
    <s v=""/>
    <s v="claudioteixeirasap@hotmail.com"/>
    <s v=""/>
    <s v=""/>
    <s v=""/>
    <s v=""/>
    <s v=""/>
    <s v=""/>
    <s v=""/>
    <s v=""/>
    <s v="Dentro Perfil;Instagram"/>
    <s v="Pipeline de Vendas"/>
    <s v="Apresentar Proposta (50%)"/>
    <s v=""/>
    <m/>
    <n v="1600"/>
    <n v="252471"/>
    <n v="38"/>
    <s v="Junior Lopes"/>
    <d v="2026-01-30T00:00:00"/>
    <d v="1899-12-30T15:24:23"/>
    <s v=""/>
    <s v="Perdido"/>
    <d v="2026-03-09T00:00:00"/>
    <d v="1899-12-30T11:03:54"/>
    <s v="Projeto adiado / sem prazo definido"/>
    <s v="Perfeito Cláudio ! Abraço_x000a_Olá Cláudio! Como vai ?_x000a_Olá Cláudio Td bem ? _x000a_Como não recebi seu retorno nos últimos dias, entendo que talvez não seja o melhor momento para seguirmos com projeto Guarani _x000a_Para nao lotar seu WhatsApp de mensagens estou encerrando o contato! _x000a_Caso suas prioridades mudem sigo a disposição _x000a_Abraço"/>
    <s v=""/>
    <x v="172"/>
    <s v=""/>
    <x v="0"/>
    <s v=""/>
    <d v="2026-02-09T00:00:00"/>
    <m/>
    <s v=""/>
    <s v=""/>
    <s v=""/>
    <s v=""/>
    <n v="1"/>
  </r>
  <r>
    <x v="1"/>
    <n v="887"/>
    <m/>
    <n v="3208"/>
    <s v=""/>
    <s v=""/>
    <x v="420"/>
    <m/>
    <s v=""/>
    <s v="Mauricio Jorge Lima - Cloud"/>
    <s v="9384064995"/>
    <s v=""/>
    <s v="mauriciojlatm@gmail.com"/>
    <s v=""/>
    <s v=""/>
    <s v=""/>
    <s v=""/>
    <s v=""/>
    <s v=""/>
    <s v=""/>
    <s v=""/>
    <s v="Dentro Perfil"/>
    <s v="Pipeline de Vendas"/>
    <s v="Apresentar Solução (35%)"/>
    <s v=""/>
    <m/>
    <n v="1600"/>
    <n v="254271"/>
    <n v="6"/>
    <s v="Junior Lopes"/>
    <d v="2026-01-30T00:00:00"/>
    <d v="1899-12-30T15:57:59"/>
    <s v=""/>
    <s v="Perdido"/>
    <d v="2026-02-05T00:00:00"/>
    <d v="1899-12-30T14:13:46"/>
    <s v="Preço muito alto - fora do budget de investimento"/>
    <s v=": Preço muito alto"/>
    <s v=""/>
    <x v="172"/>
    <s v=""/>
    <x v="183"/>
    <s v=""/>
    <d v="2026-01-26T00:00:00"/>
    <m/>
    <s v=""/>
    <s v=""/>
    <s v=""/>
    <s v=""/>
    <n v="1"/>
  </r>
  <r>
    <x v="1"/>
    <n v="888"/>
    <m/>
    <n v="3209"/>
    <s v=""/>
    <s v=""/>
    <x v="421"/>
    <m/>
    <s v=""/>
    <s v="Folha dourada tabacos - Cloud"/>
    <s v="3284083586"/>
    <s v=""/>
    <s v="atacabaco@gmail.com"/>
    <s v=""/>
    <s v=""/>
    <s v=""/>
    <s v=""/>
    <s v=""/>
    <s v=""/>
    <s v=""/>
    <s v=""/>
    <s v="Dentro Perfil;Instagram"/>
    <s v="Pipeline de Vendas"/>
    <s v="Apresentar Solução (35%)"/>
    <s v=""/>
    <m/>
    <n v="1600"/>
    <n v="252471"/>
    <n v="6"/>
    <s v="Junior Lopes"/>
    <d v="2026-01-30T00:00:00"/>
    <d v="1899-12-30T16:09:17"/>
    <s v=""/>
    <s v="Perdido"/>
    <d v="2026-02-05T00:00:00"/>
    <d v="1899-12-30T12:21:51"/>
    <s v="Não houve aprovação financeira"/>
    <s v="valor acima da expectativa"/>
    <s v=""/>
    <x v="166"/>
    <s v=""/>
    <x v="176"/>
    <s v=""/>
    <d v="2026-01-29T00:00:00"/>
    <m/>
    <s v=""/>
    <s v=""/>
    <s v=""/>
    <s v=""/>
    <n v="1"/>
  </r>
  <r>
    <x v="1"/>
    <n v="889"/>
    <m/>
    <n v="3210"/>
    <s v="(19/02/2026) Thales achou valor acima para o momento"/>
    <s v=""/>
    <x v="422"/>
    <m/>
    <s v=""/>
    <s v="Minas Mix - Cloud"/>
    <s v="3194143043"/>
    <s v=""/>
    <s v="thales_david@hotmail.com"/>
    <s v=""/>
    <s v=""/>
    <s v=""/>
    <s v=""/>
    <s v=""/>
    <s v=""/>
    <s v=""/>
    <s v=""/>
    <s v="30%;Dentro Perfil;Instagram"/>
    <s v="Pipeline de Vendas"/>
    <s v="Apresentar Proposta (50%)"/>
    <s v=""/>
    <m/>
    <n v="1600"/>
    <n v="252471"/>
    <n v="20"/>
    <s v="Junior Lopes"/>
    <d v="2026-01-30T00:00:00"/>
    <d v="1899-12-30T16:40:37"/>
    <s v=""/>
    <s v="Perdido"/>
    <d v="2026-02-19T00:00:00"/>
    <d v="1899-12-30T16:37:47"/>
    <s v="Não houve aprovação financeira"/>
    <s v="(19/02/2026) Thales achou valor acima para o momento"/>
    <s v=""/>
    <x v="175"/>
    <s v="Junior Lopes"/>
    <x v="191"/>
    <s v=""/>
    <d v="2026-02-19T00:00:00"/>
    <n v="30"/>
    <s v=""/>
    <s v=""/>
    <s v=""/>
    <s v=""/>
    <n v="1"/>
  </r>
  <r>
    <x v="1"/>
    <n v="890"/>
    <m/>
    <n v="3190"/>
    <s v="16:53, 30/01/2026 Junior Lopes: ani sistemas, Td bem ?_x000a_17:35, 30/01/2026 Leonardo Form: Boa tarde tudo e vc ?_x000a_16:53, 02/02/2026 Junior Lopes: Olá Leonardo, boa tarde  ! tem interesse em conhecer nossas soluções ?"/>
    <s v=""/>
    <x v="423"/>
    <n v="747901000222"/>
    <s v=""/>
    <s v="Tenneco"/>
    <s v="19995356201"/>
    <s v=""/>
    <s v="ltavares@tenneco.com"/>
    <s v=""/>
    <s v=""/>
    <s v=""/>
    <s v=""/>
    <s v=""/>
    <s v="Campanha"/>
    <s v=""/>
    <s v=""/>
    <s v="30%;Dentro Perfil;Instagram"/>
    <s v="Pipeline de Vendas"/>
    <s v="Apresentar Solução (35%)"/>
    <s v=""/>
    <d v="2026-02-28T00:00:00"/>
    <m/>
    <m/>
    <n v="99"/>
    <s v="Paulo Souza"/>
    <d v="2026-01-30T00:00:00"/>
    <d v="1899-12-30T16:49:56"/>
    <s v=""/>
    <s v="Perdido"/>
    <d v="2026-05-09T00:00:00"/>
    <d v="1899-12-30T08:34:33"/>
    <s v="Sem qualificação — contato não atende ligações nem responde msg"/>
    <s v=""/>
    <s v=""/>
    <x v="0"/>
    <s v="Junior Lopes"/>
    <x v="0"/>
    <s v=""/>
    <d v="2026-03-09T00:00:00"/>
    <n v="30"/>
    <s v=""/>
    <s v=""/>
    <s v=""/>
    <s v=""/>
    <n v="1"/>
  </r>
  <r>
    <x v="2"/>
    <n v="891"/>
    <m/>
    <n v="3191"/>
    <s v="18.02 - Tentativa de contato realizado por telefone e-mail"/>
    <s v=""/>
    <x v="424"/>
    <m/>
    <s v=""/>
    <s v="Certo"/>
    <s v="3335294949"/>
    <s v=""/>
    <s v="ti@grupocerto.com.br"/>
    <s v=""/>
    <s v=""/>
    <s v=""/>
    <s v=""/>
    <s v=""/>
    <s v="Campanha"/>
    <s v=""/>
    <s v=""/>
    <s v="30%;Dentro Perfil;Instagram"/>
    <s v="Pipeline de Vendas"/>
    <s v="Apresentar Proposta (50%)"/>
    <s v=""/>
    <d v="2026-02-28T00:00:00"/>
    <m/>
    <m/>
    <n v="26"/>
    <s v="Paulo Souza"/>
    <d v="2026-01-30T00:00:00"/>
    <d v="1899-12-30T16:51:49"/>
    <s v=""/>
    <s v="Perdido"/>
    <d v="2026-02-25T00:00:00"/>
    <d v="1899-12-30T10:30:05"/>
    <s v="Cliente não quer contato LGPD"/>
    <s v=""/>
    <s v=""/>
    <x v="0"/>
    <s v="Rayssa Karapeticov"/>
    <x v="0"/>
    <s v=""/>
    <d v="2026-02-18T00:00:00"/>
    <n v="30"/>
    <s v=""/>
    <s v=""/>
    <s v=""/>
    <s v=""/>
    <n v="1"/>
  </r>
  <r>
    <x v="1"/>
    <n v="892"/>
    <m/>
    <n v="3196"/>
    <s v="(30/01/2026) Sou Junior Lopes da Guarani sistemas_x000a_16:56, 30/01/2026 Junior Lopes: Td bem ?_x000a_17:01, 30/01/2026 Orlando: Tudo_x000a_17:08, 30/01/2026 Orlando: Descreve alguma coisa do seu sistema_x000a_17:29, 30/01/2026 Orlando: Qual o valor mensal?_x000a_Este valor mensal posso incluir quantas empresas?_x000a_16:49, 02/02/2026 Junior Lopes: Olá Orlando , tem interesse em dar continuidade no contato ?_x000a_Hj um investimento em um ERP Guarani controlando sua empresa de ponta a ponta desde a produção passando pelos módulos financeiro a pagar e receber, comercial, compras, Fiscal, logística/expedicao (WMS) e Força de vendas ! Fica dentro de uma expectativa entre (60 mil a 90 mil) de investimento em implantação e treinamentos !_x000a_A mensalidade é por usuário sendo R$ 280,00 do ERP e R$ 115,00 do AFV_x000a_Caso queira um orçamento mais preciso, podemos nos reunir para entender melhor suas necessidades_x000a_O que seria AFV?  (enviei =áudio explicando)_x000a_(11/02/2026) retornei contato com Orlando buscando continuidade no atendimento _x000a_10:07, 19/02/2026 Orlando: Falamos mais tarde_x000a_10:08, 19/02/2026 Orlando: Estou viajando, melhor poderia me chamar na segunda feira?_x000a_10:17, 19/02/2026 Junior Lopes: Estou viajando, melhor poderia me chamar na segunda feira?_x000a_Sim ! Te chamo segunda-feira_x000a_(16/03/2026) em contato com Orlando ! acredito que não esta no momento certo ! Orlando um pouco confuso"/>
    <s v=""/>
    <x v="425"/>
    <n v="54888350000165"/>
    <s v=""/>
    <s v="Plastilando Ind e Com"/>
    <s v="21999778181"/>
    <s v=""/>
    <s v="orlando@plastianna.com.br"/>
    <s v=""/>
    <s v=""/>
    <s v=""/>
    <s v=""/>
    <s v=""/>
    <s v="Campanha"/>
    <s v=""/>
    <s v=""/>
    <s v="30%;Dentro Perfil;Instagram"/>
    <s v="Pipeline de Vendas"/>
    <s v="Em negociação (75%)"/>
    <s v=""/>
    <d v="2026-03-31T00:00:00"/>
    <n v="1148572"/>
    <n v="71924"/>
    <n v="99"/>
    <s v="Paulo Souza"/>
    <d v="2026-01-30T00:00:00"/>
    <d v="1899-12-30T16:53:38"/>
    <s v=""/>
    <s v="Perdido"/>
    <d v="2026-05-09T00:00:00"/>
    <d v="1899-12-30T08:30:36"/>
    <s v="Não houve aprovação financeira"/>
    <s v=""/>
    <s v=""/>
    <x v="180"/>
    <s v="Junior Lopes"/>
    <x v="195"/>
    <s v=""/>
    <d v="2026-03-16T00:00:00"/>
    <n v="30"/>
    <s v=""/>
    <s v=""/>
    <s v=""/>
    <s v=""/>
    <n v="1"/>
  </r>
  <r>
    <x v="0"/>
    <n v="893"/>
    <m/>
    <n v="3203"/>
    <s v="17/02 Feito apresentação institucional e vídeos do ERP . _x000a_10/03 Fiz FUP com o Henrique e ele recebeu a proposta e esta sobre analise. Temos um reunião de apresentação de WMS na sexta-feira proxima para ele conhecer este módulo e seguirmos._x000a_20/03 Aguardando o Henrique se reunir com o time de ERP atual para decidir se vai trocar ou não o sistema."/>
    <s v=""/>
    <x v="426"/>
    <n v="10258712000169"/>
    <s v=""/>
    <s v="HENRIQUE CARVALHO SANTOS"/>
    <s v="(31) 99987-1034"/>
    <s v=""/>
    <s v="henrique@armandonacionais.com.br"/>
    <s v=""/>
    <s v=""/>
    <s v=""/>
    <s v="São Paulo"/>
    <s v=""/>
    <s v="Site"/>
    <s v=""/>
    <s v=""/>
    <s v="90%;Dentro Perfil;Solicita demo"/>
    <s v="Pipeline de Vendas"/>
    <s v="Em Fechamento (100%)"/>
    <s v=""/>
    <d v="2026-03-31T00:00:00"/>
    <n v="1301786"/>
    <n v="2713706"/>
    <n v="70"/>
    <s v="Paulo Souza"/>
    <d v="2026-01-30T00:00:00"/>
    <d v="1899-12-30T17:03:26"/>
    <s v=""/>
    <s v="Perdido"/>
    <d v="2026-04-10T00:00:00"/>
    <d v="1899-12-30T15:57:04"/>
    <s v="Não quer mudar a solução atual"/>
    <s v=""/>
    <s v=""/>
    <x v="168"/>
    <s v="Paulo Souza"/>
    <x v="182"/>
    <s v=""/>
    <d v="2026-03-20T00:00:00"/>
    <n v="30"/>
    <s v=""/>
    <s v="ERP, AFV, PDV, TREINAMENTO"/>
    <s v=""/>
    <s v=""/>
    <n v="1"/>
  </r>
  <r>
    <x v="0"/>
    <n v="894"/>
    <m/>
    <n v="3204"/>
    <s v="26/02 Foi feito FUP com o Wilson e ele optou pela concorrência devido a valor."/>
    <s v=""/>
    <x v="427"/>
    <m/>
    <s v=""/>
    <s v="Mobal"/>
    <s v="13997072312"/>
    <s v=""/>
    <s v="alumiglass.peruibe@gmail.com"/>
    <s v=""/>
    <s v=""/>
    <s v=""/>
    <s v=""/>
    <s v=""/>
    <s v="Campanha"/>
    <s v=""/>
    <s v=""/>
    <s v="30%;Dentro Perfil;Instagram"/>
    <s v="Pipeline de Vendas"/>
    <s v="Agendamento (0%)"/>
    <s v=""/>
    <d v="2026-02-28T00:00:00"/>
    <m/>
    <m/>
    <n v="27"/>
    <s v="Paulo Souza"/>
    <d v="2026-01-30T00:00:00"/>
    <d v="1899-12-30T17:06:43"/>
    <s v=""/>
    <s v="Perdido"/>
    <d v="2026-02-26T00:00:00"/>
    <d v="1899-12-30T18:31:38"/>
    <s v="Fechou com o concorrente - preço"/>
    <s v="26/02 Foi feito FUP com o Wilson e ele optou pela concorrência devido a valor."/>
    <s v=""/>
    <x v="0"/>
    <s v="Paulo Souza"/>
    <x v="0"/>
    <s v=""/>
    <d v="2026-02-26T00:00:00"/>
    <n v="30"/>
    <s v=""/>
    <s v="ERP"/>
    <s v=""/>
    <s v=""/>
    <n v="1"/>
  </r>
  <r>
    <x v="2"/>
    <n v="895"/>
    <m/>
    <n v="3201"/>
    <s v="07.04 cliente ainda imaturo para os processos"/>
    <s v="Fabiano Aparecido Vaine"/>
    <x v="428"/>
    <n v="28229707000193"/>
    <s v=""/>
    <s v="Fabiano Aparecido Vaine"/>
    <s v="(16) 9701-3510"/>
    <s v=""/>
    <s v="fabianovaine@terra.com.br"/>
    <s v=""/>
    <s v=""/>
    <s v=""/>
    <s v="SAO CARLOS"/>
    <s v="SP"/>
    <s v="Base de empresas Leads2b"/>
    <s v=""/>
    <s v=""/>
    <s v="30%;Dentro Perfil"/>
    <s v="Pipeline de Vendas"/>
    <s v="Apresentar Solução (35%)"/>
    <s v=""/>
    <d v="2026-04-30T00:00:00"/>
    <m/>
    <m/>
    <n v="64"/>
    <s v="Rayssa Karapeticov"/>
    <d v="2026-02-02T00:00:00"/>
    <d v="1899-12-30T09:47:17"/>
    <s v=""/>
    <s v="Perdido"/>
    <d v="2026-04-07T00:00:00"/>
    <d v="1899-12-30T10:56:50"/>
    <s v="Não quer mudar a solução atual"/>
    <s v=""/>
    <s v=""/>
    <x v="0"/>
    <s v="Rayssa Karapeticov"/>
    <x v="196"/>
    <s v=""/>
    <d v="2026-02-17T00:00:00"/>
    <n v="30"/>
    <s v=""/>
    <s v="ERP, AFV, PCP, WMS"/>
    <s v=""/>
    <s v=""/>
    <n v="1"/>
  </r>
  <r>
    <x v="2"/>
    <n v="901"/>
    <m/>
    <n v="3218"/>
    <s v="05/02 - Possui uma loja de peças de moto, onde presta serviço de conserto também. _x000a_Fora do perfil"/>
    <s v=""/>
    <x v="429"/>
    <m/>
    <s v=""/>
    <s v="RG moto peças"/>
    <s v="87988082642"/>
    <s v=""/>
    <s v="regisandes10@outlook.com"/>
    <s v=""/>
    <s v=""/>
    <s v=""/>
    <s v=""/>
    <s v=""/>
    <s v="Campanha"/>
    <s v=""/>
    <s v=""/>
    <s v="30%;Fora Perfil;Instagram"/>
    <s v="Pipeline de Vendas"/>
    <s v="Qualificação de Vendas (SQL) (25%)"/>
    <s v=""/>
    <d v="2026-02-28T00:00:00"/>
    <m/>
    <m/>
    <n v="2"/>
    <s v="Paulo Souza"/>
    <d v="2026-02-05T00:00:00"/>
    <d v="1899-12-30T08:33:37"/>
    <s v=""/>
    <s v="Perdido"/>
    <d v="2026-02-07T00:00:00"/>
    <d v="1899-12-30T21:31:00"/>
    <s v="Fora do porte mínimo (sem fit estrutural)"/>
    <s v=""/>
    <s v=""/>
    <x v="0"/>
    <s v="Rayssa Karapeticov"/>
    <x v="0"/>
    <s v=""/>
    <m/>
    <n v="30"/>
    <s v=""/>
    <s v=""/>
    <s v=""/>
    <s v=""/>
    <n v="1"/>
  </r>
  <r>
    <x v="1"/>
    <n v="902"/>
    <m/>
    <n v="3211"/>
    <s v=""/>
    <s v=""/>
    <x v="430"/>
    <n v="7324070000144"/>
    <s v=""/>
    <s v="SOLIMP"/>
    <s v="8391128022"/>
    <s v=""/>
    <s v="oliveiraeulalio@yahoo.com.br"/>
    <s v=""/>
    <s v=""/>
    <s v=""/>
    <s v="CAMPINA GRANDE"/>
    <s v="PB"/>
    <s v="Campanha"/>
    <s v=""/>
    <s v=""/>
    <s v="30%;Dentro Perfil;Instagram"/>
    <s v="Pipeline de Vendas"/>
    <s v="Qualificação de Vendas (SQL) (25%)"/>
    <s v=""/>
    <d v="2026-02-28T00:00:00"/>
    <m/>
    <m/>
    <n v="93"/>
    <s v="Paulo Souza"/>
    <d v="2026-02-05T00:00:00"/>
    <d v="1899-12-30T08:35:26"/>
    <s v=""/>
    <s v="Perdido"/>
    <d v="2026-05-09T00:00:00"/>
    <d v="1899-12-30T07:45:34"/>
    <s v="Sem qualificação — contato não atende ligações nem responde msg"/>
    <s v=""/>
    <s v=""/>
    <x v="0"/>
    <s v="Junior Lopes"/>
    <x v="0"/>
    <s v=""/>
    <d v="2026-02-19T00:00:00"/>
    <n v="30"/>
    <s v=""/>
    <s v=""/>
    <s v=""/>
    <s v=""/>
    <n v="1"/>
  </r>
  <r>
    <x v="0"/>
    <n v="903"/>
    <m/>
    <n v="3217"/>
    <s v="17/02 Após vários FUPs não obtive retorno do cliente sobre a sequência do projeto. Encerrei por falta de interesse."/>
    <s v=""/>
    <x v="431"/>
    <m/>
    <s v=""/>
    <s v="Monteiro"/>
    <s v="6184085792"/>
    <s v=""/>
    <s v="saff71@hotmail.com"/>
    <s v=""/>
    <s v=""/>
    <s v=""/>
    <s v=""/>
    <s v=""/>
    <s v="Campanha"/>
    <s v=""/>
    <s v=""/>
    <s v="30%;Dentro Perfil;Instagram"/>
    <s v="Pipeline de Vendas"/>
    <s v="Qualificação de Vendas (SQL) (25%)"/>
    <s v=""/>
    <d v="2026-02-28T00:00:00"/>
    <m/>
    <m/>
    <n v="93"/>
    <s v="Paulo Souza"/>
    <d v="2026-02-05T00:00:00"/>
    <d v="1899-12-30T08:40:25"/>
    <s v=""/>
    <s v="Perdido"/>
    <d v="2026-05-09T00:00:00"/>
    <d v="1899-12-30T07:46:56"/>
    <s v="Sem qualificação — contato não atende ligações nem responde msg"/>
    <s v=""/>
    <s v=""/>
    <x v="0"/>
    <s v="Paulo Souza"/>
    <x v="0"/>
    <s v=""/>
    <m/>
    <n v="30"/>
    <s v=""/>
    <s v=""/>
    <s v=""/>
    <s v=""/>
    <n v="1"/>
  </r>
  <r>
    <x v="0"/>
    <n v="906"/>
    <m/>
    <n v="3226"/>
    <s v="03/03 Após diversas tentativa de FUP não tive retorno e por falta de interação estou declinando o lead."/>
    <s v=""/>
    <x v="432"/>
    <m/>
    <s v=""/>
    <s v="2VO"/>
    <s v="11985858558"/>
    <s v=""/>
    <s v="wasques@uol.com.br"/>
    <s v=""/>
    <s v=""/>
    <s v=""/>
    <s v=""/>
    <s v=""/>
    <s v="Campanha"/>
    <s v=""/>
    <s v=""/>
    <s v="30%;Dentro Perfil;Instagram"/>
    <s v="Pipeline de Vendas"/>
    <s v="Apresentar Solução (35%)"/>
    <s v=""/>
    <d v="2026-02-28T00:00:00"/>
    <m/>
    <m/>
    <n v="24"/>
    <s v="Paulo Souza"/>
    <d v="2026-02-07T00:00:00"/>
    <d v="1899-12-30T07:04:06"/>
    <s v=""/>
    <s v="Perdido"/>
    <d v="2026-03-03T00:00:00"/>
    <d v="1899-12-30T21:33:22"/>
    <s v="Fora do porte mínimo (sem fit estrutural)"/>
    <s v=""/>
    <s v=""/>
    <x v="0"/>
    <s v="Paulo Souza"/>
    <x v="0"/>
    <s v=""/>
    <m/>
    <n v="30"/>
    <s v=""/>
    <s v="ERP, AFV"/>
    <s v=""/>
    <s v=""/>
    <n v="1"/>
  </r>
  <r>
    <x v="0"/>
    <n v="907"/>
    <m/>
    <n v="3222"/>
    <s v="13/02 Fiz FUP hoje com a Andressa, mas não atendeu deixei recado."/>
    <s v=""/>
    <x v="433"/>
    <m/>
    <s v=""/>
    <s v="Andresa Aparecida Carvalho"/>
    <s v="(11) 94468-8676"/>
    <s v=""/>
    <s v="andresacarvalho55@gmail.com"/>
    <s v=""/>
    <s v=""/>
    <s v=""/>
    <s v="São Paulo"/>
    <s v=""/>
    <s v="Site"/>
    <s v=""/>
    <s v=""/>
    <s v="30%;Solicita demo"/>
    <s v="Pipeline de Vendas"/>
    <s v="Apresentar Solução (35%)"/>
    <s v=""/>
    <d v="2026-02-28T00:00:00"/>
    <m/>
    <m/>
    <n v="12"/>
    <s v="Paulo Souza"/>
    <d v="2026-02-07T00:00:00"/>
    <d v="1899-12-30T07:13:56"/>
    <s v=""/>
    <s v="Perdido"/>
    <d v="2026-02-19T00:00:00"/>
    <d v="1899-12-30T17:31:05"/>
    <s v="Projeto adiado / sem prazo definido"/>
    <s v="Rayssa, atendendo"/>
    <s v=""/>
    <x v="0"/>
    <s v="Paulo Souza"/>
    <x v="187"/>
    <s v=""/>
    <m/>
    <n v="30"/>
    <s v=""/>
    <s v=""/>
    <s v=""/>
    <s v=""/>
    <n v="1"/>
  </r>
  <r>
    <x v="0"/>
    <n v="908"/>
    <m/>
    <n v="3228"/>
    <s v="06/02 Feito a apresentação da proposta em fase de negociação._x000a_13/02 Foi feito uma visita em São Paulo no Grupo Iracema, onde falamos com os sócios , e o cabeça o Mauricio. A proposta foi reformulada e ajustada e estamos na faze de negociação. Próximo passo, quarta-feira apresentar o WMS."/>
    <s v=""/>
    <x v="434"/>
    <m/>
    <s v=""/>
    <s v="Gerson"/>
    <s v="49988720298"/>
    <s v=""/>
    <s v="null"/>
    <s v=""/>
    <s v=""/>
    <s v=""/>
    <s v=""/>
    <s v=""/>
    <s v="Indicação"/>
    <s v=""/>
    <s v=""/>
    <s v="50%"/>
    <s v="Pipeline de Vendas"/>
    <s v="Em negociação (75%)"/>
    <s v=""/>
    <d v="2026-02-28T00:00:00"/>
    <n v="987029"/>
    <n v="1228454"/>
    <n v="19"/>
    <s v="Paulo Souza"/>
    <d v="2026-02-07T00:00:00"/>
    <d v="1899-12-30T09:59:21"/>
    <s v=""/>
    <s v="Ganho"/>
    <d v="2026-02-26T00:00:00"/>
    <d v="1899-12-30T21:55:21"/>
    <s v=""/>
    <s v=""/>
    <s v=""/>
    <x v="118"/>
    <s v="Paulo Souza"/>
    <x v="126"/>
    <s v=""/>
    <d v="2026-02-26T00:00:00"/>
    <n v="50"/>
    <s v="270"/>
    <s v="ERP, AFV, BI, WMS, COMEX, ADICIONAIS"/>
    <s v="R$ 89.502,90"/>
    <s v="R$ 12.883,50"/>
    <n v="1"/>
  </r>
  <r>
    <x v="0"/>
    <n v="909"/>
    <m/>
    <n v="3229"/>
    <s v="06/02 Feito a apresentação da proposta em fase de negociação._x000a_13/02 Foi feito uma visita em São Paulo no Grupo Iracema, onde falamos com os sócios , e o cabeça o Mauricio. A proposta foi reformulada e ajustada e estamos na faze de negociação. Próximo passo, quarta-feira apresentar o WMS._x000a_13/02 Foi feito uma visita em São Paulo no Grupo Iracema, onde falamos com os sócios , e o cabeça o Mauricio. A proposta foi reformulada e ajustada e estamos na faze de negociação. Próximo passo, quarta-feira apresentar o WMS."/>
    <s v=""/>
    <x v="435"/>
    <m/>
    <s v=""/>
    <s v="Willaim"/>
    <s v="49998015654"/>
    <s v=""/>
    <s v="null"/>
    <s v=""/>
    <s v=""/>
    <s v=""/>
    <s v=""/>
    <s v=""/>
    <s v=""/>
    <s v=""/>
    <s v=""/>
    <s v="50%"/>
    <s v="Pipeline de Vendas"/>
    <s v="Em Fechamento (100%)"/>
    <s v=""/>
    <d v="2026-02-28T00:00:00"/>
    <n v="7470289"/>
    <n v="1038848"/>
    <n v="19"/>
    <s v="Paulo Souza"/>
    <d v="2026-02-07T00:00:00"/>
    <d v="1899-12-30T10:00:29"/>
    <s v=""/>
    <s v="Ganho"/>
    <d v="2026-02-26T00:00:00"/>
    <d v="1899-12-30T21:48:31"/>
    <s v=""/>
    <s v=""/>
    <s v=""/>
    <x v="181"/>
    <s v="Paulo Souza"/>
    <x v="197"/>
    <s v=""/>
    <d v="2026-02-26T00:00:00"/>
    <n v="50"/>
    <s v="150"/>
    <s v="ERP, AFV, BI, WMS, COMEX, ADICIONAIS"/>
    <s v="R$ 65.502,90"/>
    <s v="R$ 11.334,84"/>
    <n v="1"/>
  </r>
  <r>
    <x v="1"/>
    <n v="912"/>
    <m/>
    <n v="3248"/>
    <s v="(11/02/2026) Contato feira ABcasa ! agendamos apresentação para sexta feira dia 20/02_x000a_10:05, 20/02/2026 Junior Lopes: Entendo ! Vamos organizar nova data_x000a_10:06, 20/02/2026 Junior Lopes: Segunda feira , é possível?_x000a_10:13, 20/02/2026 Fabio Oliveira Nina Enc: eu consigo te atender, mas vamos precisar remarcar um pouco mais para frente, eu quero muito te atender e realmente preciso, porem nesse momento ta dificil_x000a_(09/03/2026) buscando data para apresentação _x000a_(14/04/2026) em contato com Fabio a fim de agendarmos apresentação _x000a_09:58, 14/04/2026 Junior Lopes: Olá Fábio, bom dia_x000a_10:01, 14/04/2026 Fabio Oliveira Nina Enc: Bom dia meu amigo, tudo certo ?_x000a_10:02, 14/04/2026 Junior Lopes: Opa td certo 🙏_x000a_Vamos programar apresentação?_x000a_10:04, 14/04/2026 Fabio Oliveira Nina Enc: o meu amigo, esta semana nao vou ter como te atender, estamos organizando muita coisa na empresa, na quarta feira meu pai vai para china, mas acho que na outra semana a gente consegue, na quinta ou sexta da semana que vem_x000a_10:05, 14/04/2026 Junior Lopes: Perfeito Fábio ! Aí te chamo no começo da semana para alinharmos_x000a_10:05, 14/04/2026 Fabio Oliveira Nina Enc: combinado"/>
    <s v="Sebastiao Cardoso Comercio Atacadista De Ferramentas Ltda"/>
    <x v="436"/>
    <n v="12391174000101"/>
    <s v=""/>
    <s v="Sebastiao Cardoso Comercio Atacadista De Ferramentas Ltda"/>
    <s v="(47) 3368-3065"/>
    <s v=""/>
    <s v="ninaencartelados@gmail.com"/>
    <s v=""/>
    <s v=""/>
    <s v=""/>
    <s v="ITAPEMA"/>
    <s v="SC"/>
    <s v="Base de empresas Leads2b"/>
    <s v=""/>
    <s v=""/>
    <s v=""/>
    <s v="Pipeline de Vendas"/>
    <s v="Apresentar Proposta (50%)"/>
    <s v=""/>
    <d v="2026-05-31T00:00:00"/>
    <n v="748805"/>
    <n v="53071"/>
    <n v="92"/>
    <s v="Junior Lopes"/>
    <d v="2026-02-11T00:00:00"/>
    <d v="1899-12-30T09:59:48"/>
    <s v=""/>
    <s v="Perdido"/>
    <d v="2026-05-14T00:00:00"/>
    <d v="1899-12-30T14:48:33"/>
    <s v="Não houve aprovação financeira"/>
    <s v="14/05/2026 : _x000a_09:02, 13/05/2026 Fabio Oliveira Nina Enc: Consegui sim, teu sistema é maravilhoso, muito bom mesmo _x000a_porem eu passei pro pessoal aqui, e no momento, nosso faturamaento nao condiz com o investimento a ser feito_x000a_09:03, 13/05/2026 Fabio Oliveira Nina Enc: espero que logo possamos mudar isso_x000a_09:05, 13/05/2026 Junior Lopes: Entendo Fábio ! _x000a_ O que está pegando mais na proposta ? O projeto ou as mensalidades?_x000a_09:08, 13/05/2026 Fabio Oliveira Nina Enc: na verdade é um pouco dos dois, hj nosso sistema nos custa 6 mil por ano, claro que ele nao tem a mesma eficiencia do seu, mas para a quantidade de vendas nossa, no atual momento ele nos atende bem_x000a_09:21, 13/05/2026 Junior Lopes: Entendo ! Gostaria de pensar aí e nos fazer uma contra proposta ?_x000a_09:22, 13/05/2026 Fabio Oliveira Nina Enc: no momento vamos deixar em off_x000a_09:22, 13/05/2026 Fabio Oliveira Nina Enc: obrigado pela atençao_x000a_09:28, 13/05/2026 Junior Lopes: Ta joia meu amigo_x000a_09:29, 13/05/2026 Junior Lopes: Ficamos a disposição! Tenho certeza que podemos ajudar muito no crescimento da Nina encartelados _x000a_Um abraço_x000a_09:29, 13/05/2026 Fabio Oliveira Nina Enc: abraço"/>
    <s v=""/>
    <x v="182"/>
    <s v=""/>
    <x v="198"/>
    <s v="05/05/2026"/>
    <d v="2026-05-14T00:00:00"/>
    <n v="50"/>
    <s v=""/>
    <s v=""/>
    <s v=""/>
    <s v=""/>
    <n v="1"/>
  </r>
  <r>
    <x v="1"/>
    <n v="915"/>
    <m/>
    <n v="3253"/>
    <s v="(11/02/2026) Vídeo demonstrativo enviado para analise   _x000a_(11/02/2026) Proposta enviada"/>
    <s v=""/>
    <x v="437"/>
    <m/>
    <s v=""/>
    <s v="Ad &amp; Ad (Comex)"/>
    <s v="14996930353"/>
    <s v=""/>
    <s v="daniel@adimportacao.com.br"/>
    <s v=""/>
    <s v=""/>
    <s v=""/>
    <s v=""/>
    <s v=""/>
    <s v=""/>
    <s v=""/>
    <s v=""/>
    <s v="30%"/>
    <s v="Pipeline de Vendas"/>
    <s v="Apresentar Proposta (50%)"/>
    <s v=""/>
    <d v="2026-04-30T00:00:00"/>
    <n v="10240"/>
    <n v="2000"/>
    <n v="82"/>
    <s v="Junior Lopes"/>
    <d v="2026-02-11T00:00:00"/>
    <d v="1899-12-30T10:27:04"/>
    <s v=""/>
    <s v="Perdido"/>
    <d v="2026-05-04T00:00:00"/>
    <d v="1899-12-30T08:59:14"/>
    <s v="Projeto adiado / sem prazo definido"/>
    <s v="vai aguardar um pouco mais"/>
    <s v=""/>
    <x v="183"/>
    <s v=""/>
    <x v="196"/>
    <s v=""/>
    <d v="2026-05-04T00:00:00"/>
    <n v="30"/>
    <s v=""/>
    <s v=""/>
    <s v=""/>
    <s v=""/>
    <n v="1"/>
  </r>
  <r>
    <x v="0"/>
    <n v="919"/>
    <m/>
    <n v="3227"/>
    <s v="26/02 Fiz FUP com o Jader e ele tem uma ferramentaria. Entendi o processo e agora preciso falar com o Fernando, para ver se conseguirmos atender ele ou não. na sequência vou passar uma proposta. _x000a_12/03 - Encerrei o lead por falta de retorno, futuramente se ele demonstrar interesse falamos."/>
    <s v=""/>
    <x v="438"/>
    <m/>
    <s v=""/>
    <s v="Jader Silva"/>
    <s v="17996751231"/>
    <s v=""/>
    <s v="jader.reobote@outlook.com"/>
    <s v=""/>
    <s v=""/>
    <s v=""/>
    <s v=""/>
    <s v=""/>
    <s v="Campanha"/>
    <s v=""/>
    <s v=""/>
    <s v="Dentro Perfil;Instagram"/>
    <s v="Pipeline de Vendas"/>
    <s v="Apresentar Solução (35%)"/>
    <s v=""/>
    <m/>
    <m/>
    <m/>
    <n v="29"/>
    <s v="Paulo Souza"/>
    <d v="2026-02-11T00:00:00"/>
    <d v="1899-12-30T11:21:33"/>
    <s v=""/>
    <s v="Perdido"/>
    <d v="2026-03-12T00:00:00"/>
    <d v="1899-12-30T17:24:16"/>
    <s v="Fora do porte mínimo (sem fit estrutural)"/>
    <s v=""/>
    <s v=""/>
    <x v="168"/>
    <s v="Paulo Souza"/>
    <x v="182"/>
    <s v=""/>
    <d v="2026-03-31T00:00:00"/>
    <n v="30"/>
    <s v=""/>
    <s v="ERP"/>
    <s v=""/>
    <s v=""/>
    <n v="1"/>
  </r>
  <r>
    <x v="2"/>
    <n v="920"/>
    <m/>
    <n v="3230"/>
    <s v="12.02 - cliente agendou hoje as 9h não entrou na reunião, estou tentando contato para reagendar"/>
    <s v=""/>
    <x v="439"/>
    <n v="36377920000170"/>
    <s v=""/>
    <s v="RG distribuidora de bebidas ltda"/>
    <s v="(37) 3213-0306"/>
    <s v=""/>
    <s v="rgdistribuidoraltda@hotmail.com"/>
    <s v=""/>
    <s v=""/>
    <s v=""/>
    <s v="DIVINOPOLIS"/>
    <s v="MG"/>
    <s v="Campanha"/>
    <s v=""/>
    <s v=""/>
    <s v="Dentro Perfil;Instagram"/>
    <s v="Pipeline de Vendas"/>
    <s v="Apresentar Proposta (50%)"/>
    <s v=""/>
    <d v="2026-04-30T00:00:00"/>
    <n v="7784244"/>
    <n v="144748"/>
    <n v="14"/>
    <s v="Paulo Souza"/>
    <d v="2026-02-11T00:00:00"/>
    <d v="1899-12-30T11:22:26"/>
    <s v=""/>
    <s v="Perdido"/>
    <d v="2026-02-25T00:00:00"/>
    <d v="1899-12-30T10:28:11"/>
    <s v="Preço muito alto - fora do budget de investimento"/>
    <s v=""/>
    <s v=""/>
    <x v="184"/>
    <s v="Rayssa Karapeticov"/>
    <x v="199"/>
    <s v=""/>
    <d v="2026-02-24T00:00:00"/>
    <n v="30"/>
    <s v=""/>
    <s v="ERP, AFV"/>
    <s v=""/>
    <s v=""/>
    <n v="1"/>
  </r>
  <r>
    <x v="0"/>
    <n v="921"/>
    <m/>
    <n v="3231"/>
    <s v="26/02 Fiz FUP hoje com o Antônio, sem sucesso. Após minhas ligações ele não atendeu , deixei recado no Whatsapp. _x000a_27/02 Após diversas FUps sem sucesso e sem retorno do lead, estou declinando a oportunidade."/>
    <s v=""/>
    <x v="440"/>
    <m/>
    <s v=""/>
    <s v="Loja da construção"/>
    <s v="85996031544"/>
    <s v=""/>
    <s v="ajs.antoniojose@hotmail.com"/>
    <s v=""/>
    <s v=""/>
    <s v=""/>
    <s v=""/>
    <s v=""/>
    <s v="Campanha"/>
    <s v=""/>
    <s v=""/>
    <s v="Fora Perfil;Instagram"/>
    <s v="Pipeline de Vendas"/>
    <s v="Qualificação de Vendas (SQL) (25%)"/>
    <s v=""/>
    <d v="2026-02-28T00:00:00"/>
    <m/>
    <m/>
    <n v="16"/>
    <s v="Paulo Souza"/>
    <d v="2026-02-11T00:00:00"/>
    <d v="1899-12-30T11:23:49"/>
    <s v=""/>
    <s v="Perdido"/>
    <d v="2026-02-27T00:00:00"/>
    <d v="1899-12-30T21:32:33"/>
    <s v="Fora do porte mínimo (sem fit estrutural)"/>
    <s v=""/>
    <s v=""/>
    <x v="0"/>
    <s v="Paulo Souza"/>
    <x v="0"/>
    <s v=""/>
    <d v="2026-02-26T00:00:00"/>
    <n v="30"/>
    <s v=""/>
    <s v=""/>
    <s v=""/>
    <s v=""/>
    <n v="1"/>
  </r>
  <r>
    <x v="0"/>
    <n v="922"/>
    <m/>
    <n v="3232"/>
    <s v="27/02 Fiz diversos FUP sem retorno, por isso estou declinando o contato."/>
    <s v=""/>
    <x v="441"/>
    <m/>
    <s v=""/>
    <s v="Zzzz"/>
    <s v="41987097843"/>
    <s v=""/>
    <s v="gipatelini@hotmail.com"/>
    <s v=""/>
    <s v=""/>
    <s v=""/>
    <s v=""/>
    <s v=""/>
    <s v="Campanha"/>
    <s v=""/>
    <s v=""/>
    <s v="Dentro Perfil;Instagram"/>
    <s v="Pipeline de Vendas"/>
    <s v="Apresentar Solução (35%)"/>
    <s v=""/>
    <d v="2026-02-27T00:00:00"/>
    <m/>
    <m/>
    <n v="16"/>
    <s v="Paulo Souza"/>
    <d v="2026-02-11T00:00:00"/>
    <d v="1899-12-30T11:24:41"/>
    <s v=""/>
    <s v="Perdido"/>
    <d v="2026-02-27T00:00:00"/>
    <d v="1899-12-30T21:27:11"/>
    <s v="Fora do porte mínimo (sem fit estrutural)"/>
    <s v=""/>
    <s v=""/>
    <x v="0"/>
    <s v="Paulo Souza"/>
    <x v="0"/>
    <s v=""/>
    <m/>
    <n v="30"/>
    <s v=""/>
    <s v=""/>
    <s v=""/>
    <s v=""/>
    <n v="1"/>
  </r>
  <r>
    <x v="2"/>
    <n v="923"/>
    <m/>
    <n v="3236"/>
    <s v=""/>
    <s v=""/>
    <x v="442"/>
    <m/>
    <s v=""/>
    <s v="Gs atacado"/>
    <s v="61984251198"/>
    <s v=""/>
    <s v="gsatacado69@gmail.com"/>
    <s v=""/>
    <s v=""/>
    <s v=""/>
    <s v=""/>
    <s v=""/>
    <s v="Campanha"/>
    <s v=""/>
    <s v=""/>
    <s v="Dentro Perfil;Instagram"/>
    <s v="Pipeline de Vendas"/>
    <s v="Qualificação de Vendas (SQL) (25%)"/>
    <s v=""/>
    <d v="2026-04-30T00:00:00"/>
    <m/>
    <m/>
    <n v="16"/>
    <s v="Paulo Souza"/>
    <d v="2026-02-11T00:00:00"/>
    <d v="1899-12-30T11:27:12"/>
    <s v=""/>
    <s v="Perdido"/>
    <d v="2026-02-27T00:00:00"/>
    <d v="1899-12-30T17:23:25"/>
    <s v="Preço muito alto - fora do budget de investimento"/>
    <s v=""/>
    <s v=""/>
    <x v="0"/>
    <s v="Rayssa Karapeticov"/>
    <x v="200"/>
    <s v=""/>
    <d v="2026-02-25T00:00:00"/>
    <n v="30"/>
    <s v=""/>
    <s v="ERP, PDV, AFV"/>
    <s v=""/>
    <s v=""/>
    <n v="1"/>
  </r>
  <r>
    <x v="1"/>
    <n v="924"/>
    <m/>
    <n v="3238"/>
    <s v="(11/02/2026) tentativa de ligação nao atendida _x000a_17:03, 11/02/2026 Junior Lopes: Olá Gabriel , boa tarde_x000a_17:03, 11/02/2026 Junior Lopes: sou Junior Lopes da Guarani sistemas ! td bem ?_x000a_(19/02/2026) apresar de não ter resposta do cliente ! em pesquise verifiquei que LM é um deposito de bebidas que acaba fugindo do perfil"/>
    <s v=""/>
    <x v="443"/>
    <m/>
    <s v=""/>
    <s v="lm bebidas"/>
    <s v="11910369959"/>
    <s v=""/>
    <s v="gelucinaro@hotmail.com"/>
    <s v=""/>
    <s v=""/>
    <s v=""/>
    <s v=""/>
    <s v=""/>
    <s v="Campanha"/>
    <s v=""/>
    <s v=""/>
    <s v="Fora Perfil;Instagram"/>
    <s v="Pipeline de Vendas"/>
    <s v="Qualificação de Vendas (SQL) (25%)"/>
    <s v=""/>
    <m/>
    <m/>
    <m/>
    <n v="15"/>
    <s v="Paulo Souza"/>
    <d v="2026-02-11T00:00:00"/>
    <d v="1899-12-30T11:29:47"/>
    <s v=""/>
    <s v="Perdido"/>
    <d v="2026-02-26T00:00:00"/>
    <d v="1899-12-30T23:08:40"/>
    <s v="Fora do porte mínimo (sem fit estrutural)"/>
    <s v=""/>
    <s v=""/>
    <x v="0"/>
    <s v=""/>
    <x v="0"/>
    <s v=""/>
    <d v="2026-02-19T00:00:00"/>
    <n v="30"/>
    <s v=""/>
    <s v=""/>
    <s v=""/>
    <s v=""/>
    <n v="1"/>
  </r>
  <r>
    <x v="1"/>
    <n v="925"/>
    <m/>
    <n v="3244"/>
    <s v="(11/02/2026) tentativa de ligação não atendida _x000a_16:48, 11/02/2026 Junior Lopes: Olá Kariello, boa tarde !_x000a_16:48, 11/02/2026 Junior Lopes: sou Junior Lopes da Guarani sistemas, tudo bem ?_x000a_(19/02/2026) buscando data para apresentação _x000a_(23/02/2026) Vamos Agendar apresentação do força de vendas para amanhã ?_x000a_10 ou 14 horas ! O que fica melhor?_x000a_Vamos marca na primeira semana de março_x000a_Fechamento do mês é complicado_x000a_Sim ! Vamos deixar uma agenda para dia 4/03 quarta feira! Se sim já te envio um link do Meet_x000a_Ok_x000a_Apresentação Guarani (AFV) _x000a_Quarta-feira, 4 de março · 10:00 – 11:30_x000a_Fuso horário: America/Sao_Paulo_x000a_Como participar do Google Meet_x000a_Link da videochamada: https://meet.google.com/dsp-gfgz-nyv_x000a_09:54, 04/03/2026 KARIELLO COELHO: Tive um imprevisto_x000a_09:54, 04/03/2026 KARIELLO COELHO: Teremos que remarcar_x000a_09:55, 04/03/2026 Junior Lopes: Td bem meu amigo , sem problemas_x000a_12:41, 04/03/2026 KARIELLO COELHO: Até sexta agora_x000a_12:42, 04/03/2026 Junior Lopes: 10 horas é um bom horário?_x000a_12:45, 04/03/2026 KARIELLO COELHO: 11h_x000a_12:46, 04/03/2026 Junior Lopes: Joia! Vou gerar um link_x000a_12:50, 04/03/2026 Junior Lopes: Apresentação Guarani AFV - CK Hospitalar_x000a_Sexta-feira, 6 de março · 11:00 – 12:15_x000a_Fuso horário: America/Sao_Paulo_x000a_Como participar do Google Meet_x000a_Link da videochamada: https://meet.google.com/zum-xcty-mab_x000a_(09/03/2026) Após Kariello desmarcar a reunião de apresentação , não respondeu mais aos contatos"/>
    <s v=""/>
    <x v="444"/>
    <n v="32534969000139"/>
    <s v=""/>
    <s v="CK HOSPITALAR"/>
    <s v="6392247104"/>
    <s v=""/>
    <s v="diretoria@ckhospitalar.com.br"/>
    <s v=""/>
    <s v=""/>
    <s v=""/>
    <s v=""/>
    <s v="Palmas"/>
    <s v="Inbound"/>
    <s v=""/>
    <s v=""/>
    <s v="Dentro Perfil;Instagram"/>
    <s v="Pipeline de Vendas"/>
    <s v="Apresentar Proposta (50%)"/>
    <s v=""/>
    <d v="2026-04-30T00:00:00"/>
    <n v="16960"/>
    <n v="32775"/>
    <n v="41"/>
    <s v="Paulo Souza"/>
    <d v="2026-02-11T00:00:00"/>
    <d v="1899-12-30T11:30:31"/>
    <s v=""/>
    <s v="Perdido"/>
    <d v="2026-03-24T00:00:00"/>
    <d v="1899-12-30T16:03:55"/>
    <s v="Projeto adiado / sem prazo definido"/>
    <s v="(09/03/2026) Após Kariello desmarcar a reunião de apresentação , não respondeu mais aos contatos"/>
    <s v=""/>
    <x v="185"/>
    <s v=""/>
    <x v="196"/>
    <s v="04/03/2026"/>
    <d v="2026-03-09T00:00:00"/>
    <n v="30"/>
    <s v=""/>
    <s v=""/>
    <s v=""/>
    <s v=""/>
    <n v="1"/>
  </r>
  <r>
    <x v="1"/>
    <n v="926"/>
    <m/>
    <n v="3237"/>
    <s v="(11/02/2026) tentativa de ligação não atendida ! mensagem em seguida _x000a_16:43, 11/02/2026 Junior Lopes: Olá Renato ! boa tarde_x000a_16:43, 11/02/2026 Junior Lopes: sou Junior Lopes da Guarani sistemas ! tudo bem ?"/>
    <s v=""/>
    <x v="445"/>
    <m/>
    <s v=""/>
    <s v="Rp pisos"/>
    <s v="81996498759"/>
    <s v=""/>
    <s v="renatosouzarp2018@gmail.com"/>
    <s v=""/>
    <s v=""/>
    <s v=""/>
    <s v=""/>
    <s v=""/>
    <s v="Campanha"/>
    <s v=""/>
    <s v=""/>
    <s v="Fora Perfil;Instagram"/>
    <s v="Pipeline de Vendas"/>
    <s v="Qualificação de Vendas (SQL) (25%)"/>
    <s v=""/>
    <m/>
    <m/>
    <m/>
    <n v="87"/>
    <s v="Paulo Souza"/>
    <d v="2026-02-11T00:00:00"/>
    <d v="1899-12-30T11:42:17"/>
    <s v=""/>
    <s v="Perdido"/>
    <d v="2026-05-09T00:00:00"/>
    <d v="1899-12-30T07:47:47"/>
    <s v="Sem qualificação — contato não atende ligações nem responde msg"/>
    <s v=""/>
    <s v=""/>
    <x v="0"/>
    <s v=""/>
    <x v="0"/>
    <s v=""/>
    <d v="2026-02-19T00:00:00"/>
    <n v="30"/>
    <s v=""/>
    <s v=""/>
    <s v=""/>
    <s v=""/>
    <n v="1"/>
  </r>
  <r>
    <x v="2"/>
    <n v="927"/>
    <m/>
    <n v="3239"/>
    <s v="13.02 é uma loja de auto peças, prouca PDV, fora do perfil"/>
    <s v=""/>
    <x v="446"/>
    <m/>
    <s v=""/>
    <s v="Dede Acessorios"/>
    <s v="6596196462"/>
    <s v=""/>
    <s v="lu_kawakami@msn.com"/>
    <s v=""/>
    <s v=""/>
    <s v=""/>
    <s v=""/>
    <s v=""/>
    <s v="Campanha"/>
    <s v=""/>
    <s v=""/>
    <s v="Fora Perfil;Instagram"/>
    <s v="Pipeline de Vendas"/>
    <s v="Agendamento (0%)"/>
    <s v=""/>
    <m/>
    <m/>
    <m/>
    <n v="2"/>
    <s v="Paulo Souza"/>
    <d v="2026-02-11T00:00:00"/>
    <d v="1899-12-30T11:44:32"/>
    <s v=""/>
    <s v="Perdido"/>
    <d v="2026-02-13T00:00:00"/>
    <d v="1899-12-30T17:27:41"/>
    <s v="Fora do porte mínimo (sem fit estrutural)"/>
    <s v=""/>
    <s v=""/>
    <x v="0"/>
    <s v="Rayssa Karapeticov"/>
    <x v="0"/>
    <s v=""/>
    <d v="2026-02-13T00:00:00"/>
    <n v="30"/>
    <s v=""/>
    <s v=""/>
    <s v=""/>
    <s v=""/>
    <n v="1"/>
  </r>
  <r>
    <x v="1"/>
    <n v="928"/>
    <m/>
    <n v="3242"/>
    <s v="(11/02/2026) ligação efetuada - Anderson pediu para retornar ! vamos dar sequencia no whatsapp_x000a_(18/02/2026) buscando contato com Anderson ! sem resposta até o momento"/>
    <s v=""/>
    <x v="384"/>
    <n v="9205460000120"/>
    <s v=""/>
    <s v="Panveiga"/>
    <s v="(83) 3343-3391 / (83) 3343-3391"/>
    <s v=""/>
    <s v=""/>
    <s v=""/>
    <s v=""/>
    <s v=""/>
    <s v="CAMPINA GRANDE"/>
    <s v="PB"/>
    <s v="Inbound"/>
    <s v=""/>
    <s v=""/>
    <s v="Dentro Perfil;Instagram"/>
    <s v="Pipeline de Vendas"/>
    <s v="Qualificação de Vendas (SQL) (25%)"/>
    <s v=""/>
    <m/>
    <m/>
    <m/>
    <n v="8"/>
    <s v="Paulo Souza"/>
    <d v="2026-02-11T00:00:00"/>
    <d v="1899-12-30T11:51:24"/>
    <s v=""/>
    <s v="Perdido"/>
    <d v="2026-02-19T00:00:00"/>
    <d v="1899-12-30T09:53:04"/>
    <s v="Nossa solução não atende - falta funcionalidade"/>
    <s v="cliente precisa que o força de vendas atenda em pronta entrega"/>
    <s v=""/>
    <x v="0"/>
    <s v=""/>
    <x v="0"/>
    <s v=""/>
    <d v="2026-02-18T00:00:00"/>
    <n v="30"/>
    <s v=""/>
    <s v=""/>
    <s v=""/>
    <s v=""/>
    <n v="1"/>
  </r>
  <r>
    <x v="1"/>
    <n v="929"/>
    <m/>
    <n v="3235"/>
    <s v="Conversa extraida do áudio enviado em 12/03/2026_x000a_ 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
    <s v=""/>
    <x v="447"/>
    <m/>
    <s v=""/>
    <s v="kayo calil marques"/>
    <s v="(14) 99854-9863"/>
    <s v=""/>
    <s v="kayocalil@hotmail.com"/>
    <s v=""/>
    <s v=""/>
    <s v=""/>
    <s v="Tupã"/>
    <s v=""/>
    <s v="Site"/>
    <s v=""/>
    <s v=""/>
    <s v="Solicita demo"/>
    <s v="Pipeline de Vendas"/>
    <s v="Em negociação (75%)"/>
    <s v=""/>
    <m/>
    <n v="41040"/>
    <n v="384858"/>
    <n v="29"/>
    <s v="Paulo Souza"/>
    <d v="2026-02-11T00:00:00"/>
    <d v="1899-12-30T11:53:14"/>
    <s v=""/>
    <s v="Perdido"/>
    <d v="2026-03-12T00:00:00"/>
    <d v="1899-12-30T14:14:05"/>
    <s v="Não quer mudar a solução atual"/>
    <s v="Conversa extraida do áudio enviado em 12/03/2026_x000a_ 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
    <s v=""/>
    <x v="186"/>
    <s v=""/>
    <x v="201"/>
    <s v="19/02/2026"/>
    <d v="2026-03-12T00:00:00"/>
    <n v="30"/>
    <s v=""/>
    <s v=""/>
    <s v=""/>
    <s v=""/>
    <n v="1"/>
  </r>
  <r>
    <x v="2"/>
    <n v="930"/>
    <m/>
    <n v="3243"/>
    <s v="12.02 - é uma importadora de Ribeirão Preto e veio por indicação da Simone (QFestas) são do mesmo seguimento_x000a_Disse que já havia feito contato um tempo atrás mas na época achou muito caro, então não avançou_x000a_Esta retomando o contato agora e gostaria de receber uma proposta comercial antes, já que já conhece o sistema, já recebeu várias indicações de importadores, e representantes. _x000a_18.03 - estou tentando contato, mas esta em feira _x000a_30.03 Achou que não é o momento certo para avançar"/>
    <s v=""/>
    <x v="448"/>
    <n v="14590342000113"/>
    <s v=""/>
    <s v="Leandro"/>
    <s v="(16) 98237-0011"/>
    <s v=""/>
    <s v="leandro@bazarimportadora.com.br"/>
    <s v=""/>
    <s v=""/>
    <s v=""/>
    <s v="Ribeirão Preto"/>
    <s v=""/>
    <s v="Site"/>
    <s v=""/>
    <s v=""/>
    <s v="Contato;Dentro Perfil"/>
    <s v="Pipeline de Vendas"/>
    <s v="Apresentar Proposta (50%)"/>
    <s v=""/>
    <m/>
    <m/>
    <m/>
    <n v="47"/>
    <s v="Paulo Souza"/>
    <d v="2026-02-11T00:00:00"/>
    <d v="1899-12-30T11:54:00"/>
    <s v=""/>
    <s v="Perdido"/>
    <d v="2026-03-30T00:00:00"/>
    <d v="1899-12-30T15:50:03"/>
    <s v="Projeto adiado / sem prazo definido"/>
    <s v=""/>
    <s v=""/>
    <x v="0"/>
    <s v="Rayssa Karapeticov"/>
    <x v="202"/>
    <s v=""/>
    <d v="2026-03-30T00:00:00"/>
    <n v="30"/>
    <s v=""/>
    <s v="AFV, ERP"/>
    <s v=""/>
    <s v=""/>
    <n v="1"/>
  </r>
  <r>
    <x v="1"/>
    <n v="931"/>
    <m/>
    <n v="3233"/>
    <s v="11/02/2026) cliente com necessidades especificas _x000a_Rastreabilidade avançada de coletas e devoluções (fluxo de logística reversa e conferência de avarias);_x000a_Gestão flexível de Kits (desmembramento dinâmico de itens no ato da manutenção);"/>
    <s v=""/>
    <x v="449"/>
    <n v="36096287000142"/>
    <s v=""/>
    <s v="Fernando Ramalho"/>
    <s v="(21) 98655-6912"/>
    <s v=""/>
    <s v="fernando.ramalho@superzinca.com.br"/>
    <s v=""/>
    <s v=""/>
    <s v=""/>
    <s v="Ibirité"/>
    <s v=""/>
    <s v="Site"/>
    <s v=""/>
    <s v=""/>
    <s v="Fora Perfil;Solicita demo"/>
    <s v="Pipeline de Vendas"/>
    <s v="Qualificação de Vendas (SQL) (25%)"/>
    <s v=""/>
    <m/>
    <m/>
    <m/>
    <n v="0"/>
    <s v="Paulo Souza"/>
    <d v="2026-02-11T00:00:00"/>
    <d v="1899-12-30T11:55:55"/>
    <s v=""/>
    <s v="Perdido"/>
    <d v="2026-02-11T00:00:00"/>
    <d v="1899-12-30T15:28:53"/>
    <s v="Fora do porte mínimo (sem fit estrutural)"/>
    <s v="cliente fora do perfil"/>
    <s v=""/>
    <x v="0"/>
    <s v=""/>
    <x v="0"/>
    <s v=""/>
    <m/>
    <n v="30"/>
    <s v=""/>
    <s v=""/>
    <s v=""/>
    <s v=""/>
    <n v="1"/>
  </r>
  <r>
    <x v="2"/>
    <n v="932"/>
    <m/>
    <n v="3234"/>
    <s v="12.02 ligação realizada no dia 12.02 as 11:13, não atendeu. Enviei mensagem no whatsapp, para tentar um novo horario para ligação_x000a_13.02 Cliente é uma industria de copos de liquidificador estão sempre na ABUP e vieram por indicação da Arthi _x000a_Usam um sistema interno - mas futuramente querem trocar o sistema, explicou que a principio querem conhecer nosso AFV, porque foi uma indicação e o sistema atual possui esse módulo mas libera muitas informações que eles não querem disponibilizar para os RCAs, porém não podem editar ou bloquear_x000a_Não enviar estoque _x000a_Tabelas de preço - Explicou que possuem várias tabelas de preço por faixa de valor, informei que o sistema atende essa necessidade e quem podem ter uma unica tabela com uma regra comercial de desconto por faixar de valor amarrada ao pedido_x000a_Imagens de produtos - quer que o cliente tenha acesso a imagem do produto, expliquei que sim, e que pode gerar o catalogo em PDF para o cliente_x000a_Descrição - ficha técnica do produto e descrição do item_x000a_Uso de sistemas na feira - usar leitor de código de produto_x000a_Envio de orçamento - envio de cópia de orçamentos por PDF, link ou excel, e explicar funções em feira _x000a_Isis vai verificar com a gerente uma data para apresentação do AFV_x000a_18.02 - apresentação agendada para amanhã _x000a_18.03 Negociação finalizada, aguardando documentação para seguir com contrato_x000a_15.04 09:24, 15/04/2026 Rayssa Karapeticov - Comercial - Guarani Sistemas: Oi Isis, como você está.?_x000a_Na última troca, você comentou que eles devem manter o sistema atual por mais tempo, e eu fiquei de marcar uma reunião presencial para detalharmos a integração e forma de trabalho._x000a_Queria entender contigo se ainda faz sentido seguirmos com esse alinhamento agora. Se sim, me indica por favor dois horários que funcionem para você."/>
    <s v=""/>
    <x v="450"/>
    <n v="1498495000193"/>
    <s v=""/>
    <s v="Isis Miguelette"/>
    <s v="(11) 91290-8574"/>
    <s v=""/>
    <s v="isismiguelette@micromaxindustria.com.br"/>
    <s v=""/>
    <s v=""/>
    <s v=""/>
    <s v="Itatiba"/>
    <s v=""/>
    <s v="Site"/>
    <s v=""/>
    <s v=""/>
    <s v="Dentro Perfil;Solicita demo"/>
    <s v="Pipeline de Vendas"/>
    <s v="Em negociação (75%)"/>
    <s v=""/>
    <d v="2026-04-30T00:00:00"/>
    <n v="16143"/>
    <n v="690"/>
    <n v="70"/>
    <s v="Paulo Souza"/>
    <d v="2026-02-11T00:00:00"/>
    <d v="1899-12-30T11:56:36"/>
    <s v=""/>
    <s v="Perdido"/>
    <d v="2026-04-22T00:00:00"/>
    <d v="1899-12-30T17:19:39"/>
    <s v="Preço muito alto - fora do budget de investimento"/>
    <s v=""/>
    <s v=""/>
    <x v="185"/>
    <s v="Rayssa Karapeticov"/>
    <x v="203"/>
    <s v=""/>
    <d v="2026-04-15T00:00:00"/>
    <n v="30"/>
    <s v=""/>
    <s v="AFV"/>
    <s v=""/>
    <s v=""/>
    <n v="1"/>
  </r>
  <r>
    <x v="1"/>
    <n v="933"/>
    <m/>
    <n v="3262"/>
    <s v=""/>
    <s v="Startools Ferramentas, Comercio, Importacao E Exportacao Ltda"/>
    <x v="451"/>
    <n v="35754976000215"/>
    <s v=""/>
    <s v="Startools Ferramentas, Comercio, Importacao E Exportacao Ltda"/>
    <s v="(11) 8472-4282"/>
    <s v=""/>
    <s v="controladoria@startoolsferramentas.com.br"/>
    <s v=""/>
    <s v=""/>
    <s v=""/>
    <s v="ARAQUARI"/>
    <s v="SC"/>
    <s v="Base de empresas Leads2b"/>
    <s v=""/>
    <s v=""/>
    <s v=""/>
    <s v="Pipeline de Vendas"/>
    <s v="Apresentar Solução (35%)"/>
    <s v=""/>
    <m/>
    <n v="0"/>
    <n v="0"/>
    <n v="98"/>
    <s v="Junior Lopes"/>
    <d v="2026-02-11T00:00:00"/>
    <d v="1899-12-30T18:07:55"/>
    <s v=""/>
    <s v="Ativo"/>
    <m/>
    <m/>
    <s v=""/>
    <s v=""/>
    <s v=""/>
    <x v="0"/>
    <s v=""/>
    <x v="204"/>
    <s v=""/>
    <d v="2026-05-08T00:00:00"/>
    <n v="50"/>
    <s v=""/>
    <s v=""/>
    <s v=""/>
    <s v=""/>
    <n v="1"/>
  </r>
  <r>
    <x v="1"/>
    <n v="934"/>
    <m/>
    <n v="3263"/>
    <s v="(03/03/2026) Visita apresentação _x000a_(05/03/2026)  buscando fechamento"/>
    <s v="Cleantech Solucoes Industria, Distribuidora, Comercio, Importacao E Exportacao De Produtos Quimicos Ltda"/>
    <x v="452"/>
    <n v="51540058000169"/>
    <s v=""/>
    <s v="Cleantech Solucoes Industria, Distribuidora, Comercio, Importacao E Exportacao De Produtos Quimicos Ltda"/>
    <s v="(11) 91564-2482"/>
    <s v=""/>
    <s v=""/>
    <s v=""/>
    <s v=""/>
    <s v=""/>
    <s v="SAO PAULO"/>
    <s v="SP"/>
    <s v="Base de empresas Leads2b"/>
    <s v=""/>
    <s v=""/>
    <s v=""/>
    <s v="Pipeline de Vendas"/>
    <s v="Em Fechamento (100%)"/>
    <s v=""/>
    <m/>
    <n v="68400"/>
    <n v="114607"/>
    <n v="49"/>
    <s v="Junior Lopes"/>
    <d v="2026-02-11T00:00:00"/>
    <d v="1899-12-30T18:19:45"/>
    <s v=""/>
    <s v="Ganho"/>
    <d v="2026-04-01T00:00:00"/>
    <d v="1899-12-30T10:36:11"/>
    <s v=""/>
    <s v=""/>
    <s v=""/>
    <x v="183"/>
    <s v=""/>
    <x v="196"/>
    <s v="03/03/2026"/>
    <d v="2026-03-05T00:00:00"/>
    <n v="70"/>
    <s v=""/>
    <s v=""/>
    <s v=""/>
    <s v=""/>
    <n v="1"/>
  </r>
  <r>
    <x v="0"/>
    <n v="935"/>
    <m/>
    <n v="3259"/>
    <s v="13/02 Fiz FUP hoje com a Pamela e o perfil identificado é de cliente emergente para investir no momento. E por isso foi declinado."/>
    <s v=""/>
    <x v="453"/>
    <m/>
    <s v=""/>
    <s v="PAMELA CRISTINA DA FONSECA"/>
    <s v="(46) 99984-1338"/>
    <s v=""/>
    <s v="importacao.azul@hotmail.com"/>
    <s v=""/>
    <s v=""/>
    <s v=""/>
    <s v="Fazenda Rio Grande"/>
    <s v=""/>
    <s v="Site"/>
    <s v=""/>
    <s v=""/>
    <s v="Solicita demo"/>
    <s v="Pipeline de Vendas"/>
    <s v="Qualificação de Vendas (SQL) (25%)"/>
    <s v=""/>
    <d v="2026-02-28T00:00:00"/>
    <m/>
    <m/>
    <n v="1"/>
    <s v="Paulo Souza"/>
    <d v="2026-02-12T00:00:00"/>
    <d v="1899-12-30T02:29:04"/>
    <s v=""/>
    <s v="Perdido"/>
    <d v="2026-02-13T00:00:00"/>
    <d v="1899-12-30T17:22:46"/>
    <s v="Preço muito alto - fora do budget de investimento"/>
    <s v=""/>
    <s v=""/>
    <x v="0"/>
    <s v="Paulo Souza"/>
    <x v="187"/>
    <s v=""/>
    <m/>
    <n v="30"/>
    <s v=""/>
    <s v="ERP, AFV"/>
    <s v=""/>
    <s v=""/>
    <n v="1"/>
  </r>
  <r>
    <x v="1"/>
    <n v="936"/>
    <m/>
    <n v="3268"/>
    <s v="(20/02/2026) Buscando fechamento _x000a_Conversa extraida do áudio enviado em 12/03/2026_x000a_ 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
    <s v=""/>
    <x v="454"/>
    <m/>
    <s v=""/>
    <s v="Atacadão das Tripas"/>
    <s v="14998549863"/>
    <s v=""/>
    <s v="kayocalil@hotmail.com"/>
    <s v=""/>
    <s v=""/>
    <s v=""/>
    <s v=""/>
    <s v=""/>
    <s v=""/>
    <s v=""/>
    <s v=""/>
    <s v=""/>
    <s v="Pipeline de Vendas"/>
    <s v="Em negociação (75%)"/>
    <s v=""/>
    <m/>
    <m/>
    <m/>
    <n v="27"/>
    <s v="Junior Lopes"/>
    <d v="2026-02-13T00:00:00"/>
    <d v="1899-12-30T14:52:42"/>
    <s v=""/>
    <s v="Perdido"/>
    <d v="2026-03-12T00:00:00"/>
    <d v="1899-12-30T14:12:42"/>
    <s v="Não quer mudar a solução atual"/>
    <s v="Conversa extraida do áudio enviado em 12/03/2026_x000a_ 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
    <s v=""/>
    <x v="0"/>
    <s v=""/>
    <x v="187"/>
    <s v=""/>
    <d v="2026-03-12T00:00:00"/>
    <n v="50"/>
    <s v=""/>
    <s v=""/>
    <s v=""/>
    <s v=""/>
    <n v="1"/>
  </r>
  <r>
    <x v="1"/>
    <n v="937"/>
    <m/>
    <n v="3267"/>
    <s v="(19/02/2026) descartando por falta de interação _x000a_09:44, 19/02/2026 Junior Lopes: Oi, Edenilson Tentei contato algumas vezes, mas não consegui falar com você. Imagino que sua rotina esteja corrida. Vou encerrar seu atendimento por aqui para não lotar sua caixa de entrada, mas sigo à disposição caso queira retomar o assunto no futuro"/>
    <s v=""/>
    <x v="455"/>
    <n v="3318893000106"/>
    <s v=""/>
    <s v="Eletro Fort Poste Padrão"/>
    <s v="19974151604"/>
    <s v=""/>
    <s v="compras@eletrofortlimeira.com.br"/>
    <s v=""/>
    <s v=""/>
    <s v=""/>
    <s v=""/>
    <s v=""/>
    <s v="Campanha"/>
    <s v=""/>
    <s v=""/>
    <s v="Dentro Perfil;Instagram"/>
    <s v="Pipeline de Vendas"/>
    <s v="Qualificação de Vendas (SQL) (25%)"/>
    <s v=""/>
    <d v="2026-02-28T00:00:00"/>
    <m/>
    <m/>
    <n v="13"/>
    <s v="Paulo Souza"/>
    <d v="2026-02-13T00:00:00"/>
    <d v="1899-12-30T21:58:18"/>
    <s v=""/>
    <s v="Perdido"/>
    <d v="2026-02-26T00:00:00"/>
    <d v="1899-12-30T23:10:17"/>
    <s v="Fora do porte mínimo (sem fit estrutural)"/>
    <s v=""/>
    <s v=""/>
    <x v="0"/>
    <s v="Junior Lopes"/>
    <x v="0"/>
    <s v=""/>
    <d v="2026-02-19T00:00:00"/>
    <n v="30"/>
    <s v=""/>
    <s v=""/>
    <s v=""/>
    <s v=""/>
    <n v="1"/>
  </r>
  <r>
    <x v="0"/>
    <n v="938"/>
    <m/>
    <n v="3266"/>
    <s v="19/02 Fiz FUP com o cliente e liguei para o Luis e ao entender o processo dele verifique que não atendemos. Pois ele quer que o vendedor no momento do pedido já emita a NF."/>
    <s v=""/>
    <x v="456"/>
    <n v="11994847000155"/>
    <s v=""/>
    <s v="Luís Fernando"/>
    <s v="(15) 99839-1786"/>
    <s v=""/>
    <s v="luismendesjr@cafecarneiro.com.br"/>
    <s v=""/>
    <s v=""/>
    <s v=""/>
    <s v="Itapeva"/>
    <s v=""/>
    <s v="Site"/>
    <s v=""/>
    <s v=""/>
    <s v="Contato"/>
    <s v="Pipeline de Vendas"/>
    <s v="Apresentar Solução (35%)"/>
    <s v=""/>
    <d v="2026-02-28T00:00:00"/>
    <m/>
    <m/>
    <n v="6"/>
    <s v="Paulo Souza"/>
    <d v="2026-02-13T00:00:00"/>
    <d v="1899-12-30T22:00:55"/>
    <s v=""/>
    <s v="Perdido"/>
    <d v="2026-02-19T00:00:00"/>
    <d v="1899-12-30T17:25:13"/>
    <s v="Nossa solução não atende - falta funcionalidade"/>
    <s v="19/02 Fiz FUP com o cliente e liguei para o Luis e ao entender o processo dele verifique que não atendemos. Pois ele quer que o vendedor no momento do pedido já emita a NF."/>
    <s v=""/>
    <x v="0"/>
    <s v="Paulo Souza"/>
    <x v="0"/>
    <s v=""/>
    <m/>
    <n v="30"/>
    <s v=""/>
    <s v=""/>
    <s v=""/>
    <s v=""/>
    <n v="1"/>
  </r>
  <r>
    <x v="2"/>
    <n v="945"/>
    <m/>
    <n v="3271"/>
    <s v=""/>
    <s v=""/>
    <x v="457"/>
    <m/>
    <s v=""/>
    <s v="Angel"/>
    <s v="(45) 99828-7178"/>
    <s v=""/>
    <s v="lucaangel20@hotmail.com"/>
    <s v=""/>
    <s v=""/>
    <s v=""/>
    <s v="Toledo"/>
    <s v=""/>
    <s v="Site"/>
    <s v=""/>
    <s v=""/>
    <s v="Solicita demo"/>
    <s v="Pipeline de Vendas"/>
    <s v="Agendamento (0%)"/>
    <s v=""/>
    <m/>
    <m/>
    <m/>
    <n v="2"/>
    <s v="Paulo Souza"/>
    <d v="2026-02-17T00:00:00"/>
    <d v="1899-12-30T17:47:51"/>
    <s v=""/>
    <s v="Perdido"/>
    <d v="2026-02-19T00:00:00"/>
    <d v="1899-12-30T09:05:02"/>
    <s v="Cliente não quer contato LGPD"/>
    <s v=""/>
    <s v=""/>
    <x v="0"/>
    <s v="Rayssa Karapeticov"/>
    <x v="0"/>
    <s v=""/>
    <d v="2026-02-18T00:00:00"/>
    <n v="30"/>
    <s v=""/>
    <s v="ERP"/>
    <s v=""/>
    <s v=""/>
    <n v="1"/>
  </r>
  <r>
    <x v="0"/>
    <n v="946"/>
    <m/>
    <n v="3270"/>
    <s v="26/02 Fiz FUP hoje com o Diego após varias tentativas de ligação ele não atendeu, envie e-mail para ver se consigo outro canal de conversa._x000a_12/03 Diego optou por uma solução local e se não der certo retorna o contato."/>
    <s v=""/>
    <x v="458"/>
    <m/>
    <s v=""/>
    <s v="Cia atacadista"/>
    <s v="71982084451"/>
    <s v=""/>
    <s v="ailtonsrocha@hotmail.com"/>
    <s v=""/>
    <s v=""/>
    <s v=""/>
    <s v=""/>
    <s v=""/>
    <s v="Campanha"/>
    <s v=""/>
    <s v=""/>
    <s v="Dentro Perfil;Instagram"/>
    <s v="Pipeline de Vendas"/>
    <s v="Qualificação de Vendas (SQL) (25%)"/>
    <s v=""/>
    <d v="2026-03-31T00:00:00"/>
    <m/>
    <m/>
    <n v="82"/>
    <s v="Paulo Souza"/>
    <d v="2026-02-18T00:00:00"/>
    <d v="1899-12-30T08:51:33"/>
    <s v=""/>
    <s v="Perdido"/>
    <d v="2026-05-11T00:00:00"/>
    <d v="1899-12-30T11:54:40"/>
    <s v="Fechou com o concorrente - preço"/>
    <s v="optou por uma solução local, senão atende-lo volta o contato."/>
    <s v=""/>
    <x v="0"/>
    <s v="Paulo Souza"/>
    <x v="0"/>
    <s v=""/>
    <d v="2026-03-12T00:00:00"/>
    <n v="30"/>
    <s v=""/>
    <s v="ERP, AFV"/>
    <s v=""/>
    <s v=""/>
    <n v="1"/>
  </r>
  <r>
    <x v="1"/>
    <n v="948"/>
    <m/>
    <n v="3278"/>
    <s v="(19/02/2026) em contato com Andreia ! atualmente usa ERP Linx e busca ferramenta de força de vendas _x000a_estamos alinhando data de apresentação _x000a_(09/03/2026) Após envio da proposta comercial Andréa não respondeu mais ! dois pontos de atenção com relacçao ao seu ramo de atividade , por ser um fabrica de roupas e ERP Linx"/>
    <s v=""/>
    <x v="459"/>
    <m/>
    <s v=""/>
    <s v="Ama"/>
    <s v="21995112577"/>
    <s v=""/>
    <s v="andreiamattosaeb@mail.com"/>
    <s v=""/>
    <s v=""/>
    <s v=""/>
    <s v=""/>
    <s v=""/>
    <s v="Campanha"/>
    <s v=""/>
    <s v=""/>
    <s v="Dentro Perfil;Instagram"/>
    <s v="Pipeline de Vendas"/>
    <s v="Apresentar Proposta (50%)"/>
    <s v=""/>
    <d v="2026-02-28T00:00:00"/>
    <n v="16960"/>
    <n v="575"/>
    <n v="21"/>
    <s v="Paulo Souza"/>
    <d v="2026-02-19T00:00:00"/>
    <d v="1899-12-30T08:14:29"/>
    <s v=""/>
    <s v="Perdido"/>
    <d v="2026-03-12T00:00:00"/>
    <d v="1899-12-30T15:22:14"/>
    <s v="Não houve aprovação financeira"/>
    <s v="investimento alto"/>
    <s v=""/>
    <x v="184"/>
    <s v="Junior Lopes"/>
    <x v="205"/>
    <s v=""/>
    <d v="2026-03-09T00:00:00"/>
    <n v="31"/>
    <s v=""/>
    <s v=""/>
    <s v=""/>
    <s v=""/>
    <n v="1"/>
  </r>
  <r>
    <x v="2"/>
    <n v="949"/>
    <m/>
    <n v="3279"/>
    <s v=""/>
    <s v=""/>
    <x v="363"/>
    <m/>
    <s v=""/>
    <s v="Fisiohosp"/>
    <s v="06596658787"/>
    <s v=""/>
    <s v="cmag2017@gmail.com"/>
    <s v=""/>
    <s v=""/>
    <s v=""/>
    <s v=""/>
    <s v="Cuiabá mt"/>
    <s v="Inbound"/>
    <s v=""/>
    <s v=""/>
    <s v="Fora Perfil;Instagram"/>
    <s v="Pipeline de Vendas"/>
    <s v="Agendamento (0%)"/>
    <s v=""/>
    <d v="2026-02-28T00:00:00"/>
    <m/>
    <m/>
    <n v="4"/>
    <s v="Paulo Souza"/>
    <d v="2026-02-19T00:00:00"/>
    <d v="1899-12-30T08:15:39"/>
    <s v=""/>
    <s v="Perdido"/>
    <d v="2026-02-23T00:00:00"/>
    <d v="1899-12-30T16:11:43"/>
    <s v="Fora do porte mínimo (sem fit estrutural)"/>
    <s v=""/>
    <s v=""/>
    <x v="0"/>
    <s v="Rayssa Karapeticov"/>
    <x v="0"/>
    <s v=""/>
    <m/>
    <n v="30"/>
    <s v=""/>
    <s v=""/>
    <s v=""/>
    <s v=""/>
    <n v="1"/>
  </r>
  <r>
    <x v="2"/>
    <n v="950"/>
    <m/>
    <n v="3280"/>
    <s v="19.02 devido o feriado de carnaval estã retornando hoje._x000a_Combinamos de falar amanhã 20/02 as 09h"/>
    <s v=""/>
    <x v="460"/>
    <n v="3459449000100"/>
    <s v=""/>
    <s v="San marcus industrial"/>
    <s v="75998542317"/>
    <s v=""/>
    <s v="marcos@sanmarcus.com.br"/>
    <s v=""/>
    <s v=""/>
    <s v=""/>
    <s v=""/>
    <s v=""/>
    <s v="Campanha"/>
    <s v=""/>
    <s v=""/>
    <s v="Dentro Perfil;Instagram"/>
    <s v="Pipeline de Vendas"/>
    <s v="Apresentar Solução (35%)"/>
    <s v=""/>
    <d v="2026-04-30T00:00:00"/>
    <m/>
    <m/>
    <n v="22"/>
    <s v="Paulo Souza"/>
    <d v="2026-02-19T00:00:00"/>
    <d v="1899-12-30T08:17:18"/>
    <s v=""/>
    <s v="Perdido"/>
    <d v="2026-03-13T00:00:00"/>
    <d v="1899-12-30T10:35:07"/>
    <s v="Não quer mudar a solução atual"/>
    <s v=""/>
    <s v=""/>
    <x v="0"/>
    <s v="Rayssa Karapeticov"/>
    <x v="0"/>
    <s v=""/>
    <d v="2026-03-13T00:00:00"/>
    <n v="31"/>
    <s v=""/>
    <s v="ERP, PCP, AFV"/>
    <s v=""/>
    <s v=""/>
    <n v="1"/>
  </r>
  <r>
    <x v="1"/>
    <n v="951"/>
    <m/>
    <n v="3282"/>
    <s v="(19/02/2026) ligação não atendida ! na sequencia envio de mensagem _x000a_(19/02/2026) em contato com Carolla , a empresa é uma loja de doces , fora do perfil _x000a_08:56, 19/02/2026 Junior Lopes: OLá Carolla, bom dia !_x000a_08:56, 19/02/2026 Junior Lopes: sou Junior Lopes da Guarani sistemas td bem ?_x000a_08:57, 19/02/2026 Junior Lopes: estou retornando um contato que você fez conosco"/>
    <s v=""/>
    <x v="461"/>
    <m/>
    <s v=""/>
    <s v="Fa de doces"/>
    <s v="16993027000"/>
    <s v=""/>
    <s v="carollafinancas@gmail.com"/>
    <s v=""/>
    <s v=""/>
    <s v=""/>
    <s v=""/>
    <s v=""/>
    <s v="Campanha"/>
    <s v=""/>
    <s v=""/>
    <s v="Fora Perfil;Instagram"/>
    <s v="Pipeline de Vendas"/>
    <s v="Qualificação de Vendas (SQL) (25%)"/>
    <s v=""/>
    <d v="2026-02-19T00:00:00"/>
    <m/>
    <m/>
    <n v="7"/>
    <s v="Paulo Souza"/>
    <d v="2026-02-19T00:00:00"/>
    <d v="1899-12-30T08:18:43"/>
    <s v=""/>
    <s v="Perdido"/>
    <d v="2026-02-26T00:00:00"/>
    <d v="1899-12-30T23:09:28"/>
    <s v="Fora do porte mínimo (sem fit estrutural)"/>
    <s v=""/>
    <s v=""/>
    <x v="0"/>
    <s v="Junior Lopes"/>
    <x v="0"/>
    <s v=""/>
    <m/>
    <n v="30"/>
    <s v=""/>
    <s v=""/>
    <s v=""/>
    <s v=""/>
    <n v="1"/>
  </r>
  <r>
    <x v="0"/>
    <n v="952"/>
    <m/>
    <n v="3283"/>
    <s v="26/02 Fiz FUP com Alessandro e combinamos de falar na segunda-feira as 9h_x000a_12/03 Fiz FUP com o Alessandro e combinamos uma apresentação amanhã as 8h _x000a_20/03 Fiz FUP com o Alessandro para saber se ele vai seguir ou não._x000a_20/03 Cliente achou o preço muito alto para investir agora."/>
    <s v=""/>
    <x v="462"/>
    <m/>
    <s v=""/>
    <s v="Alessandro"/>
    <s v="49999890528"/>
    <s v=""/>
    <s v="ale@metaladm.com.br"/>
    <s v=""/>
    <s v=""/>
    <s v=""/>
    <s v=""/>
    <s v=""/>
    <s v="Campanha"/>
    <s v=""/>
    <s v=""/>
    <s v="Dentro Perfil;Instagram"/>
    <s v="Pipeline de Vendas"/>
    <s v="Em negociação (75%)"/>
    <s v=""/>
    <d v="2026-03-31T00:00:00"/>
    <n v="862043"/>
    <n v="34937"/>
    <n v="40"/>
    <s v="Paulo Souza"/>
    <d v="2026-02-19T00:00:00"/>
    <d v="1899-12-30T08:19:46"/>
    <s v=""/>
    <s v="Perdido"/>
    <d v="2026-03-31T00:00:00"/>
    <d v="1899-12-30T16:31:50"/>
    <s v="Preço muito alto - fora do budget de investimento"/>
    <s v=""/>
    <s v=""/>
    <x v="187"/>
    <s v="Paulo Souza"/>
    <x v="0"/>
    <s v=""/>
    <d v="2026-03-20T00:00:00"/>
    <n v="30"/>
    <s v=""/>
    <s v="ERP, AFV"/>
    <s v=""/>
    <s v=""/>
    <n v="1"/>
  </r>
  <r>
    <x v="0"/>
    <n v="953"/>
    <m/>
    <n v="3284"/>
    <s v="26/02 Fiz FUP com a Fernanda e ela não atendeu, deixei recado para falarmos._x000a_02/02 Fiz FUP e cliente falou que vai analisar"/>
    <s v=""/>
    <x v="463"/>
    <m/>
    <s v=""/>
    <s v="NEW"/>
    <s v="1140227929"/>
    <s v=""/>
    <s v="ferramentarianws@gmail.com"/>
    <s v=""/>
    <s v=""/>
    <s v=""/>
    <s v=""/>
    <s v=""/>
    <s v="Campanha"/>
    <s v=""/>
    <s v=""/>
    <s v="Fora Perfil;Instagram"/>
    <s v="Pipeline de Vendas"/>
    <s v="Qualificação de Vendas (SQL) (25%)"/>
    <s v=""/>
    <d v="2026-02-28T00:00:00"/>
    <m/>
    <m/>
    <n v="12"/>
    <s v="Paulo Souza"/>
    <d v="2026-02-19T00:00:00"/>
    <d v="1899-12-30T08:20:37"/>
    <s v=""/>
    <s v="Perdido"/>
    <d v="2026-03-03T00:00:00"/>
    <d v="1899-12-30T21:25:01"/>
    <s v="Fora do porte mínimo (sem fit estrutural)"/>
    <s v=""/>
    <s v=""/>
    <x v="0"/>
    <s v="Paulo Souza"/>
    <x v="0"/>
    <s v=""/>
    <m/>
    <n v="32"/>
    <s v=""/>
    <s v=""/>
    <s v=""/>
    <s v=""/>
    <n v="1"/>
  </r>
  <r>
    <x v="2"/>
    <n v="956"/>
    <m/>
    <n v="3286"/>
    <s v="esta atrás de parceiria para revenda do sistema"/>
    <s v=""/>
    <x v="464"/>
    <m/>
    <s v=""/>
    <s v="Grupo Alves Consultoria Empresarial"/>
    <s v="92992307944"/>
    <s v=""/>
    <s v="tayanxpmartins@hotmail.com"/>
    <s v=""/>
    <s v=""/>
    <s v=""/>
    <s v=""/>
    <s v=""/>
    <s v="Campanha"/>
    <s v=""/>
    <s v=""/>
    <s v="Fora Perfil;Instagram"/>
    <s v="Pipeline de Vendas"/>
    <s v="Agendamento (0%)"/>
    <s v=""/>
    <d v="2026-02-28T00:00:00"/>
    <m/>
    <m/>
    <n v="3"/>
    <s v="Paulo Souza"/>
    <d v="2026-02-20T00:00:00"/>
    <d v="1899-12-30T13:53:53"/>
    <s v=""/>
    <s v="Perdido"/>
    <d v="2026-02-23T00:00:00"/>
    <d v="1899-12-30T16:07:54"/>
    <s v="Fora do porte mínimo (sem fit estrutural)"/>
    <s v=""/>
    <s v=""/>
    <x v="0"/>
    <s v="Rayssa Karapeticov"/>
    <x v="0"/>
    <s v=""/>
    <d v="2026-02-23T00:00:00"/>
    <n v="30"/>
    <s v=""/>
    <s v=""/>
    <s v=""/>
    <s v=""/>
    <n v="1"/>
  </r>
  <r>
    <x v="2"/>
    <n v="959"/>
    <m/>
    <n v="3298"/>
    <s v="Cliente é um representante da Oster e outras marcas, a ideia de negociação é do AFV, mas no dia sexta-feira, 20 de fevereiro de 2026_x000a_11:00 - 12:00 (BRT) - realizamos uma apresentação do AFv, durante a reunião pediu uma proposta do ERP também para avaliar uma possivel troca. _x000a_Após a reunião fizemos uma segunda ruenião de apresentação da proposta comercial no dia 24/02_x000a_Após isso cliente ficou de me passar uma contra proposta para negociação, porém ele esta em feria no EUA, e ainda não retornoul_x000a_Falei com ele hoje 18/03 e ainda esta em feira e pediu para retornar na sexta oferecendo um login e senha. _x000a_Vou retornar o contato na sexta para entender(provavelemente é do AFV) mas dar sequencia no atendimento_x000a_24.03 Estou marcando uma reunião presencial, porém essa semana esta em SC"/>
    <s v=""/>
    <x v="465"/>
    <m/>
    <s v=""/>
    <s v="André Feldman"/>
    <s v="11988461881"/>
    <s v=""/>
    <s v="andre@homebrands.com.br"/>
    <s v=""/>
    <s v=""/>
    <s v=""/>
    <s v=""/>
    <s v=""/>
    <s v=""/>
    <s v=""/>
    <s v=""/>
    <s v=""/>
    <s v="Pipeline de Vendas"/>
    <s v="Em negociação (75%)"/>
    <s v=""/>
    <d v="2026-05-31T00:00:00"/>
    <n v="963186"/>
    <n v="62062"/>
    <n v="79"/>
    <s v="Rayssa Karapeticov"/>
    <d v="2026-02-23T00:00:00"/>
    <d v="1899-12-30T11:51:24"/>
    <s v=""/>
    <s v="Perdido"/>
    <d v="2026-05-13T00:00:00"/>
    <d v="1899-12-30T10:42:53"/>
    <s v="Projeto adiado / sem prazo definido"/>
    <s v=""/>
    <s v=""/>
    <x v="188"/>
    <s v="Rayssa Karapeticov"/>
    <x v="206"/>
    <s v=""/>
    <d v="2026-05-13T00:00:00"/>
    <n v="30"/>
    <s v=""/>
    <s v="ERP"/>
    <s v=""/>
    <s v=""/>
    <n v="1"/>
  </r>
  <r>
    <x v="2"/>
    <n v="960"/>
    <m/>
    <n v="3299"/>
    <s v="Cliente é um representante da Oster e outras marcas, a ideia de negociação é do AFV, mas no dia sexta-feira, 20 de fevereiro de 2026_x000a_11:00 - 12:00 (BRT) - realizamos uma apresentação do AFv, durante a reunião pediu uma proposta do ERP também para avaliar uma possivel troca. _x000a_Após a reunião fizemos uma segunda ruenião de apresentação da proposta comercial no dia 24/02_x000a_Após isso cliente ficou de me passar uma contra proposta para negociação, porém ele esta em feria no EUA, e ainda não retornoul_x000a_Falei com ele hoje 18/03 e ainda esta em feira e pediu para retornar na sexta oferecendo um login e senha. _x000a_Vou retornar o contato na sexta para entender(provavelemente é do AFV) mas dar sequencia no atendimento_x000a_24.03 Estou marcando uma reunião presencial, porém essa semana esta em SC."/>
    <s v=""/>
    <x v="466"/>
    <m/>
    <s v=""/>
    <s v="Andre"/>
    <s v="11988461881"/>
    <s v=""/>
    <s v="andre@homebrands.com.br"/>
    <s v=""/>
    <s v=""/>
    <s v=""/>
    <s v=""/>
    <s v=""/>
    <s v=""/>
    <s v=""/>
    <s v=""/>
    <s v=""/>
    <s v="Pipeline de Vendas"/>
    <s v="Em negociação (75%)"/>
    <s v=""/>
    <d v="2026-04-30T00:00:00"/>
    <n v="27150"/>
    <n v="3450"/>
    <n v="79"/>
    <s v="Rayssa Karapeticov"/>
    <d v="2026-02-23T00:00:00"/>
    <d v="1899-12-30T12:12:37"/>
    <s v=""/>
    <s v="Perdido"/>
    <d v="2026-05-13T00:00:00"/>
    <d v="1899-12-30T10:53:23"/>
    <s v="Não quer mudar a solução atual"/>
    <s v=""/>
    <s v=""/>
    <x v="188"/>
    <s v="Rayssa Karapeticov"/>
    <x v="206"/>
    <s v=""/>
    <d v="2026-05-13T00:00:00"/>
    <n v="30"/>
    <s v=""/>
    <s v="AFV"/>
    <s v=""/>
    <s v=""/>
    <n v="1"/>
  </r>
  <r>
    <x v="1"/>
    <n v="961"/>
    <m/>
    <n v="3287"/>
    <s v="12:26, 24/02/2026 Junior Lopes: lá Valdir, bom dia_x000a_12:26, 24/02/2026 Junior Lopes: aqui é Junior Lopes da Guarani sistemas tudo bem ?_x000a_12:39, 24/02/2026 +55 19 99218-9262: Boa tarde._x000a_Tudo bem e você?_x000a_Estou em um pregão eletrônico,  assim que acabar te chamo_x000a_13:02, 25/02/2026 +55 19 99218-9262: Preciso de um erp que controle 2 cnpj._x000a_Tenha:_x000a_Controle de O.S. com emissão de produto junto._x000a_Atualização com marketplace hoje, ML, Amazon, Shopee e Magazine Luiza._x000a_Controle de contratos _x000a_Ecomerce._x000a_Vendas por WhatsApp, Instagram, etc._x000a_Quando fazer venda na loja física, podendo colocar produtos das duas empresas e depois fazer as nfe de acordo com os produtos adequados._x000a_13:02, 25/02/2026 Junior Lopes: Olá Valdir , boa tarde_x000a_13:03, 25/02/2026 Junior Lopes: Assim que finalizar meu almoço , verifico sua mensagem e te respondo_x000a_13:03, 25/02/2026 Junior Lopes: Um abraço_x000a_13:03, 25/02/2026 +55 19 99218-9262: Estou no médico tambem agora, kkkk_x000a_13:03, 25/02/2026 +55 19 99218-9262: No aguardo_x000a_14:02, 25/02/2026 Junior Lopes: Olá Valdir, td bem ? fiz uma analise sobre as necessidades que você solicitou_x000a_14:02, 25/02/2026 Junior Lopes: Para o cenário da Compuleme, que exige uma frente de caixa (PDV) para loja física e integração direta com redes sociais e marketplaces, informamos que a Guarani não é a solução ideal._x000a_Embora sejamos fortes no controle de múltiplos CNPJs, O.S. e contratos, nosso sistema não opera com vendas de varejo físico ou integração de canais de atendimento (WhatsApp/Instagram). Preferimos ser transparentes para que vocês possam focar em uma ferramenta que já possua esse ecossistema de vendas integrado nativamente"/>
    <s v=""/>
    <x v="467"/>
    <n v="56556830000154"/>
    <s v=""/>
    <s v="Compuleme"/>
    <s v="19992189262"/>
    <s v=""/>
    <s v="valdir@compuleme.com.br"/>
    <s v=""/>
    <s v=""/>
    <s v=""/>
    <s v=""/>
    <s v=""/>
    <s v="Campanha"/>
    <s v=""/>
    <s v=""/>
    <s v="Fora Perfil;Instagram"/>
    <s v="Pipeline de Vendas"/>
    <s v="Qualificação de Vendas (SQL) (25%)"/>
    <s v=""/>
    <d v="2026-02-28T00:00:00"/>
    <m/>
    <m/>
    <n v="2"/>
    <s v="Paulo Souza"/>
    <d v="2026-02-24T00:00:00"/>
    <d v="1899-12-30T09:39:07"/>
    <s v=""/>
    <s v="Perdido"/>
    <d v="2026-02-26T00:00:00"/>
    <d v="1899-12-30T23:10:53"/>
    <s v="Fora do porte mínimo (sem fit estrutural)"/>
    <s v=""/>
    <s v=""/>
    <x v="0"/>
    <s v="Junior Lopes"/>
    <x v="0"/>
    <s v=""/>
    <d v="2026-02-25T00:00:00"/>
    <n v="30"/>
    <s v=""/>
    <s v=""/>
    <s v=""/>
    <s v=""/>
    <n v="1"/>
  </r>
  <r>
    <x v="2"/>
    <n v="962"/>
    <m/>
    <n v="3290"/>
    <s v="Perfil da Empresa_x000a_Setor: Tecnologia e segurança_x000a_Atuação: Distribuidora e empresa de tecnologia_x000a_Marcas representadas: Motorola, 3M_x000a_Produtos e Serviços_x000a_Vendas de produtos:_x000a_Via rádio de segurança_x000a_Formato de vendas para clientes recorrentes_x000a_Indicação pelo próprio representante_x000a_Equipe interna de vendas com 10 pessoas_x000a_Locação de produtos_x000a_Serviços complementares (não especificados, mas mencionados)_x000a_Estrutura Comercial_x000a_Equipe de vendas: 10 pessoas_x000a_Canais de vendas:_x000a_Representantes_x000a_Indicações_x000a_Equipe interna_x000a_Necessidade Atual_x000a_Implementar uma solução que:_x000a_Crie indicadores de desempenho para a equipe de vendas_x000a_Disponibilize um CRM para gestão de clientes e processos"/>
    <s v=""/>
    <x v="468"/>
    <m/>
    <s v=""/>
    <s v="São Paulo"/>
    <s v="11991241336"/>
    <s v=""/>
    <s v="dario@trivaletecnologia.com.br"/>
    <s v=""/>
    <s v=""/>
    <s v=""/>
    <s v=""/>
    <s v=""/>
    <s v="Campanha"/>
    <s v=""/>
    <s v=""/>
    <s v="Dentro Perfil;Instagram"/>
    <s v="Pipeline de Vendas"/>
    <s v="Agendamento (0%)"/>
    <s v=""/>
    <d v="2026-02-28T00:00:00"/>
    <m/>
    <m/>
    <n v="74"/>
    <s v="Paulo Souza"/>
    <d v="2026-02-24T00:00:00"/>
    <d v="1899-12-30T09:42:24"/>
    <s v=""/>
    <s v="Perdido"/>
    <d v="2026-05-09T00:00:00"/>
    <d v="1899-12-30T08:49:05"/>
    <s v="Fora do segmento atendido"/>
    <s v=""/>
    <s v=""/>
    <x v="0"/>
    <s v="Rayssa Karapeticov"/>
    <x v="0"/>
    <s v=""/>
    <d v="2026-02-26T00:00:00"/>
    <n v="30"/>
    <s v=""/>
    <s v=""/>
    <s v=""/>
    <s v=""/>
    <n v="1"/>
  </r>
  <r>
    <x v="0"/>
    <n v="963"/>
    <m/>
    <n v="3293"/>
    <s v="26/02 Fiz FUP com o Anderson e ele possui 3 lojas de roupa e esta fora do perfil."/>
    <s v=""/>
    <x v="469"/>
    <m/>
    <s v=""/>
    <s v="Anderson Brandão"/>
    <s v="13981286699"/>
    <s v=""/>
    <s v="anderson.melro@hotmail.com"/>
    <s v=""/>
    <s v=""/>
    <s v=""/>
    <s v=""/>
    <s v=""/>
    <s v="Campanha"/>
    <s v=""/>
    <s v=""/>
    <s v="Fora Perfil;Instagram"/>
    <s v="Pipeline de Vendas"/>
    <s v="Agendamento (0%)"/>
    <s v=""/>
    <d v="2026-02-28T00:00:00"/>
    <m/>
    <m/>
    <n v="2"/>
    <s v="Paulo Souza"/>
    <d v="2026-02-24T00:00:00"/>
    <d v="1899-12-30T09:46:02"/>
    <s v=""/>
    <s v="Perdido"/>
    <d v="2026-02-26T00:00:00"/>
    <d v="1899-12-30T17:30:38"/>
    <s v="Fora do porte mínimo (sem fit estrutural)"/>
    <s v="26/02 Fiz FUP com o Anderson e ele possui 3 lojas de roupa e esta fora do perfil."/>
    <s v=""/>
    <x v="0"/>
    <s v="Paulo Souza"/>
    <x v="0"/>
    <s v=""/>
    <m/>
    <n v="30"/>
    <s v=""/>
    <s v="PDV"/>
    <s v=""/>
    <s v=""/>
    <n v="1"/>
  </r>
  <r>
    <x v="0"/>
    <n v="964"/>
    <m/>
    <n v="3294"/>
    <s v="26/02 Fiz FUP com a Leticia ela não pode atender pois estava saindo para buscar o filho na escola, ficamos de falar amanha._x000a_12/03 Apos ligar e não ser atendido estou declinando a aliança."/>
    <s v=""/>
    <x v="470"/>
    <m/>
    <s v=""/>
    <s v="Leticia"/>
    <s v="(62) 99953-7500"/>
    <s v=""/>
    <s v="leticiarsouza1@gmail.com"/>
    <s v=""/>
    <s v=""/>
    <s v=""/>
    <s v="Goiânia"/>
    <s v=""/>
    <s v="Site"/>
    <s v=""/>
    <s v=""/>
    <s v="Dentro Perfil;Fora Perfil;Solicita demo"/>
    <s v="Pipeline de Vendas"/>
    <s v="Qualificação de Vendas (SQL) (25%)"/>
    <s v=""/>
    <d v="2026-02-28T00:00:00"/>
    <m/>
    <m/>
    <n v="16"/>
    <s v="Paulo Souza"/>
    <d v="2026-02-24T00:00:00"/>
    <d v="1899-12-30T09:48:17"/>
    <s v=""/>
    <s v="Perdido"/>
    <d v="2026-03-12T00:00:00"/>
    <d v="1899-12-30T17:30:42"/>
    <s v="Fora do porte mínimo (sem fit estrutural)"/>
    <s v=""/>
    <s v=""/>
    <x v="0"/>
    <s v="Paulo Souza"/>
    <x v="200"/>
    <s v=""/>
    <d v="2026-03-12T00:00:00"/>
    <n v="30"/>
    <s v=""/>
    <s v=""/>
    <s v=""/>
    <s v=""/>
    <n v="1"/>
  </r>
  <r>
    <x v="1"/>
    <n v="965"/>
    <m/>
    <n v="3295"/>
    <s v="(24/02/20260 Tentativa de ligação não atendia ! enviei mensagem a fim de contato com Geaze ! _x000a_em busca sobre a empresa usando IA do Google :_x000a_A Infraloc é uma empresa especializada na locação e venda de móveis corporativos e equipamentos, com forte atuação no setor de construção civil, canteiros de obras e eventos. _x000a_Informações de Contato e Localização_x000a_Endereço: R. José Miranda, 143 - Afogados, Recife - PE._x000a_WhatsApp: (81) 98297-2897._x000a_Site Oficial: infraloc.com.br. _x000a_Principais Produtos e Serviços_x000a_A empresa oferece soluções completas para canteiros, escritórios e refeitórios, incluindo:_x000a_Móveis Corporativos: Mesas de reunião, mesas e cadeiras de escritório, armários roupeiros e estações de trabalho._x000a_Equipamentos: Bebedouros industriais, cafeteiras expressas, impressoras a laser e máquinas para construção._x000a_Estruturas para Eventos: Locação de toldos, mesas e cadeiras de PVC para festas e eventos em gera_x000a_(25/02/2026) cliente trabalha com locação de equipamento , é necessário controle e contrato de locação manutenção (Fora do perfil )"/>
    <s v=""/>
    <x v="471"/>
    <m/>
    <s v=""/>
    <s v="Infraloc"/>
    <s v="81986574539"/>
    <s v=""/>
    <s v="geazemiranda@yahoo.com.br"/>
    <s v=""/>
    <s v=""/>
    <s v=""/>
    <s v=""/>
    <s v=""/>
    <s v="Campanha"/>
    <s v=""/>
    <s v=""/>
    <s v="Fora Perfil;Instagram"/>
    <s v="Pipeline de Vendas"/>
    <s v="Qualificação de Vendas (SQL) (25%)"/>
    <s v=""/>
    <d v="2026-02-28T00:00:00"/>
    <m/>
    <m/>
    <n v="1"/>
    <s v="Paulo Souza"/>
    <d v="2026-02-24T00:00:00"/>
    <d v="1899-12-30T09:49:20"/>
    <s v=""/>
    <s v="Perdido"/>
    <d v="2026-02-25T00:00:00"/>
    <d v="1899-12-30T10:58:00"/>
    <s v="Fora do porte mínimo (sem fit estrutural)"/>
    <s v="(25/02/2026) cliente trabalha com locação de equipamento , é necessário controle e contrato de locação manutenção (Fora do perfil )"/>
    <s v=""/>
    <x v="0"/>
    <s v="Junior Lopes"/>
    <x v="0"/>
    <s v=""/>
    <d v="2026-02-25T00:00:00"/>
    <n v="30"/>
    <s v=""/>
    <s v=""/>
    <s v=""/>
    <s v=""/>
    <n v="1"/>
  </r>
  <r>
    <x v="2"/>
    <n v="966"/>
    <m/>
    <n v="3296"/>
    <s v=""/>
    <s v=""/>
    <x v="472"/>
    <m/>
    <s v=""/>
    <s v="Centrolar"/>
    <s v="62992132212"/>
    <s v=""/>
    <s v="ubiratanrosania@gmail.com"/>
    <s v=""/>
    <s v=""/>
    <s v=""/>
    <s v=""/>
    <s v=""/>
    <s v="Campanha"/>
    <s v=""/>
    <s v=""/>
    <s v="Fora Perfil;Instagram"/>
    <s v="Pipeline de Vendas"/>
    <s v="Agendamento (0%)"/>
    <s v=""/>
    <d v="2026-03-31T00:00:00"/>
    <m/>
    <m/>
    <n v="74"/>
    <s v="Paulo Souza"/>
    <d v="2026-02-24T00:00:00"/>
    <d v="1899-12-30T09:50:49"/>
    <s v=""/>
    <s v="Perdido"/>
    <d v="2026-05-09T00:00:00"/>
    <d v="1899-12-30T21:11:15"/>
    <s v="Sem qualificação — contato não atende ligações nem responde msg"/>
    <s v=""/>
    <s v=""/>
    <x v="0"/>
    <s v="Rayssa Karapeticov"/>
    <x v="0"/>
    <s v=""/>
    <d v="2026-03-09T00:00:00"/>
    <n v="30"/>
    <s v=""/>
    <s v=""/>
    <s v=""/>
    <s v=""/>
    <n v="1"/>
  </r>
  <r>
    <x v="1"/>
    <n v="967"/>
    <m/>
    <n v="3300"/>
    <s v="(24/02/2026) em contato com Daniel _x000a_A empresa Vitta Estrutural está iniciando as operação, sua operação esta focada em recarga de extintores e revenda de produtos através de venda balcão e representante externo ! um ponto especifico é o controle de lote e validade dos extintores informando a data que está vencendo no ambiente do cliente _x000a_Daniel solicitou uma previsão de investimento para seguirmos _x000a_(25/02/2026) enviando previsão de investimento para analise do cliente e viabilidade  _x000a_10:50, 25/02/2026 Junior Lopes: valores na pagina 27 com resumo na pagina 28_x000a_10:53, 25/02/2026 Junior Lopes: perfeito ! ficamos a disposição para apresentação completa da solução_x000a_10:41, 09/03/2026 Junior Lopes: Olá Daniel, bom dia _x000a_Sobre o projeto ERP Guarani ! Vamos da sequência meu amigo?_x000a_10:41, 09/03/2026 Junior Lopes: Olá Daniel, bom dia _x000a_Sobre o projeto ERP Guarani ! Vamos da sequência meu amigo?_x000a_10:42, 09/03/2026 +55 67 9207-9099: Bom dia, agradeço por enquanto.,_x000a_10:45, 09/03/2026 Junior Lopes: Obrigado pelo retorno! Sucesso para vcs"/>
    <s v=""/>
    <x v="473"/>
    <m/>
    <s v=""/>
    <s v="Vitta Estrutural"/>
    <s v="67992079099"/>
    <s v=""/>
    <s v="dgruschel@hotmail.com"/>
    <s v=""/>
    <s v=""/>
    <s v=""/>
    <s v=""/>
    <s v=""/>
    <s v="Campanha"/>
    <s v=""/>
    <s v=""/>
    <s v="30%;Dentro Perfil;Instagram"/>
    <s v="Pipeline de Vendas"/>
    <s v="Apresentar Proposta (50%)"/>
    <s v=""/>
    <d v="2026-03-30T00:00:00"/>
    <n v="758068"/>
    <n v="9596"/>
    <n v="13"/>
    <s v="Paulo Souza"/>
    <d v="2026-02-24T00:00:00"/>
    <d v="1899-12-30T09:52:13"/>
    <s v=""/>
    <s v="Perdido"/>
    <d v="2026-03-09T00:00:00"/>
    <d v="1899-12-30T10:46:44"/>
    <s v="Projeto adiado / sem prazo definido"/>
    <s v="10:41, 09/03/2026 Junior Lopes: Olá Daniel, bom dia _x000a_Sobre o projeto ERP Guarani ! Vamos da sequência meu amigo?_x000a_10:42, 09/03/2026 +55 67 9207-9099: Bom dia, agradeço por enquanto.,_x000a_10:45, 09/03/2026 Junior Lopes: Obrigado pelo retorno! Sucesso para vcs"/>
    <s v=""/>
    <x v="184"/>
    <s v="Junior Lopes"/>
    <x v="199"/>
    <s v=""/>
    <d v="2026-03-09T00:00:00"/>
    <n v="30"/>
    <s v=""/>
    <s v=""/>
    <s v=""/>
    <s v=""/>
    <n v="1"/>
  </r>
  <r>
    <x v="0"/>
    <n v="968"/>
    <m/>
    <n v="3288"/>
    <s v="26/02 Fiz FUP hoje com o Fábio ele não atendeu a ligação, deixei novo recado no Whatasapp."/>
    <s v=""/>
    <x v="474"/>
    <m/>
    <s v=""/>
    <s v="Flávio Storino"/>
    <s v="(19) 99667-2002"/>
    <s v=""/>
    <s v="flaviostorino@gmail.com"/>
    <s v=""/>
    <s v=""/>
    <s v=""/>
    <s v="Porto Ferreira"/>
    <s v=""/>
    <s v="Site"/>
    <s v=""/>
    <s v=""/>
    <s v="Contato"/>
    <s v="Pipeline de Vendas"/>
    <s v="Qualificação de Vendas (SQL) (25%)"/>
    <s v=""/>
    <d v="2026-02-28T00:00:00"/>
    <m/>
    <m/>
    <n v="2"/>
    <s v="Paulo Souza"/>
    <d v="2026-02-24T00:00:00"/>
    <d v="1899-12-30T09:54:16"/>
    <s v=""/>
    <s v="Perdido"/>
    <d v="2026-02-26T00:00:00"/>
    <d v="1899-12-30T18:33:13"/>
    <s v="Fora do porte mínimo (sem fit estrutural)"/>
    <s v=""/>
    <s v=""/>
    <x v="0"/>
    <s v="Paulo Souza"/>
    <x v="0"/>
    <s v=""/>
    <m/>
    <n v="30"/>
    <s v=""/>
    <s v=""/>
    <s v=""/>
    <s v=""/>
    <n v="1"/>
  </r>
  <r>
    <x v="2"/>
    <n v="969"/>
    <m/>
    <n v="3304"/>
    <s v=""/>
    <s v=""/>
    <x v="475"/>
    <n v="64688089000103"/>
    <s v=""/>
    <s v="Lucas"/>
    <s v="(11) 1111-1111"/>
    <s v=""/>
    <s v="contato@lucassecco.com.br"/>
    <s v=""/>
    <s v=""/>
    <s v=""/>
    <s v="ITAJAI"/>
    <s v="SC"/>
    <s v=""/>
    <s v=""/>
    <s v=""/>
    <s v=""/>
    <s v="Pipeline de Vendas"/>
    <s v="Apresentar Proposta (50%)"/>
    <s v=""/>
    <d v="2026-06-30T00:00:00"/>
    <n v="5191686"/>
    <n v="50562"/>
    <n v="16"/>
    <s v="Rayssa Karapeticov"/>
    <d v="2026-02-24T00:00:00"/>
    <d v="1899-12-30T12:41:49"/>
    <s v=""/>
    <s v="Perdido"/>
    <d v="2026-03-12T00:00:00"/>
    <d v="1899-12-30T17:14:44"/>
    <s v="Preço muito alto - fora do budget de investimento"/>
    <s v=""/>
    <s v=""/>
    <x v="189"/>
    <s v="Rayssa Karapeticov"/>
    <x v="207"/>
    <s v=""/>
    <d v="2026-03-12T00:00:00"/>
    <n v="30"/>
    <s v=""/>
    <s v="ERP, AFV"/>
    <s v=""/>
    <s v=""/>
    <n v="1"/>
  </r>
  <r>
    <x v="2"/>
    <n v="971"/>
    <m/>
    <n v="3303"/>
    <s v=""/>
    <s v=""/>
    <x v="476"/>
    <n v="1397620000179"/>
    <s v=""/>
    <s v="Sunred confecções"/>
    <s v="37988006012"/>
    <s v=""/>
    <s v="atendimento@sunred.com.br"/>
    <s v=""/>
    <s v=""/>
    <s v=""/>
    <s v=""/>
    <s v=""/>
    <s v="Campanha"/>
    <s v=""/>
    <s v=""/>
    <s v="Fora Perfil;Instagram"/>
    <s v="Pipeline de Vendas"/>
    <s v="Agendamento (0%)"/>
    <s v=""/>
    <d v="2026-02-28T00:00:00"/>
    <m/>
    <m/>
    <n v="73"/>
    <s v="Paulo Souza"/>
    <d v="2026-02-25T00:00:00"/>
    <d v="1899-12-30T15:32:36"/>
    <s v=""/>
    <s v="Perdido"/>
    <d v="2026-05-09T00:00:00"/>
    <d v="1899-12-30T08:49:28"/>
    <s v="Fora do segmento atendido"/>
    <s v=""/>
    <s v=""/>
    <x v="0"/>
    <s v="Rayssa Karapeticov"/>
    <x v="0"/>
    <s v=""/>
    <m/>
    <n v="27"/>
    <s v=""/>
    <s v=""/>
    <s v=""/>
    <s v=""/>
    <n v="1"/>
  </r>
  <r>
    <x v="1"/>
    <n v="972"/>
    <m/>
    <n v="3305"/>
    <s v="25/02/2026) em contato com Rogério _x000a_aoós tentativa de ligação nos falamos via WhatsApp conforme abaixo : _x000a_15:40, 25/02/2026 Junior Lopes: Olá Rogério , boa tarde_x000a_15:40, 25/02/2026 Junior Lopes: Sou Junior Lopes da Guarani sistemas! Td bem ?_x000a_15:40, 25/02/2026 Teodoro Cosmeticos: Boa tarde Júnior_x000a_15:41, 25/02/2026 Teodoro Cosmeticos: Bem graças a Deus_x000a_15:41, 25/02/2026 Junior Lopes: Que bom_x000a_15:41, 25/02/2026 Junior Lopes: Estou retornando um contato que vc fez conosco, relacionado ao nosso software_x000a_através de um áudio pedi para me falar um pouco mais sonbre sua empresa e dores _x000a_(25/02/2026) Agenda de apresentação AFV _x000a_(12/03/2026) Rogério achou investimento alto para o momento  atual"/>
    <s v=""/>
    <x v="477"/>
    <n v="51119265000144"/>
    <s v=""/>
    <s v="Teodoro cosméticos"/>
    <s v="(14) 3541-6311"/>
    <s v=""/>
    <s v="agilassessoriacontabil@otmail.com"/>
    <s v=""/>
    <s v=""/>
    <s v=""/>
    <s v="PROMISSAO"/>
    <s v="SP"/>
    <s v="Campanha"/>
    <s v=""/>
    <s v=""/>
    <s v="Dentro Perfil;Instagram"/>
    <s v="Pipeline de Vendas"/>
    <s v="Apresentar Proposta (50%)"/>
    <s v=""/>
    <d v="2026-02-25T00:00:00"/>
    <n v="5842744"/>
    <n v="145888"/>
    <n v="15"/>
    <s v="Paulo Souza"/>
    <d v="2026-02-25T00:00:00"/>
    <d v="1899-12-30T15:33:31"/>
    <s v=""/>
    <s v="Perdido"/>
    <d v="2026-03-12T00:00:00"/>
    <d v="1899-12-30T10:52:05"/>
    <s v="Não houve aprovação financeira"/>
    <s v="(12/03/2026) Rogério achou investimento alto para o momento  atual"/>
    <s v=""/>
    <x v="190"/>
    <s v="Junior Lopes"/>
    <x v="200"/>
    <s v=""/>
    <d v="2026-03-12T00:00:00"/>
    <n v="30"/>
    <s v=""/>
    <s v=""/>
    <s v=""/>
    <s v=""/>
    <n v="1"/>
  </r>
  <r>
    <x v="1"/>
    <n v="973"/>
    <m/>
    <n v="3309"/>
    <s v="(26/02/2026) Tentativa de ligação não atendida _x000a_09:13, 26/02/2026 Junior Lopes: Olá Junior, bom dia_x000a_09:13, 26/02/2026 Junior Lopes: aqui é Junior Lopes da Guarani sistemas, tudo bem ?_x000a_09:14, 26/02/2026 Junior Lopes: estou retornando um contato que você fez relacionado ao sistema Guarani_x000a_(26/02/2026) cliente não retorna aos contatos ! em breve pesquisa sobre a Revisão autopeças identifiquei que loja balcão ficando fora do perfil _x000a_estou declinando"/>
    <s v=""/>
    <x v="478"/>
    <n v="13994329000167"/>
    <s v=""/>
    <s v="Revisao Autopeças"/>
    <s v="(31) 8705-9607"/>
    <s v=""/>
    <s v="pratesctb@gmail.com"/>
    <s v=""/>
    <s v=""/>
    <s v=""/>
    <s v="CONTAGEM"/>
    <s v="MG"/>
    <s v="Inbound"/>
    <s v=""/>
    <s v=""/>
    <s v="Fora Perfil;Instagram"/>
    <s v="Pipeline de Vendas"/>
    <s v="Qualificação de Vendas (SQL) (25%)"/>
    <s v=""/>
    <d v="2026-02-28T00:00:00"/>
    <m/>
    <m/>
    <n v="1"/>
    <s v="Paulo Souza"/>
    <d v="2026-02-25T00:00:00"/>
    <d v="1899-12-30T21:31:37"/>
    <s v=""/>
    <s v="Perdido"/>
    <d v="2026-02-26T00:00:00"/>
    <d v="1899-12-30T23:08:09"/>
    <s v="Fora do porte mínimo (sem fit estrutural)"/>
    <s v=""/>
    <s v=""/>
    <x v="0"/>
    <s v="Junior Lopes"/>
    <x v="0"/>
    <s v=""/>
    <m/>
    <n v="30"/>
    <s v=""/>
    <s v=""/>
    <s v=""/>
    <s v=""/>
    <n v="1"/>
  </r>
  <r>
    <x v="2"/>
    <n v="974"/>
    <m/>
    <n v="3312"/>
    <s v=""/>
    <s v=""/>
    <x v="479"/>
    <m/>
    <s v=""/>
    <s v="Jlj transportes e locações"/>
    <s v="3196677652"/>
    <s v=""/>
    <s v="jairocesar@jllcomserv.com.br"/>
    <s v=""/>
    <s v=""/>
    <s v=""/>
    <s v=""/>
    <s v=""/>
    <s v="Campanha"/>
    <s v=""/>
    <s v=""/>
    <s v="Fora Perfil;Instagram"/>
    <s v="Pipeline de Vendas"/>
    <s v="Agendamento (0%)"/>
    <s v=""/>
    <d v="2026-05-31T00:00:00"/>
    <m/>
    <m/>
    <n v="72"/>
    <s v="Paulo Souza"/>
    <d v="2026-02-26T00:00:00"/>
    <d v="1899-12-30T09:29:58"/>
    <s v=""/>
    <s v="Perdido"/>
    <d v="2026-05-09T00:00:00"/>
    <d v="1899-12-30T08:49:59"/>
    <s v="Fora do segmento atendido"/>
    <s v=""/>
    <s v=""/>
    <x v="0"/>
    <s v="Rayssa Karapeticov"/>
    <x v="0"/>
    <s v=""/>
    <d v="2026-03-03T00:00:00"/>
    <n v="30"/>
    <s v=""/>
    <s v=""/>
    <s v=""/>
    <s v=""/>
    <n v="1"/>
  </r>
  <r>
    <x v="0"/>
    <n v="976"/>
    <m/>
    <n v="3314"/>
    <s v="26/02 Fiz Fiz FUP hoje com o Matheus e agendamos uma apresentação para quinta-feira dia 05/03 às 15h._x000a_05/03 Fiz FUP com o Matheus e hoje temos uma apresentação as 15h par afalar de sistema. Ele tem uma distribuidora de alimentação animal. _x000a_Tem 7 vendedores. já ancorei 50k de investimento_x000a_12/03 Fiz FUP hoje com o Matheus para saber se ele tem interesse em seguir _x000a_20/03 Fiz contato com o Matues muitas vezes sem retorno e por falta de comunicação estou encerrado a oportunidade."/>
    <s v=""/>
    <x v="480"/>
    <n v="22228036000160"/>
    <s v=""/>
    <s v="Matheus"/>
    <s v="(15) 3553-1307 / (15) 3553-1308"/>
    <s v=""/>
    <s v="matheusmarmodossantoslima@gmail.com"/>
    <s v=""/>
    <s v=""/>
    <s v=""/>
    <s v="RIBEIRAO BRANCO"/>
    <s v="SP"/>
    <s v="Site"/>
    <s v=""/>
    <s v=""/>
    <s v="Dentro Perfil;Solicita demo"/>
    <s v="Pipeline de Vendas"/>
    <s v="Apresentar Proposta (50%)"/>
    <s v=""/>
    <d v="2026-03-31T00:00:00"/>
    <m/>
    <m/>
    <n v="22"/>
    <s v="Paulo Souza"/>
    <d v="2026-02-26T00:00:00"/>
    <d v="1899-12-30T15:46:38"/>
    <s v=""/>
    <s v="Perdido"/>
    <d v="2026-03-20T00:00:00"/>
    <d v="1899-12-30T17:21:26"/>
    <s v="Projeto adiado / sem prazo definido"/>
    <s v=""/>
    <s v=""/>
    <x v="168"/>
    <s v="Paulo Souza"/>
    <x v="182"/>
    <s v=""/>
    <d v="2026-03-20T00:00:00"/>
    <n v="32"/>
    <s v=""/>
    <s v="ERP, AFV"/>
    <s v=""/>
    <s v=""/>
    <n v="1"/>
  </r>
  <r>
    <x v="0"/>
    <n v="977"/>
    <m/>
    <n v="3318"/>
    <s v="10/03 uilian me retornou avisou que vai manter a Mercos , devido a urgência que precisa referente a abertura da unidade São Paulo. Após essa necessidade ser atendida voltaremos a falar!"/>
    <s v=""/>
    <x v="481"/>
    <n v="82270893000150"/>
    <s v=""/>
    <s v="uilian"/>
    <s v="(44) 3045-3700"/>
    <s v=""/>
    <s v="uilian.gurjon@prats.com.br"/>
    <s v=""/>
    <s v=""/>
    <s v=""/>
    <s v="PARANAVAI"/>
    <s v="PR"/>
    <s v=""/>
    <s v=""/>
    <s v=""/>
    <s v=""/>
    <s v="Pipeline de Vendas"/>
    <s v="Em Fechamento (100%)"/>
    <s v=""/>
    <d v="2026-02-28T00:00:00"/>
    <n v="35870"/>
    <n v="5290"/>
    <n v="12"/>
    <s v="Paulo Souza"/>
    <d v="2026-02-26T00:00:00"/>
    <d v="1899-12-30T15:48:32"/>
    <s v=""/>
    <s v="Perdido"/>
    <d v="2026-03-10T00:00:00"/>
    <d v="1899-12-30T11:44:09"/>
    <s v="Não quer mudar a solução atual"/>
    <s v=""/>
    <s v=""/>
    <x v="168"/>
    <s v="Paulo Souza"/>
    <x v="199"/>
    <s v=""/>
    <m/>
    <n v="30"/>
    <s v="100"/>
    <s v="AFV"/>
    <s v=""/>
    <s v=""/>
    <n v="1"/>
  </r>
  <r>
    <x v="1"/>
    <n v="978"/>
    <m/>
    <n v="3323"/>
    <s v="(12/03/2026) Rogério achou investimento alto para o momento  atual"/>
    <s v=""/>
    <x v="482"/>
    <m/>
    <s v=""/>
    <s v="Teodoro cosméticos - AFV"/>
    <s v="1435416311"/>
    <s v=""/>
    <s v="agilassessoriacontabil@otmail.com"/>
    <s v=""/>
    <s v=""/>
    <s v=""/>
    <s v=""/>
    <s v=""/>
    <s v=""/>
    <s v=""/>
    <s v=""/>
    <s v=""/>
    <s v="Pipeline de Vendas"/>
    <s v="Apresentar Proposta (50%)"/>
    <s v=""/>
    <m/>
    <n v="1105989"/>
    <n v="29463"/>
    <n v="14"/>
    <s v="Junior Lopes"/>
    <d v="2026-02-26T00:00:00"/>
    <d v="1899-12-30T17:20:40"/>
    <s v=""/>
    <s v="Perdido"/>
    <d v="2026-03-12T00:00:00"/>
    <d v="1899-12-30T10:53:12"/>
    <s v="Não houve aprovação financeira"/>
    <s v="(12/03/2026) Rogério achou investimento alto para o momento  atual"/>
    <s v=""/>
    <x v="190"/>
    <s v=""/>
    <x v="200"/>
    <s v=""/>
    <d v="2026-03-13T00:00:00"/>
    <n v="30"/>
    <s v=""/>
    <s v=""/>
    <s v=""/>
    <s v=""/>
    <n v="1"/>
  </r>
  <r>
    <x v="1"/>
    <n v="979"/>
    <m/>
    <n v="3324"/>
    <s v="(12/03/2026) Rogério achou investimento alto para o momento  atual"/>
    <s v=""/>
    <x v="483"/>
    <m/>
    <s v=""/>
    <s v="Teodoro cosméticos - Cloud"/>
    <s v="1435416311"/>
    <s v=""/>
    <s v="agilassessoriacontabil@otmail.com"/>
    <s v=""/>
    <s v=""/>
    <s v=""/>
    <s v=""/>
    <s v=""/>
    <s v=""/>
    <s v=""/>
    <s v=""/>
    <s v=""/>
    <s v="Pipeline de Vendas"/>
    <s v="Apresentar Proposta (50%)"/>
    <s v=""/>
    <m/>
    <n v="1600"/>
    <n v="252471"/>
    <n v="14"/>
    <s v="Junior Lopes"/>
    <d v="2026-02-26T00:00:00"/>
    <d v="1899-12-30T17:35:15"/>
    <s v=""/>
    <s v="Perdido"/>
    <d v="2026-03-12T00:00:00"/>
    <d v="1899-12-30T10:50:51"/>
    <s v="Não houve aprovação financeira"/>
    <s v="(12/03/2026) Rogério achou investimento alto para o momento  atual"/>
    <s v="12/03/2026"/>
    <x v="190"/>
    <s v=""/>
    <x v="0"/>
    <s v=""/>
    <m/>
    <n v="30"/>
    <s v=""/>
    <s v=""/>
    <s v=""/>
    <s v=""/>
    <n v="1"/>
  </r>
  <r>
    <x v="0"/>
    <n v="980"/>
    <m/>
    <n v="3325"/>
    <s v=""/>
    <s v=""/>
    <x v="484"/>
    <n v="23059521000110"/>
    <s v=""/>
    <s v="Cristiana"/>
    <s v="(49) 3665-3004"/>
    <s v=""/>
    <s v=""/>
    <s v=""/>
    <s v=""/>
    <s v=""/>
    <s v="IRACEMINHA"/>
    <s v="SC"/>
    <s v=""/>
    <s v=""/>
    <s v=""/>
    <s v=""/>
    <s v="Pipeline de Vendas"/>
    <s v="Em Fechamento (100%)"/>
    <s v=""/>
    <d v="2026-02-28T00:00:00"/>
    <n v="7470289"/>
    <n v="1221612"/>
    <n v="0"/>
    <s v="Paulo Souza"/>
    <d v="2026-02-26T00:00:00"/>
    <d v="1899-12-30T21:58:14"/>
    <s v=""/>
    <s v="Ganho"/>
    <d v="2026-02-26T00:00:00"/>
    <d v="1899-12-30T22:03:35"/>
    <s v=""/>
    <s v=""/>
    <s v=""/>
    <x v="190"/>
    <s v="Paulo Souza"/>
    <x v="208"/>
    <s v=""/>
    <m/>
    <n v="90"/>
    <s v=""/>
    <s v="ERP, AFV, ADICIONAIS, BI"/>
    <s v="R$ 74.702,90"/>
    <s v="R$ 12.216,08"/>
    <n v="1"/>
  </r>
  <r>
    <x v="1"/>
    <n v="981"/>
    <m/>
    <n v="3328"/>
    <s v=""/>
    <s v=""/>
    <x v="485"/>
    <m/>
    <s v=""/>
    <s v="Encartelados Nina - Cloud"/>
    <s v="4733683065"/>
    <s v=""/>
    <s v="ninaencartelados@gmail.com"/>
    <s v=""/>
    <s v=""/>
    <s v=""/>
    <s v=""/>
    <s v=""/>
    <s v=""/>
    <s v=""/>
    <s v=""/>
    <s v=""/>
    <s v="Pipeline de Vendas"/>
    <s v="Apresentar Proposta (50%)"/>
    <s v=""/>
    <m/>
    <n v="0"/>
    <n v="1900"/>
    <n v="76"/>
    <s v="Junior Lopes"/>
    <d v="2026-02-27T00:00:00"/>
    <d v="1899-12-30T10:58:33"/>
    <s v=""/>
    <s v="Perdido"/>
    <d v="2026-05-14T00:00:00"/>
    <d v="1899-12-30T14:49:37"/>
    <s v="Não houve aprovação financeira"/>
    <s v="14/05/2026 : _x000a_09:02, 13/05/2026 Fabio Oliveira Nina Enc: Consegui sim, teu sistema é maravilhoso, muito bom mesmo _x000a_porem eu passei pro pessoal aqui, e no momento, nosso faturamaento nao condiz com o investimento a ser feito_x000a_09:03, 13/05/2026 Fabio Oliveira Nina Enc: espero que logo possamos mudar isso_x000a_09:05, 13/05/2026 Junior Lopes: Entendo Fábio ! _x000a_ O que está pegando mais na proposta ? O projeto ou as mensalidades?_x000a_09:08, 13/05/2026 Fabio Oliveira Nina Enc: na verdade é um pouco dos dois, hj nosso sistema nos custa 6 mil por ano, claro que ele nao tem a mesma eficiencia do seu, mas para a quantidade de vendas nossa, no atual momento ele nos atende bem_x000a_09:21, 13/05/2026 Junior Lopes: Entendo ! Gostaria de pensar aí e nos fazer uma contra proposta ?_x000a_09:22, 13/05/2026 Fabio Oliveira Nina Enc: no momento vamos deixar em off_x000a_09:22, 13/05/2026 Fabio Oliveira Nina Enc: obrigado pela atençao_x000a_09:28, 13/05/2026 Junior Lopes: Ta joia meu amigo_x000a_09:29, 13/05/2026 Junior Lopes: Ficamos a disposição! Tenho certeza que podemos ajudar muito no crescimento da Nina encartelados _x000a_Um abraço_x000a_09:29, 13/05/2026 Fabio Oliveira Nina Enc: abraço"/>
    <s v=""/>
    <x v="182"/>
    <s v=""/>
    <x v="198"/>
    <s v="05/05/2026"/>
    <d v="2026-05-14T00:00:00"/>
    <n v="30"/>
    <s v=""/>
    <s v=""/>
    <s v=""/>
    <s v=""/>
    <n v="1"/>
  </r>
  <r>
    <x v="1"/>
    <n v="982"/>
    <m/>
    <n v="3329"/>
    <s v=""/>
    <s v=""/>
    <x v="486"/>
    <m/>
    <s v=""/>
    <s v="Atavadão das Tripas - Cloud"/>
    <s v="14998549863"/>
    <s v=""/>
    <s v="kayocalil@hotmail.com"/>
    <s v=""/>
    <s v=""/>
    <s v=""/>
    <s v=""/>
    <s v=""/>
    <s v=""/>
    <s v=""/>
    <s v=""/>
    <s v=""/>
    <s v="Pipeline de Vendas"/>
    <s v="Em negociação (75%)"/>
    <s v=""/>
    <m/>
    <n v="1600"/>
    <n v="252471"/>
    <n v="56"/>
    <s v="Junior Lopes"/>
    <d v="2026-02-27T00:00:00"/>
    <d v="1899-12-30T12:19:18"/>
    <s v=""/>
    <s v="Perdido"/>
    <d v="2026-04-24T00:00:00"/>
    <d v="1899-12-30T09:13:40"/>
    <s v="Não houve aprovação financeira"/>
    <s v="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
    <s v=""/>
    <x v="191"/>
    <s v=""/>
    <x v="196"/>
    <s v="19/02/2026"/>
    <m/>
    <n v="30"/>
    <s v=""/>
    <s v=""/>
    <s v=""/>
    <s v=""/>
    <n v="1"/>
  </r>
  <r>
    <x v="1"/>
    <n v="983"/>
    <m/>
    <n v="3330"/>
    <s v=""/>
    <s v=""/>
    <x v="487"/>
    <m/>
    <s v=""/>
    <s v="Clean tech - Cloud"/>
    <s v="11915642482"/>
    <s v=""/>
    <s v="null"/>
    <s v=""/>
    <s v=""/>
    <s v=""/>
    <s v=""/>
    <s v=""/>
    <s v=""/>
    <s v=""/>
    <s v=""/>
    <s v=""/>
    <s v="Pipeline de Vendas"/>
    <s v="Em Fechamento (100%)"/>
    <s v=""/>
    <m/>
    <n v="0"/>
    <n v="384454"/>
    <n v="33"/>
    <s v="Junior Lopes"/>
    <d v="2026-02-27T00:00:00"/>
    <d v="1899-12-30T13:04:33"/>
    <s v=""/>
    <s v="Ganho"/>
    <d v="2026-04-01T00:00:00"/>
    <d v="1899-12-30T10:40:31"/>
    <s v=""/>
    <s v=""/>
    <s v=""/>
    <x v="183"/>
    <s v=""/>
    <x v="0"/>
    <s v=""/>
    <m/>
    <n v="30"/>
    <s v=""/>
    <s v=""/>
    <s v=""/>
    <s v=""/>
    <n v="1"/>
  </r>
  <r>
    <x v="1"/>
    <n v="984"/>
    <m/>
    <n v="3331"/>
    <s v=""/>
    <s v=""/>
    <x v="488"/>
    <m/>
    <s v=""/>
    <s v="StarTools - Cloud"/>
    <s v="1184724282"/>
    <s v=""/>
    <s v="controladoria@startoolsferramentas.com.br"/>
    <s v=""/>
    <s v=""/>
    <s v=""/>
    <s v=""/>
    <s v=""/>
    <s v=""/>
    <s v=""/>
    <s v=""/>
    <s v=""/>
    <s v="Pipeline de Vendas"/>
    <s v="Apresentar Solução (35%)"/>
    <s v=""/>
    <m/>
    <n v="0"/>
    <n v="0"/>
    <n v="82"/>
    <s v="Junior Lopes"/>
    <d v="2026-02-27T00:00:00"/>
    <d v="1899-12-30T13:09:06"/>
    <s v=""/>
    <s v="Ativo"/>
    <m/>
    <m/>
    <s v=""/>
    <s v=""/>
    <s v=""/>
    <x v="0"/>
    <s v=""/>
    <x v="209"/>
    <s v=""/>
    <d v="2026-04-29T00:00:00"/>
    <n v="30"/>
    <s v=""/>
    <s v=""/>
    <s v=""/>
    <s v=""/>
    <n v="1"/>
  </r>
  <r>
    <x v="0"/>
    <n v="985"/>
    <m/>
    <n v="3332"/>
    <s v="27/02 Fiz apresentação do sistema e proposta para o cliente._x000a_12/03 Fiz FUP hoje com Pamela para saber se seguiremos ou não._x000a_20/03 Cobrando a Pamela para fazer o fechamento do projeto."/>
    <s v=""/>
    <x v="489"/>
    <m/>
    <s v=""/>
    <s v="Pamela"/>
    <s v="4699841338"/>
    <s v=""/>
    <s v="importacao.azul@hotmail.com"/>
    <s v=""/>
    <s v=""/>
    <s v=""/>
    <s v=""/>
    <s v=""/>
    <s v=""/>
    <s v=""/>
    <s v=""/>
    <s v=""/>
    <s v="Pipeline de Vendas"/>
    <s v="Em Fechamento (100%)"/>
    <s v=""/>
    <d v="2026-03-31T00:00:00"/>
    <n v="5007058"/>
    <n v="268966"/>
    <n v="42"/>
    <s v="Paulo Souza"/>
    <d v="2026-02-27T00:00:00"/>
    <d v="1899-12-30T14:36:39"/>
    <s v=""/>
    <s v="Perdido"/>
    <d v="2026-04-10T00:00:00"/>
    <d v="1899-12-30T16:01:47"/>
    <s v="Não quer mudar a solução atual"/>
    <s v=""/>
    <s v=""/>
    <x v="168"/>
    <s v="Paulo Souza"/>
    <x v="182"/>
    <s v=""/>
    <d v="2026-03-12T00:00:00"/>
    <n v="30"/>
    <s v="280"/>
    <s v="ERP, AFV"/>
    <s v=""/>
    <s v=""/>
    <n v="1"/>
  </r>
  <r>
    <x v="0"/>
    <n v="987"/>
    <m/>
    <n v="3334"/>
    <s v="26/02 Fiz FUP e agendei uma apresentação._x000a_20/03 Buscando nova agenda com o Alexandre para o dia 27/03."/>
    <s v=""/>
    <x v="490"/>
    <n v="7730144000142"/>
    <s v=""/>
    <s v="Breno"/>
    <s v="11994558029"/>
    <s v=""/>
    <s v="suporte.ti@kopermax.com.br"/>
    <s v=""/>
    <s v=""/>
    <s v=""/>
    <s v=""/>
    <s v=""/>
    <s v=""/>
    <s v=""/>
    <s v=""/>
    <s v=""/>
    <s v="Pipeline de Vendas"/>
    <s v="Em negociação (75%)"/>
    <s v=""/>
    <d v="2026-03-31T00:00:00"/>
    <n v="29800"/>
    <n v="4600"/>
    <n v="80"/>
    <s v="Paulo Souza"/>
    <d v="2026-02-27T00:00:00"/>
    <d v="1899-12-30T21:24:36"/>
    <s v=""/>
    <s v="Perdido"/>
    <d v="2026-05-18T00:00:00"/>
    <d v="1899-12-30T16:54:32"/>
    <s v="Projeto adiado / sem prazo definido"/>
    <s v=""/>
    <s v=""/>
    <x v="101"/>
    <s v="Paulo Souza"/>
    <x v="210"/>
    <s v=""/>
    <d v="2026-03-20T00:00:00"/>
    <n v="30"/>
    <s v=""/>
    <s v="AFV"/>
    <s v=""/>
    <s v=""/>
    <n v="1"/>
  </r>
  <r>
    <x v="2"/>
    <n v="990"/>
    <m/>
    <n v="3335"/>
    <s v="19.03 Entrei em contato com a Karen, apresentação agendada para quarta as 9:30 _x000a_31.03 não tenho consultor disponivel para seguir com uma agenda com o cliente_x000a_07.04 - não tenho consultor disponivel para seguir com uma agenda com o cliente"/>
    <s v=""/>
    <x v="491"/>
    <n v="15497764000616"/>
    <s v=""/>
    <s v="KAREN STANGE"/>
    <s v="(42) 3025-6309"/>
    <s v=""/>
    <s v="karen.stang@hotmail.com"/>
    <s v=""/>
    <s v=""/>
    <s v=""/>
    <s v="MAFRA"/>
    <s v="SC"/>
    <s v="Site"/>
    <s v=""/>
    <s v=""/>
    <s v="Dentro Perfil;Solicita demo"/>
    <s v="Pipeline de Vendas"/>
    <s v="Apresentar Solução (35%)"/>
    <s v=""/>
    <d v="2026-06-30T00:00:00"/>
    <m/>
    <m/>
    <n v="35"/>
    <s v="Paulo Souza"/>
    <d v="2026-03-03T00:00:00"/>
    <d v="1899-12-30T21:22:22"/>
    <s v=""/>
    <s v="Perdido"/>
    <d v="2026-04-07T00:00:00"/>
    <d v="1899-12-30T10:59:30"/>
    <s v="Projeto adiado / sem prazo definido"/>
    <s v=""/>
    <s v=""/>
    <x v="0"/>
    <s v="Rayssa Karapeticov"/>
    <x v="0"/>
    <s v=""/>
    <d v="2026-04-07T00:00:00"/>
    <n v="30"/>
    <s v=""/>
    <s v="ERP"/>
    <s v=""/>
    <s v=""/>
    <n v="1"/>
  </r>
  <r>
    <x v="1"/>
    <n v="991"/>
    <m/>
    <n v="3339"/>
    <s v="17:05, 04/03/2026 Junior Lopes: Olá Marcelo ! Boa tarde_x000a_17:05, 04/03/2026 Junior Lopes: Junior da Guarani sistemas por aqui , Td bem ?_x000a_17:07, 04/03/2026 Junior Lopes: Estou retornando um contato que vc fez conosco ! Qual melhor horário para falarmos ?_x000a_17:14, 04/03/2026 Marcelo Plug Lar: opa blz._x000a_17:14, 04/03/2026 Marcelo Plug Lar: joia junior_x000a_17:15, 04/03/2026 Junior Lopes: Td joia Marcelo_x000a_17:18, 04/03/2026 Marcelo Plug Lar: eu queria conhecer + sobre o sistema de vocês._x000a_17:18, 04/03/2026 Marcelo Plug Lar: eu procuro algo básico_x000a_(09/03/2026) Buscando contato com Marcelo a fim de darmos sequencia _x000a_(09/03/2026) Marcelo busca um software mais simples e com custo menor!"/>
    <s v=""/>
    <x v="492"/>
    <n v="5137778000160"/>
    <s v=""/>
    <s v="Marcelo Camargo"/>
    <s v="(19) 99623-4303"/>
    <s v=""/>
    <s v="marcelo@pluglar.com.br"/>
    <s v=""/>
    <s v=""/>
    <s v=""/>
    <s v="Rio Claro"/>
    <s v=""/>
    <s v="Site"/>
    <s v=""/>
    <s v=""/>
    <s v="Dentro Perfil;Solicita demo"/>
    <s v="Pipeline de Vendas"/>
    <s v="Apresentar Solução (35%)"/>
    <s v=""/>
    <d v="2026-03-31T00:00:00"/>
    <n v="1104172"/>
    <n v="656776"/>
    <n v="20"/>
    <s v="Paulo Souza"/>
    <d v="2026-03-04T00:00:00"/>
    <d v="1899-12-30T16:37:48"/>
    <s v=""/>
    <s v="Perdido"/>
    <d v="2026-03-24T00:00:00"/>
    <d v="1899-12-30T15:30:09"/>
    <s v="Não houve aprovação financeira"/>
    <s v="(09/03/2026) Marcelo busca um software mais simples e com custo menor!"/>
    <s v=""/>
    <x v="192"/>
    <s v="Junior Lopes"/>
    <x v="188"/>
    <s v=""/>
    <d v="2026-03-09T00:00:00"/>
    <n v="30"/>
    <s v=""/>
    <s v="B2B"/>
    <s v=""/>
    <s v=""/>
    <n v="1"/>
  </r>
  <r>
    <x v="0"/>
    <n v="993"/>
    <m/>
    <n v="3342"/>
    <s v="11/03 Foi feito a apresentação hoje do institucional e Guarani AFV._x000a_Resumo:_x000a_Produtos : ERP + AFV + Televendas + MDe _x000a_Opcionais: Comex, Cloud, CRM , B2B, HUB_x000a_Próximo passos: enviar uma proposta._x000a_20/03 Fiz contato com o Ericson para saber se vamos seguir ou não."/>
    <s v=""/>
    <x v="493"/>
    <n v="43191819000196"/>
    <s v=""/>
    <s v="Ericson"/>
    <s v="(43) 3056-3780"/>
    <s v=""/>
    <s v="escritorio@damiaoefilhos.com.br"/>
    <s v=""/>
    <s v=""/>
    <s v=""/>
    <s v="ARAPONGAS"/>
    <s v="PR"/>
    <s v=""/>
    <s v=""/>
    <s v=""/>
    <s v=""/>
    <s v="Pipeline de Vendas"/>
    <s v="Em negociação (75%)"/>
    <s v=""/>
    <d v="2026-03-31T00:00:00"/>
    <n v="895843"/>
    <n v="395308"/>
    <n v="36"/>
    <s v="Paulo Souza"/>
    <d v="2026-03-05T00:00:00"/>
    <d v="1899-12-30T08:51:53"/>
    <s v=""/>
    <s v="Perdido"/>
    <d v="2026-04-10T00:00:00"/>
    <d v="1899-12-30T17:25:45"/>
    <s v="Preço muito alto - fora do budget de investimento"/>
    <s v=""/>
    <s v=""/>
    <x v="187"/>
    <s v="Paulo Souza"/>
    <x v="211"/>
    <s v=""/>
    <d v="2026-03-20T00:00:00"/>
    <n v="30"/>
    <s v=""/>
    <s v="ERP, AFV, ADICIONAIS"/>
    <s v=""/>
    <s v=""/>
    <n v="1"/>
  </r>
  <r>
    <x v="2"/>
    <n v="994"/>
    <m/>
    <n v="3347"/>
    <s v="24.03 cliente enviou um documento de aderencia, porém a MArilia pediu uma reunião para falar sobre o documento e funcionalidades_x000a_15.04 Ficou fora da empresa esses 15 dias, acredita que hoje consegue avaliar todo material que mandei, retornar o contato na segunda"/>
    <s v="Industria E Comercio Jolitex Ltda"/>
    <x v="494"/>
    <n v="61808531000523"/>
    <s v=""/>
    <s v="Industria E Comercio Jolitex Ltda"/>
    <s v="(11) 3254-7100"/>
    <s v=""/>
    <s v="atendimento@jolitex.com"/>
    <s v=""/>
    <s v=""/>
    <s v=""/>
    <s v="SAO PAULO"/>
    <s v="SP"/>
    <s v="Base de empresas Leads2b"/>
    <s v=""/>
    <s v=""/>
    <s v=""/>
    <s v="Pipeline de Vendas"/>
    <s v="Apresentar Proposta (50%)"/>
    <s v=""/>
    <d v="2026-04-30T00:00:00"/>
    <m/>
    <m/>
    <n v="76"/>
    <s v="Rayssa Karapeticov"/>
    <d v="2026-03-05T00:00:00"/>
    <d v="1899-12-30T17:24:09"/>
    <s v=""/>
    <s v="Ativo"/>
    <m/>
    <m/>
    <s v=""/>
    <s v=""/>
    <s v=""/>
    <x v="0"/>
    <s v="Rayssa Karapeticov"/>
    <x v="195"/>
    <s v="12/03/2026"/>
    <d v="2026-04-23T00:00:00"/>
    <n v="30"/>
    <s v=""/>
    <s v="AFV"/>
    <s v=""/>
    <s v=""/>
    <n v="1"/>
  </r>
  <r>
    <x v="1"/>
    <n v="995"/>
    <m/>
    <n v="3348"/>
    <s v="16:28, 06/03/2026 Valdinei vaeso: Entendi mas esta fora do que pretendo investir_x000a_16:28, 06/03/2026 Valdinei vaeso: Te agradeço_x000a_16:46, 06/03/2026 Junior Lopes: Qual é a sua ideia de investimento?_x000a_16:47, 06/03/2026 Valdinei vaeso: Não vou nem fazer proposta porque a proposta veio com valores altos de implementação e mentoria_x000a_16:47, 06/03/2026 Valdinei vaeso: Sistema parece intuitivo_x000a_16:47, 06/03/2026 Valdinei vaeso: E vi ontem e gostei_x000a_16:47, 06/03/2026 Valdinei vaeso: Preciso de força de vendas_x000a_16:56, 06/03/2026 Valdinei vaeso: Ok"/>
    <s v="Vaeso Comercial Ltda"/>
    <x v="495"/>
    <n v="58092341000114"/>
    <s v=""/>
    <s v="Vaeso Comercial Ltda"/>
    <s v="(47) 9946-6330"/>
    <s v=""/>
    <s v="administrativo@qscontabilidade.com.br"/>
    <s v=""/>
    <s v=""/>
    <s v=""/>
    <s v="JOINVILLE"/>
    <s v="SC"/>
    <s v="Base de empresas Leads2b"/>
    <s v=""/>
    <s v=""/>
    <s v=""/>
    <s v="Pipeline de Vendas"/>
    <s v="Apresentar Proposta (50%)"/>
    <s v=""/>
    <m/>
    <n v="686343"/>
    <n v="36781"/>
    <n v="3"/>
    <s v="Junior Lopes"/>
    <d v="2026-03-06T00:00:00"/>
    <d v="1899-12-30T12:33:31"/>
    <s v=""/>
    <s v="Perdido"/>
    <d v="2026-03-09T00:00:00"/>
    <d v="1899-12-30T09:35:35"/>
    <s v="Não houve aprovação financeira"/>
    <s v="16:28, 06/03/2026 Valdinei vaeso: Entendi mas esta fora do que pretendo investir_x000a_16:28, 06/03/2026 Valdinei vaeso: Te agradeço_x000a_16:46, 06/03/2026 Junior Lopes: Qual é a sua ideia de investimento?_x000a_16:47, 06/03/2026 Valdinei vaeso: Não vou nem fazer proposta porque a proposta veio com valores altos de implementação e mentoria_x000a_16:47, 06/03/2026 Valdinei vaeso: Sistema parece intuitivo_x000a_16:47, 06/03/2026 Valdinei vaeso: E vi ontem e gostei_x000a_16:47, 06/03/2026 Valdinei vaeso: Preciso de força de vendas_x000a_16:56, 06/03/2026 Valdinei vaeso: Ok"/>
    <s v=""/>
    <x v="193"/>
    <s v=""/>
    <x v="212"/>
    <s v=""/>
    <d v="2026-03-06T00:00:00"/>
    <n v="50"/>
    <s v=""/>
    <s v=""/>
    <s v=""/>
    <s v=""/>
    <n v="1"/>
  </r>
  <r>
    <x v="1"/>
    <n v="996"/>
    <m/>
    <n v="3351"/>
    <s v="(10/03/2026) Agenda para apresentação do ERP 12/03 _x000a_10:07, 14/04/2026 Luccas Globalmix: Bom dia meu amigo, tudo bem? _x000a_Desculpe não te responder. Estou com alguns problemas de família e estive meio ausente. _x000a_Analisamos sua proposta e infelizmente ficou muito acima do que estávamos planejando nesse momento. _x000a_Desculpe a minha ignorância, mas não consegui compreender o motivo de um custo tão alto para a implementação de um ERP já existente. O custo que você me passou é basicamente o de desenvolver um novo sistema próprio. _x000a_Infelizmente nessas condições é inviável para nós nesse momento. _x000a_Agradeço pelo seu atendimento nas últimas semanas, foi extremamente atencioso. Espero que compreenda. _x000a_Obrigado_x000a_10:15, 14/04/2026 Junior Lopes: Bom dia, Luccas, tudo bem?_x000a_Primeiro, espero que as coisas com sua família se resolvam da melhor forma possível. Fica tranquilo quanto ao retorno, eu entendo perfeitamente._x000a_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_x000a_O que está incluso nesse investimento é justamente o que vai fazer o sistema “virar realidade” dentro da Globalmix:_x000a_– entendimento dos processos de vocês;_x000a_– parametrização do ERP para a realidade da empresa;_x000a_– construção/ajuste dos relatórios que vocês precisam;_x000a_– validação e homologação do funcionamento antes de ir para produção;_x000a_– integração com a Lisa Log;_x000a_– e, principalmente, treinamento da equipe e acompanhamento na virada, para que todo mundo use da forma correta e o projeto traga resultado._x000a_Sem essa etapa de consultoria, o risco é ter um sistema bom, mas mal configurado ou pouco usado, o que acaba gerando retrabalho e perda de confiança na ferramenta – e é justamente isso que queremos evitar._x000a_Dito isso, eu entendo totalmente a questão de orçamento. Se fizer sentido para você, eu posso:_x000a_1) rever o escopo para enxugar etapas e tentar adequar o investimento ao momento da Globalmix; ou_x000a_2) pensar em uma implantação por fases, começando pelo essencial (comercial + força de vendas + básico de estoque) e deixando integrações e aprofundamentos para uma segunda etapa._x000a_Você se sentiria confortável em me dizer qual faixa de investimento vocês tinham planejado, para eu ver o que é possível ajustar com transparência?"/>
    <s v="Crx Comercio, Importacao E Exportacao Ltda"/>
    <x v="496"/>
    <n v="27672869000139"/>
    <s v=""/>
    <s v="GlobalMIx"/>
    <s v="(11) 9999-9999"/>
    <s v=""/>
    <s v="contabilgrupocrx@gmail.com"/>
    <s v=""/>
    <s v=""/>
    <s v=""/>
    <s v="ITAJAI"/>
    <s v="SC"/>
    <s v=""/>
    <s v=""/>
    <s v=""/>
    <s v=""/>
    <s v="Pipeline de Vendas"/>
    <s v="Apresentar Solução (35%)"/>
    <s v=""/>
    <m/>
    <n v="7305558"/>
    <n v="143186"/>
    <n v="40"/>
    <s v="Junior Lopes"/>
    <d v="2026-03-06T00:00:00"/>
    <d v="1899-12-30T17:07:19"/>
    <s v=""/>
    <s v="Perdido"/>
    <d v="2026-04-15T00:00:00"/>
    <d v="1899-12-30T09:35:15"/>
    <s v="Não houve aprovação financeira"/>
    <s v="10:07, 14/04/2026 Luccas Globalmix: Bom dia meu amigo, tudo bem? _x000a_Desculpe não te responder. Estou com alguns problemas de família e estive meio ausente. _x000a_Analisamos sua proposta e infelizmente ficou muito acima do que estávamos planejando nesse momento. _x000a_Desculpe a minha ignorância, mas não consegui compreender o motivo de um custo tão alto para a implementação de um ERP já existente. O custo que você me passou é basicamente o de desenvolver um novo sistema próprio. _x000a_Infelizmente nessas condições é inviável para nós nesse momento. _x000a_Agradeço pelo seu atendimento nas últimas semanas, foi extremamente atencioso. Espero que compreenda. _x000a_Obrigado_x000a_10:15, 14/04/2026 Junior Lopes: Bom dia, Luccas, tudo bem?_x000a_Primeiro, espero que as coisas com sua família se resolvam da melhor forma possível. Fica tranquilo quanto ao retorno, eu entendo perfeitamente._x000a_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_x000a_O que está incluso nesse investimento é justamente o que vai fazer o sistema “virar realidade” dentro da Globalmix:_x000a_– entendimento dos processos de vocês;_x000a_– parametrização do ERP para a realidade da empresa;_x000a_– construção/ajuste dos relatórios que vocês precisam;_x000a_– validação e homologação do funcionamento antes de ir para produção;_x000a_– integração com a Lisa Log;_x000a_– e, principalmente, treinamento da equipe e acompanhamento na virada, para que todo mundo use da forma correta e o projeto traga resultado._x000a_Sem essa etapa de consultoria, o risco é ter um sistema bom, mas mal configurado ou pouco usado, o que acaba gerando retrabalho e perda de confiança na ferramenta – e é justamente isso que queremos evitar._x000a_Dito isso, eu entendo totalmente a questão de orçamento. Se fizer sentido para você, eu posso:_x000a_1) rever o escopo para enxugar etapas e tentar adequar o investimento ao momento da Globalmix; ou_x000a_2) pensar em uma implantação por fases, começando pelo essencial (comercial + força de vendas + básico de estoque) e deixando integrações e aprofundamentos para uma segunda etapa._x000a_Você se sentiria confortável em me dizer qual faixa de investimento vocês tinham planejado, para eu ver o que é possível ajustar com transparência?"/>
    <s v=""/>
    <x v="194"/>
    <s v=""/>
    <x v="195"/>
    <s v=""/>
    <d v="2026-04-15T00:00:00"/>
    <n v="30"/>
    <s v=""/>
    <s v=""/>
    <s v=""/>
    <s v=""/>
    <n v="1"/>
  </r>
  <r>
    <x v="2"/>
    <n v="997"/>
    <m/>
    <n v="3341"/>
    <s v=""/>
    <s v=""/>
    <x v="497"/>
    <m/>
    <s v=""/>
    <s v="Irmãos Capuci"/>
    <s v="67999772326"/>
    <s v=""/>
    <s v="joaoliloc@gmail.com"/>
    <s v=""/>
    <s v=""/>
    <s v=""/>
    <s v=""/>
    <s v=""/>
    <s v="Campanha"/>
    <s v=""/>
    <s v=""/>
    <s v="Fora Perfil;Instagram"/>
    <s v="Pipeline de Vendas"/>
    <s v="Agendamento (0%)"/>
    <s v=""/>
    <d v="2026-03-31T00:00:00"/>
    <m/>
    <m/>
    <n v="1"/>
    <s v="Paulo Souza"/>
    <d v="2026-03-09T00:00:00"/>
    <d v="1899-12-30T14:16:23"/>
    <s v=""/>
    <s v="Perdido"/>
    <d v="2026-03-10T00:00:00"/>
    <d v="1899-12-30T10:03:18"/>
    <s v="Fora do porte mínimo (sem fit estrutural)"/>
    <s v=""/>
    <s v=""/>
    <x v="0"/>
    <s v="Rayssa Karapeticov"/>
    <x v="0"/>
    <s v=""/>
    <m/>
    <n v="30"/>
    <s v=""/>
    <s v=""/>
    <s v=""/>
    <s v=""/>
    <n v="1"/>
  </r>
  <r>
    <x v="1"/>
    <n v="999"/>
    <m/>
    <n v="3360"/>
    <s v="(10/03/2026) em contato com Fernando _x000a_11:24, 11/03/2026 Junior Lopes: Olá Fernando! Td bem ? _x000a_Você tem interesse sem seguir com informações sobre a solução Guarani sistemas?"/>
    <s v=""/>
    <x v="498"/>
    <m/>
    <s v=""/>
    <s v="Fcabrasil"/>
    <s v="19974124080"/>
    <s v=""/>
    <s v="fernando@fcabrasil.com.br"/>
    <s v=""/>
    <s v=""/>
    <s v=""/>
    <s v=""/>
    <s v=""/>
    <s v="Campanha"/>
    <s v=""/>
    <s v=""/>
    <s v="Fora Perfil;Instagram"/>
    <s v="Pipeline de Vendas"/>
    <s v="Qualificação de Vendas (SQL) (25%)"/>
    <s v=""/>
    <d v="2026-03-31T00:00:00"/>
    <m/>
    <m/>
    <n v="29"/>
    <s v="Paulo Souza"/>
    <d v="2026-03-10T00:00:00"/>
    <d v="1899-12-30T09:07:12"/>
    <s v=""/>
    <s v="Perdido"/>
    <d v="2026-04-08T00:00:00"/>
    <d v="1899-12-30T17:25:42"/>
    <s v="Fora do porte mínimo (sem fit estrutural)"/>
    <s v=") declinando por falta de interação por parte do cliente"/>
    <s v=""/>
    <x v="0"/>
    <s v="Junior Lopes"/>
    <x v="0"/>
    <s v=""/>
    <d v="2026-03-19T00:00:00"/>
    <n v="30"/>
    <s v=""/>
    <s v=""/>
    <s v=""/>
    <s v=""/>
    <n v="1"/>
  </r>
  <r>
    <x v="0"/>
    <n v="1000"/>
    <m/>
    <n v="3358"/>
    <s v="10/03 Fiz contato e não obtive retorno deixei recado._x000a_11/03 Fiz FUP hoje com o Ridalvo Donizeti sem sucesso._x000a_12/3 Fiz varias ligações sem sucesso. Por falta de retorno encerrei o lead,."/>
    <s v=""/>
    <x v="499"/>
    <m/>
    <s v=""/>
    <s v="Ridalvo Donizeti"/>
    <s v="16991945630"/>
    <s v=""/>
    <s v="ridalvo.rossi@brdbtasil.com.br"/>
    <s v=""/>
    <s v=""/>
    <s v=""/>
    <s v=""/>
    <s v=""/>
    <s v="Campanha"/>
    <s v=""/>
    <s v=""/>
    <s v="Dentro Perfil;Instagram"/>
    <s v="Pipeline de Vendas"/>
    <s v="Qualificação de Vendas (SQL) (25%)"/>
    <s v=""/>
    <d v="2026-03-31T00:00:00"/>
    <m/>
    <m/>
    <n v="2"/>
    <s v="Paulo Souza"/>
    <d v="2026-03-10T00:00:00"/>
    <d v="1899-12-30T09:19:04"/>
    <s v=""/>
    <s v="Perdido"/>
    <d v="2026-03-12T00:00:00"/>
    <d v="1899-12-30T17:27:22"/>
    <s v="Fora do porte mínimo (sem fit estrutural)"/>
    <s v=""/>
    <s v=""/>
    <x v="0"/>
    <s v="Paulo Souza"/>
    <x v="0"/>
    <s v=""/>
    <d v="2026-03-12T00:00:00"/>
    <n v="30"/>
    <s v=""/>
    <s v=""/>
    <s v=""/>
    <s v=""/>
    <n v="1"/>
  </r>
  <r>
    <x v="2"/>
    <n v="1001"/>
    <m/>
    <n v="3357"/>
    <s v="18.03 proposta apresentada no dia de hoje _x000a_24.03 - não atendeu"/>
    <s v=""/>
    <x v="500"/>
    <m/>
    <s v=""/>
    <s v="Artur Decker"/>
    <s v="(47) 99699-9700"/>
    <s v=""/>
    <s v="artur@assessoriadecker.com"/>
    <s v=""/>
    <s v=""/>
    <s v=""/>
    <s v="Blumenau"/>
    <s v=""/>
    <s v="Site"/>
    <s v=""/>
    <s v=""/>
    <s v="Dentro Perfil;Solicita demo"/>
    <s v="Pipeline de Vendas"/>
    <s v="Em negociação (75%)"/>
    <s v=""/>
    <d v="2026-05-31T00:00:00"/>
    <n v="16800"/>
    <n v="12600"/>
    <n v="71"/>
    <s v="Paulo Souza"/>
    <d v="2026-03-10T00:00:00"/>
    <d v="1899-12-30T09:20:36"/>
    <s v=""/>
    <s v="Ativo"/>
    <m/>
    <m/>
    <s v=""/>
    <s v=""/>
    <s v=""/>
    <x v="195"/>
    <s v="Rayssa Karapeticov"/>
    <x v="213"/>
    <s v=""/>
    <d v="2026-05-13T00:00:00"/>
    <n v="30"/>
    <s v=""/>
    <s v=""/>
    <s v=""/>
    <s v=""/>
    <n v="1"/>
  </r>
  <r>
    <x v="1"/>
    <n v="1002"/>
    <m/>
    <n v="3356"/>
    <s v="(10/03/2026) Em contato com Maxwel _x000a_(27/03/2026) após analise cliente fica fora do perfil ! estamparia de camisetas, canecas e brindes em geral"/>
    <s v=""/>
    <x v="501"/>
    <m/>
    <s v=""/>
    <s v="Terra Brasil"/>
    <s v="11989296453"/>
    <s v=""/>
    <s v="max.vendas@terrabrasilbrindes.com.br"/>
    <s v=""/>
    <s v=""/>
    <s v=""/>
    <s v=""/>
    <s v=""/>
    <s v="Campanha"/>
    <s v=""/>
    <s v=""/>
    <s v="Fora Perfil;Instagram"/>
    <s v="Pipeline de Vendas"/>
    <s v="Qualificação de Vendas (SQL) (25%)"/>
    <s v=""/>
    <d v="2026-03-31T00:00:00"/>
    <m/>
    <m/>
    <n v="17"/>
    <s v="Paulo Souza"/>
    <d v="2026-03-10T00:00:00"/>
    <d v="1899-12-30T09:44:38"/>
    <s v=""/>
    <s v="Perdido"/>
    <d v="2026-03-27T00:00:00"/>
    <d v="1899-12-30T14:24:00"/>
    <s v="Fora do porte mínimo (sem fit estrutural)"/>
    <s v="(27/03/2026) após analise cliente fica fora do perfil ! estamparia de camisetas, canecas e brindes em geral"/>
    <s v=""/>
    <x v="0"/>
    <s v="Junior Lopes"/>
    <x v="0"/>
    <s v=""/>
    <d v="2026-03-27T00:00:00"/>
    <n v="30"/>
    <s v=""/>
    <s v=""/>
    <s v=""/>
    <s v=""/>
    <n v="1"/>
  </r>
  <r>
    <x v="2"/>
    <n v="1003"/>
    <m/>
    <n v="3355"/>
    <s v=""/>
    <s v=""/>
    <x v="502"/>
    <m/>
    <s v=""/>
    <s v="Farmacia Boa Sorte"/>
    <s v="74999642551"/>
    <s v=""/>
    <s v="farmaboasorte@gmail.com"/>
    <s v=""/>
    <s v=""/>
    <s v=""/>
    <s v=""/>
    <s v=""/>
    <s v="Campanha"/>
    <s v=""/>
    <s v=""/>
    <s v="Fora Perfil;Instagram"/>
    <s v="Pipeline de Vendas"/>
    <s v="Agendamento (0%)"/>
    <s v=""/>
    <d v="2026-03-31T00:00:00"/>
    <m/>
    <m/>
    <n v="0"/>
    <s v="Paulo Souza"/>
    <d v="2026-03-10T00:00:00"/>
    <d v="1899-12-30T09:46:18"/>
    <s v=""/>
    <s v="Perdido"/>
    <d v="2026-03-10T00:00:00"/>
    <d v="1899-12-30T10:23:45"/>
    <s v="Fora do porte mínimo (sem fit estrutural)"/>
    <s v=""/>
    <s v=""/>
    <x v="0"/>
    <s v="Rayssa Karapeticov"/>
    <x v="0"/>
    <s v=""/>
    <m/>
    <n v="30"/>
    <s v=""/>
    <s v=""/>
    <s v=""/>
    <s v=""/>
    <n v="1"/>
  </r>
  <r>
    <x v="0"/>
    <n v="1004"/>
    <m/>
    <n v="3353"/>
    <s v="15/03 Feio FUP da apresentação da proposta._x000a_20/03 Fiz FUP hoje com o Sergio cobrando ele sobre a proposta WMS se seguiremos._x000a_20/03 Sergio me passou que o investimento ficou alto para o momento e que nao vai seguir."/>
    <s v=""/>
    <x v="503"/>
    <n v="5291214000188"/>
    <s v=""/>
    <s v="Sergio cdp"/>
    <s v="(38) 99831-2605"/>
    <s v=""/>
    <s v="sergio.cdp00@gmail.com"/>
    <s v=""/>
    <s v=""/>
    <s v=""/>
    <s v="MONTES CLAROS"/>
    <s v="MG"/>
    <s v="Site"/>
    <s v=""/>
    <s v=""/>
    <s v="Solicita demo"/>
    <s v="Pipeline de Vendas"/>
    <s v="Em negociação (75%)"/>
    <s v=""/>
    <d v="2026-03-31T00:00:00"/>
    <n v="22800"/>
    <n v="14256"/>
    <n v="10"/>
    <s v="Paulo Souza"/>
    <d v="2026-03-10T00:00:00"/>
    <d v="1899-12-30T09:52:59"/>
    <s v=""/>
    <s v="Perdido"/>
    <d v="2026-03-20T00:00:00"/>
    <d v="1899-12-30T17:17:39"/>
    <s v="Preço muito alto - fora do budget de investimento"/>
    <s v=""/>
    <s v=""/>
    <x v="174"/>
    <s v="Paulo Souza"/>
    <x v="214"/>
    <s v=""/>
    <d v="2026-03-20T00:00:00"/>
    <n v="30"/>
    <s v=""/>
    <s v="WMS"/>
    <s v=""/>
    <s v=""/>
    <n v="1"/>
  </r>
  <r>
    <x v="2"/>
    <n v="1005"/>
    <m/>
    <n v="3354"/>
    <s v="Reunião realizada 08.04.2024 presencial no cliente_x000a_04.05 - Estou avançando a negociação com o client,e porém ele não concorda com o rejuste de no minimo 5% do contrato"/>
    <s v=""/>
    <x v="504"/>
    <n v="59578948000171"/>
    <s v=""/>
    <s v="3D"/>
    <s v="11983479931"/>
    <s v=""/>
    <s v="tufano@maquimp.com.br"/>
    <s v=""/>
    <s v=""/>
    <s v=""/>
    <s v="SAO PAULO"/>
    <s v="SP"/>
    <s v="Campanha"/>
    <s v=""/>
    <s v=""/>
    <s v="Dentro Perfil;Instagram"/>
    <s v="Pipeline de Vendas"/>
    <s v="Em negociação (75%)"/>
    <s v=""/>
    <d v="2026-06-30T00:00:00"/>
    <n v="58800"/>
    <n v="55164"/>
    <n v="71"/>
    <s v="Paulo Souza"/>
    <d v="2026-03-10T00:00:00"/>
    <d v="1899-12-30T09:55:28"/>
    <s v=""/>
    <s v="Ativo"/>
    <m/>
    <m/>
    <s v=""/>
    <s v=""/>
    <s v=""/>
    <x v="196"/>
    <s v="Rayssa Karapeticov"/>
    <x v="215"/>
    <s v="08/04/2026"/>
    <d v="2026-05-15T00:00:00"/>
    <n v="30"/>
    <s v=""/>
    <s v="ERP"/>
    <s v=""/>
    <s v=""/>
    <n v="1"/>
  </r>
  <r>
    <x v="1"/>
    <n v="1006"/>
    <m/>
    <n v="3343"/>
    <s v="(10/03/2026) em contato com Bruno _x000a_(10/03/2026) cliente informa que já fechou projeto com a Mercos"/>
    <s v=""/>
    <x v="505"/>
    <n v="36882195000198"/>
    <s v=""/>
    <s v="Bruno"/>
    <s v="(11) 94075-6696"/>
    <s v=""/>
    <s v="bruno.arouca@brotacompany.com.br"/>
    <s v=""/>
    <s v=""/>
    <s v=""/>
    <s v="São Paulo"/>
    <s v=""/>
    <s v="Site"/>
    <s v=""/>
    <s v=""/>
    <s v="Dentro Perfil;Solicita demo"/>
    <s v="Pipeline de Vendas"/>
    <s v="Qualificação de Vendas (SQL) (25%)"/>
    <s v=""/>
    <m/>
    <m/>
    <m/>
    <n v="0"/>
    <s v="Paulo Souza"/>
    <d v="2026-03-10T00:00:00"/>
    <d v="1899-12-30T09:59:38"/>
    <s v=""/>
    <s v="Perdido"/>
    <d v="2026-03-10T00:00:00"/>
    <d v="1899-12-30T16:59:56"/>
    <s v="Fechou com o concorrente - preço"/>
    <s v="(10/03/2026) cliente informa que já fechou projeto com a Mercos"/>
    <s v=""/>
    <x v="0"/>
    <s v="Junior Lopes"/>
    <x v="0"/>
    <s v=""/>
    <m/>
    <n v="30"/>
    <s v=""/>
    <s v="AFV"/>
    <s v=""/>
    <s v=""/>
    <n v="1"/>
  </r>
  <r>
    <x v="2"/>
    <n v="1007"/>
    <m/>
    <n v="3344"/>
    <s v="Falei com o Rodrigo, são umdistribuidor de autopeças de Bauru, vieram por inidicação da Ad&amp;Ad. _x000a_Atualmente as vendas são por MKPlace e mercado livre, e possuem vendas internas telemarketing_x000a_Trabalha com a parte especial, falamos sobre financeiro, fiscal, estoque. e pedidos decompras _x000a_Pediu uma estimativa de valores, porque atualmente é ele e um sócio, e precisa discutir com o Sócio para ver se vai avançar por causa do investimento, só que o sócio não esta essa semana _x000a_Então combinamos de falar na proxima semana (23/03)"/>
    <s v=""/>
    <x v="506"/>
    <m/>
    <s v=""/>
    <s v="rodrigo"/>
    <s v="(14) 99701-3009"/>
    <s v=""/>
    <s v="compras@s4distribuidora.com.br"/>
    <s v=""/>
    <s v=""/>
    <s v=""/>
    <s v="Bauru"/>
    <s v=""/>
    <s v="Site"/>
    <s v=""/>
    <s v=""/>
    <s v="Dentro Perfil;Solicita demo"/>
    <s v="Pipeline de Vendas"/>
    <s v="Apresentar Solução (35%)"/>
    <s v=""/>
    <d v="2026-08-31T00:00:00"/>
    <m/>
    <m/>
    <n v="28"/>
    <s v="Paulo Souza"/>
    <d v="2026-03-10T00:00:00"/>
    <d v="1899-12-30T10:01:14"/>
    <s v=""/>
    <s v="Perdido"/>
    <d v="2026-04-07T00:00:00"/>
    <d v="1899-12-30T10:52:27"/>
    <s v="Preço muito alto - fora do budget de investimento"/>
    <s v=""/>
    <s v=""/>
    <x v="0"/>
    <s v="Rayssa Karapeticov"/>
    <x v="0"/>
    <s v=""/>
    <d v="2026-04-07T00:00:00"/>
    <n v="30"/>
    <s v=""/>
    <s v="ERP, ADICIONAIS, CLOUD"/>
    <s v=""/>
    <s v=""/>
    <n v="1"/>
  </r>
  <r>
    <x v="0"/>
    <n v="1008"/>
    <m/>
    <n v="3346"/>
    <s v=""/>
    <s v=""/>
    <x v="507"/>
    <n v="27672869000139"/>
    <s v=""/>
    <s v="Luccas Nassif"/>
    <s v="(11) 98873-6515"/>
    <s v=""/>
    <s v="luccas.nassif@globalmix.com.br"/>
    <s v=""/>
    <s v=""/>
    <s v=""/>
    <s v="São Paulo"/>
    <s v=""/>
    <s v="Site"/>
    <s v=""/>
    <s v=""/>
    <s v="Solicita demo"/>
    <s v="Pipeline de Vendas"/>
    <s v="Agendamento (0%)"/>
    <s v=""/>
    <d v="2026-03-31T00:00:00"/>
    <m/>
    <m/>
    <n v="0"/>
    <s v="Paulo Souza"/>
    <d v="2026-03-10T00:00:00"/>
    <d v="1899-12-30T10:02:20"/>
    <s v=""/>
    <s v="Perdido"/>
    <d v="2026-03-10T00:00:00"/>
    <d v="1899-12-30T10:27:02"/>
    <s v="Fora do porte mínimo (sem fit estrutural)"/>
    <s v=""/>
    <s v=""/>
    <x v="0"/>
    <s v="Paulo Souza"/>
    <x v="0"/>
    <s v=""/>
    <m/>
    <n v="30"/>
    <s v=""/>
    <s v=""/>
    <s v=""/>
    <s v=""/>
    <n v="1"/>
  </r>
  <r>
    <x v="1"/>
    <n v="1009"/>
    <m/>
    <n v="3361"/>
    <s v="(11/03/2026) Agenda de apresentação para 17/03/2026_x000a_(30/03/2026) Alinhando visita presencial com Thiago"/>
    <s v="Banana Toys Ltda"/>
    <x v="508"/>
    <n v="8878994000155"/>
    <s v=""/>
    <s v="Banana Toys Ltda"/>
    <s v="(15) 3283-5196"/>
    <s v=""/>
    <s v="faturamento@bananatoys.com.br"/>
    <s v=""/>
    <s v=""/>
    <s v=""/>
    <s v="LARANJAL PAULISTA"/>
    <s v="SP"/>
    <s v="Base de empresas Leads2b"/>
    <s v=""/>
    <s v=""/>
    <s v=""/>
    <s v="Pipeline de Vendas"/>
    <s v="Em negociação (75%)"/>
    <s v=""/>
    <d v="2026-03-31T00:00:00"/>
    <n v="11390346"/>
    <n v="384882"/>
    <n v="71"/>
    <s v="Junior Lopes"/>
    <d v="2026-03-10T00:00:00"/>
    <d v="1899-12-30T16:23:30"/>
    <s v=""/>
    <s v="Ativo"/>
    <m/>
    <m/>
    <s v=""/>
    <s v=""/>
    <s v=""/>
    <x v="197"/>
    <s v=""/>
    <x v="214"/>
    <s v="17/03/2026"/>
    <d v="2026-03-30T00:00:00"/>
    <n v="50"/>
    <s v=""/>
    <s v=""/>
    <s v=""/>
    <s v=""/>
    <n v="1"/>
  </r>
  <r>
    <x v="0"/>
    <n v="1011"/>
    <m/>
    <n v="3365"/>
    <s v="20/03 Cobrei o Everton sobre a posição sobre a proposta comercial e se seguiremos e se existe algum impedimento."/>
    <s v=""/>
    <x v="509"/>
    <n v="7865166000110"/>
    <s v=""/>
    <s v="EVERTON MARINI GAVIAO"/>
    <s v="(17) 3342-1605"/>
    <s v=""/>
    <s v="comercialgaviao@bol.com.br"/>
    <s v=""/>
    <s v=""/>
    <s v=""/>
    <s v="BEBEDOURO"/>
    <s v="SP"/>
    <s v="Site"/>
    <s v=""/>
    <s v=""/>
    <s v="Solicita demo"/>
    <s v="Pipeline de Vendas"/>
    <s v="Em Fechamento (100%)"/>
    <s v=""/>
    <d v="2026-03-31T00:00:00"/>
    <n v="870636"/>
    <n v="434528"/>
    <n v="70"/>
    <s v="Paulo Souza"/>
    <d v="2026-03-11T00:00:00"/>
    <d v="1899-12-30T11:51:21"/>
    <s v=""/>
    <s v="Ativo"/>
    <m/>
    <m/>
    <s v=""/>
    <s v=""/>
    <s v=""/>
    <x v="187"/>
    <s v="Paulo Souza"/>
    <x v="216"/>
    <s v=""/>
    <d v="2026-05-18T00:00:00"/>
    <n v="30"/>
    <s v=""/>
    <s v="ERP, AFV"/>
    <s v=""/>
    <s v=""/>
    <n v="1"/>
  </r>
  <r>
    <x v="1"/>
    <n v="1012"/>
    <m/>
    <n v="3345"/>
    <s v="(20/03/2026) contato com  Ramos a fim de seguirmos com negociações _x000a_09:22, 06/05/2026 Junior Lopes: Olá Danilo ! Td bem meu amigo _x000a_Ficamos de fazer uma agenda de apresentação para seu sócio ! _x000a_Vamos agendar para próxima semana ?_x000a_10:07, 06/05/2026 Danilo Euroquad: Bom dia_x000a_10:08, 06/05/2026 Danilo Euroquad: Tudo bem e vc?_x000a_10:08, 06/05/2026 Danilo Euroquad: Estou na china volto no final do mês_x000a_10:08, 06/05/2026 Danilo Euroquad: Quando chegar marcamos_x000a_11:35, 06/05/2026 Junior Lopes: Perfeito Danilo, ótimos negocios por ai"/>
    <s v="Euroquadros Industria Importacao E Exportacao Ltda"/>
    <x v="510"/>
    <n v="72770225000561"/>
    <s v=""/>
    <s v="Euroquadros Industria Importacao E Exportacao Ltda"/>
    <s v="(47) 3515-3000"/>
    <s v=""/>
    <s v="contabil@fratelliinox.com.br"/>
    <s v=""/>
    <s v=""/>
    <s v=""/>
    <s v="BARRA VELHA"/>
    <s v="SC"/>
    <s v="Base de empresas Leads2b"/>
    <s v=""/>
    <s v=""/>
    <s v=""/>
    <s v="Pipeline de Vendas"/>
    <s v="Em negociação (75%)"/>
    <s v=""/>
    <m/>
    <n v="52702"/>
    <n v="17020"/>
    <n v="70"/>
    <s v="Junior Lopes"/>
    <d v="2026-03-11T00:00:00"/>
    <d v="1899-12-30T16:07:58"/>
    <s v=""/>
    <s v="Ativo"/>
    <m/>
    <m/>
    <s v=""/>
    <s v=""/>
    <s v=""/>
    <x v="195"/>
    <s v=""/>
    <x v="217"/>
    <s v="18/03/2026"/>
    <d v="2026-05-06T00:00:00"/>
    <n v="50"/>
    <s v=""/>
    <s v=""/>
    <s v=""/>
    <s v=""/>
    <n v="1"/>
  </r>
  <r>
    <x v="2"/>
    <n v="1013"/>
    <m/>
    <n v="3368"/>
    <s v="30.03 Lidi, boa tarde!_x000a_Vamos agendar quarta às 15h_x000a_Meu gerente de projetos que vai fazer, assim já consigo matar WMS, ERP, PDV, todo processo de estoque futuro e importação_x000a_07.04 2° parte da reunião ficou para sexta 10/04_x000a_13.04 apresentação realizada, proxima etapa apresentação da proposta, aguardar avaliação do Paulo quanto ao serviço de cloud"/>
    <s v="Simao Distribuidora De Embalagens Descartaveis Ltda"/>
    <x v="511"/>
    <n v="10649489000180"/>
    <s v=""/>
    <s v="Simao Distribuidora De Embalagens Descartaveis Ltda"/>
    <s v="(24) 3325-7650"/>
    <s v=""/>
    <s v="legalizacao@mastermaxcontabilidade.com.br"/>
    <s v=""/>
    <s v=""/>
    <s v=""/>
    <s v="RIO DE JANEIRO"/>
    <s v="RJ"/>
    <s v="Base de empresas Leads2b"/>
    <s v=""/>
    <s v=""/>
    <s v=""/>
    <s v="Pipeline de Vendas"/>
    <s v="Apresentar Proposta (50%)"/>
    <s v=""/>
    <d v="2026-09-30T00:00:00"/>
    <m/>
    <m/>
    <n v="69"/>
    <s v="Rayssa Karapeticov"/>
    <d v="2026-03-12T00:00:00"/>
    <d v="1899-12-30T10:07:51"/>
    <s v=""/>
    <s v="Ativo"/>
    <m/>
    <m/>
    <s v=""/>
    <s v=""/>
    <s v=""/>
    <x v="198"/>
    <s v="Rayssa Karapeticov"/>
    <x v="218"/>
    <s v="10/04/2026"/>
    <d v="2026-05-13T00:00:00"/>
    <n v="30"/>
    <s v=""/>
    <s v="ERP, AFV"/>
    <s v=""/>
    <s v=""/>
    <n v="1"/>
  </r>
  <r>
    <x v="0"/>
    <n v="1014"/>
    <m/>
    <n v="3371"/>
    <s v="12/03 Fiz FUP com o Renan e ele avisou que a Vera esta em viagem retornando vamos agendar uma apresentação._x000a_12/03 Fiz FUP com o cliente e marcamos reunião para dia 18/03 as 15h._x000a_20/03 Conversei com o Renan para saber qual a nova data para fazer a apresentação."/>
    <s v=""/>
    <x v="512"/>
    <n v="10633099000112"/>
    <s v=""/>
    <s v="Vera Lucia"/>
    <s v="(47) 3075-0552"/>
    <s v=""/>
    <s v="financeiro@mundialimpexp.com.br"/>
    <s v=""/>
    <s v=""/>
    <s v=""/>
    <s v="ITAJAI"/>
    <s v="SC"/>
    <s v=""/>
    <s v=""/>
    <s v=""/>
    <s v="Pausado"/>
    <s v="Pipeline de Vendas"/>
    <s v="Apresentar Solução (35%)"/>
    <s v=""/>
    <d v="2026-03-30T00:00:00"/>
    <m/>
    <m/>
    <n v="60"/>
    <s v="Paulo Souza"/>
    <d v="2026-03-12T00:00:00"/>
    <d v="1899-12-30T12:10:28"/>
    <s v=""/>
    <s v="Perdido"/>
    <d v="2026-05-11T00:00:00"/>
    <d v="1899-12-30T11:56:15"/>
    <s v="Projeto adiado / sem prazo definido"/>
    <s v=""/>
    <s v=""/>
    <x v="0"/>
    <s v="Paulo Souza"/>
    <x v="0"/>
    <s v=""/>
    <d v="2026-04-10T00:00:00"/>
    <n v="30"/>
    <s v=""/>
    <s v="ERP, AFV"/>
    <s v=""/>
    <s v=""/>
    <n v="1"/>
  </r>
  <r>
    <x v="1"/>
    <n v="1015"/>
    <m/>
    <n v="3375"/>
    <s v="(16/03/2026) Agenda de apresentação para dia 17/03/2026"/>
    <s v=""/>
    <x v="513"/>
    <n v="35417169000126"/>
    <s v=""/>
    <s v="Brisa Artes"/>
    <s v="11992558277"/>
    <s v=""/>
    <s v="marcos@mairinckcontabil.com.br"/>
    <s v=""/>
    <s v=""/>
    <s v=""/>
    <s v="RIBEIRAO PIRES"/>
    <s v="SP"/>
    <s v=""/>
    <s v=""/>
    <s v=""/>
    <s v=""/>
    <s v="Pipeline de Vendas"/>
    <s v="Apresentar Solução (35%)"/>
    <s v=""/>
    <m/>
    <m/>
    <m/>
    <n v="69"/>
    <s v="Junior Lopes"/>
    <d v="2026-03-12T00:00:00"/>
    <d v="1899-12-30T15:11:14"/>
    <s v=""/>
    <s v="Ativo"/>
    <m/>
    <m/>
    <s v=""/>
    <s v=""/>
    <s v=""/>
    <x v="0"/>
    <s v=""/>
    <x v="0"/>
    <s v=""/>
    <d v="2026-03-16T00:00:00"/>
    <n v="30"/>
    <s v=""/>
    <s v=""/>
    <s v=""/>
    <s v=""/>
    <n v="1"/>
  </r>
  <r>
    <x v="1"/>
    <n v="1016"/>
    <m/>
    <n v="3373"/>
    <s v="09:04, 13/03/2026 Junior Lopes: Olá Victor, bom dia_x000a_09:04, 13/03/2026 Junior Lopes: sou Junior Lopes da Guarani sistemas, td bem ?_x000a_09:05, 13/03/2026 Junior Lopes: estou retornando um contato que vc fez conosco relacionado ao nosso software de gestão Guarani sistemas_x000a_(13/03/2026) Aós tentativa de ligação e contato ! nenhuma respondida _x000a_estou descartando a oportunidade pois o nome da empresa mencionado não existe e demais informações preenchidas sem dados concretos ! por informar que tem um faturamento abaixo de 200K mensal fica fora do nosso perfil"/>
    <s v=""/>
    <x v="514"/>
    <m/>
    <s v=""/>
    <s v="Nemoaprds"/>
    <s v="38998244039"/>
    <s v=""/>
    <s v="vitorborgessilva333@gmail.com"/>
    <s v=""/>
    <s v=""/>
    <s v=""/>
    <s v=""/>
    <s v=""/>
    <s v="Campanha"/>
    <s v=""/>
    <s v=""/>
    <s v="Fora Perfil;Instagram"/>
    <s v="Pipeline de Vendas"/>
    <s v="Qualificação de Vendas (SQL) (25%)"/>
    <s v=""/>
    <d v="2026-03-31T00:00:00"/>
    <m/>
    <m/>
    <n v="58"/>
    <s v="Paulo Souza"/>
    <d v="2026-03-12T00:00:00"/>
    <d v="1899-12-30T17:35:46"/>
    <s v=""/>
    <s v="Perdido"/>
    <d v="2026-05-09T00:00:00"/>
    <d v="1899-12-30T07:56:21"/>
    <s v="Sem qualificação — contato não atende ligações nem responde msg"/>
    <s v=""/>
    <s v=""/>
    <x v="0"/>
    <s v="Junior Lopes"/>
    <x v="0"/>
    <s v=""/>
    <d v="2026-03-13T00:00:00"/>
    <n v="30"/>
    <s v=""/>
    <s v=""/>
    <s v=""/>
    <s v=""/>
    <n v="1"/>
  </r>
  <r>
    <x v="2"/>
    <n v="1017"/>
    <m/>
    <n v="3374"/>
    <s v="17/03 - Nova Maringa - Amazonia Sistemas_x000a_Empresa de vendas e locação de maquinas agricolas, procura um softaware onde possa acompanhar a svedas, criar promnoções/campanhas, realizar OS para manutenções das maquinas. _x000a_Possui PDV _x000a_Apresentação agendada para terça 24/03 as 15h_x000a_25/03 achou o valor de investimento alto"/>
    <s v=""/>
    <x v="515"/>
    <n v="33947903000133"/>
    <s v=""/>
    <s v="Giovani luiz Agrorural Ltda"/>
    <s v="(66) 8101-6884"/>
    <s v=""/>
    <s v="soberanaagrorural@hotmail.com"/>
    <s v=""/>
    <s v=""/>
    <s v=""/>
    <s v="NOVA MARINGA"/>
    <s v="MT"/>
    <s v="Campanha"/>
    <s v=""/>
    <s v=""/>
    <s v="Fora Perfil;Instagram"/>
    <s v="Pipeline de Vendas"/>
    <s v="Apresentar Solução (35%)"/>
    <s v=""/>
    <d v="2026-07-31T00:00:00"/>
    <m/>
    <m/>
    <n v="13"/>
    <s v="Paulo Souza"/>
    <d v="2026-03-12T00:00:00"/>
    <d v="1899-12-30T17:37:00"/>
    <s v=""/>
    <s v="Perdido"/>
    <d v="2026-03-25T00:00:00"/>
    <d v="1899-12-30T10:06:43"/>
    <s v="Preço muito alto - fora do budget de investimento"/>
    <s v=""/>
    <s v=""/>
    <x v="0"/>
    <s v="Rayssa Karapeticov"/>
    <x v="219"/>
    <s v=""/>
    <d v="2026-03-25T00:00:00"/>
    <n v="31"/>
    <s v=""/>
    <s v=""/>
    <s v=""/>
    <s v=""/>
    <n v="1"/>
  </r>
  <r>
    <x v="1"/>
    <n v="1018"/>
    <m/>
    <n v="3379"/>
    <s v="(13/03/2026) em contato com Juraci a fim de retomar assunto sobre força de vendas _x000a_(12/03/2026) em contato com Juraci, informou que vamos voltar a falar no final do ano ! devido a sua alta demanda de vendas nesse período inviabilizou o projeto nesse momento"/>
    <s v=""/>
    <x v="185"/>
    <n v="28646036000166"/>
    <s v=""/>
    <s v="Gola Comercial"/>
    <s v="11938010304"/>
    <s v=""/>
    <s v="juraci@goalcomercial.com.br"/>
    <s v=""/>
    <s v=""/>
    <s v=""/>
    <s v="SAO CAETANO DO SUL"/>
    <s v="SP"/>
    <s v=""/>
    <s v=""/>
    <s v=""/>
    <s v=""/>
    <s v="Pipeline de Vendas"/>
    <s v="Apresentar Solução (35%)"/>
    <s v=""/>
    <m/>
    <n v="1696"/>
    <n v="6400"/>
    <n v="17"/>
    <s v="Junior Lopes"/>
    <d v="2026-03-13T00:00:00"/>
    <d v="1899-12-30T09:34:40"/>
    <s v=""/>
    <s v="Perdido"/>
    <d v="2026-03-30T00:00:00"/>
    <d v="1899-12-30T17:12:25"/>
    <s v="Projeto adiado / sem prazo definido"/>
    <s v="cliente não tem mais tempo para mudança esse ano , ficará para final do ano 2026"/>
    <s v=""/>
    <x v="84"/>
    <s v=""/>
    <x v="213"/>
    <s v=""/>
    <d v="2026-03-12T00:00:00"/>
    <n v="30"/>
    <s v=""/>
    <s v=""/>
    <s v=""/>
    <s v=""/>
    <n v="1"/>
  </r>
  <r>
    <x v="2"/>
    <n v="1019"/>
    <m/>
    <n v="3381"/>
    <s v="18.03 apresentação agendada para segunda 24/03_x000a_30.03 - como é uma empresa pequena de 1 ano, não consegue dar andamento agora _x000a_mas vão estudar para o futuro"/>
    <s v="Verti Flores E Plantas Permanentes Ltda"/>
    <x v="516"/>
    <n v="55841149000195"/>
    <s v=""/>
    <s v="Verti Flores E Plantas Permanentes Ltda"/>
    <s v="(47) 9214-8117"/>
    <s v=""/>
    <s v="societario@rmxcontabilidade.com.br"/>
    <s v=""/>
    <s v=""/>
    <s v=""/>
    <s v="ITAPEMA"/>
    <s v="SC"/>
    <s v="Base de empresas Leads2b"/>
    <s v=""/>
    <s v=""/>
    <s v=""/>
    <s v="Pipeline de Vendas"/>
    <s v="Apresentar Solução (35%)"/>
    <s v=""/>
    <d v="2026-07-31T00:00:00"/>
    <n v="58800"/>
    <n v="2525"/>
    <n v="17"/>
    <s v="Rayssa Karapeticov"/>
    <d v="2026-03-13T00:00:00"/>
    <d v="1899-12-30T14:52:20"/>
    <s v=""/>
    <s v="Perdido"/>
    <d v="2026-03-30T00:00:00"/>
    <d v="1899-12-30T16:07:14"/>
    <s v="Preço muito alto - fora do budget de investimento"/>
    <s v=""/>
    <s v=""/>
    <x v="199"/>
    <s v="Rayssa Karapeticov"/>
    <x v="220"/>
    <s v=""/>
    <d v="2026-03-30T00:00:00"/>
    <n v="30"/>
    <s v=""/>
    <s v="ERP"/>
    <s v=""/>
    <s v=""/>
    <n v="1"/>
  </r>
  <r>
    <x v="1"/>
    <n v="1020"/>
    <m/>
    <n v="3378"/>
    <s v="(17/03/2026) em contato com Junior ! A Otmiza busca um software para gerenciamento de obras com controle de contratos e ordens de serviço"/>
    <s v=""/>
    <x v="517"/>
    <m/>
    <s v=""/>
    <s v="Otimiza"/>
    <s v="6399999235"/>
    <s v=""/>
    <s v="pelissari.otimiza@gmail.com"/>
    <s v=""/>
    <s v=""/>
    <s v=""/>
    <s v=""/>
    <s v=""/>
    <s v="Campanha"/>
    <s v=""/>
    <s v=""/>
    <s v="Fora Perfil;Instagram"/>
    <s v="Pipeline de Vendas"/>
    <s v="Qualificação de Vendas (SQL) (25%)"/>
    <s v=""/>
    <d v="2026-03-31T00:00:00"/>
    <m/>
    <m/>
    <n v="1"/>
    <s v="Paulo Souza"/>
    <d v="2026-03-16T00:00:00"/>
    <d v="1899-12-30T13:47:29"/>
    <s v=""/>
    <s v="Perdido"/>
    <d v="2026-03-17T00:00:00"/>
    <d v="1899-12-30T09:38:46"/>
    <s v="Fora do porte mínimo (sem fit estrutural)"/>
    <s v="(17/03/2026) em contato com Junior ! A Otmiza busca um software para gerenciamento de obras com controle de contratos e ordens de serviço"/>
    <s v=""/>
    <x v="0"/>
    <s v="Junior Lopes"/>
    <x v="0"/>
    <s v=""/>
    <d v="2026-03-17T00:00:00"/>
    <n v="30"/>
    <s v=""/>
    <s v=""/>
    <s v=""/>
    <s v=""/>
    <n v="1"/>
  </r>
  <r>
    <x v="2"/>
    <n v="1021"/>
    <m/>
    <n v="3384"/>
    <s v="19.03 Pediu uma estimativa de valor, e achou o investimento muito alto para o faturamento anual da empresa"/>
    <s v=""/>
    <x v="518"/>
    <m/>
    <s v=""/>
    <s v="Javeh"/>
    <s v="11947270946"/>
    <s v=""/>
    <s v="atadeu7@gmail.com"/>
    <s v=""/>
    <s v=""/>
    <s v=""/>
    <s v=""/>
    <s v=""/>
    <s v="Campanha"/>
    <s v=""/>
    <s v=""/>
    <s v="Fora Perfil;Instagram"/>
    <s v="Pipeline de Vendas"/>
    <s v="Qualificação de Vendas (SQL) (25%)"/>
    <s v=""/>
    <d v="2026-03-31T00:00:00"/>
    <m/>
    <m/>
    <n v="3"/>
    <s v="Paulo Souza"/>
    <d v="2026-03-16T00:00:00"/>
    <d v="1899-12-30T13:48:48"/>
    <s v=""/>
    <s v="Perdido"/>
    <d v="2026-03-19T00:00:00"/>
    <d v="1899-12-30T11:31:26"/>
    <s v="Preço muito alto - fora do budget de investimento"/>
    <s v=""/>
    <s v=""/>
    <x v="0"/>
    <s v="Rayssa Karapeticov"/>
    <x v="0"/>
    <s v=""/>
    <d v="2026-03-17T00:00:00"/>
    <n v="30"/>
    <s v=""/>
    <s v=""/>
    <s v=""/>
    <s v=""/>
    <n v="1"/>
  </r>
  <r>
    <x v="1"/>
    <n v="1022"/>
    <m/>
    <n v="3385"/>
    <s v="(17/03/2026) em contato com Diego ! a Biricutico é um deposito de bebidas com venda balcão para pessoa física"/>
    <s v=""/>
    <x v="519"/>
    <m/>
    <s v=""/>
    <s v="Biricutico"/>
    <s v="21964945088"/>
    <s v=""/>
    <s v="diegosart@gmail.com"/>
    <s v=""/>
    <s v=""/>
    <s v=""/>
    <s v=""/>
    <s v=""/>
    <s v="Campanha"/>
    <s v=""/>
    <s v=""/>
    <s v="Fora Perfil;Instagram"/>
    <s v="Pipeline de Vendas"/>
    <s v="Qualificação de Vendas (SQL) (25%)"/>
    <s v=""/>
    <d v="2026-03-31T00:00:00"/>
    <m/>
    <m/>
    <n v="1"/>
    <s v="Paulo Souza"/>
    <d v="2026-03-16T00:00:00"/>
    <d v="1899-12-30T13:49:55"/>
    <s v=""/>
    <s v="Perdido"/>
    <d v="2026-03-17T00:00:00"/>
    <d v="1899-12-30T09:41:15"/>
    <s v="Fora do porte mínimo (sem fit estrutural)"/>
    <s v="(17/03/2026) em contato com Diego ! a Biricutico é um deposito de bebidas com venda balcão para pessoa física"/>
    <s v=""/>
    <x v="0"/>
    <s v="Junior Lopes"/>
    <x v="0"/>
    <s v=""/>
    <d v="2026-03-17T00:00:00"/>
    <n v="30"/>
    <s v=""/>
    <s v=""/>
    <s v=""/>
    <s v=""/>
    <n v="1"/>
  </r>
  <r>
    <x v="2"/>
    <n v="1023"/>
    <m/>
    <n v="3386"/>
    <s v="Falei com o Marcelo são uma distribuidora de descartaveis e estão buscando um software. _x000a_30.03 - esta viajando, pediu retorno na proxima semana_x000a_Passei informações sobre a Guarani, e enviei nossa apresentação, hoje vão ter uma reunião interna para saber quais sistemas que vão 18/03 agendar uma apresentação _x000a_30.03 - Falou que esta em viagem, pediu para retornar_x000a_07.03 - não estou tendo nenhum retorno"/>
    <s v=""/>
    <x v="520"/>
    <n v="57769346000176"/>
    <s v=""/>
    <s v="Plus atacadista"/>
    <s v="(62) 8318-2116/ (0000) 0000-0000"/>
    <s v=""/>
    <s v="diretor@staratacadista.com.br"/>
    <s v=""/>
    <s v=""/>
    <s v=""/>
    <s v="GOIANIA"/>
    <s v="GO"/>
    <s v="Campanha"/>
    <s v=""/>
    <s v=""/>
    <s v="Dentro Perfil;Instagram"/>
    <s v="Pipeline de Vendas"/>
    <s v="Apresentar Solução (35%)"/>
    <s v=""/>
    <d v="2026-07-31T00:00:00"/>
    <m/>
    <m/>
    <n v="22"/>
    <s v="Paulo Souza"/>
    <d v="2026-03-16T00:00:00"/>
    <d v="1899-12-30T13:51:06"/>
    <s v=""/>
    <s v="Perdido"/>
    <d v="2026-04-07T00:00:00"/>
    <d v="1899-12-30T10:45:40"/>
    <s v="Fora do porte mínimo (sem fit estrutural)"/>
    <s v=""/>
    <s v=""/>
    <x v="187"/>
    <s v="Rayssa Karapeticov"/>
    <x v="215"/>
    <s v=""/>
    <d v="2026-04-07T00:00:00"/>
    <n v="30"/>
    <s v=""/>
    <s v=""/>
    <s v=""/>
    <s v=""/>
    <n v="1"/>
  </r>
  <r>
    <x v="0"/>
    <n v="1024"/>
    <m/>
    <n v="3388"/>
    <s v="18/03 Liguei para o Tiago não atendeu. Deixei recado no whatsapp !_x000a_18/03 Tiago retorno por audio e falou que essa semana está ocupado e não consegue falar. Vai me retornar ate o fim da semana._x000a_20/03 Após conversa com o Tiago ele avisou que essa semana esta inviável para falar que conversamos semana que vem."/>
    <s v=""/>
    <x v="521"/>
    <m/>
    <s v=""/>
    <s v="Tiago"/>
    <s v="62991537827"/>
    <s v=""/>
    <s v="mastervedacoesind@gmail.com"/>
    <s v=""/>
    <s v=""/>
    <s v=""/>
    <s v=""/>
    <s v=""/>
    <s v="Campanha"/>
    <s v=""/>
    <s v=""/>
    <s v="Dentro Perfil;Instagram"/>
    <s v="Pipeline de Vendas"/>
    <s v="Qualificação de Vendas (SQL) (25%)"/>
    <s v=""/>
    <d v="2026-03-31T00:00:00"/>
    <m/>
    <m/>
    <n v="54"/>
    <s v="Paulo Souza"/>
    <d v="2026-03-16T00:00:00"/>
    <d v="1899-12-30T13:52:07"/>
    <s v=""/>
    <s v="Perdido"/>
    <d v="2026-05-09T00:00:00"/>
    <d v="1899-12-30T07:58:33"/>
    <s v="Sem qualificação — contato não atende ligações nem responde msg"/>
    <s v=""/>
    <s v=""/>
    <x v="0"/>
    <s v="Paulo Souza"/>
    <x v="0"/>
    <s v=""/>
    <d v="2026-03-20T00:00:00"/>
    <n v="30"/>
    <s v=""/>
    <s v=""/>
    <s v=""/>
    <s v=""/>
    <n v="1"/>
  </r>
  <r>
    <x v="0"/>
    <n v="1025"/>
    <m/>
    <n v="3389"/>
    <s v="18/03 Liguei para o Dimitrius e ele estava viajando hoje, vai me retornar ainda esta semana._x000a_18/03 Dimitrius retornou o áudio, avisou que vai me retornar assim que terminar a viagem que faz hoje._x000a_20/03 Fiz uma conversa com Demétrius para entender o cenário dele e alinhamos que ele vai preencher o formulário e depois disso fazer uma apresentação."/>
    <s v=""/>
    <x v="522"/>
    <m/>
    <s v=""/>
    <s v="Dimitrius"/>
    <s v="73988565500"/>
    <s v=""/>
    <s v="dimigrintzos@gmail.com"/>
    <s v=""/>
    <s v=""/>
    <s v=""/>
    <s v=""/>
    <s v=""/>
    <s v="Campanha"/>
    <s v=""/>
    <s v=""/>
    <s v="Dentro Perfil;Instagram"/>
    <s v="Pipeline de Vendas"/>
    <s v="Apresentar Solução (35%)"/>
    <s v=""/>
    <d v="2026-03-31T00:00:00"/>
    <m/>
    <m/>
    <n v="25"/>
    <s v="Paulo Souza"/>
    <d v="2026-03-16T00:00:00"/>
    <d v="1899-12-30T13:53:00"/>
    <s v=""/>
    <s v="Perdido"/>
    <d v="2026-04-10T00:00:00"/>
    <d v="1899-12-30T14:40:40"/>
    <s v="Projeto adiado / sem prazo definido"/>
    <s v=""/>
    <s v=""/>
    <x v="0"/>
    <s v="Paulo Souza"/>
    <x v="0"/>
    <s v=""/>
    <d v="2026-03-20T00:00:00"/>
    <n v="30"/>
    <s v=""/>
    <s v="ERP, AFV"/>
    <s v=""/>
    <s v=""/>
    <n v="1"/>
  </r>
  <r>
    <x v="1"/>
    <n v="1026"/>
    <m/>
    <n v="3390"/>
    <s v="14:10, 16/03/2026 Junior Lopes: Olá Rogerio, boa tarde ! _x000a_(27/03/2026) após varias tentativas sem retorno do Rogério , declinando oportunidade_x000a_Sou Junior Lopes da Guarani sistemas_x000a_14:11, 16/03/2026 Junior Lopes: estou retornando um contato que vc fez conosco_x000a_12:18, 19/03/2026 Junior Lopes: OLá Rogério ! tudo Bem ?_x000a_12:19, 19/03/2026 Junior Lopes: tem interesse em dar continuidade ?_x000a_(06/04/2026) varias tentativas de contato sem retorno"/>
    <s v=""/>
    <x v="523"/>
    <n v="35511300000110"/>
    <s v=""/>
    <s v="Vivazhigienização"/>
    <s v="82993812526"/>
    <s v=""/>
    <s v="progeriogomesxavier@gmail.comp"/>
    <s v=""/>
    <s v=""/>
    <s v=""/>
    <s v=""/>
    <s v=""/>
    <s v="Campanha"/>
    <s v=""/>
    <s v=""/>
    <s v="Dentro Perfil;Instagram"/>
    <s v="Pipeline de Vendas"/>
    <s v="Qualificação de Vendas (SQL) (25%)"/>
    <s v=""/>
    <d v="2026-03-31T00:00:00"/>
    <m/>
    <m/>
    <n v="54"/>
    <s v="Paulo Souza"/>
    <d v="2026-03-16T00:00:00"/>
    <d v="1899-12-30T13:53:57"/>
    <s v=""/>
    <s v="Perdido"/>
    <d v="2026-05-09T00:00:00"/>
    <d v="1899-12-30T07:59:08"/>
    <s v="Sem qualificação — contato não atende ligações nem responde msg"/>
    <s v=""/>
    <s v=""/>
    <x v="0"/>
    <s v="Junior Lopes"/>
    <x v="0"/>
    <s v=""/>
    <d v="2026-04-06T00:00:00"/>
    <n v="30"/>
    <s v=""/>
    <s v=""/>
    <s v=""/>
    <s v=""/>
    <n v="1"/>
  </r>
  <r>
    <x v="2"/>
    <n v="1027"/>
    <m/>
    <n v="3391"/>
    <s v=""/>
    <s v=""/>
    <x v="524"/>
    <m/>
    <s v=""/>
    <s v="Master"/>
    <s v="31994220888"/>
    <s v=""/>
    <s v="anibalsmoura@gmail.com"/>
    <s v=""/>
    <s v=""/>
    <s v=""/>
    <s v=""/>
    <s v=""/>
    <s v="Campanha"/>
    <s v=""/>
    <s v=""/>
    <s v="Dentro Perfil;Instagram"/>
    <s v="Pipeline de Vendas"/>
    <s v="Agendamento (0%)"/>
    <s v=""/>
    <d v="2026-07-31T00:00:00"/>
    <m/>
    <m/>
    <n v="54"/>
    <s v="Paulo Souza"/>
    <d v="2026-03-16T00:00:00"/>
    <d v="1899-12-30T13:54:58"/>
    <s v=""/>
    <s v="Perdido"/>
    <d v="2026-05-09T00:00:00"/>
    <d v="1899-12-30T21:12:46"/>
    <s v="Sem qualificação — contato não atende ligações nem responde msg"/>
    <s v=""/>
    <s v=""/>
    <x v="0"/>
    <s v="Rayssa Karapeticov"/>
    <x v="0"/>
    <s v=""/>
    <d v="2026-03-17T00:00:00"/>
    <n v="30"/>
    <s v=""/>
    <s v=""/>
    <s v=""/>
    <s v=""/>
    <n v="1"/>
  </r>
  <r>
    <x v="2"/>
    <n v="1029"/>
    <m/>
    <n v="3395"/>
    <s v="30.03 Tinhamos agendado uma apresentação na sexta-feira (27/03) porém o Vagner consultor da Guarani Cancelou e não avisaram o setor comercial. _x000a_Ao passar a informação de ultima hora de cancelamento para o cliente, não consegui reverte o atendimento _x000a_Cliente encerrou o contato com a Guarani Sistemas"/>
    <s v=""/>
    <x v="525"/>
    <n v="6864286000130"/>
    <s v=""/>
    <s v="Bruno"/>
    <s v="(48) 99677-1211"/>
    <s v=""/>
    <s v="bruno@alquimya.com.br"/>
    <s v=""/>
    <s v=""/>
    <s v=""/>
    <s v="Florianópolis"/>
    <s v=""/>
    <s v="Site"/>
    <s v=""/>
    <s v=""/>
    <s v=""/>
    <s v="Pipeline de Vendas"/>
    <s v="Apresentar Solução (35%)"/>
    <s v=""/>
    <d v="2026-05-31T00:00:00"/>
    <m/>
    <m/>
    <n v="13"/>
    <s v="Paulo Souza"/>
    <d v="2026-03-17T00:00:00"/>
    <d v="1899-12-30T15:45:42"/>
    <s v=""/>
    <s v="Perdido"/>
    <d v="2026-03-30T00:00:00"/>
    <d v="1899-12-30T15:55:01"/>
    <s v="Fechou com o concorrente - preço"/>
    <s v=""/>
    <s v=""/>
    <x v="0"/>
    <s v="Rayssa Karapeticov"/>
    <x v="0"/>
    <s v=""/>
    <d v="2026-03-30T00:00:00"/>
    <n v="30"/>
    <s v=""/>
    <s v="ERP, AFV, PCP"/>
    <s v=""/>
    <s v=""/>
    <n v="1"/>
  </r>
  <r>
    <x v="1"/>
    <n v="1030"/>
    <m/>
    <n v="3396"/>
    <s v="(23/06/2026) em contato com Leandro , atualmente o perfil é uma padaria e uma fabrica de pequeno porte de pão de alho ! enviei uma estimativa de valores mas achou que para o momento esta muito acima"/>
    <s v=""/>
    <x v="526"/>
    <m/>
    <s v=""/>
    <s v="Pão de alho"/>
    <s v="62985336869"/>
    <s v=""/>
    <s v="therabyte_go@hotmail.com"/>
    <s v=""/>
    <s v=""/>
    <s v=""/>
    <s v=""/>
    <s v=""/>
    <s v="Campanha"/>
    <s v=""/>
    <s v=""/>
    <s v="Fora Perfil;Instagram"/>
    <s v="Pipeline de Vendas"/>
    <s v="Qualificação de Vendas (SQL) (25%)"/>
    <s v=""/>
    <d v="2026-03-31T00:00:00"/>
    <m/>
    <m/>
    <n v="22"/>
    <s v="Paulo Souza"/>
    <d v="2026-03-17T00:00:00"/>
    <d v="1899-12-30T15:47:06"/>
    <s v=""/>
    <s v="Perdido"/>
    <d v="2026-04-08T00:00:00"/>
    <d v="1899-12-30T17:21:21"/>
    <s v="Fora do porte mínimo (sem fit estrutural)"/>
    <s v="(23/06/2026) em contato com Leandro , atualmente o perfil é uma padaria e uma fabrica de pequeno porte de pão de alho ! enviei uma estimativa de valores mas achou que para o momento esta muito acima"/>
    <s v=""/>
    <x v="0"/>
    <s v="Junior Lopes"/>
    <x v="0"/>
    <s v=""/>
    <d v="2026-03-23T00:00:00"/>
    <n v="30"/>
    <s v=""/>
    <s v=""/>
    <s v=""/>
    <s v=""/>
    <n v="1"/>
  </r>
  <r>
    <x v="0"/>
    <n v="1031"/>
    <m/>
    <n v="3397"/>
    <s v="18/03 Liguei para o Celso e ele não atendeu deixei recado no zap."/>
    <s v=""/>
    <x v="527"/>
    <n v="27742655000191"/>
    <s v=""/>
    <s v="Celso"/>
    <s v="21970038782"/>
    <s v=""/>
    <s v="gerencia@inovapet.com.br"/>
    <s v=""/>
    <s v=""/>
    <s v=""/>
    <s v=""/>
    <s v=""/>
    <s v="Campanha"/>
    <s v=""/>
    <s v=""/>
    <s v="Dentro Perfil;Instagram"/>
    <s v="Pipeline de Vendas"/>
    <s v="Qualificação de Vendas (SQL) (25%)"/>
    <s v=""/>
    <d v="2026-03-31T00:00:00"/>
    <m/>
    <m/>
    <n v="3"/>
    <s v="Paulo Souza"/>
    <d v="2026-03-17T00:00:00"/>
    <d v="1899-12-30T15:49:33"/>
    <s v=""/>
    <s v="Perdido"/>
    <d v="2026-03-20T00:00:00"/>
    <d v="1899-12-30T15:43:59"/>
    <s v="Fora do porte mínimo (sem fit estrutural)"/>
    <s v=""/>
    <s v=""/>
    <x v="0"/>
    <s v="Paulo Souza"/>
    <x v="0"/>
    <s v=""/>
    <m/>
    <n v="30"/>
    <s v=""/>
    <s v=""/>
    <s v=""/>
    <s v=""/>
    <n v="1"/>
  </r>
  <r>
    <x v="2"/>
    <n v="1032"/>
    <m/>
    <n v="3402"/>
    <s v="Cliente entrou em contato pelo suporte pedindo contato comercial apra falar sobre software, tentie ligar e mandie msg mas ainda não me retornou _x000a_31.03 - não atendeu,"/>
    <s v=""/>
    <x v="528"/>
    <n v="27742655000191"/>
    <s v=""/>
    <s v="Celso"/>
    <s v="(21) 3451-9599"/>
    <s v=""/>
    <s v="inovapet.adm@gmail.com"/>
    <s v=""/>
    <s v=""/>
    <s v=""/>
    <s v="DUQUE DE CAXIAS"/>
    <s v="RJ"/>
    <s v=""/>
    <s v=""/>
    <s v=""/>
    <s v=""/>
    <s v="Pipeline de Vendas"/>
    <s v="Agendamento (0%)"/>
    <s v=""/>
    <d v="2026-07-31T00:00:00"/>
    <m/>
    <m/>
    <n v="35"/>
    <s v="Rayssa Karapeticov"/>
    <d v="2026-03-18T00:00:00"/>
    <d v="1899-12-30T11:38:25"/>
    <s v=""/>
    <s v="Perdido"/>
    <d v="2026-04-22T00:00:00"/>
    <d v="1899-12-30T17:16:19"/>
    <s v="Não era o decisor - sem acesso"/>
    <s v=""/>
    <s v=""/>
    <x v="0"/>
    <s v="Rayssa Karapeticov"/>
    <x v="0"/>
    <s v=""/>
    <d v="2026-04-22T00:00:00"/>
    <n v="30"/>
    <s v=""/>
    <s v=""/>
    <s v=""/>
    <s v=""/>
    <n v="1"/>
  </r>
  <r>
    <x v="2"/>
    <n v="1033"/>
    <m/>
    <n v="3401"/>
    <s v="19.03 - CLiente estava em reunião, retornar o contato_x000a_20.03 cliente respondeu o formulário tentando agendar uma apresentação do ERp para o dia 31/03_x000a_30/03 - Fiz vários contato com o cliente para agendar uma apresentação e não tive retorno"/>
    <s v=""/>
    <x v="529"/>
    <n v="27251864000132"/>
    <s v=""/>
    <s v="Vinicius Primo"/>
    <s v="(19) 99959-1568"/>
    <s v=""/>
    <s v="engenharia@a2industrial.com.br"/>
    <s v=""/>
    <s v=""/>
    <s v=""/>
    <s v="Rio de Janeiro"/>
    <s v=""/>
    <s v="Site"/>
    <s v=""/>
    <s v=""/>
    <s v="Solicita demo"/>
    <s v="Pipeline de Vendas"/>
    <s v="Apresentar Solução (35%)"/>
    <s v=""/>
    <d v="2026-06-30T00:00:00"/>
    <m/>
    <m/>
    <n v="12"/>
    <s v="Paulo Souza"/>
    <d v="2026-03-18T00:00:00"/>
    <d v="1899-12-30T15:25:11"/>
    <s v=""/>
    <s v="Perdido"/>
    <d v="2026-03-30T00:00:00"/>
    <d v="1899-12-30T15:53:15"/>
    <s v="Projeto adiado / sem prazo definido"/>
    <s v=""/>
    <s v=""/>
    <x v="0"/>
    <s v="Rayssa Karapeticov"/>
    <x v="0"/>
    <s v=""/>
    <d v="2026-03-30T00:00:00"/>
    <n v="30"/>
    <s v=""/>
    <s v="ERP"/>
    <s v=""/>
    <s v=""/>
    <n v="1"/>
  </r>
  <r>
    <x v="1"/>
    <n v="1034"/>
    <m/>
    <n v="3400"/>
    <s v="(27/03/2026) Flavio não responde aos contatos"/>
    <s v=""/>
    <x v="530"/>
    <m/>
    <s v=""/>
    <s v="FM Negocios"/>
    <s v="11987194488"/>
    <s v=""/>
    <s v="fmsallas@gmail.com"/>
    <s v=""/>
    <s v=""/>
    <s v=""/>
    <s v=""/>
    <s v=""/>
    <s v="Campanha"/>
    <s v=""/>
    <s v=""/>
    <s v="Fora Perfil;Instagram"/>
    <s v="Pipeline de Vendas"/>
    <s v="Qualificação de Vendas (SQL) (25%)"/>
    <s v=""/>
    <d v="2026-03-31T00:00:00"/>
    <m/>
    <m/>
    <n v="21"/>
    <s v="Paulo Souza"/>
    <d v="2026-03-18T00:00:00"/>
    <d v="1899-12-30T15:26:48"/>
    <s v=""/>
    <s v="Perdido"/>
    <d v="2026-04-08T00:00:00"/>
    <d v="1899-12-30T17:22:35"/>
    <s v="Fora do porte mínimo (sem fit estrutural)"/>
    <s v="Flavio não responde aos contatos"/>
    <s v=""/>
    <x v="0"/>
    <s v="Junior Lopes"/>
    <x v="0"/>
    <s v=""/>
    <d v="2026-03-27T00:00:00"/>
    <n v="30"/>
    <s v=""/>
    <s v=""/>
    <s v=""/>
    <s v=""/>
    <n v="1"/>
  </r>
  <r>
    <x v="0"/>
    <n v="1035"/>
    <m/>
    <n v="3399"/>
    <s v="18/03 Fiz contato com o Itamar, sem retorno ate o momento._x000a_20/03 Falei com o Itamar esta na unimed ficamos de falar na próxima semana."/>
    <s v=""/>
    <x v="531"/>
    <m/>
    <s v=""/>
    <s v="Concreps"/>
    <s v="62984060714"/>
    <s v=""/>
    <s v="itamarbuenoadv@gmail.com"/>
    <s v=""/>
    <s v=""/>
    <s v=""/>
    <s v=""/>
    <s v=""/>
    <s v="Campanha"/>
    <s v=""/>
    <s v=""/>
    <s v="Dentro Perfil;Instagram"/>
    <s v="Pipeline de Vendas"/>
    <s v="Qualificação de Vendas (SQL) (25%)"/>
    <s v=""/>
    <d v="2026-03-31T00:00:00"/>
    <m/>
    <m/>
    <n v="52"/>
    <s v="Paulo Souza"/>
    <d v="2026-03-18T00:00:00"/>
    <d v="1899-12-30T15:27:53"/>
    <s v=""/>
    <s v="Perdido"/>
    <d v="2026-05-09T00:00:00"/>
    <d v="1899-12-30T08:02:23"/>
    <s v="Sem qualificação — contato não atende ligações nem responde msg"/>
    <s v=""/>
    <s v=""/>
    <x v="0"/>
    <s v="Paulo Souza"/>
    <x v="0"/>
    <s v=""/>
    <d v="2026-03-20T00:00:00"/>
    <n v="30"/>
    <s v=""/>
    <s v=""/>
    <s v=""/>
    <s v=""/>
    <n v="1"/>
  </r>
  <r>
    <x v="2"/>
    <n v="1037"/>
    <m/>
    <n v="3404"/>
    <s v="19.03 - Tentei contato por telefone, ligação por whatsapp e mensagem. _x000a_20.03 Convite enviado para Quarta (25/03) as 15h_x000a_Segue o link também:_x000a_https://teams.microsoft.com/meet/25533981257135?p=HZgs0XbZOVQrxgr3rL_x000a_24/03Realizamos uma apresentação do ERP, mas como o cliente é logista pediu uma previsão de investimento e achou o valor acima"/>
    <s v=""/>
    <x v="532"/>
    <m/>
    <s v=""/>
    <s v="Auto peças taurus"/>
    <s v="61981840031"/>
    <s v=""/>
    <s v="gustavoandreh@yahoo.com.br"/>
    <s v=""/>
    <s v=""/>
    <s v=""/>
    <s v=""/>
    <s v=""/>
    <s v="Campanha"/>
    <s v=""/>
    <s v=""/>
    <s v="Dentro Perfil;Instagram"/>
    <s v="Pipeline de Vendas"/>
    <s v="Apresentar Solução (35%)"/>
    <s v=""/>
    <d v="2026-03-31T00:00:00"/>
    <m/>
    <m/>
    <n v="51"/>
    <s v="Paulo Souza"/>
    <d v="2026-03-19T00:00:00"/>
    <d v="1899-12-30T10:26:22"/>
    <s v=""/>
    <s v="Perdido"/>
    <d v="2026-05-09T00:00:00"/>
    <d v="1899-12-30T21:07:24"/>
    <s v="Preço muito alto - fora do budget de investimento"/>
    <s v=""/>
    <s v=""/>
    <x v="200"/>
    <s v="Rayssa Karapeticov"/>
    <x v="219"/>
    <s v=""/>
    <d v="2026-03-24T00:00:00"/>
    <n v="30"/>
    <s v=""/>
    <s v=""/>
    <s v=""/>
    <s v=""/>
    <n v="1"/>
  </r>
  <r>
    <x v="1"/>
    <n v="1038"/>
    <m/>
    <n v="3405"/>
    <s v="11:55, 19/03/2026 Junior Lopes: Faz sentido para vocês ?_x000a_11:56, 19/03/2026 +55 35 9839-4949: Acredito que nao_x000a_12:02, 19/03/2026 +55 35 9839-4949: Distribuidor_x000a_12:02, 19/03/2026 +55 35 9839-4949: Frutas e legumes_x000a_12:03, 19/03/2026 Junior Lopes: E vc tem vendedores externos ?_x000a_12:09, 19/03/2026 +55 35 9839-4949: Somente 1"/>
    <s v=""/>
    <x v="533"/>
    <m/>
    <s v=""/>
    <s v="Grupo Kimura"/>
    <s v="35998394949"/>
    <s v=""/>
    <s v="veniltonsouza@hotmail.com"/>
    <s v=""/>
    <s v=""/>
    <s v=""/>
    <s v=""/>
    <s v=""/>
    <s v="Campanha"/>
    <s v=""/>
    <s v=""/>
    <s v="Fora Perfil;Instagram"/>
    <s v="Pipeline de Vendas"/>
    <s v="Qualificação de Vendas (SQL) (25%)"/>
    <s v=""/>
    <m/>
    <m/>
    <m/>
    <n v="0"/>
    <s v="Paulo Souza"/>
    <d v="2026-03-19T00:00:00"/>
    <d v="1899-12-30T10:29:59"/>
    <s v=""/>
    <s v="Perdido"/>
    <d v="2026-03-19T00:00:00"/>
    <d v="1899-12-30T12:15:59"/>
    <s v="Fora do porte mínimo (sem fit estrutural)"/>
    <s v="Cliente de porte muito pequeno"/>
    <s v=""/>
    <x v="0"/>
    <s v="Junior Lopes"/>
    <x v="0"/>
    <s v=""/>
    <m/>
    <n v="30"/>
    <s v=""/>
    <s v=""/>
    <s v=""/>
    <s v=""/>
    <n v="1"/>
  </r>
  <r>
    <x v="2"/>
    <n v="1040"/>
    <m/>
    <n v="3408"/>
    <s v="20.03 - Oi Raysa, bem e você?_x000a_Estou em viagem e só volto no final da próxima semana. _x000a_Podemos deixar para o meu retorno?_x000a_23.03 esta em viagem e retorna no final da proxima semana, agendando contato_x000a_31.03 retomamos o contato hoje _x000a_06.04 Eduardo pediu para entrar em contato com o Rafael, preciso entender o negócio deles."/>
    <s v=""/>
    <x v="534"/>
    <n v="40707794000142"/>
    <s v=""/>
    <s v="Aquatrat"/>
    <s v="71999081968"/>
    <s v=""/>
    <s v="eduardo@aquatrat.com.br"/>
    <s v=""/>
    <s v=""/>
    <s v=""/>
    <s v=""/>
    <s v=""/>
    <s v="Campanha"/>
    <s v=""/>
    <s v=""/>
    <s v="Fora Perfil;Instagram"/>
    <s v="Pipeline de Vendas"/>
    <s v="Agendamento (0%)"/>
    <s v=""/>
    <d v="2026-04-30T00:00:00"/>
    <m/>
    <m/>
    <n v="33"/>
    <s v="Paulo Souza"/>
    <d v="2026-03-20T00:00:00"/>
    <d v="1899-12-30T09:22:44"/>
    <s v=""/>
    <s v="Perdido"/>
    <d v="2026-04-22T00:00:00"/>
    <d v="1899-12-30T17:13:52"/>
    <s v="Fora do porte mínimo (sem fit estrutural)"/>
    <s v=""/>
    <s v=""/>
    <x v="0"/>
    <s v="Rayssa Karapeticov"/>
    <x v="0"/>
    <s v=""/>
    <d v="2026-04-22T00:00:00"/>
    <n v="30"/>
    <s v=""/>
    <s v=""/>
    <s v=""/>
    <s v=""/>
    <n v="1"/>
  </r>
  <r>
    <x v="2"/>
    <n v="1041"/>
    <m/>
    <n v="3409"/>
    <s v="20.03 não atendeu_x000a_Boa tarde Jairo, tudo bem?_x000a_Meu nome é Rayssa, sou da Guarani Sistemas, estou retornando seu contato interessado em software para a empresa VENTMAR Ventilação_x000a_podemos falar?_x000a_23.03 achou o investimento alto, é uma loja de bairro"/>
    <s v=""/>
    <x v="535"/>
    <m/>
    <s v=""/>
    <s v="VENTMAR Ventilacao"/>
    <s v="67999748649"/>
    <s v=""/>
    <s v="jairodsm@gmail.com"/>
    <s v=""/>
    <s v=""/>
    <s v=""/>
    <s v=""/>
    <s v=""/>
    <s v="Campanha"/>
    <s v=""/>
    <s v=""/>
    <s v="Fora Perfil;Instagram"/>
    <s v="Pipeline de Vendas"/>
    <s v="Agendamento (0%)"/>
    <s v=""/>
    <m/>
    <m/>
    <m/>
    <n v="50"/>
    <s v="Paulo Souza"/>
    <d v="2026-03-20T00:00:00"/>
    <d v="1899-12-30T15:28:44"/>
    <s v=""/>
    <s v="Perdido"/>
    <d v="2026-05-09T00:00:00"/>
    <d v="1899-12-30T21:09:38"/>
    <s v="Fora do porte mínimo (sem fit estrutural)"/>
    <s v=""/>
    <s v=""/>
    <x v="0"/>
    <s v="Rayssa Karapeticov"/>
    <x v="0"/>
    <s v=""/>
    <d v="2026-03-23T00:00:00"/>
    <n v="30"/>
    <s v=""/>
    <s v=""/>
    <s v=""/>
    <s v=""/>
    <n v="1"/>
  </r>
  <r>
    <x v="1"/>
    <n v="1044"/>
    <m/>
    <n v="3414"/>
    <s v="(27/03/2026) Após varias tentativas de contato com Afabio sem retorno ! estou declinando oportunidade"/>
    <s v=""/>
    <x v="536"/>
    <m/>
    <s v=""/>
    <s v="Vilela &amp; Vilela Ltda"/>
    <s v="9991419327"/>
    <s v=""/>
    <s v="afabio2016@gmail.com"/>
    <s v=""/>
    <s v=""/>
    <s v=""/>
    <s v=""/>
    <s v="Para"/>
    <s v="Inbound"/>
    <s v=""/>
    <s v=""/>
    <s v="Fora Perfil;Instagram;Perfil Indefinido"/>
    <s v="Pipeline de Vendas"/>
    <s v="Qualificação de Vendas (SQL) (25%)"/>
    <s v=""/>
    <d v="2026-03-24T00:00:00"/>
    <m/>
    <m/>
    <n v="16"/>
    <s v="Paulo Souza"/>
    <d v="2026-03-23T00:00:00"/>
    <d v="1899-12-30T13:47:48"/>
    <s v=""/>
    <s v="Perdido"/>
    <d v="2026-04-08T00:00:00"/>
    <d v="1899-12-30T17:20:11"/>
    <s v="Fora do porte mínimo (sem fit estrutural)"/>
    <s v="Após varias tentativas de contato com Afabio sem retorno ! estou declinando oportunidade"/>
    <s v=""/>
    <x v="0"/>
    <s v="Junior Lopes"/>
    <x v="0"/>
    <s v=""/>
    <d v="2026-03-23T00:00:00"/>
    <n v="30"/>
    <s v=""/>
    <s v=""/>
    <s v=""/>
    <s v=""/>
    <n v="1"/>
  </r>
  <r>
    <x v="2"/>
    <n v="1045"/>
    <m/>
    <n v="3412"/>
    <s v="24.03 - não consegui contato_x000a_06.04 - telefone não atende_x000a_11:28, 31/03/2026 Rayssa Karapeticov - Comercial - Guarani Sistemas: Bom dia Lucas, como vai?_x000a_Meu nome é Rayssa, sou da Guarani Sistemas. _x000a_Estou tentando contato com você para entender como as soluções da Guarani Sistemas podem atender a MaisMendes Distribuidora Materiais para construção_x000a_11:56, 06/04/2026 Rayssa Karapeticov - Comercial - Guarani Sistemas: Boa tarde Lucas, tudo bem? _x000a_Meu nome é Rayssa, sou da Guarani Sistemas. _x000a_Ainda faz sentido a procura de uma solução para sua empresa?_x000a_07.4"/>
    <s v=""/>
    <x v="537"/>
    <m/>
    <s v=""/>
    <s v="MaisMendes Distribuidora Materiais para construção"/>
    <s v="62993734302"/>
    <s v=""/>
    <s v="lucasmatheusmendes@outlook.com"/>
    <s v=""/>
    <s v=""/>
    <s v=""/>
    <s v=""/>
    <s v=""/>
    <s v="Campanha"/>
    <s v=""/>
    <s v=""/>
    <s v="Fora Perfil;Instagram"/>
    <s v="Pipeline de Vendas"/>
    <s v="Agendamento (0%)"/>
    <s v=""/>
    <d v="2026-04-30T00:00:00"/>
    <m/>
    <m/>
    <n v="15"/>
    <s v="Paulo Souza"/>
    <d v="2026-03-23T00:00:00"/>
    <d v="1899-12-30T13:49:09"/>
    <s v=""/>
    <s v="Perdido"/>
    <d v="2026-04-07T00:00:00"/>
    <d v="1899-12-30T09:36:31"/>
    <s v="Fora do porte mínimo (sem fit estrutural)"/>
    <s v=""/>
    <s v=""/>
    <x v="0"/>
    <s v="Rayssa Karapeticov"/>
    <x v="0"/>
    <s v=""/>
    <d v="2026-04-07T00:00:00"/>
    <n v="30"/>
    <s v=""/>
    <s v=""/>
    <s v=""/>
    <s v=""/>
    <n v="1"/>
  </r>
  <r>
    <x v="1"/>
    <n v="1046"/>
    <m/>
    <n v="3411"/>
    <s v="(23/03/2026) contato com Rafael _x000a_(27/03/2026) Rafael não responde aos contato"/>
    <s v=""/>
    <x v="538"/>
    <n v="32354207000150"/>
    <s v=""/>
    <s v="DISTRIBOM"/>
    <s v="27999328628"/>
    <s v=""/>
    <s v="rafaeldebossan@gmail.com"/>
    <s v=""/>
    <s v=""/>
    <s v=""/>
    <s v="VILA VELHA"/>
    <s v="ES"/>
    <s v="Campanha"/>
    <s v=""/>
    <s v=""/>
    <s v="Dentro Perfil;Instagram"/>
    <s v="Pipeline de Vendas"/>
    <s v="Qualificação de Vendas (SQL) (25%)"/>
    <s v=""/>
    <d v="2026-03-31T00:00:00"/>
    <m/>
    <m/>
    <n v="47"/>
    <s v="Paulo Souza"/>
    <d v="2026-03-23T00:00:00"/>
    <d v="1899-12-30T13:50:19"/>
    <s v=""/>
    <s v="Perdido"/>
    <d v="2026-05-09T00:00:00"/>
    <d v="1899-12-30T08:02:53"/>
    <s v="Sem qualificação — contato não atende ligações nem responde msg"/>
    <s v=""/>
    <s v=""/>
    <x v="0"/>
    <s v="Junior Lopes"/>
    <x v="0"/>
    <s v=""/>
    <d v="2026-03-27T00:00:00"/>
    <n v="30"/>
    <s v=""/>
    <s v=""/>
    <s v=""/>
    <s v=""/>
    <n v="1"/>
  </r>
  <r>
    <x v="1"/>
    <n v="1047"/>
    <m/>
    <n v="3417"/>
    <s v=""/>
    <s v=""/>
    <x v="539"/>
    <m/>
    <s v=""/>
    <s v="Preciza Imports"/>
    <s v="11947600755"/>
    <s v=""/>
    <s v="financeiro@precizaimports.com.br"/>
    <s v=""/>
    <s v=""/>
    <s v=""/>
    <s v=""/>
    <s v=""/>
    <s v=""/>
    <s v=""/>
    <s v=""/>
    <s v=""/>
    <s v="Pipeline de Vendas"/>
    <s v="Em Fechamento (100%)"/>
    <s v=""/>
    <m/>
    <n v="1652929"/>
    <n v="0"/>
    <n v="0"/>
    <s v="Junior Lopes"/>
    <d v="2026-03-24T00:00:00"/>
    <d v="1899-12-30T16:07:13"/>
    <s v=""/>
    <s v="Ganho"/>
    <d v="2026-03-24T00:00:00"/>
    <d v="1899-12-30T16:09:06"/>
    <s v=""/>
    <s v=""/>
    <s v=""/>
    <x v="84"/>
    <s v=""/>
    <x v="0"/>
    <s v=""/>
    <m/>
    <n v="90"/>
    <s v=""/>
    <s v=""/>
    <s v=""/>
    <s v=""/>
    <n v="1"/>
  </r>
  <r>
    <x v="1"/>
    <n v="1049"/>
    <m/>
    <n v="3420"/>
    <s v="(31/03/2026) Reciclanorte  tem algumas particularidades que fogem do nosso ERP"/>
    <s v=""/>
    <x v="540"/>
    <n v="33582253000170"/>
    <s v=""/>
    <s v="Mateus Ramos"/>
    <s v="(38) 9968-0779"/>
    <s v=""/>
    <s v="reciclanorte2@gmail.com"/>
    <s v=""/>
    <s v=""/>
    <s v=""/>
    <s v="PONTO CHIQUE"/>
    <s v="MG"/>
    <s v="Site"/>
    <s v=""/>
    <s v=""/>
    <s v="Contato;Fora Perfil"/>
    <s v="Pipeline de Vendas"/>
    <s v="Qualificação de Vendas (SQL) (25%)"/>
    <s v=""/>
    <d v="2026-03-31T00:00:00"/>
    <m/>
    <m/>
    <n v="7"/>
    <s v="Paulo Souza"/>
    <d v="2026-03-25T00:00:00"/>
    <d v="1899-12-30T16:31:34"/>
    <s v=""/>
    <s v="Perdido"/>
    <d v="2026-04-01T00:00:00"/>
    <d v="1899-12-30T10:29:40"/>
    <s v="Fora do porte mínimo (sem fit estrutural)"/>
    <s v="(31/03/2026) Reciclanorte  tem algumas particularidades que fogem do nosso ERP"/>
    <s v=""/>
    <x v="0"/>
    <s v="Junior Lopes"/>
    <x v="0"/>
    <s v=""/>
    <d v="2026-03-31T00:00:00"/>
    <n v="30"/>
    <s v=""/>
    <s v=""/>
    <s v=""/>
    <s v=""/>
    <n v="1"/>
  </r>
  <r>
    <x v="1"/>
    <n v="1050"/>
    <m/>
    <n v="3427"/>
    <s v="10:07, 14/04/2026 Luccas Globalmix: Bom dia meu amigo, tudo bem? _x000a_Desculpe não te responder. Estou com alguns problemas de família e estive meio ausente. _x000a_Analisamos sua proposta e infelizmente ficou muito acima do que estávamos planejando nesse momento. _x000a_Desculpe a minha ignorância, mas não consegui compreender o motivo de um custo tão alto para a implementação de um ERP já existente. O custo que você me passou é basicamente o de desenvolver um novo sistema próprio. _x000a_Infelizmente nessas condições é inviável para nós nesse momento. _x000a_Agradeço pelo seu atendimento nas últimas semanas, foi extremamente atencioso. Espero que compreenda. _x000a_Obrigado_x000a_10:15, 14/04/2026 Junior Lopes: Bom dia, Luccas, tudo bem?_x000a_Primeiro, espero que as coisas com sua família se resolvam da melhor forma possível. Fica tranquilo quanto ao retorno, eu entendo perfeitamente._x000a_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_x000a_O que está incluso nesse investimento é justamente o que vai fazer o sistema “virar realidade” dentro da Globalmix:_x000a_– entendimento dos processos de vocês;_x000a_– parametrização do ERP para a realidade da empresa;_x000a_– construção/ajuste dos relatórios que vocês precisam;_x000a_– validação e homologação do funcionamento antes de ir para produção;_x000a_– integração com a Lisa Log;_x000a_– e, principalmente, treinamento da equipe e acompanhamento na virada, para que todo mundo use da forma correta e o projeto traga resultado._x000a_Sem essa etapa de consultoria, o risco é ter um sistema bom, mas mal configurado ou pouco usado, o que acaba gerando retrabalho e perda de confiança na ferramenta – e é justamente isso que queremos evitar._x000a_Dito isso, eu entendo totalmente a questão de orçamento. Se fizer sentido para você, eu posso:_x000a_1) rever o escopo para enxugar etapas e tentar adequar o investimento ao momento da Globalmix; ou_x000a_2) pensar em uma implantação por fases, começando pelo essencial (comercial + força de vendas + básico de estoque) e deixando integrações e aprofundamentos para uma segunda etapa._x000a_Você se sentiria confortável em me dizer qual faixa de investimento vocês tinham planejado, para eu ver o que é possível ajustar com transparência?"/>
    <s v=""/>
    <x v="541"/>
    <m/>
    <s v=""/>
    <s v="GlobalMix - Cloud"/>
    <s v="11988736515"/>
    <s v=""/>
    <s v="contabilgrupocrx@gmail.com"/>
    <s v=""/>
    <s v=""/>
    <s v=""/>
    <s v=""/>
    <s v=""/>
    <s v=""/>
    <s v=""/>
    <s v=""/>
    <s v=""/>
    <s v="Pipeline de Vendas"/>
    <s v="Apresentar Solução (35%)"/>
    <s v=""/>
    <m/>
    <n v="1600"/>
    <n v="252471"/>
    <n v="20"/>
    <s v="Junior Lopes"/>
    <d v="2026-03-26T00:00:00"/>
    <d v="1899-12-30T15:55:09"/>
    <s v=""/>
    <s v="Perdido"/>
    <d v="2026-04-15T00:00:00"/>
    <d v="1899-12-30T09:40:31"/>
    <s v="Não houve aprovação financeira"/>
    <s v="10:07, 14/04/2026 Luccas Globalmix: Bom dia meu amigo, tudo bem? _x000a_Desculpe não te responder. Estou com alguns problemas de família e estive meio ausente. _x000a_Analisamos sua proposta e infelizmente ficou muito acima do que estávamos planejando nesse momento. _x000a_Desculpe a minha ignorância, mas não consegui compreender o motivo de um custo tão alto para a implementação de um ERP já existente. O custo que você me passou é basicamente o de desenvolver um novo sistema próprio. _x000a_Infelizmente nessas condições é inviável para nós nesse momento. _x000a_Agradeço pelo seu atendimento nas últimas semanas, foi extremamente atencioso. Espero que compreenda. _x000a_Obrigado_x000a_10:15, 14/04/2026 Junior Lopes: Bom dia, Luccas, tudo bem?_x000a_Primeiro, espero que as coisas com sua família se resolvam da melhor forma possível. Fica tranquilo quanto ao retorno, eu entendo perfeitamente._x000a_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_x000a_O que está incluso nesse investimento é justamente o que vai fazer o sistema “virar realidade” dentro da Globalmix:_x000a_– entendimento dos processos de vocês;_x000a_– parametrização do ERP para a realidade da empresa;_x000a_– construção/ajuste dos relatórios que vocês precisam;_x000a_– validação e homologação do funcionamento antes de ir para produção;_x000a_– integração com a Lisa Log;_x000a_– e, principalmente, treinamento da equipe e acompanhamento na virada, para que todo mundo use da forma correta e o projeto traga resultado._x000a_Sem essa etapa de consultoria, o risco é ter um sistema bom, mas mal configurado ou pouco usado, o que acaba gerando retrabalho e perda de confiança na ferramenta – e é justamente isso que queremos evitar._x000a_Dito isso, eu entendo totalmente a questão de orçamento. Se fizer sentido para você, eu posso:_x000a_1) rever o escopo para enxugar etapas e tentar adequar o investimento ao momento da Globalmix; ou_x000a_2) pensar em uma implantação por fases, começando pelo essencial (comercial + força de vendas + básico de estoque) e deixando integrações e aprofundamentos para uma segunda etapa._x000a_Você se sentiria confortável em me dizer qual faixa de investimento vocês tinham planejado, para eu ver o que é possível ajustar com transparência?"/>
    <s v=""/>
    <x v="194"/>
    <s v=""/>
    <x v="211"/>
    <s v=""/>
    <d v="2026-04-15T00:00:00"/>
    <n v="50"/>
    <s v=""/>
    <s v=""/>
    <s v=""/>
    <s v=""/>
    <n v="1"/>
  </r>
  <r>
    <x v="1"/>
    <n v="1051"/>
    <m/>
    <n v="3428"/>
    <s v="10:07, 14/04/2026 Luccas Globalmix: Bom dia meu amigo, tudo bem? _x000a_Desculpe não te responder. Estou com alguns problemas de família e estive meio ausente. _x000a_Analisamos sua proposta e infelizmente ficou muito acima do que estávamos planejando nesse momento. _x000a_Desculpe a minha ignorância, mas não consegui compreender o motivo de um custo tão alto para a implementação de um ERP já existente. O custo que você me passou é basicamente o de desenvolver um novo sistema próprio. _x000a_Infelizmente nessas condições é inviável para nós nesse momento. _x000a_Agradeço pelo seu atendimento nas últimas semanas, foi extremamente atencioso. Espero que compreenda. _x000a_Obrigado_x000a_10:15, 14/04/2026 Junior Lopes: Bom dia, Luccas, tudo bem?_x000a_Primeiro, espero que as coisas com sua família se resolvam da melhor forma possível. Fica tranquilo quanto ao retorno, eu entendo perfeitamente._x000a_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_x000a_O que está incluso nesse investimento é justamente o que vai fazer o sistema “virar realidade” dentro da Globalmix:_x000a_– entendimento dos processos de vocês;_x000a_– parametrização do ERP para a realidade da empresa;_x000a_– construção/ajuste dos relatórios que vocês precisam;_x000a_– validação e homologação do funcionamento antes de ir para produção;_x000a_– integração com a Lisa Log;_x000a_– e, principalmente, treinamento da equipe e acompanhamento na virada, para que todo mundo use da forma correta e o projeto traga resultado._x000a_Sem essa etapa de consultoria, o risco é ter um sistema bom, mas mal configurado ou pouco usado, o que acaba gerando retrabalho e perda de confiança na ferramenta – e é justamente isso que queremos evitar._x000a_Dito isso, eu entendo totalmente a questão de orçamento. Se fizer sentido para você, eu posso:_x000a_1) rever o escopo para enxugar etapas e tentar adequar o investimento ao momento da Globalmix; ou_x000a_2) pensar em uma implantação por fases, começando pelo essencial (comercial + força de vendas + básico de estoque) e deixando integrações e aprofundamentos para uma segunda etapa._x000a_Você se sentiria confortável em me dizer qual faixa de investimento vocês tinham planejado, para eu ver o que é possível ajustar com transparência?"/>
    <s v=""/>
    <x v="542"/>
    <m/>
    <s v=""/>
    <s v="GlobalMix - B2B"/>
    <s v="11988736515"/>
    <s v=""/>
    <s v="contabilgrupocrx@gmail.com"/>
    <s v=""/>
    <s v=""/>
    <s v=""/>
    <s v=""/>
    <s v=""/>
    <s v=""/>
    <s v=""/>
    <s v=""/>
    <s v=""/>
    <s v="Pipeline de Vendas"/>
    <s v="Apresentar Solução (35%)"/>
    <s v=""/>
    <m/>
    <n v="13100"/>
    <n v="1800"/>
    <n v="20"/>
    <s v="Junior Lopes"/>
    <d v="2026-03-26T00:00:00"/>
    <d v="1899-12-30T15:59:11"/>
    <s v=""/>
    <s v="Perdido"/>
    <d v="2026-04-15T00:00:00"/>
    <d v="1899-12-30T09:36:41"/>
    <s v="Não houve aprovação financeira"/>
    <s v="10:07, 14/04/2026 Luccas Globalmix: Bom dia meu amigo, tudo bem? _x000a_Desculpe não te responder. Estou com alguns problemas de família e estive meio ausente. _x000a_Analisamos sua proposta e infelizmente ficou muito acima do que estávamos planejando nesse momento. _x000a_Desculpe a minha ignorância, mas não consegui compreender o motivo de um custo tão alto para a implementação de um ERP já existente. O custo que você me passou é basicamente o de desenvolver um novo sistema próprio. _x000a_Infelizmente nessas condições é inviável para nós nesse momento. _x000a_Agradeço pelo seu atendimento nas últimas semanas, foi extremamente atencioso. Espero que compreenda. _x000a_Obrigado_x000a_10:15, 14/04/2026 Junior Lopes: Bom dia, Luccas, tudo bem?_x000a_Primeiro, espero que as coisas com sua família se resolvam da melhor forma possível. Fica tranquilo quanto ao retorno, eu entendo perfeitamente._x000a_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_x000a_O que está incluso nesse investimento é justamente o que vai fazer o sistema “virar realidade” dentro da Globalmix:_x000a_– entendimento dos processos de vocês;_x000a_– parametrização do ERP para a realidade da empresa;_x000a_– construção/ajuste dos relatórios que vocês precisam;_x000a_– validação e homologação do funcionamento antes de ir para produção;_x000a_– integração com a Lisa Log;_x000a_– e, principalmente, treinamento da equipe e acompanhamento na virada, para que todo mundo use da forma correta e o projeto traga resultado._x000a_Sem essa etapa de consultoria, o risco é ter um sistema bom, mas mal configurado ou pouco usado, o que acaba gerando retrabalho e perda de confiança na ferramenta – e é justamente isso que queremos evitar._x000a_Dito isso, eu entendo totalmente a questão de orçamento. Se fizer sentido para você, eu posso:_x000a_1) rever o escopo para enxugar etapas e tentar adequar o investimento ao momento da Globalmix; ou_x000a_2) pensar em uma implantação por fases, começando pelo essencial (comercial + força de vendas + básico de estoque) e deixando integrações e aprofundamentos para uma segunda etapa._x000a_Você se sentiria confortável em me dizer qual faixa de investimento vocês tinham planejado, para eu ver o que é possível ajustar com transparência?"/>
    <s v=""/>
    <x v="194"/>
    <s v=""/>
    <x v="221"/>
    <s v=""/>
    <d v="2026-04-15T00:00:00"/>
    <n v="50"/>
    <s v=""/>
    <s v=""/>
    <s v=""/>
    <s v=""/>
    <n v="1"/>
  </r>
  <r>
    <x v="2"/>
    <n v="1052"/>
    <m/>
    <n v="3423"/>
    <s v="31.03 caixa postal: Bom dia Murilo, como vai?_x000a_Meu nome é Rayssa, sou da Guarani Sistemas. _x000a_Estou tentando contato com você para entender como as soluções da Guarani Sistemas podem atender a JUNDCOAT_x000a_07.04 caixa postal"/>
    <s v=""/>
    <x v="543"/>
    <n v="48440778000148"/>
    <s v=""/>
    <s v="JUNDCOAT"/>
    <s v="11912958843"/>
    <s v=""/>
    <s v="murilo@jundcoat.com.br"/>
    <s v=""/>
    <s v=""/>
    <s v=""/>
    <s v=""/>
    <s v="Itupeva"/>
    <s v="Inbound"/>
    <s v=""/>
    <s v=""/>
    <s v="Dentro Perfil;Instagram"/>
    <s v="Pipeline de Vendas"/>
    <s v="Agendamento (0%)"/>
    <s v=""/>
    <d v="2026-03-31T00:00:00"/>
    <m/>
    <m/>
    <n v="44"/>
    <s v="Paulo Souza"/>
    <d v="2026-03-26T00:00:00"/>
    <d v="1899-12-30T16:53:38"/>
    <s v=""/>
    <s v="Perdido"/>
    <d v="2026-05-09T00:00:00"/>
    <d v="1899-12-30T08:37:27"/>
    <s v="Sem qualificação — contato não atende ligações nem responde msg"/>
    <s v=""/>
    <s v=""/>
    <x v="0"/>
    <s v="Rayssa Karapeticov"/>
    <x v="0"/>
    <s v=""/>
    <d v="2026-04-07T00:00:00"/>
    <n v="30"/>
    <s v=""/>
    <s v=""/>
    <s v=""/>
    <s v=""/>
    <n v="1"/>
  </r>
  <r>
    <x v="1"/>
    <n v="1053"/>
    <m/>
    <n v="3424"/>
    <s v="(26/03/2026) em contato com Joel"/>
    <s v=""/>
    <x v="544"/>
    <n v="4486490000139"/>
    <s v=""/>
    <s v="indukraft"/>
    <s v="47988227474"/>
    <s v=""/>
    <s v="joel@indukraft.com.br"/>
    <s v=""/>
    <s v=""/>
    <s v=""/>
    <s v=""/>
    <s v=""/>
    <s v="Campanha"/>
    <s v=""/>
    <s v=""/>
    <s v="Dentro Perfil;Instagram"/>
    <s v="Pipeline de Vendas"/>
    <s v="Qualificação de Vendas (SQL) (25%)"/>
    <s v=""/>
    <d v="2026-03-26T00:00:00"/>
    <m/>
    <m/>
    <n v="55"/>
    <s v="Paulo Souza"/>
    <d v="2026-03-26T00:00:00"/>
    <d v="1899-12-30T16:56:07"/>
    <s v=""/>
    <s v="Ativo"/>
    <m/>
    <m/>
    <s v=""/>
    <s v=""/>
    <s v=""/>
    <x v="0"/>
    <s v="Junior Lopes"/>
    <x v="0"/>
    <s v=""/>
    <m/>
    <n v="30"/>
    <s v=""/>
    <s v=""/>
    <s v=""/>
    <s v=""/>
    <n v="1"/>
  </r>
  <r>
    <x v="2"/>
    <n v="1054"/>
    <m/>
    <n v="3425"/>
    <s v="30.03 pediu uma apresentação e valores. _x000a_Falei que preciso conhecer a empresa dele e entender a razão de procurar um novo software para empresa_x000a_Estavamos avançando com a conversa_x000a_01.04 - Não atendeu _x000a_Boa tarde Milton, tudo bem?_x000a_Fez sentido para sua operação as informações que passei?_x000a_06.04 - não atende e não retorna contato"/>
    <s v=""/>
    <x v="545"/>
    <m/>
    <s v=""/>
    <s v="B&amp;G Comércio de Sinalização e Materiais de Construção"/>
    <s v="11984731999"/>
    <s v=""/>
    <s v="milton-bernardo@uol.com.br"/>
    <s v=""/>
    <s v=""/>
    <s v=""/>
    <s v=""/>
    <s v="Caieiras"/>
    <s v="Inbound"/>
    <s v=""/>
    <s v=""/>
    <s v="Fora Perfil;Instagram"/>
    <s v="Pipeline de Vendas"/>
    <s v="Agendamento (0%)"/>
    <s v=""/>
    <d v="2026-03-26T00:00:00"/>
    <m/>
    <m/>
    <n v="11"/>
    <s v="Paulo Souza"/>
    <d v="2026-03-26T00:00:00"/>
    <d v="1899-12-30T16:58:49"/>
    <s v=""/>
    <s v="Perdido"/>
    <d v="2026-04-06T00:00:00"/>
    <d v="1899-12-30T12:44:35"/>
    <s v="Fora do porte mínimo (sem fit estrutural)"/>
    <s v=""/>
    <s v=""/>
    <x v="0"/>
    <s v="Rayssa Karapeticov"/>
    <x v="0"/>
    <s v=""/>
    <d v="2026-04-01T00:00:00"/>
    <n v="30"/>
    <s v=""/>
    <s v=""/>
    <s v=""/>
    <s v=""/>
    <n v="1"/>
  </r>
  <r>
    <x v="2"/>
    <n v="1055"/>
    <m/>
    <n v="3429"/>
    <s v="30.03 - lojista de material de construção"/>
    <s v=""/>
    <x v="546"/>
    <m/>
    <s v=""/>
    <s v="Leondilmo mat const ltda"/>
    <s v="61999781085"/>
    <s v=""/>
    <s v="leondilmo@hotmail.com"/>
    <s v=""/>
    <s v=""/>
    <s v=""/>
    <s v=""/>
    <s v=""/>
    <s v="Campanha"/>
    <s v=""/>
    <s v=""/>
    <s v="Fora Perfil;Instagram"/>
    <s v="Pipeline de Vendas"/>
    <s v="Agendamento (0%)"/>
    <s v=""/>
    <d v="2026-03-31T00:00:00"/>
    <m/>
    <m/>
    <n v="3"/>
    <s v="Paulo Souza"/>
    <d v="2026-03-27T00:00:00"/>
    <d v="1899-12-30T10:18:25"/>
    <s v=""/>
    <s v="Perdido"/>
    <d v="2026-03-30T00:00:00"/>
    <d v="1899-12-30T17:43:09"/>
    <s v="Fora do porte mínimo (sem fit estrutural)"/>
    <s v=""/>
    <s v=""/>
    <x v="0"/>
    <s v="Rayssa Karapeticov"/>
    <x v="0"/>
    <s v=""/>
    <d v="2026-03-30T00:00:00"/>
    <n v="30"/>
    <s v=""/>
    <s v=""/>
    <s v=""/>
    <s v=""/>
    <n v="1"/>
  </r>
  <r>
    <x v="1"/>
    <n v="1059"/>
    <m/>
    <n v="3455"/>
    <s v="(30/03/2026) Alinhando visita presencial com Thiago"/>
    <s v=""/>
    <x v="547"/>
    <m/>
    <s v=""/>
    <s v="Banana Toys - Cloud"/>
    <s v="1532835196"/>
    <s v=""/>
    <s v="faturamento@bananatoys.com.br"/>
    <s v=""/>
    <s v=""/>
    <s v=""/>
    <s v=""/>
    <s v=""/>
    <s v=""/>
    <s v=""/>
    <s v=""/>
    <s v=""/>
    <s v="Pipeline de Vendas"/>
    <s v="Em negociação (75%)"/>
    <s v=""/>
    <m/>
    <n v="1600"/>
    <n v="384454"/>
    <n v="51"/>
    <s v="Junior Lopes"/>
    <d v="2026-03-30T00:00:00"/>
    <d v="1899-12-30T15:20:04"/>
    <s v=""/>
    <s v="Ativo"/>
    <m/>
    <m/>
    <s v=""/>
    <s v=""/>
    <s v=""/>
    <x v="197"/>
    <s v=""/>
    <x v="222"/>
    <s v=""/>
    <d v="2026-03-30T00:00:00"/>
    <n v="50"/>
    <s v=""/>
    <s v=""/>
    <s v=""/>
    <s v=""/>
    <n v="1"/>
  </r>
  <r>
    <x v="1"/>
    <n v="1060"/>
    <m/>
    <n v="3460"/>
    <s v=""/>
    <s v=""/>
    <x v="548"/>
    <m/>
    <s v=""/>
    <s v="Util Ud - PCP / WMS"/>
    <s v="19974080034"/>
    <s v=""/>
    <s v="null"/>
    <s v=""/>
    <s v=""/>
    <s v=""/>
    <s v=""/>
    <s v=""/>
    <s v=""/>
    <s v=""/>
    <s v=""/>
    <s v=""/>
    <s v="Pipeline de Vendas"/>
    <s v="Em negociação (75%)"/>
    <s v=""/>
    <m/>
    <n v="34236"/>
    <n v="42768"/>
    <n v="51"/>
    <s v="Junior Lopes"/>
    <d v="2026-03-30T00:00:00"/>
    <d v="1899-12-30T16:14:02"/>
    <s v=""/>
    <s v="Ativo"/>
    <m/>
    <m/>
    <s v=""/>
    <s v=""/>
    <s v=""/>
    <x v="201"/>
    <s v=""/>
    <x v="223"/>
    <s v=""/>
    <m/>
    <n v="50"/>
    <s v=""/>
    <s v=""/>
    <s v=""/>
    <s v=""/>
    <n v="1"/>
  </r>
  <r>
    <x v="1"/>
    <n v="1061"/>
    <m/>
    <n v="3466"/>
    <s v="(24/04/2026) orçamento não aprovado"/>
    <s v=""/>
    <x v="549"/>
    <m/>
    <s v=""/>
    <s v="Weck - Horas"/>
    <s v="11947895866"/>
    <s v=""/>
    <s v="null"/>
    <s v=""/>
    <s v=""/>
    <s v=""/>
    <s v=""/>
    <s v=""/>
    <s v=""/>
    <s v=""/>
    <s v=""/>
    <s v=""/>
    <s v="Pipeline de Vendas"/>
    <s v="Apresentar Proposta (50%)"/>
    <s v=""/>
    <m/>
    <n v="13568"/>
    <n v="0"/>
    <n v="25"/>
    <s v="Junior Lopes"/>
    <d v="2026-03-30T00:00:00"/>
    <d v="1899-12-30T16:39:07"/>
    <s v=""/>
    <s v="Perdido"/>
    <d v="2026-04-24T00:00:00"/>
    <d v="1899-12-30T10:11:23"/>
    <s v="Não houve aprovação financeira"/>
    <s v="(24/04/2026) orçamento não aprovado"/>
    <s v=""/>
    <x v="202"/>
    <s v=""/>
    <x v="224"/>
    <s v=""/>
    <d v="2026-04-24T00:00:00"/>
    <n v="30"/>
    <s v=""/>
    <s v=""/>
    <s v=""/>
    <s v=""/>
    <n v="1"/>
  </r>
  <r>
    <x v="1"/>
    <n v="1062"/>
    <m/>
    <n v="3093"/>
    <s v=""/>
    <s v=""/>
    <x v="550"/>
    <n v="53629067000156"/>
    <s v=""/>
    <s v="Claudio Teixeira"/>
    <s v="(43) 99669-3593"/>
    <s v=""/>
    <s v="claudioteixeirasap@hotmail.com"/>
    <s v=""/>
    <s v=""/>
    <s v=""/>
    <s v="CONSELHEIRO MAIRINCK"/>
    <s v="PR"/>
    <s v="Site"/>
    <s v=""/>
    <s v=""/>
    <s v="Solicita demo"/>
    <s v="Pipeline de Vendas"/>
    <s v="Apresentar Proposta (50%)"/>
    <s v=""/>
    <m/>
    <n v="68743"/>
    <n v="143186"/>
    <n v="0"/>
    <s v="Junior Lopes"/>
    <d v="2026-03-30T00:00:00"/>
    <d v="1899-12-30T17:23:13"/>
    <s v=""/>
    <s v="Perdido"/>
    <d v="2026-03-30T00:00:00"/>
    <d v="1899-12-30T17:46:58"/>
    <s v="Não houve aprovação financeira"/>
    <s v="Claudio achou o valor muito acima para investimento"/>
    <s v=""/>
    <x v="160"/>
    <s v=""/>
    <x v="173"/>
    <s v=""/>
    <m/>
    <n v="30"/>
    <s v=""/>
    <s v=""/>
    <s v=""/>
    <s v=""/>
    <n v="1"/>
  </r>
  <r>
    <x v="1"/>
    <n v="1063"/>
    <m/>
    <n v="3467"/>
    <s v=""/>
    <s v=""/>
    <x v="551"/>
    <m/>
    <s v=""/>
    <s v="Casabella Claudio Teixeira - Cloud"/>
    <s v="43996693593"/>
    <s v=""/>
    <s v="null"/>
    <s v=""/>
    <s v=""/>
    <s v=""/>
    <s v=""/>
    <s v=""/>
    <s v=""/>
    <s v=""/>
    <s v=""/>
    <s v=""/>
    <s v="Pipeline de Vendas"/>
    <s v="Apresentar Proposta (50%)"/>
    <s v=""/>
    <m/>
    <n v="1600"/>
    <n v="252471"/>
    <n v="0"/>
    <s v="Junior Lopes"/>
    <d v="2026-03-30T00:00:00"/>
    <d v="1899-12-30T17:41:36"/>
    <s v=""/>
    <s v="Perdido"/>
    <d v="2026-03-30T00:00:00"/>
    <d v="1899-12-30T17:47:37"/>
    <s v="Não houve aprovação financeira"/>
    <s v="Claudio achou o valor muito acima para investimento"/>
    <s v=""/>
    <x v="203"/>
    <s v=""/>
    <x v="173"/>
    <s v="27/03/2026 00:00"/>
    <m/>
    <n v="30"/>
    <s v=""/>
    <s v=""/>
    <s v=""/>
    <s v=""/>
    <n v="1"/>
  </r>
  <r>
    <x v="2"/>
    <n v="1064"/>
    <m/>
    <n v="3446"/>
    <s v="31.03 - Caixa Postal - Bom dia Anderson, como vai?_x000a_Meu nome é Rayssa, sou da Guarani Sistemas. _x000a_Estou tentando contato com você para entender como as soluções da Guarani Sistemas podem atender a Distribuidora Anderson Corrado_x000a_01.04 - caixa postal_x000a_07.04 encerrando por falta de retorno"/>
    <s v=""/>
    <x v="552"/>
    <m/>
    <s v=""/>
    <s v="Anderson Corrado"/>
    <s v="31971564261"/>
    <s v=""/>
    <s v="andersoncorrado@gmail.com"/>
    <s v=""/>
    <s v=""/>
    <s v=""/>
    <s v=""/>
    <s v=""/>
    <s v="Campanha"/>
    <s v=""/>
    <s v=""/>
    <s v="Fora Perfil;Instagram"/>
    <s v="Pipeline de Vendas"/>
    <s v="Agendamento (0%)"/>
    <s v=""/>
    <d v="2026-04-30T00:00:00"/>
    <m/>
    <m/>
    <n v="7"/>
    <s v="Paulo Souza"/>
    <d v="2026-03-31T00:00:00"/>
    <d v="1899-12-30T10:18:31"/>
    <s v=""/>
    <s v="Perdido"/>
    <d v="2026-04-07T00:00:00"/>
    <d v="1899-12-30T09:12:54"/>
    <s v="Fora do porte mínimo (sem fit estrutural)"/>
    <s v=""/>
    <s v=""/>
    <x v="0"/>
    <s v="Rayssa Karapeticov"/>
    <x v="0"/>
    <s v=""/>
    <d v="2026-04-01T00:00:00"/>
    <n v="30"/>
    <s v=""/>
    <s v=""/>
    <s v=""/>
    <s v=""/>
    <n v="1"/>
  </r>
  <r>
    <x v="1"/>
    <n v="1065"/>
    <m/>
    <n v="3447"/>
    <s v="(31/03/2026) cliente de loja porte pequeno , fora do perfil"/>
    <s v=""/>
    <x v="553"/>
    <m/>
    <s v=""/>
    <s v="nat art papelaria"/>
    <s v="15991197046"/>
    <s v=""/>
    <s v="cricanicolete@gmail.com"/>
    <s v=""/>
    <s v=""/>
    <s v=""/>
    <s v=""/>
    <s v="Sorocaba"/>
    <s v="Inbound"/>
    <s v=""/>
    <s v=""/>
    <s v="Fora Perfil;Instagram"/>
    <s v="Pipeline de Vendas"/>
    <s v="Agendamento (0%)"/>
    <s v=""/>
    <d v="2026-03-31T00:00:00"/>
    <m/>
    <m/>
    <n v="0"/>
    <s v="Paulo Souza"/>
    <d v="2026-03-31T00:00:00"/>
    <d v="1899-12-30T10:23:46"/>
    <s v=""/>
    <s v="Perdido"/>
    <d v="2026-03-31T00:00:00"/>
    <d v="1899-12-30T14:56:07"/>
    <s v="Fora do porte mínimo (sem fit estrutural)"/>
    <s v="(31/03/2026) cliente de loja porte pequeno , fora do perfil"/>
    <s v=""/>
    <x v="0"/>
    <s v="Junior Lopes"/>
    <x v="0"/>
    <s v=""/>
    <m/>
    <n v="30"/>
    <s v=""/>
    <s v=""/>
    <s v=""/>
    <s v=""/>
    <n v="1"/>
  </r>
  <r>
    <x v="1"/>
    <n v="1066"/>
    <m/>
    <n v="3448"/>
    <s v="(31/03/2026) em contato com Fernando _x000a_(06/04/2026) declinando por falta de retorno"/>
    <s v=""/>
    <x v="554"/>
    <n v="4827674000115"/>
    <s v=""/>
    <s v="Forte e Limpo"/>
    <s v="(73) 3027-3546"/>
    <s v=""/>
    <s v="forteelimpo@gmail.com"/>
    <s v=""/>
    <s v=""/>
    <s v=""/>
    <s v="ITABUNA"/>
    <s v="BA"/>
    <s v="Campanha"/>
    <s v=""/>
    <s v=""/>
    <s v="Dentro Perfil;Instagram"/>
    <s v="Pipeline de Vendas"/>
    <s v="Qualificação de Vendas (SQL) (25%)"/>
    <s v=""/>
    <m/>
    <m/>
    <m/>
    <n v="39"/>
    <s v="Paulo Souza"/>
    <d v="2026-03-31T00:00:00"/>
    <d v="1899-12-30T10:32:04"/>
    <s v=""/>
    <s v="Perdido"/>
    <d v="2026-05-09T00:00:00"/>
    <d v="1899-12-30T08:03:53"/>
    <s v="Sem qualificação — contato não atende ligações nem responde msg"/>
    <s v=""/>
    <s v=""/>
    <x v="0"/>
    <s v="Junior Lopes"/>
    <x v="0"/>
    <s v=""/>
    <d v="2026-04-06T00:00:00"/>
    <n v="30"/>
    <s v=""/>
    <s v=""/>
    <s v=""/>
    <s v=""/>
    <n v="1"/>
  </r>
  <r>
    <x v="2"/>
    <n v="1067"/>
    <m/>
    <n v="3468"/>
    <s v="31.03 é uma corretora e agentes de seguros, de planos de previdência complementar e de saúde."/>
    <s v=""/>
    <x v="555"/>
    <n v="50649054000150"/>
    <s v=""/>
    <s v="Finance coop LTDA"/>
    <s v="(21) 9310-5614"/>
    <s v=""/>
    <s v="financecorporacao@gmail.com"/>
    <s v=""/>
    <s v=""/>
    <s v=""/>
    <s v="RIO DE JANEIRO"/>
    <s v="RJ"/>
    <s v="Inbound"/>
    <s v=""/>
    <s v=""/>
    <s v="Fora Perfil;Instagram"/>
    <s v="Pipeline de Vendas"/>
    <s v="Agendamento (0%)"/>
    <s v=""/>
    <m/>
    <m/>
    <m/>
    <n v="0"/>
    <s v="Paulo Souza"/>
    <d v="2026-03-31T00:00:00"/>
    <d v="1899-12-30T10:35:35"/>
    <s v=""/>
    <s v="Perdido"/>
    <d v="2026-03-31T00:00:00"/>
    <d v="1899-12-30T15:20:34"/>
    <s v="Fora do porte mínimo (sem fit estrutural)"/>
    <s v=""/>
    <s v=""/>
    <x v="0"/>
    <s v="Rayssa Karapeticov"/>
    <x v="0"/>
    <s v=""/>
    <m/>
    <n v="30"/>
    <s v=""/>
    <s v=""/>
    <s v=""/>
    <s v=""/>
    <n v="1"/>
  </r>
  <r>
    <x v="1"/>
    <n v="1068"/>
    <m/>
    <n v="3471"/>
    <s v="(20/04/2026) em contato com Edson , informou que Baag vai manter servidor local devido ao alto investimento"/>
    <s v=""/>
    <x v="556"/>
    <m/>
    <s v=""/>
    <s v="Baag - Cloud"/>
    <s v="(75) 3021-7768"/>
    <s v=""/>
    <s v="null"/>
    <s v=""/>
    <s v=""/>
    <s v=""/>
    <s v=""/>
    <s v=""/>
    <s v=""/>
    <s v=""/>
    <s v=""/>
    <s v=""/>
    <s v="Pipeline de Vendas"/>
    <s v="Apresentar Proposta (50%)"/>
    <s v=""/>
    <m/>
    <n v="1600"/>
    <n v="384454"/>
    <n v="20"/>
    <s v="Junior Lopes"/>
    <d v="2026-03-31T00:00:00"/>
    <d v="1899-12-30T15:16:59"/>
    <s v=""/>
    <s v="Perdido"/>
    <d v="2026-04-20T00:00:00"/>
    <d v="1899-12-30T11:51:43"/>
    <s v="Não houve aprovação financeira"/>
    <s v="(20/04/2026) em contato com Edson , informou que Baag vai manter servidor local devido ao alto investimento"/>
    <s v=""/>
    <x v="194"/>
    <s v=""/>
    <x v="218"/>
    <s v=""/>
    <d v="2026-04-20T00:00:00"/>
    <n v="50"/>
    <s v=""/>
    <s v=""/>
    <s v=""/>
    <s v=""/>
    <n v="1"/>
  </r>
  <r>
    <x v="1"/>
    <n v="1069"/>
    <m/>
    <n v="3472"/>
    <s v=""/>
    <s v=""/>
    <x v="557"/>
    <m/>
    <s v=""/>
    <s v="Baag - Televendas"/>
    <s v="7530217768"/>
    <s v=""/>
    <s v="null"/>
    <s v=""/>
    <s v=""/>
    <s v=""/>
    <s v=""/>
    <s v=""/>
    <s v=""/>
    <s v=""/>
    <s v=""/>
    <s v=""/>
    <s v="Pipeline de Vendas"/>
    <s v="Apresentar Proposta (50%)"/>
    <s v=""/>
    <m/>
    <n v="8480"/>
    <n v="3564"/>
    <n v="24"/>
    <s v="Junior Lopes"/>
    <d v="2026-03-31T00:00:00"/>
    <d v="1899-12-30T15:37:28"/>
    <s v=""/>
    <s v="Perdido"/>
    <d v="2026-04-24T00:00:00"/>
    <d v="1899-12-30T10:06:18"/>
    <s v="Não houve aprovação financeira"/>
    <s v="24/04/2026) Edson falou com diretoria e achou valor alto para o momento"/>
    <s v=""/>
    <x v="204"/>
    <s v=""/>
    <x v="225"/>
    <s v=""/>
    <m/>
    <n v="30"/>
    <s v=""/>
    <s v=""/>
    <s v=""/>
    <s v=""/>
    <n v="1"/>
  </r>
  <r>
    <x v="1"/>
    <n v="1072"/>
    <m/>
    <n v="3474"/>
    <s v="(01/04/2026) Badux é uma auto elétrica que que faz manutenção e venda de peças no balcão (lojista)"/>
    <s v=""/>
    <x v="558"/>
    <n v="27728774000190"/>
    <s v=""/>
    <s v="Badux auto eletrica"/>
    <s v="(95) 9142-2588"/>
    <s v=""/>
    <s v="fabianoggsilva@hotmail.com"/>
    <s v=""/>
    <s v=""/>
    <s v=""/>
    <s v="BOA VISTA"/>
    <s v="RR"/>
    <s v="Inbound"/>
    <s v=""/>
    <s v=""/>
    <s v="Fora Perfil;Instagram"/>
    <s v="Pipeline de Vendas"/>
    <s v="Agendamento (0%)"/>
    <s v=""/>
    <m/>
    <m/>
    <m/>
    <n v="0"/>
    <s v="Paulo Souza"/>
    <d v="2026-04-01T00:00:00"/>
    <d v="1899-12-30T11:45:05"/>
    <s v=""/>
    <s v="Perdido"/>
    <d v="2026-04-01T00:00:00"/>
    <d v="1899-12-30T15:25:26"/>
    <s v="Fora do porte mínimo (sem fit estrutural)"/>
    <s v="(01/04/2026) Badux é uma auto elétrica que que faz manutenção e venda de peças no balcão (lojista)"/>
    <s v=""/>
    <x v="0"/>
    <s v="Junior Lopes"/>
    <x v="0"/>
    <s v=""/>
    <m/>
    <n v="30"/>
    <s v=""/>
    <s v=""/>
    <s v=""/>
    <s v=""/>
    <n v="1"/>
  </r>
  <r>
    <x v="1"/>
    <n v="1073"/>
    <m/>
    <n v="3479"/>
    <s v="(07/04/2026) tentativas de contato sem sucesso , em analise sobre verifiquei que é um empresa de lavanderia ! fora do perfil"/>
    <s v=""/>
    <x v="559"/>
    <n v="667476000261"/>
    <s v=""/>
    <s v="Ciape Distribuidora De Peças"/>
    <s v="44988361402"/>
    <s v=""/>
    <s v="rodrigo@lavinorte.com.br"/>
    <s v=""/>
    <s v=""/>
    <s v=""/>
    <s v=""/>
    <s v=""/>
    <s v="Campanha"/>
    <s v=""/>
    <s v=""/>
    <s v="Fora Perfil;Instagram"/>
    <s v="Pipeline de Vendas"/>
    <s v="Qualificação de Vendas (SQL) (25%)"/>
    <s v=""/>
    <m/>
    <m/>
    <m/>
    <n v="1"/>
    <s v="Paulo Souza"/>
    <d v="2026-04-06T00:00:00"/>
    <d v="1899-12-30T11:20:09"/>
    <s v=""/>
    <s v="Perdido"/>
    <d v="2026-04-07T00:00:00"/>
    <d v="1899-12-30T16:31:35"/>
    <s v="Fora do porte mínimo (sem fit estrutural)"/>
    <s v="(07/04/2026) tentativas de contato sem sucesso , em analise sobre verifiquei que é um empresa de lavanderia ! fora do perfil"/>
    <s v=""/>
    <x v="0"/>
    <s v="Junior Lopes"/>
    <x v="0"/>
    <s v=""/>
    <d v="2026-04-07T00:00:00"/>
    <n v="30"/>
    <s v=""/>
    <s v=""/>
    <s v=""/>
    <s v=""/>
    <n v="1"/>
  </r>
  <r>
    <x v="2"/>
    <n v="1074"/>
    <m/>
    <n v="3478"/>
    <s v="06.04 Liguei, pediu para chamar no whatsapp_x000a_Boa tarde Leandro, tudo bem?_x000a_Meu nome é Rayssa, sou da Guarani Sistemas. _x000a_Acabei de te liga rpara entender sua necessidade quanton as soluções da Guarani Sistemas. _x000a_Como posso te ajudar?"/>
    <s v=""/>
    <x v="560"/>
    <n v="34777766000107"/>
    <s v=""/>
    <s v="Tecalhas"/>
    <s v="(32) 3551-6365"/>
    <s v=""/>
    <s v="contato@realcontabilidadevrb.com.br"/>
    <s v=""/>
    <s v=""/>
    <s v=""/>
    <s v="VISCONDE DO RIO BRANCO"/>
    <s v="MG"/>
    <s v="Campanha"/>
    <s v=""/>
    <s v=""/>
    <s v="Fora Perfil;Instagram"/>
    <s v="Pipeline de Vendas"/>
    <s v="Agendamento (0%)"/>
    <s v=""/>
    <m/>
    <m/>
    <m/>
    <n v="33"/>
    <s v="Paulo Souza"/>
    <d v="2026-04-06T00:00:00"/>
    <d v="1899-12-30T11:21:52"/>
    <s v=""/>
    <s v="Perdido"/>
    <d v="2026-05-09T00:00:00"/>
    <d v="1899-12-30T08:38:25"/>
    <s v="Sem qualificação — contato não atende ligações nem responde msg"/>
    <s v=""/>
    <s v=""/>
    <x v="0"/>
    <s v="Rayssa Karapeticov"/>
    <x v="0"/>
    <s v=""/>
    <d v="2026-04-07T00:00:00"/>
    <n v="27"/>
    <s v=""/>
    <s v=""/>
    <s v=""/>
    <s v=""/>
    <n v="1"/>
  </r>
  <r>
    <x v="1"/>
    <n v="1075"/>
    <m/>
    <n v="3480"/>
    <s v="(06/04/2026) em contato com Thamires _x000a_(06/04/2026) Thamires não responde a ligação e e mensagens ! estou descartando o lead , falta muita informação como a razão social do cliente, endereço , CNPJ ! impossível fazer  uma pesquisa sobre o cliente"/>
    <s v=""/>
    <x v="561"/>
    <m/>
    <s v=""/>
    <s v="Eletro+"/>
    <s v="22997047181"/>
    <s v=""/>
    <s v="thamirestelleseriscado@hotmail.com"/>
    <s v=""/>
    <s v=""/>
    <s v=""/>
    <s v=""/>
    <s v=""/>
    <s v="Campanha"/>
    <s v=""/>
    <s v=""/>
    <s v="Fora Perfil;Instagram"/>
    <s v="Pipeline de Vendas"/>
    <s v="Agendamento (0%)"/>
    <s v=""/>
    <m/>
    <m/>
    <m/>
    <n v="0"/>
    <s v="Paulo Souza"/>
    <d v="2026-04-06T00:00:00"/>
    <d v="1899-12-30T11:23:42"/>
    <s v=""/>
    <s v="Perdido"/>
    <d v="2026-04-06T00:00:00"/>
    <d v="1899-12-30T17:17:27"/>
    <s v="Fora do porte mínimo (sem fit estrutural)"/>
    <s v="(06/04/2026) Thamires não responde a ligação e e mensagens ! estou descartando o lead , falta muita informação como a razão social do cliente, endereço , CNPJ ! impossível fazer  uma pesquisa sobre o cliente"/>
    <s v=""/>
    <x v="0"/>
    <s v="Junior Lopes"/>
    <x v="0"/>
    <s v=""/>
    <m/>
    <n v="30"/>
    <s v=""/>
    <s v=""/>
    <s v=""/>
    <s v=""/>
    <n v="1"/>
  </r>
  <r>
    <x v="2"/>
    <n v="1076"/>
    <m/>
    <n v="3482"/>
    <s v="06.04 - telefone errado"/>
    <s v=""/>
    <x v="562"/>
    <m/>
    <s v=""/>
    <s v="pra mim mesmo"/>
    <s v="4694441158"/>
    <s v=""/>
    <s v="t.marcio@hotmail.com"/>
    <s v=""/>
    <s v=""/>
    <s v=""/>
    <s v=""/>
    <s v=""/>
    <s v="Campanha"/>
    <s v=""/>
    <s v=""/>
    <s v="Fora Perfil;Instagram"/>
    <s v="Pipeline de Vendas"/>
    <s v="Agendamento (0%)"/>
    <s v=""/>
    <m/>
    <m/>
    <m/>
    <n v="1"/>
    <s v="Paulo Souza"/>
    <d v="2026-04-06T00:00:00"/>
    <d v="1899-12-30T11:25:26"/>
    <s v=""/>
    <s v="Perdido"/>
    <d v="2026-04-07T00:00:00"/>
    <d v="1899-12-30T09:07:58"/>
    <s v="Fora do porte mínimo (sem fit estrutural)"/>
    <s v=""/>
    <s v=""/>
    <x v="0"/>
    <s v="Rayssa Karapeticov"/>
    <x v="0"/>
    <s v=""/>
    <m/>
    <n v="30"/>
    <s v=""/>
    <s v=""/>
    <s v=""/>
    <s v=""/>
    <n v="1"/>
  </r>
  <r>
    <x v="1"/>
    <n v="1077"/>
    <m/>
    <n v="3483"/>
    <s v="(06/04/2026) Coelhos identificado como fora do perfil , executa trabalhos de automação de portaria e vendas de computadores para cliente pessoa física"/>
    <s v=""/>
    <x v="563"/>
    <n v="2861273000156"/>
    <s v=""/>
    <s v="Coelhos Automação"/>
    <s v="5330256162"/>
    <s v=""/>
    <s v="vilmar@coelhosautomacao.com.br"/>
    <s v=""/>
    <s v=""/>
    <s v=""/>
    <s v=""/>
    <s v=""/>
    <s v="Campanha"/>
    <s v=""/>
    <s v=""/>
    <s v="Fora Perfil;Instagram"/>
    <s v="Pipeline de Vendas"/>
    <s v="Agendamento (0%)"/>
    <s v=""/>
    <m/>
    <m/>
    <m/>
    <n v="0"/>
    <s v="Paulo Souza"/>
    <d v="2026-04-06T00:00:00"/>
    <d v="1899-12-30T11:27:43"/>
    <s v=""/>
    <s v="Perdido"/>
    <d v="2026-04-06T00:00:00"/>
    <d v="1899-12-30T16:59:44"/>
    <s v="Fora do porte mínimo (sem fit estrutural)"/>
    <s v="(06/04/2026) Coelhos identificado como fora do perfil , executa trabalhos de automação de portaria e vendas de computadores para cliente pessoa física"/>
    <s v=""/>
    <x v="0"/>
    <s v="Junior Lopes"/>
    <x v="0"/>
    <s v=""/>
    <m/>
    <n v="28"/>
    <s v=""/>
    <s v=""/>
    <s v=""/>
    <s v=""/>
    <n v="1"/>
  </r>
  <r>
    <x v="1"/>
    <n v="1078"/>
    <m/>
    <n v="3497"/>
    <s v="24/04/2026) Edson falou com diretoria e achou valor alto para o momento"/>
    <s v=""/>
    <x v="564"/>
    <m/>
    <s v=""/>
    <s v="Baag - BI"/>
    <s v="7530217768"/>
    <s v=""/>
    <s v="helpdesk@bahiagrafica.com.br"/>
    <s v=""/>
    <s v=""/>
    <s v=""/>
    <s v=""/>
    <s v=""/>
    <s v=""/>
    <s v=""/>
    <s v=""/>
    <s v=""/>
    <s v="Pipeline de Vendas"/>
    <s v="Apresentar Proposta (50%)"/>
    <s v=""/>
    <m/>
    <n v="8100"/>
    <n v="1080"/>
    <n v="16"/>
    <s v="Junior Lopes"/>
    <d v="2026-04-08T00:00:00"/>
    <d v="1899-12-30T16:50:57"/>
    <s v=""/>
    <s v="Perdido"/>
    <d v="2026-04-24T00:00:00"/>
    <d v="1899-12-30T09:54:24"/>
    <s v="Não houve aprovação financeira"/>
    <s v="24/04/2026) Edson falou com diretoria e achou valor alto para o momento"/>
    <s v=""/>
    <x v="205"/>
    <s v=""/>
    <x v="226"/>
    <s v=""/>
    <d v="2026-04-24T00:00:00"/>
    <n v="50"/>
    <s v=""/>
    <s v=""/>
    <s v=""/>
    <s v=""/>
    <n v="1"/>
  </r>
  <r>
    <x v="1"/>
    <n v="1079"/>
    <m/>
    <n v="3501"/>
    <s v="(09/04/2026) Prospecção , buscando contato para conexão e apresentação das soluções ERP e Força de vendas"/>
    <s v=""/>
    <x v="565"/>
    <n v="48260432000168"/>
    <s v=""/>
    <s v="EDUARDO MARINO COELHO"/>
    <s v=""/>
    <s v=""/>
    <s v=""/>
    <s v=""/>
    <s v=""/>
    <s v=""/>
    <s v=""/>
    <s v=""/>
    <s v="Base de empresas Leads2b"/>
    <s v=""/>
    <s v=""/>
    <s v=""/>
    <s v="Pipeline de Vendas"/>
    <s v="Qualificação de Vendas (SQL) (25%)"/>
    <s v=""/>
    <m/>
    <m/>
    <m/>
    <n v="41"/>
    <s v="Junior Lopes"/>
    <d v="2026-04-09T00:00:00"/>
    <d v="1899-12-30T09:22:10"/>
    <s v=""/>
    <s v="Ativo"/>
    <m/>
    <m/>
    <s v=""/>
    <s v=""/>
    <s v=""/>
    <x v="0"/>
    <s v=""/>
    <x v="0"/>
    <s v=""/>
    <d v="2026-05-06T00:00:00"/>
    <n v="30"/>
    <s v=""/>
    <s v=""/>
    <s v=""/>
    <s v=""/>
    <n v="1"/>
  </r>
  <r>
    <x v="1"/>
    <n v="1080"/>
    <m/>
    <n v="3502"/>
    <s v="(09/04/2026) Em contato com Jaison (TI) _x000a_09:49, 09/04/2026 Junior Lopes: Olá Jaison ! Bom dia meu amigo ! _x000a_Junior da Guarani sistemas por aqui_x000a_09:49, 09/04/2026 Junior Lopes: Há um tempo fizemos uma apresentação da solução de força de vendas para a Unitermi e fiquei curioso para saber como vocês estão hoje com esse tipo de solução._x000a_Estão utilizando alguma ferramenta atualmente?_x000a_Vejo que ainda podemos ajudar bastante na organização dos pedidos, acompanhamento da equipe de vendas em campo e melhoria dos resultados. Se fizer sentido, posso agendar uma conversa rápida para entendermos o momento de vocês e mostrar como podemos apoiar._x000a_Contato com Danieli (Comercial)_x000a_09:51, 09/04/2026 Junior Lopes: Olá Danieli , bom dia _x000a_Junior da Guarani sistemas por aqui ! Td bem ?_x000a_09:52, 09/04/2026 Junior Lopes: Alguns meses atrás apresentei nossa solução de força de vendas para a Unitermi e fiquei pensando em como está hoje o processo comercial de vocês: pedidos, roteiros, acompanhamento da equipe externa etc._x000a_Vocês já estão com alguma solução implantada ou ainda avaliam opções?_x000a_10:12, 09/04/2026 Unitermi Danieli: Jaison Unitermi TI_x000a_10:12, 09/04/2026 Unitermi Danieli: Bom dia_x000a_10:12, 09/04/2026 Unitermi Danieli: Favor contatar o responsável da Ti_x000a_10:12, 09/04/2026 Unitermi Danieli: Obrigada"/>
    <s v=""/>
    <x v="566"/>
    <n v="19398581000190"/>
    <s v=""/>
    <s v="Unitermi indústria"/>
    <s v="48988044437"/>
    <s v=""/>
    <s v="sup.comercial@unitermi.com.br"/>
    <s v=""/>
    <s v=""/>
    <s v=""/>
    <s v="PAULO LOPES"/>
    <s v="SC"/>
    <s v=""/>
    <s v=""/>
    <s v=""/>
    <s v=""/>
    <s v="Pipeline de Vendas"/>
    <s v="Qualificação de Vendas (SQL) (25%)"/>
    <s v=""/>
    <m/>
    <m/>
    <m/>
    <n v="41"/>
    <s v="Junior Lopes"/>
    <d v="2026-04-09T00:00:00"/>
    <d v="1899-12-30T10:11:00"/>
    <s v=""/>
    <s v="Ativo"/>
    <m/>
    <m/>
    <s v=""/>
    <s v=""/>
    <s v=""/>
    <x v="0"/>
    <s v=""/>
    <x v="0"/>
    <s v=""/>
    <d v="2026-05-06T00:00:00"/>
    <n v="30"/>
    <s v=""/>
    <s v=""/>
    <s v=""/>
    <s v=""/>
    <n v="1"/>
  </r>
  <r>
    <x v="1"/>
    <n v="1081"/>
    <m/>
    <n v="3504"/>
    <s v="(09/04/2026) em contato com Daniel _x000a_10:38, 09/04/2026 Junior Lopes: Olá Daniel ! Bom dia , Júnior Lopes da Guarani sistemas por aqui_x000a_10:38, 09/04/2026 Junior Lopes: Algum tempo atrás apresentei nossa solução de força de vendas para Martiplast e fiquei pensando em como está o processo comercial de vocês ?_x000a_10:38, 09/04/2026 Junior Lopes: Que tal rever nossas soluções?"/>
    <s v="Martiplast Industria E Comercio De Plasticos Ltda"/>
    <x v="567"/>
    <n v="73445454000654"/>
    <s v=""/>
    <s v="Martiplast Industria E Comercio De Plasticos Ltda"/>
    <s v="(54) 2101-9090"/>
    <s v=""/>
    <s v="diego.borges@martiplast.com.br"/>
    <s v=""/>
    <s v=""/>
    <s v=""/>
    <s v="SAO PAULO"/>
    <s v="SP"/>
    <s v="Base de empresas Leads2b"/>
    <s v=""/>
    <s v=""/>
    <s v=""/>
    <s v="Pipeline de Vendas"/>
    <s v="Qualificação de Vendas (SQL) (25%)"/>
    <s v=""/>
    <m/>
    <m/>
    <m/>
    <n v="41"/>
    <s v="Junior Lopes"/>
    <d v="2026-04-09T00:00:00"/>
    <d v="1899-12-30T10:44:36"/>
    <s v=""/>
    <s v="Ativo"/>
    <m/>
    <m/>
    <s v=""/>
    <s v=""/>
    <s v=""/>
    <x v="0"/>
    <s v=""/>
    <x v="0"/>
    <s v=""/>
    <d v="2026-05-06T00:00:00"/>
    <n v="30"/>
    <s v=""/>
    <s v=""/>
    <s v=""/>
    <s v=""/>
    <n v="1"/>
  </r>
  <r>
    <x v="2"/>
    <n v="1082"/>
    <m/>
    <n v="3488"/>
    <s v="10.04 Liguei ficou na caixa postal _x000a_Bom dia Vidal, tudo bem?_x000a_meu nome é Rayssa, sou da Guarani Sistemas. _x000a_Tentei contato com você para falarmos das soluções de software para sua empresa. _x000a_Qual melhor horario para te retornar?_x000a_23.04Bom dia Vidal, como vai?_x000a_Estou tentando contato com você para entender sua solicitação para conhecer nossos sistemas._x000a_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_x000a_Vou deixar uma apresentação de nossa empresa e quando tiver um tempo disponivel por retornar o contato"/>
    <s v=""/>
    <x v="568"/>
    <m/>
    <s v=""/>
    <s v="Vidal"/>
    <s v="51981230645"/>
    <s v=""/>
    <s v="g.vidal0220@gmail.com"/>
    <s v=""/>
    <s v=""/>
    <s v=""/>
    <s v=""/>
    <s v=""/>
    <s v="Campanha"/>
    <s v=""/>
    <s v=""/>
    <s v="Fora Perfil;Instagram"/>
    <s v="Pipeline de Vendas"/>
    <s v="Agendamento (0%)"/>
    <s v=""/>
    <d v="2026-04-30T00:00:00"/>
    <m/>
    <m/>
    <n v="29"/>
    <s v="Paulo Souza"/>
    <d v="2026-04-10T00:00:00"/>
    <d v="1899-12-30T08:45:52"/>
    <s v=""/>
    <s v="Perdido"/>
    <d v="2026-05-09T00:00:00"/>
    <d v="1899-12-30T08:38:47"/>
    <s v="Sem qualificação — contato não atende ligações nem responde msg"/>
    <s v=""/>
    <s v=""/>
    <x v="0"/>
    <s v="Rayssa Karapeticov"/>
    <x v="0"/>
    <s v=""/>
    <d v="2026-04-23T00:00:00"/>
    <n v="28"/>
    <s v=""/>
    <s v=""/>
    <s v=""/>
    <s v=""/>
    <n v="1"/>
  </r>
  <r>
    <x v="1"/>
    <n v="1083"/>
    <m/>
    <n v="3491"/>
    <s v="(10/04/2026) Buscando contato com Belmar"/>
    <s v=""/>
    <x v="569"/>
    <n v="91241034000123"/>
    <s v=""/>
    <s v="METALÚRGICA VALENTINI LTDA"/>
    <s v="(54) 3321-5204 / (54) 3321-5204"/>
    <s v=""/>
    <s v="metalvalentini@gmail.com"/>
    <s v=""/>
    <s v=""/>
    <s v=""/>
    <s v="ERECHIM"/>
    <s v="RS"/>
    <s v="Campanha"/>
    <s v=""/>
    <s v=""/>
    <s v="Fora Perfil;Instagram"/>
    <s v="Pipeline de Vendas"/>
    <s v="Agendamento (0%)"/>
    <s v=""/>
    <m/>
    <m/>
    <m/>
    <n v="29"/>
    <s v="Paulo Souza"/>
    <d v="2026-04-10T00:00:00"/>
    <d v="1899-12-30T08:47:32"/>
    <s v=""/>
    <s v="Perdido"/>
    <d v="2026-05-09T00:00:00"/>
    <d v="1899-12-30T08:40:51"/>
    <s v="Sem qualificação — contato não atende ligações nem responde msg"/>
    <s v=""/>
    <s v=""/>
    <x v="0"/>
    <s v="Junior Lopes"/>
    <x v="0"/>
    <s v=""/>
    <m/>
    <n v="30"/>
    <s v=""/>
    <s v=""/>
    <s v=""/>
    <s v=""/>
    <n v="1"/>
  </r>
  <r>
    <x v="1"/>
    <n v="1084"/>
    <m/>
    <n v="3492"/>
    <s v="(10/04/2026) em contato com Danyllo buscando agenda para um bate papo"/>
    <s v=""/>
    <x v="570"/>
    <m/>
    <s v=""/>
    <s v="Camelo distribuidora"/>
    <s v="62991773767"/>
    <s v=""/>
    <s v="danyllogac@hotmail.com"/>
    <s v=""/>
    <s v=""/>
    <s v=""/>
    <s v=""/>
    <s v=""/>
    <s v="Campanha"/>
    <s v=""/>
    <s v=""/>
    <s v="Dentro Perfil;Instagram"/>
    <s v="Pipeline de Vendas"/>
    <s v="Qualificação de Vendas (SQL) (25%)"/>
    <s v=""/>
    <m/>
    <m/>
    <m/>
    <n v="40"/>
    <s v="Paulo Souza"/>
    <d v="2026-04-10T00:00:00"/>
    <d v="1899-12-30T08:49:10"/>
    <s v=""/>
    <s v="Ativo"/>
    <m/>
    <m/>
    <s v=""/>
    <s v=""/>
    <s v=""/>
    <x v="0"/>
    <s v="Junior Lopes"/>
    <x v="0"/>
    <s v=""/>
    <m/>
    <n v="29"/>
    <s v=""/>
    <s v=""/>
    <s v=""/>
    <s v=""/>
    <n v="1"/>
  </r>
  <r>
    <x v="2"/>
    <n v="1085"/>
    <m/>
    <n v="3494"/>
    <s v=""/>
    <s v=""/>
    <x v="571"/>
    <n v="21233195000190"/>
    <s v=""/>
    <s v="Cleber vieira teles"/>
    <s v="(15) 9800-0087"/>
    <s v=""/>
    <s v="vieira_teles@hotmail.com"/>
    <s v=""/>
    <s v=""/>
    <s v=""/>
    <s v="PORTO FELIZ"/>
    <s v="SP"/>
    <s v="Campanha"/>
    <s v=""/>
    <s v=""/>
    <s v="Fora Perfil;Instagram"/>
    <s v="Pipeline de Vendas"/>
    <s v="Agendamento (0%)"/>
    <s v=""/>
    <d v="2026-04-30T00:00:00"/>
    <m/>
    <m/>
    <n v="13"/>
    <s v="Paulo Souza"/>
    <d v="2026-04-10T00:00:00"/>
    <d v="1899-12-30T08:50:25"/>
    <s v=""/>
    <s v="Perdido"/>
    <d v="2026-04-23T00:00:00"/>
    <d v="1899-12-30T11:03:07"/>
    <s v="Fora do porte mínimo (sem fit estrutural)"/>
    <s v=""/>
    <s v=""/>
    <x v="0"/>
    <s v="Rayssa Karapeticov"/>
    <x v="0"/>
    <s v=""/>
    <d v="2026-04-23T00:00:00"/>
    <n v="30"/>
    <s v=""/>
    <s v=""/>
    <s v=""/>
    <s v=""/>
    <n v="1"/>
  </r>
  <r>
    <x v="2"/>
    <n v="1086"/>
    <m/>
    <n v="3496"/>
    <s v="Todos os dados preenchidos:_x000a_empresa: Grupo Marcamix _x000a_name: Ismael Ramos _x000a_cargo: Analista de Sistemas _x000a_whatsapp: 11960590527 _x000a_email: suporte@marcamix.com.br"/>
    <s v=""/>
    <x v="572"/>
    <n v="3634113000137"/>
    <s v=""/>
    <s v="Ismael Ramos"/>
    <s v=""/>
    <s v=""/>
    <s v="suporte@marcamix.com.br"/>
    <s v=""/>
    <s v=""/>
    <s v=""/>
    <s v="Ribeirão Preto"/>
    <s v=""/>
    <s v="Inbound"/>
    <s v=""/>
    <s v=""/>
    <s v="comex"/>
    <s v="Pipeline de Vendas"/>
    <s v="Em negociação (75%)"/>
    <s v=""/>
    <d v="2026-04-10T00:00:00"/>
    <n v="6000"/>
    <n v="2000"/>
    <n v="40"/>
    <s v="Paulo Souza"/>
    <d v="2026-04-10T00:00:00"/>
    <d v="1899-12-30T08:52:00"/>
    <s v=""/>
    <s v="Ativo"/>
    <m/>
    <m/>
    <s v=""/>
    <s v=""/>
    <s v=""/>
    <x v="206"/>
    <s v="Rayssa Karapeticov"/>
    <x v="227"/>
    <s v=""/>
    <d v="2026-05-13T00:00:00"/>
    <n v="30"/>
    <s v=""/>
    <s v=""/>
    <s v=""/>
    <s v=""/>
    <n v="1"/>
  </r>
  <r>
    <x v="0"/>
    <n v="1087"/>
    <m/>
    <n v="3495"/>
    <s v=""/>
    <s v=""/>
    <x v="573"/>
    <m/>
    <s v=""/>
    <s v="Romulo"/>
    <s v="8191451469"/>
    <s v=""/>
    <s v="romulomelo2009@gmai.com"/>
    <s v=""/>
    <s v=""/>
    <s v=""/>
    <s v=""/>
    <s v=""/>
    <s v="Campanha"/>
    <s v=""/>
    <s v=""/>
    <s v="Fora Perfil;Instagram"/>
    <s v="Pipeline de Vendas"/>
    <s v="Agendamento (0%)"/>
    <s v=""/>
    <d v="2026-04-30T00:00:00"/>
    <m/>
    <m/>
    <n v="0"/>
    <s v="Paulo Souza"/>
    <d v="2026-04-10T00:00:00"/>
    <d v="1899-12-30T08:53:42"/>
    <s v=""/>
    <s v="Perdido"/>
    <d v="2026-04-10T00:00:00"/>
    <d v="1899-12-30T14:08:40"/>
    <s v="Preço muito alto - fora do budget de investimento"/>
    <s v=""/>
    <s v=""/>
    <x v="0"/>
    <s v="Paulo Souza"/>
    <x v="0"/>
    <s v=""/>
    <m/>
    <n v="30"/>
    <s v=""/>
    <s v=""/>
    <s v=""/>
    <s v=""/>
    <n v="1"/>
  </r>
  <r>
    <x v="0"/>
    <n v="1088"/>
    <m/>
    <n v="3498"/>
    <s v=""/>
    <s v=""/>
    <x v="574"/>
    <m/>
    <s v=""/>
    <s v="JH Navegação e Logística Ltda"/>
    <s v="92991313828"/>
    <s v=""/>
    <s v="hayliebarbosa1@gmail.com"/>
    <s v=""/>
    <s v=""/>
    <s v=""/>
    <s v=""/>
    <s v=""/>
    <s v="Campanha"/>
    <s v=""/>
    <s v=""/>
    <s v="Fora Perfil;Instagram"/>
    <s v="Pipeline de Vendas"/>
    <s v="Agendamento (0%)"/>
    <s v=""/>
    <m/>
    <m/>
    <m/>
    <n v="29"/>
    <s v="Paulo Souza"/>
    <d v="2026-04-10T00:00:00"/>
    <d v="1899-12-30T08:54:24"/>
    <s v=""/>
    <s v="Perdido"/>
    <d v="2026-05-09T00:00:00"/>
    <d v="1899-12-30T08:41:27"/>
    <s v="Fora do segmento atendido"/>
    <s v=""/>
    <s v=""/>
    <x v="0"/>
    <s v="Paulo Souza"/>
    <x v="0"/>
    <s v=""/>
    <m/>
    <n v="30"/>
    <s v=""/>
    <s v=""/>
    <s v=""/>
    <s v=""/>
    <n v="1"/>
  </r>
  <r>
    <x v="1"/>
    <n v="1089"/>
    <m/>
    <n v="3509"/>
    <s v=""/>
    <s v=""/>
    <x v="575"/>
    <n v="3654966000130"/>
    <s v=""/>
    <s v="Marlim Azul Turismo"/>
    <s v="27999346494"/>
    <s v=""/>
    <s v="heber@marlimazulturismo.com.br"/>
    <s v=""/>
    <s v=""/>
    <s v=""/>
    <s v=""/>
    <s v="Serra ES"/>
    <s v="Inbound"/>
    <s v=""/>
    <s v=""/>
    <s v="Fora Perfil;Instagram"/>
    <s v="Pipeline de Vendas"/>
    <s v="Agendamento (0%)"/>
    <s v=""/>
    <m/>
    <m/>
    <m/>
    <n v="0"/>
    <s v="Paulo Souza"/>
    <d v="2026-04-10T00:00:00"/>
    <d v="1899-12-30T08:55:19"/>
    <s v=""/>
    <s v="Perdido"/>
    <d v="2026-04-10T00:00:00"/>
    <d v="1899-12-30T10:24:21"/>
    <s v="Fora do porte mínimo (sem fit estrutural)"/>
    <s v="empresa fora do perfil"/>
    <s v=""/>
    <x v="0"/>
    <s v="Junior Lopes"/>
    <x v="0"/>
    <s v=""/>
    <m/>
    <n v="30"/>
    <s v=""/>
    <s v=""/>
    <s v=""/>
    <s v=""/>
    <n v="1"/>
  </r>
  <r>
    <x v="2"/>
    <n v="1090"/>
    <m/>
    <n v="3508"/>
    <s v="10.04 - Caixa postal _x000a_Bom dia Claudio , como vai?_x000a_Meu nome é Rayssa, sou da Guarani Sistemas. _x000a_Tentei contato com você para falarmos de sua necessidade de implantação de um novo software para sua empresa._x000a_Qual melhor horario para te retornar?"/>
    <s v=""/>
    <x v="576"/>
    <m/>
    <s v=""/>
    <s v="Mercado do bairro"/>
    <s v="11949454465"/>
    <s v=""/>
    <s v="mercadobairro11@gmail.com"/>
    <s v=""/>
    <s v=""/>
    <s v=""/>
    <s v=""/>
    <s v=""/>
    <s v="Campanha"/>
    <s v=""/>
    <s v=""/>
    <s v="Fora Perfil;Instagram"/>
    <s v="Pipeline de Vendas"/>
    <s v="Agendamento (0%)"/>
    <s v=""/>
    <d v="2026-04-30T00:00:00"/>
    <m/>
    <m/>
    <n v="0"/>
    <s v="Paulo Souza"/>
    <d v="2026-04-10T00:00:00"/>
    <d v="1899-12-30T08:56:18"/>
    <s v=""/>
    <s v="Perdido"/>
    <d v="2026-04-10T00:00:00"/>
    <d v="1899-12-30T10:43:18"/>
    <s v="Fora do porte mínimo (sem fit estrutural)"/>
    <s v="mercado"/>
    <s v=""/>
    <x v="0"/>
    <s v="Rayssa Karapeticov"/>
    <x v="0"/>
    <s v=""/>
    <m/>
    <n v="30"/>
    <s v=""/>
    <s v=""/>
    <s v=""/>
    <s v=""/>
    <n v="1"/>
  </r>
  <r>
    <x v="1"/>
    <n v="1091"/>
    <m/>
    <n v="3507"/>
    <s v="(10/04/2026) em contato com Guri a fim de entender melhor suas necessidades"/>
    <s v=""/>
    <x v="577"/>
    <m/>
    <s v=""/>
    <s v="Guri cervejaria"/>
    <s v="54996551297"/>
    <s v=""/>
    <s v="cervejariaguri@hotmail.com"/>
    <s v=""/>
    <s v=""/>
    <s v=""/>
    <s v=""/>
    <s v=""/>
    <s v="Campanha"/>
    <s v=""/>
    <s v=""/>
    <s v="Fora Perfil;Instagram"/>
    <s v="Pipeline de Vendas"/>
    <s v="Qualificação de Vendas (SQL) (25%)"/>
    <s v=""/>
    <d v="2026-04-30T00:00:00"/>
    <m/>
    <m/>
    <n v="0"/>
    <s v="Paulo Souza"/>
    <d v="2026-04-10T00:00:00"/>
    <d v="1899-12-30T08:57:15"/>
    <s v=""/>
    <s v="Perdido"/>
    <d v="2026-04-10T00:00:00"/>
    <d v="1899-12-30T10:26:02"/>
    <s v="Fora do porte mínimo (sem fit estrutural)"/>
    <s v="Guri cervejaria é basicamente um bar e entretenimento com quadras de futebol, fora do perfil"/>
    <s v=""/>
    <x v="0"/>
    <s v="Junior Lopes"/>
    <x v="0"/>
    <s v=""/>
    <m/>
    <n v="30"/>
    <s v=""/>
    <s v=""/>
    <s v=""/>
    <s v=""/>
    <n v="1"/>
  </r>
  <r>
    <x v="2"/>
    <n v="1092"/>
    <m/>
    <n v="3506"/>
    <s v="28.04 Boa tarde Paulo, como vai?_x000a_Meu nome é Rayssa, sou da Guarani Sistemas, e falei com você uns dias atrás para entender sua necessidade de implantação de um novo software, porém, não consegui mais falar com você._x000a_Ainda está em busca de uma solução tecnologica para a empresa?"/>
    <s v=""/>
    <x v="578"/>
    <n v="34731194000117"/>
    <s v=""/>
    <s v="UP"/>
    <s v="(11) 4199-5100"/>
    <s v=""/>
    <s v="financeiro@up-ib.com.br"/>
    <s v=""/>
    <s v=""/>
    <s v=""/>
    <s v="ARACARIGUAMA"/>
    <s v="SP"/>
    <s v="Inbound"/>
    <s v=""/>
    <s v=""/>
    <s v="Dentro Perfil;Instagram"/>
    <s v="Pipeline de Vendas"/>
    <s v="Apresentar Solução (35%)"/>
    <s v=""/>
    <d v="2026-06-30T00:00:00"/>
    <m/>
    <m/>
    <n v="39"/>
    <s v="Paulo Souza"/>
    <d v="2026-04-10T00:00:00"/>
    <d v="1899-12-30T08:58:12"/>
    <s v=""/>
    <s v="Perdido"/>
    <d v="2026-05-19T00:00:00"/>
    <d v="1899-12-30T11:26:52"/>
    <s v="Projeto adiado / sem prazo definido"/>
    <s v=""/>
    <s v=""/>
    <x v="0"/>
    <s v="Rayssa Karapeticov"/>
    <x v="0"/>
    <s v=""/>
    <d v="2026-05-19T00:00:00"/>
    <n v="30"/>
    <s v=""/>
    <s v=""/>
    <s v=""/>
    <s v=""/>
    <n v="1"/>
  </r>
  <r>
    <x v="2"/>
    <n v="1093"/>
    <m/>
    <n v="3487"/>
    <s v=""/>
    <s v=""/>
    <x v="579"/>
    <n v="9313543000133"/>
    <s v=""/>
    <s v="Aucione Lima da Silva"/>
    <s v="(11) 94035-6615"/>
    <s v=""/>
    <s v="contato@raryplast.com.br"/>
    <s v=""/>
    <s v=""/>
    <s v=""/>
    <s v="Tatuí"/>
    <s v=""/>
    <s v="Site"/>
    <s v=""/>
    <s v=""/>
    <s v="Contato"/>
    <s v="Pipeline de Vendas"/>
    <s v="Agendamento (0%)"/>
    <s v=""/>
    <d v="2026-08-31T00:00:00"/>
    <m/>
    <m/>
    <n v="12"/>
    <s v="Paulo Souza"/>
    <d v="2026-04-10T00:00:00"/>
    <d v="1899-12-30T09:00:23"/>
    <s v=""/>
    <s v="Perdido"/>
    <d v="2026-04-22T00:00:00"/>
    <d v="1899-12-30T17:04:29"/>
    <s v="Não quer mudar a solução atual"/>
    <s v=""/>
    <s v=""/>
    <x v="0"/>
    <s v="Rayssa Karapeticov"/>
    <x v="0"/>
    <s v=""/>
    <d v="2026-04-22T00:00:00"/>
    <n v="30"/>
    <s v=""/>
    <s v=""/>
    <s v=""/>
    <s v=""/>
    <n v="1"/>
  </r>
  <r>
    <x v="0"/>
    <n v="1094"/>
    <m/>
    <n v="3499"/>
    <s v=""/>
    <s v=""/>
    <x v="580"/>
    <m/>
    <s v=""/>
    <s v="Adovanio"/>
    <s v="11947878080"/>
    <s v=""/>
    <s v="cptavaresrepresenta@gmail.com"/>
    <s v=""/>
    <s v=""/>
    <s v=""/>
    <s v=""/>
    <s v=""/>
    <s v="Campanha"/>
    <s v=""/>
    <s v=""/>
    <s v="Dentro Perfil;Instagram"/>
    <s v="Pipeline de Vendas"/>
    <s v="Agendamento (0%)"/>
    <s v=""/>
    <d v="2026-04-30T00:00:00"/>
    <m/>
    <m/>
    <n v="29"/>
    <s v="Paulo Souza"/>
    <d v="2026-04-10T00:00:00"/>
    <d v="1899-12-30T09:01:47"/>
    <s v=""/>
    <s v="Perdido"/>
    <d v="2026-05-09T00:00:00"/>
    <d v="1899-12-30T08:42:12"/>
    <s v="Sem qualificação — contato não atende ligações nem responde msg"/>
    <s v=""/>
    <s v=""/>
    <x v="0"/>
    <s v="Paulo Souza"/>
    <x v="0"/>
    <s v=""/>
    <m/>
    <n v="30"/>
    <s v=""/>
    <s v=""/>
    <s v=""/>
    <s v=""/>
    <n v="1"/>
  </r>
  <r>
    <x v="1"/>
    <n v="1095"/>
    <m/>
    <n v="3489"/>
    <s v="(10/04/2026) Buscando contato com Andrea"/>
    <s v=""/>
    <x v="581"/>
    <n v="18564850000188"/>
    <s v=""/>
    <s v="Gerente Produção"/>
    <s v="(47) 99633-0990"/>
    <s v=""/>
    <s v="gerenteproducaosimas@gmail.com"/>
    <s v=""/>
    <s v=""/>
    <s v=""/>
    <s v="ITAJAI"/>
    <s v="SC"/>
    <s v="Site"/>
    <s v=""/>
    <s v=""/>
    <s v="Solicita demo"/>
    <s v="Pipeline de Vendas"/>
    <s v="Em negociação (75%)"/>
    <s v=""/>
    <d v="2026-04-30T00:00:00"/>
    <n v="16960"/>
    <n v="1150"/>
    <n v="40"/>
    <s v="Paulo Souza"/>
    <d v="2026-04-10T00:00:00"/>
    <d v="1899-12-30T09:02:55"/>
    <s v=""/>
    <s v="Ativo"/>
    <m/>
    <m/>
    <s v=""/>
    <s v=""/>
    <s v=""/>
    <x v="207"/>
    <s v="Junior Lopes"/>
    <x v="228"/>
    <s v="06/05/2026"/>
    <m/>
    <n v="30"/>
    <s v=""/>
    <s v=""/>
    <s v=""/>
    <s v=""/>
    <n v="1"/>
  </r>
  <r>
    <x v="0"/>
    <n v="1096"/>
    <m/>
    <n v="3513"/>
    <s v=""/>
    <s v=""/>
    <x v="582"/>
    <m/>
    <s v=""/>
    <s v="Silvia"/>
    <s v="11996146290"/>
    <s v=""/>
    <s v="null"/>
    <s v=""/>
    <s v=""/>
    <s v=""/>
    <s v=""/>
    <s v=""/>
    <s v=""/>
    <s v=""/>
    <s v=""/>
    <s v=""/>
    <s v="Pipeline de Vendas"/>
    <s v="Em negociação (75%)"/>
    <s v=""/>
    <m/>
    <n v="26350"/>
    <n v="3450"/>
    <n v="38"/>
    <s v="Paulo Souza"/>
    <d v="2026-04-10T00:00:00"/>
    <d v="1899-12-30T09:15:28"/>
    <s v=""/>
    <s v="Perdido"/>
    <d v="2026-05-18T00:00:00"/>
    <d v="1899-12-30T17:01:15"/>
    <s v="Preço muito alto - fora do budget de investimento"/>
    <s v=""/>
    <s v=""/>
    <x v="0"/>
    <s v="Paulo Souza"/>
    <x v="0"/>
    <s v=""/>
    <d v="2026-04-20T00:00:00"/>
    <n v="30"/>
    <s v=""/>
    <s v=""/>
    <s v=""/>
    <s v=""/>
    <n v="1"/>
  </r>
  <r>
    <x v="2"/>
    <n v="1097"/>
    <m/>
    <n v="3514"/>
    <s v=""/>
    <s v="Green Flower Comercio, Importacao E Exportacao Ltda"/>
    <x v="583"/>
    <n v="7382350000109"/>
    <s v=""/>
    <s v="Green Flower Comercio, Importacao E Exportacao Ltda"/>
    <s v="(11) 4395-7650"/>
    <s v=""/>
    <s v="contato@acrosscontabil.com.br"/>
    <s v=""/>
    <s v=""/>
    <s v=""/>
    <s v="SAO PAULO"/>
    <s v="SP"/>
    <s v="Base de empresas Leads2b"/>
    <s v=""/>
    <s v=""/>
    <s v=""/>
    <s v="Pipeline de Vendas"/>
    <s v="Qualificação de Vendas (SQL) (25%)"/>
    <s v=""/>
    <m/>
    <m/>
    <m/>
    <n v="40"/>
    <s v="Rayssa Karapeticov"/>
    <d v="2026-04-10T00:00:00"/>
    <d v="1899-12-30T15:04:34"/>
    <s v=""/>
    <s v="Ativo"/>
    <m/>
    <m/>
    <s v=""/>
    <s v=""/>
    <s v=""/>
    <x v="0"/>
    <s v="Rayssa Karapeticov"/>
    <x v="0"/>
    <s v=""/>
    <d v="2026-05-07T00:00:00"/>
    <n v="30"/>
    <s v=""/>
    <s v=""/>
    <s v=""/>
    <s v=""/>
    <n v="1"/>
  </r>
  <r>
    <x v="2"/>
    <n v="1098"/>
    <m/>
    <n v="3516"/>
    <s v=""/>
    <s v="Santorini Atacadista Ltda"/>
    <x v="584"/>
    <n v="34355470000190"/>
    <s v=""/>
    <s v="Santorini Atacadista Ltda"/>
    <s v="(11) 8284-9672"/>
    <s v=""/>
    <s v="maluciarezende@gmail.com"/>
    <s v=""/>
    <s v=""/>
    <s v=""/>
    <s v="SAO PAULO"/>
    <s v="SP"/>
    <s v="Base de empresas Leads2b"/>
    <s v=""/>
    <s v=""/>
    <s v=""/>
    <s v="Pipeline de Vendas"/>
    <s v="Agendamento (0%)"/>
    <s v=""/>
    <m/>
    <m/>
    <m/>
    <n v="0"/>
    <s v="Rayssa Karapeticov"/>
    <d v="2026-04-10T00:00:00"/>
    <d v="1899-12-30T15:47:11"/>
    <s v=""/>
    <s v="Perdido"/>
    <d v="2026-04-10T00:00:00"/>
    <d v="1899-12-30T15:48:31"/>
    <s v="Fora do porte mínimo (sem fit estrutural)"/>
    <s v=""/>
    <s v=""/>
    <x v="0"/>
    <s v="Rayssa Karapeticov"/>
    <x v="0"/>
    <s v=""/>
    <m/>
    <n v="30"/>
    <s v=""/>
    <s v=""/>
    <s v=""/>
    <s v=""/>
    <n v="1"/>
  </r>
  <r>
    <x v="2"/>
    <n v="1099"/>
    <m/>
    <n v="3518"/>
    <s v=""/>
    <s v="Mabel Comercio De Importados Ltda"/>
    <x v="585"/>
    <n v="527682000195"/>
    <s v=""/>
    <s v="Mabel Comercio De Importados Ltda"/>
    <s v="(11) 3315-0052"/>
    <s v=""/>
    <s v="deptofiscal@mabelimport.com.br"/>
    <s v=""/>
    <s v=""/>
    <s v=""/>
    <s v="SOROCABA"/>
    <s v="SP"/>
    <s v="Base de empresas Leads2b"/>
    <s v=""/>
    <s v=""/>
    <s v=""/>
    <s v="Pipeline de Vendas"/>
    <s v="Qualificação de Vendas (SQL) (25%)"/>
    <s v=""/>
    <m/>
    <m/>
    <m/>
    <n v="27"/>
    <s v="Rayssa Karapeticov"/>
    <d v="2026-04-10T00:00:00"/>
    <d v="1899-12-30T17:12:21"/>
    <s v=""/>
    <s v="Perdido"/>
    <d v="2026-05-07T00:00:00"/>
    <d v="1899-12-30T10:09:44"/>
    <s v="Projeto adiado / sem prazo definido"/>
    <s v=""/>
    <s v=""/>
    <x v="0"/>
    <s v="Rayssa Karapeticov"/>
    <x v="0"/>
    <s v=""/>
    <m/>
    <n v="28"/>
    <s v=""/>
    <s v=""/>
    <s v=""/>
    <s v=""/>
    <n v="1"/>
  </r>
  <r>
    <x v="2"/>
    <n v="1100"/>
    <m/>
    <n v="3522"/>
    <s v=""/>
    <s v="U4 Home Artigos Domesticos Ltda"/>
    <x v="586"/>
    <n v="28516601000170"/>
    <s v=""/>
    <s v="U4 Home Artigos Domesticos Ltda"/>
    <s v="(13) 3303-9200"/>
    <s v=""/>
    <s v="financeiro@u4home.com.br"/>
    <s v=""/>
    <s v=""/>
    <s v=""/>
    <s v="ITANHAEM"/>
    <s v="SP"/>
    <s v="Base de empresas Leads2b"/>
    <s v=""/>
    <s v=""/>
    <s v=""/>
    <s v="Pipeline de Vendas"/>
    <s v="Qualificação de Vendas (SQL) (25%)"/>
    <s v=""/>
    <m/>
    <m/>
    <m/>
    <n v="40"/>
    <s v="Rayssa Karapeticov"/>
    <d v="2026-04-10T00:00:00"/>
    <d v="1899-12-30T17:23:16"/>
    <s v=""/>
    <s v="Ativo"/>
    <m/>
    <m/>
    <s v=""/>
    <s v=""/>
    <s v=""/>
    <x v="0"/>
    <s v="Rayssa Karapeticov"/>
    <x v="0"/>
    <s v=""/>
    <m/>
    <n v="30"/>
    <s v=""/>
    <s v=""/>
    <s v=""/>
    <s v=""/>
    <n v="1"/>
  </r>
  <r>
    <x v="2"/>
    <n v="1101"/>
    <m/>
    <n v="3530"/>
    <s v="16.14 - apresentação realizada"/>
    <s v="Ns Iguacu Eletronicos Ltda"/>
    <x v="587"/>
    <n v="12259254000108"/>
    <s v=""/>
    <s v="Leticia"/>
    <s v="(11) 96978-9804"/>
    <s v=""/>
    <s v="weisc@uol.com.br"/>
    <s v=""/>
    <s v=""/>
    <s v=""/>
    <s v="SAO PAULO"/>
    <s v="SP"/>
    <s v="Base de empresas Leads2b"/>
    <s v=""/>
    <s v=""/>
    <s v=""/>
    <s v="Pipeline de Vendas"/>
    <s v="Apresentar Proposta (50%)"/>
    <s v=""/>
    <d v="2026-07-31T00:00:00"/>
    <m/>
    <m/>
    <n v="37"/>
    <s v="Rayssa Karapeticov"/>
    <d v="2026-04-13T00:00:00"/>
    <d v="1899-12-30T12:31:55"/>
    <s v=""/>
    <s v="Ativo"/>
    <m/>
    <m/>
    <s v=""/>
    <s v=""/>
    <s v=""/>
    <x v="208"/>
    <s v="Rayssa Karapeticov"/>
    <x v="229"/>
    <s v="04/05/2026"/>
    <d v="2026-05-13T00:00:00"/>
    <n v="30"/>
    <s v=""/>
    <s v=""/>
    <s v=""/>
    <s v=""/>
    <n v="1"/>
  </r>
  <r>
    <x v="1"/>
    <n v="1102"/>
    <m/>
    <n v="3533"/>
    <s v="(23/04/2026) em ligação _x000a_adicionou meu numero de WhatsApp para enviar ao gerente comercial _x000a_10:49, 23/04/2026 Amanda Etilux Oliveira: Bom dia, tudo bem ?_x000a_10:50, 23/04/2026 Amanda Etilux Oliveira: Amanda da Etilux_x000a_10:50, 23/04/2026 Junior Lopes: Olá Amanda, bom dia! Tudo bem por aqui. Como posso te ajudar hoje?_x000a_10:57, 23/04/2026 Junior Lopes: Olá ! Muito obrigado_x000a_10:58, 23/04/2026 Amanda Etilux Oliveira: poderia me explicar de novo, para te encaminhar para o setor responsavel_x000a_10:58, 23/04/2026 Junior Lopes: Td bem Amanda ?_x000a_10:59, 23/04/2026 Amanda Etilux Oliveira: sim_x000a_11:01, 23/04/2026 Junior Lopes: Sou Junior Lopes da Guarani sistemas _x000a_A ideia é apresentar nossa soluções para automação da força de vendas _x000a_Nossa solução pode ajudar seu representante a vender mais com recursos de IA acoplado ao aplicativo, vendas B2B feitas pelo próprio representante/vendedor_x000a_11:01, 23/04/2026 Junior Lopes: A ideia é apresentar essa solução para seu gestor comercial_x000a_11:01, 23/04/2026 Junior Lopes: Acredito que seja o Rodrigo Fritoli_x000a_11:03, 23/04/2026 Amanda Etilux Oliveira: Sobre sistemas pode mandar e-mail ewerton.dias@etilux.com.br_x000a_11:04, 23/04/2026 Junior Lopes: Ta joia ! Vou enviar para Ewerton_x000a_11:04, 23/04/2026 Junior Lopes: Acredito que seja o Rodrigo Fritoli_x000a_Vc consegue me enviar o telefone do Rodrigo?_x000a_11:05, 23/04/2026 Amanda Etilux Oliveira: Consigo te enviar o e-mail _x000a_rodrigo.fritoli@etilux.com.br"/>
    <s v="Etilux Importacao E Distribuicao De Artigos De Cutelaria Ltda"/>
    <x v="588"/>
    <n v="50306471000524"/>
    <s v=""/>
    <s v="Etilux Importacao E Distribuicao De Artigos De Cutelaria Ltda"/>
    <s v="(11) 3227-3263"/>
    <s v=""/>
    <s v="askfiscal@askcontabil.com.br"/>
    <s v=""/>
    <s v=""/>
    <s v=""/>
    <s v="GUARULHOS"/>
    <s v="SP"/>
    <s v="Base de empresas Leads2b"/>
    <s v=""/>
    <s v=""/>
    <s v=""/>
    <s v="Pipeline de Vendas"/>
    <s v="Qualificação de Vendas (SQL) (25%)"/>
    <s v=""/>
    <m/>
    <m/>
    <m/>
    <n v="37"/>
    <s v="Junior Lopes"/>
    <d v="2026-04-13T00:00:00"/>
    <d v="1899-12-30T15:14:42"/>
    <s v=""/>
    <s v="Ativo"/>
    <m/>
    <m/>
    <s v=""/>
    <s v=""/>
    <s v=""/>
    <x v="0"/>
    <s v=""/>
    <x v="0"/>
    <s v=""/>
    <d v="2026-04-23T00:00:00"/>
    <n v="30"/>
    <s v=""/>
    <s v=""/>
    <s v="R$ 0,00"/>
    <s v=""/>
    <n v="1"/>
  </r>
  <r>
    <x v="2"/>
    <n v="1103"/>
    <m/>
    <n v="3534"/>
    <s v="14.04 - em ligação com o cliente, já conhecem o Guarani devido a clientes do mesmo segmento, e já tiveram uma conversa conosco a uns 15 anos atrás e não avançaram devido o valor. Retornou o contato pedindo uma apreentação do sistemas para os funcionários da empresa ainda essa semana, porque o diretor que estara presente viaja na proxima semana"/>
    <s v=""/>
    <x v="589"/>
    <n v="8822792000191"/>
    <s v=""/>
    <s v="Ana Cristina"/>
    <s v="(11) 95126-4832"/>
    <s v=""/>
    <s v="financeiro.sqcomercio@gmail.com"/>
    <s v=""/>
    <s v=""/>
    <s v=""/>
    <s v="SAO PAULO"/>
    <s v="SP"/>
    <s v="Site"/>
    <s v=""/>
    <s v=""/>
    <s v="Dentro Perfil;Solicita demo"/>
    <s v="Pipeline de Vendas"/>
    <s v="Em negociação (75%)"/>
    <s v=""/>
    <d v="2026-09-30T00:00:00"/>
    <n v="85600"/>
    <n v="66847"/>
    <n v="29"/>
    <s v="Paulo Souza"/>
    <d v="2026-04-14T00:00:00"/>
    <d v="1899-12-30T10:03:18"/>
    <s v=""/>
    <s v="Perdido"/>
    <d v="2026-05-13T00:00:00"/>
    <d v="1899-12-30T11:16:02"/>
    <s v="Fechou com o concorrente - funcionaliadade"/>
    <s v=""/>
    <s v=""/>
    <x v="208"/>
    <s v="Rayssa Karapeticov"/>
    <x v="230"/>
    <s v=""/>
    <d v="2026-05-13T00:00:00"/>
    <n v="30"/>
    <s v=""/>
    <s v="ERP, AFV, WMS, COMEX, CLOUD"/>
    <s v=""/>
    <s v=""/>
    <n v="1"/>
  </r>
  <r>
    <x v="2"/>
    <n v="1104"/>
    <m/>
    <n v="3527"/>
    <s v="14.04 Cliente vende auto peças, material de construção e ainda presta serviço. é um logista. _x000a_Fora do perfil"/>
    <s v=""/>
    <x v="590"/>
    <m/>
    <s v=""/>
    <s v="Comblocos Materiais de Construção"/>
    <s v="33988611992"/>
    <s v=""/>
    <s v="ittalo.tim@hotmail.com"/>
    <s v=""/>
    <s v=""/>
    <s v=""/>
    <s v=""/>
    <s v="Vvv"/>
    <s v="Inbound"/>
    <s v=""/>
    <s v=""/>
    <s v="Fora Perfil;Instagram"/>
    <s v="Pipeline de Vendas"/>
    <s v="Agendamento (0%)"/>
    <s v=""/>
    <d v="2026-04-30T00:00:00"/>
    <m/>
    <m/>
    <n v="0"/>
    <s v="Paulo Souza"/>
    <d v="2026-04-14T00:00:00"/>
    <d v="1899-12-30T10:05:58"/>
    <s v=""/>
    <s v="Perdido"/>
    <d v="2026-04-14T00:00:00"/>
    <d v="1899-12-30T10:31:19"/>
    <s v="Fora do porte mínimo (sem fit estrutural)"/>
    <s v=""/>
    <s v=""/>
    <x v="0"/>
    <s v="Rayssa Karapeticov"/>
    <x v="0"/>
    <s v=""/>
    <m/>
    <n v="30"/>
    <s v=""/>
    <s v=""/>
    <s v=""/>
    <s v=""/>
    <n v="1"/>
  </r>
  <r>
    <x v="1"/>
    <n v="1105"/>
    <m/>
    <n v="3524"/>
    <s v="(14/04/2026) em contato com Renan _x000a_10:42, 14/04/2026 Junior Lopes: Olá Renan, bom dia ! tudo bem ?_x000a_10:42, 14/04/2026 Junior Lopes: sou Junior Lopes da Guarani sistemas td bem ?_x000a_10:44, 14/04/2026 +55 66 9647-2785: Bom dia Junior_x000a_10:44, 14/04/2026 +55 66 9647-2785: Tudo bem e contigo?_x000a_10:45, 14/04/2026 Junior Lopes: Opa Td joia ! _x000a_Estou retornando para vc um contato que fez conosco sobre nosso software_x000a_11:03, 14/04/2026 +55 66 9647-2785: Vc tem sistema para materiais para construção_x000a_11:03, 14/04/2026 +55 66 9647-2785: ?_x000a_11:27, 14/04/2026 +55 66 9647-2785: A venda somente interna mesmo_x000a_11:27, 14/04/2026 +55 66 9647-2785: Não tem vendedores externos_x000a_11:36, 14/04/2026 Junior Lopes: Fiz uma análise rápida aqui Renan devido alguns pontos não consigo te atender! Ate pq nossa solução é mais focada em distribuição"/>
    <s v=""/>
    <x v="591"/>
    <m/>
    <s v=""/>
    <s v="Araguaia Materiais Para Construcao"/>
    <s v="66996472785"/>
    <s v=""/>
    <s v="renansimon@gmail.com"/>
    <s v=""/>
    <s v=""/>
    <s v=""/>
    <s v=""/>
    <s v=""/>
    <s v="Campanha"/>
    <s v=""/>
    <s v=""/>
    <s v="Fora Perfil;Instagram"/>
    <s v="Pipeline de Vendas"/>
    <s v="Qualificação de Vendas (SQL) (25%)"/>
    <s v=""/>
    <d v="2026-04-14T00:00:00"/>
    <m/>
    <m/>
    <n v="0"/>
    <s v="Paulo Souza"/>
    <d v="2026-04-14T00:00:00"/>
    <d v="1899-12-30T10:08:51"/>
    <s v=""/>
    <s v="Perdido"/>
    <d v="2026-04-14T00:00:00"/>
    <d v="1899-12-30T11:58:52"/>
    <s v="Fora do porte mínimo (sem fit estrutural)"/>
    <s v="em contato com Renan, precisa de um PDV para loja de material de construção com particularidades de entrega parcial e controle de medidas das para venda de terras e pedras"/>
    <s v=""/>
    <x v="0"/>
    <s v="Junior Lopes"/>
    <x v="0"/>
    <s v=""/>
    <m/>
    <n v="30"/>
    <s v=""/>
    <s v=""/>
    <s v=""/>
    <s v=""/>
    <n v="1"/>
  </r>
  <r>
    <x v="1"/>
    <n v="1106"/>
    <m/>
    <n v="3525"/>
    <s v=""/>
    <s v=""/>
    <x v="592"/>
    <m/>
    <s v=""/>
    <s v="Teodoro cosméticos"/>
    <s v="64999291080"/>
    <s v=""/>
    <s v="rogeriojtigo@hotmail.com"/>
    <s v=""/>
    <s v=""/>
    <s v=""/>
    <s v=""/>
    <s v="Jatai goais"/>
    <s v="Inbound"/>
    <s v=""/>
    <s v=""/>
    <s v="Dentro Perfil;Instagram"/>
    <s v="Pipeline de Vendas"/>
    <s v="Qualificação de Vendas (SQL) (25%)"/>
    <s v=""/>
    <d v="2026-04-14T00:00:00"/>
    <m/>
    <m/>
    <n v="36"/>
    <s v="Paulo Souza"/>
    <d v="2026-04-14T00:00:00"/>
    <d v="1899-12-30T10:09:44"/>
    <s v=""/>
    <s v="Ativo"/>
    <m/>
    <m/>
    <s v=""/>
    <s v=""/>
    <s v=""/>
    <x v="0"/>
    <s v="Junior Lopes"/>
    <x v="0"/>
    <s v=""/>
    <m/>
    <n v="30"/>
    <s v=""/>
    <s v=""/>
    <s v=""/>
    <s v=""/>
    <n v="1"/>
  </r>
  <r>
    <x v="1"/>
    <n v="1107"/>
    <m/>
    <n v="3526"/>
    <s v=""/>
    <s v=""/>
    <x v="593"/>
    <n v="52975803000165"/>
    <s v=""/>
    <s v="Dsg"/>
    <s v="85994341515"/>
    <s v=""/>
    <s v="euderi@hotmail.com"/>
    <s v=""/>
    <s v=""/>
    <s v=""/>
    <s v="MARACANAU"/>
    <s v="CE"/>
    <s v="Campanha"/>
    <s v=""/>
    <s v=""/>
    <s v="Fora Perfil;Instagram"/>
    <s v="Pipeline de Vendas"/>
    <s v="Agendamento (0%)"/>
    <s v=""/>
    <d v="2026-04-14T00:00:00"/>
    <m/>
    <m/>
    <n v="25"/>
    <s v="Paulo Souza"/>
    <d v="2026-04-14T00:00:00"/>
    <d v="1899-12-30T10:11:37"/>
    <s v=""/>
    <s v="Perdido"/>
    <d v="2026-05-09T00:00:00"/>
    <d v="1899-12-30T08:42:58"/>
    <s v="Fora do segmento atendido"/>
    <s v=""/>
    <s v=""/>
    <x v="0"/>
    <s v="Junior Lopes"/>
    <x v="0"/>
    <s v=""/>
    <m/>
    <n v="30"/>
    <s v=""/>
    <s v=""/>
    <s v=""/>
    <s v=""/>
    <n v="1"/>
  </r>
  <r>
    <x v="1"/>
    <n v="1113"/>
    <m/>
    <n v="3542"/>
    <s v=""/>
    <s v="Logrosoft Comercio, Importacao, Exportacao E Prestacao De Servicos Ltda"/>
    <x v="594"/>
    <n v="38116840000197"/>
    <s v=""/>
    <s v="Logrosoft Comercio, Importacao, Exportacao E Prestacao De Servicos Ltda"/>
    <s v="(31) 3378-0033"/>
    <s v=""/>
    <s v="supervisoroperacional@logrosoft.com.br"/>
    <s v=""/>
    <s v=""/>
    <s v=""/>
    <s v="BELO HORIZONTE"/>
    <s v="MG"/>
    <s v="Base de empresas Leads2b"/>
    <s v=""/>
    <s v=""/>
    <s v=""/>
    <s v="Pipeline de Vendas"/>
    <s v="Apresentar Solução (35%)"/>
    <s v=""/>
    <m/>
    <n v="13509779"/>
    <n v="899628"/>
    <n v="16"/>
    <s v="Junior Lopes"/>
    <d v="2026-04-14T00:00:00"/>
    <d v="1899-12-30T16:43:47"/>
    <s v=""/>
    <s v="Perdido"/>
    <d v="2026-04-30T00:00:00"/>
    <d v="1899-12-30T15:42:59"/>
    <s v="Não houve aprovação financeira"/>
    <s v="dois pontos que o cliente usou para não seguir ! busca um ERP Mais simples e com valor ,ais em conta"/>
    <s v=""/>
    <x v="209"/>
    <s v=""/>
    <x v="231"/>
    <s v=""/>
    <m/>
    <n v="50"/>
    <s v=""/>
    <s v=""/>
    <s v=""/>
    <s v=""/>
    <n v="1"/>
  </r>
  <r>
    <x v="1"/>
    <n v="1114"/>
    <m/>
    <n v="3544"/>
    <s v=""/>
    <s v=""/>
    <x v="595"/>
    <n v="38116840000197"/>
    <s v=""/>
    <s v="Logrosoft comercio CLOUD"/>
    <s v="3133780033"/>
    <s v=""/>
    <s v="supervisoroperacional@logrosoft.com.br"/>
    <s v=""/>
    <s v=""/>
    <s v=""/>
    <s v="BELO HORIZONTE"/>
    <s v="MG"/>
    <s v=""/>
    <s v=""/>
    <s v=""/>
    <s v=""/>
    <s v="Pipeline de Vendas"/>
    <s v="Em negociação (75%)"/>
    <s v=""/>
    <m/>
    <m/>
    <m/>
    <n v="16"/>
    <s v="Junior Lopes"/>
    <d v="2026-04-14T00:00:00"/>
    <d v="1899-12-30T16:46:18"/>
    <s v=""/>
    <s v="Perdido"/>
    <d v="2026-04-30T00:00:00"/>
    <d v="1899-12-30T15:42:07"/>
    <s v="Não houve aprovação financeira"/>
    <s v="dois pontos que o cliente usou para não seguir ! busca um ERP Mais simples e com valor ,ais em conta"/>
    <s v=""/>
    <x v="209"/>
    <s v=""/>
    <x v="232"/>
    <s v=""/>
    <m/>
    <n v="50"/>
    <s v=""/>
    <s v=""/>
    <s v=""/>
    <s v=""/>
    <n v="1"/>
  </r>
  <r>
    <x v="2"/>
    <n v="1116"/>
    <m/>
    <n v="3545"/>
    <s v="28.04"/>
    <s v=""/>
    <x v="596"/>
    <m/>
    <s v=""/>
    <s v="RK Assessoria Contábil"/>
    <s v="92981527777"/>
    <s v=""/>
    <s v="rcustodio777@gmail.com"/>
    <s v=""/>
    <s v=""/>
    <s v=""/>
    <s v=""/>
    <s v="Amazonas"/>
    <s v="Inbound"/>
    <s v=""/>
    <s v=""/>
    <s v="Dentro Perfil;Instagram"/>
    <s v="Pipeline de Vendas"/>
    <s v="Agendamento (0%)"/>
    <s v=""/>
    <d v="2026-04-15T00:00:00"/>
    <m/>
    <m/>
    <n v="24"/>
    <s v="Paulo Souza"/>
    <d v="2026-04-15T00:00:00"/>
    <d v="1899-12-30T12:27:42"/>
    <s v=""/>
    <s v="Perdido"/>
    <d v="2026-05-09T00:00:00"/>
    <d v="1899-12-30T08:29:42"/>
    <s v="Fora do segmento atendido"/>
    <s v=""/>
    <s v=""/>
    <x v="0"/>
    <s v="Rayssa Karapeticov"/>
    <x v="0"/>
    <s v=""/>
    <d v="2026-04-28T00:00:00"/>
    <n v="30"/>
    <s v=""/>
    <s v=""/>
    <s v=""/>
    <s v=""/>
    <n v="1"/>
  </r>
  <r>
    <x v="1"/>
    <n v="1117"/>
    <m/>
    <n v="3546"/>
    <s v="11:25, 16/04/2026 Junior Lopes: Olá bom dia !_x000a_11:25, 16/04/2026 Junior Lopes: Sou Junior Lopes da Guarani sistemas, Td bem ?_x000a_11:28, 16/04/2026 Junior Lopes: Estou retornando um contato que vc fez conosco_x000a_11:38, 16/04/2026 Big Alimentos: BIG Alimentos  agradece seu contato. Como podemos ajudar?_x000a_14:48, 16/04/2026 Big Alimentos: Olá_x000a_14:49, 16/04/2026 Big Alimentos: Júnior estou na estrada _x000a_Retorno na quarta_x000a_14:49, 16/04/2026 Big Alimentos: Aí falamos_x000a_14:49, 16/04/2026 Big Alimentos: Blz_x000a_14:54, 16/04/2026 Junior Lopes: Boa viagem 👊_x000a_🙏_x000a_(18/05/2026) cliente não responde aos contatos"/>
    <s v=""/>
    <x v="597"/>
    <m/>
    <s v=""/>
    <s v="AutoFoz"/>
    <s v="41991237979"/>
    <s v=""/>
    <s v="b8alimentos@gmail.com"/>
    <s v=""/>
    <s v=""/>
    <s v=""/>
    <s v=""/>
    <s v="Brasil"/>
    <s v="Inbound"/>
    <s v=""/>
    <s v=""/>
    <s v="Dentro Perfil;Instagram"/>
    <s v="Pipeline de Vendas"/>
    <s v="Qualificação de Vendas (SQL) (25%)"/>
    <s v=""/>
    <d v="2026-04-30T00:00:00"/>
    <m/>
    <m/>
    <n v="33"/>
    <s v="Paulo Souza"/>
    <d v="2026-04-15T00:00:00"/>
    <d v="1899-12-30T12:28:31"/>
    <s v=""/>
    <s v="Perdido"/>
    <d v="2026-05-18T00:00:00"/>
    <d v="1899-12-30T15:03:56"/>
    <s v="Sem qualificação — contato não atende ligações nem responde msg"/>
    <s v="inicialmente cliente chegou a responder , logo sumiu e não retorna mais"/>
    <s v=""/>
    <x v="0"/>
    <s v="Junior Lopes"/>
    <x v="0"/>
    <s v=""/>
    <d v="2026-05-18T00:00:00"/>
    <n v="30"/>
    <s v=""/>
    <s v=""/>
    <s v=""/>
    <s v=""/>
    <n v="1"/>
  </r>
  <r>
    <x v="1"/>
    <n v="1120"/>
    <m/>
    <n v="3556"/>
    <s v="14:26, 17/04/2026 Junior Lopes: Olá Danilo ,_x000a_Boa tarde _x000a_Sou Junior Lopes da Guarani sistemas! Td bem ? _x000a_Quem me passou seu contato foi o Jonas_x000a_14:26, 17/04/2026 Danillo Negrao Atac: ola tudo bem??_x000a_14:33, 17/04/2026 Junior Lopes: Imagine que o próprio representante/vendedor pode enviar loja B2B para o cliente dele e administrar essas lojas no dispositivo"/>
    <s v="Ferragens Negrao Comercial Ltda"/>
    <x v="598"/>
    <n v="76639285000339"/>
    <s v=""/>
    <s v="Ferragens Negrao Comercial Ltda"/>
    <s v="(41) 2109-8000"/>
    <s v=""/>
    <s v="fiscal@grupofn.com.br"/>
    <s v=""/>
    <s v=""/>
    <s v=""/>
    <s v="CURITIBA"/>
    <s v="PR"/>
    <s v="Base de empresas Leads2b"/>
    <s v=""/>
    <s v=""/>
    <s v=""/>
    <s v="Pipeline de Vendas"/>
    <s v="Qualificação de Vendas (SQL) (25%)"/>
    <s v=""/>
    <m/>
    <m/>
    <m/>
    <n v="33"/>
    <s v="Junior Lopes"/>
    <d v="2026-04-17T00:00:00"/>
    <d v="1899-12-30T14:41:48"/>
    <s v=""/>
    <s v="Ativo"/>
    <m/>
    <m/>
    <s v=""/>
    <s v=""/>
    <s v=""/>
    <x v="0"/>
    <s v=""/>
    <x v="0"/>
    <s v=""/>
    <m/>
    <n v="30"/>
    <s v=""/>
    <s v=""/>
    <s v=""/>
    <s v=""/>
    <n v="1"/>
  </r>
  <r>
    <x v="1"/>
    <n v="1121"/>
    <m/>
    <n v="3558"/>
    <s v="(23/04/2026 E mail enviado buscando agenda : _x000a_Olá Tito, Tudo bem ? _x000a_ _x000a_Meu nome é Junior Lopes , da Guarani Sistemas. Escrevo para apresentar uma solução que pode transformar a eficiência da equipe de vendas da Bartofil: o Guarani AFV._x000a_ _x000a_Em anexo, envio um folder com todos os detalhes, mas gostaria de destacar três pilares que fazem toda a diferença:_x000a_ _x000a_IA Iara, sua assistente virtual de vendas: Ela atua dentro do app do representante, analisando histórico, ramo de atividade e comportamento de compra para fazer predições e sugestões de venda inteligentes. A Iara aprende com cada cliente e ajuda a impulsionar o mix de produtos ativos, reduzindo rupturas no PDV._x000a_Integração nativa com qualquer ERP: O sistema se conecta perfeitamente ao seu software de gestão atual, seja qual for. Isso garante um fluxo de dados único (pedidos, estoque, clientes) sem retrabalho, duplicidade ou necessidade de mudar toda a operação._x000a_Loja B2B personalizada: Ofereça aos seus clientes um canal de compra 24/7, onde podem fazer pedidos de onde, quando e como quiserem. Isso amplia o ticket médio, libera a equipe de vendas para atividades mais estratégicas e garante que nenhuma oportunidade seja perdida fora do horário comercial._x000a_ _x000a_Além disso, a solução inclui catálogo digital, orçamento e proposta web, roteirização inteligente, controle de estoques em múltiplos locais e indicadores de desempenho em tempo real._x000a_ _x000a_Gostaria de agendar uma apresentação rápida (30–45 minutos) para mostrar, na prática, como o Guarani AFV pode apoiar a equipe da Bartofil e reduzir rupturas no ponto de venda, além de ampliar o mix de produtos ativos em cada cliente._x000a_ _x000a_Você teria disponibilidade na próxima semana, em algum desses horários?_x000a_ _x000a_Segunda-feira dia 27/04 às 10 horas _x000a_Terça-feira dia 28/04 às 14 horas _x000a_ _x000a_Se preferir, posso me adequar ao melhor dia e horário para você._x000a_ _x000a_Fico à disposição e agradeço desde já pela atenção."/>
    <s v="Nova Casa Distribuidora De Materiais Para Construcao S/a"/>
    <x v="599"/>
    <n v="74200403001605"/>
    <s v=""/>
    <s v="Nova Casa Distribuidora De Materiais Para Construcao S/a"/>
    <s v="(61) 3025-9500"/>
    <s v=""/>
    <s v="fiscal@ncdistribuidora.com.br"/>
    <s v=""/>
    <s v=""/>
    <s v=""/>
    <s v="SAO LUIS"/>
    <s v="MA"/>
    <s v="Base de empresas Leads2b"/>
    <s v=""/>
    <s v=""/>
    <s v=""/>
    <s v="Pipeline de Vendas"/>
    <s v="Qualificação de Vendas (SQL) (25%)"/>
    <s v=""/>
    <m/>
    <m/>
    <m/>
    <n v="33"/>
    <s v="Junior Lopes"/>
    <d v="2026-04-17T00:00:00"/>
    <d v="1899-12-30T14:51:26"/>
    <s v=""/>
    <s v="Ativo"/>
    <m/>
    <m/>
    <s v=""/>
    <s v=""/>
    <s v=""/>
    <x v="0"/>
    <s v=""/>
    <x v="0"/>
    <s v=""/>
    <d v="2026-04-23T00:00:00"/>
    <n v="30"/>
    <s v=""/>
    <s v=""/>
    <s v=""/>
    <s v=""/>
    <n v="1"/>
  </r>
  <r>
    <x v="1"/>
    <n v="1122"/>
    <m/>
    <n v="3560"/>
    <s v=""/>
    <s v="Bartofil Distribuidora Sa"/>
    <x v="600"/>
    <n v="23797376005567"/>
    <s v=""/>
    <s v="Bartofil Distribuidora Sa"/>
    <s v="(31) 3819-2000"/>
    <s v=""/>
    <s v="contabilidade@bartofil.com.br"/>
    <s v=""/>
    <s v=""/>
    <s v=""/>
    <s v="NOVA FRIBURGO"/>
    <s v="RJ"/>
    <s v="Base de empresas Leads2b"/>
    <s v=""/>
    <s v=""/>
    <s v=""/>
    <s v="Pipeline de Vendas"/>
    <s v="Qualificação de Vendas (SQL) (25%)"/>
    <s v=""/>
    <m/>
    <m/>
    <m/>
    <n v="33"/>
    <s v="Junior Lopes"/>
    <d v="2026-04-17T00:00:00"/>
    <d v="1899-12-30T15:36:58"/>
    <s v=""/>
    <s v="Ativo"/>
    <m/>
    <m/>
    <s v=""/>
    <s v=""/>
    <s v=""/>
    <x v="0"/>
    <s v=""/>
    <x v="0"/>
    <s v=""/>
    <d v="2026-05-06T00:00:00"/>
    <n v="30"/>
    <s v=""/>
    <s v=""/>
    <s v=""/>
    <s v=""/>
    <n v="1"/>
  </r>
  <r>
    <x v="1"/>
    <n v="1123"/>
    <m/>
    <n v="3562"/>
    <s v=""/>
    <s v="L.l.e. Ferragens Ltda."/>
    <x v="601"/>
    <n v="5953543000147"/>
    <s v=""/>
    <s v="L.l.e. Ferragens Ltda."/>
    <s v="(21) 2131-8511"/>
    <s v=""/>
    <s v="fiscal@grupolle.com.br"/>
    <s v=""/>
    <s v=""/>
    <s v=""/>
    <s v="RIO DE JANEIRO"/>
    <s v="RJ"/>
    <s v="Base de empresas Leads2b"/>
    <s v=""/>
    <s v=""/>
    <s v=""/>
    <s v="Pipeline de Vendas"/>
    <s v="Qualificação de Vendas (SQL) (25%)"/>
    <s v=""/>
    <m/>
    <m/>
    <m/>
    <n v="33"/>
    <s v="Junior Lopes"/>
    <d v="2026-04-17T00:00:00"/>
    <d v="1899-12-30T16:48:26"/>
    <s v=""/>
    <s v="Ativo"/>
    <m/>
    <m/>
    <s v=""/>
    <s v=""/>
    <s v=""/>
    <x v="0"/>
    <s v=""/>
    <x v="0"/>
    <s v=""/>
    <d v="2026-05-06T00:00:00"/>
    <n v="30"/>
    <s v=""/>
    <s v=""/>
    <s v=""/>
    <s v=""/>
    <n v="1"/>
  </r>
  <r>
    <x v="2"/>
    <n v="1126"/>
    <m/>
    <n v="3553"/>
    <s v="22.04 caixa postal_x000a_10:19, 22/04/2026 Rayssa Karapeticov - Comercial - Guarani Sistemas: Bom dia Valéria, tudo bem?_x000a_Meu nome é Rayssa, sou executiva de vendas na Guarani Sistemas_x000a_Estou retornando seu contato com interesse em nossa soluções,_x000a_10:20, 22/04/2026 Rayssa Karapeticov - Comercial - Guarani Sistemas: Para seguirmos com seu atendimento, preciso entender seus processos e mais sobre sua empresa_x000a_Qual a melhor forma para retornar o contato, prefere falar por aqui ou prefere que te ligue?"/>
    <s v=""/>
    <x v="602"/>
    <m/>
    <s v=""/>
    <s v="Brasil Rural"/>
    <s v="17997762600"/>
    <s v=""/>
    <s v="valeria.rod312@gmail.com"/>
    <s v=""/>
    <s v=""/>
    <s v=""/>
    <s v=""/>
    <s v="Brasil"/>
    <s v="Inbound"/>
    <s v=""/>
    <s v=""/>
    <s v="Fora Perfil;Instagram"/>
    <s v="Pipeline de Vendas"/>
    <s v="Agendamento (0%)"/>
    <s v=""/>
    <m/>
    <m/>
    <m/>
    <n v="19"/>
    <s v="Paulo Souza"/>
    <d v="2026-04-20T00:00:00"/>
    <d v="1899-12-30T14:16:55"/>
    <s v=""/>
    <s v="Perdido"/>
    <d v="2026-05-09T00:00:00"/>
    <d v="1899-12-30T08:28:25"/>
    <s v="Sem qualificação — contato não atende ligações nem responde msg"/>
    <s v=""/>
    <s v=""/>
    <x v="0"/>
    <s v="Rayssa Karapeticov"/>
    <x v="0"/>
    <s v=""/>
    <d v="2026-04-30T00:00:00"/>
    <n v="30"/>
    <s v=""/>
    <s v=""/>
    <s v=""/>
    <s v=""/>
    <n v="1"/>
  </r>
  <r>
    <x v="1"/>
    <n v="1127"/>
    <m/>
    <n v="3555"/>
    <s v="e mail enviado _x000a_(30/04/2026) em contato com Manoel vendo melhor data para apresentação _x000a_Olá Manoel ! _x000a_Meu nome é Junior Lopes, sou Executivo de Contas Corporativas na Guarani Sistemas, empresa especializada em soluções de gestão empresarial e comercial para toda a cadeia de abastecimento de artigos para o lar._x000a_ _x000a_Desde 2006, desenvolvemos e implementamos ferramentas que fomentam o crescimento dos nossos clientes. Hoje, contamos com mais de 900 clientes ativos, 40 mil usuários e cerca de 65 mil notas fiscais geradas diariamente em nossa plataforma, mantendo um crescimento médio anual de 20%. Nosso propósito é transformar nossos clientes em referência comercial e operacional em seus mercados, criando em conjunto soluções flexíveis que promovam diretamente o crescimento do negócio._x000a_ _x000a_Atendemos indústrias, importadores, distribuidores, atacadistas e varejistas dos segmentos de utilidades domésticas, brinquedos, presentes, decoração, metalúrgica, química, alimentos, têxtil, agro e outros generalistas. Entre nossos clientes, temos casos de sucesso como Plasútil, Paramount, Ingá Import, Alumínio Nacional e Dolce Home, que ampliaram sua eficiência e cresceram fortemente com o apoio de nossas soluções._x000a_ _x000a_Para a Home Market 24h, enxergamos grande potencial de apoio principalmente em três frentes:_x000a_Gestão integrada da operação, com nosso ERP (on-premise ou em nuvem), módulos de PCP e WMS, garantindo controle de estoques, compras, vendas, faturamento, financeiro e logística em um único ambiente._x000a_Automação da força de vendas, com o Guarani AFV, levando mais produtividade, controle e inteligência comercial para a equipe, com informações em tempo real e apoio à expansão da carteira de clientes._x000a_E-commerce B2B integrado, com o Power B2B, permitindo que seus clientes realizem pedidos de maneira simples, rápida e totalmente integrada ao ERP, ampliando o alcance da Home Market 24h no mercado corporativo._x000a_ _x000a_ _x000a_Gostaria de agendar uma breve conversa para entender melhor o cenário atual da Home Market 24h e apresentar de forma objetiva como a Guarani Sistemas pode contribuir com a operação de vocês?_x000a_ _x000a_Fico à disposição para alinhar o melhor dia e horário._x000a_ _x000a_ _x000a_Atenciosamente,"/>
    <s v=""/>
    <x v="603"/>
    <m/>
    <s v=""/>
    <s v="Comercial O Manoel"/>
    <s v="85999874743"/>
    <s v=""/>
    <s v="comercialomanoel@gmail.com"/>
    <s v=""/>
    <s v=""/>
    <s v=""/>
    <s v=""/>
    <s v="Ceara"/>
    <s v="Inbound"/>
    <s v=""/>
    <s v=""/>
    <s v="Dentro Perfil;Instagram"/>
    <s v="Pipeline de Vendas"/>
    <s v="Qualificação de Vendas (SQL) (25%)"/>
    <s v=""/>
    <m/>
    <m/>
    <m/>
    <n v="30"/>
    <s v="Paulo Souza"/>
    <d v="2026-04-20T00:00:00"/>
    <d v="1899-12-30T14:26:57"/>
    <s v=""/>
    <s v="Ativo"/>
    <m/>
    <m/>
    <s v=""/>
    <s v=""/>
    <s v=""/>
    <x v="0"/>
    <s v="Junior Lopes"/>
    <x v="0"/>
    <s v=""/>
    <d v="2026-04-30T00:00:00"/>
    <n v="30"/>
    <s v=""/>
    <s v=""/>
    <s v=""/>
    <s v=""/>
    <n v="1"/>
  </r>
  <r>
    <x v="2"/>
    <n v="1128"/>
    <m/>
    <n v="3565"/>
    <s v="22.04 Não atendeu _x000a_Bom dia, Sergio. Como vai? _x000a_Meu nome é Rayssa, sou Executiva de Vendas na Guarani Sistemas, e estou retornando seu contato com nossa empresa para conhecer mais sobre nossas soluções_x000a_Para seguirmos preciso entender sua empresa e seus processos. _x000a_Você prefere seguir o atendimento por aqui ou prefere que te ligue?"/>
    <s v=""/>
    <x v="604"/>
    <m/>
    <s v=""/>
    <s v="Garrama com essência eirele"/>
    <s v="11986111998"/>
    <s v=""/>
    <s v="ss.sergiofaertes@gmail.com"/>
    <s v=""/>
    <s v=""/>
    <s v=""/>
    <s v=""/>
    <s v=""/>
    <s v="Campanha"/>
    <s v=""/>
    <s v=""/>
    <s v="Fora Perfil;Instagram"/>
    <s v="Pipeline de Vendas"/>
    <s v="Qualificação de Vendas (SQL) (25%)"/>
    <s v=""/>
    <d v="2026-04-30T00:00:00"/>
    <m/>
    <m/>
    <n v="19"/>
    <s v="Paulo Souza"/>
    <d v="2026-04-20T00:00:00"/>
    <d v="1899-12-30T15:22:35"/>
    <s v=""/>
    <s v="Perdido"/>
    <d v="2026-05-09T00:00:00"/>
    <d v="1899-12-30T08:36:06"/>
    <s v="Sem qualificação — contato não atende ligações nem responde msg"/>
    <s v=""/>
    <s v=""/>
    <x v="0"/>
    <s v="Rayssa Karapeticov"/>
    <x v="0"/>
    <s v=""/>
    <d v="2026-04-24T00:00:00"/>
    <n v="30"/>
    <s v=""/>
    <s v=""/>
    <s v=""/>
    <s v=""/>
    <n v="1"/>
  </r>
  <r>
    <x v="1"/>
    <n v="1129"/>
    <m/>
    <n v="3566"/>
    <s v=""/>
    <s v=""/>
    <x v="605"/>
    <m/>
    <s v=""/>
    <s v="Supermercado Mathur"/>
    <s v="11954971535"/>
    <s v=""/>
    <s v="renato@mathur.com.br"/>
    <s v=""/>
    <s v=""/>
    <s v=""/>
    <s v=""/>
    <s v="Sao paulo"/>
    <s v="Inbound"/>
    <s v=""/>
    <s v=""/>
    <s v="Fora Perfil;Instagram"/>
    <s v="Pipeline de Vendas"/>
    <s v="Agendamento (0%)"/>
    <s v=""/>
    <m/>
    <m/>
    <m/>
    <n v="0"/>
    <s v="Paulo Souza"/>
    <d v="2026-04-20T00:00:00"/>
    <d v="1899-12-30T15:23:29"/>
    <s v=""/>
    <s v="Perdido"/>
    <d v="2026-04-20T00:00:00"/>
    <d v="1899-12-30T16:43:51"/>
    <s v="Fora do porte mínimo (sem fit estrutural)"/>
    <s v="Supermercado, fora do perfil"/>
    <s v=""/>
    <x v="0"/>
    <s v="Junior Lopes"/>
    <x v="0"/>
    <s v=""/>
    <m/>
    <n v="30"/>
    <s v=""/>
    <s v=""/>
    <s v=""/>
    <s v=""/>
    <n v="1"/>
  </r>
  <r>
    <x v="2"/>
    <n v="1130"/>
    <m/>
    <n v="3567"/>
    <s v="Falei com o Arthur,. porem quem esta cuidando disso é o Rodrigo, vai passar meu contato para ele para seguir com o Atendimento"/>
    <s v=""/>
    <x v="606"/>
    <m/>
    <s v=""/>
    <s v="Cafe Santa Monica"/>
    <s v="11981430800"/>
    <s v=""/>
    <s v="arthurmosco@gmail.com"/>
    <s v=""/>
    <s v=""/>
    <s v=""/>
    <s v=""/>
    <s v=""/>
    <s v="Campanha"/>
    <s v=""/>
    <s v=""/>
    <s v="Dentro Perfil;Instagram"/>
    <s v="Pipeline de Vendas"/>
    <s v="Qualificação de Vendas (SQL) (25%)"/>
    <s v=""/>
    <m/>
    <m/>
    <m/>
    <n v="30"/>
    <s v="Paulo Souza"/>
    <d v="2026-04-20T00:00:00"/>
    <d v="1899-12-30T15:25:17"/>
    <s v=""/>
    <s v="Ativo"/>
    <m/>
    <m/>
    <s v=""/>
    <s v=""/>
    <s v=""/>
    <x v="0"/>
    <s v="Rayssa Karapeticov"/>
    <x v="0"/>
    <s v=""/>
    <d v="2026-05-07T00:00:00"/>
    <n v="30"/>
    <s v=""/>
    <s v=""/>
    <s v=""/>
    <s v=""/>
    <n v="1"/>
  </r>
  <r>
    <x v="1"/>
    <n v="1131"/>
    <m/>
    <n v="3568"/>
    <s v="(20/04/2026) em contato com Kamilla"/>
    <s v=""/>
    <x v="607"/>
    <n v="36955063000149"/>
    <s v=""/>
    <s v="NORTH EXPORTACAO"/>
    <s v="(91) 9343-5475"/>
    <s v=""/>
    <s v="northacaifoods@gmail.com"/>
    <s v=""/>
    <s v=""/>
    <s v=""/>
    <s v="BELEM"/>
    <s v="PA"/>
    <s v="Campanha"/>
    <s v=""/>
    <s v=""/>
    <s v="Dentro Perfil;Instagram"/>
    <s v="Pipeline de Vendas"/>
    <s v="Qualificação de Vendas (SQL) (25%)"/>
    <s v=""/>
    <m/>
    <m/>
    <m/>
    <n v="19"/>
    <s v="Paulo Souza"/>
    <d v="2026-04-20T00:00:00"/>
    <d v="1899-12-30T15:26:13"/>
    <s v=""/>
    <s v="Perdido"/>
    <d v="2026-05-09T00:00:00"/>
    <d v="1899-12-30T08:36:50"/>
    <s v="Sem qualificação — contato não atende ligações nem responde msg"/>
    <s v=""/>
    <s v=""/>
    <x v="0"/>
    <s v="Junior Lopes"/>
    <x v="0"/>
    <s v=""/>
    <d v="2026-04-28T00:00:00"/>
    <n v="30"/>
    <s v=""/>
    <s v=""/>
    <s v=""/>
    <s v=""/>
    <n v="1"/>
  </r>
  <r>
    <x v="2"/>
    <n v="1132"/>
    <m/>
    <n v="3569"/>
    <s v="22.04 liguei e deu caixa postal _x000a_Bom dia Rafael, tudo bem? _x000a_Meu nome e Rayssa, sou Executiva de Vendas na Guarani Sistemas, estou retornando seu contato para falar sobre seu interesse em um novo software. _x000a_Para seguirmos com esse contato preciso entender o processo de sua empresa e o que esta buscando _x000a_Como prefere seguir o atendimento, por aqui ou quer que eu te ligue?"/>
    <s v=""/>
    <x v="608"/>
    <m/>
    <s v=""/>
    <s v="Lpx"/>
    <s v="9282770000"/>
    <s v=""/>
    <s v="atakadaoeletrica@gmail.com"/>
    <s v=""/>
    <s v=""/>
    <s v=""/>
    <s v=""/>
    <s v="Brasil"/>
    <s v="Inbound"/>
    <s v=""/>
    <s v=""/>
    <s v="Fora Perfil;Instagram"/>
    <s v="Pipeline de Vendas"/>
    <s v="Agendamento (0%)"/>
    <s v=""/>
    <m/>
    <m/>
    <m/>
    <n v="19"/>
    <s v="Paulo Souza"/>
    <d v="2026-04-20T00:00:00"/>
    <d v="1899-12-30T15:27:43"/>
    <s v=""/>
    <s v="Perdido"/>
    <d v="2026-05-09T00:00:00"/>
    <d v="1899-12-30T08:43:51"/>
    <s v="Sem qualificação — contato não atende ligações nem responde msg"/>
    <s v=""/>
    <s v=""/>
    <x v="0"/>
    <s v="Rayssa Karapeticov"/>
    <x v="0"/>
    <s v=""/>
    <d v="2026-04-29T00:00:00"/>
    <n v="30"/>
    <s v=""/>
    <s v=""/>
    <s v=""/>
    <s v=""/>
    <n v="1"/>
  </r>
  <r>
    <x v="1"/>
    <n v="1133"/>
    <m/>
    <n v="3571"/>
    <s v="16:55, 20/04/2026 Junior Lopes: Olá Marcos , boa tarde_x000a_16:55, 20/04/2026 Junior Lopes: sou Junior lopes da Guarani sistemas, td bem ?_x000a_16:55, 20/04/2026 Junior Lopes: estou retornando contato que vc fez conosco_x000a_17:18, 20/04/2026 +55 18 99701-9440: Olá boa tarde."/>
    <s v=""/>
    <x v="609"/>
    <m/>
    <s v=""/>
    <s v="Governo do Estado de São Paulo"/>
    <s v="18997019440"/>
    <s v=""/>
    <s v="marcosleitao37@hotmail.com"/>
    <s v=""/>
    <s v=""/>
    <s v=""/>
    <s v=""/>
    <s v="Presidente Epitácio Sp"/>
    <s v="Inbound"/>
    <s v=""/>
    <s v=""/>
    <s v="Fora Perfil;Instagram"/>
    <s v="Pipeline de Vendas"/>
    <s v="Agendamento (0%)"/>
    <s v=""/>
    <m/>
    <m/>
    <m/>
    <n v="19"/>
    <s v="Paulo Souza"/>
    <d v="2026-04-20T00:00:00"/>
    <d v="1899-12-30T15:29:11"/>
    <s v=""/>
    <s v="Perdido"/>
    <d v="2026-05-09T00:00:00"/>
    <d v="1899-12-30T08:45:24"/>
    <s v="Fora do segmento atendido"/>
    <s v=""/>
    <s v=""/>
    <x v="0"/>
    <s v="Junior Lopes"/>
    <x v="0"/>
    <s v=""/>
    <m/>
    <n v="30"/>
    <s v=""/>
    <s v=""/>
    <s v=""/>
    <s v=""/>
    <n v="1"/>
  </r>
  <r>
    <x v="0"/>
    <n v="1134"/>
    <m/>
    <n v="3575"/>
    <s v=""/>
    <s v=""/>
    <x v="610"/>
    <n v="67846790000100"/>
    <s v=""/>
    <s v="Andrea"/>
    <s v="(11) 4526-2313"/>
    <s v=""/>
    <s v="financeiro@hoberplasticos.com.br"/>
    <s v=""/>
    <s v=""/>
    <s v=""/>
    <s v="JUNDIAI"/>
    <s v="SP"/>
    <s v=""/>
    <s v=""/>
    <s v=""/>
    <s v=""/>
    <s v="Pipeline de Vendas"/>
    <s v="Em negociação (75%)"/>
    <s v=""/>
    <d v="2026-05-31T00:00:00"/>
    <n v="1364029"/>
    <n v="563118"/>
    <n v="30"/>
    <s v="Paulo Souza"/>
    <d v="2026-04-20T00:00:00"/>
    <d v="1899-12-30T16:00:02"/>
    <s v=""/>
    <s v="Ativo"/>
    <m/>
    <m/>
    <s v=""/>
    <s v=""/>
    <s v=""/>
    <x v="210"/>
    <s v="Paulo Souza"/>
    <x v="233"/>
    <s v=""/>
    <d v="2026-05-18T00:00:00"/>
    <n v="30"/>
    <s v=""/>
    <s v=""/>
    <s v=""/>
    <s v=""/>
    <n v="1"/>
  </r>
  <r>
    <x v="0"/>
    <n v="1135"/>
    <m/>
    <n v="3578"/>
    <s v=""/>
    <s v=""/>
    <x v="490"/>
    <n v="7730144000142"/>
    <s v=""/>
    <s v="Alexandre"/>
    <s v="(11) 4151-2564/ (11) 4551-2554"/>
    <s v=""/>
    <s v="comercial@kopermax.com.br"/>
    <s v=""/>
    <s v=""/>
    <s v=""/>
    <s v="CARAPICUIBA"/>
    <s v="SP"/>
    <s v=""/>
    <s v=""/>
    <s v=""/>
    <s v=""/>
    <s v="Pipeline de Vendas"/>
    <s v="Apresentar Proposta (50%)"/>
    <s v=""/>
    <d v="2026-05-31T00:00:00"/>
    <m/>
    <m/>
    <n v="21"/>
    <s v="Paulo Souza"/>
    <d v="2026-04-20T00:00:00"/>
    <d v="1899-12-30T16:52:52"/>
    <s v=""/>
    <s v="Perdido"/>
    <d v="2026-05-11T00:00:00"/>
    <d v="1899-12-30T11:58:02"/>
    <s v="Projeto adiado / sem prazo definido"/>
    <s v=""/>
    <s v=""/>
    <x v="211"/>
    <s v="Paulo Souza"/>
    <x v="233"/>
    <s v=""/>
    <m/>
    <n v="30"/>
    <s v=""/>
    <s v=""/>
    <s v=""/>
    <s v=""/>
    <n v="1"/>
  </r>
  <r>
    <x v="1"/>
    <n v="1136"/>
    <m/>
    <n v="3582"/>
    <s v="(23/04/2026) em contato com João Netto via telefone _x000a_atualmente busca um software para automação da sua produção e controle de estoque que contempla a gestão financeira e fiscal , sua equipe de venda precisa de um aplicativo para estrada e controle de pedidos"/>
    <s v=""/>
    <x v="611"/>
    <n v="25356414000189"/>
    <s v=""/>
    <s v="Bia alimentos"/>
    <s v="75992608709"/>
    <s v=""/>
    <s v="jjneto28@gmail.com"/>
    <s v=""/>
    <s v=""/>
    <s v=""/>
    <s v="SAO GONCALO DOS CAMPOS"/>
    <s v="BA"/>
    <s v="Campanha"/>
    <s v=""/>
    <s v=""/>
    <s v="Dentro Perfil;Instagram"/>
    <s v="Pipeline de Vendas"/>
    <s v="Apresentar Solução (35%)"/>
    <s v=""/>
    <m/>
    <m/>
    <m/>
    <n v="27"/>
    <s v="Paulo Souza"/>
    <d v="2026-04-23T00:00:00"/>
    <d v="1899-12-30T14:05:58"/>
    <s v=""/>
    <s v="Ativo"/>
    <m/>
    <m/>
    <s v=""/>
    <s v=""/>
    <s v=""/>
    <x v="0"/>
    <s v="Junior Lopes"/>
    <x v="0"/>
    <s v=""/>
    <m/>
    <n v="30"/>
    <s v=""/>
    <s v=""/>
    <s v=""/>
    <s v=""/>
    <n v="1"/>
  </r>
  <r>
    <x v="2"/>
    <n v="1137"/>
    <m/>
    <n v="3581"/>
    <s v=""/>
    <s v=""/>
    <x v="612"/>
    <m/>
    <s v=""/>
    <s v="Quality medical"/>
    <s v="6592542913"/>
    <s v=""/>
    <s v="marcosrobertosilvestre@hotmail.com"/>
    <s v=""/>
    <s v=""/>
    <s v=""/>
    <s v=""/>
    <s v=""/>
    <s v="Campanha"/>
    <s v=""/>
    <s v=""/>
    <s v="Dentro Perfil;Instagram"/>
    <s v="Pipeline de Vendas"/>
    <s v="Qualificação de Vendas (SQL) (25%)"/>
    <s v=""/>
    <m/>
    <m/>
    <m/>
    <n v="27"/>
    <s v="Paulo Souza"/>
    <d v="2026-04-23T00:00:00"/>
    <d v="1899-12-30T14:08:08"/>
    <s v=""/>
    <s v="Ativo"/>
    <m/>
    <m/>
    <s v=""/>
    <s v=""/>
    <s v=""/>
    <x v="0"/>
    <s v="Rayssa Karapeticov"/>
    <x v="0"/>
    <s v=""/>
    <d v="2026-05-07T00:00:00"/>
    <n v="30"/>
    <s v=""/>
    <s v=""/>
    <s v=""/>
    <s v=""/>
    <n v="1"/>
  </r>
  <r>
    <x v="2"/>
    <n v="1138"/>
    <m/>
    <n v="3586"/>
    <s v=""/>
    <s v=""/>
    <x v="613"/>
    <m/>
    <s v=""/>
    <s v="Autônomo"/>
    <s v="94991836683"/>
    <s v=""/>
    <s v="gersondsvasconcelos@gmail.com"/>
    <s v=""/>
    <s v=""/>
    <s v=""/>
    <s v=""/>
    <s v=""/>
    <s v="Campanha"/>
    <s v=""/>
    <s v=""/>
    <s v="Fora Perfil;Instagram"/>
    <s v="Pipeline de Vendas"/>
    <s v="Agendamento (0%)"/>
    <s v=""/>
    <m/>
    <m/>
    <m/>
    <n v="15"/>
    <s v="Paulo Souza"/>
    <d v="2026-04-24T00:00:00"/>
    <d v="1899-12-30T10:11:26"/>
    <s v=""/>
    <s v="Perdido"/>
    <d v="2026-05-09T00:00:00"/>
    <d v="1899-12-30T08:45:54"/>
    <s v="Sem qualificação — contato não atende ligações nem responde msg"/>
    <s v=""/>
    <s v=""/>
    <x v="0"/>
    <s v="Rayssa Karapeticov"/>
    <x v="0"/>
    <s v=""/>
    <m/>
    <n v="30"/>
    <s v=""/>
    <s v=""/>
    <s v=""/>
    <s v=""/>
    <n v="1"/>
  </r>
  <r>
    <x v="1"/>
    <n v="1139"/>
    <m/>
    <n v="3603"/>
    <s v="(27/04/2026) em contato com Carol, Sr. Paulo não estava na empresa ! Carol anotou meu WhatsApp para retorno"/>
    <s v=""/>
    <x v="614"/>
    <n v="7598229000119"/>
    <s v=""/>
    <s v="plaslumy"/>
    <s v="(35) 3232-2223 / (35) 3234-1578 / (35) 3232-2223"/>
    <s v=""/>
    <s v="fiscal@plaslumy.com.br"/>
    <s v=""/>
    <s v=""/>
    <s v=""/>
    <s v="TRES CORACOES"/>
    <s v="MG"/>
    <s v="Inbound"/>
    <s v=""/>
    <s v=""/>
    <s v="Dentro Perfil;Instagram"/>
    <s v="Pipeline de Vendas"/>
    <s v="Qualificação de Vendas (SQL) (25%)"/>
    <s v=""/>
    <m/>
    <m/>
    <m/>
    <n v="23"/>
    <s v="Paulo Souza"/>
    <d v="2026-04-27T00:00:00"/>
    <d v="1899-12-30T15:32:48"/>
    <s v=""/>
    <s v="Ativo"/>
    <m/>
    <m/>
    <s v=""/>
    <s v=""/>
    <s v=""/>
    <x v="0"/>
    <s v="Junior Lopes"/>
    <x v="0"/>
    <s v=""/>
    <m/>
    <n v="30"/>
    <s v=""/>
    <s v=""/>
    <s v=""/>
    <s v=""/>
    <n v="1"/>
  </r>
  <r>
    <x v="2"/>
    <n v="1140"/>
    <m/>
    <n v="3588"/>
    <s v=""/>
    <s v=""/>
    <x v="615"/>
    <n v="7403402000186"/>
    <s v=""/>
    <s v="Shopping do Parafuso"/>
    <s v="31996583027"/>
    <s v=""/>
    <s v="comercial@shoppingdoparafuso.com.br"/>
    <s v=""/>
    <s v=""/>
    <s v=""/>
    <s v=""/>
    <s v=""/>
    <s v="Campanha"/>
    <s v=""/>
    <s v=""/>
    <s v="Fora Perfil;Instagram;Perfil Indefinido"/>
    <s v="Pipeline de Vendas"/>
    <s v="Qualificação de Vendas (SQL) (25%)"/>
    <s v=""/>
    <m/>
    <m/>
    <m/>
    <n v="10"/>
    <s v="Paulo Souza"/>
    <d v="2026-04-27T00:00:00"/>
    <d v="1899-12-30T15:48:50"/>
    <s v=""/>
    <s v="Perdido"/>
    <d v="2026-05-07T00:00:00"/>
    <d v="1899-12-30T10:40:49"/>
    <s v="Fora do porte mínimo (sem fit estrutural)"/>
    <s v=""/>
    <s v=""/>
    <x v="0"/>
    <s v="Rayssa Karapeticov"/>
    <x v="0"/>
    <s v=""/>
    <d v="2026-04-29T00:00:00"/>
    <n v="30"/>
    <s v=""/>
    <s v=""/>
    <s v=""/>
    <s v=""/>
    <n v="1"/>
  </r>
  <r>
    <x v="2"/>
    <n v="1141"/>
    <m/>
    <n v="3589"/>
    <s v=""/>
    <s v=""/>
    <x v="616"/>
    <n v="24094663000180"/>
    <s v=""/>
    <s v="Max LED"/>
    <s v="(11) 2181-1005 / (11) 6735-4750 / (11) 2181-1005"/>
    <s v=""/>
    <s v="alexfelixsantos@hotmail.com"/>
    <s v=""/>
    <s v=""/>
    <s v=""/>
    <s v="SAO PAULO"/>
    <s v="SP"/>
    <s v="Campanha"/>
    <s v=""/>
    <s v=""/>
    <s v="Dentro Perfil;Instagram"/>
    <s v="Pipeline de Vendas"/>
    <s v="Apresentar Solução (35%)"/>
    <s v=""/>
    <m/>
    <m/>
    <m/>
    <n v="23"/>
    <s v="Paulo Souza"/>
    <d v="2026-04-27T00:00:00"/>
    <d v="1899-12-30T15:49:56"/>
    <s v=""/>
    <s v="Ativo"/>
    <m/>
    <m/>
    <s v=""/>
    <s v=""/>
    <s v=""/>
    <x v="0"/>
    <s v="Rayssa Karapeticov"/>
    <x v="234"/>
    <s v=""/>
    <d v="2026-05-18T00:00:00"/>
    <n v="30"/>
    <s v=""/>
    <s v=""/>
    <s v=""/>
    <s v=""/>
    <n v="1"/>
  </r>
  <r>
    <x v="1"/>
    <n v="1142"/>
    <m/>
    <n v="3590"/>
    <s v=""/>
    <s v=""/>
    <x v="617"/>
    <m/>
    <s v=""/>
    <s v="Tres americas alimentos"/>
    <s v="65992888768"/>
    <s v=""/>
    <s v="jctransportess.mt@gmail.com"/>
    <s v=""/>
    <s v=""/>
    <s v=""/>
    <s v=""/>
    <s v=""/>
    <s v="Campanha"/>
    <s v=""/>
    <s v=""/>
    <s v="Dentro Perfil;Instagram"/>
    <s v="Pipeline de Vendas"/>
    <s v="Qualificação de Vendas (SQL) (25%)"/>
    <s v=""/>
    <m/>
    <m/>
    <m/>
    <n v="23"/>
    <s v="Paulo Souza"/>
    <d v="2026-04-27T00:00:00"/>
    <d v="1899-12-30T15:52:31"/>
    <s v=""/>
    <s v="Ativo"/>
    <m/>
    <m/>
    <s v=""/>
    <s v=""/>
    <s v=""/>
    <x v="0"/>
    <s v="Junior Lopes"/>
    <x v="0"/>
    <s v=""/>
    <d v="2026-05-06T00:00:00"/>
    <n v="30"/>
    <s v=""/>
    <s v=""/>
    <s v=""/>
    <s v=""/>
    <n v="1"/>
  </r>
  <r>
    <x v="2"/>
    <n v="1143"/>
    <m/>
    <n v="3591"/>
    <s v="Todos os dados preenchidos:_x000a_empresa: Alexdan _x000a_name: Alexandre Biassio _x000a_cargo: Diretor _x000a_whatsapp: 11982599832 _x000a_email: alexandre@alexdan.com.br _x000a_referrer: https://www.guaranisistemas.com.br/"/>
    <s v=""/>
    <x v="618"/>
    <n v="3098281000155"/>
    <s v=""/>
    <s v="Alexandre Biassio"/>
    <s v=""/>
    <s v=""/>
    <s v="alexandre@alexdan.com.br"/>
    <s v=""/>
    <s v=""/>
    <s v=""/>
    <s v="Santo André"/>
    <s v=""/>
    <s v="Inbound"/>
    <s v=""/>
    <s v=""/>
    <s v=""/>
    <s v="Pipeline de Vendas"/>
    <s v="Apresentar Solução (35%)"/>
    <s v=""/>
    <m/>
    <m/>
    <m/>
    <n v="23"/>
    <s v="Paulo Souza"/>
    <d v="2026-04-27T00:00:00"/>
    <d v="1899-12-30T15:53:51"/>
    <s v=""/>
    <s v="Ativo"/>
    <m/>
    <m/>
    <s v=""/>
    <s v=""/>
    <s v=""/>
    <x v="0"/>
    <s v="Rayssa Karapeticov"/>
    <x v="0"/>
    <s v=""/>
    <d v="2026-05-19T00:00:00"/>
    <n v="30"/>
    <s v=""/>
    <s v=""/>
    <s v=""/>
    <s v=""/>
    <n v="1"/>
  </r>
  <r>
    <x v="1"/>
    <n v="1144"/>
    <m/>
    <n v="3592"/>
    <s v="(28/04/2026) em contato com Janayna"/>
    <s v=""/>
    <x v="619"/>
    <m/>
    <s v=""/>
    <s v="Bitilila Nails"/>
    <s v="17997180789"/>
    <s v=""/>
    <s v="janaynamundial@hotmail.com"/>
    <s v=""/>
    <s v=""/>
    <s v=""/>
    <s v=""/>
    <s v=""/>
    <s v="Campanha"/>
    <s v=""/>
    <s v=""/>
    <s v="Dentro Perfil;Instagram"/>
    <s v="Pipeline de Vendas"/>
    <s v="Agendamento (0%)"/>
    <s v=""/>
    <m/>
    <m/>
    <m/>
    <n v="12"/>
    <s v="Paulo Souza"/>
    <d v="2026-04-27T00:00:00"/>
    <d v="1899-12-30T15:54:58"/>
    <s v=""/>
    <s v="Perdido"/>
    <d v="2026-05-09T00:00:00"/>
    <d v="1899-12-30T08:46:25"/>
    <s v="Sem qualificação — contato não atende ligações nem responde msg"/>
    <s v=""/>
    <s v=""/>
    <x v="0"/>
    <s v="Junior Lopes"/>
    <x v="0"/>
    <s v=""/>
    <d v="2026-05-06T00:00:00"/>
    <n v="32"/>
    <s v=""/>
    <s v=""/>
    <s v=""/>
    <s v=""/>
    <n v="1"/>
  </r>
  <r>
    <x v="2"/>
    <n v="1145"/>
    <m/>
    <n v="3599"/>
    <s v=""/>
    <s v="Abc Internacional Comercio Importacao E Exportacao Ltda"/>
    <x v="620"/>
    <n v="58846435000131"/>
    <s v=""/>
    <s v="Abc Internacional Comercio Importacao E Exportacao Ltda"/>
    <s v="(47) 3021-7932"/>
    <s v=""/>
    <s v="contato@contabilidadestacatarina.com.br"/>
    <s v=""/>
    <s v=""/>
    <s v=""/>
    <s v="SAO PAULO"/>
    <s v="SP"/>
    <s v="Base de empresas Leads2b"/>
    <s v=""/>
    <s v=""/>
    <s v=""/>
    <s v="Pipeline de Vendas"/>
    <s v="Qualificação de Vendas (SQL) (25%)"/>
    <s v=""/>
    <m/>
    <m/>
    <m/>
    <n v="23"/>
    <s v="Rayssa Karapeticov"/>
    <d v="2026-04-27T00:00:00"/>
    <d v="1899-12-30T15:55:21"/>
    <s v=""/>
    <s v="Ativo"/>
    <m/>
    <m/>
    <s v=""/>
    <s v=""/>
    <s v=""/>
    <x v="0"/>
    <s v="Rayssa Karapeticov"/>
    <x v="0"/>
    <s v=""/>
    <d v="2026-05-13T00:00:00"/>
    <n v="30"/>
    <s v=""/>
    <s v="ERP"/>
    <s v=""/>
    <s v=""/>
    <n v="1"/>
  </r>
  <r>
    <x v="2"/>
    <n v="1146"/>
    <m/>
    <n v="3593"/>
    <s v=""/>
    <s v=""/>
    <x v="621"/>
    <m/>
    <s v=""/>
    <s v="Oneclick"/>
    <s v="31999499091"/>
    <s v=""/>
    <s v="hm2matoa@gmail.com"/>
    <s v=""/>
    <s v=""/>
    <s v=""/>
    <s v=""/>
    <s v=""/>
    <s v="Campanha"/>
    <s v=""/>
    <s v=""/>
    <s v="Dentro Perfil;Instagram"/>
    <s v="Pipeline de Vendas"/>
    <s v="Qualificação de Vendas (SQL) (25%)"/>
    <s v=""/>
    <m/>
    <m/>
    <m/>
    <n v="16"/>
    <s v="Paulo Souza"/>
    <d v="2026-04-27T00:00:00"/>
    <d v="1899-12-30T15:56:24"/>
    <s v=""/>
    <s v="Perdido"/>
    <d v="2026-05-13T00:00:00"/>
    <d v="1899-12-30T12:58:25"/>
    <s v="Sem qualificação — contato não atende ligações nem responde msg"/>
    <s v=""/>
    <s v=""/>
    <x v="0"/>
    <s v="Rayssa Karapeticov"/>
    <x v="0"/>
    <s v=""/>
    <d v="2026-05-13T00:00:00"/>
    <n v="30"/>
    <s v=""/>
    <s v=""/>
    <s v=""/>
    <s v=""/>
    <n v="1"/>
  </r>
  <r>
    <x v="1"/>
    <n v="1147"/>
    <m/>
    <n v="3594"/>
    <s v="16:13, 27/04/2026 Junior Lopes: Olá Manuel , boa tarde_x000a_16:14, 27/04/2026 Junior Lopes: Junior da Guarani sistemas por aqui_x000a_(28/04/2026) em contato com Manuel, empresa de construção civil , fora do perfil"/>
    <s v=""/>
    <x v="622"/>
    <m/>
    <s v=""/>
    <s v="JJ SOLUÇÕES INDUSTRIAIS"/>
    <s v="9294614731"/>
    <s v=""/>
    <s v="manuel.rivero@jjsoluempresa.com"/>
    <s v=""/>
    <s v=""/>
    <s v=""/>
    <s v=""/>
    <s v=""/>
    <s v="Campanha"/>
    <s v=""/>
    <s v=""/>
    <s v="Fora Perfil;Instagram"/>
    <s v="Pipeline de Vendas"/>
    <s v="Agendamento (0%)"/>
    <s v=""/>
    <m/>
    <m/>
    <m/>
    <n v="1"/>
    <s v="Paulo Souza"/>
    <d v="2026-04-27T00:00:00"/>
    <d v="1899-12-30T15:57:32"/>
    <s v=""/>
    <s v="Perdido"/>
    <d v="2026-04-28T00:00:00"/>
    <d v="1899-12-30T11:42:44"/>
    <s v="Fora do porte mínimo (sem fit estrutural)"/>
    <s v="construção civil"/>
    <s v=""/>
    <x v="0"/>
    <s v="Junior Lopes"/>
    <x v="0"/>
    <s v=""/>
    <m/>
    <n v="30"/>
    <s v=""/>
    <s v=""/>
    <s v=""/>
    <s v=""/>
    <n v="1"/>
  </r>
  <r>
    <x v="2"/>
    <n v="1148"/>
    <m/>
    <n v="3595"/>
    <s v=""/>
    <s v=""/>
    <x v="623"/>
    <n v="10255338000148"/>
    <s v=""/>
    <s v="JA ind plástica"/>
    <s v="62981282665"/>
    <s v=""/>
    <s v="big@biglixos.com.br"/>
    <s v=""/>
    <s v=""/>
    <s v=""/>
    <s v=""/>
    <s v=""/>
    <s v="Campanha"/>
    <s v=""/>
    <s v=""/>
    <s v="Dentro Perfil;Instagram"/>
    <s v="Pipeline de Vendas"/>
    <s v="Qualificação de Vendas (SQL) (25%)"/>
    <s v=""/>
    <m/>
    <m/>
    <m/>
    <n v="23"/>
    <s v="Paulo Souza"/>
    <d v="2026-04-27T00:00:00"/>
    <d v="1899-12-30T15:58:51"/>
    <s v=""/>
    <s v="Ativo"/>
    <m/>
    <m/>
    <s v=""/>
    <s v=""/>
    <s v=""/>
    <x v="0"/>
    <s v="Rayssa Karapeticov"/>
    <x v="0"/>
    <s v=""/>
    <d v="2026-05-13T00:00:00"/>
    <n v="30"/>
    <s v=""/>
    <s v=""/>
    <s v=""/>
    <s v=""/>
    <n v="1"/>
  </r>
  <r>
    <x v="2"/>
    <n v="1149"/>
    <m/>
    <n v="3596"/>
    <s v=""/>
    <s v=""/>
    <x v="624"/>
    <n v="44922087000120"/>
    <s v=""/>
    <s v="Invictus Soluções Integradas Ltda"/>
    <s v="(34) 3817-8240"/>
    <s v=""/>
    <s v="licitacao.invictus@gmail.com"/>
    <s v=""/>
    <s v=""/>
    <s v=""/>
    <s v="COROMANDEL"/>
    <s v="MG"/>
    <s v="Campanha"/>
    <s v=""/>
    <s v=""/>
    <s v="Fora Perfil;Instagram"/>
    <s v="Pipeline de Vendas"/>
    <s v="Agendamento (0%)"/>
    <s v=""/>
    <m/>
    <m/>
    <m/>
    <n v="12"/>
    <s v="Paulo Souza"/>
    <d v="2026-04-27T00:00:00"/>
    <d v="1899-12-30T16:00:22"/>
    <s v=""/>
    <s v="Perdido"/>
    <d v="2026-05-09T00:00:00"/>
    <d v="1899-12-30T08:50:26"/>
    <s v="Fora do segmento atendido"/>
    <s v=""/>
    <s v=""/>
    <x v="0"/>
    <s v="Rayssa Karapeticov"/>
    <x v="0"/>
    <s v=""/>
    <m/>
    <n v="30"/>
    <s v=""/>
    <s v=""/>
    <s v=""/>
    <s v=""/>
    <n v="1"/>
  </r>
  <r>
    <x v="1"/>
    <n v="1150"/>
    <m/>
    <n v="3597"/>
    <s v="16:36, 27/04/2026 Junior Lopes: Olá Paulo , boa tarde_x000a_16:37, 27/04/2026 Junior Lopes: Junior da Guarani sistemas por aqui_x000a_16:37, 27/04/2026 Junior Lopes: Td bem ?_x000a_11:46, 28/04/2026 Junior Lopes: Paulo , tudo bem ? _x000a_Não tive seu retorno _x000a_De qualquer forma pode me chamar caso queira dar continuidade _x000a_Um abraço"/>
    <s v=""/>
    <x v="625"/>
    <m/>
    <s v=""/>
    <s v="Paulo Sergio"/>
    <s v="(67) 99341-4113"/>
    <s v=""/>
    <s v="paulopedradagua@gmail.com"/>
    <s v=""/>
    <s v=""/>
    <s v=""/>
    <s v="Campo Grande"/>
    <s v=""/>
    <s v="Site"/>
    <s v=""/>
    <s v=""/>
    <s v="Solicita demo"/>
    <s v="Pipeline de Vendas"/>
    <s v="Agendamento (0%)"/>
    <s v=""/>
    <m/>
    <m/>
    <m/>
    <n v="1"/>
    <s v="Paulo Souza"/>
    <d v="2026-04-27T00:00:00"/>
    <d v="1899-12-30T16:01:20"/>
    <s v=""/>
    <s v="Perdido"/>
    <d v="2026-04-28T00:00:00"/>
    <d v="1899-12-30T11:47:45"/>
    <s v="Nossa solução não atende - falta funcionalidade"/>
    <s v="16:36, 27/04/2026 Junior Lopes: Olá Paulo , boa tarde_x000a_16:37, 27/04/2026 Junior Lopes: Junior da Guarani sistemas por aqui_x000a_16:37, 27/04/2026 Junior Lopes: Td bem ?_x000a_11:46, 28/04/2026 Junior Lopes: Paulo , tudo bem ? _x000a_Não tive seu retorno _x000a_De qualquer forma pode me chamar caso queira dar continuidade _x000a_Um abraço"/>
    <s v=""/>
    <x v="0"/>
    <s v="Junior Lopes"/>
    <x v="0"/>
    <s v=""/>
    <m/>
    <n v="30"/>
    <s v=""/>
    <s v=""/>
    <s v=""/>
    <s v=""/>
    <n v="1"/>
  </r>
  <r>
    <x v="1"/>
    <n v="1151"/>
    <m/>
    <n v="3602"/>
    <s v="28/04/2026) tentativa de contato não atendida , em uma busca sobre o lead, percebi que esta fora do perfil , revendedor de têni"/>
    <s v=""/>
    <x v="626"/>
    <m/>
    <s v=""/>
    <s v="GRIJALBA AGUIAR LINHARES"/>
    <s v="85985507327"/>
    <s v=""/>
    <s v="grijalbalinhares@gmail.com"/>
    <s v=""/>
    <s v=""/>
    <s v=""/>
    <s v=""/>
    <s v=""/>
    <s v="Campanha"/>
    <s v=""/>
    <s v=""/>
    <s v="Fora Perfil;Instagram"/>
    <s v="Pipeline de Vendas"/>
    <s v="Agendamento (0%)"/>
    <s v=""/>
    <m/>
    <m/>
    <m/>
    <n v="1"/>
    <s v="Paulo Souza"/>
    <d v="2026-04-27T00:00:00"/>
    <d v="1899-12-30T16:02:02"/>
    <s v=""/>
    <s v="Perdido"/>
    <d v="2026-04-28T00:00:00"/>
    <d v="1899-12-30T11:21:54"/>
    <s v="Fora do porte mínimo (sem fit estrutural)"/>
    <s v="fora do perfil, revendedor de tenis"/>
    <s v=""/>
    <x v="0"/>
    <s v="Junior Lopes"/>
    <x v="0"/>
    <s v=""/>
    <m/>
    <n v="30"/>
    <s v=""/>
    <s v=""/>
    <s v=""/>
    <s v=""/>
    <n v="1"/>
  </r>
  <r>
    <x v="2"/>
    <n v="1152"/>
    <m/>
    <n v="3608"/>
    <s v=""/>
    <s v=""/>
    <x v="627"/>
    <n v="9073191000196"/>
    <s v=""/>
    <s v="Megacenter trading"/>
    <s v="45999334900"/>
    <s v=""/>
    <s v="eduardo@megacenteratacado.com.br"/>
    <s v=""/>
    <s v=""/>
    <s v=""/>
    <s v=""/>
    <s v="Foz do iguaçu"/>
    <s v="Inbound"/>
    <s v=""/>
    <s v=""/>
    <s v="Dentro Perfil;Instagram"/>
    <s v="Pipeline de Vendas"/>
    <s v="Qualificação de Vendas (SQL) (25%)"/>
    <s v=""/>
    <m/>
    <m/>
    <m/>
    <n v="21"/>
    <s v="Paulo Souza"/>
    <d v="2026-04-29T00:00:00"/>
    <d v="1899-12-30T07:28:01"/>
    <s v=""/>
    <s v="Ativo"/>
    <m/>
    <m/>
    <s v=""/>
    <s v=""/>
    <s v=""/>
    <x v="0"/>
    <s v="Rayssa Karapeticov"/>
    <x v="0"/>
    <s v=""/>
    <d v="2026-05-13T00:00:00"/>
    <n v="30"/>
    <s v=""/>
    <s v=""/>
    <s v=""/>
    <s v=""/>
    <n v="1"/>
  </r>
  <r>
    <x v="1"/>
    <n v="1153"/>
    <m/>
    <n v="3609"/>
    <s v=""/>
    <s v=""/>
    <x v="628"/>
    <m/>
    <s v=""/>
    <s v="Distribuidora Robaski"/>
    <s v="51998484595"/>
    <s v=""/>
    <s v="edson@robaski.com.br"/>
    <s v=""/>
    <s v=""/>
    <s v=""/>
    <s v=""/>
    <s v=""/>
    <s v="Campanha"/>
    <s v=""/>
    <s v=""/>
    <s v="Dentro Perfil;Instagram"/>
    <s v="Pipeline de Vendas"/>
    <s v="Qualificação de Vendas (SQL) (25%)"/>
    <s v=""/>
    <m/>
    <m/>
    <m/>
    <n v="21"/>
    <s v="Paulo Souza"/>
    <d v="2026-04-29T00:00:00"/>
    <d v="1899-12-30T07:29:14"/>
    <s v=""/>
    <s v="Ativo"/>
    <m/>
    <m/>
    <s v=""/>
    <s v=""/>
    <s v=""/>
    <x v="0"/>
    <s v="Junior Lopes"/>
    <x v="0"/>
    <s v=""/>
    <d v="2026-05-06T00:00:00"/>
    <n v="30"/>
    <s v=""/>
    <s v=""/>
    <s v=""/>
    <s v=""/>
    <n v="1"/>
  </r>
  <r>
    <x v="2"/>
    <n v="1154"/>
    <m/>
    <n v="3610"/>
    <s v=""/>
    <s v=""/>
    <x v="629"/>
    <n v="8051809000154"/>
    <s v=""/>
    <s v="Rc distribuidora"/>
    <s v="93991455102"/>
    <s v=""/>
    <s v="dis.aliaca@gemai.com"/>
    <s v=""/>
    <s v=""/>
    <s v=""/>
    <s v=""/>
    <s v=""/>
    <s v="Campanha"/>
    <s v=""/>
    <s v=""/>
    <s v="Dentro Perfil;Instagram"/>
    <s v="Pipeline de Vendas"/>
    <s v="Qualificação de Vendas (SQL) (25%)"/>
    <s v=""/>
    <m/>
    <m/>
    <m/>
    <n v="14"/>
    <s v="Paulo Souza"/>
    <d v="2026-04-29T00:00:00"/>
    <d v="1899-12-30T07:30:18"/>
    <s v=""/>
    <s v="Perdido"/>
    <d v="2026-05-13T00:00:00"/>
    <d v="1899-12-30T12:45:34"/>
    <s v="Sem qualificação — contato não atende ligações nem responde msg"/>
    <s v=""/>
    <s v=""/>
    <x v="0"/>
    <s v="Rayssa Karapeticov"/>
    <x v="0"/>
    <s v=""/>
    <d v="2026-05-04T00:00:00"/>
    <n v="30"/>
    <s v=""/>
    <s v=""/>
    <s v=""/>
    <s v=""/>
    <n v="1"/>
  </r>
  <r>
    <x v="1"/>
    <n v="1155"/>
    <m/>
    <n v="3611"/>
    <s v="08:59, 29/04/2026 Junior Lopes: Olá Antonio , bom dia_x000a_09:00, 29/04/2026 Junior Lopes: Junior da Guarani sistemas por aqui_x000a_16:55, 04/05/2026 Junior Lopes: Olá Antonio ! Boa tarde"/>
    <s v=""/>
    <x v="630"/>
    <n v="8962163000167"/>
    <s v=""/>
    <s v="Antonio Rodriguez"/>
    <s v="31992924902"/>
    <s v=""/>
    <s v="ar@linexgel.com.br"/>
    <s v=""/>
    <s v=""/>
    <s v=""/>
    <s v=""/>
    <s v="Contagem"/>
    <s v="Inbound"/>
    <s v=""/>
    <s v=""/>
    <s v="Dentro Perfil;Instagram"/>
    <s v="Pipeline de Vendas"/>
    <s v="Qualificação de Vendas (SQL) (25%)"/>
    <s v=""/>
    <m/>
    <m/>
    <m/>
    <n v="21"/>
    <s v="Paulo Souza"/>
    <d v="2026-04-29T00:00:00"/>
    <d v="1899-12-30T07:31:11"/>
    <s v=""/>
    <s v="Ativo"/>
    <m/>
    <m/>
    <s v=""/>
    <s v=""/>
    <s v=""/>
    <x v="0"/>
    <s v="Junior Lopes"/>
    <x v="0"/>
    <s v=""/>
    <d v="2026-05-04T00:00:00"/>
    <n v="30"/>
    <s v=""/>
    <s v=""/>
    <s v=""/>
    <s v=""/>
    <n v="1"/>
  </r>
  <r>
    <x v="2"/>
    <n v="1156"/>
    <m/>
    <n v="3612"/>
    <s v=""/>
    <s v=""/>
    <x v="631"/>
    <n v="11513572000190"/>
    <s v=""/>
    <s v="Brsafe Comércio de Epis Ltda"/>
    <s v="43999150512"/>
    <s v=""/>
    <s v="comercial@brsafeepi.com.br"/>
    <s v=""/>
    <s v=""/>
    <s v=""/>
    <s v=""/>
    <s v="Arapongas"/>
    <s v="Inbound"/>
    <s v=""/>
    <s v=""/>
    <s v="Dentro Perfil;Instagram"/>
    <s v="Pipeline de Vendas"/>
    <s v="Qualificação de Vendas (SQL) (25%)"/>
    <s v=""/>
    <d v="2026-05-13T00:00:00"/>
    <m/>
    <m/>
    <n v="14"/>
    <s v="Paulo Souza"/>
    <d v="2026-04-29T00:00:00"/>
    <d v="1899-12-30T07:32:06"/>
    <s v=""/>
    <s v="Perdido"/>
    <d v="2026-05-13T00:00:00"/>
    <d v="1899-12-30T12:42:56"/>
    <s v="Sem qualificação — contato não atende ligações nem responde msg"/>
    <s v=""/>
    <s v=""/>
    <x v="0"/>
    <s v="Rayssa Karapeticov"/>
    <x v="0"/>
    <s v=""/>
    <d v="2026-05-04T00:00:00"/>
    <n v="30"/>
    <s v=""/>
    <s v=""/>
    <s v=""/>
    <s v=""/>
    <n v="1"/>
  </r>
  <r>
    <x v="1"/>
    <n v="1159"/>
    <m/>
    <n v="3692"/>
    <s v=""/>
    <s v=""/>
    <x v="632"/>
    <m/>
    <s v=""/>
    <s v="MDL (HOras)"/>
    <s v="11910695515"/>
    <s v=""/>
    <s v="janaina@mdlimport.com.br"/>
    <s v=""/>
    <s v=""/>
    <s v=""/>
    <s v=""/>
    <s v=""/>
    <s v=""/>
    <s v=""/>
    <s v=""/>
    <s v=""/>
    <s v="Pipeline de Vendas"/>
    <s v="Em Fechamento (100%)"/>
    <s v=""/>
    <m/>
    <n v="1485378"/>
    <n v="0"/>
    <n v="14"/>
    <s v="Junior Lopes"/>
    <d v="2026-04-30T00:00:00"/>
    <d v="1899-12-30T14:26:58"/>
    <s v=""/>
    <s v="Ganho"/>
    <d v="2026-05-14T00:00:00"/>
    <d v="1899-12-30T09:17:07"/>
    <s v=""/>
    <s v=""/>
    <s v=""/>
    <x v="212"/>
    <s v=""/>
    <x v="0"/>
    <s v=""/>
    <d v="2026-05-14T00:00:00"/>
    <n v="90"/>
    <s v=""/>
    <s v=""/>
    <s v=""/>
    <s v=""/>
    <n v="1"/>
  </r>
  <r>
    <x v="1"/>
    <n v="1160"/>
    <m/>
    <n v="3693"/>
    <s v="em contato com Dayane, vamos nos reunir na segunda feira dia 18/05"/>
    <s v=""/>
    <x v="633"/>
    <m/>
    <s v=""/>
    <s v="Tecelagem Castilho (E-commerce)"/>
    <s v="62993609476"/>
    <s v=""/>
    <s v="null"/>
    <s v=""/>
    <s v=""/>
    <s v=""/>
    <s v=""/>
    <s v=""/>
    <s v=""/>
    <s v=""/>
    <s v=""/>
    <s v=""/>
    <s v="Pipeline de Vendas"/>
    <s v="Em negociação (75%)"/>
    <s v=""/>
    <m/>
    <n v="4240"/>
    <n v="7128"/>
    <n v="20"/>
    <s v="Junior Lopes"/>
    <d v="2026-04-30T00:00:00"/>
    <d v="1899-12-30T14:36:01"/>
    <s v=""/>
    <s v="Ativo"/>
    <m/>
    <m/>
    <s v=""/>
    <s v=""/>
    <s v=""/>
    <x v="213"/>
    <s v=""/>
    <x v="234"/>
    <s v=""/>
    <d v="2026-05-18T00:00:00"/>
    <n v="50"/>
    <s v=""/>
    <s v=""/>
    <s v=""/>
    <s v=""/>
    <n v="1"/>
  </r>
  <r>
    <x v="1"/>
    <n v="1161"/>
    <m/>
    <n v="3694"/>
    <s v=""/>
    <s v=""/>
    <x v="634"/>
    <m/>
    <s v=""/>
    <s v="Logro Soft - Comex"/>
    <s v="3133780033"/>
    <s v=""/>
    <s v="supervisoroperacional@logrosoft.com.br"/>
    <s v=""/>
    <s v=""/>
    <s v=""/>
    <s v=""/>
    <s v=""/>
    <s v=""/>
    <s v=""/>
    <s v=""/>
    <s v=""/>
    <s v="Pipeline de Vendas"/>
    <s v="Em negociação (75%)"/>
    <s v=""/>
    <m/>
    <n v="6000"/>
    <n v="2000"/>
    <n v="0"/>
    <s v="Junior Lopes"/>
    <d v="2026-04-30T00:00:00"/>
    <d v="1899-12-30T14:59:00"/>
    <s v=""/>
    <s v="Perdido"/>
    <d v="2026-04-30T00:00:00"/>
    <d v="1899-12-30T15:41:47"/>
    <s v="Não houve aprovação financeira"/>
    <s v="dois pontos que o cliente usou para não seguir ! busca um ERP Mais simples e com valor ,ais em conta"/>
    <s v=""/>
    <x v="214"/>
    <s v=""/>
    <x v="231"/>
    <s v=""/>
    <m/>
    <n v="50"/>
    <s v=""/>
    <s v=""/>
    <s v=""/>
    <s v=""/>
    <n v="1"/>
  </r>
  <r>
    <x v="1"/>
    <n v="1162"/>
    <m/>
    <n v="3637"/>
    <s v="Todos os dados preenchidos:empresa: InfinitTec  name: Pedro Paulo cargo: Proprietário  whatsapp: 69981362005 email: adm@infinittec.com.br referrer: https://www.guaranisistemas.com.br/ _x000a_(04/05/2026) em busca sobre o lead ! _x000a_Infinitec é uma casa de software e controladoria financeira"/>
    <s v=""/>
    <x v="635"/>
    <m/>
    <s v=""/>
    <s v="Pedro Paulo"/>
    <s v=""/>
    <s v=""/>
    <s v="adm@infinittec.com.br"/>
    <s v=""/>
    <s v=""/>
    <s v=""/>
    <s v="Cacoal"/>
    <s v=""/>
    <s v="Inbound"/>
    <s v=""/>
    <s v=""/>
    <s v="Fora Perfil"/>
    <s v="Pipeline de Vendas"/>
    <s v="Agendamento (0%)"/>
    <s v=""/>
    <m/>
    <m/>
    <m/>
    <n v="0"/>
    <s v="Paulo Souza"/>
    <d v="2026-05-04T00:00:00"/>
    <d v="1899-12-30T08:07:13"/>
    <s v=""/>
    <s v="Perdido"/>
    <d v="2026-05-04T00:00:00"/>
    <d v="1899-12-30T09:31:01"/>
    <s v="Fora do porte mínimo (sem fit estrutural)"/>
    <s v="casa de software"/>
    <s v=""/>
    <x v="0"/>
    <s v="Junior Lopes"/>
    <x v="0"/>
    <s v=""/>
    <m/>
    <n v="30"/>
    <s v=""/>
    <s v=""/>
    <s v=""/>
    <s v=""/>
    <n v="1"/>
  </r>
  <r>
    <x v="3"/>
    <n v="1163"/>
    <m/>
    <n v="3638"/>
    <s v="Falei com o Chico: a empresa (atacado) possui 4 lojas e está prestes a inaugurar uma nova filial. Conta com 110 colaboradores (incluindo a equipe interna de vendas/televendas) e 6 representantes comerciais. Atualmente utiliza o sistema RP ERP e demonstrou interesse em conhecer novas opções. Também solicitou referências de clientes da região._x000a_Apresentação agendada para 11/05 às 10h._x000a_(18/05) Enviado msg para Chico a fim de agendar um bate-papo."/>
    <s v=""/>
    <x v="636"/>
    <n v="42263870000101"/>
    <s v=""/>
    <s v="eficaz atacadao da limpeza"/>
    <s v="(67) 9895-2961"/>
    <s v=""/>
    <s v="gerentedevendas@eficazatacadaodalimpeza.com.br"/>
    <s v=""/>
    <s v=""/>
    <s v=""/>
    <s v="CAMPO GRANDE"/>
    <s v="MS"/>
    <s v="Campanha"/>
    <s v=""/>
    <s v=""/>
    <s v="Dentro Perfil;Instagram"/>
    <s v="Pipeline de Vendas"/>
    <s v="Qualificação de Vendas (SQL) (25%)"/>
    <s v=""/>
    <m/>
    <m/>
    <m/>
    <n v="16"/>
    <s v="Paulo Souza"/>
    <d v="2026-05-04T00:00:00"/>
    <d v="1899-12-30T08:10:13"/>
    <s v=""/>
    <s v="Ativo"/>
    <m/>
    <m/>
    <s v=""/>
    <s v=""/>
    <s v=""/>
    <x v="0"/>
    <s v="Ronaldo Nascimento"/>
    <x v="0"/>
    <s v=""/>
    <m/>
    <n v="30"/>
    <s v=""/>
    <s v="AFV, ERP"/>
    <s v=""/>
    <s v=""/>
    <n v="1"/>
  </r>
  <r>
    <x v="2"/>
    <n v="1164"/>
    <m/>
    <n v="3695"/>
    <s v=""/>
    <s v=""/>
    <x v="637"/>
    <n v="64508464000196"/>
    <s v=""/>
    <s v="Shirley"/>
    <s v="41998464626"/>
    <s v=""/>
    <s v="zahrahcezar@gmail.com"/>
    <s v=""/>
    <s v=""/>
    <s v=""/>
    <s v="PIRAQUARA"/>
    <s v="PR"/>
    <s v="Campanha"/>
    <s v=""/>
    <s v=""/>
    <s v="Fora Perfil;Instagram"/>
    <s v="Pipeline de Vendas"/>
    <s v="Qualificação de Vendas (SQL) (25%)"/>
    <s v=""/>
    <m/>
    <m/>
    <m/>
    <n v="4"/>
    <s v="Paulo Souza"/>
    <d v="2026-05-04T00:00:00"/>
    <d v="1899-12-30T08:11:30"/>
    <s v=""/>
    <s v="Perdido"/>
    <d v="2026-05-08T00:00:00"/>
    <d v="1899-12-30T10:31:28"/>
    <s v="Fora do porte mínimo (sem fit estrutural)"/>
    <s v=""/>
    <s v=""/>
    <x v="0"/>
    <s v="Rayssa Karapeticov"/>
    <x v="0"/>
    <s v=""/>
    <d v="2026-05-08T00:00:00"/>
    <n v="31"/>
    <s v=""/>
    <s v=""/>
    <s v=""/>
    <s v=""/>
    <n v="1"/>
  </r>
  <r>
    <x v="1"/>
    <n v="1165"/>
    <m/>
    <n v="3698"/>
    <s v=""/>
    <s v=""/>
    <x v="638"/>
    <n v="15725079000195"/>
    <s v=""/>
    <s v="Edu Autoparts"/>
    <s v="8196028924"/>
    <s v=""/>
    <s v="eduardo@edusomautoparts.com.br"/>
    <s v=""/>
    <s v=""/>
    <s v=""/>
    <s v=""/>
    <s v=""/>
    <s v="Campanha"/>
    <s v=""/>
    <s v=""/>
    <s v="Dentro Perfil;Instagram"/>
    <s v="Pipeline de Vendas"/>
    <s v="Qualificação de Vendas (SQL) (25%)"/>
    <s v=""/>
    <m/>
    <m/>
    <m/>
    <n v="10"/>
    <s v="Paulo Souza"/>
    <d v="2026-05-04T00:00:00"/>
    <d v="1899-12-30T08:13:17"/>
    <s v=""/>
    <s v="Perdido"/>
    <d v="2026-05-14T00:00:00"/>
    <d v="1899-12-30T11:31:32"/>
    <s v="Sem qualificação — contato não atende ligações nem responde msg"/>
    <s v="(14/05/2026) cliente não responde aos contatos"/>
    <s v=""/>
    <x v="0"/>
    <s v="Junior Lopes"/>
    <x v="0"/>
    <s v=""/>
    <d v="2026-05-14T00:00:00"/>
    <n v="28"/>
    <s v=""/>
    <s v=""/>
    <s v=""/>
    <s v=""/>
    <n v="1"/>
  </r>
  <r>
    <x v="3"/>
    <n v="1166"/>
    <m/>
    <n v="3699"/>
    <s v="(04/05) Falei com o Leandro. A empresa utiliza o ERP Excellent Sistemas, mas ele relatou insatisfação principalmente nos módulos de compras e controle de estoque. Está em busca de um sistema mais completo._x000a_Solicitou que eu envie mais informações pelo WhatsApp para, em seguida, agendarmos uma reunião._x000a_Atualmente, a equipe conta com 3 representantes e 3 vendedores internos._x000a_(11/05) Enviado e-mail ao Leandro com informações sobre nossas soluções e possíveis ganhos operacionais nas áreas de compras e controle de estoque. Aguardando retorno para agendamento da apresentação._x000a_(18/05) Enviado WhatsApp para Leandro a fim de agendarmos uma apresentação."/>
    <s v=""/>
    <x v="639"/>
    <m/>
    <s v=""/>
    <s v="Bornia Metais Ltda."/>
    <s v="44991022838"/>
    <s v=""/>
    <s v="gallo.bornia@hotmail.com"/>
    <s v=""/>
    <s v=""/>
    <s v=""/>
    <s v=""/>
    <s v=""/>
    <s v="Campanha"/>
    <s v=""/>
    <s v=""/>
    <s v="Dentro Perfil;Instagram"/>
    <s v="Pipeline de Vendas"/>
    <s v="Qualificação de Vendas (SQL) (25%)"/>
    <s v=""/>
    <m/>
    <m/>
    <m/>
    <n v="16"/>
    <s v="Paulo Souza"/>
    <d v="2026-05-04T00:00:00"/>
    <d v="1899-12-30T08:14:23"/>
    <s v=""/>
    <s v="Ativo"/>
    <m/>
    <m/>
    <s v=""/>
    <s v=""/>
    <s v=""/>
    <x v="0"/>
    <s v="Ronaldo Nascimento"/>
    <x v="0"/>
    <s v=""/>
    <d v="2026-05-11T00:00:00"/>
    <n v="30"/>
    <s v=""/>
    <s v=""/>
    <s v=""/>
    <s v=""/>
    <n v="1"/>
  </r>
  <r>
    <x v="2"/>
    <n v="1167"/>
    <m/>
    <n v="3700"/>
    <s v=""/>
    <s v=""/>
    <x v="640"/>
    <m/>
    <s v=""/>
    <s v="Proprietario"/>
    <s v="5591420014"/>
    <s v=""/>
    <s v="lucasmaslonik@hotmail.com"/>
    <s v=""/>
    <s v=""/>
    <s v=""/>
    <s v=""/>
    <s v=""/>
    <s v="Campanha"/>
    <s v=""/>
    <s v=""/>
    <s v="Fora Perfil;Instagram"/>
    <s v="Pipeline de Vendas"/>
    <s v="Qualificação de Vendas (SQL) (25%)"/>
    <s v=""/>
    <m/>
    <m/>
    <m/>
    <n v="4"/>
    <s v="Paulo Souza"/>
    <d v="2026-05-04T00:00:00"/>
    <d v="1899-12-30T08:15:36"/>
    <s v=""/>
    <s v="Perdido"/>
    <d v="2026-05-08T00:00:00"/>
    <d v="1899-12-30T10:29:39"/>
    <s v="Fora do porte mínimo (sem fit estrutural)"/>
    <s v=""/>
    <s v=""/>
    <x v="0"/>
    <s v="Rayssa Karapeticov"/>
    <x v="0"/>
    <s v=""/>
    <d v="2026-05-08T00:00:00"/>
    <n v="30"/>
    <s v=""/>
    <s v=""/>
    <s v=""/>
    <s v=""/>
    <n v="1"/>
  </r>
  <r>
    <x v="2"/>
    <n v="1168"/>
    <m/>
    <n v="3701"/>
    <s v=""/>
    <s v=""/>
    <x v="641"/>
    <m/>
    <s v=""/>
    <s v="BC"/>
    <s v="14999125373"/>
    <s v=""/>
    <s v="jeruzamocluciano@gmail.com"/>
    <s v=""/>
    <s v=""/>
    <s v=""/>
    <s v=""/>
    <s v=""/>
    <s v="Campanha"/>
    <s v=""/>
    <s v=""/>
    <s v="Dentro Perfil;Instagram"/>
    <s v="Pipeline de Vendas"/>
    <s v="Agendamento (0%)"/>
    <s v=""/>
    <m/>
    <m/>
    <m/>
    <n v="5"/>
    <s v="Paulo Souza"/>
    <d v="2026-05-04T00:00:00"/>
    <d v="1899-12-30T08:16:29"/>
    <s v=""/>
    <s v="Perdido"/>
    <d v="2026-05-09T00:00:00"/>
    <d v="1899-12-30T08:46:59"/>
    <s v="Inválido - empresa não existe / dados errados"/>
    <s v=""/>
    <s v=""/>
    <x v="0"/>
    <s v="Rayssa Karapeticov"/>
    <x v="0"/>
    <s v=""/>
    <m/>
    <n v="30"/>
    <s v=""/>
    <s v=""/>
    <s v=""/>
    <s v=""/>
    <n v="1"/>
  </r>
  <r>
    <x v="1"/>
    <n v="1169"/>
    <m/>
    <n v="3702"/>
    <s v="(04/05/2026) em ligação com Paulo Rosa , _x000a_atualmente usa ERP https://www.etoerp.com.br/_x000a_atualmente esta com dificuldade com PCP em controlar insumos para produção ! esto8u enviando material via e -mail para logo seguirmos com apresentação _x000a_(15/05/2026) após envio de material não obtive mais retorno do Paulo"/>
    <s v=""/>
    <x v="642"/>
    <n v="29795322000156"/>
    <s v=""/>
    <s v="Presystem Projetos e Sistemas Eletrônicos"/>
    <s v="(11) 2031-1273"/>
    <s v=""/>
    <s v="contato@bepcontabilidade.com"/>
    <s v=""/>
    <s v=""/>
    <s v=""/>
    <s v="SAO PAULO"/>
    <s v="SP"/>
    <s v="Campanha"/>
    <s v=""/>
    <s v=""/>
    <s v="Dentro Perfil;Instagram"/>
    <s v="Pipeline de Vendas"/>
    <s v="Qualificação de Vendas (SQL) (25%)"/>
    <s v=""/>
    <m/>
    <m/>
    <m/>
    <n v="11"/>
    <s v="Paulo Souza"/>
    <d v="2026-05-04T00:00:00"/>
    <d v="1899-12-30T08:18:58"/>
    <s v=""/>
    <s v="Perdido"/>
    <d v="2026-05-15T00:00:00"/>
    <d v="1899-12-30T16:29:44"/>
    <s v="Sem qualificação — contato não atende ligações nem responde msg"/>
    <s v="no dia 05/05 cheguei a falar com Paulo, porem após envio do material e esboço de investimento  nao tive mais retorno"/>
    <s v=""/>
    <x v="0"/>
    <s v="Junior Lopes"/>
    <x v="0"/>
    <s v=""/>
    <d v="2026-05-15T00:00:00"/>
    <n v="31"/>
    <s v=""/>
    <s v=""/>
    <s v=""/>
    <s v=""/>
    <n v="1"/>
  </r>
  <r>
    <x v="1"/>
    <n v="1170"/>
    <m/>
    <n v="3704"/>
    <s v="Oi_x000a_hj sou socio na magnus transformadores_x000a_cnpj 27.569.814/0001-06_x000a_utilizamos um erp da empresa unicode_x000a_vou iniciar uma nova empresa de forma individual com a mesma atividade fabricação de transformadores_x000a_preciso de um sistema para gerir todas as estapas do processo da empresa_x000a_vendas, compras, produção, financeiro_x000a_(15/05/2026) depois da ultima conversa com Raul , dei um esboço do investimento logo não tivemos mais retorno"/>
    <s v=""/>
    <x v="643"/>
    <m/>
    <s v=""/>
    <s v="Ivan Edson Dias"/>
    <s v="(11) 95811-0104"/>
    <s v=""/>
    <s v="ivanedson77@gmail.com"/>
    <s v=""/>
    <s v=""/>
    <s v=""/>
    <s v="São Paulo"/>
    <s v=""/>
    <s v="Site"/>
    <s v=""/>
    <s v=""/>
    <s v="Dentro Perfil;Solicita demo"/>
    <s v="Pipeline de Vendas"/>
    <s v="Qualificação de Vendas (SQL) (25%)"/>
    <s v=""/>
    <m/>
    <m/>
    <m/>
    <n v="11"/>
    <s v="Paulo Souza"/>
    <d v="2026-05-04T00:00:00"/>
    <d v="1899-12-30T08:20:31"/>
    <s v=""/>
    <s v="Perdido"/>
    <d v="2026-05-15T00:00:00"/>
    <d v="1899-12-30T16:22:29"/>
    <s v="Não houve aprovação financeira"/>
    <s v="(15/05/2026) depois da ultima conversa com Ivan , dei um esboço do investimento logo não tivemos mais retorno"/>
    <s v=""/>
    <x v="0"/>
    <s v="Junior Lopes"/>
    <x v="0"/>
    <s v=""/>
    <d v="2026-05-15T00:00:00"/>
    <n v="30"/>
    <s v=""/>
    <s v=""/>
    <s v=""/>
    <s v=""/>
    <n v="1"/>
  </r>
  <r>
    <x v="3"/>
    <n v="1171"/>
    <m/>
    <n v="3705"/>
    <s v="(04/05) Realizado ligação, porém, caiu na caixa postal. Enviado msg por WhatsApp._x000a_(11/05) Enviado WhatsApp para Raimundo com o objetivo de verificar o melhor horário para realizar contato telefônico."/>
    <s v=""/>
    <x v="644"/>
    <m/>
    <s v=""/>
    <s v="Ellform"/>
    <s v="7187881309"/>
    <s v=""/>
    <s v="racoelhoneto@hotmail.com"/>
    <s v=""/>
    <s v=""/>
    <s v=""/>
    <s v=""/>
    <s v=""/>
    <s v="Campanha"/>
    <s v=""/>
    <s v=""/>
    <s v="Dentro Perfil;Instagram"/>
    <s v="Pipeline de Vendas"/>
    <s v="Qualificação de Vendas (SQL) (25%)"/>
    <s v=""/>
    <m/>
    <m/>
    <m/>
    <n v="14"/>
    <s v="Paulo Souza"/>
    <d v="2026-05-04T00:00:00"/>
    <d v="1899-12-30T08:21:13"/>
    <s v=""/>
    <s v="Perdido"/>
    <d v="2026-05-18T00:00:00"/>
    <d v="1899-12-30T09:31:54"/>
    <s v="Sem qualificação — contato não atende ligações nem responde msg"/>
    <s v="(18/05) Raimundo não retornou meus contatos. Enviei uma mensagem encerrando o atendimento no momento, mas deixei meu contato à disposição para um possível retorno futuro."/>
    <s v=""/>
    <x v="0"/>
    <s v="Ronaldo Nascimento"/>
    <x v="0"/>
    <s v=""/>
    <d v="2026-05-11T00:00:00"/>
    <n v="30"/>
    <s v=""/>
    <s v=""/>
    <s v=""/>
    <s v=""/>
    <n v="1"/>
  </r>
  <r>
    <x v="3"/>
    <n v="1172"/>
    <m/>
    <n v="3706"/>
    <s v="(04/05) Realizado ligação, porém, caiu na caixa postal. Enviado msg por WhatsApp._x000a_(11/05) Enviado WhatsApp para Márcio com o objetivo de verificar o melhor horário para realizar contato telefônico._x000a_(18/05) Tentei contato novamente com Márcio, porém, sem sucesso (Ligação e WhatsApp). Enviado e-mail antes de perder o negócio."/>
    <s v=""/>
    <x v="645"/>
    <n v="32268865000391"/>
    <s v=""/>
    <s v="Morefix"/>
    <s v="19991043105"/>
    <s v=""/>
    <s v="marcio.soares@morefix.com.br"/>
    <s v=""/>
    <s v=""/>
    <s v=""/>
    <s v=""/>
    <s v=""/>
    <s v="Campanha"/>
    <s v=""/>
    <s v=""/>
    <s v="Dentro Perfil;Instagram"/>
    <s v="Pipeline de Vendas"/>
    <s v="Qualificação de Vendas (SQL) (25%)"/>
    <s v=""/>
    <m/>
    <m/>
    <m/>
    <n v="16"/>
    <s v="Paulo Souza"/>
    <d v="2026-05-04T00:00:00"/>
    <d v="1899-12-30T08:22:02"/>
    <s v=""/>
    <s v="Ativo"/>
    <m/>
    <m/>
    <s v=""/>
    <s v=""/>
    <s v=""/>
    <x v="0"/>
    <s v="Ronaldo Nascimento"/>
    <x v="0"/>
    <s v=""/>
    <d v="2026-05-11T00:00:00"/>
    <n v="30"/>
    <s v=""/>
    <s v=""/>
    <s v=""/>
    <s v=""/>
    <n v="1"/>
  </r>
  <r>
    <x v="1"/>
    <n v="1173"/>
    <m/>
    <n v="3707"/>
    <s v="(04/05/2026) tentativa de ligação ! porem numero somente WhatsApp_x000a_(04/05/2026) em contato com Sérgio ! _x000a_em ligação se identificou e já foi cliente Guarani na oportunidade migrou para Winthor ! _x000a_pediu uma ideia de investimento para entender sobre uma eventual mudança ! estou batalhando para nos reunirmos para uma breve apresentação _x000a_Tentativa de contato : _x000a_ 14:51, 04/05/2026 Junior Lopes: Olá Sérgio ! Boa tarde_x000a_14:51, 04/05/2026 Junior Lopes: Junior da Guarani sistemas por aqui ! Td bem ?_x000a_(15/05/2026) tentaiva de ligação não atendia com Sérgio, a ideia é fazer apresentação"/>
    <s v=""/>
    <x v="646"/>
    <n v="1784943000115"/>
    <s v=""/>
    <s v="Astrum Distribuidora"/>
    <s v="38988234018"/>
    <s v=""/>
    <s v="sergio@resendesantos.com.br"/>
    <s v=""/>
    <s v=""/>
    <s v=""/>
    <s v=""/>
    <s v="Montes Claros"/>
    <s v="Inbound"/>
    <s v=""/>
    <s v=""/>
    <s v="Dentro Perfil;Instagram"/>
    <s v="Pipeline de Vendas"/>
    <s v="Qualificação de Vendas (SQL) (25%)"/>
    <s v=""/>
    <m/>
    <m/>
    <m/>
    <n v="16"/>
    <s v="Paulo Souza"/>
    <d v="2026-05-04T00:00:00"/>
    <d v="1899-12-30T08:23:02"/>
    <s v=""/>
    <s v="Ativo"/>
    <m/>
    <m/>
    <s v=""/>
    <s v=""/>
    <s v=""/>
    <x v="0"/>
    <s v="Junior Lopes"/>
    <x v="0"/>
    <s v=""/>
    <d v="2026-05-15T00:00:00"/>
    <n v="30"/>
    <s v=""/>
    <s v=""/>
    <s v=""/>
    <s v=""/>
    <n v="1"/>
  </r>
  <r>
    <x v="3"/>
    <n v="1174"/>
    <m/>
    <n v="3708"/>
    <s v="(04/05) Entrei em contato e falei com Luis. Informou que João estará na empresa à partir das 16h, pediu para retornar neste horário._x000a_(06/05) Entrei em contato com o Luis, que solicitou o envio das informações por e-mail ao João. Ficou combinado retorno amanhã às 11h30._x000a_(11/05) Realizada nova tentativa de contato com João, porém sem sucesso. Enviado e-mail com o objetivo de agendar um bate-papo para apresentação das soluções._x000a_(18/05) Como não tive retorno (ligação), enviado e-mail para João antes de perder o negócio."/>
    <s v=""/>
    <x v="647"/>
    <n v="10667844000144"/>
    <s v=""/>
    <s v="ferragens renova"/>
    <s v="5134904475"/>
    <s v=""/>
    <s v="diretoria@ferragensrenova.com.br"/>
    <s v=""/>
    <s v=""/>
    <s v=""/>
    <s v=""/>
    <s v=""/>
    <s v="Campanha"/>
    <s v=""/>
    <s v=""/>
    <s v="Dentro Perfil;Instagram"/>
    <s v="Pipeline de Vendas"/>
    <s v="Qualificação de Vendas (SQL) (25%)"/>
    <s v=""/>
    <m/>
    <m/>
    <m/>
    <n v="16"/>
    <s v="Paulo Souza"/>
    <d v="2026-05-04T00:00:00"/>
    <d v="1899-12-30T08:23:51"/>
    <s v=""/>
    <s v="Ativo"/>
    <m/>
    <m/>
    <s v=""/>
    <s v=""/>
    <s v=""/>
    <x v="0"/>
    <s v="Ronaldo Nascimento"/>
    <x v="0"/>
    <s v=""/>
    <d v="2026-05-11T00:00:00"/>
    <n v="30"/>
    <s v=""/>
    <s v=""/>
    <s v=""/>
    <s v=""/>
    <n v="1"/>
  </r>
  <r>
    <x v="3"/>
    <n v="1175"/>
    <n v="213"/>
    <n v="3714"/>
    <s v="(04/05) Falei com o Thiago: ele está em fechamento e com dois colaboradores do administrativo em férias. Após essa semana, irá verificar uma agenda para conversarmos. Retornar na segunda-feira._x000a_(11/05) Enviado msg para Thiago a fim de agendar um bate-papo."/>
    <s v=""/>
    <x v="648"/>
    <n v="3670607000177"/>
    <s v="RV DISTRIBUIDORA DE GENEROS ALIMENTICIOS LTDA"/>
    <s v="Thiago Barbosa"/>
    <s v="(16) 98127-4870"/>
    <s v="16981274870"/>
    <s v="rvdistribuidora123@gmail.com"/>
    <s v="Matriz"/>
    <s v=""/>
    <s v="AV LUIZ ALFREDO DE MELO ROSA 460"/>
    <s v="IBATE"/>
    <s v="SP"/>
    <s v="Outbound"/>
    <s v="Outbound"/>
    <s v=""/>
    <s v="Dentro Perfil"/>
    <s v="Pipeline de Vendas"/>
    <s v="Qualificação de Vendas (SQL) (25%)"/>
    <s v=""/>
    <m/>
    <m/>
    <m/>
    <n v="16"/>
    <s v="Paulo Souza"/>
    <d v="2026-05-04T00:00:00"/>
    <d v="1899-12-30T08:43:59"/>
    <s v=""/>
    <s v="Ativo"/>
    <m/>
    <m/>
    <s v=""/>
    <s v=""/>
    <s v=""/>
    <x v="0"/>
    <s v="Ronaldo Nascimento"/>
    <x v="0"/>
    <s v=""/>
    <d v="2026-05-11T00:00:00"/>
    <n v="30"/>
    <s v=""/>
    <s v=""/>
    <s v=""/>
    <s v=""/>
    <n v="1"/>
  </r>
  <r>
    <x v="2"/>
    <n v="1176"/>
    <m/>
    <n v="3716"/>
    <s v=""/>
    <s v=""/>
    <x v="649"/>
    <n v="52696640000181"/>
    <s v=""/>
    <s v="Aparecido Ribeiro Molina Junior"/>
    <s v="(19) 99788-2241"/>
    <s v=""/>
    <s v="gerencia@grupogadulog.com.br"/>
    <s v=""/>
    <s v=""/>
    <s v=""/>
    <s v="DESCALVADO"/>
    <s v="SP"/>
    <s v="Site"/>
    <s v=""/>
    <s v=""/>
    <s v="Fora Perfil;Solicita demo"/>
    <s v="Pipeline de Vendas"/>
    <s v="Qualificação de Vendas (SQL) (25%)"/>
    <s v=""/>
    <m/>
    <m/>
    <m/>
    <n v="4"/>
    <s v="Paulo Souza"/>
    <d v="2026-05-04T00:00:00"/>
    <d v="1899-12-30T15:45:58"/>
    <s v=""/>
    <s v="Perdido"/>
    <d v="2026-05-08T00:00:00"/>
    <d v="1899-12-30T12:09:14"/>
    <s v="Fora do porte mínimo (sem fit estrutural)"/>
    <s v=""/>
    <s v=""/>
    <x v="0"/>
    <s v="Rayssa Karapeticov"/>
    <x v="0"/>
    <s v=""/>
    <d v="2026-05-05T00:00:00"/>
    <n v="30"/>
    <s v=""/>
    <s v=""/>
    <s v=""/>
    <s v=""/>
    <n v="1"/>
  </r>
  <r>
    <x v="1"/>
    <n v="1177"/>
    <m/>
    <n v="3732"/>
    <s v=""/>
    <s v=""/>
    <x v="650"/>
    <n v="36356922000183"/>
    <s v=""/>
    <s v="Istok comércio"/>
    <s v="(11) 2361-7746"/>
    <s v=""/>
    <s v="diogo.contabilidade@yahoo.com.br"/>
    <s v=""/>
    <s v=""/>
    <s v=""/>
    <s v="SAO PAULO"/>
    <s v="SP"/>
    <s v=""/>
    <s v=""/>
    <s v=""/>
    <s v=""/>
    <s v="Pipeline de Vendas"/>
    <s v="Em Fechamento (100%)"/>
    <s v=""/>
    <m/>
    <n v="694512"/>
    <n v="201348"/>
    <n v="14"/>
    <s v="Junior Lopes"/>
    <d v="2026-05-05T00:00:00"/>
    <d v="1899-12-30T16:57:12"/>
    <s v=""/>
    <s v="Ganho"/>
    <d v="2026-05-19T00:00:00"/>
    <d v="1899-12-30T14:28:32"/>
    <s v=""/>
    <s v=""/>
    <s v=""/>
    <x v="215"/>
    <s v=""/>
    <x v="235"/>
    <s v="12/05/2026"/>
    <m/>
    <n v="50"/>
    <s v=""/>
    <s v=""/>
    <s v=""/>
    <s v=""/>
    <n v="1"/>
  </r>
  <r>
    <x v="3"/>
    <n v="1178"/>
    <n v="263"/>
    <n v="3734"/>
    <s v="(11/05) Enviada nova mensagem via LinkedIn para Rodrigo Buzinari. Em 05/05, também foi encaminhado e-mail para Rodrigo Furtado (diretor)._x000a_(18/05) Enviado e-mail para Rodrigo, antes de perder o negócio."/>
    <s v=""/>
    <x v="651"/>
    <n v="20718183000192"/>
    <s v="PETIKO COMERCIO E DISTRIBUICAO DE PRODUTOS PET S.A"/>
    <s v="Rodrigo José Buzinari"/>
    <s v="(16) 33712-3681"/>
    <s v=""/>
    <s v="eucuidoparavoce@doutorcontabil.com.br"/>
    <s v="Matriz"/>
    <s v=""/>
    <s v="R FRANCISCO MARICONDI 254"/>
    <s v="SAO CARLOS"/>
    <s v="SP"/>
    <s v=""/>
    <s v=""/>
    <s v=""/>
    <s v="Dentro Perfil"/>
    <s v="Pipeline de Vendas"/>
    <s v="Qualificação de Vendas (SQL) (25%)"/>
    <s v=""/>
    <m/>
    <m/>
    <m/>
    <n v="15"/>
    <s v="Ronaldo Nascimento"/>
    <d v="2026-05-05T00:00:00"/>
    <d v="1899-12-30T17:25:14"/>
    <s v=""/>
    <s v="Ativo"/>
    <m/>
    <m/>
    <s v=""/>
    <s v=""/>
    <s v=""/>
    <x v="0"/>
    <s v=""/>
    <x v="0"/>
    <s v=""/>
    <d v="2026-05-11T00:00:00"/>
    <n v="30"/>
    <s v=""/>
    <s v=""/>
    <s v=""/>
    <s v=""/>
    <n v="1"/>
  </r>
  <r>
    <x v="3"/>
    <n v="1179"/>
    <m/>
    <n v="3735"/>
    <s v="(06/05) Realizei contato telefônico com Lucianei, que informou não poder falar no momento e que retornaria assim que possível. Também enviei mensagem via WhatsApp para acompanhamento._x000a_(07/05) Realizo novo contato por WhatsApp. (Telefone deu caixa portal)_x000a_(11/05) Realizada nova tentativa de contato com Luciane, porém sem sucesso. Enviada nova mensagem via WhatsApp._x000a_(18/05) Luciane não retornou meus contatos. Enviei uma mensagem encerrando o atendimento no momento, mas deixei meu contato à disposição para um possível retorno futuro."/>
    <s v=""/>
    <x v="652"/>
    <m/>
    <s v=""/>
    <s v="Querosmais"/>
    <s v="41988659245"/>
    <s v=""/>
    <s v="querosmais@ig.com.br"/>
    <s v=""/>
    <s v=""/>
    <s v=""/>
    <s v=""/>
    <s v=""/>
    <s v="Campanha"/>
    <s v=""/>
    <s v=""/>
    <s v="Dentro Perfil;Instagram"/>
    <s v="Pipeline de Vendas"/>
    <s v="Qualificação de Vendas (SQL) (25%)"/>
    <s v=""/>
    <m/>
    <m/>
    <m/>
    <n v="12"/>
    <s v="Paulo Souza"/>
    <d v="2026-05-06T00:00:00"/>
    <d v="1899-12-30T03:15:00"/>
    <s v=""/>
    <s v="Perdido"/>
    <d v="2026-05-18T00:00:00"/>
    <d v="1899-12-30T10:08:21"/>
    <s v="Sem qualificação — contato não atende ligações nem responde msg"/>
    <s v="(18/05) Luciane não retornou meus contatos. Enviei uma mensagem encerrando o atendimento no momento, mas deixei meu contato à disposição para um possível retorno futuro."/>
    <s v=""/>
    <x v="0"/>
    <s v="Ronaldo Nascimento"/>
    <x v="0"/>
    <s v=""/>
    <d v="2026-05-11T00:00:00"/>
    <n v="30"/>
    <s v=""/>
    <s v=""/>
    <s v=""/>
    <s v=""/>
    <n v="1"/>
  </r>
  <r>
    <x v="3"/>
    <n v="1180"/>
    <m/>
    <n v="3718"/>
    <s v="(06/05) Realizei contato telefônico com Marcelo. A empresa utiliza o sistema Sankhya e demonstrou insatisfação. Possuem vendedores internos e representantes comerciais. Apresentação agendada para quinta-feira (07/05), às 15h._x000a_(07/05) Realizada apresentação para o Marcelo. A reunião foi conduzida pelo Paulo, eu acompanhei._x000a_O projeto contempla aproximadamente 13 usuários entre ERP e AFV. Foi enviado o formulário para preenchimento e, posteriormente, será realizada a emissão da proposta._x000a_Obs.: Marcelo está ciente das horas de implantação._x000a_(14/05) Enviado WhatsApp para Marcelo solicitando um retorno sobre a proposta apresentada."/>
    <s v=""/>
    <x v="653"/>
    <n v="4184739000151"/>
    <s v=""/>
    <s v="Fikssar distribuidora LTDA"/>
    <s v="34996787403"/>
    <s v=""/>
    <s v="marcelojsilva@fikssar.com.br"/>
    <s v=""/>
    <s v=""/>
    <s v=""/>
    <s v=""/>
    <s v="Patos  de Minas"/>
    <s v="Inbound"/>
    <s v=""/>
    <s v=""/>
    <s v="Dentro Perfil;Instagram"/>
    <s v="Pipeline de Vendas"/>
    <s v="Em negociação (75%)"/>
    <s v=""/>
    <m/>
    <n v="8585802"/>
    <m/>
    <n v="14"/>
    <s v="Paulo Souza"/>
    <d v="2026-05-06T00:00:00"/>
    <d v="1899-12-30T03:16:48"/>
    <s v=""/>
    <s v="Ativo"/>
    <m/>
    <m/>
    <s v=""/>
    <s v=""/>
    <s v=""/>
    <x v="215"/>
    <s v="Ronaldo Nascimento"/>
    <x v="236"/>
    <s v=""/>
    <d v="2026-05-12T00:00:00"/>
    <n v="50"/>
    <s v=""/>
    <s v="AFV, ERP"/>
    <s v=""/>
    <s v=""/>
    <n v="1"/>
  </r>
  <r>
    <x v="3"/>
    <n v="1181"/>
    <m/>
    <n v="3720"/>
    <s v="(06/05) Tentei contato telefônico, porém a chamada foi direcionada para a caixa postal. Enviei mensagem via WhatsApp para identificar o melhor horário para retorno da ligação._x000a_(07/05) Johnny retornou a mensagem informando que estava em viagem, cuidando da saúde do pai, e que nesta semana não seria possível falarmos. Disse que na próxima semana entrará em contato. Caso isso não ocorra, realizar novo contato._x000a_(18/05) Enviado nova msg para Johnny a fim de verificar melhor horário para ligação."/>
    <s v=""/>
    <x v="654"/>
    <m/>
    <s v=""/>
    <s v="Krieger ind e com fé madeiras"/>
    <s v="66984172640"/>
    <s v=""/>
    <s v="kriegermadeiraspga@gmail.com"/>
    <s v=""/>
    <s v=""/>
    <s v=""/>
    <s v=""/>
    <s v="Porto dos Gaúchos MT"/>
    <s v="Inbound"/>
    <s v=""/>
    <s v=""/>
    <s v="Dentro Perfil;Instagram"/>
    <s v="Pipeline de Vendas"/>
    <s v="Qualificação de Vendas (SQL) (25%)"/>
    <s v=""/>
    <m/>
    <m/>
    <m/>
    <n v="14"/>
    <s v="Paulo Souza"/>
    <d v="2026-05-06T00:00:00"/>
    <d v="1899-12-30T03:17:57"/>
    <s v=""/>
    <s v="Ativo"/>
    <m/>
    <m/>
    <s v=""/>
    <s v=""/>
    <s v=""/>
    <x v="0"/>
    <s v="Ronaldo Nascimento"/>
    <x v="0"/>
    <s v=""/>
    <m/>
    <n v="30"/>
    <s v=""/>
    <s v=""/>
    <s v=""/>
    <s v=""/>
    <n v="1"/>
  </r>
  <r>
    <x v="3"/>
    <n v="1184"/>
    <m/>
    <n v="3737"/>
    <s v="(07/05) Tentei contato telefônico, porém sem sucesso. Foi enviado WhatsApp para Tiago, com o objetivo de verificar o melhor horário para conversarmos."/>
    <s v=""/>
    <x v="655"/>
    <m/>
    <s v=""/>
    <s v="Tiago sandavid"/>
    <s v="93991009174"/>
    <s v=""/>
    <s v="souzamaia2010@hotmail.com"/>
    <s v=""/>
    <s v=""/>
    <s v=""/>
    <s v=""/>
    <s v=""/>
    <s v="Campanha"/>
    <s v=""/>
    <s v=""/>
    <s v="Fora Perfil;Instagram"/>
    <s v="Pipeline de Vendas"/>
    <s v="Qualificação de Vendas (SQL) (25%)"/>
    <s v=""/>
    <m/>
    <m/>
    <m/>
    <n v="0"/>
    <s v="Paulo Souza"/>
    <d v="2026-05-07T00:00:00"/>
    <d v="1899-12-30T08:39:53"/>
    <s v=""/>
    <s v="Perdido"/>
    <d v="2026-05-07T00:00:00"/>
    <d v="1899-12-30T14:21:16"/>
    <s v="Fora do porte mínimo (sem fit estrutural)"/>
    <s v="Empresa de pequeno porte, com 3 vendedores internos._x000a_Atualmente utilizam o sistema Vendr, do Grupo IOB."/>
    <s v=""/>
    <x v="0"/>
    <s v="Ronaldo Nascimento"/>
    <x v="0"/>
    <s v=""/>
    <m/>
    <n v="30"/>
    <s v=""/>
    <s v=""/>
    <s v=""/>
    <s v=""/>
    <n v="1"/>
  </r>
  <r>
    <x v="1"/>
    <n v="1185"/>
    <m/>
    <n v="3741"/>
    <s v="(07/05/2026) tentativa de ligação _x000a_08:45, 07/05/2026 Junior Lopes: Olá Fran , bom dia_x000a_08:45, 07/05/2026 Fran dantas Cafe Espressiata: Espressiata agradece seu contato. Como podemos ajudar?_x000a_08:45, 07/05/2026 Junior Lopes: Sou Junior Lopes da Guarani sistemas! Td bem ?"/>
    <s v=""/>
    <x v="656"/>
    <n v="40904398000105"/>
    <s v=""/>
    <s v="Espressiata Cafés Especiais"/>
    <s v="34999008780"/>
    <s v=""/>
    <s v="franciele@espressiata.com.br"/>
    <s v=""/>
    <s v=""/>
    <s v=""/>
    <s v=""/>
    <s v="Frutal MG"/>
    <s v="Inbound"/>
    <s v=""/>
    <s v=""/>
    <s v="Dentro Perfil;Instagram"/>
    <s v="Pipeline de Vendas"/>
    <s v="Qualificação de Vendas (SQL) (25%)"/>
    <s v=""/>
    <m/>
    <m/>
    <m/>
    <n v="7"/>
    <s v="Paulo Souza"/>
    <d v="2026-05-07T00:00:00"/>
    <d v="1899-12-30T08:41:59"/>
    <s v=""/>
    <s v="Perdido"/>
    <d v="2026-05-14T00:00:00"/>
    <d v="1899-12-30T15:40:42"/>
    <s v="Sem qualificação — contato não atende ligações nem responde msg"/>
    <s v="Olá boa tarde ! Junior da Guarani sistemas por aqui _x000a_Logo que nós tivemos retorno ao contato estou finalizando por aqui ! _x000a_Caso mude de ideia por favor só me chamar _x000a_Sucesso por aí"/>
    <s v=""/>
    <x v="0"/>
    <s v="Junior Lopes"/>
    <x v="0"/>
    <s v=""/>
    <d v="2026-05-14T00:00:00"/>
    <n v="30"/>
    <s v=""/>
    <s v=""/>
    <s v=""/>
    <s v=""/>
    <n v="1"/>
  </r>
  <r>
    <x v="0"/>
    <n v="1186"/>
    <m/>
    <n v="3745"/>
    <s v=""/>
    <s v=""/>
    <x v="657"/>
    <n v="62956379000165"/>
    <s v=""/>
    <s v="Mirian"/>
    <s v="(16) 99705-1588"/>
    <s v=""/>
    <s v="mirian@jcsperfis.com.br"/>
    <s v=""/>
    <s v=""/>
    <s v=""/>
    <s v="SAO CARLOS"/>
    <s v="SP"/>
    <s v="Inbound"/>
    <s v=""/>
    <s v=""/>
    <s v="Dentro Perfil;Instagram"/>
    <s v="Pipeline de Vendas"/>
    <s v="Apresentar Solução (35%)"/>
    <s v=""/>
    <d v="2026-05-31T00:00:00"/>
    <m/>
    <m/>
    <n v="13"/>
    <s v="Paulo Souza"/>
    <d v="2026-05-07T00:00:00"/>
    <d v="1899-12-30T08:43:39"/>
    <s v=""/>
    <s v="Ativo"/>
    <m/>
    <m/>
    <s v=""/>
    <s v=""/>
    <s v=""/>
    <x v="0"/>
    <s v="Paulo Souza"/>
    <x v="0"/>
    <s v=""/>
    <d v="2026-05-18T00:00:00"/>
    <n v="30"/>
    <s v="-1"/>
    <s v=""/>
    <s v=""/>
    <s v=""/>
    <n v="1"/>
  </r>
  <r>
    <x v="2"/>
    <n v="1187"/>
    <m/>
    <n v="3744"/>
    <s v="Todos os dados preenchidos:_x000a_empresa: andreingrati@gmail.com _x000a_name: Andre  _x000a_cargo: andreingrati@gmail.com _x000a_whatsapp: 18997028677 _x000a_email: andreingrati@gmail.com _x000a_referrer: https://www.guaranisistemas.com.br/"/>
    <s v=""/>
    <x v="658"/>
    <m/>
    <s v=""/>
    <s v="Andre"/>
    <s v=""/>
    <s v=""/>
    <s v="andreingrati@gmail.com"/>
    <s v=""/>
    <s v=""/>
    <s v=""/>
    <s v="Andradina"/>
    <s v=""/>
    <s v="Inbound"/>
    <s v=""/>
    <s v=""/>
    <s v="Fora Perfil"/>
    <s v="Pipeline de Vendas"/>
    <s v="Agendamento (0%)"/>
    <s v=""/>
    <m/>
    <m/>
    <m/>
    <n v="0"/>
    <s v="Paulo Souza"/>
    <d v="2026-05-07T00:00:00"/>
    <d v="1899-12-30T08:45:42"/>
    <s v=""/>
    <s v="Perdido"/>
    <d v="2026-05-07T00:00:00"/>
    <d v="1899-12-30T09:53:22"/>
    <s v="Fora do porte mínimo (sem fit estrutural)"/>
    <s v=""/>
    <s v=""/>
    <x v="0"/>
    <s v="Rayssa Karapeticov"/>
    <x v="0"/>
    <s v=""/>
    <m/>
    <n v="30"/>
    <s v=""/>
    <s v=""/>
    <s v=""/>
    <s v=""/>
    <n v="1"/>
  </r>
  <r>
    <x v="2"/>
    <n v="1188"/>
    <m/>
    <n v="3743"/>
    <s v=""/>
    <s v=""/>
    <x v="659"/>
    <m/>
    <s v=""/>
    <s v="GSH Marketing Solutions"/>
    <s v="8496757596"/>
    <s v=""/>
    <s v="gleydson.silva@live.com"/>
    <s v=""/>
    <s v=""/>
    <s v=""/>
    <s v=""/>
    <s v=""/>
    <s v="Campanha"/>
    <s v=""/>
    <s v=""/>
    <s v="Dentro Perfil;Instagram"/>
    <s v="Pipeline de Vendas"/>
    <s v="Agendamento (0%)"/>
    <s v=""/>
    <d v="2026-05-31T00:00:00"/>
    <m/>
    <m/>
    <n v="2"/>
    <s v="Paulo Souza"/>
    <d v="2026-05-07T00:00:00"/>
    <d v="1899-12-30T08:47:19"/>
    <s v=""/>
    <s v="Perdido"/>
    <d v="2026-05-09T00:00:00"/>
    <d v="1899-12-30T08:54:10"/>
    <s v="Nossa solução não atende - falta funcionalidade"/>
    <s v=""/>
    <s v=""/>
    <x v="0"/>
    <s v="Rayssa Karapeticov"/>
    <x v="0"/>
    <s v=""/>
    <m/>
    <n v="30"/>
    <s v=""/>
    <s v=""/>
    <s v=""/>
    <s v=""/>
    <n v="1"/>
  </r>
  <r>
    <x v="1"/>
    <n v="1189"/>
    <m/>
    <n v="3742"/>
    <s v="08:52, 07/05/2026 Junior Lopes: Olá bom dia !_x000a_08:52, 07/05/2026 Junior Lopes: Sou Junior Lopes da Guarani sistemas! Td bem ?_x000a_11:51, 07/05/2026 Junior Lopes: qual o melhor horario para falarmos"/>
    <s v=""/>
    <x v="660"/>
    <m/>
    <s v=""/>
    <s v="Contade"/>
    <s v="4399777609"/>
    <s v=""/>
    <s v="arianagrandepequenasim@gmail.com"/>
    <s v=""/>
    <s v=""/>
    <s v=""/>
    <s v=""/>
    <s v="N sei"/>
    <s v="Inbound"/>
    <s v=""/>
    <s v=""/>
    <s v="Fora Perfil;Instagram"/>
    <s v="Pipeline de Vendas"/>
    <s v="Qualificação de Vendas (SQL) (25%)"/>
    <s v=""/>
    <m/>
    <m/>
    <m/>
    <n v="7"/>
    <s v="Paulo Souza"/>
    <d v="2026-05-07T00:00:00"/>
    <d v="1899-12-30T08:48:50"/>
    <s v=""/>
    <s v="Perdido"/>
    <d v="2026-05-14T00:00:00"/>
    <d v="1899-12-30T15:37:01"/>
    <s v="Inválido - empresa não existe / dados errados"/>
    <s v="(14/05/2026) _x000a_contato não responde _x000a_as informações inseridas não encontram dados da empresa ! ideal exigir CNPJ para uma melhor busca"/>
    <s v=""/>
    <x v="0"/>
    <s v="Junior Lopes"/>
    <x v="0"/>
    <s v=""/>
    <d v="2026-05-14T00:00:00"/>
    <n v="30"/>
    <s v=""/>
    <s v=""/>
    <s v=""/>
    <s v=""/>
    <n v="1"/>
  </r>
  <r>
    <x v="3"/>
    <n v="1190"/>
    <n v="276"/>
    <n v="3748"/>
    <s v="(07/05) Falei com Leila. Eles realizaram recentemente a troca de ERP e estão em busca de um novo CRM. Apresentei as soluções que oferecemos, com foco no AFV._x000a_No momento, estamos aguardando o retorno do Gestor Comercial para avançarmos com o agendamento de uma reunião._x000a_(12/05): Leila gostaria de uma reunião para entender melhor as nossa soluções. Como mudaram recentemente de ERP, a idéia é conhecer o nosso força de vendas e o BI para companhamento das vendas/metas._x000a_A Estilo Ar atua como distribuidora de peças e soluções para ar-condicionado automotivo. Filiais em: Uberlândia/MG (matriz), Belo Horizonte/MG, Juiz de Fora/MG, Montes Claros/MG, Goiânia/GO, Itumbiara/GO, Duque de Caxias/RJ e Cuiabá/MT. Então abrindo a nova filial Cuiabá._x000a_Produros que trabalham: Produtos que trabalham: Peças para ar-condicionado automotivo, Componentes Denso e Delphi, Produtos da marca própria Estilo Ar,  Filtros de cabine, Óleos, Higienizadores, Ferramentas e itens para manutenção automotiva. ERP atual: Sankhya e CRM Kommo integrado._x000a_Paulo: o foco é no AFV e BI, pois estão insatisfeito com o CRM atual. _x000a_(12/05) Reunião agendada para 12/05, as 14h30._x000a_(13/05) Reunião realizada. Leila informou que utilizam o CRM da Sankhya há aproximadamente 3 anos, porém estão insatisfeitos com a usabilidade da ferramenta. Atualmente, contam apenas com vendedores internos, mas a intenção é também trabalhar com representantes comerciais a partir do segundo semestre._x000a_Durante a reunião, foram apresentadas a Guarani Sistemas, as soluções AFV, Loja B2B e BI. Também foi enviado, via WhatsApp, o link do CRM Leads2b , juntamente com nossa apresentação institucional."/>
    <s v=""/>
    <x v="661"/>
    <n v="15338344000182"/>
    <s v="ESTILO AR COMERCIO DE PECAS LTDA"/>
    <s v="Leila Oliveira"/>
    <s v="(34) 3291-9100"/>
    <s v=""/>
    <s v="irpf@aserco.com.br"/>
    <s v="Matriz"/>
    <s v=""/>
    <s v="AV ENGENHEIRO DINIZ 848"/>
    <s v="UBERLANDIA"/>
    <s v="MG"/>
    <s v=""/>
    <s v=""/>
    <s v=""/>
    <s v="Dentro Perfil"/>
    <s v="Pipeline de Vendas"/>
    <s v="Apresentar Solução (35%)"/>
    <s v=""/>
    <m/>
    <m/>
    <m/>
    <n v="7"/>
    <s v="Ronaldo Nascimento"/>
    <d v="2026-05-07T00:00:00"/>
    <d v="1899-12-30T12:06:01"/>
    <s v=""/>
    <s v="Perdido"/>
    <d v="2026-05-14T00:00:00"/>
    <d v="1899-12-30T08:08:53"/>
    <s v="Projeto adiado / sem prazo definido"/>
    <s v="(14/05) Conforme Leila, a ideia é trabalhar com vendedor externo no segundo semestre. Criado atividade para contatar cliente em ago/26."/>
    <s v=""/>
    <x v="0"/>
    <s v=""/>
    <x v="237"/>
    <s v=""/>
    <m/>
    <n v="30"/>
    <s v=""/>
    <s v=""/>
    <s v=""/>
    <s v=""/>
    <n v="1"/>
  </r>
  <r>
    <x v="2"/>
    <n v="1191"/>
    <m/>
    <n v="3749"/>
    <s v=""/>
    <s v=""/>
    <x v="662"/>
    <n v="8333878000150"/>
    <s v=""/>
    <s v="Danielle"/>
    <s v="(74) 8124-8767"/>
    <s v=""/>
    <s v="maristela@kisolpiscinas.com"/>
    <s v=""/>
    <s v=""/>
    <s v=""/>
    <s v="FERNANDOPOLIS"/>
    <s v="SP"/>
    <s v=""/>
    <s v=""/>
    <s v=""/>
    <s v=""/>
    <s v="Pipeline de Vendas"/>
    <s v="Apresentar Solução (35%)"/>
    <s v=""/>
    <m/>
    <m/>
    <m/>
    <n v="13"/>
    <s v="Rayssa Karapeticov"/>
    <d v="2026-05-07T00:00:00"/>
    <d v="1899-12-30T16:38:45"/>
    <s v=""/>
    <s v="Ativo"/>
    <m/>
    <m/>
    <s v=""/>
    <s v=""/>
    <s v=""/>
    <x v="216"/>
    <s v="Rayssa Karapeticov"/>
    <x v="0"/>
    <s v=""/>
    <d v="2026-05-13T00:00:00"/>
    <n v="30"/>
    <s v=""/>
    <s v="ERP"/>
    <s v=""/>
    <s v=""/>
    <n v="1"/>
  </r>
  <r>
    <x v="3"/>
    <n v="1192"/>
    <n v="273"/>
    <n v="3754"/>
    <s v="(08/05) Apresentação agendada para 13/08 às 10h. Conforme informado pelo Milton, a empresa está em busca de um novo sistema de gestão e atualmente não possui uma ferramenta de força de vendas."/>
    <s v=""/>
    <x v="663"/>
    <n v="40220751000138"/>
    <s v="MARDEN MEDICAL LTDA."/>
    <s v="Milton Cavalieri"/>
    <s v="(16) 2121-0858"/>
    <s v=""/>
    <s v="administracao@mardenmedical.com.br"/>
    <s v="Matriz"/>
    <s v=""/>
    <s v="R GASTAO VIEIRA 229"/>
    <s v="SAO CARLOS"/>
    <s v="SP"/>
    <s v=""/>
    <s v=""/>
    <s v=""/>
    <s v="Dentro Perfil"/>
    <s v="Pipeline de Vendas"/>
    <s v="Apresentar Solução (35%)"/>
    <s v=""/>
    <m/>
    <m/>
    <m/>
    <n v="13"/>
    <s v="Ronaldo Nascimento"/>
    <d v="2026-05-07T00:00:00"/>
    <d v="1899-12-30T16:57:47"/>
    <s v=""/>
    <s v="Ativo"/>
    <m/>
    <m/>
    <s v=""/>
    <s v=""/>
    <s v=""/>
    <x v="0"/>
    <s v=""/>
    <x v="238"/>
    <s v=""/>
    <d v="2026-05-13T00:00:00"/>
    <n v="30"/>
    <s v=""/>
    <s v="ERP, AFV"/>
    <s v=""/>
    <s v=""/>
    <n v="1"/>
  </r>
  <r>
    <x v="3"/>
    <n v="1193"/>
    <n v="279"/>
    <m/>
    <s v="(08/05) Enviada mensagem via LinkedIn para Hugo Oliveira (gestor comercial), com o objetivo de apresentar as soluções da Guarani Sistemas e alinhar um possível bate-papo comercial."/>
    <s v=""/>
    <x v="221"/>
    <n v="89738173000115"/>
    <s v="SANREMO S/A"/>
    <s v=""/>
    <s v=""/>
    <s v=""/>
    <s v="bt_contabilidade@bettanin.com.br"/>
    <s v="Matriz"/>
    <s v=""/>
    <s v="AV INDEPENDENCIA 8885"/>
    <s v="ESTEIO"/>
    <s v="RS"/>
    <s v=""/>
    <s v=""/>
    <s v=""/>
    <s v="Dentro Perfil"/>
    <s v="Pipeline de Vendas"/>
    <s v="Agendamento (0%)"/>
    <s v=""/>
    <m/>
    <m/>
    <m/>
    <n v="12"/>
    <s v="Ronaldo Nascimento"/>
    <d v="2026-05-08T00:00:00"/>
    <d v="1899-12-30T10:00:51"/>
    <s v=""/>
    <s v="Ativo"/>
    <m/>
    <m/>
    <s v=""/>
    <s v=""/>
    <s v=""/>
    <x v="0"/>
    <s v=""/>
    <x v="0"/>
    <s v=""/>
    <m/>
    <n v="30"/>
    <s v=""/>
    <s v=""/>
    <s v=""/>
    <s v=""/>
    <n v="1"/>
  </r>
  <r>
    <x v="3"/>
    <n v="1194"/>
    <n v="281"/>
    <m/>
    <s v="(08/05) Enviada mensagem via LinkedIn para Vagner (gestor comercial), com o objetivo de apresentar as soluções da Guarani Sistemas e alinhar um possível bate-papo comercial._x000a_(18/05) Gestor comercial: Paulo Pimentel. Enviado msg a fim de agendar uma apresentação."/>
    <s v=""/>
    <x v="664"/>
    <n v="4381287000106"/>
    <s v="ORDENE S/A"/>
    <s v=""/>
    <s v=""/>
    <s v=""/>
    <s v="bt_contabilidade@bettanin.com.br"/>
    <s v="Matriz"/>
    <s v=""/>
    <s v="RUA GILBERTO TADEU MORAIS S/N"/>
    <s v="ESTEIO"/>
    <s v="RS"/>
    <s v=""/>
    <s v=""/>
    <s v=""/>
    <s v="Dentro Perfil"/>
    <s v="Pipeline de Vendas"/>
    <s v="Qualificação de Vendas (SQL) (25%)"/>
    <s v=""/>
    <m/>
    <m/>
    <m/>
    <n v="12"/>
    <s v="Ronaldo Nascimento"/>
    <d v="2026-05-08T00:00:00"/>
    <d v="1899-12-30T10:07:26"/>
    <s v=""/>
    <s v="Ativo"/>
    <m/>
    <m/>
    <s v=""/>
    <s v=""/>
    <s v=""/>
    <x v="0"/>
    <s v=""/>
    <x v="0"/>
    <s v=""/>
    <m/>
    <n v="30"/>
    <s v=""/>
    <s v=""/>
    <s v=""/>
    <s v=""/>
    <n v="1"/>
  </r>
  <r>
    <x v="3"/>
    <n v="1195"/>
    <n v="282"/>
    <n v="3760"/>
    <s v="(08/05) Enviada mensagem via LinkedIn para Lucimara (gestora comercial), com o objetivo de apresentar as soluções da Guarani Sistemas e alinhar um possível bate-papo comercial._x000a_(11/05) Consegui o contato de WhatsApp do Adm. Felix Carvalho. Enviei mensagem com o objetivo de verificar um melhor horário para realizarmos um bate-papo."/>
    <s v=""/>
    <x v="665"/>
    <n v="43948561000120"/>
    <s v="NIGRO ALUMINIO LTDA"/>
    <s v="Lucimara Zenatti"/>
    <s v="16210844221"/>
    <s v=""/>
    <s v="contabil@nigro.com.br"/>
    <s v="Matriz"/>
    <s v=""/>
    <s v="AV ARCANGELO NIGRO 166"/>
    <s v="ARARAQUARA"/>
    <s v="SP"/>
    <s v=""/>
    <s v=""/>
    <s v=""/>
    <s v="Dentro Perfil"/>
    <s v="Pipeline de Vendas"/>
    <s v="Qualificação de Vendas (SQL) (25%)"/>
    <s v=""/>
    <m/>
    <m/>
    <m/>
    <n v="12"/>
    <s v="Ronaldo Nascimento"/>
    <d v="2026-05-08T00:00:00"/>
    <d v="1899-12-30T10:30:00"/>
    <s v=""/>
    <s v="Ativo"/>
    <m/>
    <m/>
    <s v=""/>
    <s v=""/>
    <s v=""/>
    <x v="0"/>
    <s v=""/>
    <x v="0"/>
    <s v=""/>
    <m/>
    <n v="30"/>
    <s v=""/>
    <s v=""/>
    <s v=""/>
    <s v=""/>
    <n v="1"/>
  </r>
  <r>
    <x v="0"/>
    <n v="1196"/>
    <m/>
    <n v="3746"/>
    <s v=""/>
    <s v=""/>
    <x v="666"/>
    <n v="5659821000239"/>
    <s v=""/>
    <s v="Alexandre"/>
    <s v="11988734899"/>
    <s v=""/>
    <s v="alexandre@emblemax.com.br"/>
    <s v=""/>
    <s v=""/>
    <s v=""/>
    <s v=""/>
    <s v="SP"/>
    <s v="Inbound"/>
    <s v=""/>
    <s v=""/>
    <s v="Dentro Perfil;Instagram"/>
    <s v="Pipeline de Vendas"/>
    <s v="Qualificação de Vendas (SQL) (25%)"/>
    <s v=""/>
    <m/>
    <m/>
    <m/>
    <n v="12"/>
    <s v="Paulo Souza"/>
    <d v="2026-05-08T00:00:00"/>
    <d v="1899-12-30T11:46:39"/>
    <s v=""/>
    <s v="Ativo"/>
    <m/>
    <m/>
    <s v=""/>
    <s v=""/>
    <s v=""/>
    <x v="0"/>
    <s v="Paulo Souza"/>
    <x v="0"/>
    <s v=""/>
    <d v="2026-05-18T00:00:00"/>
    <n v="30"/>
    <s v=""/>
    <s v=""/>
    <s v=""/>
    <s v=""/>
    <n v="1"/>
  </r>
  <r>
    <x v="3"/>
    <n v="1197"/>
    <n v="270"/>
    <m/>
    <s v="(08/05) Enviado WhatsApp para Luiz (amigo pessoal) para entender melhor a estrutura comercial da MMO, incluindo modelo de equipe de vendas (interna e/ou externa) e sistemas utilizados atualmente para gestão e vendas._x000a_(11/05) Enviado msg para Gabriela (filha do Luis e amiga pessoal)."/>
    <s v=""/>
    <x v="667"/>
    <n v="2466212000194"/>
    <s v="MM OPTICS LTDA"/>
    <s v=""/>
    <s v=""/>
    <s v=""/>
    <s v="mmo@com.br"/>
    <s v="Matriz"/>
    <s v=""/>
    <s v="RUA GEMINIANO COSTA 143"/>
    <s v="SAO CARLOS"/>
    <s v="SP"/>
    <s v=""/>
    <s v=""/>
    <s v=""/>
    <s v="Dentro Perfil"/>
    <s v="Pipeline de Vendas"/>
    <s v="Qualificação de Vendas (SQL) (25%)"/>
    <s v=""/>
    <m/>
    <m/>
    <m/>
    <n v="12"/>
    <s v="Ronaldo Nascimento"/>
    <d v="2026-05-08T00:00:00"/>
    <d v="1899-12-30T12:05:35"/>
    <s v=""/>
    <s v="Ativo"/>
    <m/>
    <m/>
    <s v=""/>
    <s v=""/>
    <s v=""/>
    <x v="0"/>
    <s v=""/>
    <x v="0"/>
    <s v=""/>
    <d v="2026-05-11T00:00:00"/>
    <n v="30"/>
    <s v=""/>
    <s v=""/>
    <s v=""/>
    <s v=""/>
    <n v="1"/>
  </r>
  <r>
    <x v="3"/>
    <n v="1198"/>
    <n v="256"/>
    <n v="3773"/>
    <s v="(08/05) Enviado WhatsApp para Fabiana (amiga pessoal) com o objetivo de alinhar e agendar uma apresentação das nossas soluções."/>
    <s v=""/>
    <x v="668"/>
    <n v="20137275000189"/>
    <s v="VOLMED BRASIL EQUIPAMENTOS LTDA"/>
    <s v="Fabiana Voltatódio"/>
    <s v="(16) 3419-1794"/>
    <s v=""/>
    <s v="financeiro@volmed.com.br"/>
    <s v="Matriz"/>
    <s v=""/>
    <s v="RUA FRANCISCO CORREA BUENO 435"/>
    <s v="SAO CARLOS"/>
    <s v="SP"/>
    <s v=""/>
    <s v=""/>
    <s v=""/>
    <s v="TAG1SEM"/>
    <s v="Pipeline de Vendas"/>
    <s v="Agendamento (0%)"/>
    <s v=""/>
    <m/>
    <m/>
    <m/>
    <n v="0"/>
    <s v="Ronaldo Nascimento"/>
    <d v="2026-05-11T00:00:00"/>
    <d v="1899-12-30T09:33:58"/>
    <s v=""/>
    <s v="Perdido"/>
    <d v="2026-05-11T00:00:00"/>
    <d v="1899-12-30T09:35:54"/>
    <s v="Nossa solução não atende - falta funcionalidade"/>
    <s v="Em contato com Fabiana, foi informado que a empresa utiliza ferramentas específicas para o segmento (ERP e Força de Vendas), incluindo validações e exigências da Anvisa."/>
    <s v=""/>
    <x v="0"/>
    <s v=""/>
    <x v="0"/>
    <s v=""/>
    <m/>
    <n v="30"/>
    <s v=""/>
    <s v=""/>
    <s v=""/>
    <s v=""/>
    <n v="1"/>
  </r>
  <r>
    <x v="3"/>
    <n v="1199"/>
    <n v="283"/>
    <n v="3776"/>
    <s v="(08/05) Enviada mensagem via LinkedIn para Nádia (gestora comercial), com o objetivo de apresentar as soluções da Guarani Sistemas e alinhar um possível bate-papo comercial._x000a_(11/05) Nádia aceitou a conexão no LinkedIn. Enviada mensagem inicial apresentando as soluções da Guarani Sistemas."/>
    <s v=""/>
    <x v="669"/>
    <n v="88610191000154"/>
    <s v="MUNDIAL S.A. - PRODUTOS DE CONSUMO"/>
    <s v="Nádia C. da Silva"/>
    <s v="(51) 3358-5000"/>
    <s v=""/>
    <s v="lara.nunes@mundial.com"/>
    <s v="Matriz"/>
    <s v=""/>
    <s v="R DO PARAISO 148"/>
    <s v="SAO JOAO DE MERITI"/>
    <s v="RJ"/>
    <s v=""/>
    <s v=""/>
    <s v=""/>
    <s v="Dentro Perfil"/>
    <s v="Pipeline de Vendas"/>
    <s v="Qualificação de Vendas (SQL) (25%)"/>
    <s v=""/>
    <m/>
    <m/>
    <m/>
    <n v="9"/>
    <s v="Ronaldo Nascimento"/>
    <d v="2026-05-11T00:00:00"/>
    <d v="1899-12-30T10:28:33"/>
    <s v=""/>
    <s v="Ativo"/>
    <m/>
    <m/>
    <s v=""/>
    <s v=""/>
    <s v=""/>
    <x v="0"/>
    <s v=""/>
    <x v="0"/>
    <s v=""/>
    <m/>
    <n v="30"/>
    <s v=""/>
    <s v=""/>
    <s v=""/>
    <s v=""/>
    <n v="1"/>
  </r>
  <r>
    <x v="2"/>
    <n v="1200"/>
    <m/>
    <n v="3777"/>
    <s v=""/>
    <s v=""/>
    <x v="670"/>
    <n v="8821632000128"/>
    <s v=""/>
    <s v="LUCIANO CARBONARO DE OLIVEIRA"/>
    <s v=""/>
    <s v=""/>
    <s v=""/>
    <s v=""/>
    <s v=""/>
    <s v=""/>
    <s v=""/>
    <s v=""/>
    <s v="Campanha"/>
    <s v=""/>
    <s v=""/>
    <s v="Dentro Perfil;Instagram"/>
    <s v="Pipeline de Vendas"/>
    <s v="Qualificação de Vendas (SQL) (25%)"/>
    <s v=""/>
    <d v="2026-05-31T00:00:00"/>
    <m/>
    <m/>
    <n v="9"/>
    <s v="Paulo Souza"/>
    <d v="2026-05-11T00:00:00"/>
    <d v="1899-12-30T11:03:53"/>
    <s v=""/>
    <s v="Ativo"/>
    <m/>
    <m/>
    <s v=""/>
    <s v=""/>
    <s v=""/>
    <x v="0"/>
    <s v="Rayssa Karapeticov"/>
    <x v="0"/>
    <s v=""/>
    <d v="2026-05-13T00:00:00"/>
    <n v="30"/>
    <s v=""/>
    <s v=""/>
    <s v=""/>
    <s v=""/>
    <n v="1"/>
  </r>
  <r>
    <x v="1"/>
    <n v="1201"/>
    <m/>
    <n v="3771"/>
    <s v="(11/05/2026) tentativa de ligação porem o telefone esta bloqueado para chamadas _x000a_contato via WhatsApp_x000a_12:02, 11/05/2026 Junior Lopes: Olá Tone Oliveira, bom dia_x000a_12:02, 11/05/2026 Junior Lopes: sou Junior Lopes da Guarani sistemas_x000a_12:02, 11/05/2026 Junior Lopes: td bem ?_x000a_(14/05/2026) avançando com informações da solução ! direcionando para uma apresentação"/>
    <s v="N. K. Distribuidora Ltda"/>
    <x v="671"/>
    <n v="12084237000187"/>
    <s v=""/>
    <s v="NK Distribuidora De Cosmeticos"/>
    <s v="6699942807"/>
    <s v=""/>
    <s v="toneoliveira@hotmail.com"/>
    <s v=""/>
    <s v=""/>
    <s v=""/>
    <s v="RONDONOPOLIS"/>
    <s v="MT"/>
    <s v="Campanha"/>
    <s v=""/>
    <s v=""/>
    <s v="Dentro Perfil;Instagram"/>
    <s v="Pipeline de Vendas"/>
    <s v="Qualificação de Vendas (SQL) (25%)"/>
    <s v=""/>
    <d v="2026-05-31T00:00:00"/>
    <m/>
    <m/>
    <n v="9"/>
    <s v="Paulo Souza"/>
    <d v="2026-05-11T00:00:00"/>
    <d v="1899-12-30T11:18:41"/>
    <s v=""/>
    <s v="Ativo"/>
    <m/>
    <m/>
    <s v=""/>
    <s v=""/>
    <s v=""/>
    <x v="0"/>
    <s v="Junior Lopes"/>
    <x v="0"/>
    <s v=""/>
    <m/>
    <n v="30"/>
    <s v=""/>
    <s v=""/>
    <s v=""/>
    <s v=""/>
    <n v="1"/>
  </r>
  <r>
    <x v="3"/>
    <n v="1202"/>
    <n v="241"/>
    <n v="3779"/>
    <s v="(11/05) Em contato com Paula, foi informado que a empresa utiliza diferentes sistemas separados por departamento. Solicitou o envio de uma apresentação por e-mail para encaminhamento ao João. Atualmente, a empresa possui equipe de vendas interna e apenas um vendedor externo (João)."/>
    <s v=""/>
    <x v="672"/>
    <n v="6269527000100"/>
    <s v="LA ROCHA INDUSTRIA E COMERCIO DE FIBRAS MINERAIS LTDA"/>
    <s v="Paula Franzin"/>
    <s v="(01) 63911-7784"/>
    <s v=""/>
    <s v=""/>
    <s v="Matriz"/>
    <s v=""/>
    <s v="EST VICINAL VITO GAIA PUOLI, KM 2 + S/N"/>
    <s v="DESCALVADO"/>
    <s v="SP"/>
    <s v=""/>
    <s v=""/>
    <s v=""/>
    <s v="Dentro Perfil"/>
    <s v="Pipeline de Vendas"/>
    <s v="Qualificação de Vendas (SQL) (25%)"/>
    <s v=""/>
    <m/>
    <m/>
    <m/>
    <n v="9"/>
    <s v="Ronaldo Nascimento"/>
    <d v="2026-05-11T00:00:00"/>
    <d v="1899-12-30T11:23:29"/>
    <s v=""/>
    <s v="Ativo"/>
    <m/>
    <m/>
    <s v=""/>
    <s v=""/>
    <s v=""/>
    <x v="0"/>
    <s v=""/>
    <x v="0"/>
    <s v=""/>
    <m/>
    <n v="30"/>
    <s v=""/>
    <s v=""/>
    <s v=""/>
    <s v=""/>
    <n v="1"/>
  </r>
  <r>
    <x v="0"/>
    <n v="1203"/>
    <m/>
    <n v="3770"/>
    <s v=""/>
    <s v=""/>
    <x v="673"/>
    <n v="48579170000107"/>
    <s v=""/>
    <s v="Belapin ind com"/>
    <s v="11970330999"/>
    <s v=""/>
    <s v="junior@arcobello.com.br"/>
    <s v=""/>
    <s v=""/>
    <s v=""/>
    <s v=""/>
    <s v=""/>
    <s v="Campanha"/>
    <s v=""/>
    <s v=""/>
    <s v="Dentro Perfil;Instagram"/>
    <s v="Pipeline de Vendas"/>
    <s v="Qualificação de Vendas (SQL) (25%)"/>
    <s v=""/>
    <d v="2026-05-31T00:00:00"/>
    <m/>
    <m/>
    <n v="9"/>
    <s v="Paulo Souza"/>
    <d v="2026-05-11T00:00:00"/>
    <d v="1899-12-30T11:24:21"/>
    <s v=""/>
    <s v="Ativo"/>
    <m/>
    <m/>
    <s v=""/>
    <s v=""/>
    <s v=""/>
    <x v="0"/>
    <s v="Paulo Souza"/>
    <x v="0"/>
    <s v=""/>
    <m/>
    <n v="30"/>
    <s v=""/>
    <s v=""/>
    <s v=""/>
    <s v=""/>
    <n v="1"/>
  </r>
  <r>
    <x v="3"/>
    <n v="1204"/>
    <n v="231"/>
    <n v="3780"/>
    <s v="(11/05) Falei com Orlei (Compras), que indicou o Rodrigo, da área Comercial, como responsável para continuidade da conversa. Atualmente a empresa utiliza o sistema WBC, desenvolvido para o segmento, porém cada departamento trabalha com um sistema diferente._x000a_Comentou também que, há algum tempo, chegaram a conversar com a TOTVS sobre implantação de ERP, mas o projeto acabou não avançando devido à dificuldade relacionada à migração/estruturação dos dados._x000a_Realizei contato com o Rodrigo, porém a ligação caiu na caixa postal. Enviei mensagem via WhatsApp para tentar agendar um bate-papo."/>
    <s v=""/>
    <x v="674"/>
    <n v="490414000146"/>
    <s v="N S F INDUSTRIA E COMERCIO DE EQUIPAMENTOS PARA INSTALACOES COMERCIAIS LTDA"/>
    <s v="Antonio Marcos Real"/>
    <s v="(16) 3377-9700"/>
    <s v=""/>
    <s v="financeiro@nsf.ind.br"/>
    <s v="Matriz"/>
    <s v=""/>
    <s v="ROD WASHINGTON LUIZ S/N"/>
    <s v="SAO CARLOS"/>
    <s v="SP"/>
    <s v=""/>
    <s v=""/>
    <s v=""/>
    <s v="Dentro Perfil"/>
    <s v="Pipeline de Vendas"/>
    <s v="Qualificação de Vendas (SQL) (25%)"/>
    <s v=""/>
    <m/>
    <m/>
    <m/>
    <n v="9"/>
    <s v="Ronaldo Nascimento"/>
    <d v="2026-05-11T00:00:00"/>
    <d v="1899-12-30T14:29:08"/>
    <s v=""/>
    <s v="Ativo"/>
    <m/>
    <m/>
    <s v=""/>
    <s v=""/>
    <s v=""/>
    <x v="0"/>
    <s v=""/>
    <x v="0"/>
    <s v=""/>
    <m/>
    <n v="30"/>
    <s v=""/>
    <s v=""/>
    <s v=""/>
    <s v=""/>
    <n v="1"/>
  </r>
  <r>
    <x v="3"/>
    <n v="1205"/>
    <n v="252"/>
    <n v="3781"/>
    <s v="(08/05) Enviado WhatsApp para Lana (amiga pessoal), atualmente representante comercial da empresa, solicitando o contato do gestor comercial para possível apresentação das soluções._x000a_(11/05) Falei com a Lana. No momento, a empresa está concentrada na preparação para a Feira Hospitalar, que acontecerá entre os dias 19 e 22 de maio._x000a_Comentou que atualmente utilizam as soluções da Sectra para a área comercial (possivelmente ERP também). Sugeriu retomarmos o contato durante a feira ou após o evento para conversarmos com mais tranquilidade."/>
    <s v=""/>
    <x v="675"/>
    <n v="13459890000146"/>
    <s v="HORTRON INDUSTRIA E COMERCIO DE PRODUTOS ELETRONICOS LTDA"/>
    <s v="Willian Zanon"/>
    <s v="(16) 3419-0892"/>
    <s v=""/>
    <s v="hortron@hortron.com.br"/>
    <s v="Matriz"/>
    <s v=""/>
    <s v="AV GETULIO VARGAS 2831"/>
    <s v="SAO CARLOS"/>
    <s v="SP"/>
    <s v=""/>
    <s v=""/>
    <s v=""/>
    <s v="Dentro Perfil"/>
    <s v="Pipeline de Vendas"/>
    <s v="Qualificação de Vendas (SQL) (25%)"/>
    <s v=""/>
    <m/>
    <m/>
    <m/>
    <n v="9"/>
    <s v="Ronaldo Nascimento"/>
    <d v="2026-05-11T00:00:00"/>
    <d v="1899-12-30T14:44:21"/>
    <s v=""/>
    <s v="Ativo"/>
    <m/>
    <m/>
    <s v=""/>
    <s v=""/>
    <s v=""/>
    <x v="0"/>
    <s v=""/>
    <x v="0"/>
    <s v=""/>
    <m/>
    <n v="30"/>
    <s v=""/>
    <s v=""/>
    <s v=""/>
    <s v=""/>
    <n v="1"/>
  </r>
  <r>
    <x v="3"/>
    <n v="1206"/>
    <n v="226"/>
    <n v="3782"/>
    <s v="(11/05) Falei com Denise (contato pessoal da área de RH). Apresentei brevemente a Guarani Sistemas e algumas das soluções que oferecemos, principalmente na área comercial. Solicitei o contato do gestor/com responsável pela área comercial para apresentar nossa solução de vendas. Aguardando retorno._x000a_(12/05) Falei com a Denise, que me passou o contato (e-mail) do Farid, Gestor Comercial da Hece Máquinas. Denise comentou que a empresa atualmente trabalha com um ERP próprio. Enviado e-mail a fim de agendarmos um bate-papo."/>
    <s v=""/>
    <x v="676"/>
    <n v="59602144000160"/>
    <s v="HECE MAQUINAS LTDA"/>
    <s v="Denise Rodrigues Ferreira"/>
    <s v="(16) 98198-8289"/>
    <s v="16981988289"/>
    <s v="rh@hece.com.br"/>
    <s v="Matriz"/>
    <s v=""/>
    <s v="R JOAO ABDELNUR 99"/>
    <s v="SAO CARLOS"/>
    <s v="SP"/>
    <s v=""/>
    <s v=""/>
    <s v=""/>
    <s v="Dentro Perfil"/>
    <s v="Pipeline de Vendas"/>
    <s v="Qualificação de Vendas (SQL) (25%)"/>
    <s v=""/>
    <m/>
    <m/>
    <m/>
    <n v="9"/>
    <s v="Ronaldo Nascimento"/>
    <d v="2026-05-11T00:00:00"/>
    <d v="1899-12-30T14:54:52"/>
    <s v=""/>
    <s v="Ativo"/>
    <m/>
    <m/>
    <s v=""/>
    <s v=""/>
    <s v=""/>
    <x v="0"/>
    <s v=""/>
    <x v="0"/>
    <s v=""/>
    <d v="2026-05-12T00:00:00"/>
    <n v="30"/>
    <s v=""/>
    <s v=""/>
    <s v=""/>
    <s v=""/>
    <n v="1"/>
  </r>
  <r>
    <x v="3"/>
    <n v="1208"/>
    <n v="255"/>
    <n v="3788"/>
    <s v="(11/05) Enviado msg para Nathalia a fim de agendarmos um bate-papo._x000a_(12/05) Falei com a Nathalia, que me passou o contato (e-mail) da Vanessa, Gerente Comercial da Setormed. Enviado e-mail a fim de agendarmos um bate-papo."/>
    <s v=""/>
    <x v="677"/>
    <n v="13533397000129"/>
    <s v="SETORMED INDUSTRIA E COMERCIO DE EQUIPAMENTOS MEDICOS E ODONTOLOGICOS S.A."/>
    <s v="Nathalia C. S. Santos"/>
    <s v="(16) 34165-3681"/>
    <s v=""/>
    <s v="setormed@setormed.com.br"/>
    <s v="Matriz"/>
    <s v=""/>
    <s v="RUA ARTHUR RODRIGUES DE CASTRO 150"/>
    <s v="SAO CARLOS"/>
    <s v="SP"/>
    <s v=""/>
    <s v=""/>
    <s v=""/>
    <s v="Dentro Perfil"/>
    <s v="Pipeline de Vendas"/>
    <s v="Qualificação de Vendas (SQL) (25%)"/>
    <s v=""/>
    <m/>
    <m/>
    <m/>
    <n v="8"/>
    <s v="Ronaldo Nascimento"/>
    <d v="2026-05-12T00:00:00"/>
    <d v="1899-12-30T11:50:46"/>
    <s v=""/>
    <s v="Ativo"/>
    <m/>
    <m/>
    <s v=""/>
    <s v=""/>
    <s v=""/>
    <x v="0"/>
    <s v=""/>
    <x v="0"/>
    <s v=""/>
    <m/>
    <n v="30"/>
    <s v=""/>
    <s v=""/>
    <s v=""/>
    <s v=""/>
    <n v="1"/>
  </r>
  <r>
    <x v="2"/>
    <n v="1209"/>
    <m/>
    <n v="3786"/>
    <s v="Todos os dados preenchidos:_x000a_empresa: Casa Bonitta _x000a_name: NATALIA GABRIELA DAMACENO MOTA _x000a_cargo: Proprietária _x000a_whatsapp: 11996672094 _x000a_email: naty-gabriela@hotmail.com _x000a_referrer: https://www.guaranisistemas.com.br/"/>
    <s v=""/>
    <x v="678"/>
    <n v="36621794000158"/>
    <s v=""/>
    <s v="NATALIA GABRIELA DAMACENO MOTA"/>
    <s v="(11) 4292-3358"/>
    <s v=""/>
    <s v="naty-gabriela@hotmail.com"/>
    <s v=""/>
    <s v=""/>
    <s v=""/>
    <s v="SUZANO"/>
    <s v="SP"/>
    <s v="Inbound"/>
    <s v=""/>
    <s v=""/>
    <s v="Perfil Indefinido"/>
    <s v="Pipeline de Vendas"/>
    <s v="Apresentar Solução (35%)"/>
    <s v=""/>
    <d v="2026-05-31T00:00:00"/>
    <m/>
    <m/>
    <n v="8"/>
    <s v="Paulo Souza"/>
    <d v="2026-05-12T00:00:00"/>
    <d v="1899-12-30T15:18:03"/>
    <s v=""/>
    <s v="Ativo"/>
    <m/>
    <m/>
    <s v=""/>
    <s v=""/>
    <s v=""/>
    <x v="0"/>
    <s v="Rayssa Karapeticov"/>
    <x v="0"/>
    <s v=""/>
    <d v="2026-05-19T00:00:00"/>
    <n v="30"/>
    <s v=""/>
    <s v=""/>
    <s v=""/>
    <s v=""/>
    <n v="1"/>
  </r>
  <r>
    <x v="3"/>
    <n v="1212"/>
    <n v="291"/>
    <n v="3801"/>
    <s v=""/>
    <s v=""/>
    <x v="679"/>
    <n v="17188274000159"/>
    <s v="UTILIMIX INDUSTRIA E COMERCIO LTDA"/>
    <s v="Bruno"/>
    <s v="(11) 91010-4191"/>
    <s v=""/>
    <s v="utilimix@bol.com.br"/>
    <s v="Matriz"/>
    <s v=""/>
    <s v="RUA ESTADO DE PERNAMBUCO 93"/>
    <s v="SAO PAULO"/>
    <s v="SP"/>
    <s v=""/>
    <s v=""/>
    <s v=""/>
    <s v="Dentro Perfil"/>
    <s v="Pipeline de Vendas"/>
    <s v="Apresentar Solução (35%)"/>
    <s v=""/>
    <m/>
    <m/>
    <m/>
    <n v="5"/>
    <s v="Ronaldo Nascimento"/>
    <d v="2026-05-13T00:00:00"/>
    <d v="1899-12-30T14:07:38"/>
    <s v=""/>
    <s v="Perdido"/>
    <d v="2026-05-18T00:00:00"/>
    <d v="1899-12-30T09:10:54"/>
    <s v="Fora do porte mínimo (sem fit estrutural)"/>
    <s v="Bruno gostou bastante da solução, porém, no momento a estrutura da empresa ainda é pequena para utilização das nossas ferramentas. Deixei meu contato à disposição para, futuramente, caso a empresa cresça ou o perfil da operação mude, avaliarmos uma solução mais robusta."/>
    <s v=""/>
    <x v="0"/>
    <s v=""/>
    <x v="0"/>
    <s v=""/>
    <d v="2026-05-15T00:00:00"/>
    <n v="40"/>
    <s v=""/>
    <s v=""/>
    <s v=""/>
    <s v=""/>
    <n v="1"/>
  </r>
  <r>
    <x v="1"/>
    <n v="1213"/>
    <m/>
    <n v="3802"/>
    <s v="Olá Alexandre boa tarde ! Aqui é Junior Lopes da Guarani sistemas, Td bem ?_x000a_Estou retornando contato que vc fez conosco referente as nossas soluções de ERP e soluções de força de vendas_x000a_Olá Alexandre, bom dia_x000a_Bom dia_x000a_Mandei mensagem para saber sobre valor do sistema e como funciona_x000a_Ok_x000a_Pode deixar_x000a_Não tenho interesse"/>
    <s v="Analu Parafusos Ltda"/>
    <x v="680"/>
    <n v="26991643000138"/>
    <s v=""/>
    <s v="Alexandre"/>
    <s v="17981238345"/>
    <s v=""/>
    <s v="analuparafusos@gmail.com"/>
    <s v=""/>
    <s v=""/>
    <s v=""/>
    <s v="CAMPO GRANDE"/>
    <s v="MS"/>
    <s v="Campanha"/>
    <s v=""/>
    <s v=""/>
    <s v="Dentro Perfil;Instagram"/>
    <s v="Pipeline de Vendas"/>
    <s v="Qualificação de Vendas (SQL) (25%)"/>
    <s v=""/>
    <d v="2026-05-31T00:00:00"/>
    <m/>
    <m/>
    <n v="1"/>
    <s v="Paulo Souza"/>
    <d v="2026-05-13T00:00:00"/>
    <d v="1899-12-30T17:48:05"/>
    <s v=""/>
    <s v="Perdido"/>
    <d v="2026-05-14T00:00:00"/>
    <d v="1899-12-30T11:26:14"/>
    <s v="Cliente não quer contato LGPD"/>
    <s v="Olá Alexandre boa tarde ! Aqui é Junior Lopes da Guarani sistemas, Td bem ?_x000a_Estou retornando contato que vc fez conosco referente as nossas soluções de ERP e soluções de força de vendas_x000a_Olá Alexandre, bom dia_x000a_Bom dia_x000a_Mandei mensagem para saber sobre valor do sistema e como funciona_x000a_Ok_x000a_Pode deixar_x000a_Não tenho interesse"/>
    <s v=""/>
    <x v="0"/>
    <s v="Junior Lopes"/>
    <x v="0"/>
    <s v=""/>
    <d v="2026-05-14T00:00:00"/>
    <n v="30"/>
    <s v=""/>
    <s v=""/>
    <s v=""/>
    <s v=""/>
    <n v="1"/>
  </r>
  <r>
    <x v="2"/>
    <n v="1214"/>
    <m/>
    <n v="3804"/>
    <s v=""/>
    <s v=""/>
    <x v="681"/>
    <n v="68044700000111"/>
    <s v=""/>
    <s v="Belapin Industria E Comercio De Alimenticios Ltda"/>
    <s v="(011) 2726-761"/>
    <s v=""/>
    <s v="null"/>
    <s v=""/>
    <s v=""/>
    <s v=""/>
    <s v="SAO PAULO"/>
    <s v="SP"/>
    <s v="Base de empresas Leads2b"/>
    <s v=""/>
    <s v=""/>
    <s v=""/>
    <s v="Pipeline de Vendas"/>
    <s v="Qualificação de Vendas (SQL) (25%)"/>
    <s v=""/>
    <m/>
    <m/>
    <m/>
    <n v="7"/>
    <s v="Rayssa Karapeticov"/>
    <d v="2026-05-13T00:00:00"/>
    <d v="1899-12-30T18:21:57"/>
    <s v=""/>
    <s v="Ativo"/>
    <m/>
    <m/>
    <s v=""/>
    <s v=""/>
    <s v=""/>
    <x v="0"/>
    <s v=""/>
    <x v="0"/>
    <s v=""/>
    <m/>
    <m/>
    <s v=""/>
    <s v=""/>
    <s v=""/>
    <s v=""/>
    <n v="1"/>
  </r>
  <r>
    <x v="1"/>
    <n v="1215"/>
    <m/>
    <n v="3807"/>
    <s v=""/>
    <s v=""/>
    <x v="682"/>
    <m/>
    <s v=""/>
    <s v="Istok comercio importação (Cloud)"/>
    <s v="1123617746"/>
    <s v=""/>
    <s v="diogo.contabilidade@yahoo.com.br"/>
    <s v=""/>
    <s v=""/>
    <s v=""/>
    <s v=""/>
    <s v=""/>
    <s v=""/>
    <s v=""/>
    <s v=""/>
    <s v=""/>
    <s v="Pipeline de Vendas"/>
    <s v="Em Fechamento (100%)"/>
    <s v=""/>
    <m/>
    <n v="0"/>
    <n v="2400"/>
    <n v="5"/>
    <s v="Junior Lopes"/>
    <d v="2026-05-14T00:00:00"/>
    <d v="1899-12-30T08:46:38"/>
    <s v=""/>
    <s v="Ganho"/>
    <d v="2026-05-19T00:00:00"/>
    <d v="1899-12-30T14:27:54"/>
    <s v=""/>
    <s v=""/>
    <s v=""/>
    <x v="215"/>
    <s v=""/>
    <x v="235"/>
    <s v="12/05/2026"/>
    <m/>
    <n v="90"/>
    <s v=""/>
    <s v=""/>
    <s v=""/>
    <s v=""/>
    <n v="1"/>
  </r>
  <r>
    <x v="3"/>
    <n v="1216"/>
    <n v="289"/>
    <n v="3812"/>
    <s v="(13/05) Conversei com Joel, vendedor da Newlar. Atualmente, eles não possuem sistema de força de vendas via celular, realizando os pedidos de forma online._x000a_Joel me passou o contato do Edinho, gestor comercial. Enviei mensagem com o objetivo de agendarmos uma apresentação da solução._x000a_(14/05) Em ligação, Tatiana (financeiro) informou que a empresa utiliza o ERP Sankhya há cerca de 4 anos. Atualmente não possuem equipe de vendas externa, e o site é utilizado apenas para demonstração dos produtos/pedidos._x000a_Solicitou uma apresentação inicial por e-mail e também deixou o WhatsApp (11 97334-5254) para um novo contato, a fim de apresentarmos nossas soluções._x000a_Comentou ainda que considera a mensalidade atual do ERP elevada."/>
    <s v=""/>
    <x v="683"/>
    <n v="3717565000182"/>
    <s v="NEWLAR DISTRIBUIDORA DE UTILIDADES DOMESTICAS LTDA"/>
    <s v="Edinho"/>
    <s v="(11) 96123-5967"/>
    <s v="11961235967"/>
    <s v="newlar@newlar.com.br"/>
    <s v="Matriz"/>
    <s v=""/>
    <s v="AV VAUTIER 649"/>
    <s v="SAO PAULO"/>
    <s v="SP"/>
    <s v=""/>
    <s v=""/>
    <s v=""/>
    <s v="Dentro Perfil"/>
    <s v="Pipeline de Vendas"/>
    <s v="Qualificação de Vendas (SQL) (25%)"/>
    <s v=""/>
    <m/>
    <m/>
    <m/>
    <n v="6"/>
    <s v="Ronaldo Nascimento"/>
    <d v="2026-05-14T00:00:00"/>
    <d v="1899-12-30T11:56:50"/>
    <s v=""/>
    <s v="Ativo"/>
    <m/>
    <m/>
    <s v=""/>
    <s v=""/>
    <s v=""/>
    <x v="0"/>
    <s v=""/>
    <x v="0"/>
    <s v=""/>
    <m/>
    <n v="30"/>
    <s v=""/>
    <s v=""/>
    <s v=""/>
    <s v=""/>
    <n v="1"/>
  </r>
  <r>
    <x v="2"/>
    <n v="1217"/>
    <m/>
    <n v="3814"/>
    <s v=""/>
    <s v=""/>
    <x v="684"/>
    <n v="11587676000140"/>
    <s v=""/>
    <s v="Gifran Industria De Artigos Texteis Ltda"/>
    <s v="(24) 2255-5069"/>
    <s v=""/>
    <s v="comercial@gifran.com.br"/>
    <s v=""/>
    <s v=""/>
    <s v=""/>
    <s v="TRES RIOS"/>
    <s v="RJ"/>
    <s v="Base de empresas Leads2b"/>
    <s v=""/>
    <s v=""/>
    <s v=""/>
    <s v="Pipeline de Vendas"/>
    <s v="Qualificação de Vendas (SQL) (25%)"/>
    <s v=""/>
    <m/>
    <m/>
    <m/>
    <n v="6"/>
    <s v="Rayssa Karapeticov"/>
    <d v="2026-05-14T00:00:00"/>
    <d v="1899-12-30T14:46:19"/>
    <s v=""/>
    <s v="Ativo"/>
    <m/>
    <m/>
    <s v=""/>
    <s v=""/>
    <s v=""/>
    <x v="0"/>
    <s v=""/>
    <x v="0"/>
    <s v=""/>
    <d v="2026-05-14T00:00:00"/>
    <n v="30"/>
    <s v=""/>
    <s v=""/>
    <s v=""/>
    <s v=""/>
    <n v="1"/>
  </r>
  <r>
    <x v="2"/>
    <n v="1218"/>
    <m/>
    <n v="3817"/>
    <s v=""/>
    <s v=""/>
    <x v="685"/>
    <n v="3640671000105"/>
    <s v=""/>
    <s v="Plasnew Utilidades Domesticas Ltda."/>
    <s v="(19) 3852-9000"/>
    <s v=""/>
    <s v="plasnew@plasnew.ind.br"/>
    <s v=""/>
    <s v=""/>
    <s v=""/>
    <s v="PEDREIRA"/>
    <s v="SP"/>
    <s v="Base de empresas Leads2b"/>
    <s v=""/>
    <s v=""/>
    <s v=""/>
    <s v="Pipeline de Vendas"/>
    <s v="Qualificação de Vendas (SQL) (25%)"/>
    <s v=""/>
    <m/>
    <m/>
    <m/>
    <n v="6"/>
    <s v="Rayssa Karapeticov"/>
    <d v="2026-05-14T00:00:00"/>
    <d v="1899-12-30T14:49:03"/>
    <s v=""/>
    <s v="Ativo"/>
    <m/>
    <m/>
    <s v=""/>
    <s v=""/>
    <s v=""/>
    <x v="0"/>
    <s v=""/>
    <x v="0"/>
    <s v=""/>
    <m/>
    <m/>
    <s v=""/>
    <s v=""/>
    <s v=""/>
    <s v=""/>
    <n v="1"/>
  </r>
  <r>
    <x v="2"/>
    <n v="1219"/>
    <m/>
    <n v="3820"/>
    <s v=""/>
    <s v=""/>
    <x v="686"/>
    <n v="14892407000185"/>
    <s v=""/>
    <s v="Ambiente Verde Industria Ltda"/>
    <s v="(51) 3541-7491"/>
    <s v=""/>
    <s v="ambienteverde@ambienteverde.ind.br"/>
    <s v=""/>
    <s v=""/>
    <s v=""/>
    <s v="IGREJINHA"/>
    <s v="RS"/>
    <s v="Base de empresas Leads2b"/>
    <s v=""/>
    <s v=""/>
    <s v=""/>
    <s v="Pipeline de Vendas"/>
    <s v="Qualificação de Vendas (SQL) (25%)"/>
    <s v=""/>
    <m/>
    <m/>
    <m/>
    <n v="6"/>
    <s v="Rayssa Karapeticov"/>
    <d v="2026-05-14T00:00:00"/>
    <d v="1899-12-30T14:49:45"/>
    <s v=""/>
    <s v="Ativo"/>
    <m/>
    <m/>
    <s v=""/>
    <s v=""/>
    <s v=""/>
    <x v="0"/>
    <s v=""/>
    <x v="0"/>
    <s v=""/>
    <m/>
    <m/>
    <s v=""/>
    <s v=""/>
    <s v=""/>
    <s v=""/>
    <n v="1"/>
  </r>
  <r>
    <x v="1"/>
    <n v="1220"/>
    <m/>
    <n v="3824"/>
    <s v=""/>
    <s v=""/>
    <x v="687"/>
    <m/>
    <s v=""/>
    <s v="Baag - Horas"/>
    <s v="75981337574"/>
    <s v=""/>
    <s v="cleber@baag.com.br"/>
    <s v=""/>
    <s v=""/>
    <s v=""/>
    <s v=""/>
    <s v=""/>
    <s v=""/>
    <s v=""/>
    <s v=""/>
    <s v=""/>
    <s v="Pipeline de Vendas"/>
    <s v="Em negociação (75%)"/>
    <s v=""/>
    <m/>
    <n v="25228"/>
    <n v="0"/>
    <n v="6"/>
    <s v="Junior Lopes"/>
    <d v="2026-05-14T00:00:00"/>
    <d v="1899-12-30T14:51:10"/>
    <s v=""/>
    <s v="Ativo"/>
    <m/>
    <m/>
    <s v=""/>
    <s v=""/>
    <s v=""/>
    <x v="212"/>
    <s v=""/>
    <x v="0"/>
    <s v=""/>
    <m/>
    <n v="50"/>
    <s v=""/>
    <s v=""/>
    <s v=""/>
    <s v=""/>
    <n v="1"/>
  </r>
  <r>
    <x v="2"/>
    <n v="1221"/>
    <m/>
    <n v="3826"/>
    <s v=""/>
    <s v=""/>
    <x v="688"/>
    <n v="79846465000207"/>
    <s v=""/>
    <s v="Goedert Ltda"/>
    <s v="(48) 3205-2140"/>
    <s v=""/>
    <s v="administracao@goedert.com.br"/>
    <s v=""/>
    <s v=""/>
    <s v=""/>
    <s v="PALHOCA"/>
    <s v="SC"/>
    <s v="Base de empresas Leads2b"/>
    <s v=""/>
    <s v=""/>
    <s v=""/>
    <s v="Pipeline de Vendas"/>
    <s v="Qualificação de Vendas (SQL) (25%)"/>
    <s v=""/>
    <m/>
    <m/>
    <m/>
    <n v="6"/>
    <s v="Rayssa Karapeticov"/>
    <d v="2026-05-14T00:00:00"/>
    <d v="1899-12-30T15:23:21"/>
    <s v=""/>
    <s v="Ativo"/>
    <m/>
    <m/>
    <s v=""/>
    <s v=""/>
    <s v=""/>
    <x v="0"/>
    <s v=""/>
    <x v="0"/>
    <s v=""/>
    <m/>
    <m/>
    <s v=""/>
    <s v=""/>
    <s v=""/>
    <s v=""/>
    <n v="1"/>
  </r>
  <r>
    <x v="2"/>
    <n v="1222"/>
    <m/>
    <n v="3827"/>
    <s v=""/>
    <s v=""/>
    <x v="89"/>
    <n v="5670513000123"/>
    <s v=""/>
    <s v="Jlk Industria E Comercio De Plasticos Ltda"/>
    <s v="(11) 2243-0117"/>
    <s v=""/>
    <s v="jlk@jlkplasticos.com.br"/>
    <s v=""/>
    <s v=""/>
    <s v=""/>
    <s v="SAO PAULO"/>
    <s v="SP"/>
    <s v="Base de empresas Leads2b"/>
    <s v=""/>
    <s v=""/>
    <s v=""/>
    <s v="Pipeline de Vendas"/>
    <s v="Agendamento (0%)"/>
    <s v=""/>
    <m/>
    <m/>
    <m/>
    <n v="6"/>
    <s v="Rayssa Karapeticov"/>
    <d v="2026-05-14T00:00:00"/>
    <d v="1899-12-30T15:24:59"/>
    <s v=""/>
    <s v="Ativo"/>
    <m/>
    <m/>
    <s v=""/>
    <s v=""/>
    <s v=""/>
    <x v="0"/>
    <s v=""/>
    <x v="0"/>
    <s v=""/>
    <m/>
    <m/>
    <s v=""/>
    <s v=""/>
    <s v=""/>
    <s v=""/>
    <n v="1"/>
  </r>
  <r>
    <x v="2"/>
    <n v="1223"/>
    <m/>
    <n v="3830"/>
    <s v=""/>
    <s v=""/>
    <x v="689"/>
    <n v="29946937000136"/>
    <s v=""/>
    <s v="Mercapet Comercio De Acessorios Para Animais Ltda"/>
    <s v="(11) 7162-4141"/>
    <s v=""/>
    <s v="marcosmercapet@gmail.com"/>
    <s v=""/>
    <s v=""/>
    <s v=""/>
    <s v="ITAQUAQUECETUBA"/>
    <s v="SP"/>
    <s v="Base de empresas Leads2b"/>
    <s v=""/>
    <s v=""/>
    <s v=""/>
    <s v="Pipeline de Vendas"/>
    <s v="Agendamento (0%)"/>
    <s v=""/>
    <m/>
    <m/>
    <m/>
    <n v="6"/>
    <s v="Rayssa Karapeticov"/>
    <d v="2026-05-14T00:00:00"/>
    <d v="1899-12-30T15:29:49"/>
    <s v=""/>
    <s v="Ativo"/>
    <m/>
    <m/>
    <s v=""/>
    <s v=""/>
    <s v=""/>
    <x v="0"/>
    <s v=""/>
    <x v="0"/>
    <s v=""/>
    <m/>
    <m/>
    <s v=""/>
    <s v=""/>
    <s v=""/>
    <s v=""/>
    <n v="1"/>
  </r>
  <r>
    <x v="2"/>
    <n v="1224"/>
    <m/>
    <n v="3832"/>
    <s v=""/>
    <s v=""/>
    <x v="690"/>
    <n v="90406117000162"/>
    <s v=""/>
    <s v="Future Industria Metalurgica Ltda"/>
    <s v="(54) 3535-8700"/>
    <s v=""/>
    <s v="future@futureutilidades.com.br"/>
    <s v=""/>
    <s v=""/>
    <s v=""/>
    <s v="CAXIAS DO SUL"/>
    <s v="RS"/>
    <s v="Base de empresas Leads2b"/>
    <s v=""/>
    <s v=""/>
    <s v=""/>
    <s v="Pipeline de Vendas"/>
    <s v="Agendamento (0%)"/>
    <s v=""/>
    <m/>
    <m/>
    <m/>
    <n v="6"/>
    <s v="Rayssa Karapeticov"/>
    <d v="2026-05-14T00:00:00"/>
    <d v="1899-12-30T15:31:13"/>
    <s v=""/>
    <s v="Ativo"/>
    <m/>
    <m/>
    <s v=""/>
    <s v=""/>
    <s v=""/>
    <x v="0"/>
    <s v=""/>
    <x v="0"/>
    <s v=""/>
    <m/>
    <m/>
    <s v=""/>
    <s v=""/>
    <s v=""/>
    <s v=""/>
    <n v="1"/>
  </r>
  <r>
    <x v="2"/>
    <n v="1225"/>
    <m/>
    <n v="3835"/>
    <s v=""/>
    <s v=""/>
    <x v="691"/>
    <n v="5020996000110"/>
    <s v=""/>
    <s v="Primavera Industria De Vassouras E Escovas Ltda"/>
    <s v="(54) 3344-1438"/>
    <s v=""/>
    <s v="primavera@primavera.ind.br"/>
    <s v=""/>
    <s v=""/>
    <s v=""/>
    <s v="TAPEJARA"/>
    <s v="RS"/>
    <s v="Base de empresas Leads2b"/>
    <s v=""/>
    <s v=""/>
    <s v=""/>
    <s v="Pipeline de Vendas"/>
    <s v="Agendamento (0%)"/>
    <s v=""/>
    <m/>
    <m/>
    <m/>
    <n v="6"/>
    <s v="Rayssa Karapeticov"/>
    <d v="2026-05-14T00:00:00"/>
    <d v="1899-12-30T15:32:28"/>
    <s v=""/>
    <s v="Ativo"/>
    <m/>
    <m/>
    <s v=""/>
    <s v=""/>
    <s v=""/>
    <x v="0"/>
    <s v=""/>
    <x v="0"/>
    <s v=""/>
    <m/>
    <m/>
    <s v=""/>
    <s v=""/>
    <s v=""/>
    <s v=""/>
    <n v="1"/>
  </r>
  <r>
    <x v="2"/>
    <n v="1226"/>
    <m/>
    <n v="3838"/>
    <s v=""/>
    <s v=""/>
    <x v="692"/>
    <n v="30365926000141"/>
    <s v=""/>
    <s v="Esponjas Evol Clean Ltda"/>
    <s v="(44) 3629-5720"/>
    <s v=""/>
    <s v="esponjasevolclean@gmail.com"/>
    <s v=""/>
    <s v=""/>
    <s v=""/>
    <s v="CIANORTE"/>
    <s v="PR"/>
    <s v="Base de empresas Leads2b"/>
    <s v=""/>
    <s v=""/>
    <s v=""/>
    <s v="Pipeline de Vendas"/>
    <s v="Agendamento (0%)"/>
    <s v=""/>
    <m/>
    <m/>
    <m/>
    <n v="6"/>
    <s v="Rayssa Karapeticov"/>
    <d v="2026-05-14T00:00:00"/>
    <d v="1899-12-30T15:33:49"/>
    <s v=""/>
    <s v="Ativo"/>
    <m/>
    <m/>
    <s v=""/>
    <s v=""/>
    <s v=""/>
    <x v="0"/>
    <s v=""/>
    <x v="0"/>
    <s v=""/>
    <m/>
    <m/>
    <s v=""/>
    <s v=""/>
    <s v=""/>
    <s v=""/>
    <n v="1"/>
  </r>
  <r>
    <x v="2"/>
    <n v="1227"/>
    <m/>
    <n v="3840"/>
    <s v=""/>
    <s v=""/>
    <x v="693"/>
    <n v="1355480000176"/>
    <s v=""/>
    <s v="Uninjet Industria E Comercio De Plasticos Ltda"/>
    <s v="(11) 2521-3011"/>
    <s v=""/>
    <s v="a.garcia@uninjet.com.br"/>
    <s v=""/>
    <s v=""/>
    <s v=""/>
    <s v="SAO PAULO"/>
    <s v="SP"/>
    <s v="Base de empresas Leads2b"/>
    <s v=""/>
    <s v=""/>
    <s v=""/>
    <s v="Pipeline de Vendas"/>
    <s v="Agendamento (0%)"/>
    <s v=""/>
    <m/>
    <m/>
    <m/>
    <n v="6"/>
    <s v="Rayssa Karapeticov"/>
    <d v="2026-05-14T00:00:00"/>
    <d v="1899-12-30T15:34:25"/>
    <s v=""/>
    <s v="Ativo"/>
    <m/>
    <m/>
    <s v=""/>
    <s v=""/>
    <s v=""/>
    <x v="0"/>
    <s v=""/>
    <x v="0"/>
    <s v=""/>
    <m/>
    <m/>
    <s v=""/>
    <s v=""/>
    <s v=""/>
    <s v=""/>
    <n v="1"/>
  </r>
  <r>
    <x v="2"/>
    <n v="1228"/>
    <m/>
    <n v="3877"/>
    <s v=""/>
    <s v=""/>
    <x v="694"/>
    <n v="3959052000188"/>
    <s v=""/>
    <s v="Gioplast Industria E Comercio Ltda"/>
    <s v="(11) 3132-9192"/>
    <s v=""/>
    <s v="contato@produtosgiotto.com.br"/>
    <s v=""/>
    <s v=""/>
    <s v=""/>
    <s v="NAZARE PAULISTA"/>
    <s v="SP"/>
    <s v="Base de empresas Leads2b"/>
    <s v=""/>
    <s v=""/>
    <s v=""/>
    <s v="Pipeline de Vendas"/>
    <s v="Agendamento (0%)"/>
    <s v=""/>
    <m/>
    <m/>
    <m/>
    <n v="6"/>
    <s v="Rayssa Karapeticov"/>
    <d v="2026-05-14T00:00:00"/>
    <d v="1899-12-30T15:51:54"/>
    <s v=""/>
    <s v="Ativo"/>
    <m/>
    <m/>
    <s v=""/>
    <s v=""/>
    <s v=""/>
    <x v="0"/>
    <s v=""/>
    <x v="0"/>
    <s v=""/>
    <m/>
    <m/>
    <s v=""/>
    <s v=""/>
    <s v=""/>
    <s v=""/>
    <n v="1"/>
  </r>
  <r>
    <x v="2"/>
    <n v="1229"/>
    <m/>
    <n v="3881"/>
    <s v=""/>
    <s v=""/>
    <x v="695"/>
    <n v="9149833000193"/>
    <s v=""/>
    <s v="Neoplas Industria E Comercio De Plasticos Ltda"/>
    <s v="(47) 3438-6970"/>
    <s v=""/>
    <s v="neoplas@neoplas.com.br"/>
    <s v=""/>
    <s v=""/>
    <s v=""/>
    <s v="JOINVILLE"/>
    <s v="SC"/>
    <s v="Base de empresas Leads2b"/>
    <s v=""/>
    <s v=""/>
    <s v=""/>
    <s v="Pipeline de Vendas"/>
    <s v="Agendamento (0%)"/>
    <s v=""/>
    <m/>
    <m/>
    <m/>
    <n v="6"/>
    <s v="Rayssa Karapeticov"/>
    <d v="2026-05-14T00:00:00"/>
    <d v="1899-12-30T15:52:32"/>
    <s v=""/>
    <s v="Ativo"/>
    <m/>
    <m/>
    <s v=""/>
    <s v=""/>
    <s v=""/>
    <x v="0"/>
    <s v=""/>
    <x v="0"/>
    <s v=""/>
    <m/>
    <m/>
    <s v=""/>
    <s v=""/>
    <s v=""/>
    <s v=""/>
    <n v="1"/>
  </r>
  <r>
    <x v="2"/>
    <n v="1230"/>
    <m/>
    <n v="3892"/>
    <s v=""/>
    <s v=""/>
    <x v="696"/>
    <n v="8696119000314"/>
    <s v=""/>
    <s v="Mix Sao Paulo Industria E Comercio Ltda"/>
    <s v="(11) 3013-1300"/>
    <s v=""/>
    <s v="contato@plastco.com.br"/>
    <s v=""/>
    <s v=""/>
    <s v=""/>
    <s v="SAO PAULO"/>
    <s v="SP"/>
    <s v="Base de empresas Leads2b"/>
    <s v=""/>
    <s v=""/>
    <s v=""/>
    <s v="Pipeline de Vendas"/>
    <s v="Agendamento (0%)"/>
    <s v=""/>
    <m/>
    <m/>
    <m/>
    <n v="6"/>
    <s v="Rayssa Karapeticov"/>
    <d v="2026-05-14T00:00:00"/>
    <d v="1899-12-30T16:06:06"/>
    <s v=""/>
    <s v="Ativo"/>
    <m/>
    <m/>
    <s v=""/>
    <s v=""/>
    <s v=""/>
    <x v="0"/>
    <s v=""/>
    <x v="0"/>
    <s v=""/>
    <m/>
    <m/>
    <s v=""/>
    <s v=""/>
    <s v=""/>
    <s v=""/>
    <n v="1"/>
  </r>
  <r>
    <x v="2"/>
    <n v="1231"/>
    <m/>
    <n v="3895"/>
    <s v=""/>
    <s v=""/>
    <x v="697"/>
    <n v="8266046000169"/>
    <s v=""/>
    <s v="Forfest Industria De Descartaveis Ltda"/>
    <s v="(48) 3466-2961"/>
    <s v=""/>
    <s v="atendimento@forfest.com.br"/>
    <s v=""/>
    <s v=""/>
    <s v=""/>
    <s v="ORLEANS"/>
    <s v="SC"/>
    <s v="Base de empresas Leads2b"/>
    <s v=""/>
    <s v=""/>
    <s v=""/>
    <s v="Pipeline de Vendas"/>
    <s v="Qualificação de Vendas (SQL) (25%)"/>
    <s v=""/>
    <m/>
    <m/>
    <m/>
    <n v="6"/>
    <s v="Rayssa Karapeticov"/>
    <d v="2026-05-14T00:00:00"/>
    <d v="1899-12-30T16:13:45"/>
    <s v=""/>
    <s v="Ativo"/>
    <m/>
    <m/>
    <s v=""/>
    <s v=""/>
    <s v=""/>
    <x v="0"/>
    <s v=""/>
    <x v="0"/>
    <s v=""/>
    <m/>
    <m/>
    <s v=""/>
    <s v=""/>
    <s v=""/>
    <s v=""/>
    <n v="1"/>
  </r>
  <r>
    <x v="2"/>
    <n v="1232"/>
    <m/>
    <n v="3898"/>
    <s v=""/>
    <s v=""/>
    <x v="698"/>
    <n v="18455453000178"/>
    <s v=""/>
    <s v="Comfort Door Importacao E Distribuicao De Utilidades Domesticas Ltda"/>
    <s v="(43) 3376-3000"/>
    <s v=""/>
    <s v="contato@comfortdoor.com.br"/>
    <s v=""/>
    <s v=""/>
    <s v=""/>
    <s v="LONDRINA"/>
    <s v="PR"/>
    <s v="Base de empresas Leads2b"/>
    <s v=""/>
    <s v=""/>
    <s v=""/>
    <s v="Pipeline de Vendas"/>
    <s v="Qualificação de Vendas (SQL) (25%)"/>
    <s v=""/>
    <m/>
    <m/>
    <m/>
    <n v="6"/>
    <s v="Rayssa Karapeticov"/>
    <d v="2026-05-14T00:00:00"/>
    <d v="1899-12-30T16:14:25"/>
    <s v=""/>
    <s v="Ativo"/>
    <m/>
    <m/>
    <s v=""/>
    <s v=""/>
    <s v=""/>
    <x v="0"/>
    <s v=""/>
    <x v="0"/>
    <s v=""/>
    <m/>
    <m/>
    <s v=""/>
    <s v=""/>
    <s v=""/>
    <s v=""/>
    <n v="1"/>
  </r>
  <r>
    <x v="1"/>
    <n v="1233"/>
    <m/>
    <n v="3918"/>
    <s v=""/>
    <s v=""/>
    <x v="699"/>
    <n v="35754976000215"/>
    <s v=""/>
    <s v="StarTools ferramaentas (Cloud)"/>
    <s v="1184724282"/>
    <s v=""/>
    <s v="controladoria@startoolsferramentas.com.br"/>
    <s v=""/>
    <s v=""/>
    <s v=""/>
    <s v="ARAQUARI"/>
    <s v="SC"/>
    <s v=""/>
    <s v=""/>
    <s v=""/>
    <s v=""/>
    <s v="Pipeline de Vendas"/>
    <s v="Apresentar Solução (35%)"/>
    <s v=""/>
    <m/>
    <m/>
    <m/>
    <n v="5"/>
    <s v="Junior Lopes"/>
    <d v="2026-05-15T00:00:00"/>
    <d v="1899-12-30T11:25:41"/>
    <s v=""/>
    <s v="Ativo"/>
    <m/>
    <m/>
    <s v=""/>
    <s v=""/>
    <s v=""/>
    <x v="0"/>
    <s v=""/>
    <x v="239"/>
    <s v=""/>
    <m/>
    <n v="50"/>
    <s v=""/>
    <s v=""/>
    <s v=""/>
    <s v=""/>
    <n v="1"/>
  </r>
  <r>
    <x v="3"/>
    <n v="1234"/>
    <m/>
    <n v="3917"/>
    <s v="Todos os dados preenchidos:name: William Zanini Brogni field_3: Diretor phone: 45988277667 email: william@abtec.eng.br nome_da_empresa: Abtec field_4: Sudeste site_ou_rede_social_da_empresa: https://abecommerce.com.br/ referrer: https://instagram.com/ _x000a_(15/05) Falei com William, que estava em reunião no momento. Solicitou novo contato na segunda-feira pela manhã."/>
    <s v=""/>
    <x v="700"/>
    <m/>
    <s v=""/>
    <s v="William Zanini Brogni"/>
    <s v="(45) 98827-7667"/>
    <s v=""/>
    <s v="william@abtec.eng.br"/>
    <s v=""/>
    <s v=""/>
    <s v=""/>
    <s v="Cascavel"/>
    <s v=""/>
    <s v="Inbound"/>
    <s v=""/>
    <s v=""/>
    <s v="Dentro Perfil;Instagram"/>
    <s v="Pipeline de Vendas"/>
    <s v="Qualificação de Vendas (SQL) (25%)"/>
    <s v=""/>
    <m/>
    <m/>
    <m/>
    <n v="5"/>
    <s v="Paulo Souza"/>
    <d v="2026-05-15T00:00:00"/>
    <d v="1899-12-30T12:17:45"/>
    <s v=""/>
    <s v="Ativo"/>
    <m/>
    <m/>
    <s v=""/>
    <s v=""/>
    <s v=""/>
    <x v="0"/>
    <s v="Ronaldo Nascimento"/>
    <x v="0"/>
    <s v=""/>
    <m/>
    <n v="30"/>
    <s v=""/>
    <s v=""/>
    <s v=""/>
    <s v=""/>
    <n v="1"/>
  </r>
  <r>
    <x v="1"/>
    <n v="1236"/>
    <m/>
    <n v="3921"/>
    <s v=""/>
    <s v=""/>
    <x v="701"/>
    <m/>
    <s v=""/>
    <s v="MDL - Comex"/>
    <s v="11910695515"/>
    <s v=""/>
    <s v="janaina@mdlimport.com.br"/>
    <s v=""/>
    <s v=""/>
    <s v=""/>
    <s v=""/>
    <s v=""/>
    <s v=""/>
    <s v=""/>
    <s v=""/>
    <s v=""/>
    <s v="Pipeline de Vendas"/>
    <s v="Apresentar Proposta (50%)"/>
    <s v=""/>
    <m/>
    <m/>
    <m/>
    <n v="2"/>
    <s v="Junior Lopes"/>
    <d v="2026-05-18T00:00:00"/>
    <d v="1899-12-30T08:19:14"/>
    <s v=""/>
    <s v="Ativo"/>
    <m/>
    <m/>
    <s v=""/>
    <s v=""/>
    <s v=""/>
    <x v="217"/>
    <s v=""/>
    <x v="0"/>
    <s v=""/>
    <m/>
    <n v="50"/>
    <s v=""/>
    <s v=""/>
    <s v=""/>
    <s v=""/>
    <n v="1"/>
  </r>
  <r>
    <x v="1"/>
    <n v="1237"/>
    <m/>
    <n v="3922"/>
    <s v=""/>
    <s v=""/>
    <x v="702"/>
    <m/>
    <s v=""/>
    <s v="MDL - Boleto Whats"/>
    <s v="11910695515"/>
    <s v=""/>
    <s v="janaina@mdlimport.com.br"/>
    <s v=""/>
    <s v=""/>
    <s v=""/>
    <s v=""/>
    <s v=""/>
    <s v=""/>
    <s v=""/>
    <s v=""/>
    <s v=""/>
    <s v="Pipeline de Vendas"/>
    <s v="Apresentar Proposta (50%)"/>
    <s v=""/>
    <m/>
    <m/>
    <m/>
    <n v="2"/>
    <s v="Junior Lopes"/>
    <d v="2026-05-18T00:00:00"/>
    <d v="1899-12-30T08:26:32"/>
    <s v=""/>
    <s v="Ativo"/>
    <m/>
    <m/>
    <s v=""/>
    <s v=""/>
    <s v=""/>
    <x v="217"/>
    <s v=""/>
    <x v="240"/>
    <s v=""/>
    <m/>
    <n v="50"/>
    <s v=""/>
    <s v=""/>
    <s v=""/>
    <s v=""/>
    <n v="1"/>
  </r>
  <r>
    <x v="1"/>
    <n v="1238"/>
    <m/>
    <n v="3923"/>
    <s v=""/>
    <s v=""/>
    <x v="703"/>
    <m/>
    <s v=""/>
    <s v="Star Distribuidora - Boleto Whats"/>
    <s v="17996266970"/>
    <s v=""/>
    <s v="administrativo@distribuidorastar.com.br"/>
    <s v=""/>
    <s v=""/>
    <s v=""/>
    <s v=""/>
    <s v=""/>
    <s v=""/>
    <s v=""/>
    <s v=""/>
    <s v=""/>
    <s v="Pipeline de Vendas"/>
    <s v="Apresentar Proposta (50%)"/>
    <s v=""/>
    <m/>
    <m/>
    <m/>
    <n v="2"/>
    <s v="Junior Lopes"/>
    <d v="2026-05-18T00:00:00"/>
    <d v="1899-12-30T08:39:29"/>
    <s v=""/>
    <s v="Ativo"/>
    <m/>
    <m/>
    <s v=""/>
    <s v=""/>
    <s v=""/>
    <x v="217"/>
    <s v=""/>
    <x v="240"/>
    <s v=""/>
    <m/>
    <n v="50"/>
    <s v=""/>
    <s v=""/>
    <s v=""/>
    <s v=""/>
    <n v="1"/>
  </r>
  <r>
    <x v="1"/>
    <n v="1240"/>
    <m/>
    <n v="3962"/>
    <s v=""/>
    <s v=""/>
    <x v="704"/>
    <m/>
    <s v=""/>
    <s v="fuzipar - ERP"/>
    <s v="54984185138"/>
    <s v=""/>
    <s v="null"/>
    <s v=""/>
    <s v=""/>
    <s v=""/>
    <s v=""/>
    <s v=""/>
    <s v=""/>
    <s v=""/>
    <s v=""/>
    <s v=""/>
    <s v="Pipeline de Vendas"/>
    <s v="Apresentar Solução (35%)"/>
    <s v=""/>
    <m/>
    <m/>
    <m/>
    <n v="1"/>
    <s v="Junior Lopes"/>
    <d v="2026-05-19T00:00:00"/>
    <d v="1899-12-30T17:02:34"/>
    <s v=""/>
    <s v="Ativo"/>
    <m/>
    <m/>
    <s v=""/>
    <s v=""/>
    <s v=""/>
    <x v="0"/>
    <s v=""/>
    <x v="0"/>
    <s v=""/>
    <m/>
    <n v="50"/>
    <s v=""/>
    <s v=""/>
    <s v=""/>
    <s v=""/>
    <n v="1"/>
  </r>
</pivotCacheRecords>
</file>

<file path=xl/pivotCache/pivotCacheRecords2.xml><?xml version="1.0" encoding="utf-8"?>
<pivotCacheRecords xmlns="http://schemas.openxmlformats.org/spreadsheetml/2006/main" count="716">
  <r>
    <x v="0"/>
    <n v="87"/>
    <m/>
    <n v="548"/>
    <s v=""/>
    <s v=""/>
    <x v="0"/>
    <m/>
    <s v=""/>
    <s v="Paulo Teste"/>
    <s v="16997181604"/>
    <s v=""/>
    <s v="paulo.souza@guaranisistemas.com.br"/>
    <s v=""/>
    <s v=""/>
    <s v=""/>
    <s v=""/>
    <s v=""/>
    <s v=""/>
    <s v=""/>
    <s v=""/>
    <s v="Guarani AFV;SDRPaulo"/>
    <s v="Pipeline de Vendas"/>
    <s v="Agendamento (0%)"/>
    <s v=""/>
    <m/>
    <n v="0"/>
    <n v="27562"/>
    <n v="540"/>
    <s v="Paulo Souza"/>
    <d v="2024-11-26T00:00:00"/>
    <d v="1899-12-30T17:25:50"/>
    <s v=""/>
    <s v="Ativo"/>
    <m/>
    <m/>
    <s v=""/>
    <s v=""/>
    <s v=""/>
    <x v="0"/>
    <s v="Paulo Souza"/>
    <x v="0"/>
    <s v=""/>
    <m/>
    <m/>
    <s v=""/>
    <s v=""/>
    <s v=""/>
    <s v=""/>
    <n v="1"/>
  </r>
  <r>
    <x v="1"/>
    <n v="88"/>
    <m/>
    <n v="269"/>
    <s v=""/>
    <s v="EDDI INDUSTRIA E COMERCIO DE ARTEFATOS PLASTICOS LTDA"/>
    <x v="1"/>
    <n v="24870219000100"/>
    <s v=""/>
    <s v="EDDI CASA"/>
    <s v="16997246190"/>
    <s v=""/>
    <s v="comercial@eddicasa.com"/>
    <s v=""/>
    <s v="EDDI CASA;Bruno"/>
    <s v=""/>
    <s v="Ibitinga - SP"/>
    <s v="SP"/>
    <s v="Outbound"/>
    <s v=""/>
    <s v=""/>
    <s v="Guarani AFV;Importado a partir de lista;SDRFernanda"/>
    <s v="Pipeline de Vendas"/>
    <s v="Apresentar Proposta (50%)"/>
    <s v=""/>
    <m/>
    <m/>
    <m/>
    <n v="55"/>
    <s v="Fernanda Santiago"/>
    <d v="2024-11-27T00:00:00"/>
    <d v="1899-12-30T14:28:37"/>
    <s v=""/>
    <s v="Perdido"/>
    <d v="2025-01-21T00:00:00"/>
    <d v="1899-12-30T11:55:50"/>
    <s v="Projeto adiado / sem prazo definido"/>
    <s v="sem retorno do cliente"/>
    <s v="27/11/2024"/>
    <x v="1"/>
    <s v="Fernanda Santiago"/>
    <x v="1"/>
    <s v=""/>
    <m/>
    <m/>
    <s v=""/>
    <s v=""/>
    <s v=""/>
    <s v=""/>
    <n v="1"/>
  </r>
  <r>
    <x v="0"/>
    <n v="89"/>
    <m/>
    <n v="439"/>
    <s v="APÓS PESQUISA ENCONTREI O TELEFONE 88 98114-7695 NO CATALAGO DIGITAL DA EMPRESA, MANDEI MSG PARA VALIDAR E CONVERSEI COM LUCAS, ELE DISSE QUE NO PASSADO JA NOS PROCUROU PARA CONHECER NOSSO ERP, POIS QUEREM MUDAR DE SISTEMA, O GERENTE DELES DE PRODUÇÃO JA TRABALHOU CONOSCO NA ARCA PLAST E INDICOU. ATUALMENTE USA SISTEMA CHAMADO WSHOP, MAS NÃO ATENDE ELES BEM. QUER VER TODA PARTE DE PRODUÇÃO, PRODUTOS, CUSTOS, FATURAMENTO... POSSUEM POUCOS REPRESENTANTES, FOCO NO MOMENTO É O ERP, APÓS ELE VE O FORÇA DE VENDAS._x000a_AGENDADO APRESENTAÇÃO COM O PAULO DIA 27/11 AS 15H"/>
    <s v=""/>
    <x v="2"/>
    <n v="51921277000198"/>
    <s v=""/>
    <s v="Lucas"/>
    <s v="(88) 98114-7695"/>
    <s v=""/>
    <s v="lucasnewway@gmail.com"/>
    <s v=""/>
    <s v=""/>
    <s v=""/>
    <s v=""/>
    <s v=""/>
    <s v="Base de empresas Leads2b"/>
    <s v=""/>
    <s v=""/>
    <s v="SDRDébora"/>
    <s v="Pipeline de Vendas"/>
    <s v="Em negociação (75%)"/>
    <s v=""/>
    <m/>
    <m/>
    <m/>
    <n v="63"/>
    <s v="Débora Duarte"/>
    <d v="2024-11-27T00:00:00"/>
    <d v="1899-12-30T14:29:05"/>
    <s v=""/>
    <s v="Perdido"/>
    <d v="2025-01-29T00:00:00"/>
    <d v="1899-12-30T01:04:01"/>
    <s v="Cliente não quer contato LGPD"/>
    <s v=""/>
    <s v="27/11/2024"/>
    <x v="0"/>
    <s v="Débora Duarte"/>
    <x v="0"/>
    <s v=""/>
    <m/>
    <m/>
    <s v=""/>
    <s v=""/>
    <s v=""/>
    <s v=""/>
    <n v="1"/>
  </r>
  <r>
    <x v="1"/>
    <n v="90"/>
    <m/>
    <n v="372"/>
    <s v="FALEI COM SILDÁCIO, ATUALMENTE USAM SISTEMA PROPRIO, MAS BUSCAM MELHORIAS E CONFORMA PLANEJAMENTO PARA 2025 ESTÁ COTANDO COM SOLUÇÕES DO MERCADO, OUVI DE OUTRAS IMPORTADORAS QUE USAM NOSSA SISTEMA PARA FORÇA DE VENDAS. HOJE SÃO 5 RCA, MAS ESTÃO EXPANDIDO O ATENDIMENTO PARA OUTROS ESTADOS E AUMENTANDO A EQUIPE. USAM ERP TOTVS. SÃO IMPORTADORA UD/BRINQUEDOS/DECOR_x000a_AGENDADO APRESENTAÇÃO DIA 21/11 AS 11H30_x000a_INCLUIR NO INVITE jacqueline.santos@casafreitas.com.br"/>
    <s v=""/>
    <x v="3"/>
    <n v="1740627000575"/>
    <s v=""/>
    <s v="Sildácio Amaral"/>
    <s v="(85) 99797-0405"/>
    <s v=""/>
    <s v="sildacio.amaral@casafreitas.com.br"/>
    <s v=""/>
    <s v=""/>
    <s v=""/>
    <s v=""/>
    <s v=""/>
    <s v="Site"/>
    <s v=""/>
    <s v=""/>
    <s v="90%;Guarani AFV;SDRDébora;SDRInbound"/>
    <s v="Pipeline de Vendas"/>
    <s v="Em Fechamento (100%)"/>
    <s v="6x sem juros (0/30/60/90/120/150...)"/>
    <m/>
    <n v="14416"/>
    <n v="18072"/>
    <n v="266"/>
    <s v="Débora Duarte"/>
    <d v="2024-11-27T00:00:00"/>
    <d v="1899-12-30T15:32:35"/>
    <s v=""/>
    <s v="Ganho"/>
    <d v="2025-08-20T00:00:00"/>
    <d v="1899-12-30T09:37:28"/>
    <s v=""/>
    <s v=""/>
    <s v="19/11/2024 00:00"/>
    <x v="2"/>
    <s v="Débora Duarte"/>
    <x v="2"/>
    <s v="07/03/2025"/>
    <m/>
    <m/>
    <s v=""/>
    <s v=""/>
    <s v=""/>
    <s v=""/>
    <n v="1"/>
  </r>
  <r>
    <x v="1"/>
    <n v="91"/>
    <m/>
    <n v="502"/>
    <s v="Então, eu conheci o sistema AFV por um fornecedor nosso e ficamos interessados pelo recursos que você possui em realizar vendas e consultar estoques pelo celular_x000a_Somos um grupo o KWI, que é composto por 3 empresas, 2 é varejista e não fazemos vendas externas e nem representantes. E 1 é Atacadista, no momento é uma empresa nova, mas estamos nos organizando para incorporar vendas externas_x000a_Varejista e Atacadista_x000a_Porque ficamos interessamos em por exemplo quando estamos na feira para expor ao invés de fazer pedido no papel, utilizar um celular que é mais pratico_x000a_Ultimamos o ERP Verup_x000a_Ah então pode ser quinta 10hrs? Sou Supervisora do T.I_x000a_Recebi. Muito obrigada!!"/>
    <s v=""/>
    <x v="4"/>
    <n v="8196258000117"/>
    <s v=""/>
    <s v="Giovanna Seguette"/>
    <s v="(11) 94444-8474"/>
    <s v=""/>
    <s v="suppliers@bongmoon.com"/>
    <s v=""/>
    <s v=""/>
    <s v=""/>
    <s v=""/>
    <s v=""/>
    <s v="Site"/>
    <s v=""/>
    <s v=""/>
    <s v="Guarani AFV;SDRDébora;SDRInbound"/>
    <s v="Pipeline de Vendas"/>
    <s v="Apresentar Proposta (50%)"/>
    <s v=""/>
    <m/>
    <m/>
    <m/>
    <n v="55"/>
    <s v="Débora Duarte"/>
    <d v="2024-11-27T00:00:00"/>
    <d v="1899-12-30T15:34:41"/>
    <s v=""/>
    <s v="Perdido"/>
    <d v="2025-01-21T00:00:00"/>
    <d v="1899-12-30T11:59:45"/>
    <s v="Projeto adiado / sem prazo definido"/>
    <s v="sem retorno do cliente"/>
    <s v="25/11/2024 00:00"/>
    <x v="3"/>
    <s v="Débora Duarte"/>
    <x v="3"/>
    <s v=""/>
    <m/>
    <m/>
    <s v=""/>
    <s v=""/>
    <s v=""/>
    <s v=""/>
    <n v="1"/>
  </r>
  <r>
    <x v="1"/>
    <n v="92"/>
    <m/>
    <n v="360"/>
    <s v="APÓS INDICAÇÃO DO TEL 16 99776-7635 CONTATO PASSOU O Nº DA JESSICA, FALEI COM ELA POR WHATS, ATUALMENTE USAM SISTEMA DA IDEIA, MAS ELA ACEITOU VER UMA DEMONSTRAÇÃO DO NOSSO FORÇA DE VENDAS._x000a_EMPRESA É DE ARARAQUARA, INDUSTRIA DE UD_x000a_AGENDADO APRESENTAÇÃO DIA 03/12 AS 10H COM O JUCA"/>
    <s v="Utiliplas Fabricacao E Comercio De Artefatos Plasticos Ltda"/>
    <x v="5"/>
    <n v="32364538000171"/>
    <s v=""/>
    <s v="Jessica Edevania"/>
    <s v="(16) 3332-7378"/>
    <s v=""/>
    <s v="comercialutiliplas@gmail.com"/>
    <s v=""/>
    <s v=""/>
    <s v=""/>
    <s v="ARARAQUARA"/>
    <s v="SP"/>
    <s v="Base de empresas Leads2b"/>
    <s v=""/>
    <s v=""/>
    <s v="Guarani AFV;SDRDébora"/>
    <s v="Pipeline de Vendas"/>
    <s v="Em negociação (75%)"/>
    <s v=""/>
    <m/>
    <n v="2496"/>
    <m/>
    <n v="62"/>
    <s v="Débora Duarte"/>
    <d v="2024-11-27T00:00:00"/>
    <d v="1899-12-30T15:37:15"/>
    <s v=""/>
    <s v="Perdido"/>
    <d v="2025-01-28T00:00:00"/>
    <d v="1899-12-30T15:33:32"/>
    <s v="Projeto adiado / sem prazo definido"/>
    <s v="cliente não da retorno"/>
    <s v="26/11/2024 00:00"/>
    <x v="4"/>
    <s v="Débora Duarte"/>
    <x v="2"/>
    <s v=""/>
    <m/>
    <m/>
    <s v=""/>
    <s v=""/>
    <s v=""/>
    <s v=""/>
    <n v="1"/>
  </r>
  <r>
    <x v="0"/>
    <n v="93"/>
    <m/>
    <n v="598"/>
    <s v="A Primu's Rio é uma rede de lojas especializada em Brinquedos, Cama, Mesa e Banho, Utensílios domésticos, Papelaria, Plástico, Vidro, Alumínio e muito mais._x000a_São mais de 25 anos no mercado, oferecendo os melhores produtos com os melhores preços, tanto para o consumidor varejista, quanto para o atacadista._x000a_Site: Loja online de Primu's Rio - Quem Somos_x000a_O Grupo primus é um grupo econômico com 7 empresas, e estão divididas da seguinte maneira:_x000a_Distribuidora/Importadora_x000a_ERP = 10_x000a_AFV = 2_x000a_PDV = 10_x000a_7 CNPJ_x000a_Produtos de Interesse (ERP, AFV, PDV, MDFE, MDE, B2B)_x000a_Atacado e Lojas_x000a_4 lojas com 28 PDV, sendo que uma dessa loja é atacado._x000a_ASSUNTOS A SER DETALHANDOS NA APRESENTAÇÃO:_x000a_Política de preço, eles fazer 3 tipos de preço T1 (9,90), T2 (8,90), T3 (7,90), a regra é que com determinado volume financeiro na compra o preço flute entre as tabelas;_x000a_Tem dois tipos de custo quando a mercadoria entra pela importadora é um e pela distribuidora é outro, entender melhor isso_x000a_A apresentação dever ser focada na distribuidora e seus processos diários. Seguir o fluxo apresentando a Estoque, Financeiro, Fiscal, Politicas de Preço, Faturamento e Gerenciamento da Operação."/>
    <s v=""/>
    <x v="6"/>
    <n v="3375396000492"/>
    <s v=""/>
    <s v="Celso"/>
    <s v="21964236193"/>
    <s v=""/>
    <s v="celsomsc@gmail.com"/>
    <s v=""/>
    <s v=""/>
    <s v=""/>
    <s v="RIO DE JANEIRO"/>
    <s v="RJ"/>
    <s v="Outbound"/>
    <s v=""/>
    <s v=""/>
    <s v="Guarani AFV;Guarani B2B;Guarani ERP;Guarani PDV;MORNO;SDRPaulo"/>
    <s v="Pipeline de Vendas"/>
    <s v="Em negociação (75%)"/>
    <s v=""/>
    <m/>
    <n v="0"/>
    <n v="0"/>
    <n v="61"/>
    <s v="Paulo Souza"/>
    <d v="2024-11-28T00:00:00"/>
    <d v="1899-12-30T08:47:53"/>
    <s v=""/>
    <s v="Perdido"/>
    <d v="2025-01-28T00:00:00"/>
    <d v="1899-12-30T16:47:21"/>
    <s v="Projeto adiado / sem prazo definido"/>
    <s v="cliente não tem mais interesse."/>
    <s v=""/>
    <x v="0"/>
    <s v="Paulo Souza"/>
    <x v="0"/>
    <s v=""/>
    <m/>
    <m/>
    <s v=""/>
    <s v=""/>
    <s v=""/>
    <s v=""/>
    <n v="1"/>
  </r>
  <r>
    <x v="1"/>
    <n v="94"/>
    <m/>
    <n v="378"/>
    <s v=""/>
    <s v="GA CERAMICA ARTISTICA"/>
    <x v="7"/>
    <n v="11650898000160"/>
    <s v=""/>
    <s v="GA CERAMICA"/>
    <s v="1935815351"/>
    <s v=""/>
    <s v="atendimento@gaceramica.com.br"/>
    <s v=""/>
    <s v="GA CERAMICA;GA CERAMICA, Jorge"/>
    <s v=""/>
    <s v=""/>
    <s v=""/>
    <s v="Outbound"/>
    <s v=""/>
    <s v=""/>
    <s v="Guarani AFV;Importado a partir de lista;SDRFernanda"/>
    <s v="Pipeline de Vendas"/>
    <s v="Apresentar Solução (35%)"/>
    <s v=""/>
    <m/>
    <n v="0"/>
    <n v="0"/>
    <n v="61"/>
    <s v="Fernanda Santiago"/>
    <d v="2024-11-28T00:00:00"/>
    <d v="1899-12-30T15:01:56"/>
    <s v=""/>
    <s v="Perdido"/>
    <d v="2025-01-28T00:00:00"/>
    <d v="1899-12-30T13:56:56"/>
    <s v="Não quer mudar a solução atual"/>
    <s v="Falei com o Jorge, ele disse que esta acontecendo umas mudanças administrativas um dos socios esta saindo, então toda previsao de alterar sistemas ficou em stand by, disse para falarmos em fevereiro. Até a feira ele falou que pode ser que ja tenha resolvido entao falamos depois."/>
    <s v="02/12/2024 10:00"/>
    <x v="0"/>
    <s v="Fernanda Santiago"/>
    <x v="0"/>
    <s v=""/>
    <m/>
    <m/>
    <s v=""/>
    <s v=""/>
    <s v=""/>
    <s v=""/>
    <n v="1"/>
  </r>
  <r>
    <x v="0"/>
    <n v="95"/>
    <m/>
    <n v="778"/>
    <s v="Resumo de envio do Formulário Web_x000a_Produtos:_x000a_Guarani ERP_x000a_Nome_x000a_Viviane Gomes_x000a_E-mail_x000a_fiscal@aloebaf.com.br_x000a_Telefone / Whatsapp_x000a_38 99127-5338_x000a_Nome da Empresa_x000a_ALOEBAF COMERCIO DE COSMETICOS_x000a_Segmento_x000a_Distribuidor_x000a_Descrição da necessidade_x000a_Precisamos do Força de vendas"/>
    <s v=""/>
    <x v="8"/>
    <n v="15211327000180"/>
    <s v=""/>
    <s v="Viviane Gomes"/>
    <s v="38991275338"/>
    <s v=""/>
    <s v="fiscal@aloebaf.com.br"/>
    <s v=""/>
    <s v=""/>
    <s v=""/>
    <s v=""/>
    <s v=""/>
    <s v="Outbound"/>
    <s v=""/>
    <s v=""/>
    <s v="Adicionais ERP;Guarani AFV;Guarani ERP;Pausado;SDRDébora"/>
    <s v="Pipeline de Vendas"/>
    <s v="Apresentar Proposta (50%)"/>
    <s v=""/>
    <m/>
    <m/>
    <m/>
    <n v="39"/>
    <s v="Paulo Souza"/>
    <d v="2024-11-29T00:00:00"/>
    <d v="1899-12-30T14:07:35"/>
    <s v=""/>
    <s v="Perdido"/>
    <d v="2025-01-07T00:00:00"/>
    <d v="1899-12-30T17:01:29"/>
    <s v="Preço muito alto - fora do budget de investimento"/>
    <s v=""/>
    <s v=""/>
    <x v="0"/>
    <s v="Débora Duarte"/>
    <x v="4"/>
    <s v=""/>
    <m/>
    <m/>
    <s v=""/>
    <s v=""/>
    <s v=""/>
    <s v=""/>
    <n v="1"/>
  </r>
  <r>
    <x v="1"/>
    <n v="96"/>
    <n v="155"/>
    <n v="812"/>
    <s v=""/>
    <s v=""/>
    <x v="9"/>
    <n v="13609763000186"/>
    <s v="BAAG (Bahia Artes Gráficas)"/>
    <s v="BAAG (Bahia Artes Gráficas)"/>
    <s v="7532217777"/>
    <s v=""/>
    <s v="cleber@bahiagrafica.com.br"/>
    <s v=""/>
    <s v=""/>
    <s v=""/>
    <s v="Feira de Santana"/>
    <s v="BA"/>
    <s v="Outbound"/>
    <s v=""/>
    <s v=""/>
    <s v="Guarani AFV;Guarani ERP;QUENTE"/>
    <s v="Pipeline de Vendas"/>
    <s v="Em Fechamento (100%)"/>
    <s v="6x sem juros (0/30/60/90/120/150...)"/>
    <d v="2025-01-31T00:00:00"/>
    <n v="8479884"/>
    <n v="630984"/>
    <n v="62"/>
    <s v="Paulo Souza"/>
    <d v="2024-12-01T00:00:00"/>
    <d v="1899-12-30T20:30:36"/>
    <s v=""/>
    <s v="Ganho"/>
    <d v="2025-02-01T00:00:00"/>
    <d v="1899-12-30T01:40:07"/>
    <s v=""/>
    <s v=""/>
    <s v=""/>
    <x v="5"/>
    <s v="Junior Lopes"/>
    <x v="5"/>
    <s v=""/>
    <m/>
    <m/>
    <s v=""/>
    <s v=""/>
    <s v=""/>
    <s v=""/>
    <n v="1"/>
  </r>
  <r>
    <x v="1"/>
    <n v="97"/>
    <n v="155"/>
    <n v="813"/>
    <s v=""/>
    <s v=""/>
    <x v="10"/>
    <n v="13609763000186"/>
    <s v="BAAG (Bahia Artes Gráficas)"/>
    <s v="Cleber Chagas"/>
    <s v="75981337574"/>
    <s v=""/>
    <s v="cleber@bahiagrafica.com.br"/>
    <s v=""/>
    <s v=""/>
    <s v=""/>
    <s v="Feira de Santana"/>
    <s v="BA"/>
    <s v=""/>
    <s v=""/>
    <s v=""/>
    <s v="Guarani CLOUD;QUENTE"/>
    <s v="Pipeline de Vendas"/>
    <s v="Em negociação (75%)"/>
    <s v=""/>
    <m/>
    <m/>
    <m/>
    <n v="82"/>
    <s v="Paulo Souza"/>
    <d v="2024-12-01T00:00:00"/>
    <d v="1899-12-30T20:30:37"/>
    <s v=""/>
    <s v="Perdido"/>
    <d v="2025-02-21T00:00:00"/>
    <d v="1899-12-30T12:13:20"/>
    <s v="Não quer mudar a solução atual"/>
    <s v="servidor local"/>
    <s v=""/>
    <x v="5"/>
    <s v=""/>
    <x v="5"/>
    <s v=""/>
    <m/>
    <m/>
    <s v=""/>
    <s v=""/>
    <s v=""/>
    <s v=""/>
    <n v="1"/>
  </r>
  <r>
    <x v="1"/>
    <n v="98"/>
    <n v="156"/>
    <n v="816"/>
    <s v=""/>
    <s v=""/>
    <x v="11"/>
    <n v="3921447000272"/>
    <s v="Vaso Forte"/>
    <s v="Clovis &amp; Heli"/>
    <s v="11912422620"/>
    <s v=""/>
    <s v="heli@vasoforte.com.br"/>
    <s v=""/>
    <s v=""/>
    <s v=""/>
    <s v="Vargem Grande Paulista"/>
    <s v="SP"/>
    <s v=""/>
    <s v=""/>
    <s v=""/>
    <s v="Guarani ERP"/>
    <s v="Pipeline de Vendas"/>
    <s v="Em Fechamento (100%)"/>
    <s v=""/>
    <m/>
    <n v="532332"/>
    <n v="292918"/>
    <n v="110"/>
    <s v="Paulo Souza"/>
    <d v="2024-12-01T00:00:00"/>
    <d v="1899-12-30T20:30:37"/>
    <s v=""/>
    <s v="Ganho"/>
    <d v="2025-03-21T00:00:00"/>
    <d v="1899-12-30T10:49:38"/>
    <s v=""/>
    <s v=""/>
    <s v=""/>
    <x v="6"/>
    <s v=""/>
    <x v="6"/>
    <s v="24/01/2025"/>
    <m/>
    <m/>
    <s v=""/>
    <s v=""/>
    <s v=""/>
    <s v=""/>
    <n v="1"/>
  </r>
  <r>
    <x v="1"/>
    <n v="99"/>
    <n v="157"/>
    <n v="818"/>
    <s v=""/>
    <s v=""/>
    <x v="12"/>
    <n v="55773964000164"/>
    <s v="Plásticos Santana Ltda"/>
    <s v="Celso"/>
    <s v="19974093075"/>
    <s v=""/>
    <s v="comercial1@plasticossantana.com.br"/>
    <s v=""/>
    <s v=""/>
    <s v=""/>
    <s v="Artur Nogueira"/>
    <s v="SP"/>
    <s v=""/>
    <s v=""/>
    <s v=""/>
    <s v="Guarani AFV;Guarani ERP"/>
    <s v="Pipeline de Vendas"/>
    <s v="Qualificação de Vendas (SQL) (25%)"/>
    <s v=""/>
    <m/>
    <m/>
    <m/>
    <n v="11"/>
    <s v="Paulo Souza"/>
    <d v="2024-12-01T00:00:00"/>
    <d v="1899-12-30T20:30:37"/>
    <s v=""/>
    <s v="Perdido"/>
    <d v="2024-12-12T00:00:00"/>
    <d v="1899-12-30T10:02:11"/>
    <s v="Não informou motivo da desistência"/>
    <s v="retornar contato em 2025"/>
    <s v=""/>
    <x v="0"/>
    <s v=""/>
    <x v="0"/>
    <s v=""/>
    <m/>
    <m/>
    <s v=""/>
    <s v=""/>
    <s v=""/>
    <s v=""/>
    <n v="1"/>
  </r>
  <r>
    <x v="1"/>
    <n v="100"/>
    <n v="156"/>
    <n v="816"/>
    <s v=""/>
    <s v=""/>
    <x v="13"/>
    <n v="3921447000272"/>
    <s v="Vaso Forte"/>
    <s v="Clovis &amp; Heli"/>
    <s v="11912422620"/>
    <s v=""/>
    <s v="heli@vasoforte.com.br"/>
    <s v=""/>
    <s v=""/>
    <s v=""/>
    <s v="Vargem Grande Paulista"/>
    <s v="SP"/>
    <s v=""/>
    <s v=""/>
    <s v=""/>
    <s v="Guarani CLOUD"/>
    <s v="Pipeline de Vendas"/>
    <s v="Em Fechamento (100%)"/>
    <s v=""/>
    <m/>
    <n v="1600"/>
    <n v="256119"/>
    <n v="110"/>
    <s v="Paulo Souza"/>
    <d v="2024-12-01T00:00:00"/>
    <d v="1899-12-30T20:30:37"/>
    <s v=""/>
    <s v="Perdido"/>
    <d v="2025-03-21T00:00:00"/>
    <d v="1899-12-30T10:21:47"/>
    <s v="Projeto adiado / sem prazo definido"/>
    <s v="atualmente tem muita instabilidade de internet"/>
    <s v=""/>
    <x v="6"/>
    <s v=""/>
    <x v="7"/>
    <s v="24/01/2025"/>
    <m/>
    <m/>
    <s v=""/>
    <s v=""/>
    <s v=""/>
    <s v=""/>
    <n v="1"/>
  </r>
  <r>
    <x v="1"/>
    <n v="101"/>
    <n v="158"/>
    <n v="821"/>
    <s v=""/>
    <s v=""/>
    <x v="14"/>
    <n v="4207648000194"/>
    <s v="EDITORA ONLINE"/>
    <s v="João Carlos Gomes Brasil"/>
    <s v="11993739551"/>
    <s v=""/>
    <s v="joao@editoraonline.com.br"/>
    <s v=""/>
    <s v=""/>
    <s v=""/>
    <s v="Barueri"/>
    <s v="SP"/>
    <s v=""/>
    <s v=""/>
    <s v=""/>
    <s v="Guarani AFV;SDRDébora"/>
    <s v="Pipeline de Vendas"/>
    <s v="Em negociação (75%)"/>
    <s v=""/>
    <d v="2025-01-31T00:00:00"/>
    <n v="3928"/>
    <m/>
    <n v="51"/>
    <s v="Paulo Souza"/>
    <d v="2024-12-01T00:00:00"/>
    <d v="1899-12-30T20:30:37"/>
    <s v=""/>
    <s v="Perdido"/>
    <d v="2025-01-21T00:00:00"/>
    <d v="1899-12-30T11:56:46"/>
    <s v="Projeto adiado / sem prazo definido"/>
    <s v="sem retorno do cliente"/>
    <s v="14/10/2024"/>
    <x v="7"/>
    <s v="Débora Duarte"/>
    <x v="8"/>
    <s v=""/>
    <m/>
    <m/>
    <s v=""/>
    <s v=""/>
    <s v=""/>
    <s v=""/>
    <n v="1"/>
  </r>
  <r>
    <x v="1"/>
    <n v="102"/>
    <n v="159"/>
    <n v="823"/>
    <s v=""/>
    <s v=""/>
    <x v="15"/>
    <n v="43526090000161"/>
    <s v="Precisa Import"/>
    <s v="Carlos"/>
    <s v="11972961489"/>
    <s v=""/>
    <s v="comercial@prorepresentacao.com.nr"/>
    <s v=""/>
    <s v=""/>
    <s v=""/>
    <s v="Barueri"/>
    <s v="SP"/>
    <s v=""/>
    <s v=""/>
    <s v=""/>
    <s v="Guarani AFV;Guarani ERP"/>
    <s v="Pipeline de Vendas"/>
    <s v="Em Fechamento (100%)"/>
    <s v=""/>
    <d v="2024-12-06T00:00:00"/>
    <n v="49012"/>
    <m/>
    <n v="18"/>
    <s v="Paulo Souza"/>
    <d v="2024-12-01T00:00:00"/>
    <d v="1899-12-30T20:30:37"/>
    <s v=""/>
    <s v="Ganho"/>
    <d v="2024-12-19T00:00:00"/>
    <d v="1899-12-30T14:38:30"/>
    <s v=""/>
    <s v=""/>
    <s v=""/>
    <x v="8"/>
    <s v=""/>
    <x v="9"/>
    <s v=""/>
    <m/>
    <m/>
    <s v=""/>
    <s v=""/>
    <s v=""/>
    <s v=""/>
    <n v="1"/>
  </r>
  <r>
    <x v="1"/>
    <n v="103"/>
    <n v="160"/>
    <n v="825"/>
    <s v=""/>
    <s v=""/>
    <x v="16"/>
    <n v="4949701000122"/>
    <s v="Polimax"/>
    <s v="Valen Lesinelli"/>
    <s v="11998367755"/>
    <s v=""/>
    <s v="comercial@polimaxpolimeros.com.br"/>
    <s v=""/>
    <s v=""/>
    <s v=""/>
    <s v="São Paulo"/>
    <s v="SP"/>
    <s v=""/>
    <s v=""/>
    <s v=""/>
    <s v="Guarani AFV;Guarani ERP;QUENTE"/>
    <s v="Pipeline de Vendas"/>
    <s v="Em Fechamento (100%)"/>
    <s v="6x sem juros (0/30/60/90/120/150...)"/>
    <d v="2025-01-31T00:00:00"/>
    <n v="46854"/>
    <n v="348312"/>
    <n v="54"/>
    <s v="Paulo Souza"/>
    <d v="2024-12-01T00:00:00"/>
    <d v="1899-12-30T20:30:37"/>
    <s v=""/>
    <s v="Ganho"/>
    <d v="2025-01-24T00:00:00"/>
    <d v="1899-12-30T12:08:20"/>
    <s v=""/>
    <s v=""/>
    <s v=""/>
    <x v="9"/>
    <s v=""/>
    <x v="10"/>
    <s v="15/01/2025"/>
    <m/>
    <m/>
    <s v=""/>
    <s v=""/>
    <s v=""/>
    <s v=""/>
    <n v="1"/>
  </r>
  <r>
    <x v="1"/>
    <n v="104"/>
    <n v="161"/>
    <n v="843"/>
    <s v=""/>
    <s v=""/>
    <x v="17"/>
    <n v="2609426000172"/>
    <s v="MD Importação"/>
    <s v="Juliana"/>
    <s v="47991450725"/>
    <s v=""/>
    <s v="mdimposrtacao@gmail.com"/>
    <s v=""/>
    <s v=""/>
    <s v=""/>
    <s v="Rio do Sul"/>
    <s v="SC"/>
    <s v="Indicação"/>
    <s v=""/>
    <s v=""/>
    <s v="Guarani AFV;Guarani ERP"/>
    <s v="Pipeline de Vendas"/>
    <s v="Em negociação (75%)"/>
    <s v=""/>
    <m/>
    <m/>
    <m/>
    <n v="120"/>
    <s v="Paulo Souza"/>
    <d v="2024-12-01T00:00:00"/>
    <d v="1899-12-30T20:30:37"/>
    <s v=""/>
    <s v="Perdido"/>
    <d v="2025-03-31T00:00:00"/>
    <d v="1899-12-30T15:45:45"/>
    <s v="Não houve aprovação financeira"/>
    <s v="cliente esfriou após proposta comercial"/>
    <s v=""/>
    <x v="10"/>
    <s v=""/>
    <x v="11"/>
    <s v=""/>
    <m/>
    <m/>
    <s v=""/>
    <s v=""/>
    <s v=""/>
    <s v=""/>
    <n v="1"/>
  </r>
  <r>
    <x v="1"/>
    <n v="105"/>
    <n v="162"/>
    <n v="829"/>
    <s v=""/>
    <s v=""/>
    <x v="18"/>
    <n v="17545517000169"/>
    <s v="DPOT PLASTICOS"/>
    <s v="Michel Stracci"/>
    <s v="19997264646"/>
    <s v=""/>
    <s v="dpot.plasticos@gmail.com"/>
    <s v=""/>
    <s v=""/>
    <s v=""/>
    <s v="Pedreira"/>
    <s v="SP"/>
    <s v=""/>
    <s v=""/>
    <s v=""/>
    <s v="Guarani AFV;Guarani ERP;SDRDébora"/>
    <s v="Pipeline de Vendas"/>
    <s v="Em negociação (75%)"/>
    <s v=""/>
    <m/>
    <m/>
    <m/>
    <n v="58"/>
    <s v="Paulo Souza"/>
    <d v="2024-12-01T00:00:00"/>
    <d v="1899-12-30T20:30:37"/>
    <s v=""/>
    <s v="Perdido"/>
    <d v="2025-01-28T00:00:00"/>
    <d v="1899-12-30T15:31:14"/>
    <s v="Projeto adiado / sem prazo definido"/>
    <s v="sem retorno do cliente"/>
    <s v="04/11/2024"/>
    <x v="11"/>
    <s v="Débora Duarte"/>
    <x v="12"/>
    <s v=""/>
    <m/>
    <m/>
    <s v=""/>
    <s v=""/>
    <s v=""/>
    <s v=""/>
    <n v="1"/>
  </r>
  <r>
    <x v="1"/>
    <n v="106"/>
    <n v="162"/>
    <n v="829"/>
    <s v=""/>
    <s v=""/>
    <x v="19"/>
    <n v="17545517000169"/>
    <s v="DPOT PLASTICOS"/>
    <s v="Michel Stracci"/>
    <s v="19997264646"/>
    <s v=""/>
    <s v="dpot.plasticos@gmail.com"/>
    <s v=""/>
    <s v=""/>
    <s v=""/>
    <s v="Pedreira"/>
    <s v="SP"/>
    <s v=""/>
    <s v=""/>
    <s v=""/>
    <s v="Guarani CLOUD;SDRDébora"/>
    <s v="Pipeline de Vendas"/>
    <s v="Em negociação (75%)"/>
    <s v=""/>
    <m/>
    <m/>
    <m/>
    <n v="58"/>
    <s v="Paulo Souza"/>
    <d v="2024-12-01T00:00:00"/>
    <d v="1899-12-30T20:30:37"/>
    <s v=""/>
    <s v="Perdido"/>
    <d v="2025-01-28T00:00:00"/>
    <d v="1899-12-30T15:31:50"/>
    <s v="Projeto adiado / sem prazo definido"/>
    <s v="sem retorno do cliente"/>
    <s v="04/11/2024"/>
    <x v="11"/>
    <s v="Débora Duarte"/>
    <x v="12"/>
    <s v=""/>
    <m/>
    <m/>
    <s v=""/>
    <s v=""/>
    <s v=""/>
    <s v=""/>
    <n v="1"/>
  </r>
  <r>
    <x v="1"/>
    <n v="107"/>
    <n v="163"/>
    <n v="832"/>
    <s v=""/>
    <s v=""/>
    <x v="20"/>
    <n v="5861238000125"/>
    <s v="GRUPO GALA"/>
    <s v="Diego"/>
    <s v="6735659555"/>
    <s v=""/>
    <s v="diego@gala.com.br"/>
    <s v=""/>
    <s v=""/>
    <s v=""/>
    <s v="Aparecida do Taboado"/>
    <s v="MS"/>
    <s v=""/>
    <s v=""/>
    <s v=""/>
    <s v="Guarani B2B"/>
    <s v="Pipeline de Vendas"/>
    <s v="Em negociação (75%)"/>
    <s v=""/>
    <m/>
    <m/>
    <m/>
    <n v="58"/>
    <s v="Paulo Souza"/>
    <d v="2024-12-01T00:00:00"/>
    <d v="1899-12-30T20:30:37"/>
    <s v=""/>
    <s v="Perdido"/>
    <d v="2025-01-28T00:00:00"/>
    <d v="1899-12-30T15:32:41"/>
    <s v="Não houve aprovação financeira"/>
    <s v=""/>
    <s v=""/>
    <x v="12"/>
    <s v=""/>
    <x v="13"/>
    <s v=""/>
    <m/>
    <m/>
    <s v=""/>
    <s v=""/>
    <s v=""/>
    <s v=""/>
    <n v="1"/>
  </r>
  <r>
    <x v="1"/>
    <n v="108"/>
    <n v="160"/>
    <n v="825"/>
    <s v=""/>
    <s v=""/>
    <x v="21"/>
    <n v="4949701000122"/>
    <s v="Polimax"/>
    <s v="Valen Lesinelli"/>
    <s v="11998367755"/>
    <s v=""/>
    <s v="comercial@polimaxpolimeros.com.br"/>
    <s v=""/>
    <s v=""/>
    <s v=""/>
    <s v="São Paulo"/>
    <s v="SP"/>
    <s v=""/>
    <s v=""/>
    <s v=""/>
    <s v="Guarani CLOUD;QUENTE"/>
    <s v="Pipeline de Vendas"/>
    <s v="Em Fechamento (100%)"/>
    <s v="8x sem juros (0/30/60/90/120/150...)"/>
    <d v="2025-01-31T00:00:00"/>
    <n v="1600"/>
    <n v="224819"/>
    <n v="60"/>
    <s v="Paulo Souza"/>
    <d v="2024-12-01T00:00:00"/>
    <d v="1899-12-30T20:30:37"/>
    <s v=""/>
    <s v="Ganho"/>
    <d v="2025-01-30T00:00:00"/>
    <d v="1899-12-30T09:31:52"/>
    <s v=""/>
    <s v=""/>
    <s v=""/>
    <x v="13"/>
    <s v=""/>
    <x v="14"/>
    <s v="15/01/2025"/>
    <m/>
    <m/>
    <s v=""/>
    <s v=""/>
    <s v=""/>
    <s v=""/>
    <n v="1"/>
  </r>
  <r>
    <x v="1"/>
    <n v="109"/>
    <n v="164"/>
    <n v="835"/>
    <s v=""/>
    <s v=""/>
    <x v="22"/>
    <n v="2531826000102"/>
    <s v="Fosboi da Bahia"/>
    <s v="Marcelo Luz"/>
    <s v="75991975073"/>
    <s v=""/>
    <s v="marceloluizlimafilho@outlook.com"/>
    <s v=""/>
    <s v=""/>
    <s v=""/>
    <s v="Feira de Santana"/>
    <s v="BA"/>
    <s v=""/>
    <s v=""/>
    <s v=""/>
    <s v="Guarani AFV;Guarani ERP"/>
    <s v="Pipeline de Vendas"/>
    <s v="Apresentar Solução (35%)"/>
    <s v=""/>
    <m/>
    <m/>
    <m/>
    <n v="18"/>
    <s v="Paulo Souza"/>
    <d v="2024-12-01T00:00:00"/>
    <d v="1899-12-30T20:30:37"/>
    <s v=""/>
    <s v="Perdido"/>
    <d v="2024-12-19T00:00:00"/>
    <d v="1899-12-30T15:08:41"/>
    <s v="Não informou motivo da desistência"/>
    <s v="sem retorno"/>
    <s v=""/>
    <x v="1"/>
    <s v=""/>
    <x v="1"/>
    <s v=""/>
    <m/>
    <m/>
    <s v=""/>
    <s v=""/>
    <s v=""/>
    <s v=""/>
    <n v="1"/>
  </r>
  <r>
    <x v="1"/>
    <n v="110"/>
    <n v="165"/>
    <n v="836"/>
    <s v=""/>
    <s v=""/>
    <x v="23"/>
    <n v="29341068000116"/>
    <s v="TEK MIX DISTRIBUICAO"/>
    <s v="TEK MIX DISTRIBUICAO"/>
    <s v="62991561717"/>
    <s v=""/>
    <s v="Wolneyaraujolino@gmail.com"/>
    <s v=""/>
    <s v=""/>
    <s v=""/>
    <s v="Anapólis"/>
    <s v="GO"/>
    <s v=""/>
    <s v=""/>
    <s v=""/>
    <s v="Guarani AFV;Guarani ERP"/>
    <s v="Pipeline de Vendas"/>
    <s v="Apresentar Proposta (50%)"/>
    <s v=""/>
    <m/>
    <m/>
    <m/>
    <n v="57"/>
    <s v="Paulo Souza"/>
    <d v="2024-12-01T00:00:00"/>
    <d v="1899-12-30T20:30:37"/>
    <s v=""/>
    <s v="Perdido"/>
    <d v="2025-01-27T00:00:00"/>
    <d v="1899-12-30T11:52:01"/>
    <s v="Fechou com o concorrente - preço"/>
    <s v="Devido a localização e proposta do concorrente (Target) perdemos a concorrência"/>
    <s v=""/>
    <x v="1"/>
    <s v=""/>
    <x v="1"/>
    <s v=""/>
    <m/>
    <m/>
    <s v=""/>
    <s v=""/>
    <s v=""/>
    <s v=""/>
    <n v="1"/>
  </r>
  <r>
    <x v="1"/>
    <n v="111"/>
    <n v="165"/>
    <n v="837"/>
    <s v=""/>
    <s v=""/>
    <x v="24"/>
    <n v="29341068000116"/>
    <s v="TEK MIX DISTRIBUICAO"/>
    <s v="Wolden"/>
    <s v="62991561717"/>
    <s v=""/>
    <s v="Wolneyaraujolino@gmail.com"/>
    <s v=""/>
    <s v=""/>
    <s v=""/>
    <s v="Anapólis"/>
    <s v="GO"/>
    <s v=""/>
    <s v=""/>
    <s v=""/>
    <s v="Guarani CLOUD"/>
    <s v="Pipeline de Vendas"/>
    <s v="Apresentar Proposta (50%)"/>
    <s v=""/>
    <m/>
    <m/>
    <m/>
    <n v="57"/>
    <s v="Paulo Souza"/>
    <d v="2024-12-01T00:00:00"/>
    <d v="1899-12-30T20:30:37"/>
    <s v=""/>
    <s v="Perdido"/>
    <d v="2025-01-27T00:00:00"/>
    <d v="1899-12-30T11:52:59"/>
    <s v="Fechou com o concorrente - preço"/>
    <s v="Devido a localização e proposta do concorrente (Target) perdemos a concorrência"/>
    <s v=""/>
    <x v="1"/>
    <s v=""/>
    <x v="1"/>
    <s v=""/>
    <m/>
    <m/>
    <s v=""/>
    <s v=""/>
    <s v=""/>
    <s v=""/>
    <n v="1"/>
  </r>
  <r>
    <x v="1"/>
    <n v="113"/>
    <n v="167"/>
    <n v="842"/>
    <s v=""/>
    <s v=""/>
    <x v="25"/>
    <n v="7973104000121"/>
    <s v="ELMO ATACADO"/>
    <s v="João Carlos Tasca"/>
    <s v="47999949301"/>
    <s v=""/>
    <s v="joao@atacadoelmo.com.br"/>
    <s v=""/>
    <s v=""/>
    <s v=""/>
    <s v="Joinville"/>
    <s v="SC"/>
    <s v=""/>
    <s v=""/>
    <s v=""/>
    <s v="Adicionais ERP"/>
    <s v="Pipeline de Vendas"/>
    <s v="Em negociação (75%)"/>
    <s v=""/>
    <m/>
    <m/>
    <m/>
    <n v="81"/>
    <s v="Paulo Souza"/>
    <d v="2024-12-01T00:00:00"/>
    <d v="1899-12-30T20:30:38"/>
    <s v=""/>
    <s v="Perdido"/>
    <d v="2025-02-20T00:00:00"/>
    <d v="1899-12-30T11:26:46"/>
    <s v="Projeto adiado / sem prazo definido"/>
    <s v="cliente ainda não decidiu"/>
    <s v=""/>
    <x v="14"/>
    <s v=""/>
    <x v="0"/>
    <s v=""/>
    <m/>
    <m/>
    <s v=""/>
    <s v=""/>
    <s v=""/>
    <s v=""/>
    <n v="1"/>
  </r>
  <r>
    <x v="1"/>
    <n v="114"/>
    <n v="161"/>
    <n v="827"/>
    <s v=""/>
    <s v=""/>
    <x v="26"/>
    <n v="2609426000172"/>
    <s v="MD Importação"/>
    <s v="Juliana"/>
    <s v="47991450725"/>
    <s v=""/>
    <s v="mdimposrtacao@gmail.com"/>
    <s v=""/>
    <s v=""/>
    <s v=""/>
    <s v="Rio do Sul"/>
    <s v="SC"/>
    <s v="Indicação"/>
    <s v=""/>
    <s v=""/>
    <s v="Guarani CLOUD"/>
    <s v="Pipeline de Vendas"/>
    <s v="Em negociação (75%)"/>
    <s v=""/>
    <m/>
    <m/>
    <m/>
    <n v="120"/>
    <s v="Paulo Souza"/>
    <d v="2024-12-01T00:00:00"/>
    <d v="1899-12-30T20:30:38"/>
    <s v=""/>
    <s v="Perdido"/>
    <d v="2025-03-31T00:00:00"/>
    <d v="1899-12-30T15:46:33"/>
    <s v="Não houve aprovação financeira"/>
    <s v="cliente esfriou após envio da proposta comercial"/>
    <s v=""/>
    <x v="10"/>
    <s v=""/>
    <x v="11"/>
    <s v=""/>
    <m/>
    <m/>
    <s v=""/>
    <s v=""/>
    <s v=""/>
    <s v=""/>
    <n v="1"/>
  </r>
  <r>
    <x v="1"/>
    <n v="116"/>
    <m/>
    <n v="847"/>
    <s v=""/>
    <s v=""/>
    <x v="27"/>
    <n v="58151616000143"/>
    <s v=""/>
    <s v="Pedro"/>
    <s v="19993040768"/>
    <s v=""/>
    <s v="pehpbroglio@gmail.com"/>
    <s v=""/>
    <s v=""/>
    <s v=""/>
    <s v="ITAJAI"/>
    <s v="SC"/>
    <s v=""/>
    <s v=""/>
    <s v=""/>
    <s v="QUENTE"/>
    <s v="Pipeline de Vendas"/>
    <s v="Em Fechamento (100%)"/>
    <s v="10x sem juros (0/30/60/90/120/150...)"/>
    <d v="2025-01-31T00:00:00"/>
    <n v="4736912"/>
    <n v="98326"/>
    <n v="53"/>
    <s v="Junior Lopes"/>
    <d v="2024-12-02T00:00:00"/>
    <d v="1899-12-30T09:35:49"/>
    <s v=""/>
    <s v="Ganho"/>
    <d v="2025-01-24T00:00:00"/>
    <d v="1899-12-30T11:23:35"/>
    <s v=""/>
    <s v=""/>
    <s v=""/>
    <x v="15"/>
    <s v="Junior Lopes"/>
    <x v="15"/>
    <s v=""/>
    <m/>
    <m/>
    <s v=""/>
    <s v=""/>
    <s v=""/>
    <s v=""/>
    <n v="1"/>
  </r>
  <r>
    <x v="1"/>
    <n v="118"/>
    <m/>
    <n v="851"/>
    <s v=""/>
    <s v=""/>
    <x v="28"/>
    <n v="64582232000188"/>
    <s v=""/>
    <s v="Edi"/>
    <s v="11981337574"/>
    <s v=""/>
    <s v="ggealdo@injeplastec.com.br"/>
    <s v=""/>
    <s v=""/>
    <s v=""/>
    <s v=""/>
    <s v=""/>
    <s v=""/>
    <s v=""/>
    <s v=""/>
    <s v=""/>
    <s v="Pipeline de Vendas"/>
    <s v="Em negociação (75%)"/>
    <s v=""/>
    <d v="2025-01-31T00:00:00"/>
    <n v="202945"/>
    <m/>
    <n v="64"/>
    <s v="Junior Lopes"/>
    <d v="2024-12-04T00:00:00"/>
    <d v="1899-12-30T11:49:15"/>
    <s v=""/>
    <s v="Perdido"/>
    <d v="2025-02-06T00:00:00"/>
    <d v="1899-12-30T15:53:07"/>
    <s v="Não quer mudar a solução atual"/>
    <s v="cliente não decidiu seguir"/>
    <s v="02/12/2024"/>
    <x v="16"/>
    <s v="Junior Lopes"/>
    <x v="16"/>
    <s v=""/>
    <m/>
    <m/>
    <s v=""/>
    <s v=""/>
    <s v=""/>
    <s v=""/>
    <n v="1"/>
  </r>
  <r>
    <x v="1"/>
    <n v="122"/>
    <m/>
    <n v="855"/>
    <s v="Após a visita realizada em 10/12/2025, foi agendada uma nova reunião para tratar de assuntos técnicos em 12/12/2025 às 14h._x000a_13:47, 27/01/2026 Fabio Porto Brasil: Boa tarde Junior_x000a_13:47, 27/01/2026 Fabio Porto Brasil: tudo certo ?_x000a_13:47, 27/01/2026 Junior Lopes: Olá ! Sou Junior Lopes, consultor comercial Guarani sistemas _x000a_Como posso te ajudar ?_x000a_13:47, 27/01/2026 Fabio Porto Brasil: Antes de mais nada (e ainda em tempo kkkk), obrigado pela mensagem. Desejo um ótimo 2026_x000a_13:47, 27/01/2026 Fabio Porto Brasil: somente alinhado o status, a PBC deve iniciar em março/26, porém vou revisitar o cronograma de aprovação com eles para podermos nos alinhar._x000a_13:53, 27/01/2026 Junior Lopes: Olá Fábio, boa tarde ! Obrigado pelo retorno _x000a_Ficamos no aguardo então ! Caso necessário pode me chamar _x000a_Abraços"/>
    <s v=""/>
    <x v="29"/>
    <n v="8520654000158"/>
    <s v=""/>
    <s v="Marina"/>
    <s v="19999128074"/>
    <s v=""/>
    <s v="marina@portobrasilceramica.com.br"/>
    <s v=""/>
    <s v=""/>
    <s v=""/>
    <s v=""/>
    <s v=""/>
    <s v="Outbound"/>
    <s v=""/>
    <s v=""/>
    <s v="80%;Fabio Indica;Guarani AFV"/>
    <s v="Pipeline de Vendas"/>
    <s v="Em Fechamento (100%)"/>
    <s v="6x sem juros (0/30/60/90/120/150...)"/>
    <d v="2026-03-31T00:00:00"/>
    <n v="4519984"/>
    <n v="522464"/>
    <n v="512"/>
    <s v="Débora Duarte"/>
    <d v="2024-12-04T00:00:00"/>
    <d v="1899-12-30T14:40:54"/>
    <s v=""/>
    <s v="Ganho"/>
    <d v="2026-04-30T00:00:00"/>
    <d v="1899-12-30T14:25:28"/>
    <s v=""/>
    <s v=""/>
    <s v="04/12/2024 00:00"/>
    <x v="17"/>
    <s v="Junior Lopes"/>
    <x v="17"/>
    <s v="30/01/2025"/>
    <d v="2026-01-27T00:00:00"/>
    <n v="80"/>
    <s v=""/>
    <s v=""/>
    <s v=""/>
    <s v=""/>
    <n v="1"/>
  </r>
  <r>
    <x v="1"/>
    <n v="125"/>
    <m/>
    <n v="860"/>
    <s v=""/>
    <s v=""/>
    <x v="30"/>
    <m/>
    <s v=""/>
    <s v="GB Importadora - Clou"/>
    <s v="19993040768"/>
    <s v=""/>
    <s v="pehpbroglio@gmail.com"/>
    <s v=""/>
    <s v=""/>
    <s v=""/>
    <s v=""/>
    <s v=""/>
    <s v=""/>
    <s v=""/>
    <s v=""/>
    <s v="QUENTE"/>
    <s v="Pipeline de Vendas"/>
    <s v="Em Fechamento (100%)"/>
    <s v=""/>
    <d v="2025-01-31T00:00:00"/>
    <n v="1600"/>
    <n v="157626"/>
    <n v="49"/>
    <s v="Junior Lopes"/>
    <d v="2024-12-06T00:00:00"/>
    <d v="1899-12-30T16:28:22"/>
    <s v=""/>
    <s v="Ganho"/>
    <d v="2025-01-24T00:00:00"/>
    <d v="1899-12-30T11:42:08"/>
    <s v=""/>
    <s v=""/>
    <s v=""/>
    <x v="15"/>
    <s v=""/>
    <x v="18"/>
    <s v=""/>
    <m/>
    <m/>
    <s v=""/>
    <s v=""/>
    <s v=""/>
    <s v=""/>
    <n v="1"/>
  </r>
  <r>
    <x v="1"/>
    <n v="127"/>
    <m/>
    <n v="981"/>
    <s v=""/>
    <s v=""/>
    <x v="31"/>
    <n v="48885921000105"/>
    <s v=""/>
    <s v="Helder"/>
    <s v="(11) 3098-7840"/>
    <s v=""/>
    <s v="helder@ssdistribuidora.com.br"/>
    <s v=""/>
    <s v=""/>
    <s v=""/>
    <s v=""/>
    <s v=""/>
    <s v="Outbound"/>
    <s v=""/>
    <s v=""/>
    <s v=""/>
    <s v="Pipeline de Vendas"/>
    <s v="Em Fechamento (100%)"/>
    <s v=""/>
    <d v="2024-12-31T00:00:00"/>
    <n v="450"/>
    <m/>
    <n v="2"/>
    <s v="Junior Lopes"/>
    <d v="2024-12-10T00:00:00"/>
    <d v="1899-12-30T10:37:47"/>
    <s v=""/>
    <s v="Ganho"/>
    <d v="2024-12-12T00:00:00"/>
    <d v="1899-12-30T16:15:01"/>
    <s v=""/>
    <s v=""/>
    <s v="03/12/2024"/>
    <x v="18"/>
    <s v="Junior Lopes"/>
    <x v="16"/>
    <s v="11/12/2024"/>
    <m/>
    <m/>
    <s v=""/>
    <s v=""/>
    <s v=""/>
    <s v=""/>
    <n v="1"/>
  </r>
  <r>
    <x v="1"/>
    <n v="130"/>
    <m/>
    <n v="987"/>
    <s v=""/>
    <s v=""/>
    <x v="32"/>
    <n v="5691820000190"/>
    <s v=""/>
    <s v="Culturama"/>
    <s v="54996596274"/>
    <s v=""/>
    <s v="vinicius.mathyas@culturama.com.br"/>
    <s v=""/>
    <s v=""/>
    <s v=""/>
    <s v="CAXIAS DO SUL"/>
    <s v="RS"/>
    <s v=""/>
    <s v=""/>
    <s v=""/>
    <s v="QUENTE"/>
    <s v="Pipeline de Vendas"/>
    <s v="Em Fechamento (100%)"/>
    <s v=""/>
    <d v="2025-01-31T00:00:00"/>
    <n v="0"/>
    <n v="3564"/>
    <n v="43"/>
    <s v="Junior Lopes"/>
    <d v="2024-12-12T00:00:00"/>
    <d v="1899-12-30T09:14:28"/>
    <s v=""/>
    <s v="Ganho"/>
    <d v="2025-01-24T00:00:00"/>
    <d v="1899-12-30T11:07:30"/>
    <s v=""/>
    <s v=""/>
    <s v="05/12/2024"/>
    <x v="19"/>
    <s v="Junior Lopes"/>
    <x v="2"/>
    <s v=""/>
    <m/>
    <m/>
    <s v=""/>
    <s v=""/>
    <s v=""/>
    <s v=""/>
    <n v="1"/>
  </r>
  <r>
    <x v="1"/>
    <n v="131"/>
    <m/>
    <n v="990"/>
    <s v=""/>
    <s v=""/>
    <x v="33"/>
    <m/>
    <s v=""/>
    <s v="Rigomal"/>
    <s v="16997486376"/>
    <s v=""/>
    <s v="junior@rigomel.com.br"/>
    <s v=""/>
    <s v=""/>
    <s v=""/>
    <s v=""/>
    <s v=""/>
    <s v=""/>
    <s v=""/>
    <s v=""/>
    <s v=""/>
    <s v="Pipeline de Vendas"/>
    <s v="Apresentar Solução (35%)"/>
    <s v=""/>
    <m/>
    <n v="37964"/>
    <m/>
    <n v="7"/>
    <s v="Junior Lopes"/>
    <d v="2024-12-12T00:00:00"/>
    <d v="1899-12-30T10:50:50"/>
    <s v=""/>
    <s v="Perdido"/>
    <d v="2024-12-19T00:00:00"/>
    <d v="1899-12-30T09:39:21"/>
    <s v="Fechou com o concorrente - preço"/>
    <s v="junior informou que vai seguir com Mercus ! indicaçãom do seu atual ERP Triplus"/>
    <s v=""/>
    <x v="20"/>
    <s v=""/>
    <x v="19"/>
    <s v="16/12/2024"/>
    <m/>
    <m/>
    <s v=""/>
    <s v=""/>
    <s v=""/>
    <s v=""/>
    <n v="1"/>
  </r>
  <r>
    <x v="1"/>
    <n v="135"/>
    <m/>
    <n v="996"/>
    <s v=""/>
    <s v=""/>
    <x v="34"/>
    <m/>
    <s v=""/>
    <s v="Viva Vidros"/>
    <s v="11988839646"/>
    <s v=""/>
    <s v="comercial@vivavidros.com.br"/>
    <s v=""/>
    <s v=""/>
    <s v=""/>
    <s v=""/>
    <s v=""/>
    <s v=""/>
    <s v=""/>
    <s v=""/>
    <s v="QUENTE"/>
    <s v="Pipeline de Vendas"/>
    <s v="Em Fechamento (100%)"/>
    <s v=""/>
    <m/>
    <n v="28832"/>
    <n v="110248"/>
    <n v="83"/>
    <s v="Junior Lopes"/>
    <d v="2024-12-12T00:00:00"/>
    <d v="1899-12-30T17:20:55"/>
    <s v=""/>
    <s v="Perdido"/>
    <d v="2025-03-05T00:00:00"/>
    <d v="1899-12-30T11:12:51"/>
    <s v="Projeto adiado / sem prazo definido"/>
    <s v="cliente com situação de pendencias financeiras"/>
    <s v=""/>
    <x v="21"/>
    <s v=""/>
    <x v="0"/>
    <s v=""/>
    <m/>
    <m/>
    <s v=""/>
    <s v=""/>
    <s v=""/>
    <s v=""/>
    <n v="1"/>
  </r>
  <r>
    <x v="1"/>
    <n v="138"/>
    <m/>
    <n v="1103"/>
    <s v=""/>
    <s v=""/>
    <x v="35"/>
    <n v="54734384000103"/>
    <s v=""/>
    <s v="Star Distribuidora"/>
    <s v="17997793113"/>
    <s v=""/>
    <s v="comercial@distribuidorastar.com.br"/>
    <s v=""/>
    <s v=""/>
    <s v=""/>
    <s v=""/>
    <s v=""/>
    <s v=""/>
    <s v=""/>
    <s v=""/>
    <s v="QUENTE"/>
    <s v="Pipeline de Vendas"/>
    <s v="Em negociação (75%)"/>
    <s v=""/>
    <m/>
    <n v="49588"/>
    <m/>
    <n v="23"/>
    <s v="Junior Lopes"/>
    <d v="2024-12-17T00:00:00"/>
    <d v="1899-12-30T12:22:38"/>
    <s v=""/>
    <s v="Perdido"/>
    <d v="2025-01-09T00:00:00"/>
    <d v="1899-12-30T15:57:21"/>
    <s v="Projeto adiado / sem prazo definido"/>
    <s v="estamos fechando solução completa"/>
    <s v=""/>
    <x v="22"/>
    <s v=""/>
    <x v="20"/>
    <s v=""/>
    <m/>
    <m/>
    <s v=""/>
    <s v=""/>
    <s v=""/>
    <s v=""/>
    <n v="1"/>
  </r>
  <r>
    <x v="1"/>
    <n v="139"/>
    <m/>
    <n v="1113"/>
    <s v=""/>
    <s v=""/>
    <x v="36"/>
    <m/>
    <s v=""/>
    <s v="DCL Editora"/>
    <s v="11991297401"/>
    <s v=""/>
    <s v="administrativo@editoradcl.com.br"/>
    <s v=""/>
    <s v=""/>
    <s v=""/>
    <s v=""/>
    <s v=""/>
    <s v=""/>
    <s v=""/>
    <s v=""/>
    <s v=""/>
    <s v="Pipeline de Vendas"/>
    <s v="Apresentar Proposta (50%)"/>
    <s v=""/>
    <d v="2025-01-31T00:00:00"/>
    <n v="168592"/>
    <n v="6426"/>
    <n v="40"/>
    <s v="Junior Lopes"/>
    <d v="2024-12-19T00:00:00"/>
    <d v="1899-12-30T09:42:19"/>
    <s v=""/>
    <s v="Perdido"/>
    <d v="2025-01-28T00:00:00"/>
    <d v="1899-12-30T14:28:25"/>
    <s v="Não houve aprovação financeira"/>
    <s v="cliente não deu sequencia em nossa negociação"/>
    <s v="12/12/2024"/>
    <x v="16"/>
    <s v=""/>
    <x v="21"/>
    <s v=""/>
    <m/>
    <m/>
    <s v=""/>
    <s v=""/>
    <s v=""/>
    <s v=""/>
    <n v="1"/>
  </r>
  <r>
    <x v="1"/>
    <n v="140"/>
    <m/>
    <n v="1114"/>
    <s v=""/>
    <s v=""/>
    <x v="37"/>
    <m/>
    <s v=""/>
    <s v="Everson"/>
    <s v="17997793113"/>
    <s v=""/>
    <s v="comercial@distribuidorastar.com.br"/>
    <s v=""/>
    <s v=""/>
    <s v=""/>
    <s v=""/>
    <s v=""/>
    <s v=""/>
    <s v=""/>
    <s v=""/>
    <s v=""/>
    <s v="Pipeline de Vendas"/>
    <s v="Em Fechamento (100%)"/>
    <s v="10x sem juros (0/30/60/90/120/150...)"/>
    <d v="2025-01-31T00:00:00"/>
    <n v="4587892"/>
    <n v="628168"/>
    <n v="36"/>
    <s v="Junior Lopes"/>
    <d v="2024-12-19T00:00:00"/>
    <d v="1899-12-30T10:01:34"/>
    <s v=""/>
    <s v="Ganho"/>
    <d v="2025-01-24T00:00:00"/>
    <d v="1899-12-30T12:26:37"/>
    <s v=""/>
    <s v=""/>
    <s v=""/>
    <x v="23"/>
    <s v=""/>
    <x v="22"/>
    <s v="09/01/2025"/>
    <m/>
    <m/>
    <s v=""/>
    <s v=""/>
    <s v=""/>
    <s v=""/>
    <n v="1"/>
  </r>
  <r>
    <x v="1"/>
    <n v="141"/>
    <n v="159"/>
    <n v="1115"/>
    <s v=""/>
    <s v=""/>
    <x v="38"/>
    <n v="43526090000161"/>
    <s v="Precisa Import"/>
    <s v="Tony"/>
    <s v="11972961489"/>
    <s v=""/>
    <s v="comercial@prorepresentacao.com.nr"/>
    <s v=""/>
    <s v=""/>
    <s v=""/>
    <s v="Barueri"/>
    <s v="SP"/>
    <s v=""/>
    <s v=""/>
    <s v=""/>
    <s v=""/>
    <s v="Pipeline de Vendas"/>
    <s v="Em Fechamento (100%)"/>
    <s v="8x sem juros (0/30/60/90/120/150...)"/>
    <d v="2025-01-31T00:00:00"/>
    <n v="1600"/>
    <n v="2500"/>
    <n v="42"/>
    <s v="Junior Lopes"/>
    <d v="2024-12-19T00:00:00"/>
    <d v="1899-12-30T14:40:15"/>
    <s v=""/>
    <s v="Ganho"/>
    <d v="2025-01-28T00:00:00"/>
    <d v="1899-12-30T16:21:11"/>
    <s v=""/>
    <s v="0"/>
    <s v="20/01/2025"/>
    <x v="24"/>
    <s v=""/>
    <x v="0"/>
    <s v=""/>
    <m/>
    <m/>
    <s v=""/>
    <s v=""/>
    <s v=""/>
    <s v=""/>
    <n v="1"/>
  </r>
  <r>
    <x v="1"/>
    <n v="142"/>
    <m/>
    <n v="1117"/>
    <s v=""/>
    <s v=""/>
    <x v="39"/>
    <m/>
    <s v=""/>
    <s v="Everson"/>
    <s v="17997793113"/>
    <s v=""/>
    <s v="comercial@distribuidorastar.com.br"/>
    <s v=""/>
    <s v=""/>
    <s v=""/>
    <s v=""/>
    <s v=""/>
    <s v=""/>
    <s v=""/>
    <s v=""/>
    <s v=""/>
    <s v="Pipeline de Vendas"/>
    <s v="Em Fechamento (100%)"/>
    <s v=""/>
    <d v="2025-01-31T00:00:00"/>
    <n v="1600"/>
    <n v="243721"/>
    <n v="35"/>
    <s v="Junior Lopes"/>
    <d v="2024-12-20T00:00:00"/>
    <d v="1899-12-30T14:30:10"/>
    <s v=""/>
    <s v="Ganho"/>
    <d v="2025-01-24T00:00:00"/>
    <d v="1899-12-30T14:02:50"/>
    <s v=""/>
    <s v=""/>
    <s v=""/>
    <x v="23"/>
    <s v=""/>
    <x v="22"/>
    <s v="09/01/2025"/>
    <m/>
    <m/>
    <s v=""/>
    <s v=""/>
    <s v=""/>
    <s v=""/>
    <n v="1"/>
  </r>
  <r>
    <x v="0"/>
    <n v="144"/>
    <m/>
    <n v="181"/>
    <s v="Me chamou no whatsapp, possível indicação."/>
    <s v=""/>
    <x v="40"/>
    <n v="27805256000122"/>
    <s v=""/>
    <s v="Jefeerson"/>
    <s v="(83) 3441-1738 / (83) 9882-5004"/>
    <s v=""/>
    <s v=""/>
    <s v=""/>
    <s v=""/>
    <s v=""/>
    <s v="CATOLE DO ROCHA"/>
    <s v="PB"/>
    <s v="Feiras"/>
    <s v=""/>
    <s v=""/>
    <s v="Abup2025Fevereiro;GELADO"/>
    <s v="Pipeline de Vendas"/>
    <s v="Em Fechamento (100%)"/>
    <s v="6x sem juros (0/30/60/90/120/150...)"/>
    <m/>
    <n v="146772"/>
    <n v="1102804"/>
    <n v="154"/>
    <s v="Paulo Souza"/>
    <d v="2025-01-07T00:00:00"/>
    <d v="1899-12-30T16:58:48"/>
    <s v=""/>
    <s v="Ganho"/>
    <d v="2025-01-29T00:00:00"/>
    <d v="1899-12-30T01:04:49"/>
    <s v=""/>
    <s v="0"/>
    <s v=""/>
    <x v="25"/>
    <s v="Paulo Souza"/>
    <x v="23"/>
    <s v=""/>
    <m/>
    <m/>
    <s v=""/>
    <s v=""/>
    <s v=""/>
    <s v=""/>
    <n v="1"/>
  </r>
  <r>
    <x v="0"/>
    <n v="145"/>
    <m/>
    <n v="12"/>
    <s v="Indústria de alumínio atualmente utiliza um ERP local, junto com o EPR do mesmo fornecedor. Porém a principal dificuldade esta no processo produtivo, que ainda não foi implantado. Por este motivo a empresa necessita de um módulo de PCP (Planejamento e controle da produção) e o AFV atual não atende as necessidades comerciais._x000a_MBA Alumínios_x000a_Com mais de 38 anos de atuação no setor de alumínios, a MBA Alumínios é uma fábrica consolidada que abrange toda a cadeia produtiva de panelas de alumínio, desde a compra de sucata, produção de discos, estamparia, pintura, montagem, até embalagem e armazenamento._x000a_A empresa adotará os seguintes produtos:_x000a_ERP + PCP: 10 usuários_x000a_Checkout (ERP): 4 usuários_x000a_AFV: 14 usuários_x000a_MDe_x000a_MDFe_x000a_Possui dois CNPJs enquadrados no Simples Nacional e está localizada na cidade de Itaúna - MG."/>
    <s v="MBA ALUMINIOS LTDA."/>
    <x v="41"/>
    <n v="22752240000185"/>
    <s v=""/>
    <s v="Selmo Fernandes"/>
    <s v="(37) 99856-9457"/>
    <s v=""/>
    <s v="selmofilho@mbaluminios.com.br"/>
    <s v=""/>
    <s v=""/>
    <s v=""/>
    <s v="ITAUNA"/>
    <s v=""/>
    <s v="Outbound"/>
    <s v=""/>
    <s v=""/>
    <s v="SDRDébora"/>
    <s v="Pipeline de Vendas"/>
    <s v="Em negociação (75%)"/>
    <s v=""/>
    <m/>
    <m/>
    <m/>
    <n v="38"/>
    <s v="Paulo Souza"/>
    <d v="2025-01-07T00:00:00"/>
    <d v="1899-12-30T17:36:41"/>
    <s v=""/>
    <s v="Perdido"/>
    <d v="2025-02-14T00:00:00"/>
    <d v="1899-12-30T15:35:32"/>
    <s v="Projeto adiado / sem prazo definido"/>
    <s v=""/>
    <s v=""/>
    <x v="0"/>
    <s v=""/>
    <x v="24"/>
    <s v=""/>
    <m/>
    <m/>
    <s v=""/>
    <s v=""/>
    <s v=""/>
    <s v=""/>
    <n v="1"/>
  </r>
  <r>
    <x v="1"/>
    <n v="148"/>
    <m/>
    <n v="270"/>
    <s v="Carlos informou que possui hoje 50 RCA, e utilizam o ERP Solides."/>
    <s v="ETRURIA INDUSTRIA DE FIBRAS E FIOS SINTETICOS LTDA"/>
    <x v="42"/>
    <n v="45723541000186"/>
    <s v=""/>
    <s v="ETRURIA"/>
    <s v="1147188700"/>
    <s v=""/>
    <s v="etruria@etruria.com.br"/>
    <s v=""/>
    <s v="ETRURIA;Carlos"/>
    <s v=""/>
    <s v="Mairinque - SP"/>
    <s v="SP"/>
    <s v="Outbound"/>
    <s v=""/>
    <s v=""/>
    <s v="Importado a partir de lista;SDRFernanda"/>
    <s v="Pipeline de Vendas"/>
    <s v="Em negociação (75%)"/>
    <s v=""/>
    <m/>
    <n v="16960"/>
    <n v="4714"/>
    <n v="72"/>
    <s v="Fernanda Santiago"/>
    <d v="2025-01-08T00:00:00"/>
    <d v="1899-12-30T11:08:30"/>
    <s v=""/>
    <s v="Perdido"/>
    <d v="2025-03-21T00:00:00"/>
    <d v="1899-12-30T10:20:05"/>
    <s v="Não quer mudar a solução atual"/>
    <s v="decidiu não mudar força de vendas nesse momento"/>
    <s v=""/>
    <x v="26"/>
    <s v="Fernanda Santiago"/>
    <x v="25"/>
    <s v="21/01/2025"/>
    <m/>
    <m/>
    <s v=""/>
    <s v=""/>
    <s v=""/>
    <s v=""/>
    <n v="1"/>
  </r>
  <r>
    <x v="1"/>
    <n v="151"/>
    <m/>
    <n v="1540"/>
    <s v=""/>
    <s v=""/>
    <x v="43"/>
    <n v="21733807000103"/>
    <s v=""/>
    <s v="News aviamentos"/>
    <s v="(11) 3229-6911"/>
    <s v=""/>
    <s v="caiotls@hotmail.com"/>
    <s v=""/>
    <s v=""/>
    <s v=""/>
    <s v="SAO PAULO"/>
    <s v="SP"/>
    <s v=""/>
    <s v=""/>
    <s v=""/>
    <s v=""/>
    <s v="Pipeline de Vendas"/>
    <s v="Em negociação (75%)"/>
    <s v=""/>
    <m/>
    <n v="4830624"/>
    <n v="384549"/>
    <n v="43"/>
    <s v="Junior Lopes"/>
    <d v="2025-01-09T00:00:00"/>
    <d v="1899-12-30T16:01:24"/>
    <s v=""/>
    <s v="Perdido"/>
    <d v="2025-02-21T00:00:00"/>
    <d v="1899-12-30T14:27:38"/>
    <s v="Não houve aprovação financeira"/>
    <s v="achou investimento fora para o momento"/>
    <s v=""/>
    <x v="26"/>
    <s v=""/>
    <x v="26"/>
    <s v="20/01/2025"/>
    <m/>
    <m/>
    <s v=""/>
    <s v=""/>
    <s v=""/>
    <s v=""/>
    <n v="1"/>
  </r>
  <r>
    <x v="0"/>
    <n v="154"/>
    <n v="177"/>
    <n v="1546"/>
    <s v=""/>
    <s v=""/>
    <x v="44"/>
    <n v="58636773000149"/>
    <s v="GLOBAL MIX ATACADISTA LTDA."/>
    <s v="Juan Charles Brandão Bastos"/>
    <s v="(32) 98458-5164"/>
    <s v=""/>
    <s v="afonso@assecon.net.br"/>
    <s v="Matriz"/>
    <s v=""/>
    <s v="R DOM LUIZ ORIONE 577"/>
    <s v="Juiz de Fora"/>
    <s v="MG"/>
    <s v="Site"/>
    <s v="Site"/>
    <s v=""/>
    <s v="GELADO;Pausado;Solicita demo"/>
    <s v="Pipeline de Vendas"/>
    <s v="Em negociação (75%)"/>
    <s v="6x sem juros (0/30/60/90/120/150...)"/>
    <m/>
    <n v="5689656"/>
    <n v="259936"/>
    <n v="151"/>
    <s v="Fernanda Santiago"/>
    <d v="2025-01-10T00:00:00"/>
    <d v="1899-12-30T12:12:42"/>
    <s v=""/>
    <s v="Perdido"/>
    <d v="2025-06-10T00:00:00"/>
    <d v="1899-12-30T14:40:29"/>
    <s v="Não quer mudar a solução atual"/>
    <s v=""/>
    <s v="10/01/2025 16:00"/>
    <x v="13"/>
    <s v="Paulo Souza"/>
    <x v="27"/>
    <s v=""/>
    <m/>
    <m/>
    <s v=""/>
    <s v=""/>
    <s v=""/>
    <s v=""/>
    <n v="1"/>
  </r>
  <r>
    <x v="0"/>
    <n v="155"/>
    <m/>
    <n v="1547"/>
    <s v=""/>
    <s v=""/>
    <x v="45"/>
    <m/>
    <s v=""/>
    <s v="Bruce"/>
    <s v="21995977179"/>
    <s v=""/>
    <s v="null"/>
    <s v=""/>
    <s v=""/>
    <s v=""/>
    <s v=""/>
    <s v=""/>
    <s v=""/>
    <s v=""/>
    <s v=""/>
    <s v=""/>
    <s v="Pipeline de Vendas"/>
    <s v="Apresentar Solução (35%)"/>
    <s v=""/>
    <m/>
    <m/>
    <m/>
    <n v="18"/>
    <s v="Paulo Souza"/>
    <d v="2025-01-10T00:00:00"/>
    <d v="1899-12-30T14:48:28"/>
    <s v=""/>
    <s v="Perdido"/>
    <d v="2025-01-28T00:00:00"/>
    <d v="1899-12-30T16:53:34"/>
    <s v="Projeto adiado / sem prazo definido"/>
    <s v="Rayssa, está tratando no funil de pós-venda"/>
    <s v=""/>
    <x v="27"/>
    <s v="Paulo Souza"/>
    <x v="28"/>
    <s v=""/>
    <m/>
    <m/>
    <s v=""/>
    <s v=""/>
    <s v=""/>
    <s v=""/>
    <n v="1"/>
  </r>
  <r>
    <x v="0"/>
    <n v="164"/>
    <m/>
    <n v="1582"/>
    <s v=""/>
    <s v=""/>
    <x v="46"/>
    <n v="2675142000184"/>
    <s v=""/>
    <s v="Thiago"/>
    <s v="(11) 98534-8231"/>
    <s v=""/>
    <s v="thiago.ramos@sltexpress.com.br"/>
    <s v=""/>
    <s v=""/>
    <s v=""/>
    <s v="São Paulo"/>
    <s v=""/>
    <s v="Site"/>
    <s v=""/>
    <s v=""/>
    <s v="Contato;QUENTE"/>
    <s v="Pipeline de Vendas"/>
    <s v="Em negociação (75%)"/>
    <s v=""/>
    <m/>
    <m/>
    <m/>
    <n v="65"/>
    <s v="Fernanda Santiago"/>
    <d v="2025-01-15T00:00:00"/>
    <d v="1899-12-30T17:35:14"/>
    <s v=""/>
    <s v="Perdido"/>
    <d v="2025-03-21T00:00:00"/>
    <d v="1899-12-30T14:37:57"/>
    <s v="Fora do segmento atendido"/>
    <s v=""/>
    <s v="15/01/2025 17:00"/>
    <x v="13"/>
    <s v="Fernanda Santiago"/>
    <x v="29"/>
    <s v=""/>
    <m/>
    <m/>
    <s v=""/>
    <s v=""/>
    <s v=""/>
    <s v=""/>
    <n v="1"/>
  </r>
  <r>
    <x v="1"/>
    <n v="166"/>
    <m/>
    <n v="745"/>
    <s v=""/>
    <s v="VERSIVA COMERCIAL VERSIVA DISTRIBUIDORA"/>
    <x v="47"/>
    <n v="48314771000180"/>
    <s v=""/>
    <s v="Gilberto"/>
    <s v="11984587496"/>
    <s v=""/>
    <s v="gilberto.brito@quantiva.com.br"/>
    <s v=""/>
    <s v="Gilberto;null"/>
    <s v=""/>
    <s v=""/>
    <s v=""/>
    <s v=""/>
    <s v=""/>
    <s v=""/>
    <s v="SDRFernanda;TAG1SEM"/>
    <s v="Pipeline de Vendas"/>
    <s v="Apresentar Solução (35%)"/>
    <s v=""/>
    <m/>
    <m/>
    <m/>
    <n v="36"/>
    <s v="Fernanda Santiago"/>
    <d v="2025-01-16T00:00:00"/>
    <d v="1899-12-30T11:04:39"/>
    <s v=""/>
    <s v="Perdido"/>
    <d v="2025-02-21T00:00:00"/>
    <d v="1899-12-30T12:11:57"/>
    <s v="Projeto adiado / sem prazo definido"/>
    <s v="cliente não tem tempo para apresentação"/>
    <s v="16/01/2025 11:00"/>
    <x v="0"/>
    <s v="Fernanda Santiago"/>
    <x v="30"/>
    <s v=""/>
    <m/>
    <m/>
    <s v=""/>
    <s v=""/>
    <s v=""/>
    <s v=""/>
    <n v="1"/>
  </r>
  <r>
    <x v="0"/>
    <n v="167"/>
    <m/>
    <n v="1599"/>
    <s v=""/>
    <s v=""/>
    <x v="48"/>
    <m/>
    <s v=""/>
    <s v="Felipe"/>
    <s v="11975126999"/>
    <s v=""/>
    <s v="null"/>
    <s v=""/>
    <s v=""/>
    <s v=""/>
    <s v=""/>
    <s v=""/>
    <s v="Indicação"/>
    <s v=""/>
    <s v=""/>
    <s v="GELADO"/>
    <s v="Pipeline de Vendas"/>
    <s v="Em negociação (75%)"/>
    <s v="6x sem juros (0/30/60/90/120/150...)"/>
    <d v="2025-05-31T00:00:00"/>
    <n v="46000"/>
    <n v="308546"/>
    <n v="82"/>
    <s v="Paulo Souza"/>
    <d v="2025-01-16T00:00:00"/>
    <d v="1899-12-30T14:02:22"/>
    <s v=""/>
    <s v="Perdido"/>
    <d v="2025-04-08T00:00:00"/>
    <d v="1899-12-30T09:30:31"/>
    <s v="Não quer mudar a solução atual"/>
    <s v=""/>
    <s v=""/>
    <x v="28"/>
    <s v="Paulo Souza"/>
    <x v="31"/>
    <s v=""/>
    <m/>
    <m/>
    <s v=""/>
    <s v=""/>
    <s v=""/>
    <s v=""/>
    <n v="1"/>
  </r>
  <r>
    <x v="1"/>
    <n v="169"/>
    <m/>
    <n v="735"/>
    <s v=""/>
    <s v="ECOLIMP DISTRIBUIDORA ATACADISTA DE PRODUTOS DE HIGIENE - EIRELI"/>
    <x v="49"/>
    <n v="16941656000149"/>
    <s v=""/>
    <s v="Ecolimp Distribuidora"/>
    <s v="11956368569"/>
    <s v=""/>
    <s v="adrianarosa@ecolimpatacadista.com.br"/>
    <s v=""/>
    <s v="Ecolimp Distribuidora;null, Adriana"/>
    <s v=""/>
    <s v=""/>
    <s v=""/>
    <s v=""/>
    <s v=""/>
    <s v=""/>
    <s v=""/>
    <s v="Pipeline de Vendas"/>
    <s v="Apresentar Proposta (50%)"/>
    <s v=""/>
    <m/>
    <n v="16700"/>
    <n v="18186"/>
    <n v="6"/>
    <s v="Fernanda Santiago"/>
    <d v="2025-01-16T00:00:00"/>
    <d v="1899-12-30T17:13:16"/>
    <s v=""/>
    <s v="Perdido"/>
    <d v="2025-01-22T00:00:00"/>
    <d v="1899-12-30T12:12:09"/>
    <s v="Projeto adiado / sem prazo definido"/>
    <s v="pediu para retornar no futuro"/>
    <s v="16/01/2025 17:00"/>
    <x v="29"/>
    <s v="Fernanda Santiago"/>
    <x v="32"/>
    <s v=""/>
    <m/>
    <m/>
    <s v=""/>
    <s v=""/>
    <s v=""/>
    <s v=""/>
    <n v="1"/>
  </r>
  <r>
    <x v="1"/>
    <n v="174"/>
    <m/>
    <n v="734"/>
    <s v=""/>
    <s v="DISTRIBUIDORA CHAMPION LIMITADA"/>
    <x v="50"/>
    <n v="66559436000123"/>
    <s v=""/>
    <s v="Distribuidora Champion"/>
    <s v="1155237947"/>
    <s v=""/>
    <s v="andre@distribuidorachampion.com.br"/>
    <s v=""/>
    <s v="Distribuidora Champion;null"/>
    <s v=""/>
    <s v=""/>
    <s v=""/>
    <s v=""/>
    <s v=""/>
    <s v=""/>
    <s v=""/>
    <s v="Pipeline de Vendas"/>
    <s v="Agendamento (0%)"/>
    <s v=""/>
    <m/>
    <m/>
    <m/>
    <n v="31"/>
    <s v="Fernanda Santiago"/>
    <d v="2025-01-21T00:00:00"/>
    <d v="1899-12-30T10:39:04"/>
    <s v=""/>
    <s v="Perdido"/>
    <d v="2025-02-21T00:00:00"/>
    <d v="1899-12-30T10:55:19"/>
    <s v="Projeto adiado / sem prazo definido"/>
    <s v="sem resposta do cliente"/>
    <s v="21/01/2025 10:37"/>
    <x v="0"/>
    <s v="Fernanda Santiago"/>
    <x v="33"/>
    <s v=""/>
    <m/>
    <m/>
    <s v=""/>
    <s v=""/>
    <s v=""/>
    <s v=""/>
    <n v="1"/>
  </r>
  <r>
    <x v="1"/>
    <n v="178"/>
    <m/>
    <n v="1619"/>
    <s v=""/>
    <s v=""/>
    <x v="51"/>
    <n v="2306559000331"/>
    <s v=""/>
    <s v="Royal Toys"/>
    <s v="44999065000"/>
    <s v=""/>
    <s v="ney@royaltoys.com.br"/>
    <s v=""/>
    <s v=""/>
    <s v=""/>
    <s v=""/>
    <s v=""/>
    <s v=""/>
    <s v=""/>
    <s v=""/>
    <s v=""/>
    <s v="Pipeline de Vendas"/>
    <s v="Em negociação (75%)"/>
    <s v="6x sem juros (0/30/60/90/120/150...)"/>
    <m/>
    <n v="11520"/>
    <n v="14114"/>
    <n v="30"/>
    <s v="Junior Lopes"/>
    <d v="2025-01-22T00:00:00"/>
    <d v="1899-12-30T12:15:34"/>
    <s v=""/>
    <s v="Perdido"/>
    <d v="2025-02-21T00:00:00"/>
    <d v="1899-12-30T12:14:01"/>
    <s v="Fechou com o concorrente - preço"/>
    <s v="fechou com Mercus"/>
    <s v=""/>
    <x v="29"/>
    <s v=""/>
    <x v="34"/>
    <s v=""/>
    <m/>
    <m/>
    <s v=""/>
    <s v=""/>
    <s v=""/>
    <s v=""/>
    <n v="1"/>
  </r>
  <r>
    <x v="1"/>
    <n v="179"/>
    <m/>
    <n v="1621"/>
    <s v=""/>
    <s v=""/>
    <x v="52"/>
    <m/>
    <s v=""/>
    <s v="Atacado Junior"/>
    <s v="65984636358"/>
    <s v=""/>
    <s v="atacadojunior@uol.com.br"/>
    <s v=""/>
    <s v=""/>
    <s v=""/>
    <s v=""/>
    <s v=""/>
    <s v=""/>
    <s v=""/>
    <s v=""/>
    <s v=""/>
    <s v="Pipeline de Vendas"/>
    <s v="Apresentar Proposta (50%)"/>
    <s v="6x sem juros (0/30/60/90/120/150...)"/>
    <m/>
    <n v="61056"/>
    <n v="625045"/>
    <n v="14"/>
    <s v="Junior Lopes"/>
    <d v="2025-01-23T00:00:00"/>
    <d v="1899-12-30T09:32:50"/>
    <s v=""/>
    <s v="Perdido"/>
    <d v="2025-02-06T00:00:00"/>
    <d v="1899-12-30T16:03:00"/>
    <s v="Preço muito alto - fora do budget de investimento"/>
    <s v="valor alto para investimento"/>
    <s v=""/>
    <x v="30"/>
    <s v=""/>
    <x v="35"/>
    <s v="27/01/2025"/>
    <m/>
    <m/>
    <s v=""/>
    <s v=""/>
    <s v=""/>
    <s v=""/>
    <n v="1"/>
  </r>
  <r>
    <x v="1"/>
    <n v="183"/>
    <m/>
    <n v="1631"/>
    <s v=""/>
    <s v=""/>
    <x v="53"/>
    <m/>
    <s v=""/>
    <s v="Multiflon"/>
    <s v="54981117994"/>
    <s v=""/>
    <s v="cesar@multiflon.com.br"/>
    <s v=""/>
    <s v=""/>
    <s v=""/>
    <s v=""/>
    <s v=""/>
    <s v="Feiras"/>
    <s v=""/>
    <s v=""/>
    <s v=""/>
    <s v="Pipeline de Vendas"/>
    <s v="Em Fechamento (100%)"/>
    <s v="6x sem juros (0/30/60/90/120/150...)"/>
    <m/>
    <n v="16960"/>
    <n v="863104"/>
    <n v="103"/>
    <s v="Junior Lopes"/>
    <d v="2025-01-24T00:00:00"/>
    <d v="1899-12-30T10:40:09"/>
    <s v=""/>
    <s v="Ganho"/>
    <d v="2025-05-07T00:00:00"/>
    <d v="1899-12-30T08:53:35"/>
    <s v=""/>
    <s v=""/>
    <s v=""/>
    <x v="31"/>
    <s v=""/>
    <x v="35"/>
    <s v=""/>
    <m/>
    <m/>
    <s v=""/>
    <s v=""/>
    <s v=""/>
    <s v=""/>
    <n v="1"/>
  </r>
  <r>
    <x v="1"/>
    <n v="187"/>
    <m/>
    <n v="1642"/>
    <s v=""/>
    <s v=""/>
    <x v="54"/>
    <m/>
    <s v=""/>
    <s v="Metalmix tanque"/>
    <s v="16997631389"/>
    <s v=""/>
    <s v="metalmix.ibate@hotmail.com"/>
    <s v=""/>
    <s v=""/>
    <s v=""/>
    <s v=""/>
    <s v=""/>
    <s v=""/>
    <s v=""/>
    <s v=""/>
    <s v=""/>
    <s v="Pipeline de Vendas"/>
    <s v="Apresentar Solução (35%)"/>
    <s v=""/>
    <m/>
    <m/>
    <m/>
    <n v="49"/>
    <s v="Junior Lopes"/>
    <d v="2025-01-27T00:00:00"/>
    <d v="1899-12-30T14:53:37"/>
    <s v=""/>
    <s v="Perdido"/>
    <d v="2025-03-17T00:00:00"/>
    <d v="1899-12-30T09:55:20"/>
    <s v="Projeto adiado / sem prazo definido"/>
    <s v="Cliente fora do segmento"/>
    <s v=""/>
    <x v="0"/>
    <s v=""/>
    <x v="36"/>
    <s v=""/>
    <m/>
    <m/>
    <s v=""/>
    <s v=""/>
    <s v=""/>
    <s v=""/>
    <n v="1"/>
  </r>
  <r>
    <x v="1"/>
    <n v="188"/>
    <m/>
    <n v="1643"/>
    <s v=""/>
    <s v=""/>
    <x v="55"/>
    <m/>
    <s v=""/>
    <s v="C.a Teles Armarinhos E Papelaria Ltda"/>
    <s v="11999279928"/>
    <s v=""/>
    <s v="caiotls@hotmail.com"/>
    <s v=""/>
    <s v=""/>
    <s v=""/>
    <s v=""/>
    <s v=""/>
    <s v=""/>
    <s v=""/>
    <s v=""/>
    <s v=""/>
    <s v="Pipeline de Vendas"/>
    <s v="Em negociação (75%)"/>
    <s v=""/>
    <m/>
    <n v="1600"/>
    <n v="314528"/>
    <n v="25"/>
    <s v="Junior Lopes"/>
    <d v="2025-01-27T00:00:00"/>
    <d v="1899-12-30T15:48:35"/>
    <s v=""/>
    <s v="Perdido"/>
    <d v="2025-02-21T00:00:00"/>
    <d v="1899-12-30T14:28:44"/>
    <s v="Não houve aprovação financeira"/>
    <s v=""/>
    <s v=""/>
    <x v="29"/>
    <s v=""/>
    <x v="26"/>
    <s v=""/>
    <m/>
    <m/>
    <s v=""/>
    <s v=""/>
    <s v=""/>
    <s v=""/>
    <n v="1"/>
  </r>
  <r>
    <x v="1"/>
    <n v="191"/>
    <m/>
    <n v="1651"/>
    <s v=""/>
    <s v=""/>
    <x v="56"/>
    <m/>
    <s v=""/>
    <s v="Atacado Junior"/>
    <s v="65984636358"/>
    <s v=""/>
    <s v="atacadojunior@uol.com.br"/>
    <s v=""/>
    <s v=""/>
    <s v=""/>
    <s v=""/>
    <s v=""/>
    <s v=""/>
    <s v=""/>
    <s v=""/>
    <s v=""/>
    <s v="Pipeline de Vendas"/>
    <s v="Apresentar Proposta (50%)"/>
    <s v=""/>
    <m/>
    <n v="1600"/>
    <n v="4063"/>
    <n v="9"/>
    <s v="Junior Lopes"/>
    <d v="2025-01-28T00:00:00"/>
    <d v="1899-12-30T15:02:42"/>
    <s v=""/>
    <s v="Perdido"/>
    <d v="2025-02-06T00:00:00"/>
    <d v="1899-12-30T16:04:47"/>
    <s v="Preço muito alto - fora do budget de investimento"/>
    <s v="valor alto para investimento"/>
    <s v=""/>
    <x v="0"/>
    <s v=""/>
    <x v="0"/>
    <s v=""/>
    <m/>
    <m/>
    <s v=""/>
    <s v=""/>
    <s v=""/>
    <s v=""/>
    <n v="1"/>
  </r>
  <r>
    <x v="0"/>
    <n v="193"/>
    <m/>
    <n v="1608"/>
    <s v=""/>
    <s v=""/>
    <x v="57"/>
    <n v="2142286000175"/>
    <s v=""/>
    <s v="giovanna sesso"/>
    <s v="(11) 3777-2416"/>
    <s v=""/>
    <s v="giovanna@bolplast.com.br"/>
    <s v=""/>
    <s v=""/>
    <s v=""/>
    <s v="São Paulo"/>
    <s v=""/>
    <s v="Site"/>
    <s v=""/>
    <s v=""/>
    <s v="Solicita demo"/>
    <s v="Pipeline de Vendas"/>
    <s v="Em negociação (75%)"/>
    <s v=""/>
    <m/>
    <m/>
    <m/>
    <n v="9"/>
    <s v="Paulo Souza"/>
    <d v="2025-01-28T00:00:00"/>
    <d v="1899-12-30T16:45:54"/>
    <s v=""/>
    <s v="Perdido"/>
    <d v="2025-02-06T00:00:00"/>
    <d v="1899-12-30T17:27:05"/>
    <s v="Preço muito alto - fora do budget de investimento"/>
    <s v=""/>
    <s v=""/>
    <x v="32"/>
    <s v=""/>
    <x v="37"/>
    <s v=""/>
    <m/>
    <m/>
    <s v=""/>
    <s v=""/>
    <s v=""/>
    <s v=""/>
    <n v="1"/>
  </r>
  <r>
    <x v="0"/>
    <n v="195"/>
    <m/>
    <n v="1603"/>
    <s v=""/>
    <s v=""/>
    <x v="58"/>
    <m/>
    <s v=""/>
    <s v="Stanley Neves"/>
    <s v="(16) 99788-8387"/>
    <s v=""/>
    <s v="null"/>
    <s v=""/>
    <s v=""/>
    <s v=""/>
    <s v=""/>
    <s v=""/>
    <s v="Inbound"/>
    <s v=""/>
    <s v=""/>
    <s v=""/>
    <s v="Pipeline de Vendas"/>
    <s v="Em negociação (75%)"/>
    <s v=""/>
    <m/>
    <m/>
    <m/>
    <n v="9"/>
    <s v="Paulo Souza"/>
    <d v="2025-01-28T00:00:00"/>
    <d v="1899-12-30T17:10:34"/>
    <s v=""/>
    <s v="Perdido"/>
    <d v="2025-02-06T00:00:00"/>
    <d v="1899-12-30T17:32:16"/>
    <s v="Não quer mudar a solução atual"/>
    <s v=""/>
    <s v=""/>
    <x v="32"/>
    <s v=""/>
    <x v="37"/>
    <s v=""/>
    <m/>
    <m/>
    <s v=""/>
    <s v=""/>
    <s v=""/>
    <s v=""/>
    <n v="1"/>
  </r>
  <r>
    <x v="0"/>
    <n v="196"/>
    <m/>
    <n v="1596"/>
    <s v=""/>
    <s v="Vigi Ltda"/>
    <x v="59"/>
    <n v="56884678000139"/>
    <s v=""/>
    <s v="Vinicius Oliveira"/>
    <s v="(19) 98275-0709"/>
    <s v=""/>
    <s v="societario@gmcontabil.com.br"/>
    <s v=""/>
    <s v=""/>
    <s v=""/>
    <s v="CAMPINAS"/>
    <s v="SP"/>
    <s v="Inbound"/>
    <s v=""/>
    <s v=""/>
    <s v="Contato"/>
    <s v="Pipeline de Vendas"/>
    <s v="Em negociação (75%)"/>
    <s v=""/>
    <m/>
    <m/>
    <m/>
    <n v="1"/>
    <s v="Paulo Souza"/>
    <d v="2025-01-28T00:00:00"/>
    <d v="1899-12-30T17:12:05"/>
    <s v=""/>
    <s v="Perdido"/>
    <d v="2025-01-29T00:00:00"/>
    <d v="1899-12-30T01:00:16"/>
    <s v="Preço muito alto - fora do budget de investimento"/>
    <s v=""/>
    <s v=""/>
    <x v="32"/>
    <s v="Paulo Souza"/>
    <x v="37"/>
    <s v=""/>
    <m/>
    <m/>
    <s v=""/>
    <s v=""/>
    <s v=""/>
    <s v=""/>
    <n v="1"/>
  </r>
  <r>
    <x v="0"/>
    <n v="197"/>
    <m/>
    <n v="1598"/>
    <s v=""/>
    <s v=""/>
    <x v="60"/>
    <m/>
    <s v=""/>
    <s v="Isaias"/>
    <s v="(15) 99747-1187"/>
    <s v=""/>
    <s v="null"/>
    <s v=""/>
    <s v=""/>
    <s v=""/>
    <s v=""/>
    <s v=""/>
    <s v="Inbound"/>
    <s v=""/>
    <s v=""/>
    <s v="Contato"/>
    <s v="Pipeline de Vendas"/>
    <s v="Em negociação (75%)"/>
    <s v=""/>
    <m/>
    <m/>
    <m/>
    <n v="1"/>
    <s v="Paulo Souza"/>
    <d v="2025-01-28T00:00:00"/>
    <d v="1899-12-30T17:12:39"/>
    <s v=""/>
    <s v="Perdido"/>
    <d v="2025-01-29T00:00:00"/>
    <d v="1899-12-30T01:02:09"/>
    <s v="Preço muito alto - fora do budget de investimento"/>
    <s v=""/>
    <s v=""/>
    <x v="32"/>
    <s v=""/>
    <x v="37"/>
    <s v=""/>
    <m/>
    <m/>
    <s v=""/>
    <s v=""/>
    <s v=""/>
    <s v=""/>
    <n v="1"/>
  </r>
  <r>
    <x v="0"/>
    <n v="198"/>
    <m/>
    <n v="1600"/>
    <s v=""/>
    <s v=""/>
    <x v="61"/>
    <m/>
    <s v=""/>
    <s v="pz presentes"/>
    <s v="(31) 99735-8058"/>
    <s v=""/>
    <s v="administrativo@tempori.com.br"/>
    <s v=""/>
    <s v=""/>
    <s v=""/>
    <s v="Belo Horizonte"/>
    <s v=""/>
    <s v="Site"/>
    <s v=""/>
    <s v=""/>
    <s v="Contato"/>
    <s v="Pipeline de Vendas"/>
    <s v="Em negociação (75%)"/>
    <s v=""/>
    <m/>
    <m/>
    <m/>
    <n v="1"/>
    <s v="Paulo Souza"/>
    <d v="2025-01-28T00:00:00"/>
    <d v="1899-12-30T17:13:17"/>
    <s v=""/>
    <s v="Perdido"/>
    <d v="2025-01-29T00:00:00"/>
    <d v="1899-12-30T01:05:46"/>
    <s v="Preço muito alto - fora do budget de investimento"/>
    <s v=""/>
    <s v=""/>
    <x v="32"/>
    <s v=""/>
    <x v="37"/>
    <s v=""/>
    <m/>
    <m/>
    <s v=""/>
    <s v=""/>
    <s v=""/>
    <s v=""/>
    <n v="1"/>
  </r>
  <r>
    <x v="0"/>
    <n v="199"/>
    <m/>
    <n v="1623"/>
    <s v="Todos os dados preenchidos:_x000a_name: Eliedson Alves _x000a_phone: 81988636626 _x000a_email: eliedsonrepresentante@gmail.com _x000a_referrer: https://www.guaranisistemas.com.br/"/>
    <s v=""/>
    <x v="62"/>
    <m/>
    <s v=""/>
    <s v="Eliedson Alves"/>
    <s v="81988636626"/>
    <s v=""/>
    <s v="eliedsonrepresentante@gmail.com"/>
    <s v=""/>
    <s v=""/>
    <s v=""/>
    <s v="Recife"/>
    <s v=""/>
    <s v="Feiras"/>
    <s v=""/>
    <s v=""/>
    <s v="Feiras"/>
    <s v="Pipeline de Vendas"/>
    <s v="Em negociação (75%)"/>
    <s v=""/>
    <m/>
    <m/>
    <m/>
    <n v="9"/>
    <s v="Paulo Souza"/>
    <d v="2025-01-28T00:00:00"/>
    <d v="1899-12-30T17:14:04"/>
    <s v=""/>
    <s v="Perdido"/>
    <d v="2025-02-06T00:00:00"/>
    <d v="1899-12-30T17:40:07"/>
    <s v="Preço muito alto - fora do budget de investimento"/>
    <s v=""/>
    <s v=""/>
    <x v="32"/>
    <s v=""/>
    <x v="0"/>
    <s v="28/01/2025 00:00"/>
    <m/>
    <m/>
    <s v=""/>
    <s v=""/>
    <s v=""/>
    <s v=""/>
    <n v="1"/>
  </r>
  <r>
    <x v="1"/>
    <n v="200"/>
    <m/>
    <n v="1660"/>
    <s v=""/>
    <s v=""/>
    <x v="63"/>
    <m/>
    <s v=""/>
    <s v="Alumínio Higsberg"/>
    <s v="1935513873"/>
    <s v=""/>
    <s v="adm@aluminiohigsberg.com.br"/>
    <s v=""/>
    <s v=""/>
    <s v=""/>
    <s v=""/>
    <s v=""/>
    <s v=""/>
    <s v=""/>
    <s v=""/>
    <s v=""/>
    <s v="Pipeline de Vendas"/>
    <s v="Qualificação de Vendas (SQL) (25%)"/>
    <s v=""/>
    <m/>
    <m/>
    <m/>
    <n v="51"/>
    <s v="Junior Lopes"/>
    <d v="2025-01-29T00:00:00"/>
    <d v="1899-12-30T09:30:56"/>
    <s v=""/>
    <s v="Perdido"/>
    <d v="2025-03-21T00:00:00"/>
    <d v="1899-12-30T14:43:11"/>
    <s v="Não quer mudar a solução atual"/>
    <s v="cliente não respondeu mais aos contatos"/>
    <s v=""/>
    <x v="0"/>
    <s v=""/>
    <x v="38"/>
    <s v=""/>
    <m/>
    <m/>
    <s v=""/>
    <s v=""/>
    <s v=""/>
    <s v=""/>
    <n v="1"/>
  </r>
  <r>
    <x v="0"/>
    <n v="201"/>
    <m/>
    <n v="198"/>
    <s v=""/>
    <s v="REGIS PECLAT BASTOS"/>
    <x v="64"/>
    <n v="13474916000125"/>
    <s v=""/>
    <s v="REGIS"/>
    <s v="13997252966"/>
    <s v=""/>
    <s v="VR_DISTRIBUIDORA@YAHOO.COM.BR"/>
    <s v=""/>
    <s v="REGIS;REGIS, Roni"/>
    <s v=""/>
    <s v="JACUPIRANGA"/>
    <s v="SP"/>
    <s v="Outbound"/>
    <s v=""/>
    <s v=""/>
    <s v="Importado a partir de lista;TAG1SEM"/>
    <s v="Pipeline de Vendas"/>
    <s v="Apresentar Solução (35%)"/>
    <s v=""/>
    <m/>
    <m/>
    <m/>
    <n v="8"/>
    <s v="Fernanda Santiago"/>
    <d v="2025-01-29T00:00:00"/>
    <d v="1899-12-30T11:59:53"/>
    <s v=""/>
    <s v="Perdido"/>
    <d v="2025-02-06T00:00:00"/>
    <d v="1899-12-30T13:53:38"/>
    <s v="Fora do porte mínimo (sem fit estrutural)"/>
    <s v=""/>
    <s v="29/01/2025 11:58"/>
    <x v="0"/>
    <s v="Fernanda Santiago"/>
    <x v="39"/>
    <s v=""/>
    <m/>
    <m/>
    <s v=""/>
    <s v=""/>
    <s v=""/>
    <s v=""/>
    <n v="1"/>
  </r>
  <r>
    <x v="1"/>
    <n v="202"/>
    <m/>
    <n v="1665"/>
    <s v=""/>
    <s v=""/>
    <x v="65"/>
    <m/>
    <s v=""/>
    <s v="Viva Vidros"/>
    <s v="11988839646"/>
    <s v=""/>
    <s v="comercial@vivavidros.com.br"/>
    <s v=""/>
    <s v=""/>
    <s v=""/>
    <s v=""/>
    <s v=""/>
    <s v=""/>
    <s v=""/>
    <s v=""/>
    <s v=""/>
    <s v="Pipeline de Vendas"/>
    <s v="Em Fechamento (100%)"/>
    <s v=""/>
    <m/>
    <n v="1600"/>
    <n v="1824"/>
    <n v="34"/>
    <s v="Junior Lopes"/>
    <d v="2025-01-30T00:00:00"/>
    <d v="1899-12-30T09:58:14"/>
    <s v=""/>
    <s v="Perdido"/>
    <d v="2025-03-05T00:00:00"/>
    <d v="1899-12-30T11:11:54"/>
    <s v="Projeto adiado / sem prazo definido"/>
    <s v="cliente com situação de pendencias financeiras"/>
    <s v=""/>
    <x v="21"/>
    <s v=""/>
    <x v="0"/>
    <s v=""/>
    <m/>
    <m/>
    <s v=""/>
    <s v=""/>
    <s v=""/>
    <s v=""/>
    <n v="1"/>
  </r>
  <r>
    <x v="1"/>
    <n v="203"/>
    <m/>
    <n v="1666"/>
    <s v=""/>
    <s v=""/>
    <x v="66"/>
    <m/>
    <s v=""/>
    <s v="Stamaco"/>
    <s v="11967327458"/>
    <s v=""/>
    <s v="felipe@stamaco.com.br"/>
    <s v=""/>
    <s v=""/>
    <s v=""/>
    <s v=""/>
    <s v=""/>
    <s v=""/>
    <s v=""/>
    <s v=""/>
    <s v=""/>
    <s v="Pipeline de Vendas"/>
    <s v="Apresentar Solução (35%)"/>
    <s v=""/>
    <m/>
    <m/>
    <m/>
    <n v="22"/>
    <s v="Junior Lopes"/>
    <d v="2025-01-30T00:00:00"/>
    <d v="1899-12-30T10:59:59"/>
    <s v=""/>
    <s v="Perdido"/>
    <d v="2025-02-21T00:00:00"/>
    <d v="1899-12-30T12:09:49"/>
    <s v="Não quer mudar a solução atual"/>
    <s v="Aguardará Retaguarda Web"/>
    <s v=""/>
    <x v="0"/>
    <s v=""/>
    <x v="40"/>
    <s v=""/>
    <m/>
    <m/>
    <s v=""/>
    <s v=""/>
    <s v=""/>
    <s v=""/>
    <n v="1"/>
  </r>
  <r>
    <x v="1"/>
    <n v="204"/>
    <m/>
    <n v="1669"/>
    <s v=""/>
    <s v=""/>
    <x v="67"/>
    <m/>
    <s v=""/>
    <s v="Fabio"/>
    <s v="47988469270"/>
    <s v=""/>
    <s v="Fabio@atacadoelmo.com.br"/>
    <s v=""/>
    <s v=""/>
    <s v=""/>
    <s v=""/>
    <s v=""/>
    <s v=""/>
    <s v=""/>
    <s v=""/>
    <s v=""/>
    <s v="Pipeline de Vendas"/>
    <s v="Agendamento (0%)"/>
    <s v=""/>
    <m/>
    <n v="837998"/>
    <n v="516364"/>
    <n v="0"/>
    <s v="Paulo Souza"/>
    <d v="2025-02-01T00:00:00"/>
    <d v="1899-12-30T01:46:53"/>
    <s v=""/>
    <s v="Ganho"/>
    <d v="2025-02-01T00:00:00"/>
    <d v="1899-12-30T03:23:37"/>
    <s v=""/>
    <s v=""/>
    <s v=""/>
    <x v="0"/>
    <s v=""/>
    <x v="0"/>
    <s v=""/>
    <m/>
    <m/>
    <s v=""/>
    <s v=""/>
    <s v=""/>
    <s v=""/>
    <n v="1"/>
  </r>
  <r>
    <x v="0"/>
    <n v="205"/>
    <m/>
    <n v="1670"/>
    <s v=""/>
    <s v=""/>
    <x v="68"/>
    <m/>
    <s v=""/>
    <s v="Alexandre"/>
    <s v="75999540838"/>
    <s v=""/>
    <s v="terraboaespeciarias@hotmail.com"/>
    <s v=""/>
    <s v=""/>
    <s v=""/>
    <s v=""/>
    <s v=""/>
    <s v=""/>
    <s v=""/>
    <s v=""/>
    <s v=""/>
    <s v="Pipeline de Vendas"/>
    <s v="Em Fechamento (100%)"/>
    <s v=""/>
    <m/>
    <n v="299984"/>
    <n v="0"/>
    <n v="0"/>
    <s v="Paulo Souza"/>
    <d v="2025-02-01T00:00:00"/>
    <d v="1899-12-30T02:11:10"/>
    <s v=""/>
    <s v="Ganho"/>
    <d v="2025-02-01T00:00:00"/>
    <d v="1899-12-30T02:22:51"/>
    <s v=""/>
    <s v=""/>
    <s v=""/>
    <x v="6"/>
    <s v="Paulo Souza"/>
    <x v="41"/>
    <s v=""/>
    <m/>
    <m/>
    <s v=""/>
    <s v=""/>
    <s v=""/>
    <s v=""/>
    <n v="1"/>
  </r>
  <r>
    <x v="0"/>
    <n v="206"/>
    <m/>
    <n v="1671"/>
    <s v=""/>
    <s v=""/>
    <x v="69"/>
    <m/>
    <s v=""/>
    <s v="Helvecio"/>
    <s v="55479993859"/>
    <s v=""/>
    <s v="Helvecio.Deitos@newellco.com"/>
    <s v=""/>
    <s v=""/>
    <s v=""/>
    <s v=""/>
    <s v=""/>
    <s v=""/>
    <s v=""/>
    <s v=""/>
    <s v=""/>
    <s v="Pipeline de Vendas"/>
    <s v="Em Fechamento (100%)"/>
    <s v=""/>
    <m/>
    <n v="1936"/>
    <n v="0"/>
    <n v="0"/>
    <s v="Paulo Souza"/>
    <d v="2025-02-01T00:00:00"/>
    <d v="1899-12-30T02:12:42"/>
    <s v=""/>
    <s v="Ganho"/>
    <d v="2025-02-01T00:00:00"/>
    <d v="1899-12-30T02:19:45"/>
    <s v=""/>
    <s v=""/>
    <s v=""/>
    <x v="33"/>
    <s v="Paulo Souza"/>
    <x v="42"/>
    <s v=""/>
    <m/>
    <m/>
    <s v=""/>
    <s v=""/>
    <s v=""/>
    <s v=""/>
    <n v="1"/>
  </r>
  <r>
    <x v="0"/>
    <n v="207"/>
    <m/>
    <n v="1672"/>
    <s v=""/>
    <s v=""/>
    <x v="70"/>
    <m/>
    <s v=""/>
    <s v="Marcelha"/>
    <s v=""/>
    <s v=""/>
    <s v="marcelha@paramountplasticos.com.br"/>
    <s v=""/>
    <s v=""/>
    <s v=""/>
    <s v=""/>
    <s v=""/>
    <s v=""/>
    <s v=""/>
    <s v=""/>
    <s v=""/>
    <s v="Pipeline de Vendas"/>
    <s v="Em Fechamento (100%)"/>
    <s v=""/>
    <m/>
    <n v="6160"/>
    <n v="0"/>
    <n v="0"/>
    <s v="Paulo Souza"/>
    <d v="2025-02-01T00:00:00"/>
    <d v="1899-12-30T02:13:12"/>
    <s v=""/>
    <s v="Ganho"/>
    <d v="2025-02-01T00:00:00"/>
    <d v="1899-12-30T02:20:51"/>
    <s v=""/>
    <s v=""/>
    <s v=""/>
    <x v="34"/>
    <s v="Paulo Souza"/>
    <x v="43"/>
    <s v=""/>
    <m/>
    <m/>
    <s v=""/>
    <s v=""/>
    <s v=""/>
    <s v=""/>
    <n v="1"/>
  </r>
  <r>
    <x v="0"/>
    <n v="208"/>
    <m/>
    <n v="1673"/>
    <s v=""/>
    <s v=""/>
    <x v="71"/>
    <m/>
    <s v=""/>
    <s v="Giftutil"/>
    <s v=""/>
    <s v=""/>
    <s v="eduardapaivapaula@hotmail.com"/>
    <s v=""/>
    <s v=""/>
    <s v=""/>
    <s v=""/>
    <s v=""/>
    <s v=""/>
    <s v=""/>
    <s v=""/>
    <s v=""/>
    <s v="Pipeline de Vendas"/>
    <s v="Em Fechamento (100%)"/>
    <s v=""/>
    <m/>
    <n v="486308"/>
    <n v="3564"/>
    <n v="0"/>
    <s v="Paulo Souza"/>
    <d v="2025-02-01T00:00:00"/>
    <d v="1899-12-30T02:14:22"/>
    <s v=""/>
    <s v="Ganho"/>
    <d v="2025-02-01T00:00:00"/>
    <d v="1899-12-30T02:18:18"/>
    <s v=""/>
    <s v=""/>
    <s v=""/>
    <x v="25"/>
    <s v="Paulo Souza"/>
    <x v="23"/>
    <s v=""/>
    <m/>
    <m/>
    <s v=""/>
    <s v=""/>
    <s v=""/>
    <s v=""/>
    <n v="1"/>
  </r>
  <r>
    <x v="1"/>
    <n v="209"/>
    <m/>
    <n v="1710"/>
    <s v=""/>
    <s v=""/>
    <x v="72"/>
    <m/>
    <s v=""/>
    <s v="Maxximo Utilidades"/>
    <s v="11999804489"/>
    <s v=""/>
    <s v="flavio@maxximo.com.br"/>
    <s v=""/>
    <s v=""/>
    <s v=""/>
    <s v=""/>
    <s v=""/>
    <s v="Feiras"/>
    <s v=""/>
    <s v=""/>
    <s v=""/>
    <s v="Pipeline de Vendas"/>
    <s v="Apresentar Solução (35%)"/>
    <s v="6x sem juros (0/30/60/90/120/150...)"/>
    <m/>
    <m/>
    <m/>
    <n v="68"/>
    <s v="Junior Lopes"/>
    <d v="2025-02-06T00:00:00"/>
    <d v="1899-12-30T10:24:33"/>
    <s v=""/>
    <s v="Perdido"/>
    <d v="2025-04-15T00:00:00"/>
    <d v="1899-12-30T16:38:15"/>
    <s v="Projeto adiado / sem prazo definido"/>
    <s v="cliente não responde as mensagens, continuarei a prospectar em paralelo"/>
    <s v=""/>
    <x v="0"/>
    <s v=""/>
    <x v="44"/>
    <s v=""/>
    <m/>
    <m/>
    <s v=""/>
    <s v=""/>
    <s v=""/>
    <s v=""/>
    <n v="1"/>
  </r>
  <r>
    <x v="1"/>
    <n v="210"/>
    <m/>
    <n v="1711"/>
    <s v=""/>
    <s v=""/>
    <x v="73"/>
    <n v="12792269000137"/>
    <s v=""/>
    <s v="Plastutti"/>
    <s v="11983334304"/>
    <s v=""/>
    <s v="Thiago@plastutti.com.br"/>
    <s v=""/>
    <s v=""/>
    <s v=""/>
    <s v=""/>
    <s v=""/>
    <s v=""/>
    <s v=""/>
    <s v=""/>
    <s v="Abup2025Fevereiro"/>
    <s v="Pipeline de Vendas"/>
    <s v="Em Fechamento (100%)"/>
    <s v="10x sem juros (0/30/60/90/120/150...)"/>
    <m/>
    <n v="65920"/>
    <n v="481924"/>
    <n v="25"/>
    <s v="Junior Lopes"/>
    <d v="2025-02-06T00:00:00"/>
    <d v="1899-12-30T10:53:24"/>
    <s v=""/>
    <s v="Ganho"/>
    <d v="2025-03-03T00:00:00"/>
    <d v="1899-12-30T11:32:48"/>
    <s v=""/>
    <s v=""/>
    <s v=""/>
    <x v="35"/>
    <s v=""/>
    <x v="44"/>
    <s v="18/02/2025"/>
    <m/>
    <m/>
    <s v=""/>
    <s v=""/>
    <s v=""/>
    <s v=""/>
    <n v="1"/>
  </r>
  <r>
    <x v="1"/>
    <n v="211"/>
    <m/>
    <n v="1712"/>
    <s v=""/>
    <s v=""/>
    <x v="74"/>
    <m/>
    <s v=""/>
    <s v="Plastutti - Clou"/>
    <s v="11983334304"/>
    <s v=""/>
    <s v="Thiago@plastutti.com.br"/>
    <s v=""/>
    <s v=""/>
    <s v=""/>
    <s v=""/>
    <s v=""/>
    <s v=""/>
    <s v=""/>
    <s v=""/>
    <s v="Abup2025Fevereiro"/>
    <s v="Pipeline de Vendas"/>
    <s v="Em Fechamento (100%)"/>
    <s v=""/>
    <m/>
    <n v="1600"/>
    <n v="25908"/>
    <n v="14"/>
    <s v="Junior Lopes"/>
    <d v="2025-02-06T00:00:00"/>
    <d v="1899-12-30T11:39:54"/>
    <s v=""/>
    <s v="Perdido"/>
    <d v="2025-02-20T00:00:00"/>
    <d v="1899-12-30T15:57:59"/>
    <s v="Não quer mudar a solução atual"/>
    <s v="atualmente tem servidor local"/>
    <s v=""/>
    <x v="35"/>
    <s v=""/>
    <x v="44"/>
    <s v="18/02/2025"/>
    <m/>
    <m/>
    <s v=""/>
    <s v=""/>
    <s v=""/>
    <s v=""/>
    <n v="1"/>
  </r>
  <r>
    <x v="1"/>
    <n v="212"/>
    <m/>
    <n v="1713"/>
    <s v=""/>
    <s v=""/>
    <x v="75"/>
    <m/>
    <s v=""/>
    <s v="Cozzillar"/>
    <s v="1935479372"/>
    <s v=""/>
    <s v="gilberto@cozzillar.com.br"/>
    <s v=""/>
    <s v=""/>
    <s v=""/>
    <s v=""/>
    <s v=""/>
    <s v="Feiras"/>
    <s v=""/>
    <s v=""/>
    <s v=""/>
    <s v="Pipeline de Vendas"/>
    <s v="Apresentar Solução (35%)"/>
    <s v="6x sem juros (0/30/60/90/120/150...)"/>
    <m/>
    <m/>
    <m/>
    <n v="60"/>
    <s v="Junior Lopes"/>
    <d v="2025-02-06T00:00:00"/>
    <d v="1899-12-30T12:23:29"/>
    <s v=""/>
    <s v="Perdido"/>
    <d v="2025-04-07T00:00:00"/>
    <d v="1899-12-30T11:50:11"/>
    <s v="Projeto adiado / sem prazo definido"/>
    <s v="10:07, 02/04/2025 Junior Lopes: Olá Gilberto, Junior da Guarani sistemas por aqui _x000a_Espero que esteja bem _x000a_Ficamos de organizar uma visita com vocês para apresentação da solução Guarani sistemas_x000a_10:07, 02/04/2025 Junior Lopes: Vamos avançar?_x000a_09:21, 07/04/2025 Junior Lopes: Olá Gilberto! Infelizmente não consigo seu retorno _x000a_Entendo que deve estar bem corrido para você _x000a_De qualquer forma fico a disposição no momento que vc puder _x000a_Forte abraço e ótimos negócios _x000a_Jr Guarani sistemas"/>
    <s v=""/>
    <x v="0"/>
    <s v=""/>
    <x v="44"/>
    <s v=""/>
    <m/>
    <m/>
    <s v=""/>
    <s v=""/>
    <s v=""/>
    <s v=""/>
    <n v="1"/>
  </r>
  <r>
    <x v="1"/>
    <n v="213"/>
    <m/>
    <n v="1714"/>
    <s v=""/>
    <s v=""/>
    <x v="76"/>
    <m/>
    <s v=""/>
    <s v="Marca Textil"/>
    <s v="1168296999"/>
    <s v=""/>
    <s v="atendimento@markatextil.com.br"/>
    <s v=""/>
    <s v=""/>
    <s v=""/>
    <s v=""/>
    <s v=""/>
    <s v=""/>
    <s v=""/>
    <s v=""/>
    <s v=""/>
    <s v="Pipeline de Vendas"/>
    <s v="Qualificação de Vendas (SQL) (25%)"/>
    <s v=""/>
    <m/>
    <n v="14400"/>
    <n v="18034"/>
    <n v="43"/>
    <s v="Junior Lopes"/>
    <d v="2025-02-06T00:00:00"/>
    <d v="1899-12-30T12:36:48"/>
    <s v=""/>
    <s v="Perdido"/>
    <d v="2025-03-21T00:00:00"/>
    <d v="1899-12-30T14:36:30"/>
    <s v="Não quer mudar a solução atual"/>
    <s v="não seguirá no momento"/>
    <s v=""/>
    <x v="36"/>
    <s v=""/>
    <x v="44"/>
    <s v=""/>
    <m/>
    <m/>
    <s v=""/>
    <s v=""/>
    <s v=""/>
    <s v=""/>
    <n v="1"/>
  </r>
  <r>
    <x v="0"/>
    <n v="214"/>
    <m/>
    <n v="1661"/>
    <s v=""/>
    <s v=""/>
    <x v="77"/>
    <m/>
    <s v=""/>
    <s v="Carlos"/>
    <s v="(13) 99770-3018"/>
    <s v=""/>
    <s v="opa.eskinao.compras@gmail.com"/>
    <s v=""/>
    <s v=""/>
    <s v=""/>
    <s v="São Vicente"/>
    <s v=""/>
    <s v="Site"/>
    <s v=""/>
    <s v=""/>
    <s v=""/>
    <s v="Pipeline de Vendas"/>
    <s v="Em negociação (75%)"/>
    <s v=""/>
    <m/>
    <m/>
    <m/>
    <n v="0"/>
    <s v="Paulo Souza"/>
    <d v="2025-02-06T00:00:00"/>
    <d v="1899-12-30T13:55:00"/>
    <s v=""/>
    <s v="Perdido"/>
    <d v="2025-02-06T00:00:00"/>
    <d v="1899-12-30T17:30:59"/>
    <s v="Preço muito alto - fora do budget de investimento"/>
    <s v=""/>
    <s v=""/>
    <x v="37"/>
    <s v=""/>
    <x v="45"/>
    <s v=""/>
    <m/>
    <m/>
    <s v=""/>
    <s v=""/>
    <s v=""/>
    <s v=""/>
    <n v="1"/>
  </r>
  <r>
    <x v="0"/>
    <n v="215"/>
    <m/>
    <n v="1715"/>
    <s v=""/>
    <s v=""/>
    <x v="78"/>
    <m/>
    <s v=""/>
    <s v="João"/>
    <s v="(11) 94793-3497"/>
    <s v=""/>
    <s v="jvprocacino@gmail.com"/>
    <s v=""/>
    <s v=""/>
    <s v=""/>
    <s v=""/>
    <s v=""/>
    <s v="Site"/>
    <s v=""/>
    <s v=""/>
    <s v="Abcasa2025fevereiro;Solicita demo"/>
    <s v="Pipeline de Vendas"/>
    <s v="Em negociação (75%)"/>
    <s v=""/>
    <m/>
    <n v="43740"/>
    <n v="158239"/>
    <n v="13"/>
    <s v="Paulo Souza"/>
    <d v="2025-02-06T00:00:00"/>
    <d v="1899-12-30T13:55:44"/>
    <s v=""/>
    <s v="Perdido"/>
    <d v="2025-02-19T00:00:00"/>
    <d v="1899-12-30T09:18:02"/>
    <s v="Preço muito alto - fora do budget de investimento"/>
    <s v=""/>
    <s v=""/>
    <x v="38"/>
    <s v=""/>
    <x v="46"/>
    <s v=""/>
    <m/>
    <m/>
    <s v=""/>
    <s v=""/>
    <s v=""/>
    <s v=""/>
    <n v="1"/>
  </r>
  <r>
    <x v="0"/>
    <n v="219"/>
    <m/>
    <n v="1720"/>
    <s v=""/>
    <s v=""/>
    <x v="79"/>
    <m/>
    <s v=""/>
    <s v="Nassib Saleh"/>
    <s v="11951945790"/>
    <s v=""/>
    <s v="nassib.saleh58@gmail.com"/>
    <s v=""/>
    <s v=""/>
    <s v=""/>
    <s v=""/>
    <s v=""/>
    <s v=""/>
    <s v=""/>
    <s v=""/>
    <s v=""/>
    <s v="Pipeline de Vendas"/>
    <s v="Em Fechamento (100%)"/>
    <s v=""/>
    <m/>
    <n v="14400"/>
    <n v="122984"/>
    <n v="8"/>
    <s v="Paulo Souza"/>
    <d v="2025-02-06T00:00:00"/>
    <d v="1899-12-30T17:42:46"/>
    <s v=""/>
    <s v="Ganho"/>
    <d v="2025-02-14T00:00:00"/>
    <d v="1899-12-30T11:16:20"/>
    <s v=""/>
    <s v=""/>
    <s v=""/>
    <x v="39"/>
    <s v="Paulo Souza"/>
    <x v="46"/>
    <s v=""/>
    <m/>
    <m/>
    <s v=""/>
    <s v=""/>
    <s v=""/>
    <s v=""/>
    <n v="1"/>
  </r>
  <r>
    <x v="1"/>
    <n v="230"/>
    <m/>
    <n v="1734"/>
    <s v=""/>
    <s v=""/>
    <x v="80"/>
    <m/>
    <s v=""/>
    <s v="Oikos"/>
    <s v="21968201725"/>
    <s v=""/>
    <s v="michele.pepalia@grupoecoa.com.br"/>
    <s v=""/>
    <s v=""/>
    <s v=""/>
    <s v=""/>
    <s v=""/>
    <s v="Feiras"/>
    <s v=""/>
    <s v=""/>
    <s v="90%;Abcasa2025fevereiro"/>
    <s v="Pipeline de Vendas"/>
    <s v="Em Fechamento (100%)"/>
    <s v="6x sem juros (0/30/60/90/120/150...)"/>
    <m/>
    <n v="56000"/>
    <n v="2101739"/>
    <n v="161"/>
    <s v="Junior Lopes"/>
    <d v="2025-02-10T00:00:00"/>
    <d v="1899-12-30T07:54:34"/>
    <s v=""/>
    <s v="Perdido"/>
    <d v="2025-07-21T00:00:00"/>
    <d v="1899-12-30T09:46:56"/>
    <s v="Projeto adiado / sem prazo definido"/>
    <s v="cliente não responde sobre a continuidade"/>
    <s v=""/>
    <x v="40"/>
    <s v=""/>
    <x v="47"/>
    <s v=""/>
    <m/>
    <m/>
    <s v=""/>
    <s v=""/>
    <s v=""/>
    <s v=""/>
    <n v="1"/>
  </r>
  <r>
    <x v="0"/>
    <n v="231"/>
    <m/>
    <n v="1733"/>
    <s v="Todos os dados preenchidos:_x000a_name: Ana Beatriz Costa dos Santos  _x000a_phone: 12997420947 _x000a_email: administrativo@camposdiaromas.com"/>
    <s v="Stefanie Forsterling"/>
    <x v="81"/>
    <n v="14936505000258"/>
    <s v=""/>
    <s v="Ana Beatriz Costa dos Santos"/>
    <s v="(12) 3662-5043"/>
    <s v=""/>
    <s v="administrativo@camposdiaromas.com"/>
    <s v=""/>
    <s v=""/>
    <s v=""/>
    <s v="CAMPOS DO JORDAO"/>
    <s v="SP"/>
    <s v="Feiras"/>
    <s v=""/>
    <s v=""/>
    <s v="Feiras"/>
    <s v="Pipeline de Vendas"/>
    <s v="Qualificação de Vendas (SQL) (25%)"/>
    <s v=""/>
    <m/>
    <m/>
    <m/>
    <n v="38"/>
    <s v="Fernanda Santiago"/>
    <d v="2025-02-11T00:00:00"/>
    <d v="1899-12-30T15:36:50"/>
    <s v=""/>
    <s v="Perdido"/>
    <d v="2025-03-21T00:00:00"/>
    <d v="1899-12-30T15:15:41"/>
    <s v="Fora do porte mínimo (sem fite estrutural)"/>
    <s v="Lojas muitos pequenas"/>
    <s v="11/02/2025 15:30"/>
    <x v="0"/>
    <s v="Fernanda Santiago"/>
    <x v="48"/>
    <s v=""/>
    <m/>
    <m/>
    <s v=""/>
    <s v=""/>
    <s v=""/>
    <s v=""/>
    <n v="1"/>
  </r>
  <r>
    <x v="0"/>
    <n v="232"/>
    <m/>
    <n v="1704"/>
    <s v=""/>
    <s v=""/>
    <x v="82"/>
    <n v="29432229000187"/>
    <s v=""/>
    <s v="Adriana"/>
    <s v="(41) 99861-1071"/>
    <s v=""/>
    <s v="contato@euromats.com.br"/>
    <s v=""/>
    <s v=""/>
    <s v=""/>
    <s v=""/>
    <s v=""/>
    <s v="Base de empresas Leads2b"/>
    <s v=""/>
    <s v=""/>
    <s v="msgabupfevereiro2025;REP+"/>
    <s v="Pipeline de Vendas"/>
    <s v="Qualificação de Vendas (SQL) (25%)"/>
    <s v=""/>
    <m/>
    <m/>
    <m/>
    <n v="42"/>
    <s v="Fernanda Santiago"/>
    <d v="2025-02-12T00:00:00"/>
    <d v="1899-12-30T10:51:17"/>
    <s v=""/>
    <s v="Perdido"/>
    <d v="2025-03-26T00:00:00"/>
    <d v="1899-12-30T17:34:58"/>
    <s v="Preço muito alto - fora do budget de investimento"/>
    <s v=""/>
    <s v="12/02/2025 08:00"/>
    <x v="0"/>
    <s v="Fernanda Santiago"/>
    <x v="49"/>
    <s v=""/>
    <m/>
    <m/>
    <s v=""/>
    <s v=""/>
    <s v=""/>
    <s v=""/>
    <n v="1"/>
  </r>
  <r>
    <x v="1"/>
    <n v="233"/>
    <m/>
    <n v="1747"/>
    <s v=""/>
    <s v=""/>
    <x v="83"/>
    <m/>
    <s v=""/>
    <s v="Ad &amp; Ad Comercio de Importacao"/>
    <s v="14996930353"/>
    <s v=""/>
    <s v="daniel@adimportacao.com.br"/>
    <s v=""/>
    <s v=""/>
    <s v=""/>
    <s v=""/>
    <s v=""/>
    <s v=""/>
    <s v=""/>
    <s v=""/>
    <s v="Abcasa2025fevereiro"/>
    <s v="Pipeline de Vendas"/>
    <s v="Em Fechamento (100%)"/>
    <s v=""/>
    <m/>
    <n v="60534"/>
    <n v="27562"/>
    <n v="18"/>
    <s v="Junior Lopes"/>
    <d v="2025-02-13T00:00:00"/>
    <d v="1899-12-30T10:18:19"/>
    <s v=""/>
    <s v="Ganho"/>
    <d v="2025-03-03T00:00:00"/>
    <d v="1899-12-30T11:33:34"/>
    <s v=""/>
    <s v=""/>
    <s v=""/>
    <x v="41"/>
    <s v=""/>
    <x v="47"/>
    <s v=""/>
    <m/>
    <m/>
    <s v=""/>
    <s v=""/>
    <s v=""/>
    <s v=""/>
    <n v="1"/>
  </r>
  <r>
    <x v="1"/>
    <n v="234"/>
    <m/>
    <n v="1748"/>
    <s v=""/>
    <s v=""/>
    <x v="84"/>
    <n v="26981837000152"/>
    <s v=""/>
    <s v="Chamma Festas (PDV)"/>
    <s v="(61) 9145-0480"/>
    <s v=""/>
    <s v="chammasuprimentos@hotmail.com"/>
    <s v=""/>
    <s v=""/>
    <s v=""/>
    <s v="BRASILIA"/>
    <s v="DF"/>
    <s v=""/>
    <s v=""/>
    <s v=""/>
    <s v="Abcasa2025fevereiro"/>
    <s v="Pipeline de Vendas"/>
    <s v="Apresentar Proposta (50%)"/>
    <s v=""/>
    <m/>
    <n v="40440"/>
    <n v="340574"/>
    <n v="11"/>
    <s v="Junior Lopes"/>
    <d v="2025-02-13T00:00:00"/>
    <d v="1899-12-30T10:49:31"/>
    <s v=""/>
    <s v="Perdido"/>
    <d v="2025-02-24T00:00:00"/>
    <d v="1899-12-30T16:44:24"/>
    <s v="Preço muito alto - fora do budget de investimento"/>
    <s v="14:59, 14/02/2025 Robson Chamma Festa: Obrigado júnior_x000a_14:59, 17/02/2025 Robson Chamma Festa: Oi Junior, ficou bem fora do nosso orçamento. No momento não vamos levar adiante. Fico grato pela sua atenção."/>
    <s v=""/>
    <x v="41"/>
    <s v=""/>
    <x v="50"/>
    <s v=""/>
    <m/>
    <m/>
    <s v=""/>
    <s v=""/>
    <s v=""/>
    <s v=""/>
    <n v="1"/>
  </r>
  <r>
    <x v="1"/>
    <n v="235"/>
    <m/>
    <n v="1750"/>
    <s v=""/>
    <s v=""/>
    <x v="85"/>
    <n v="43530585000164"/>
    <s v=""/>
    <s v="P10 Importadora"/>
    <s v="(49) 8817-6299"/>
    <s v=""/>
    <s v="prioridade10e20financeiro@hotmail.com"/>
    <s v=""/>
    <s v=""/>
    <s v=""/>
    <s v="CUNHA PORA"/>
    <s v="SC"/>
    <s v=""/>
    <s v=""/>
    <s v=""/>
    <s v="Abcasa2025fevereiro"/>
    <s v="Pipeline de Vendas"/>
    <s v="Apresentar Proposta (50%)"/>
    <s v=""/>
    <m/>
    <n v="4663152"/>
    <n v="15528"/>
    <n v="11"/>
    <s v="Junior Lopes"/>
    <d v="2025-02-13T00:00:00"/>
    <d v="1899-12-30T11:07:42"/>
    <s v=""/>
    <s v="Perdido"/>
    <d v="2025-02-24T00:00:00"/>
    <d v="1899-12-30T17:13:56"/>
    <s v="Preço muito alto - fora do budget de investimento"/>
    <s v="Bom dia_x000a_Junior, achei o sistema completo, não foge do que outras empresas proporcionam no mercado… no entanto, achei o valor de implantação muito elevado, da próximo de 80 mil reais pra fazer a implantação de um sistema"/>
    <s v=""/>
    <x v="42"/>
    <s v=""/>
    <x v="50"/>
    <s v=""/>
    <m/>
    <m/>
    <s v=""/>
    <s v=""/>
    <s v=""/>
    <s v=""/>
    <n v="1"/>
  </r>
  <r>
    <x v="1"/>
    <n v="236"/>
    <m/>
    <n v="1754"/>
    <s v=""/>
    <s v=""/>
    <x v="86"/>
    <n v="43530585000164"/>
    <s v=""/>
    <s v="P10 IMPORTADORA"/>
    <s v="(49) 8817-6299"/>
    <s v=""/>
    <s v="prioridade10e20financeiro@hotmail.com"/>
    <s v=""/>
    <s v=""/>
    <s v=""/>
    <s v="CUNHA PORA"/>
    <s v="SC"/>
    <s v=""/>
    <s v=""/>
    <s v=""/>
    <s v="Abcasa2025fevereiro"/>
    <s v="Pipeline de Vendas"/>
    <s v="Apresentar Proposta (50%)"/>
    <s v=""/>
    <m/>
    <n v="23580"/>
    <n v="3060"/>
    <n v="11"/>
    <s v="Junior Lopes"/>
    <d v="2025-02-13T00:00:00"/>
    <d v="1899-12-30T11:14:38"/>
    <s v=""/>
    <s v="Perdido"/>
    <d v="2025-02-24T00:00:00"/>
    <d v="1899-12-30T17:14:25"/>
    <s v="Preço muito alto - fora do budget de investimento"/>
    <s v="Bom dia_x000a_Junior, achei o sistema completo, não foge do que outras empresas proporcionam no mercado… no entanto, achei o valor de implantação muito elevado, da próximo de 80 mil reais pra fazer a implantação de um sistema"/>
    <s v=""/>
    <x v="42"/>
    <s v=""/>
    <x v="50"/>
    <s v=""/>
    <m/>
    <m/>
    <s v=""/>
    <s v=""/>
    <s v=""/>
    <s v=""/>
    <n v="1"/>
  </r>
  <r>
    <x v="1"/>
    <n v="237"/>
    <m/>
    <n v="1758"/>
    <s v=""/>
    <s v=""/>
    <x v="87"/>
    <n v="12182313000197"/>
    <s v=""/>
    <s v="PLASBERG INDUSTRIA E COMERCIO"/>
    <s v="(75) 2102-2102 / (75) 2101-2101"/>
    <s v=""/>
    <s v="cadastro@asseplan.cnt.br"/>
    <s v=""/>
    <s v=""/>
    <s v=""/>
    <s v="Feira de Santana"/>
    <s v="BA"/>
    <s v="Feiras"/>
    <s v=""/>
    <s v=""/>
    <s v="Abcasa2025fevereiro"/>
    <s v="Pipeline de Vendas"/>
    <s v="Apresentar Proposta (50%)"/>
    <s v="6x sem juros (0/30/60/90/120/150...)"/>
    <m/>
    <n v="85500"/>
    <n v="769354"/>
    <n v="62"/>
    <s v="Junior Lopes"/>
    <d v="2025-02-13T00:00:00"/>
    <d v="1899-12-30T11:27:23"/>
    <s v=""/>
    <s v="Perdido"/>
    <d v="2025-04-16T00:00:00"/>
    <d v="1899-12-30T09:27:55"/>
    <s v="Projeto adiado / sem prazo definido"/>
    <s v="Breno não responde as mensagens ! estou fechando oportunidade mas continuo em busca da oportunidade"/>
    <s v=""/>
    <x v="43"/>
    <s v=""/>
    <x v="47"/>
    <s v=""/>
    <m/>
    <m/>
    <s v=""/>
    <s v=""/>
    <s v=""/>
    <s v=""/>
    <n v="1"/>
  </r>
  <r>
    <x v="0"/>
    <n v="242"/>
    <m/>
    <n v="1746"/>
    <s v=""/>
    <s v=""/>
    <x v="88"/>
    <n v="865166000170"/>
    <s v=""/>
    <s v="Renor Preto"/>
    <s v="(19) 99188-1436"/>
    <s v=""/>
    <s v="renor.preto@adere.com"/>
    <s v=""/>
    <s v=""/>
    <s v=""/>
    <s v="Juiz de Fora"/>
    <s v=""/>
    <s v="Site"/>
    <s v=""/>
    <s v=""/>
    <s v="MORNO;Solicita demo"/>
    <s v="Pipeline de Vendas"/>
    <s v="Em negociação (75%)"/>
    <s v=""/>
    <m/>
    <m/>
    <m/>
    <n v="25"/>
    <s v="Paulo Souza"/>
    <d v="2025-02-13T00:00:00"/>
    <d v="1899-12-30T17:39:49"/>
    <s v=""/>
    <s v="Perdido"/>
    <d v="2025-03-10T00:00:00"/>
    <d v="1899-12-30T17:37:28"/>
    <s v="Nossa solução não atende - falta funcionalidade"/>
    <s v=""/>
    <s v=""/>
    <x v="0"/>
    <s v="Paulo Souza"/>
    <x v="51"/>
    <s v=""/>
    <m/>
    <m/>
    <s v=""/>
    <s v=""/>
    <s v=""/>
    <s v=""/>
    <n v="1"/>
  </r>
  <r>
    <x v="0"/>
    <n v="245"/>
    <m/>
    <n v="1763"/>
    <s v=""/>
    <s v=""/>
    <x v="89"/>
    <n v="30164963000191"/>
    <s v=""/>
    <s v="FERNANDA ALVES"/>
    <s v="(11) 99763-3759"/>
    <s v=""/>
    <s v="fernanda@jlkplasticos.com.br"/>
    <s v=""/>
    <s v=""/>
    <s v=""/>
    <s v="São Paulo"/>
    <s v=""/>
    <s v="Site"/>
    <s v=""/>
    <s v=""/>
    <s v="Abcasa2025fevereiro;Solicita demo"/>
    <s v="Pipeline de Vendas"/>
    <s v="Em Fechamento (100%)"/>
    <s v=""/>
    <m/>
    <n v="46332"/>
    <n v="257546"/>
    <n v="35"/>
    <s v="Paulo Souza"/>
    <d v="2025-02-14T00:00:00"/>
    <d v="1899-12-30T11:03:12"/>
    <s v=""/>
    <s v="Ganho"/>
    <d v="2025-03-21T00:00:00"/>
    <d v="1899-12-30T14:50:46"/>
    <s v=""/>
    <s v=""/>
    <s v=""/>
    <x v="44"/>
    <s v="Paulo Souza"/>
    <x v="51"/>
    <s v=""/>
    <m/>
    <m/>
    <s v=""/>
    <s v=""/>
    <s v=""/>
    <s v=""/>
    <n v="1"/>
  </r>
  <r>
    <x v="0"/>
    <n v="246"/>
    <m/>
    <n v="1768"/>
    <s v=""/>
    <s v=""/>
    <x v="90"/>
    <m/>
    <s v=""/>
    <s v="Nacib"/>
    <s v="11951945790"/>
    <s v=""/>
    <s v="nassib.saleh58@gmail.com"/>
    <s v=""/>
    <s v=""/>
    <s v=""/>
    <s v=""/>
    <s v=""/>
    <s v=""/>
    <s v=""/>
    <s v=""/>
    <s v=""/>
    <s v="Pipeline de Vendas"/>
    <s v="Em Fechamento (100%)"/>
    <s v=""/>
    <m/>
    <n v="0"/>
    <n v="3062"/>
    <n v="0"/>
    <s v="Paulo Souza"/>
    <d v="2025-02-14T00:00:00"/>
    <d v="1899-12-30T11:22:59"/>
    <s v=""/>
    <s v="Ganho"/>
    <d v="2025-02-14T00:00:00"/>
    <d v="1899-12-30T11:27:19"/>
    <s v=""/>
    <s v=""/>
    <s v=""/>
    <x v="41"/>
    <s v="Paulo Souza"/>
    <x v="52"/>
    <s v=""/>
    <m/>
    <m/>
    <s v=""/>
    <s v=""/>
    <s v=""/>
    <s v=""/>
    <n v="1"/>
  </r>
  <r>
    <x v="0"/>
    <n v="248"/>
    <m/>
    <n v="1770"/>
    <s v=""/>
    <s v=""/>
    <x v="91"/>
    <m/>
    <s v=""/>
    <s v="Caetano"/>
    <s v="11941743784"/>
    <s v=""/>
    <s v="aflordk@gmail.com"/>
    <s v=""/>
    <s v=""/>
    <s v=""/>
    <s v=""/>
    <s v=""/>
    <s v="Feiras"/>
    <s v=""/>
    <s v=""/>
    <s v="Abcasa2025fevereiro"/>
    <s v="Pipeline de Vendas"/>
    <s v="Em negociação (75%)"/>
    <s v="6x sem juros (0/30/60/90/120/150...)"/>
    <m/>
    <n v="64600"/>
    <n v="199064"/>
    <n v="53"/>
    <s v="Paulo Souza"/>
    <d v="2025-02-14T00:00:00"/>
    <d v="1899-12-30T16:18:04"/>
    <s v=""/>
    <s v="Perdido"/>
    <d v="2025-04-08T00:00:00"/>
    <d v="1899-12-30T09:04:24"/>
    <s v="Não quer mudar a solução atual"/>
    <s v=""/>
    <s v=""/>
    <x v="42"/>
    <s v=""/>
    <x v="52"/>
    <s v=""/>
    <m/>
    <m/>
    <s v=""/>
    <s v=""/>
    <s v=""/>
    <s v=""/>
    <n v="1"/>
  </r>
  <r>
    <x v="0"/>
    <n v="249"/>
    <m/>
    <n v="1771"/>
    <s v=""/>
    <s v=""/>
    <x v="92"/>
    <m/>
    <s v=""/>
    <s v="Keila"/>
    <s v="11996600206"/>
    <s v=""/>
    <s v="null"/>
    <s v=""/>
    <s v=""/>
    <s v=""/>
    <s v=""/>
    <s v=""/>
    <s v="Indicação"/>
    <s v=""/>
    <s v=""/>
    <s v="Abcasa2025fevereiro"/>
    <s v="Pipeline de Vendas"/>
    <s v="Em negociação (75%)"/>
    <s v="6x sem juros (0/30/60/90/120/150...)"/>
    <m/>
    <n v="16000"/>
    <n v="3724"/>
    <n v="116"/>
    <s v="Paulo Souza"/>
    <d v="2025-02-14T00:00:00"/>
    <d v="1899-12-30T16:24:00"/>
    <s v=""/>
    <s v="Perdido"/>
    <d v="2025-06-10T00:00:00"/>
    <d v="1899-12-30T14:49:46"/>
    <s v="Não quer mudar a solução atual"/>
    <s v=""/>
    <s v=""/>
    <x v="45"/>
    <s v="Paulo Souza"/>
    <x v="53"/>
    <s v=""/>
    <m/>
    <m/>
    <s v=""/>
    <s v=""/>
    <s v=""/>
    <s v=""/>
    <n v="1"/>
  </r>
  <r>
    <x v="0"/>
    <n v="250"/>
    <m/>
    <n v="1772"/>
    <s v=""/>
    <s v=""/>
    <x v="93"/>
    <m/>
    <s v=""/>
    <s v="Fabio"/>
    <s v="11981721166"/>
    <s v=""/>
    <s v="null"/>
    <s v=""/>
    <s v=""/>
    <s v=""/>
    <s v=""/>
    <s v=""/>
    <s v="Feiras"/>
    <s v=""/>
    <s v=""/>
    <s v="30%;Abcasa2025fevereiro;Pausado"/>
    <s v="Pipeline de Vendas"/>
    <s v="Apresentar Solução (35%)"/>
    <s v="6x sem juros (0/30/60/90/120/150...)"/>
    <d v="2028-07-01T00:00:00"/>
    <m/>
    <m/>
    <n v="208"/>
    <s v="Paulo Souza"/>
    <d v="2025-02-14T00:00:00"/>
    <d v="1899-12-30T16:27:14"/>
    <s v=""/>
    <s v="Perdido"/>
    <d v="2025-09-10T00:00:00"/>
    <d v="1899-12-30T16:11:00"/>
    <s v="Projeto adiado / sem prazo definido"/>
    <s v=""/>
    <s v=""/>
    <x v="0"/>
    <s v="Paulo Souza"/>
    <x v="54"/>
    <s v=""/>
    <m/>
    <m/>
    <s v=""/>
    <s v=""/>
    <s v=""/>
    <s v=""/>
    <n v="1"/>
  </r>
  <r>
    <x v="0"/>
    <n v="253"/>
    <m/>
    <n v="1776"/>
    <s v=""/>
    <s v=""/>
    <x v="94"/>
    <m/>
    <s v=""/>
    <s v="Guga"/>
    <s v="31984513164"/>
    <s v=""/>
    <s v="null"/>
    <s v=""/>
    <s v=""/>
    <s v=""/>
    <s v=""/>
    <s v=""/>
    <s v="Feiras"/>
    <s v=""/>
    <s v=""/>
    <s v="Abcasa2025fevereiro;Pausado"/>
    <s v="Pipeline de Vendas"/>
    <s v="Em negociação (75%)"/>
    <s v="6x sem juros (0/30/60/90/120/150...)"/>
    <d v="2026-01-15T00:00:00"/>
    <n v="48000"/>
    <n v="1690959"/>
    <n v="299"/>
    <s v="Paulo Souza"/>
    <d v="2025-02-14T00:00:00"/>
    <d v="1899-12-30T17:28:04"/>
    <s v=""/>
    <s v="Perdido"/>
    <d v="2025-12-10T00:00:00"/>
    <d v="1899-12-30T17:09:31"/>
    <s v="Não quer mudar a solução atual"/>
    <s v=""/>
    <s v=""/>
    <x v="46"/>
    <s v="Paulo Souza"/>
    <x v="51"/>
    <s v=""/>
    <m/>
    <m/>
    <s v=""/>
    <s v=""/>
    <s v=""/>
    <s v=""/>
    <n v="1"/>
  </r>
  <r>
    <x v="0"/>
    <n v="254"/>
    <m/>
    <n v="1777"/>
    <s v=""/>
    <s v=""/>
    <x v="95"/>
    <m/>
    <s v=""/>
    <s v="Emilio"/>
    <s v="11947392525"/>
    <s v=""/>
    <s v="null"/>
    <s v=""/>
    <s v=""/>
    <s v=""/>
    <s v=""/>
    <s v=""/>
    <s v="Feiras"/>
    <s v=""/>
    <s v=""/>
    <s v="Abcasa2025fevereiro"/>
    <s v="Pipeline de Vendas"/>
    <s v="Qualificação de Vendas (SQL) (25%)"/>
    <s v="6x sem juros (0/30/60/90/120/150...)"/>
    <m/>
    <m/>
    <m/>
    <n v="40"/>
    <s v="Paulo Souza"/>
    <d v="2025-02-14T00:00:00"/>
    <d v="1899-12-30T17:35:16"/>
    <s v=""/>
    <s v="Perdido"/>
    <d v="2025-03-26T00:00:00"/>
    <d v="1899-12-30T17:30:46"/>
    <s v="Fora do porte mínimo (sem fit estrutural)"/>
    <s v=""/>
    <s v=""/>
    <x v="0"/>
    <s v=""/>
    <x v="51"/>
    <s v=""/>
    <m/>
    <m/>
    <s v=""/>
    <s v=""/>
    <s v=""/>
    <s v=""/>
    <n v="1"/>
  </r>
  <r>
    <x v="0"/>
    <n v="255"/>
    <m/>
    <n v="1778"/>
    <s v=""/>
    <s v=""/>
    <x v="96"/>
    <m/>
    <s v=""/>
    <s v="Tiago - Diretor da Empresa"/>
    <s v="54981340574"/>
    <s v=""/>
    <s v="null"/>
    <s v=""/>
    <s v=""/>
    <s v=""/>
    <s v=""/>
    <s v=""/>
    <s v="Feiras"/>
    <s v=""/>
    <s v=""/>
    <s v="Abcasa2025fevereiro"/>
    <s v="Pipeline de Vendas"/>
    <s v="Qualificação de Vendas (SQL) (25%)"/>
    <s v="6x sem juros (0/30/60/90/120/150...)"/>
    <m/>
    <m/>
    <m/>
    <n v="116"/>
    <s v="Paulo Souza"/>
    <d v="2025-02-14T00:00:00"/>
    <d v="1899-12-30T17:37:06"/>
    <s v=""/>
    <s v="Perdido"/>
    <d v="2025-06-10T00:00:00"/>
    <d v="1899-12-30T14:50:38"/>
    <s v="Projeto adiado / sem prazo definido"/>
    <s v=""/>
    <s v=""/>
    <x v="0"/>
    <s v=""/>
    <x v="54"/>
    <s v=""/>
    <m/>
    <m/>
    <s v=""/>
    <s v=""/>
    <s v=""/>
    <s v=""/>
    <n v="1"/>
  </r>
  <r>
    <x v="0"/>
    <n v="256"/>
    <m/>
    <n v="1781"/>
    <s v=""/>
    <s v=""/>
    <x v="97"/>
    <m/>
    <s v=""/>
    <s v="Wanessa"/>
    <s v="38998346343"/>
    <s v=""/>
    <s v="rh@xododeminasmoc.com.br"/>
    <s v=""/>
    <s v=""/>
    <s v=""/>
    <s v=""/>
    <s v=""/>
    <s v="Indicação"/>
    <s v=""/>
    <s v=""/>
    <s v=""/>
    <s v="Pipeline de Vendas"/>
    <s v="Apresentar Solução (35%)"/>
    <s v="6x sem juros (0/30/60/90/120/150...)"/>
    <m/>
    <m/>
    <m/>
    <n v="37"/>
    <s v="Paulo Souza"/>
    <d v="2025-02-17T00:00:00"/>
    <d v="1899-12-30T12:20:30"/>
    <s v=""/>
    <s v="Perdido"/>
    <d v="2025-03-26T00:00:00"/>
    <d v="1899-12-30T17:36:27"/>
    <s v="Não quer mudar a solução atual"/>
    <s v=""/>
    <s v=""/>
    <x v="47"/>
    <s v="Paulo Souza"/>
    <x v="54"/>
    <s v=""/>
    <m/>
    <m/>
    <s v=""/>
    <s v=""/>
    <s v=""/>
    <s v=""/>
    <n v="1"/>
  </r>
  <r>
    <x v="0"/>
    <n v="257"/>
    <m/>
    <n v="1780"/>
    <s v=""/>
    <s v=""/>
    <x v="98"/>
    <m/>
    <s v=""/>
    <s v="Waldemar"/>
    <s v="(43) 99141-6611"/>
    <s v=""/>
    <s v="ti@gelonisorvetes.com.br"/>
    <s v=""/>
    <s v=""/>
    <s v=""/>
    <s v="Flórida"/>
    <s v=""/>
    <s v="Site"/>
    <s v=""/>
    <s v=""/>
    <s v="Abcasa2025fevereiro;Contato;GELADO"/>
    <s v="Pipeline de Vendas"/>
    <s v="Em negociação (75%)"/>
    <s v="6x sem juros (0/30/60/90/120/150...)"/>
    <m/>
    <n v="1234935"/>
    <n v="833725"/>
    <n v="113"/>
    <s v="Paulo Souza"/>
    <d v="2025-02-17T00:00:00"/>
    <d v="1899-12-30T12:55:36"/>
    <s v=""/>
    <s v="Perdido"/>
    <d v="2025-06-10T00:00:00"/>
    <d v="1899-12-30T14:38:18"/>
    <s v="Fechou com o concorrente - preço"/>
    <s v=""/>
    <s v=""/>
    <x v="47"/>
    <s v="Paulo Souza"/>
    <x v="54"/>
    <s v=""/>
    <m/>
    <m/>
    <s v=""/>
    <s v=""/>
    <s v=""/>
    <s v=""/>
    <n v="1"/>
  </r>
  <r>
    <x v="0"/>
    <n v="258"/>
    <m/>
    <n v="1782"/>
    <s v=""/>
    <s v=""/>
    <x v="99"/>
    <m/>
    <s v=""/>
    <s v="Elton"/>
    <s v="73999081706"/>
    <s v=""/>
    <s v="frutyba.rh@hotmail.com"/>
    <s v=""/>
    <s v=""/>
    <s v=""/>
    <s v=""/>
    <s v=""/>
    <s v=""/>
    <s v=""/>
    <s v=""/>
    <s v="Abcasa2025fevereiro"/>
    <s v="Pipeline de Vendas"/>
    <s v="Em negociação (75%)"/>
    <s v=""/>
    <m/>
    <m/>
    <m/>
    <n v="21"/>
    <s v="Paulo Souza"/>
    <d v="2025-02-17T00:00:00"/>
    <d v="1899-12-30T12:57:36"/>
    <s v=""/>
    <s v="Perdido"/>
    <d v="2025-03-10T00:00:00"/>
    <d v="1899-12-30T17:40:22"/>
    <s v="Preço muito alto - fora do budget de investimento"/>
    <s v=""/>
    <s v=""/>
    <x v="47"/>
    <s v="Paulo Souza"/>
    <x v="54"/>
    <s v=""/>
    <m/>
    <m/>
    <s v=""/>
    <s v=""/>
    <s v=""/>
    <s v=""/>
    <n v="1"/>
  </r>
  <r>
    <x v="0"/>
    <n v="259"/>
    <m/>
    <n v="1783"/>
    <s v=""/>
    <s v=""/>
    <x v="100"/>
    <m/>
    <s v=""/>
    <s v="Jose e Felipe"/>
    <s v="11997681796"/>
    <s v=""/>
    <s v="null"/>
    <s v=""/>
    <s v=""/>
    <s v=""/>
    <s v=""/>
    <s v=""/>
    <s v="Feiras"/>
    <s v=""/>
    <s v=""/>
    <s v="Abup2025Fevereiro;Pausado"/>
    <s v="Pipeline de Vendas"/>
    <s v="Qualificação de Vendas (SQL) (25%)"/>
    <s v="6x sem juros (0/30/60/90/120/150...)"/>
    <m/>
    <m/>
    <m/>
    <n v="75"/>
    <s v="Paulo Souza"/>
    <d v="2025-02-17T00:00:00"/>
    <d v="1899-12-30T13:19:01"/>
    <s v=""/>
    <s v="Perdido"/>
    <d v="2025-05-03T00:00:00"/>
    <d v="1899-12-30T11:01:03"/>
    <s v="Projeto adiado / sem prazo definido"/>
    <s v=""/>
    <s v=""/>
    <x v="0"/>
    <s v="Paulo Souza"/>
    <x v="55"/>
    <s v=""/>
    <m/>
    <m/>
    <s v=""/>
    <s v=""/>
    <s v=""/>
    <s v=""/>
    <n v="1"/>
  </r>
  <r>
    <x v="0"/>
    <n v="260"/>
    <m/>
    <n v="1785"/>
    <s v=""/>
    <s v=""/>
    <x v="101"/>
    <m/>
    <s v=""/>
    <s v="Luis Felips"/>
    <s v="11964237222"/>
    <s v=""/>
    <s v="null"/>
    <s v=""/>
    <s v=""/>
    <s v=""/>
    <s v=""/>
    <s v=""/>
    <s v="Feiras"/>
    <s v=""/>
    <s v=""/>
    <s v="Abup2025Fevereiro"/>
    <s v="Pipeline de Vendas"/>
    <s v="Qualificação de Vendas (SQL) (25%)"/>
    <s v="6x sem juros (0/30/60/90/120/150...)"/>
    <m/>
    <m/>
    <m/>
    <n v="37"/>
    <s v="Paulo Souza"/>
    <d v="2025-02-17T00:00:00"/>
    <d v="1899-12-30T13:24:02"/>
    <s v=""/>
    <s v="Perdido"/>
    <d v="2025-03-26T00:00:00"/>
    <d v="1899-12-30T17:33:35"/>
    <s v="Preço muito alto - fora do budget de investimento"/>
    <s v=""/>
    <s v=""/>
    <x v="0"/>
    <s v="Paulo Souza"/>
    <x v="55"/>
    <s v=""/>
    <m/>
    <m/>
    <s v=""/>
    <s v=""/>
    <s v=""/>
    <s v=""/>
    <n v="1"/>
  </r>
  <r>
    <x v="1"/>
    <n v="261"/>
    <m/>
    <n v="1786"/>
    <s v=""/>
    <s v=""/>
    <x v="102"/>
    <m/>
    <s v=""/>
    <s v="Prioridade 10"/>
    <s v="49991999161"/>
    <s v=""/>
    <s v="prioridade10e20financeiro@hotmail.com"/>
    <s v=""/>
    <s v=""/>
    <s v=""/>
    <s v=""/>
    <s v=""/>
    <s v=""/>
    <s v=""/>
    <s v=""/>
    <s v="Abcasa2025fevereiro"/>
    <s v="Pipeline de Vendas"/>
    <s v="Apresentar Proposta (50%)"/>
    <s v=""/>
    <m/>
    <n v="1600"/>
    <n v="2101"/>
    <n v="7"/>
    <s v="Junior Lopes"/>
    <d v="2025-02-17T00:00:00"/>
    <d v="1899-12-30T14:58:43"/>
    <s v=""/>
    <s v="Perdido"/>
    <d v="2025-02-24T00:00:00"/>
    <d v="1899-12-30T17:14:55"/>
    <s v="Preço muito alto - fora do budget de investimento"/>
    <s v="Bom dia_x000a_Junior, achei o sistema completo, não foge do que outras empresas proporcionam no mercado… no entanto, achei o valor de implantação muito elevado, da próximo de 80 mil reais pra fazer a implantação de um sistema"/>
    <s v=""/>
    <x v="42"/>
    <s v=""/>
    <x v="50"/>
    <s v=""/>
    <m/>
    <m/>
    <s v=""/>
    <s v=""/>
    <s v=""/>
    <s v=""/>
    <n v="1"/>
  </r>
  <r>
    <x v="0"/>
    <n v="263"/>
    <m/>
    <n v="1790"/>
    <s v="Falei com a Suzana sobre a sequencia do projeto. Ela esta de férias e retorna na semana do dia 12/01e vamos retomar. _x000a_Ligar para Susana no dia 14/01._x000a_23/01 Fiz FUP com a Susana que estava de férias e retornou hoje. Combinamos de eu Enviar para ela o form para ela preencher e após fazer a proposta ._x000a_17/02 Por falta de interação e interesse, estou declinando o lead."/>
    <s v=""/>
    <x v="103"/>
    <m/>
    <s v=""/>
    <s v="Suzana"/>
    <s v="11914779683"/>
    <s v=""/>
    <s v="null"/>
    <s v=""/>
    <s v=""/>
    <s v=""/>
    <s v=""/>
    <s v=""/>
    <s v="Outbound"/>
    <s v=""/>
    <s v=""/>
    <s v="50%"/>
    <s v="Pipeline de Vendas"/>
    <s v="Apresentar Proposta (50%)"/>
    <s v="6x sem juros (0/30/60/90/120/150...)"/>
    <d v="2026-01-31T00:00:00"/>
    <m/>
    <m/>
    <n v="364"/>
    <s v="Paulo Souza"/>
    <d v="2025-02-18T00:00:00"/>
    <d v="1899-12-30T10:00:38"/>
    <s v=""/>
    <s v="Perdido"/>
    <d v="2026-02-17T00:00:00"/>
    <d v="1899-12-30T14:29:08"/>
    <s v="Projeto adiado / sem prazo definido"/>
    <s v="17/02 Por falta de interação e interesse, estou declinando o lead."/>
    <s v=""/>
    <x v="48"/>
    <s v="Paulo Souza"/>
    <x v="56"/>
    <s v="21/11/2025"/>
    <d v="2026-01-23T00:00:00"/>
    <n v="50"/>
    <s v=""/>
    <s v=""/>
    <s v=""/>
    <s v=""/>
    <n v="1"/>
  </r>
  <r>
    <x v="1"/>
    <n v="266"/>
    <m/>
    <n v="1866"/>
    <s v=""/>
    <s v=""/>
    <x v="104"/>
    <n v="8652421000109"/>
    <s v=""/>
    <s v="Berenardi &amp; Bernardi"/>
    <s v="(55) 3744-6412 / (55) 3744-3600"/>
    <s v=""/>
    <s v="pedidos@suifarma.com.br"/>
    <s v=""/>
    <s v=""/>
    <s v=""/>
    <s v="FREDERICO WESTPHALEN"/>
    <s v="RS"/>
    <s v=""/>
    <s v=""/>
    <s v=""/>
    <s v=""/>
    <s v="Pipeline de Vendas"/>
    <s v="Qualificação de Vendas (SQL) (25%)"/>
    <s v=""/>
    <m/>
    <n v="14400"/>
    <n v="18034"/>
    <n v="30"/>
    <s v="Junior Lopes"/>
    <d v="2025-02-19T00:00:00"/>
    <d v="1899-12-30T17:02:21"/>
    <s v=""/>
    <s v="Perdido"/>
    <d v="2025-03-21T00:00:00"/>
    <d v="1899-12-30T14:43:49"/>
    <s v="Não quer mudar a solução atual"/>
    <s v="cliente esfriou após envio da proposta"/>
    <s v=""/>
    <x v="49"/>
    <s v=""/>
    <x v="57"/>
    <s v=""/>
    <m/>
    <m/>
    <s v=""/>
    <s v=""/>
    <s v=""/>
    <s v=""/>
    <n v="1"/>
  </r>
  <r>
    <x v="1"/>
    <n v="267"/>
    <m/>
    <n v="1871"/>
    <s v=""/>
    <s v=""/>
    <x v="105"/>
    <n v="21969045000149"/>
    <s v=""/>
    <s v="Açomix"/>
    <s v="(18) 3638-8000"/>
    <s v=""/>
    <s v="paulo@acomix.net"/>
    <s v=""/>
    <s v=""/>
    <s v=""/>
    <s v="COROADOS"/>
    <s v="SP"/>
    <s v="Feiras"/>
    <s v=""/>
    <s v=""/>
    <s v="Abup2025Fevereiro"/>
    <s v="Pipeline de Vendas"/>
    <s v="Em Fechamento (100%)"/>
    <s v="6x sem juros (0/30/60/90/120/150...)"/>
    <m/>
    <n v="88000"/>
    <n v="450432"/>
    <n v="64"/>
    <s v="Junior Lopes"/>
    <d v="2025-02-19T00:00:00"/>
    <d v="1899-12-30T17:06:03"/>
    <s v=""/>
    <s v="Ganho"/>
    <d v="2025-04-24T00:00:00"/>
    <d v="1899-12-30T12:10:45"/>
    <s v=""/>
    <s v=""/>
    <s v=""/>
    <x v="50"/>
    <s v=""/>
    <x v="0"/>
    <s v=""/>
    <m/>
    <m/>
    <s v=""/>
    <s v=""/>
    <s v=""/>
    <s v=""/>
    <n v="1"/>
  </r>
  <r>
    <x v="1"/>
    <n v="268"/>
    <m/>
    <n v="1874"/>
    <s v=""/>
    <s v=""/>
    <x v="106"/>
    <n v="52556578000122"/>
    <s v=""/>
    <s v="Elgin S/A"/>
    <s v="(11) 3411-2010"/>
    <s v=""/>
    <s v="rogerio.machado@elgin.com.br"/>
    <s v=""/>
    <s v=""/>
    <s v=""/>
    <s v="MOGI DAS CRUZES"/>
    <s v="SP"/>
    <s v="Feiras"/>
    <s v=""/>
    <s v=""/>
    <s v="Abup2025Fevereiro"/>
    <s v="Pipeline de Vendas"/>
    <s v="Qualificação de Vendas (SQL) (25%)"/>
    <s v="6x sem juros (0/30/60/90/120/150...)"/>
    <m/>
    <m/>
    <m/>
    <n v="54"/>
    <s v="Junior Lopes"/>
    <d v="2025-02-20T00:00:00"/>
    <d v="1899-12-30T10:37:30"/>
    <s v=""/>
    <s v="Perdido"/>
    <d v="2025-04-15T00:00:00"/>
    <d v="1899-12-30T16:39:42"/>
    <s v="Projeto adiado / sem prazo definido"/>
    <s v="cliente não responde as mensagens continuarei a prospectar em paralelo"/>
    <s v=""/>
    <x v="0"/>
    <s v=""/>
    <x v="0"/>
    <s v=""/>
    <m/>
    <m/>
    <s v=""/>
    <s v=""/>
    <s v=""/>
    <s v=""/>
    <n v="1"/>
  </r>
  <r>
    <x v="1"/>
    <n v="270"/>
    <n v="167"/>
    <n v="1880"/>
    <s v=""/>
    <s v=""/>
    <x v="107"/>
    <n v="7973104000121"/>
    <s v="ELMO ATACADO"/>
    <s v="Fabio"/>
    <s v="47999949301"/>
    <s v=""/>
    <s v="joao@atacadoelmo.com.br"/>
    <s v=""/>
    <s v=""/>
    <s v=""/>
    <s v="Joinville"/>
    <s v="SC"/>
    <s v=""/>
    <s v=""/>
    <s v=""/>
    <s v=""/>
    <s v="Pipeline de Vendas"/>
    <s v="Em Fechamento (100%)"/>
    <s v=""/>
    <m/>
    <n v="0"/>
    <n v="49896"/>
    <n v="11"/>
    <s v="Junior Lopes"/>
    <d v="2025-02-20T00:00:00"/>
    <d v="1899-12-30T11:43:19"/>
    <s v=""/>
    <s v="Ganho"/>
    <d v="2025-03-03T00:00:00"/>
    <d v="1899-12-30T11:34:05"/>
    <s v=""/>
    <s v=""/>
    <s v=""/>
    <x v="50"/>
    <s v=""/>
    <x v="0"/>
    <s v=""/>
    <m/>
    <m/>
    <s v=""/>
    <s v=""/>
    <s v=""/>
    <s v=""/>
    <n v="1"/>
  </r>
  <r>
    <x v="1"/>
    <n v="272"/>
    <m/>
    <n v="1882"/>
    <s v=""/>
    <s v=""/>
    <x v="108"/>
    <m/>
    <s v=""/>
    <s v="123 util"/>
    <s v="31987570994"/>
    <s v=""/>
    <s v="123util@maxximusimportadora.com.br"/>
    <s v=""/>
    <s v=""/>
    <s v=""/>
    <s v=""/>
    <s v=""/>
    <s v="Feiras"/>
    <s v=""/>
    <s v=""/>
    <s v="Abcasa2025fevereiro"/>
    <s v="Pipeline de Vendas"/>
    <s v="Qualificação de Vendas (SQL) (25%)"/>
    <s v="6x sem juros (0/30/60/90/120/150...)"/>
    <m/>
    <m/>
    <m/>
    <n v="50"/>
    <s v="Junior Lopes"/>
    <d v="2025-02-24T00:00:00"/>
    <d v="1899-12-30T09:24:09"/>
    <s v=""/>
    <s v="Perdido"/>
    <d v="2025-04-15T00:00:00"/>
    <d v="1899-12-30T16:37:27"/>
    <s v="Projeto adiado / sem prazo definido"/>
    <s v="cliente não responde as mensagens , continuarei a prospectar em paralelo"/>
    <s v=""/>
    <x v="0"/>
    <s v=""/>
    <x v="44"/>
    <s v=""/>
    <m/>
    <m/>
    <s v=""/>
    <s v=""/>
    <s v=""/>
    <s v=""/>
    <n v="1"/>
  </r>
  <r>
    <x v="2"/>
    <n v="273"/>
    <m/>
    <n v="1883"/>
    <s v=""/>
    <s v=""/>
    <x v="109"/>
    <m/>
    <s v=""/>
    <s v="Ilan Couselo"/>
    <s v="11991554630"/>
    <s v=""/>
    <s v="ilan@couselo.com.br"/>
    <s v=""/>
    <s v=""/>
    <s v=""/>
    <s v=""/>
    <s v=""/>
    <s v="Feiras"/>
    <s v=""/>
    <s v=""/>
    <s v=""/>
    <s v="Pipeline de Vendas"/>
    <s v="Em Fechamento (100%)"/>
    <s v="6x sem juros (0/30/60/90/120/150...)"/>
    <m/>
    <n v="55440"/>
    <n v="560465"/>
    <n v="39"/>
    <s v="Rayssa Karapeticov"/>
    <d v="2025-02-24T00:00:00"/>
    <d v="1899-12-30T15:53:45"/>
    <s v=""/>
    <s v="Perdido"/>
    <d v="2025-04-04T00:00:00"/>
    <d v="1899-12-30T15:28:34"/>
    <s v="Preço muito alto - fora do budget de investimento"/>
    <s v=""/>
    <s v=""/>
    <x v="51"/>
    <s v="Rayssa Karapeticov"/>
    <x v="58"/>
    <s v="24/02/2025 00:00"/>
    <m/>
    <m/>
    <s v=""/>
    <s v=""/>
    <s v=""/>
    <s v=""/>
    <n v="1"/>
  </r>
  <r>
    <x v="1"/>
    <n v="277"/>
    <m/>
    <n v="1887"/>
    <s v=""/>
    <s v=""/>
    <x v="110"/>
    <m/>
    <s v=""/>
    <s v="Erca Aluminio"/>
    <s v="19997023116"/>
    <s v=""/>
    <s v="rafael@ercaaluminio.com.br"/>
    <s v=""/>
    <s v=""/>
    <s v=""/>
    <s v=""/>
    <s v=""/>
    <s v=""/>
    <s v=""/>
    <s v=""/>
    <s v=""/>
    <s v="Pipeline de Vendas"/>
    <s v="Em Fechamento (100%)"/>
    <s v=""/>
    <m/>
    <n v="0"/>
    <n v="3564"/>
    <n v="5"/>
    <s v="Junior Lopes"/>
    <d v="2025-02-26T00:00:00"/>
    <d v="1899-12-30T09:12:09"/>
    <s v=""/>
    <s v="Ganho"/>
    <d v="2025-03-03T00:00:00"/>
    <d v="1899-12-30T11:34:23"/>
    <s v=""/>
    <s v=""/>
    <s v=""/>
    <x v="52"/>
    <s v=""/>
    <x v="0"/>
    <s v=""/>
    <m/>
    <m/>
    <s v=""/>
    <s v=""/>
    <s v=""/>
    <s v=""/>
    <n v="1"/>
  </r>
  <r>
    <x v="1"/>
    <n v="279"/>
    <m/>
    <n v="1890"/>
    <s v=""/>
    <s v=""/>
    <x v="111"/>
    <m/>
    <s v=""/>
    <s v="Claudio"/>
    <s v="14997530243"/>
    <s v=""/>
    <s v="null"/>
    <s v=""/>
    <s v=""/>
    <s v=""/>
    <s v=""/>
    <s v=""/>
    <s v=""/>
    <s v=""/>
    <s v=""/>
    <s v=""/>
    <s v="Pipeline de Vendas"/>
    <s v="Qualificação de Vendas (SQL) (25%)"/>
    <s v=""/>
    <m/>
    <m/>
    <m/>
    <n v="2"/>
    <s v="Paulo Souza"/>
    <d v="2025-02-26T00:00:00"/>
    <d v="1899-12-30T17:34:49"/>
    <s v=""/>
    <s v="Perdido"/>
    <d v="2025-02-28T00:00:00"/>
    <d v="1899-12-30T17:04:22"/>
    <s v="Fora do porte mínimo (sem fit estrutural)"/>
    <s v="Representante"/>
    <s v=""/>
    <x v="0"/>
    <s v="Junior Lopes"/>
    <x v="0"/>
    <s v=""/>
    <m/>
    <m/>
    <s v=""/>
    <s v=""/>
    <s v=""/>
    <s v=""/>
    <n v="1"/>
  </r>
  <r>
    <x v="1"/>
    <n v="281"/>
    <m/>
    <n v="1892"/>
    <s v=""/>
    <s v=""/>
    <x v="112"/>
    <m/>
    <s v=""/>
    <s v="açomix soluções para o lar"/>
    <s v="17996266839"/>
    <s v=""/>
    <s v="fernando@acomix.net"/>
    <s v=""/>
    <s v=""/>
    <s v=""/>
    <s v=""/>
    <s v=""/>
    <s v="Feiras"/>
    <s v=""/>
    <s v=""/>
    <s v=""/>
    <s v="Pipeline de Vendas"/>
    <s v="Em Fechamento (100%)"/>
    <s v="6x sem juros (0/30/60/90/120/150...)"/>
    <m/>
    <n v="0"/>
    <n v="449635"/>
    <n v="55"/>
    <s v="Junior Lopes"/>
    <d v="2025-02-28T00:00:00"/>
    <d v="1899-12-30T10:13:32"/>
    <s v=""/>
    <s v="Ganho"/>
    <d v="2025-04-24T00:00:00"/>
    <d v="1899-12-30T12:11:29"/>
    <s v=""/>
    <s v=""/>
    <s v=""/>
    <x v="46"/>
    <s v=""/>
    <x v="59"/>
    <s v=""/>
    <m/>
    <m/>
    <s v=""/>
    <s v=""/>
    <s v=""/>
    <s v=""/>
    <n v="1"/>
  </r>
  <r>
    <x v="1"/>
    <n v="282"/>
    <m/>
    <n v="1894"/>
    <s v=""/>
    <s v=""/>
    <x v="113"/>
    <m/>
    <s v=""/>
    <s v="Plasberg"/>
    <s v="75981412000"/>
    <s v=""/>
    <s v="breno@plasberg.com.br"/>
    <s v=""/>
    <s v=""/>
    <s v=""/>
    <s v=""/>
    <s v=""/>
    <s v="Feiras"/>
    <s v=""/>
    <s v=""/>
    <s v=""/>
    <s v="Pipeline de Vendas"/>
    <s v="Apresentar Proposta (50%)"/>
    <s v="6x sem juros (0/30/60/90/120/150...)"/>
    <m/>
    <n v="1600"/>
    <n v="5"/>
    <n v="47"/>
    <s v="Junior Lopes"/>
    <d v="2025-02-28T00:00:00"/>
    <d v="1899-12-30T16:52:57"/>
    <s v=""/>
    <s v="Perdido"/>
    <d v="2025-04-16T00:00:00"/>
    <d v="1899-12-30T09:28:18"/>
    <s v="Projeto adiado / sem prazo definido"/>
    <s v="Breno não responde as mensagens ! estou fechando oportunidade mas continuo em busca da oportunidade"/>
    <s v=""/>
    <x v="43"/>
    <s v=""/>
    <x v="47"/>
    <s v=""/>
    <m/>
    <m/>
    <s v=""/>
    <s v=""/>
    <s v=""/>
    <s v=""/>
    <n v="1"/>
  </r>
  <r>
    <x v="2"/>
    <n v="283"/>
    <m/>
    <n v="1895"/>
    <s v=""/>
    <s v=""/>
    <x v="114"/>
    <n v="37075503000136"/>
    <s v=""/>
    <s v="Rafael"/>
    <s v="(48) 3380-3374"/>
    <s v=""/>
    <s v="pupiimports@gmail.com"/>
    <s v=""/>
    <s v=""/>
    <s v=""/>
    <s v="TIJUCAS"/>
    <s v="SC"/>
    <s v=""/>
    <s v=""/>
    <s v=""/>
    <s v=""/>
    <s v="Pipeline de Vendas"/>
    <s v="Em Fechamento (100%)"/>
    <s v=""/>
    <m/>
    <n v="63000"/>
    <n v="211328"/>
    <n v="20"/>
    <s v="Rayssa Karapeticov"/>
    <d v="2025-03-04T00:00:00"/>
    <d v="1899-12-30T09:43:38"/>
    <s v=""/>
    <s v="Ganho"/>
    <d v="2025-03-24T00:00:00"/>
    <d v="1899-12-30T19:14:21"/>
    <s v=""/>
    <s v=""/>
    <s v=""/>
    <x v="53"/>
    <s v="Rayssa Karapeticov"/>
    <x v="0"/>
    <s v=""/>
    <m/>
    <m/>
    <s v=""/>
    <s v=""/>
    <s v=""/>
    <s v=""/>
    <n v="1"/>
  </r>
  <r>
    <x v="2"/>
    <n v="284"/>
    <m/>
    <n v="1897"/>
    <s v=""/>
    <s v=""/>
    <x v="115"/>
    <n v="37075503000136"/>
    <s v=""/>
    <s v="Rafael"/>
    <s v="(48) 3380-3374"/>
    <s v=""/>
    <s v="pupiimports@gmail.com"/>
    <s v=""/>
    <s v=""/>
    <s v=""/>
    <s v="TIJUCAS"/>
    <s v="SC"/>
    <s v="Feiras"/>
    <s v=""/>
    <s v=""/>
    <s v=""/>
    <s v="Pipeline de Vendas"/>
    <s v="Em Fechamento (100%)"/>
    <s v=""/>
    <m/>
    <n v="1600"/>
    <n v="287073"/>
    <n v="22"/>
    <s v="Rayssa Karapeticov"/>
    <d v="2025-03-04T00:00:00"/>
    <d v="1899-12-30T15:18:52"/>
    <s v=""/>
    <s v="Ganho"/>
    <d v="2025-03-26T00:00:00"/>
    <d v="1899-12-30T10:41:15"/>
    <s v=""/>
    <s v=""/>
    <s v=""/>
    <x v="53"/>
    <s v="Rayssa Karapeticov"/>
    <x v="60"/>
    <s v=""/>
    <m/>
    <m/>
    <s v=""/>
    <s v=""/>
    <s v=""/>
    <s v=""/>
    <n v="1"/>
  </r>
  <r>
    <x v="2"/>
    <n v="286"/>
    <m/>
    <n v="1900"/>
    <s v=""/>
    <s v=""/>
    <x v="116"/>
    <n v="37075503000136"/>
    <s v=""/>
    <s v="Rafael"/>
    <s v="5196199231"/>
    <s v=""/>
    <s v="pupiimports@gmail.com"/>
    <s v=""/>
    <s v=""/>
    <s v=""/>
    <s v="TIJUCAS"/>
    <s v="SC"/>
    <s v="Outbound"/>
    <s v=""/>
    <s v=""/>
    <s v=""/>
    <s v="Pipeline de Vendas"/>
    <s v="Em negociação (75%)"/>
    <s v="6x sem juros (0/30/60/90/120/150...)"/>
    <m/>
    <n v="23580"/>
    <n v="1800"/>
    <n v="65"/>
    <s v="Rayssa Karapeticov"/>
    <d v="2025-03-10T00:00:00"/>
    <d v="1899-12-30T15:20:29"/>
    <s v=""/>
    <s v="Perdido"/>
    <d v="2025-05-14T00:00:00"/>
    <d v="1899-12-30T11:32:41"/>
    <s v="Não houve aprovação financeira"/>
    <s v=""/>
    <s v=""/>
    <x v="54"/>
    <s v="Rayssa Karapeticov"/>
    <x v="61"/>
    <s v=""/>
    <m/>
    <m/>
    <s v=""/>
    <s v=""/>
    <s v=""/>
    <s v=""/>
    <n v="1"/>
  </r>
  <r>
    <x v="0"/>
    <n v="287"/>
    <m/>
    <n v="1902"/>
    <s v=""/>
    <s v=""/>
    <x v="117"/>
    <n v="7764744000202"/>
    <s v=""/>
    <s v="Xeryus"/>
    <s v="11997802621"/>
    <s v=""/>
    <s v="jesica@xeryus.com.br"/>
    <s v=""/>
    <s v=""/>
    <s v=""/>
    <s v=""/>
    <s v=""/>
    <s v="Outbound"/>
    <s v=""/>
    <s v=""/>
    <s v="MORNO"/>
    <s v="Pipeline de Vendas"/>
    <s v="Em negociação (75%)"/>
    <s v="6x sem juros (0/30/60/90/120/150...)"/>
    <m/>
    <n v="16000"/>
    <n v="68607"/>
    <n v="54"/>
    <s v="Paulo Souza"/>
    <d v="2025-03-10T00:00:00"/>
    <d v="1899-12-30T16:44:02"/>
    <s v=""/>
    <s v="Perdido"/>
    <d v="2025-05-03T00:00:00"/>
    <d v="1899-12-30T10:37:26"/>
    <s v="Fechou com o concorrente - preço"/>
    <s v=""/>
    <s v=""/>
    <x v="55"/>
    <s v="Paulo Souza"/>
    <x v="62"/>
    <s v="11/03/2025 00:00"/>
    <m/>
    <m/>
    <s v=""/>
    <s v=""/>
    <s v=""/>
    <s v=""/>
    <n v="1"/>
  </r>
  <r>
    <x v="1"/>
    <n v="291"/>
    <m/>
    <n v="1904"/>
    <s v=""/>
    <s v=""/>
    <x v="118"/>
    <m/>
    <s v=""/>
    <s v="Ponto 10"/>
    <s v="7199841895"/>
    <s v=""/>
    <s v="gabriel@grupoponto10.com.br"/>
    <s v=""/>
    <s v=""/>
    <s v=""/>
    <s v=""/>
    <s v=""/>
    <s v="Parceiros"/>
    <s v=""/>
    <s v=""/>
    <s v=""/>
    <s v="Pipeline de Vendas"/>
    <s v="Em Fechamento (100%)"/>
    <s v="6x sem juros (0/30/60/90/120/150...)"/>
    <m/>
    <n v="12720"/>
    <n v="1764"/>
    <n v="47"/>
    <s v="Junior Lopes"/>
    <d v="2025-03-13T00:00:00"/>
    <d v="1899-12-30T14:19:18"/>
    <s v=""/>
    <s v="Ganho"/>
    <d v="2025-04-29T00:00:00"/>
    <d v="1899-12-30T14:35:30"/>
    <s v=""/>
    <s v=""/>
    <s v=""/>
    <x v="56"/>
    <s v=""/>
    <x v="63"/>
    <s v=""/>
    <m/>
    <m/>
    <s v=""/>
    <s v=""/>
    <s v=""/>
    <s v=""/>
    <n v="1"/>
  </r>
  <r>
    <x v="0"/>
    <n v="293"/>
    <m/>
    <n v="1907"/>
    <s v=""/>
    <s v=""/>
    <x v="119"/>
    <m/>
    <s v=""/>
    <s v="Rodrigo"/>
    <s v="(17) 99734-7687"/>
    <s v=""/>
    <s v="rodrigovaquerosilva@gmail.com"/>
    <s v=""/>
    <s v=""/>
    <s v=""/>
    <s v="Jales"/>
    <s v=""/>
    <s v="Site"/>
    <s v=""/>
    <s v=""/>
    <s v="Contato"/>
    <s v="Pipeline de Vendas"/>
    <s v="Apresentar Solução (35%)"/>
    <s v="6x sem juros (0/30/60/90/120/150...)"/>
    <m/>
    <m/>
    <m/>
    <n v="21"/>
    <s v="Paulo Souza"/>
    <d v="2025-03-17T00:00:00"/>
    <d v="1899-12-30T08:53:12"/>
    <s v=""/>
    <s v="Perdido"/>
    <d v="2025-04-07T00:00:00"/>
    <d v="1899-12-30T14:00:24"/>
    <s v="Não quer mudar a solução atual"/>
    <s v=""/>
    <s v=""/>
    <x v="57"/>
    <s v=""/>
    <x v="64"/>
    <s v=""/>
    <m/>
    <m/>
    <s v=""/>
    <s v=""/>
    <s v=""/>
    <s v=""/>
    <n v="1"/>
  </r>
  <r>
    <x v="0"/>
    <n v="294"/>
    <m/>
    <n v="1908"/>
    <s v=""/>
    <s v=""/>
    <x v="120"/>
    <m/>
    <s v=""/>
    <s v="Anne"/>
    <s v="31995069963"/>
    <s v=""/>
    <s v="null"/>
    <s v=""/>
    <s v=""/>
    <s v=""/>
    <s v=""/>
    <s v=""/>
    <s v="Inbound"/>
    <s v=""/>
    <s v=""/>
    <s v=""/>
    <s v="Pipeline de Vendas"/>
    <s v="Apresentar Solução (35%)"/>
    <s v="6x sem juros (0/30/60/90/120/150...)"/>
    <m/>
    <m/>
    <m/>
    <n v="21"/>
    <s v="Paulo Souza"/>
    <d v="2025-03-17T00:00:00"/>
    <d v="1899-12-30T08:58:27"/>
    <s v=""/>
    <s v="Perdido"/>
    <d v="2025-04-07T00:00:00"/>
    <d v="1899-12-30T11:48:49"/>
    <s v="Não quer mudar a solução atual"/>
    <s v=""/>
    <s v=""/>
    <x v="57"/>
    <s v="Paulo Souza"/>
    <x v="64"/>
    <s v=""/>
    <m/>
    <m/>
    <s v=""/>
    <s v=""/>
    <s v=""/>
    <s v=""/>
    <n v="1"/>
  </r>
  <r>
    <x v="1"/>
    <n v="295"/>
    <m/>
    <n v="1909"/>
    <s v=""/>
    <s v=""/>
    <x v="121"/>
    <m/>
    <s v=""/>
    <s v="GBL Import"/>
    <s v="21996127685"/>
    <s v=""/>
    <s v="gilberto@gblimport.com.br"/>
    <s v=""/>
    <s v=""/>
    <s v=""/>
    <s v=""/>
    <s v=""/>
    <s v="Indicação"/>
    <s v=""/>
    <s v=""/>
    <s v=""/>
    <s v="Pipeline de Vendas"/>
    <s v="Em negociação (75%)"/>
    <s v="6x sem juros (0/30/60/90/120/150...)"/>
    <m/>
    <n v="79920"/>
    <n v="33813"/>
    <n v="59"/>
    <s v="Junior Lopes"/>
    <d v="2025-03-17T00:00:00"/>
    <d v="1899-12-30T12:35:35"/>
    <s v=""/>
    <s v="Perdido"/>
    <d v="2025-05-15T00:00:00"/>
    <d v="1899-12-30T16:21:33"/>
    <s v="Projeto adiado / sem prazo definido"/>
    <s v="sem retorno do cliente"/>
    <s v=""/>
    <x v="58"/>
    <s v=""/>
    <x v="65"/>
    <s v=""/>
    <m/>
    <m/>
    <s v=""/>
    <s v=""/>
    <s v=""/>
    <s v=""/>
    <n v="1"/>
  </r>
  <r>
    <x v="1"/>
    <n v="298"/>
    <m/>
    <n v="1913"/>
    <s v=""/>
    <s v=""/>
    <x v="122"/>
    <m/>
    <s v=""/>
    <s v="GBL Import - Cloud"/>
    <s v="21996127685"/>
    <s v=""/>
    <s v="geraldolima@gblimport.com.br"/>
    <s v=""/>
    <s v=""/>
    <s v=""/>
    <s v=""/>
    <s v=""/>
    <s v="Indicação"/>
    <s v=""/>
    <s v=""/>
    <s v=""/>
    <s v="Pipeline de Vendas"/>
    <s v="Em negociação (75%)"/>
    <s v="6x sem juros (0/30/60/90/120/150...)"/>
    <m/>
    <n v="1600"/>
    <n v="3196"/>
    <n v="58"/>
    <s v="Junior Lopes"/>
    <d v="2025-03-18T00:00:00"/>
    <d v="1899-12-30T15:00:29"/>
    <s v=""/>
    <s v="Perdido"/>
    <d v="2025-05-15T00:00:00"/>
    <d v="1899-12-30T16:22:10"/>
    <s v="Projeto adiado / sem prazo definido"/>
    <s v="sem retorno do cliente"/>
    <s v=""/>
    <x v="58"/>
    <s v=""/>
    <x v="65"/>
    <s v=""/>
    <m/>
    <m/>
    <s v=""/>
    <s v=""/>
    <s v=""/>
    <s v=""/>
    <n v="1"/>
  </r>
  <r>
    <x v="1"/>
    <n v="301"/>
    <m/>
    <n v="1916"/>
    <s v=""/>
    <s v=""/>
    <x v="123"/>
    <m/>
    <s v=""/>
    <s v="Erca alumínio"/>
    <s v="19997023116"/>
    <s v=""/>
    <s v="rafael@ercaaluminio.com.br"/>
    <s v=""/>
    <s v=""/>
    <s v=""/>
    <s v=""/>
    <s v=""/>
    <s v="Outbound"/>
    <s v=""/>
    <s v=""/>
    <s v=""/>
    <s v="Pipeline de Vendas"/>
    <s v="Em Fechamento (100%)"/>
    <s v=""/>
    <m/>
    <n v="2339208"/>
    <n v="0"/>
    <n v="13"/>
    <s v="Junior Lopes"/>
    <d v="2025-03-20T00:00:00"/>
    <d v="1899-12-30T14:50:12"/>
    <s v=""/>
    <s v="Ganho"/>
    <d v="2025-04-02T00:00:00"/>
    <d v="1899-12-30T10:04:50"/>
    <s v=""/>
    <s v=""/>
    <s v=""/>
    <x v="59"/>
    <s v=""/>
    <x v="0"/>
    <s v=""/>
    <m/>
    <m/>
    <s v=""/>
    <s v=""/>
    <s v=""/>
    <s v=""/>
    <n v="1"/>
  </r>
  <r>
    <x v="1"/>
    <n v="303"/>
    <m/>
    <n v="1919"/>
    <s v=""/>
    <s v=""/>
    <x v="124"/>
    <m/>
    <s v=""/>
    <s v="Dayane"/>
    <s v="(62) 99360-9476"/>
    <s v=""/>
    <s v="dayane.tecelagemcastilho@gmail.com"/>
    <s v=""/>
    <s v=""/>
    <s v=""/>
    <s v="Goiânia"/>
    <s v=""/>
    <s v="Site"/>
    <s v=""/>
    <s v=""/>
    <s v="Solicita demo"/>
    <s v="Pipeline de Vendas"/>
    <s v="Em Fechamento (100%)"/>
    <s v="6x sem juros (0/30/60/90/120/150...)"/>
    <m/>
    <n v="583848"/>
    <n v="229112"/>
    <n v="57"/>
    <s v="Paulo Souza"/>
    <d v="2025-03-25T00:00:00"/>
    <d v="1899-12-30T09:13:21"/>
    <s v=""/>
    <s v="Ganho"/>
    <d v="2025-05-21T00:00:00"/>
    <d v="1899-12-30T09:01:18"/>
    <s v=""/>
    <s v=""/>
    <s v=""/>
    <x v="60"/>
    <s v=""/>
    <x v="66"/>
    <s v="28/03/2025"/>
    <m/>
    <m/>
    <s v=""/>
    <s v=""/>
    <s v=""/>
    <s v=""/>
    <n v="1"/>
  </r>
  <r>
    <x v="1"/>
    <n v="304"/>
    <m/>
    <n v="1922"/>
    <s v=""/>
    <s v=""/>
    <x v="125"/>
    <m/>
    <s v=""/>
    <s v="Erca Alumínio"/>
    <s v="19997023116"/>
    <s v=""/>
    <s v="rafael@ercaaluminio.com.br"/>
    <s v=""/>
    <s v=""/>
    <s v=""/>
    <s v=""/>
    <s v=""/>
    <s v=""/>
    <s v=""/>
    <s v=""/>
    <s v=""/>
    <s v="Pipeline de Vendas"/>
    <s v="Em Fechamento (100%)"/>
    <s v=""/>
    <m/>
    <n v="0"/>
    <n v="14256"/>
    <n v="0"/>
    <s v="Junior Lopes"/>
    <d v="2025-03-26T00:00:00"/>
    <d v="1899-12-30T12:26:05"/>
    <s v=""/>
    <s v="Ganho"/>
    <d v="2025-03-26T00:00:00"/>
    <d v="1899-12-30T12:28:36"/>
    <s v=""/>
    <s v=""/>
    <s v=""/>
    <x v="61"/>
    <s v=""/>
    <x v="0"/>
    <s v=""/>
    <m/>
    <m/>
    <s v=""/>
    <s v=""/>
    <s v=""/>
    <s v=""/>
    <n v="1"/>
  </r>
  <r>
    <x v="1"/>
    <n v="305"/>
    <m/>
    <n v="1923"/>
    <s v=""/>
    <s v=""/>
    <x v="126"/>
    <n v="49695060000165"/>
    <s v=""/>
    <s v="Sk Importacao e Exportacao"/>
    <s v="(11) 2171-0800"/>
    <s v=""/>
    <s v="legal@vrscontabil.com.br"/>
    <s v=""/>
    <s v=""/>
    <s v=""/>
    <s v="SAO PAULO"/>
    <s v="SP"/>
    <s v="Inbound"/>
    <s v=""/>
    <s v=""/>
    <s v=""/>
    <s v="Pipeline de Vendas"/>
    <s v="Apresentar Proposta (50%)"/>
    <s v="6x sem juros (0/30/60/90/120/150...)"/>
    <m/>
    <n v="64448"/>
    <n v="159326"/>
    <n v="50"/>
    <s v="Junior Lopes"/>
    <d v="2025-03-26T00:00:00"/>
    <d v="1899-12-30T12:54:52"/>
    <s v=""/>
    <s v="Perdido"/>
    <d v="2025-05-15T00:00:00"/>
    <d v="1899-12-30T15:25:04"/>
    <s v="Projeto adiado / sem prazo definido"/>
    <s v="14:31, 06/05/2025 Jamal: Tudo bem_x000a_14:34, 06/05/2025 Junior Lopes: por aqui td bem Jamal_x000a_14:35, 06/05/2025 Junior Lopes: sobre o Software Guarani, vamos dar sequencia ?_x000a_15:02, 06/05/2025 Jamal: Meu amigo pra ser sincero estou em mudanças e esta muita correria por aqui_x000a_15:02, 06/05/2025 Jamal: Mas depois vou estudar melhor sobre"/>
    <s v=""/>
    <x v="62"/>
    <s v=""/>
    <x v="67"/>
    <s v=""/>
    <m/>
    <m/>
    <s v=""/>
    <s v=""/>
    <s v=""/>
    <s v=""/>
    <n v="1"/>
  </r>
  <r>
    <x v="1"/>
    <n v="311"/>
    <m/>
    <n v="1942"/>
    <s v=""/>
    <s v=""/>
    <x v="127"/>
    <m/>
    <s v=""/>
    <s v="Tritec"/>
    <s v="47991900625"/>
    <s v=""/>
    <s v="gisele.ehlert@tritec.ind.com"/>
    <s v=""/>
    <s v=""/>
    <s v=""/>
    <s v=""/>
    <s v=""/>
    <s v=""/>
    <s v=""/>
    <s v=""/>
    <s v=""/>
    <s v="Pipeline de Vendas"/>
    <s v="Em Fechamento (100%)"/>
    <s v="4x sem juros (0/30/60/90)"/>
    <m/>
    <n v="16960"/>
    <n v="10810"/>
    <n v="43"/>
    <s v="Junior Lopes"/>
    <d v="2025-03-27T00:00:00"/>
    <d v="1899-12-30T12:48:43"/>
    <s v=""/>
    <s v="Ganho"/>
    <d v="2025-05-09T00:00:00"/>
    <d v="1899-12-30T12:02:54"/>
    <s v=""/>
    <s v=""/>
    <s v=""/>
    <x v="60"/>
    <s v=""/>
    <x v="66"/>
    <s v="24/04/2025"/>
    <m/>
    <m/>
    <s v=""/>
    <s v=""/>
    <s v=""/>
    <s v=""/>
    <n v="1"/>
  </r>
  <r>
    <x v="0"/>
    <n v="313"/>
    <m/>
    <n v="1944"/>
    <s v=""/>
    <s v=""/>
    <x v="128"/>
    <n v="1787082000129"/>
    <s v=""/>
    <s v="Marcos"/>
    <s v="(11) 99755-7094"/>
    <s v=""/>
    <s v="contato@styroform.com.br"/>
    <s v=""/>
    <s v=""/>
    <s v=""/>
    <s v=""/>
    <s v=""/>
    <s v="Indicação"/>
    <s v=""/>
    <s v=""/>
    <s v="MORNO"/>
    <s v="Pipeline de Vendas"/>
    <s v="Em Fechamento (100%)"/>
    <s v="6x sem juros (0/30/60/90/120/150...)"/>
    <d v="2028-05-31T00:00:00"/>
    <n v="51200"/>
    <n v="42262"/>
    <n v="75"/>
    <s v="Paulo Souza"/>
    <d v="2025-03-27T00:00:00"/>
    <d v="1899-12-30T15:59:16"/>
    <s v=""/>
    <s v="Perdido"/>
    <d v="2025-06-10T00:00:00"/>
    <d v="1899-12-30T12:16:08"/>
    <s v="Preço muito alto - fora do budget de investimento"/>
    <s v=""/>
    <s v=""/>
    <x v="45"/>
    <s v="Paulo Souza"/>
    <x v="68"/>
    <s v=""/>
    <m/>
    <m/>
    <s v=""/>
    <s v=""/>
    <s v=""/>
    <s v=""/>
    <n v="1"/>
  </r>
  <r>
    <x v="0"/>
    <n v="314"/>
    <m/>
    <n v="1948"/>
    <s v=""/>
    <s v=""/>
    <x v="129"/>
    <m/>
    <s v=""/>
    <s v="Claudio"/>
    <s v="12991051939"/>
    <s v=""/>
    <s v="null"/>
    <s v=""/>
    <s v=""/>
    <s v=""/>
    <s v=""/>
    <s v=""/>
    <s v=""/>
    <s v=""/>
    <s v=""/>
    <s v=""/>
    <s v="Pipeline de Vendas"/>
    <s v="Qualificação de Vendas (SQL) (25%)"/>
    <s v=""/>
    <m/>
    <m/>
    <m/>
    <n v="10"/>
    <s v="Paulo Souza"/>
    <d v="2025-03-28T00:00:00"/>
    <d v="1899-12-30T11:11:42"/>
    <s v=""/>
    <s v="Perdido"/>
    <d v="2025-04-07T00:00:00"/>
    <d v="1899-12-30T14:36:03"/>
    <s v="Fora do porte mínimo (sem fit estrutural)"/>
    <s v=""/>
    <s v=""/>
    <x v="0"/>
    <s v="Paulo Souza"/>
    <x v="69"/>
    <s v=""/>
    <m/>
    <m/>
    <s v=""/>
    <s v=""/>
    <s v=""/>
    <s v=""/>
    <n v="1"/>
  </r>
  <r>
    <x v="1"/>
    <n v="315"/>
    <m/>
    <n v="1949"/>
    <s v=""/>
    <s v=""/>
    <x v="130"/>
    <m/>
    <s v=""/>
    <s v="Tecelagem Castitho - Cloud"/>
    <s v="62993609476"/>
    <s v=""/>
    <s v="dayane.tecelagemcastilho@gmail.com"/>
    <s v=""/>
    <s v=""/>
    <s v=""/>
    <s v=""/>
    <s v=""/>
    <s v=""/>
    <s v=""/>
    <s v=""/>
    <s v=""/>
    <s v="Pipeline de Vendas"/>
    <s v="Em Fechamento (100%)"/>
    <s v="10x sem juros (0/30/60/90/120/150...)"/>
    <m/>
    <n v="1600"/>
    <n v="180443"/>
    <n v="54"/>
    <s v="Junior Lopes"/>
    <d v="2025-03-28T00:00:00"/>
    <d v="1899-12-30T11:49:45"/>
    <s v=""/>
    <s v="Ganho"/>
    <d v="2025-05-21T00:00:00"/>
    <d v="1899-12-30T09:02:37"/>
    <s v=""/>
    <s v=""/>
    <s v=""/>
    <x v="60"/>
    <s v=""/>
    <x v="66"/>
    <s v=""/>
    <m/>
    <m/>
    <s v=""/>
    <s v=""/>
    <s v=""/>
    <s v=""/>
    <n v="1"/>
  </r>
  <r>
    <x v="1"/>
    <n v="316"/>
    <m/>
    <n v="1950"/>
    <s v=""/>
    <s v=""/>
    <x v="131"/>
    <n v="49695060000165"/>
    <s v=""/>
    <s v="SK Importação - Cloud"/>
    <s v="(11) 2171-0800"/>
    <s v=""/>
    <s v="legal@vrscontabil.com.br"/>
    <s v=""/>
    <s v=""/>
    <s v=""/>
    <s v="SAO PAULO"/>
    <s v="SP"/>
    <s v=""/>
    <s v=""/>
    <s v=""/>
    <s v=""/>
    <s v="Pipeline de Vendas"/>
    <s v="Apresentar Proposta (50%)"/>
    <s v=""/>
    <m/>
    <n v="1600"/>
    <n v="2178"/>
    <n v="48"/>
    <s v="Junior Lopes"/>
    <d v="2025-03-28T00:00:00"/>
    <d v="1899-12-30T15:06:00"/>
    <s v=""/>
    <s v="Perdido"/>
    <d v="2025-05-15T00:00:00"/>
    <d v="1899-12-30T15:26:40"/>
    <s v="Projeto adiado / sem prazo definido"/>
    <s v="14:31, 06/05/2025 Jamal: Tudo bem_x000a_14:34, 06/05/2025 Junior Lopes: por aqui td bem Jamal_x000a_14:35, 06/05/2025 Junior Lopes: sobre o Software Guarani, vamos dar sequencia ?_x000a_15:02, 06/05/2025 Jamal: Meu amigo pra ser sincero estou em mudanças e esta muita correria por aqui_x000a_15:02, 06/05/2025 Jamal: Mas depois vou estudar melhor sobre"/>
    <s v="26/03/2025"/>
    <x v="61"/>
    <s v=""/>
    <x v="67"/>
    <s v=""/>
    <m/>
    <m/>
    <s v=""/>
    <s v=""/>
    <s v=""/>
    <s v=""/>
    <n v="1"/>
  </r>
  <r>
    <x v="1"/>
    <n v="317"/>
    <m/>
    <n v="1952"/>
    <s v=""/>
    <s v=""/>
    <x v="132"/>
    <n v="8652421000109"/>
    <s v=""/>
    <s v="Comércio de prod. vet. bernardi e bernardi"/>
    <s v="(55) 3744-6412"/>
    <s v=""/>
    <s v="pedidos@suifarma.com.br"/>
    <s v=""/>
    <s v=""/>
    <s v=""/>
    <s v="FREDERICO WESTPHALEN"/>
    <s v="RS"/>
    <s v=""/>
    <s v=""/>
    <s v=""/>
    <s v=""/>
    <s v="Pipeline de Vendas"/>
    <s v="Em negociação (75%)"/>
    <s v=""/>
    <m/>
    <n v="74860"/>
    <n v="641932"/>
    <n v="48"/>
    <s v="Junior Lopes"/>
    <d v="2025-03-28T00:00:00"/>
    <d v="1899-12-30T15:37:47"/>
    <s v=""/>
    <s v="Perdido"/>
    <d v="2025-05-15T00:00:00"/>
    <d v="1899-12-30T11:35:21"/>
    <s v="Projeto adiado / sem prazo definido"/>
    <s v="cliente ainda não definiu _x000a_estou baixando oportunidade mas manterei contato via WhatsApp"/>
    <s v=""/>
    <x v="60"/>
    <s v=""/>
    <x v="70"/>
    <s v=""/>
    <m/>
    <m/>
    <s v=""/>
    <s v=""/>
    <s v=""/>
    <s v=""/>
    <n v="1"/>
  </r>
  <r>
    <x v="1"/>
    <n v="318"/>
    <m/>
    <n v="1957"/>
    <s v=""/>
    <s v=""/>
    <x v="133"/>
    <n v="8652421000109"/>
    <s v=""/>
    <s v="Comércio Bernardi e Bernardi - Cloud"/>
    <s v="43991395000"/>
    <s v=""/>
    <s v="pedidos@suifarma.com.br"/>
    <s v=""/>
    <s v=""/>
    <s v=""/>
    <s v=""/>
    <s v=""/>
    <s v=""/>
    <s v=""/>
    <s v=""/>
    <s v=""/>
    <s v="Pipeline de Vendas"/>
    <s v="Apresentar Proposta (50%)"/>
    <s v=""/>
    <m/>
    <m/>
    <m/>
    <n v="19"/>
    <s v="Junior Lopes"/>
    <d v="2025-03-28T00:00:00"/>
    <d v="1899-12-30T15:40:43"/>
    <s v=""/>
    <s v="Perdido"/>
    <d v="2025-04-16T00:00:00"/>
    <d v="1899-12-30T09:39:03"/>
    <s v="Projeto adiado / sem prazo definido"/>
    <s v="cadastro em duplicidade"/>
    <s v=""/>
    <x v="60"/>
    <s v=""/>
    <x v="70"/>
    <s v=""/>
    <m/>
    <m/>
    <s v=""/>
    <s v=""/>
    <s v=""/>
    <s v=""/>
    <n v="1"/>
  </r>
  <r>
    <x v="1"/>
    <n v="319"/>
    <m/>
    <n v="1958"/>
    <s v=""/>
    <s v=""/>
    <x v="134"/>
    <m/>
    <s v=""/>
    <s v="culturama - Horas"/>
    <s v="54996596274"/>
    <s v=""/>
    <s v="vinicius.mathyas@culturama.com.br"/>
    <s v=""/>
    <s v=""/>
    <s v=""/>
    <s v=""/>
    <s v=""/>
    <s v=""/>
    <s v=""/>
    <s v=""/>
    <s v=""/>
    <s v="Pipeline de Vendas"/>
    <s v="Em Fechamento (100%)"/>
    <s v=""/>
    <m/>
    <n v="1760013"/>
    <n v="0"/>
    <n v="0"/>
    <s v="Junior Lopes"/>
    <d v="2025-03-31T00:00:00"/>
    <d v="1899-12-30T11:20:59"/>
    <s v=""/>
    <s v="Ganho"/>
    <d v="2025-03-31T00:00:00"/>
    <d v="1899-12-30T11:36:21"/>
    <s v=""/>
    <s v=""/>
    <s v=""/>
    <x v="56"/>
    <s v=""/>
    <x v="0"/>
    <s v=""/>
    <m/>
    <m/>
    <s v=""/>
    <s v=""/>
    <s v=""/>
    <s v=""/>
    <n v="1"/>
  </r>
  <r>
    <x v="1"/>
    <n v="321"/>
    <m/>
    <n v="1961"/>
    <s v=""/>
    <s v=""/>
    <x v="133"/>
    <m/>
    <s v=""/>
    <s v="Comércio Bernardi e Bernardi - Cloud"/>
    <s v="5537446412"/>
    <s v=""/>
    <s v="pedidos@suifarma.com.br"/>
    <s v=""/>
    <s v=""/>
    <s v=""/>
    <s v=""/>
    <s v=""/>
    <s v=""/>
    <s v=""/>
    <s v=""/>
    <s v=""/>
    <s v="Pipeline de Vendas"/>
    <s v="Em negociação (75%)"/>
    <s v=""/>
    <m/>
    <n v="1600"/>
    <n v="462522"/>
    <n v="45"/>
    <s v="Junior Lopes"/>
    <d v="2025-03-31T00:00:00"/>
    <d v="1899-12-30T15:10:22"/>
    <s v=""/>
    <s v="Perdido"/>
    <d v="2025-05-15T00:00:00"/>
    <d v="1899-12-30T11:36:48"/>
    <s v="Projeto adiado / sem prazo definido"/>
    <s v="cliente ainda não definiu _x000a_estou baixando oportunidade mas manterei contato via WhatsApp"/>
    <s v=""/>
    <x v="60"/>
    <s v=""/>
    <x v="70"/>
    <s v=""/>
    <m/>
    <m/>
    <s v=""/>
    <s v=""/>
    <s v=""/>
    <s v=""/>
    <n v="1"/>
  </r>
  <r>
    <x v="1"/>
    <n v="322"/>
    <m/>
    <n v="1962"/>
    <s v=""/>
    <s v=""/>
    <x v="135"/>
    <m/>
    <s v=""/>
    <s v="GB . Importadora - XML"/>
    <s v="19993040768"/>
    <s v=""/>
    <s v="pehpbroglio@gmail.com"/>
    <s v=""/>
    <s v=""/>
    <s v=""/>
    <s v=""/>
    <s v=""/>
    <s v=""/>
    <s v=""/>
    <s v=""/>
    <s v=""/>
    <s v="Pipeline de Vendas"/>
    <s v="Em Fechamento (100%)"/>
    <s v=""/>
    <m/>
    <n v="0"/>
    <n v="30002"/>
    <n v="24"/>
    <s v="Junior Lopes"/>
    <d v="2025-03-31T00:00:00"/>
    <d v="1899-12-30T16:37:55"/>
    <s v=""/>
    <s v="Ganho"/>
    <d v="2025-04-24T00:00:00"/>
    <d v="1899-12-30T12:03:46"/>
    <s v=""/>
    <s v=""/>
    <s v=""/>
    <x v="60"/>
    <s v=""/>
    <x v="0"/>
    <s v=""/>
    <m/>
    <m/>
    <s v=""/>
    <s v=""/>
    <s v=""/>
    <s v=""/>
    <n v="1"/>
  </r>
  <r>
    <x v="1"/>
    <n v="323"/>
    <m/>
    <n v="1963"/>
    <s v=""/>
    <s v=""/>
    <x v="136"/>
    <m/>
    <s v=""/>
    <s v="ARK Brasil"/>
    <s v="21964397621"/>
    <s v=""/>
    <s v="luana.dale@arkbrasil.com.br"/>
    <s v=""/>
    <s v=""/>
    <s v=""/>
    <s v=""/>
    <s v=""/>
    <s v=""/>
    <s v=""/>
    <s v=""/>
    <s v=""/>
    <s v="Pipeline de Vendas"/>
    <s v="Apresentar Proposta (50%)"/>
    <s v=""/>
    <m/>
    <n v="16960"/>
    <n v="1980"/>
    <n v="64"/>
    <s v="Junior Lopes"/>
    <d v="2025-03-31T00:00:00"/>
    <d v="1899-12-30T16:49:47"/>
    <s v=""/>
    <s v="Perdido"/>
    <d v="2025-06-03T00:00:00"/>
    <d v="1899-12-30T11:06:14"/>
    <s v="Não quer mudar a solução atual"/>
    <s v="estou mantendo contato para força de vendas"/>
    <s v=""/>
    <x v="60"/>
    <s v=""/>
    <x v="71"/>
    <s v=""/>
    <m/>
    <m/>
    <s v=""/>
    <s v=""/>
    <s v=""/>
    <s v=""/>
    <n v="1"/>
  </r>
  <r>
    <x v="1"/>
    <n v="328"/>
    <m/>
    <n v="1970"/>
    <s v=""/>
    <s v=""/>
    <x v="137"/>
    <m/>
    <s v=""/>
    <s v="Casa Ambiente"/>
    <s v="11983264135"/>
    <s v=""/>
    <s v="contato@casaambienteud.com.br"/>
    <s v=""/>
    <s v=""/>
    <s v=""/>
    <s v=""/>
    <s v=""/>
    <s v=""/>
    <s v=""/>
    <s v=""/>
    <s v=""/>
    <s v="Pipeline de Vendas"/>
    <s v="Qualificação de Vendas (SQL) (25%)"/>
    <s v=""/>
    <m/>
    <m/>
    <m/>
    <n v="71"/>
    <s v="Junior Lopes"/>
    <d v="2025-04-01T00:00:00"/>
    <d v="1899-12-30T15:57:21"/>
    <s v=""/>
    <s v="Perdido"/>
    <d v="2025-06-11T00:00:00"/>
    <d v="1899-12-30T14:35:24"/>
    <s v="Projeto adiado / sem prazo definido"/>
    <s v="sem resposta ao contato"/>
    <s v="09/04/2025"/>
    <x v="0"/>
    <s v=""/>
    <x v="0"/>
    <s v=""/>
    <m/>
    <m/>
    <s v=""/>
    <s v=""/>
    <s v=""/>
    <s v=""/>
    <n v="1"/>
  </r>
  <r>
    <x v="1"/>
    <n v="333"/>
    <m/>
    <n v="1977"/>
    <s v=""/>
    <s v=""/>
    <x v="138"/>
    <n v="32921219000110"/>
    <s v=""/>
    <s v="MDL Import"/>
    <s v="11910695515"/>
    <s v=""/>
    <s v="janaina@mdlimport.com.br"/>
    <s v=""/>
    <s v=""/>
    <s v=""/>
    <s v=""/>
    <s v=""/>
    <s v=""/>
    <s v=""/>
    <s v=""/>
    <s v="80%"/>
    <s v="Pipeline de Vendas"/>
    <s v="Em negociação (75%)"/>
    <s v=""/>
    <m/>
    <n v="69112"/>
    <n v="318388"/>
    <n v="88"/>
    <s v="Junior Lopes"/>
    <d v="2025-04-03T00:00:00"/>
    <d v="1899-12-30T15:52:15"/>
    <s v=""/>
    <s v="Perdido"/>
    <d v="2025-06-30T00:00:00"/>
    <d v="1899-12-30T15:11:40"/>
    <s v="Não houve aprovação financeira"/>
    <s v="integração com WMS inviabilizou o projeto"/>
    <s v=""/>
    <x v="63"/>
    <s v="Junior Lopes"/>
    <x v="72"/>
    <s v="15/04/2025"/>
    <m/>
    <m/>
    <s v=""/>
    <s v=""/>
    <s v=""/>
    <s v=""/>
    <n v="1"/>
  </r>
  <r>
    <x v="2"/>
    <n v="334"/>
    <m/>
    <n v="1978"/>
    <s v=""/>
    <s v=""/>
    <x v="139"/>
    <n v="55940574000131"/>
    <s v=""/>
    <s v="Herbert Felipe Monteiro"/>
    <s v="16994380062"/>
    <s v=""/>
    <s v="felipe.monteiro@pimpinella.com.br"/>
    <s v=""/>
    <s v=""/>
    <s v=""/>
    <s v=""/>
    <s v=""/>
    <s v="Indicação"/>
    <s v=""/>
    <s v=""/>
    <s v="80%"/>
    <s v="Pipeline de Vendas"/>
    <s v="Em negociação (75%)"/>
    <s v="10x sem juros (0/30/60/90/120/150...)"/>
    <d v="2026-01-31T00:00:00"/>
    <m/>
    <m/>
    <n v="228"/>
    <s v="Rayssa Karapeticov"/>
    <d v="2025-04-04T00:00:00"/>
    <d v="1899-12-30T15:30:02"/>
    <s v=""/>
    <s v="Perdido"/>
    <d v="2025-11-18T00:00:00"/>
    <d v="1899-12-30T09:22:52"/>
    <s v="Projeto adiado / sem prazo definido"/>
    <s v=""/>
    <s v=""/>
    <x v="64"/>
    <s v="Rayssa Karapeticov"/>
    <x v="73"/>
    <s v="16/04/2025"/>
    <m/>
    <m/>
    <s v=""/>
    <s v=""/>
    <s v=""/>
    <s v=""/>
    <n v="1"/>
  </r>
  <r>
    <x v="1"/>
    <n v="336"/>
    <m/>
    <n v="1980"/>
    <s v=""/>
    <s v=""/>
    <x v="140"/>
    <n v="56262451000151"/>
    <s v=""/>
    <s v="Mais Barato Brinquedos"/>
    <s v="(11) 2492-2763"/>
    <s v=""/>
    <s v="fbastosauditores@terra.com.br"/>
    <s v=""/>
    <s v=""/>
    <s v=""/>
    <s v="GUARULHOS"/>
    <s v="SP"/>
    <s v=""/>
    <s v=""/>
    <s v=""/>
    <s v=""/>
    <s v="Pipeline de Vendas"/>
    <s v="Em negociação (75%)"/>
    <s v=""/>
    <m/>
    <n v="110486"/>
    <n v="704412"/>
    <n v="16"/>
    <s v="Junior Lopes"/>
    <d v="2025-04-07T00:00:00"/>
    <d v="1899-12-30T10:11:44"/>
    <s v=""/>
    <s v="Perdido"/>
    <d v="2025-04-23T00:00:00"/>
    <d v="1899-12-30T15:03:14"/>
    <s v="Não houve aprovação financeira"/>
    <s v="Após envio da proposta comercial, não obtive mais retorno do Kaique, estou declinando a oportunidade mas continuarei tentando contato"/>
    <s v="10/04/2025"/>
    <x v="65"/>
    <s v=""/>
    <x v="0"/>
    <s v=""/>
    <m/>
    <m/>
    <s v=""/>
    <s v=""/>
    <s v=""/>
    <s v=""/>
    <n v="1"/>
  </r>
  <r>
    <x v="0"/>
    <n v="338"/>
    <m/>
    <n v="1983"/>
    <s v=""/>
    <s v=""/>
    <x v="141"/>
    <n v="750764000102"/>
    <s v=""/>
    <s v="Adavilson"/>
    <s v="4834332503"/>
    <s v=""/>
    <s v="adavilson@bruver.com.br"/>
    <s v=""/>
    <s v=""/>
    <s v=""/>
    <s v=""/>
    <s v=""/>
    <s v=""/>
    <s v=""/>
    <s v=""/>
    <s v=""/>
    <s v="Pipeline de Vendas"/>
    <s v="Em negociação (75%)"/>
    <s v=""/>
    <m/>
    <n v="50000"/>
    <n v="30502"/>
    <n v="26"/>
    <s v="Paulo Souza"/>
    <d v="2025-04-07T00:00:00"/>
    <d v="1899-12-30T14:24:21"/>
    <s v=""/>
    <s v="Perdido"/>
    <d v="2025-05-03T00:00:00"/>
    <d v="1899-12-30T10:41:00"/>
    <s v="Preço muito alto - fora do budget de investimento"/>
    <s v=""/>
    <s v=""/>
    <x v="66"/>
    <s v="Paulo Souza"/>
    <x v="74"/>
    <s v=""/>
    <m/>
    <m/>
    <s v=""/>
    <s v=""/>
    <s v=""/>
    <s v=""/>
    <n v="1"/>
  </r>
  <r>
    <x v="1"/>
    <n v="343"/>
    <m/>
    <n v="1988"/>
    <s v=""/>
    <s v=""/>
    <x v="142"/>
    <m/>
    <s v=""/>
    <s v="ALMAPY"/>
    <s v="11940062281"/>
    <s v=""/>
    <s v="projetos@almapy.com.br"/>
    <s v=""/>
    <s v=""/>
    <s v=""/>
    <s v=""/>
    <s v=""/>
    <s v=""/>
    <s v=""/>
    <s v=""/>
    <s v=""/>
    <s v="Pipeline de Vendas"/>
    <s v="Apresentar Proposta (50%)"/>
    <s v=""/>
    <m/>
    <n v="32400"/>
    <n v="104544"/>
    <n v="34"/>
    <s v="Junior Lopes"/>
    <d v="2025-04-11T00:00:00"/>
    <d v="1899-12-30T11:56:04"/>
    <s v=""/>
    <s v="Perdido"/>
    <d v="2025-05-15T00:00:00"/>
    <d v="1899-12-30T11:17:15"/>
    <s v="Projeto adiado / sem prazo definido"/>
    <s v="Não vai dar sequencia no momento"/>
    <s v=""/>
    <x v="67"/>
    <s v=""/>
    <x v="75"/>
    <s v=""/>
    <m/>
    <m/>
    <s v=""/>
    <s v=""/>
    <s v=""/>
    <s v=""/>
    <n v="1"/>
  </r>
  <r>
    <x v="1"/>
    <n v="346"/>
    <m/>
    <n v="1991"/>
    <s v=""/>
    <s v=""/>
    <x v="143"/>
    <m/>
    <s v=""/>
    <s v="Renovação Porcelanas"/>
    <s v="11965745182"/>
    <s v=""/>
    <s v="camila@rnporcelanas.com.br"/>
    <s v=""/>
    <s v=""/>
    <s v=""/>
    <s v=""/>
    <s v=""/>
    <s v=""/>
    <s v=""/>
    <s v=""/>
    <s v="30%;90%;Fabio Indica"/>
    <s v="Pipeline de Vendas"/>
    <s v="Em Fechamento (100%)"/>
    <s v=""/>
    <d v="2026-01-31T00:00:00"/>
    <n v="51306"/>
    <n v="2700"/>
    <n v="296"/>
    <s v="Junior Lopes"/>
    <d v="2025-04-15T00:00:00"/>
    <d v="1899-12-30T14:58:16"/>
    <s v=""/>
    <s v="Ganho"/>
    <d v="2025-05-06T00:00:00"/>
    <d v="1899-12-30T11:39:55"/>
    <s v=""/>
    <s v="0"/>
    <s v=""/>
    <x v="6"/>
    <s v=""/>
    <x v="41"/>
    <s v=""/>
    <d v="2026-01-06T00:00:00"/>
    <m/>
    <s v=""/>
    <s v=""/>
    <s v=""/>
    <s v=""/>
    <n v="1"/>
  </r>
  <r>
    <x v="1"/>
    <n v="347"/>
    <m/>
    <n v="1992"/>
    <s v=""/>
    <s v=""/>
    <x v="144"/>
    <m/>
    <s v=""/>
    <s v="Renovação Porcelanas - AFV"/>
    <s v="11965745182"/>
    <s v=""/>
    <s v="camila@rnporcelanas.com.br"/>
    <s v=""/>
    <s v=""/>
    <s v=""/>
    <s v=""/>
    <s v=""/>
    <s v=""/>
    <s v=""/>
    <s v=""/>
    <s v=""/>
    <s v="Pipeline de Vendas"/>
    <s v="Em negociação (75%)"/>
    <s v=""/>
    <m/>
    <n v="15216"/>
    <n v="37684"/>
    <n v="21"/>
    <s v="Junior Lopes"/>
    <d v="2025-04-15T00:00:00"/>
    <d v="1899-12-30T14:59:35"/>
    <s v=""/>
    <s v="Perdido"/>
    <d v="2025-05-06T00:00:00"/>
    <d v="1899-12-30T11:41:13"/>
    <s v="Preço muito alto - fora do budget de investimento"/>
    <s v="Camila ! Sobre o projeto, acredita que vamos dar sequência?_x000a_,_x000a_Camila ? Boa tarde ! Espero que esteja bem ._x000a_Acredita que vamos seguir !_x000a_Oi boa tarde_x000a_Olá Camila ! Bom dia _x000a_Sobre o software? Tem interesse em dar continuidade?_x000a_Oi Camila, acredito que não tenham interesse nesse momento e tudo bem ! fico a disposição caso queira voltar sobre o projeto em breve_x000a_Junior bom dia_x000a_estou te devendo um retorno_x000a_esse valor de investimento no momento não faz sentido pra nós_x000a_voces querem fazer uma contra proposta ? posso verificar com minha diretoria"/>
    <s v=""/>
    <x v="68"/>
    <s v=""/>
    <x v="76"/>
    <s v=""/>
    <m/>
    <m/>
    <s v=""/>
    <s v=""/>
    <s v=""/>
    <s v=""/>
    <n v="1"/>
  </r>
  <r>
    <x v="1"/>
    <n v="348"/>
    <m/>
    <n v="1993"/>
    <s v=""/>
    <s v=""/>
    <x v="145"/>
    <m/>
    <s v=""/>
    <s v="Unik"/>
    <s v="11997371774"/>
    <s v=""/>
    <s v="leonardo@unik.com.br"/>
    <s v=""/>
    <s v=""/>
    <s v=""/>
    <s v=""/>
    <s v=""/>
    <s v=""/>
    <s v=""/>
    <s v=""/>
    <s v=""/>
    <s v="Pipeline de Vendas"/>
    <s v="Em Fechamento (100%)"/>
    <s v="10x sem juros (0/30/60/90/120/150...)"/>
    <m/>
    <n v="15264"/>
    <n v="8210"/>
    <n v="22"/>
    <s v="Junior Lopes"/>
    <d v="2025-04-15T00:00:00"/>
    <d v="1899-12-30T17:21:27"/>
    <s v=""/>
    <s v="Ganho"/>
    <d v="2025-05-07T00:00:00"/>
    <d v="1899-12-30T08:54:54"/>
    <s v=""/>
    <s v=""/>
    <s v=""/>
    <x v="69"/>
    <s v=""/>
    <x v="0"/>
    <s v=""/>
    <m/>
    <m/>
    <s v=""/>
    <s v=""/>
    <s v=""/>
    <s v=""/>
    <n v="1"/>
  </r>
  <r>
    <x v="1"/>
    <n v="351"/>
    <m/>
    <n v="1997"/>
    <s v=""/>
    <s v=""/>
    <x v="146"/>
    <n v="56262451000151"/>
    <s v=""/>
    <s v="XieXie Com. de brinquedos - B2B"/>
    <s v="(11) 2492-2763"/>
    <s v=""/>
    <s v="fbastosauditores@terra.com.br"/>
    <s v=""/>
    <s v=""/>
    <s v=""/>
    <s v="GUARULHOS"/>
    <s v="SP"/>
    <s v=""/>
    <s v=""/>
    <s v=""/>
    <s v=""/>
    <s v="Pipeline de Vendas"/>
    <s v="Em negociação (75%)"/>
    <s v=""/>
    <m/>
    <n v="1620001"/>
    <n v="3400"/>
    <n v="6"/>
    <s v="Junior Lopes"/>
    <d v="2025-04-17T00:00:00"/>
    <d v="1899-12-30T10:20:26"/>
    <s v=""/>
    <s v="Perdido"/>
    <d v="2025-04-23T00:00:00"/>
    <d v="1899-12-30T15:04:23"/>
    <s v="Não houve aprovação financeira"/>
    <s v="Após envio da proposta comercial, não obtive mais retorno do Kaique, estou declinando a oportunidade mas continuarei tentando contato"/>
    <s v=""/>
    <x v="70"/>
    <s v=""/>
    <x v="77"/>
    <s v=""/>
    <m/>
    <m/>
    <s v=""/>
    <s v=""/>
    <s v=""/>
    <s v=""/>
    <n v="1"/>
  </r>
  <r>
    <x v="1"/>
    <n v="352"/>
    <m/>
    <n v="1999"/>
    <s v=""/>
    <s v=""/>
    <x v="147"/>
    <m/>
    <s v=""/>
    <s v="XieXie Com. de brinquedos - BI"/>
    <s v="11949590732"/>
    <s v=""/>
    <s v="fbastosauditores@terra.com.br"/>
    <s v=""/>
    <s v=""/>
    <s v=""/>
    <s v=""/>
    <s v=""/>
    <s v=""/>
    <s v=""/>
    <s v=""/>
    <s v=""/>
    <s v="Pipeline de Vendas"/>
    <s v="Em negociação (75%)"/>
    <s v=""/>
    <m/>
    <n v="16200"/>
    <n v="2160"/>
    <n v="6"/>
    <s v="Junior Lopes"/>
    <d v="2025-04-17T00:00:00"/>
    <d v="1899-12-30T11:11:07"/>
    <s v=""/>
    <s v="Perdido"/>
    <d v="2025-04-23T00:00:00"/>
    <d v="1899-12-30T15:05:19"/>
    <s v="Não houve aprovação financeira"/>
    <s v="Após envio da proposta comercial, não obtive mais retorno do Kaique, estou declinando a oportunidade mas continuarei tentando contato"/>
    <s v=""/>
    <x v="70"/>
    <s v=""/>
    <x v="77"/>
    <s v=""/>
    <m/>
    <m/>
    <s v=""/>
    <s v=""/>
    <s v=""/>
    <s v=""/>
    <n v="1"/>
  </r>
  <r>
    <x v="1"/>
    <n v="353"/>
    <m/>
    <n v="2000"/>
    <s v=""/>
    <s v=""/>
    <x v="148"/>
    <n v="8678467000105"/>
    <s v=""/>
    <s v="Y-888 - ERP"/>
    <s v="(21) 2784-2650"/>
    <s v=""/>
    <s v=""/>
    <s v=""/>
    <s v=""/>
    <s v=""/>
    <s v="DUQUE DE CAXIAS"/>
    <s v="RJ"/>
    <s v=""/>
    <s v=""/>
    <s v=""/>
    <s v="50%"/>
    <s v="Pipeline de Vendas"/>
    <s v="Em negociação (75%)"/>
    <s v=""/>
    <m/>
    <n v="5667184"/>
    <n v="539533"/>
    <n v="68"/>
    <s v="Junior Lopes"/>
    <d v="2025-04-17T00:00:00"/>
    <d v="1899-12-30T12:16:07"/>
    <s v=""/>
    <s v="Perdido"/>
    <d v="2025-06-24T00:00:00"/>
    <d v="1899-12-30T11:54:52"/>
    <s v="Não houve aprovação financeira"/>
    <s v="estou fechando oportunidade porem manterei contato com Victor"/>
    <s v=""/>
    <x v="63"/>
    <s v=""/>
    <x v="72"/>
    <s v=""/>
    <m/>
    <m/>
    <s v=""/>
    <s v=""/>
    <s v=""/>
    <s v=""/>
    <n v="1"/>
  </r>
  <r>
    <x v="1"/>
    <n v="354"/>
    <m/>
    <n v="2002"/>
    <s v=""/>
    <s v=""/>
    <x v="149"/>
    <n v="8678467000105"/>
    <s v=""/>
    <s v="Y 888 importação - AFV"/>
    <s v="(21) 2784-2650"/>
    <s v=""/>
    <s v=""/>
    <s v=""/>
    <s v=""/>
    <s v=""/>
    <s v="DUQUE DE CAXIAS"/>
    <s v="RJ"/>
    <s v=""/>
    <s v=""/>
    <s v=""/>
    <s v="50%"/>
    <s v="Pipeline de Vendas"/>
    <s v="Em negociação (75%)"/>
    <s v=""/>
    <m/>
    <n v="1600"/>
    <n v="28747"/>
    <n v="68"/>
    <s v="Junior Lopes"/>
    <d v="2025-04-17T00:00:00"/>
    <d v="1899-12-30T14:20:48"/>
    <s v=""/>
    <s v="Perdido"/>
    <d v="2025-06-24T00:00:00"/>
    <d v="1899-12-30T11:56:26"/>
    <s v="Não houve aprovação financeira"/>
    <s v="estou descartando oportunidade porem vou manter contato com Victor"/>
    <s v=""/>
    <x v="63"/>
    <s v=""/>
    <x v="72"/>
    <s v=""/>
    <m/>
    <m/>
    <s v=""/>
    <s v=""/>
    <s v=""/>
    <s v=""/>
    <n v="1"/>
  </r>
  <r>
    <x v="1"/>
    <n v="355"/>
    <m/>
    <n v="2004"/>
    <s v=""/>
    <s v=""/>
    <x v="150"/>
    <m/>
    <s v=""/>
    <s v="MDL Import - Cloud"/>
    <s v="11910695515"/>
    <s v=""/>
    <s v="janaina@mdlimpoort.com.br"/>
    <s v=""/>
    <s v=""/>
    <s v=""/>
    <s v=""/>
    <s v=""/>
    <s v=""/>
    <s v=""/>
    <s v=""/>
    <s v="80%"/>
    <s v="Pipeline de Vendas"/>
    <s v="Em negociação (75%)"/>
    <s v=""/>
    <m/>
    <n v="1600"/>
    <n v="32107"/>
    <n v="74"/>
    <s v="Junior Lopes"/>
    <d v="2025-04-17T00:00:00"/>
    <d v="1899-12-30T15:26:06"/>
    <s v=""/>
    <s v="Perdido"/>
    <d v="2025-06-30T00:00:00"/>
    <d v="1899-12-30T15:13:09"/>
    <s v="Não houve aprovação financeira"/>
    <s v="integração com WMS inviabilizou projeto"/>
    <s v=""/>
    <x v="63"/>
    <s v=""/>
    <x v="72"/>
    <s v="15/04/2025"/>
    <m/>
    <m/>
    <s v=""/>
    <s v=""/>
    <s v=""/>
    <s v=""/>
    <n v="1"/>
  </r>
  <r>
    <x v="1"/>
    <n v="358"/>
    <m/>
    <n v="2008"/>
    <s v=""/>
    <s v=""/>
    <x v="151"/>
    <m/>
    <s v=""/>
    <s v="Cassio"/>
    <s v="(22) 99967-1888"/>
    <s v=""/>
    <s v="ngcassio@gmail.com"/>
    <s v=""/>
    <s v=""/>
    <s v=""/>
    <s v="Nova Friburgo"/>
    <s v=""/>
    <s v="Site"/>
    <s v=""/>
    <s v=""/>
    <s v="Solicita demo"/>
    <s v="Pipeline de Vendas"/>
    <s v="Apresentar Proposta (50%)"/>
    <s v=""/>
    <m/>
    <n v="58088"/>
    <n v="112089"/>
    <n v="17"/>
    <s v="Paulo Souza"/>
    <d v="2025-04-28T00:00:00"/>
    <d v="1899-12-30T16:40:49"/>
    <s v=""/>
    <s v="Perdido"/>
    <d v="2025-05-15T00:00:00"/>
    <d v="1899-12-30T15:31:10"/>
    <s v="Projeto adiado / sem prazo definido"/>
    <s v="empresa ainda esta no zero ! cliente mentaliza algo fora da realidade !"/>
    <s v=""/>
    <x v="64"/>
    <s v="Junior Lopes"/>
    <x v="78"/>
    <s v=""/>
    <m/>
    <m/>
    <s v=""/>
    <s v=""/>
    <s v=""/>
    <s v=""/>
    <n v="1"/>
  </r>
  <r>
    <x v="0"/>
    <n v="359"/>
    <m/>
    <n v="2019"/>
    <s v=""/>
    <s v=""/>
    <x v="152"/>
    <m/>
    <s v=""/>
    <s v="Vagner"/>
    <s v="(16) 99126-8825"/>
    <s v=""/>
    <s v="flordesedaimportadora@outlook.com"/>
    <s v=""/>
    <s v=""/>
    <s v=""/>
    <s v=""/>
    <s v=""/>
    <s v=""/>
    <s v=""/>
    <s v=""/>
    <s v=""/>
    <s v="Pipeline de Vendas"/>
    <s v="Em Fechamento (100%)"/>
    <s v=""/>
    <m/>
    <n v="40000"/>
    <n v="23581"/>
    <n v="43"/>
    <s v="Paulo Souza"/>
    <d v="2025-04-28T00:00:00"/>
    <d v="1899-12-30T16:44:09"/>
    <s v=""/>
    <s v="Ganho"/>
    <d v="2025-06-10T00:00:00"/>
    <d v="1899-12-30T12:15:46"/>
    <s v=""/>
    <s v=""/>
    <s v=""/>
    <x v="71"/>
    <s v="Paulo Souza"/>
    <x v="79"/>
    <s v=""/>
    <m/>
    <m/>
    <s v=""/>
    <s v=""/>
    <s v=""/>
    <s v=""/>
    <n v="1"/>
  </r>
  <r>
    <x v="0"/>
    <n v="360"/>
    <m/>
    <n v="1986"/>
    <s v=""/>
    <s v=""/>
    <x v="153"/>
    <m/>
    <s v=""/>
    <s v="Gabrielle"/>
    <s v="(11) 93449-7333"/>
    <s v=""/>
    <s v="gabi.bertoni@outlook.com"/>
    <s v=""/>
    <s v=""/>
    <s v=""/>
    <s v="São Paulo"/>
    <s v=""/>
    <s v="Site"/>
    <s v=""/>
    <s v=""/>
    <s v="Solicita demo"/>
    <s v="Pipeline de Vendas"/>
    <s v="Em negociação (75%)"/>
    <s v=""/>
    <m/>
    <n v="68400"/>
    <n v="302046"/>
    <n v="43"/>
    <s v="Paulo Souza"/>
    <d v="2025-04-28T00:00:00"/>
    <d v="1899-12-30T16:51:09"/>
    <s v=""/>
    <s v="Perdido"/>
    <d v="2025-06-10T00:00:00"/>
    <d v="1899-12-30T14:43:33"/>
    <s v="Não quer mudar a solução atual"/>
    <s v=""/>
    <s v=""/>
    <x v="71"/>
    <s v="Paulo Souza"/>
    <x v="79"/>
    <s v=""/>
    <m/>
    <m/>
    <s v=""/>
    <s v=""/>
    <s v=""/>
    <s v=""/>
    <n v="1"/>
  </r>
  <r>
    <x v="1"/>
    <n v="361"/>
    <m/>
    <n v="2010"/>
    <s v=""/>
    <s v=""/>
    <x v="154"/>
    <m/>
    <s v=""/>
    <s v="Importadora Cassio - Cloud"/>
    <s v="22999671888"/>
    <s v=""/>
    <s v="ngcassio@gmail.com"/>
    <s v=""/>
    <s v=""/>
    <s v=""/>
    <s v=""/>
    <s v=""/>
    <s v=""/>
    <s v=""/>
    <s v=""/>
    <s v=""/>
    <s v="Pipeline de Vendas"/>
    <s v="Apresentar Proposta (50%)"/>
    <s v=""/>
    <m/>
    <n v="26200"/>
    <n v="3400"/>
    <n v="16"/>
    <s v="Junior Lopes"/>
    <d v="2025-04-29T00:00:00"/>
    <d v="1899-12-30T14:49:37"/>
    <s v=""/>
    <s v="Perdido"/>
    <d v="2025-05-15T00:00:00"/>
    <d v="1899-12-30T15:31:35"/>
    <s v="Projeto adiado / sem prazo definido"/>
    <s v="empresa ainda esta no zero ! cliente mentaliza algo fora da realidade !"/>
    <s v=""/>
    <x v="64"/>
    <s v=""/>
    <x v="78"/>
    <s v=""/>
    <m/>
    <m/>
    <s v=""/>
    <s v=""/>
    <s v=""/>
    <s v=""/>
    <n v="1"/>
  </r>
  <r>
    <x v="1"/>
    <n v="362"/>
    <m/>
    <n v="2011"/>
    <s v=""/>
    <s v=""/>
    <x v="155"/>
    <m/>
    <s v=""/>
    <s v="Renovação porcelanas - Cloud"/>
    <s v="11965745182"/>
    <s v=""/>
    <s v="camila@rnporcelanas.com.br"/>
    <s v=""/>
    <s v=""/>
    <s v=""/>
    <s v=""/>
    <s v=""/>
    <s v=""/>
    <s v=""/>
    <s v=""/>
    <s v=""/>
    <s v="Pipeline de Vendas"/>
    <s v="Em negociação (75%)"/>
    <s v=""/>
    <m/>
    <n v="1600"/>
    <n v="1026"/>
    <n v="7"/>
    <s v="Junior Lopes"/>
    <d v="2025-04-29T00:00:00"/>
    <d v="1899-12-30T16:51:32"/>
    <s v=""/>
    <s v="Perdido"/>
    <d v="2025-05-06T00:00:00"/>
    <d v="1899-12-30T15:02:15"/>
    <s v="Preço muito alto - fora do budget de investimento"/>
    <s v=""/>
    <s v=""/>
    <x v="68"/>
    <s v=""/>
    <x v="76"/>
    <s v=""/>
    <m/>
    <m/>
    <s v=""/>
    <s v=""/>
    <s v=""/>
    <s v=""/>
    <n v="1"/>
  </r>
  <r>
    <x v="2"/>
    <n v="366"/>
    <m/>
    <n v="2015"/>
    <s v=""/>
    <s v=""/>
    <x v="156"/>
    <m/>
    <s v=""/>
    <s v="Jose Roberto"/>
    <s v=""/>
    <s v=""/>
    <s v="diretoria@grupobeline.com.br"/>
    <s v=""/>
    <s v=""/>
    <s v=""/>
    <s v=""/>
    <s v=""/>
    <s v=""/>
    <s v=""/>
    <s v=""/>
    <s v=""/>
    <s v="Pipeline de Vendas"/>
    <s v="Em Fechamento (100%)"/>
    <s v=""/>
    <m/>
    <n v="3360"/>
    <n v="165372"/>
    <n v="19"/>
    <s v="Rayssa Karapeticov"/>
    <d v="2025-04-30T00:00:00"/>
    <d v="1899-12-30T15:10:38"/>
    <s v=""/>
    <s v="Ganho"/>
    <d v="2025-05-19T00:00:00"/>
    <d v="1899-12-30T09:02:32"/>
    <s v=""/>
    <s v=""/>
    <s v=""/>
    <x v="72"/>
    <s v=""/>
    <x v="80"/>
    <s v=""/>
    <m/>
    <m/>
    <s v=""/>
    <s v=""/>
    <s v=""/>
    <s v=""/>
    <n v="1"/>
  </r>
  <r>
    <x v="1"/>
    <n v="367"/>
    <m/>
    <n v="2016"/>
    <s v=""/>
    <s v=""/>
    <x v="157"/>
    <m/>
    <s v=""/>
    <s v="Cassio importadora - Cloud"/>
    <s v="22999671888"/>
    <s v=""/>
    <s v="ngcassio@gmail.com"/>
    <s v=""/>
    <s v=""/>
    <s v=""/>
    <s v=""/>
    <s v=""/>
    <s v=""/>
    <s v=""/>
    <s v=""/>
    <s v=""/>
    <s v="Pipeline de Vendas"/>
    <s v="Apresentar Proposta (50%)"/>
    <s v=""/>
    <m/>
    <n v="1600"/>
    <n v="210169"/>
    <n v="15"/>
    <s v="Junior Lopes"/>
    <d v="2025-04-30T00:00:00"/>
    <d v="1899-12-30T15:30:14"/>
    <s v=""/>
    <s v="Perdido"/>
    <d v="2025-05-15T00:00:00"/>
    <d v="1899-12-30T15:31:57"/>
    <s v="Projeto adiado / sem prazo definido"/>
    <s v="empresa ainda esta no zero ! cliente mentaliza algo fora da realidade !"/>
    <s v=""/>
    <x v="64"/>
    <s v=""/>
    <x v="78"/>
    <s v=""/>
    <m/>
    <m/>
    <s v=""/>
    <s v=""/>
    <s v=""/>
    <s v=""/>
    <n v="1"/>
  </r>
  <r>
    <x v="0"/>
    <n v="368"/>
    <m/>
    <n v="2017"/>
    <s v=""/>
    <s v=""/>
    <x v="158"/>
    <n v="18677964000134"/>
    <s v=""/>
    <s v="L&amp;T Importadora"/>
    <s v="1127696004"/>
    <s v=""/>
    <s v="financeiro@ltimportadora.com.br"/>
    <s v=""/>
    <s v=""/>
    <s v=""/>
    <s v=""/>
    <s v=""/>
    <s v=""/>
    <s v=""/>
    <s v=""/>
    <s v=""/>
    <s v="Pipeline de Vendas"/>
    <s v="Em Fechamento (100%)"/>
    <s v=""/>
    <m/>
    <n v="14000"/>
    <n v="886"/>
    <n v="0"/>
    <s v="Paulo Souza"/>
    <d v="2025-05-02T00:00:00"/>
    <d v="1899-12-30T13:58:07"/>
    <s v=""/>
    <s v="Ganho"/>
    <d v="2025-05-02T00:00:00"/>
    <d v="1899-12-30T14:04:33"/>
    <s v=""/>
    <s v=""/>
    <s v=""/>
    <x v="73"/>
    <s v="Paulo Souza"/>
    <x v="81"/>
    <s v=""/>
    <m/>
    <m/>
    <s v=""/>
    <s v=""/>
    <s v=""/>
    <s v=""/>
    <n v="1"/>
  </r>
  <r>
    <x v="0"/>
    <n v="369"/>
    <m/>
    <n v="2018"/>
    <s v=""/>
    <s v=""/>
    <x v="159"/>
    <n v="10906096000105"/>
    <s v=""/>
    <s v="Sakes"/>
    <s v="1133133243"/>
    <s v=""/>
    <s v="MARCIA@SAKES.COM.BR"/>
    <s v=""/>
    <s v=""/>
    <s v=""/>
    <s v=""/>
    <s v=""/>
    <s v=""/>
    <s v=""/>
    <s v=""/>
    <s v=""/>
    <s v="Pipeline de Vendas"/>
    <s v="Agendamento (0%)"/>
    <s v=""/>
    <m/>
    <n v="13600"/>
    <n v="886"/>
    <n v="0"/>
    <s v="Paulo Souza"/>
    <d v="2025-05-02T00:00:00"/>
    <d v="1899-12-30T14:06:04"/>
    <s v=""/>
    <s v="Ganho"/>
    <d v="2025-05-02T00:00:00"/>
    <d v="1899-12-30T14:08:29"/>
    <s v=""/>
    <s v=""/>
    <s v=""/>
    <x v="73"/>
    <s v="Paulo Souza"/>
    <x v="81"/>
    <s v=""/>
    <m/>
    <m/>
    <s v=""/>
    <s v=""/>
    <s v=""/>
    <s v=""/>
    <n v="1"/>
  </r>
  <r>
    <x v="0"/>
    <n v="370"/>
    <m/>
    <n v="2020"/>
    <s v=""/>
    <s v=""/>
    <x v="160"/>
    <m/>
    <s v=""/>
    <s v="Nathan"/>
    <s v="15998182143"/>
    <s v=""/>
    <s v="null"/>
    <s v=""/>
    <s v=""/>
    <s v=""/>
    <s v=""/>
    <s v=""/>
    <s v=""/>
    <s v=""/>
    <s v=""/>
    <s v="50%"/>
    <s v="Pipeline de Vendas"/>
    <s v="Em negociação (75%)"/>
    <s v=""/>
    <m/>
    <n v="51250"/>
    <n v="33381"/>
    <n v="114"/>
    <s v="Paulo Souza"/>
    <d v="2025-05-03T00:00:00"/>
    <d v="1899-12-30T11:03:22"/>
    <s v=""/>
    <s v="Perdido"/>
    <d v="2025-08-25T00:00:00"/>
    <d v="1899-12-30T14:34:31"/>
    <s v="Projeto adiado / sem prazo definido"/>
    <s v=""/>
    <s v=""/>
    <x v="0"/>
    <s v="Paulo Souza"/>
    <x v="82"/>
    <s v=""/>
    <m/>
    <m/>
    <s v=""/>
    <s v=""/>
    <s v=""/>
    <s v=""/>
    <n v="1"/>
  </r>
  <r>
    <x v="1"/>
    <n v="375"/>
    <m/>
    <n v="2024"/>
    <s v=""/>
    <s v=""/>
    <x v="161"/>
    <m/>
    <s v=""/>
    <s v="Mundial Log"/>
    <s v="11947482090"/>
    <s v=""/>
    <s v="rafael@mundiallog.com.br"/>
    <s v=""/>
    <s v=""/>
    <s v=""/>
    <s v=""/>
    <s v=""/>
    <s v=""/>
    <s v=""/>
    <s v=""/>
    <s v=""/>
    <s v="Pipeline de Vendas"/>
    <s v="Apresentar Proposta (50%)"/>
    <s v=""/>
    <m/>
    <n v="69112"/>
    <n v="508112"/>
    <n v="7"/>
    <s v="Junior Lopes"/>
    <d v="2025-05-08T00:00:00"/>
    <d v="1899-12-30T16:11:25"/>
    <s v=""/>
    <s v="Perdido"/>
    <d v="2025-05-15T00:00:00"/>
    <d v="1899-12-30T16:22:48"/>
    <s v="Não houve aprovação financeira"/>
    <s v=""/>
    <s v=""/>
    <x v="74"/>
    <s v=""/>
    <x v="83"/>
    <s v=""/>
    <m/>
    <m/>
    <s v=""/>
    <s v=""/>
    <s v=""/>
    <s v=""/>
    <n v="1"/>
  </r>
  <r>
    <x v="1"/>
    <n v="376"/>
    <m/>
    <n v="2025"/>
    <s v=""/>
    <s v=""/>
    <x v="162"/>
    <m/>
    <s v=""/>
    <s v="Mundial Log - Cloud"/>
    <s v="11947482090"/>
    <s v=""/>
    <s v="rafael@mundiallog.com.br"/>
    <s v=""/>
    <s v=""/>
    <s v=""/>
    <s v=""/>
    <s v=""/>
    <s v=""/>
    <s v=""/>
    <s v=""/>
    <s v=""/>
    <s v="Pipeline de Vendas"/>
    <s v="Apresentar Proposta (50%)"/>
    <s v=""/>
    <m/>
    <n v="1600"/>
    <n v="32107"/>
    <n v="7"/>
    <s v="Junior Lopes"/>
    <d v="2025-05-08T00:00:00"/>
    <d v="1899-12-30T16:29:40"/>
    <s v=""/>
    <s v="Perdido"/>
    <d v="2025-05-15T00:00:00"/>
    <d v="1899-12-30T16:23:14"/>
    <s v="Não houve aprovação financeira"/>
    <s v=""/>
    <s v=""/>
    <x v="74"/>
    <s v=""/>
    <x v="83"/>
    <s v=""/>
    <m/>
    <m/>
    <s v=""/>
    <s v=""/>
    <s v=""/>
    <s v=""/>
    <n v="1"/>
  </r>
  <r>
    <x v="0"/>
    <n v="379"/>
    <m/>
    <n v="2199"/>
    <s v=""/>
    <s v=""/>
    <x v="163"/>
    <m/>
    <s v=""/>
    <s v="Anderson"/>
    <s v="(16) 99707-0733"/>
    <s v=""/>
    <s v=""/>
    <s v=""/>
    <s v=""/>
    <s v=""/>
    <s v=""/>
    <s v=""/>
    <s v="Indicação"/>
    <s v=""/>
    <s v=""/>
    <s v="50%"/>
    <s v="Pipeline de Vendas"/>
    <s v="Em negociação (75%)"/>
    <s v=""/>
    <m/>
    <n v="68400"/>
    <n v="17345"/>
    <n v="108"/>
    <s v="Paulo Souza"/>
    <d v="2025-05-09T00:00:00"/>
    <d v="1899-12-30T16:01:00"/>
    <s v=""/>
    <s v="Perdido"/>
    <d v="2025-08-25T00:00:00"/>
    <d v="1899-12-30T14:28:20"/>
    <s v="Fechou com o concorrente - preço"/>
    <s v=""/>
    <s v=""/>
    <x v="0"/>
    <s v=""/>
    <x v="0"/>
    <s v=""/>
    <m/>
    <m/>
    <s v=""/>
    <s v=""/>
    <s v=""/>
    <s v=""/>
    <n v="1"/>
  </r>
  <r>
    <x v="1"/>
    <n v="382"/>
    <m/>
    <n v="2031"/>
    <s v=""/>
    <s v=""/>
    <x v="164"/>
    <n v="27173648000116"/>
    <s v=""/>
    <s v="Fest Buuble"/>
    <s v="(11) 9342-9915"/>
    <s v=""/>
    <s v="amandfast@gmail.com"/>
    <s v=""/>
    <s v=""/>
    <s v=""/>
    <s v="SAO PAULO"/>
    <s v="SP"/>
    <s v=""/>
    <s v=""/>
    <s v=""/>
    <s v=""/>
    <s v="Pipeline de Vendas"/>
    <s v="Agendamento (0%)"/>
    <s v=""/>
    <m/>
    <m/>
    <m/>
    <n v="50"/>
    <s v="Junior Lopes"/>
    <d v="2025-05-12T00:00:00"/>
    <d v="1899-12-30T15:21:57"/>
    <s v=""/>
    <s v="Perdido"/>
    <d v="2025-07-01T00:00:00"/>
    <d v="1899-12-30T09:46:00"/>
    <s v="Projeto adiado / sem prazo definido"/>
    <s v="Aguardar Rep Mais"/>
    <s v=""/>
    <x v="0"/>
    <s v=""/>
    <x v="84"/>
    <s v=""/>
    <m/>
    <m/>
    <s v=""/>
    <s v=""/>
    <s v=""/>
    <s v=""/>
    <n v="1"/>
  </r>
  <r>
    <x v="1"/>
    <n v="383"/>
    <m/>
    <n v="2033"/>
    <s v=""/>
    <s v=""/>
    <x v="165"/>
    <n v="86890639000105"/>
    <s v=""/>
    <s v="Arrtef Brasil - RMS"/>
    <s v=""/>
    <s v=""/>
    <s v=""/>
    <s v=""/>
    <s v=""/>
    <s v=""/>
    <s v="CURITIBA"/>
    <s v="PR"/>
    <s v=""/>
    <s v=""/>
    <s v=""/>
    <s v=""/>
    <s v="Pipeline de Vendas"/>
    <s v="Agendamento (0%)"/>
    <s v=""/>
    <m/>
    <m/>
    <m/>
    <n v="50"/>
    <s v="Junior Lopes"/>
    <d v="2025-05-12T00:00:00"/>
    <d v="1899-12-30T15:34:32"/>
    <s v=""/>
    <s v="Perdido"/>
    <d v="2025-07-01T00:00:00"/>
    <d v="1899-12-30T09:46:34"/>
    <s v="Projeto adiado / sem prazo definido"/>
    <s v="Aguardar Rep Mais"/>
    <s v=""/>
    <x v="0"/>
    <s v=""/>
    <x v="0"/>
    <s v=""/>
    <m/>
    <m/>
    <s v=""/>
    <s v=""/>
    <s v=""/>
    <s v=""/>
    <n v="1"/>
  </r>
  <r>
    <x v="1"/>
    <n v="384"/>
    <m/>
    <n v="2036"/>
    <s v=""/>
    <s v=""/>
    <x v="166"/>
    <m/>
    <s v=""/>
    <s v="Fa fa Import"/>
    <s v="21989290057"/>
    <s v=""/>
    <s v="lucianadsmoura@gmail.com"/>
    <s v=""/>
    <s v=""/>
    <s v=""/>
    <s v=""/>
    <s v=""/>
    <s v=""/>
    <s v=""/>
    <s v=""/>
    <s v="90%"/>
    <s v="Pipeline de Vendas"/>
    <s v="Em Fechamento (100%)"/>
    <s v=""/>
    <m/>
    <n v="3230634"/>
    <n v="17706"/>
    <n v="35"/>
    <s v="Junior Lopes"/>
    <d v="2025-05-13T00:00:00"/>
    <d v="1899-12-30T17:15:52"/>
    <s v=""/>
    <s v="Ganho"/>
    <d v="2025-06-17T00:00:00"/>
    <d v="1899-12-30T16:19:34"/>
    <s v=""/>
    <s v=""/>
    <s v=""/>
    <x v="75"/>
    <s v=""/>
    <x v="85"/>
    <s v=""/>
    <m/>
    <m/>
    <s v=""/>
    <s v=""/>
    <s v=""/>
    <s v=""/>
    <n v="1"/>
  </r>
  <r>
    <x v="1"/>
    <n v="385"/>
    <m/>
    <n v="2037"/>
    <s v=""/>
    <s v=""/>
    <x v="167"/>
    <m/>
    <s v=""/>
    <s v="Fa Fa Import - Cloud"/>
    <s v="21989290058"/>
    <s v=""/>
    <s v="lucianadsmoura@gmail.com"/>
    <s v=""/>
    <s v=""/>
    <s v=""/>
    <s v=""/>
    <s v=""/>
    <s v=""/>
    <s v=""/>
    <s v=""/>
    <s v="90%"/>
    <s v="Pipeline de Vendas"/>
    <s v="Em Fechamento (100%)"/>
    <s v=""/>
    <m/>
    <n v="0"/>
    <n v="208313"/>
    <n v="35"/>
    <s v="Junior Lopes"/>
    <d v="2025-05-13T00:00:00"/>
    <d v="1899-12-30T17:16:59"/>
    <s v=""/>
    <s v="Ganho"/>
    <d v="2025-06-17T00:00:00"/>
    <d v="1899-12-30T16:20:18"/>
    <s v=""/>
    <s v=""/>
    <s v=""/>
    <x v="75"/>
    <s v=""/>
    <x v="85"/>
    <s v=""/>
    <m/>
    <m/>
    <s v=""/>
    <s v=""/>
    <s v=""/>
    <s v=""/>
    <n v="1"/>
  </r>
  <r>
    <x v="1"/>
    <n v="405"/>
    <m/>
    <n v="2061"/>
    <s v=""/>
    <s v=""/>
    <x v="168"/>
    <m/>
    <s v=""/>
    <s v="Amazonia aromas"/>
    <s v="11991266405"/>
    <s v=""/>
    <s v="atendimento@amazoniaaromas.com.br"/>
    <s v=""/>
    <s v=""/>
    <s v=""/>
    <s v=""/>
    <s v=""/>
    <s v=""/>
    <s v=""/>
    <s v=""/>
    <s v="50%"/>
    <s v="Pipeline de Vendas"/>
    <s v="Em negociação (75%)"/>
    <s v=""/>
    <m/>
    <m/>
    <m/>
    <n v="20"/>
    <s v="Junior Lopes"/>
    <d v="2025-05-28T00:00:00"/>
    <d v="1899-12-30T09:32:20"/>
    <s v=""/>
    <s v="Perdido"/>
    <d v="2025-06-17T00:00:00"/>
    <d v="1899-12-30T16:21:42"/>
    <s v="Nossa solução não atende - falta funcionalidade"/>
    <s v="15:18, 3/6/2025 André Oliveira (Amazonia Aromas): Quanto?_x000a_15:21, 3/6/2025 Junior Lopes: acredito que uns 90 dias ! estamos em homologação em um cliente da nossa base_x000a_15:31, 3/6/2025 André Oliveira (Amazonia Aromas): Mobile Android e ios normal_x000a_15:34, 3/6/2025 Junior Lopes: Mobile Android Off-line _x000a_iOS e Windows on-line_x000a_15:37, 3/6/2025 André Oliveira (Amazonia Aromas): Hum ios ferra um pouco"/>
    <s v=""/>
    <x v="76"/>
    <s v=""/>
    <x v="86"/>
    <s v=""/>
    <m/>
    <m/>
    <s v=""/>
    <s v=""/>
    <s v=""/>
    <s v=""/>
    <n v="1"/>
  </r>
  <r>
    <x v="1"/>
    <n v="406"/>
    <m/>
    <n v="2062"/>
    <s v=""/>
    <s v=""/>
    <x v="169"/>
    <n v="5215210000110"/>
    <s v=""/>
    <s v="AZPR"/>
    <s v="(41) 3376-2439"/>
    <s v=""/>
    <s v=""/>
    <s v=""/>
    <s v=""/>
    <s v=""/>
    <s v="CURITIBA"/>
    <s v="PR"/>
    <s v=""/>
    <s v=""/>
    <s v=""/>
    <s v="30%"/>
    <s v="Pipeline de Vendas"/>
    <s v="Apresentar Solução (35%)"/>
    <s v=""/>
    <m/>
    <n v="622008"/>
    <n v="23661"/>
    <n v="26"/>
    <s v="Junior Lopes"/>
    <d v="2025-05-28T00:00:00"/>
    <d v="1899-12-30T09:50:40"/>
    <s v=""/>
    <s v="Perdido"/>
    <d v="2025-06-23T00:00:00"/>
    <d v="1899-12-30T08:51:59"/>
    <s v="Projeto adiado / sem prazo definido"/>
    <s v="voltar contato quando RepMais"/>
    <s v=""/>
    <x v="77"/>
    <s v=""/>
    <x v="87"/>
    <s v=""/>
    <m/>
    <m/>
    <s v=""/>
    <s v=""/>
    <s v=""/>
    <s v=""/>
    <n v="1"/>
  </r>
  <r>
    <x v="1"/>
    <n v="407"/>
    <m/>
    <n v="2065"/>
    <s v=""/>
    <s v=""/>
    <x v="170"/>
    <n v="5215210000110"/>
    <s v=""/>
    <s v="AZPR"/>
    <s v="(41) 3376-2439"/>
    <s v=""/>
    <s v=""/>
    <s v=""/>
    <s v=""/>
    <s v=""/>
    <s v="CURITIBA"/>
    <s v="PR"/>
    <s v=""/>
    <s v=""/>
    <s v=""/>
    <s v="30%"/>
    <s v="Pipeline de Vendas"/>
    <s v="Apresentar Solução (35%)"/>
    <s v=""/>
    <m/>
    <n v="1600"/>
    <n v="26507"/>
    <n v="26"/>
    <s v="Junior Lopes"/>
    <d v="2025-05-28T00:00:00"/>
    <d v="1899-12-30T09:54:27"/>
    <s v=""/>
    <s v="Perdido"/>
    <d v="2025-06-23T00:00:00"/>
    <d v="1899-12-30T08:53:19"/>
    <s v="Projeto adiado / sem prazo definido"/>
    <s v="Procurar quando RepMais"/>
    <s v=""/>
    <x v="77"/>
    <s v=""/>
    <x v="87"/>
    <s v=""/>
    <m/>
    <m/>
    <s v=""/>
    <s v=""/>
    <s v=""/>
    <s v=""/>
    <n v="1"/>
  </r>
  <r>
    <x v="1"/>
    <n v="408"/>
    <m/>
    <n v="2068"/>
    <s v=""/>
    <s v=""/>
    <x v="171"/>
    <m/>
    <s v=""/>
    <s v="Erca alumínio"/>
    <s v="19997023116"/>
    <s v=""/>
    <s v="rafael@ercaaluminio.com.br"/>
    <s v=""/>
    <s v=""/>
    <s v=""/>
    <s v=""/>
    <s v=""/>
    <s v=""/>
    <s v=""/>
    <s v=""/>
    <s v=""/>
    <s v="Pipeline de Vendas"/>
    <s v="Em Fechamento (100%)"/>
    <s v="10x sem juros (0/30/60/90/120/150...)"/>
    <m/>
    <n v="123066"/>
    <n v="0"/>
    <n v="0"/>
    <s v="Junior Lopes"/>
    <d v="2025-05-28T00:00:00"/>
    <d v="1899-12-30T10:09:38"/>
    <s v=""/>
    <s v="Ganho"/>
    <d v="2025-05-28T00:00:00"/>
    <d v="1899-12-30T10:22:07"/>
    <s v=""/>
    <s v=""/>
    <s v=""/>
    <x v="78"/>
    <s v=""/>
    <x v="0"/>
    <s v=""/>
    <m/>
    <m/>
    <s v=""/>
    <s v=""/>
    <s v=""/>
    <s v=""/>
    <n v="1"/>
  </r>
  <r>
    <x v="1"/>
    <n v="409"/>
    <m/>
    <n v="2069"/>
    <s v=""/>
    <s v=""/>
    <x v="172"/>
    <n v="56262451000151"/>
    <s v=""/>
    <s v="XieXie Mais barato"/>
    <s v="(11) 2492-2763"/>
    <s v=""/>
    <s v="fbastosauditores@terra.com.br"/>
    <s v=""/>
    <s v=""/>
    <s v=""/>
    <s v="GUARULHOS"/>
    <s v="SP"/>
    <s v=""/>
    <s v=""/>
    <s v=""/>
    <s v=""/>
    <s v="Pipeline de Vendas"/>
    <s v="Em negociação (75%)"/>
    <s v=""/>
    <m/>
    <n v="52258"/>
    <n v="606364"/>
    <n v="6"/>
    <s v="Junior Lopes"/>
    <d v="2025-05-28T00:00:00"/>
    <d v="1899-12-30T10:32:07"/>
    <s v=""/>
    <s v="Perdido"/>
    <d v="2025-06-03T00:00:00"/>
    <d v="1899-12-30T10:00:29"/>
    <s v="Preço muito alto - fora do budget de investimento"/>
    <s v="PROPOSTA RENOVCADA POREM CLIENTE NÃO DEU SEQUENCIA"/>
    <s v=""/>
    <x v="79"/>
    <s v=""/>
    <x v="0"/>
    <s v=""/>
    <m/>
    <m/>
    <s v=""/>
    <s v=""/>
    <s v=""/>
    <s v=""/>
    <n v="1"/>
  </r>
  <r>
    <x v="1"/>
    <n v="410"/>
    <m/>
    <n v="2071"/>
    <s v=""/>
    <s v=""/>
    <x v="173"/>
    <n v="56262451000151"/>
    <s v=""/>
    <s v="XieXie Mais Barato - BI B2B"/>
    <s v="(11) 2492-2763"/>
    <s v=""/>
    <s v="fbastosauditores@terra.com.br"/>
    <s v=""/>
    <s v=""/>
    <s v=""/>
    <s v="GUARULHOS"/>
    <s v="SP"/>
    <s v=""/>
    <s v=""/>
    <s v=""/>
    <s v=""/>
    <s v="Pipeline de Vendas"/>
    <s v="Em negociação (75%)"/>
    <s v=""/>
    <m/>
    <n v="42400"/>
    <n v="5560"/>
    <n v="6"/>
    <s v="Junior Lopes"/>
    <d v="2025-05-28T00:00:00"/>
    <d v="1899-12-30T10:38:48"/>
    <s v=""/>
    <s v="Perdido"/>
    <d v="2025-06-03T00:00:00"/>
    <d v="1899-12-30T10:01:26"/>
    <s v="Preço muito alto - fora do budget de investimento"/>
    <s v="PROPOSTA RENOVADA POREM CÇIENTE NÃO DEU SEQUENCIA"/>
    <s v=""/>
    <x v="79"/>
    <s v=""/>
    <x v="0"/>
    <s v=""/>
    <m/>
    <m/>
    <s v=""/>
    <s v=""/>
    <s v=""/>
    <s v=""/>
    <n v="1"/>
  </r>
  <r>
    <x v="1"/>
    <n v="412"/>
    <m/>
    <n v="2075"/>
    <s v=""/>
    <s v=""/>
    <x v="174"/>
    <m/>
    <s v=""/>
    <s v="Gala - B2B"/>
    <s v="67981004151"/>
    <s v=""/>
    <s v="diego@grupogala.com.br"/>
    <s v=""/>
    <s v=""/>
    <s v=""/>
    <s v=""/>
    <s v=""/>
    <s v=""/>
    <s v=""/>
    <s v=""/>
    <s v="50%"/>
    <s v="Pipeline de Vendas"/>
    <s v="Em negociação (75%)"/>
    <s v=""/>
    <m/>
    <n v="26200"/>
    <n v="3400"/>
    <n v="92"/>
    <s v="Junior Lopes"/>
    <d v="2025-05-28T00:00:00"/>
    <d v="1899-12-30T10:50:13"/>
    <s v=""/>
    <s v="Perdido"/>
    <d v="2025-08-28T00:00:00"/>
    <d v="1899-12-30T15:33:20"/>
    <s v="Não houve aprovação financeira"/>
    <s v=""/>
    <s v=""/>
    <x v="80"/>
    <s v=""/>
    <x v="87"/>
    <s v=""/>
    <m/>
    <m/>
    <s v=""/>
    <s v=""/>
    <s v=""/>
    <s v=""/>
    <n v="1"/>
  </r>
  <r>
    <x v="1"/>
    <n v="413"/>
    <m/>
    <n v="2076"/>
    <s v=""/>
    <s v=""/>
    <x v="175"/>
    <m/>
    <s v=""/>
    <s v="Flora Nectar - AFV"/>
    <s v="19971332893"/>
    <s v=""/>
    <s v="marina.dopekevicuz@v4company.com"/>
    <s v=""/>
    <s v=""/>
    <s v=""/>
    <s v=""/>
    <s v=""/>
    <s v=""/>
    <s v=""/>
    <s v=""/>
    <s v=""/>
    <s v="Pipeline de Vendas"/>
    <s v="Apresentar Solução (35%)"/>
    <s v=""/>
    <m/>
    <m/>
    <m/>
    <n v="12"/>
    <s v="Junior Lopes"/>
    <d v="2025-05-28T00:00:00"/>
    <d v="1899-12-30T11:12:16"/>
    <s v=""/>
    <s v="Perdido"/>
    <d v="2025-06-09T00:00:00"/>
    <d v="1899-12-30T15:53:56"/>
    <s v="Projeto adiado / sem prazo definido"/>
    <s v="Rayssa esta mantendo contato"/>
    <s v=""/>
    <x v="0"/>
    <s v=""/>
    <x v="88"/>
    <s v=""/>
    <m/>
    <m/>
    <s v=""/>
    <s v=""/>
    <s v=""/>
    <s v=""/>
    <n v="1"/>
  </r>
  <r>
    <x v="1"/>
    <n v="415"/>
    <m/>
    <n v="2127"/>
    <s v=""/>
    <s v=""/>
    <x v="176"/>
    <m/>
    <s v=""/>
    <s v="Xpert - ERP"/>
    <s v="11996219888"/>
    <s v=""/>
    <s v="manuela.xpert@gmail.com"/>
    <s v=""/>
    <s v=""/>
    <s v=""/>
    <s v=""/>
    <s v=""/>
    <s v=""/>
    <s v=""/>
    <s v=""/>
    <s v=""/>
    <s v="Pipeline de Vendas"/>
    <s v="Apresentar Solução (35%)"/>
    <s v=""/>
    <m/>
    <n v="622008"/>
    <n v="28481"/>
    <n v="12"/>
    <s v="Junior Lopes"/>
    <d v="2025-05-30T00:00:00"/>
    <d v="1899-12-30T09:10:03"/>
    <s v=""/>
    <s v="Perdido"/>
    <d v="2025-06-11T00:00:00"/>
    <d v="1899-12-30T14:24:50"/>
    <s v="Não houve aprovação financeira"/>
    <s v="informou que não tem verba de investimento"/>
    <s v=""/>
    <x v="76"/>
    <s v=""/>
    <x v="89"/>
    <s v=""/>
    <m/>
    <m/>
    <s v=""/>
    <s v=""/>
    <s v=""/>
    <s v=""/>
    <n v="1"/>
  </r>
  <r>
    <x v="1"/>
    <n v="416"/>
    <m/>
    <n v="2132"/>
    <s v=""/>
    <s v=""/>
    <x v="177"/>
    <m/>
    <s v=""/>
    <s v="Xpert - Cloud"/>
    <s v="11996219888"/>
    <s v=""/>
    <s v="manuela.xpert@gmail.com"/>
    <s v=""/>
    <s v=""/>
    <s v=""/>
    <s v=""/>
    <s v=""/>
    <s v=""/>
    <s v=""/>
    <s v=""/>
    <s v=""/>
    <s v="Pipeline de Vendas"/>
    <s v="Apresentar Proposta (50%)"/>
    <s v=""/>
    <m/>
    <n v="1600"/>
    <n v="28747"/>
    <n v="12"/>
    <s v="Junior Lopes"/>
    <d v="2025-05-30T00:00:00"/>
    <d v="1899-12-30T10:11:13"/>
    <s v=""/>
    <s v="Perdido"/>
    <d v="2025-06-11T00:00:00"/>
    <d v="1899-12-30T14:25:29"/>
    <s v="Não houve aprovação financeira"/>
    <s v="informou que não tem verba para investimento"/>
    <s v=""/>
    <x v="76"/>
    <s v=""/>
    <x v="89"/>
    <s v=""/>
    <m/>
    <m/>
    <s v=""/>
    <s v=""/>
    <s v=""/>
    <s v=""/>
    <n v="1"/>
  </r>
  <r>
    <x v="1"/>
    <n v="417"/>
    <m/>
    <n v="2133"/>
    <s v=""/>
    <s v=""/>
    <x v="178"/>
    <m/>
    <s v=""/>
    <s v="Ponto das festas"/>
    <s v="43988505997"/>
    <s v=""/>
    <s v="gerencia@pontodasfestas.com.br"/>
    <s v=""/>
    <s v=""/>
    <s v=""/>
    <s v=""/>
    <s v=""/>
    <s v=""/>
    <s v=""/>
    <s v=""/>
    <s v="30%"/>
    <s v="Pipeline de Vendas"/>
    <s v="Apresentar Proposta (50%)"/>
    <s v=""/>
    <m/>
    <n v="16960"/>
    <n v="40572"/>
    <n v="52"/>
    <s v="Junior Lopes"/>
    <d v="2025-05-30T00:00:00"/>
    <d v="1899-12-30T10:33:15"/>
    <s v=""/>
    <s v="Perdido"/>
    <d v="2025-07-21T00:00:00"/>
    <d v="1899-12-30T09:14:38"/>
    <s v="Projeto adiado / sem prazo definido"/>
    <s v="varias tentativas de contato sem retorno"/>
    <s v=""/>
    <x v="76"/>
    <s v=""/>
    <x v="89"/>
    <s v=""/>
    <m/>
    <m/>
    <s v=""/>
    <s v=""/>
    <s v=""/>
    <s v=""/>
    <n v="1"/>
  </r>
  <r>
    <x v="1"/>
    <n v="419"/>
    <m/>
    <n v="2144"/>
    <s v=""/>
    <s v=""/>
    <x v="179"/>
    <m/>
    <s v=""/>
    <s v="Oikos - Cloud"/>
    <s v="11987154112"/>
    <s v=""/>
    <s v="pedro@grupoecoa.com.br"/>
    <s v=""/>
    <s v=""/>
    <s v=""/>
    <s v=""/>
    <s v=""/>
    <s v=""/>
    <s v=""/>
    <s v=""/>
    <s v="90%"/>
    <s v="Pipeline de Vendas"/>
    <s v="Em Fechamento (100%)"/>
    <s v=""/>
    <m/>
    <n v="1600"/>
    <n v="1833334"/>
    <n v="52"/>
    <s v="Junior Lopes"/>
    <d v="2025-05-30T00:00:00"/>
    <d v="1899-12-30T14:05:15"/>
    <s v=""/>
    <s v="Perdido"/>
    <d v="2025-07-21T00:00:00"/>
    <d v="1899-12-30T09:47:38"/>
    <s v="Projeto adiado / sem prazo definido"/>
    <s v="cliente não responde sobre a continuidade"/>
    <s v=""/>
    <x v="80"/>
    <s v=""/>
    <x v="0"/>
    <s v=""/>
    <m/>
    <m/>
    <s v=""/>
    <s v=""/>
    <s v=""/>
    <s v=""/>
    <n v="1"/>
  </r>
  <r>
    <x v="1"/>
    <n v="422"/>
    <m/>
    <n v="2141"/>
    <s v=""/>
    <s v=""/>
    <x v="180"/>
    <n v="27898532000144"/>
    <s v=""/>
    <s v="Tainã"/>
    <s v="(14) 99811-7753"/>
    <s v=""/>
    <s v="atacadaodastripasfinanceiro@hotmail.com"/>
    <s v=""/>
    <s v=""/>
    <s v=""/>
    <s v="Tupã"/>
    <s v="SP"/>
    <s v="Inbound Opens"/>
    <s v=""/>
    <s v=""/>
    <s v=""/>
    <s v="Pipeline de Vendas"/>
    <s v="Apresentar Solução (35%)"/>
    <s v=""/>
    <m/>
    <n v="69592"/>
    <n v="23661"/>
    <n v="42"/>
    <s v="Débora Duarte"/>
    <d v="2025-06-02T00:00:00"/>
    <d v="1899-12-30T10:51:39"/>
    <s v=""/>
    <s v="Perdido"/>
    <d v="2025-07-14T00:00:00"/>
    <d v="1899-12-30T10:33:15"/>
    <s v="Projeto adiado / sem prazo definido"/>
    <s v="Descartando ! cliente não encontra tempo para seguir"/>
    <s v="30/05/2025 11:00"/>
    <x v="81"/>
    <s v="Débora Duarte"/>
    <x v="90"/>
    <s v="13/06/2025"/>
    <m/>
    <m/>
    <s v=""/>
    <s v=""/>
    <s v=""/>
    <s v=""/>
    <n v="1"/>
  </r>
  <r>
    <x v="2"/>
    <n v="423"/>
    <m/>
    <n v="2179"/>
    <s v=""/>
    <s v=""/>
    <x v="181"/>
    <n v="62182753000112"/>
    <s v=""/>
    <s v="Felipe"/>
    <s v="16994380062"/>
    <s v=""/>
    <s v="felipe.monteiro@pimpinella.com.br"/>
    <s v=""/>
    <s v=""/>
    <s v=""/>
    <s v=""/>
    <s v=""/>
    <s v="Indicação"/>
    <s v=""/>
    <s v=""/>
    <s v="80%"/>
    <s v="Pipeline de Vendas"/>
    <s v="Em negociação (75%)"/>
    <s v=""/>
    <m/>
    <n v="14280"/>
    <n v="127673"/>
    <n v="168"/>
    <s v="Rayssa Karapeticov"/>
    <d v="2025-06-03T00:00:00"/>
    <d v="1899-12-30T11:32:35"/>
    <s v=""/>
    <s v="Perdido"/>
    <d v="2025-11-18T00:00:00"/>
    <d v="1899-12-30T09:34:53"/>
    <s v="Projeto adiado / sem prazo definido"/>
    <s v=""/>
    <s v=""/>
    <x v="82"/>
    <s v="Rayssa Karapeticov"/>
    <x v="91"/>
    <s v=""/>
    <m/>
    <m/>
    <s v=""/>
    <s v=""/>
    <s v=""/>
    <s v=""/>
    <n v="1"/>
  </r>
  <r>
    <x v="1"/>
    <n v="425"/>
    <m/>
    <n v="2181"/>
    <s v=""/>
    <s v=""/>
    <x v="182"/>
    <n v="3971592000187"/>
    <s v=""/>
    <s v="Brinquedos Afv (RMS_AFV)"/>
    <s v="(51) 99840-3160"/>
    <s v=""/>
    <s v=""/>
    <s v=""/>
    <s v=""/>
    <s v=""/>
    <s v="PORTAO"/>
    <s v="RS"/>
    <s v=""/>
    <s v=""/>
    <s v=""/>
    <s v="30%"/>
    <s v="Pipeline de Vendas"/>
    <s v="Apresentar Solução (35%)"/>
    <s v=""/>
    <m/>
    <m/>
    <m/>
    <n v="26"/>
    <s v="Junior Lopes"/>
    <d v="2025-06-05T00:00:00"/>
    <d v="1899-12-30T10:52:19"/>
    <s v=""/>
    <s v="Perdido"/>
    <d v="2025-07-01T00:00:00"/>
    <d v="1899-12-30T09:56:25"/>
    <s v="Projeto adiado / sem prazo definido"/>
    <s v="Aguardar Rep Mais"/>
    <s v=""/>
    <x v="0"/>
    <s v=""/>
    <x v="0"/>
    <s v=""/>
    <m/>
    <m/>
    <s v=""/>
    <s v=""/>
    <s v=""/>
    <s v=""/>
    <n v="1"/>
  </r>
  <r>
    <x v="1"/>
    <n v="426"/>
    <m/>
    <n v="2186"/>
    <s v=""/>
    <s v=""/>
    <x v="183"/>
    <n v="480542000290"/>
    <s v=""/>
    <s v="Anjo brinquedos (RMS - AFV)"/>
    <s v="15997651713"/>
    <s v=""/>
    <s v="fat@brinquedosanjo.com.br"/>
    <s v=""/>
    <s v=""/>
    <s v=""/>
    <s v="LARANJAL PAULISTA"/>
    <s v="SP"/>
    <s v=""/>
    <s v=""/>
    <s v=""/>
    <s v=""/>
    <s v="Pipeline de Vendas"/>
    <s v="Agendamento (0%)"/>
    <s v=""/>
    <m/>
    <m/>
    <m/>
    <n v="26"/>
    <s v="Junior Lopes"/>
    <d v="2025-06-05T00:00:00"/>
    <d v="1899-12-30T11:03:34"/>
    <s v=""/>
    <s v="Perdido"/>
    <d v="2025-07-01T00:00:00"/>
    <d v="1899-12-30T09:47:14"/>
    <s v="Projeto adiado / sem prazo definido"/>
    <s v="Aguardar Rep Mais"/>
    <s v=""/>
    <x v="0"/>
    <s v=""/>
    <x v="0"/>
    <s v=""/>
    <m/>
    <m/>
    <s v=""/>
    <s v=""/>
    <s v=""/>
    <s v=""/>
    <n v="1"/>
  </r>
  <r>
    <x v="1"/>
    <n v="428"/>
    <m/>
    <n v="2189"/>
    <s v=""/>
    <s v=""/>
    <x v="184"/>
    <n v="10509268000107"/>
    <s v=""/>
    <s v="meio atacado"/>
    <s v="19997556622"/>
    <s v=""/>
    <s v="camila@meioatacado.com.br"/>
    <s v=""/>
    <s v=""/>
    <s v=""/>
    <s v="PIRACICABA"/>
    <s v="SP"/>
    <s v=""/>
    <s v=""/>
    <s v=""/>
    <s v="30%"/>
    <s v="Pipeline de Vendas"/>
    <s v="Apresentar Solução (35%)"/>
    <s v=""/>
    <m/>
    <n v="73430"/>
    <n v="37382"/>
    <n v="24"/>
    <s v="Junior Lopes"/>
    <d v="2025-06-06T00:00:00"/>
    <d v="1899-12-30T10:17:02"/>
    <s v=""/>
    <s v="Perdido"/>
    <d v="2025-06-30T00:00:00"/>
    <d v="1899-12-30T15:06:25"/>
    <s v="Projeto adiado / sem prazo definido"/>
    <s v="não responde mais aos contatos"/>
    <s v=""/>
    <x v="83"/>
    <s v=""/>
    <x v="92"/>
    <s v="16/06/2025"/>
    <m/>
    <m/>
    <s v=""/>
    <s v=""/>
    <s v=""/>
    <s v=""/>
    <n v="1"/>
  </r>
  <r>
    <x v="1"/>
    <n v="431"/>
    <m/>
    <n v="2194"/>
    <s v=""/>
    <s v=""/>
    <x v="185"/>
    <n v="28646036000166"/>
    <s v=""/>
    <s v="Goal comercial"/>
    <s v="11938010304"/>
    <s v=""/>
    <s v="juraci@goalcomercial.com.br"/>
    <s v=""/>
    <s v=""/>
    <s v=""/>
    <s v="SAO CAETANO DO SUL"/>
    <s v="SP"/>
    <s v=""/>
    <s v=""/>
    <s v=""/>
    <s v="30%"/>
    <s v="Pipeline de Vendas"/>
    <s v="Em negociação (75%)"/>
    <s v=""/>
    <m/>
    <n v="16960"/>
    <n v="70432"/>
    <n v="80"/>
    <s v="Junior Lopes"/>
    <d v="2025-06-09T00:00:00"/>
    <d v="1899-12-30T11:25:17"/>
    <s v=""/>
    <s v="Perdido"/>
    <d v="2025-08-28T00:00:00"/>
    <d v="1899-12-30T15:35:05"/>
    <s v="Projeto adiado / sem prazo definido"/>
    <s v="sem retorno do cliente"/>
    <s v=""/>
    <x v="84"/>
    <s v=""/>
    <x v="93"/>
    <s v="13/03/2026"/>
    <m/>
    <m/>
    <s v=""/>
    <s v=""/>
    <s v=""/>
    <s v=""/>
    <n v="1"/>
  </r>
  <r>
    <x v="1"/>
    <n v="433"/>
    <m/>
    <n v="2197"/>
    <s v=""/>
    <s v=""/>
    <x v="186"/>
    <m/>
    <s v=""/>
    <s v="Galpão importadora"/>
    <s v="81992522279"/>
    <s v=""/>
    <s v="null"/>
    <s v=""/>
    <s v=""/>
    <s v=""/>
    <s v=""/>
    <s v=""/>
    <s v=""/>
    <s v=""/>
    <s v=""/>
    <s v=""/>
    <s v="Pipeline de Vendas"/>
    <s v="Apresentar Solução (35%)"/>
    <s v=""/>
    <m/>
    <n v="16960"/>
    <n v="998"/>
    <n v="20"/>
    <s v="Junior Lopes"/>
    <d v="2025-06-11T00:00:00"/>
    <d v="1899-12-30T09:05:28"/>
    <s v=""/>
    <s v="Perdido"/>
    <d v="2025-07-01T00:00:00"/>
    <d v="1899-12-30T09:59:28"/>
    <s v="Projeto adiado / sem prazo definido"/>
    <s v="cliente não encontra tempo para apresentação"/>
    <s v=""/>
    <x v="85"/>
    <s v=""/>
    <x v="94"/>
    <s v=""/>
    <m/>
    <m/>
    <s v=""/>
    <s v=""/>
    <s v=""/>
    <s v=""/>
    <n v="1"/>
  </r>
  <r>
    <x v="0"/>
    <n v="434"/>
    <m/>
    <n v="2198"/>
    <s v=""/>
    <s v=""/>
    <x v="187"/>
    <m/>
    <s v=""/>
    <s v="Alexandre"/>
    <s v="11976806556"/>
    <s v=""/>
    <s v="vendas@finaideia.com.br"/>
    <s v=""/>
    <s v=""/>
    <s v=""/>
    <s v=""/>
    <s v=""/>
    <s v="Indicação"/>
    <s v=""/>
    <s v=""/>
    <s v="30%"/>
    <s v="Pipeline de Vendas"/>
    <s v="Apresentar Solução (35%)"/>
    <s v="6x sem juros (0/30/60/90/120/150...)"/>
    <m/>
    <m/>
    <m/>
    <n v="90"/>
    <s v="Paulo Souza"/>
    <d v="2025-06-12T00:00:00"/>
    <d v="1899-12-30T15:13:20"/>
    <s v=""/>
    <s v="Perdido"/>
    <d v="2025-09-10T00:00:00"/>
    <d v="1899-12-30T16:13:03"/>
    <s v="Projeto adiado / sem prazo definido"/>
    <s v=""/>
    <s v=""/>
    <x v="0"/>
    <s v="Paulo Souza"/>
    <x v="0"/>
    <s v=""/>
    <m/>
    <m/>
    <s v=""/>
    <s v=""/>
    <s v=""/>
    <s v=""/>
    <n v="1"/>
  </r>
  <r>
    <x v="0"/>
    <n v="435"/>
    <m/>
    <n v="2200"/>
    <s v=""/>
    <s v=""/>
    <x v="188"/>
    <m/>
    <s v=""/>
    <s v="Gustavo"/>
    <s v="16996352359"/>
    <s v=""/>
    <s v="null"/>
    <s v=""/>
    <s v=""/>
    <s v=""/>
    <s v=""/>
    <s v=""/>
    <s v="Indicação"/>
    <s v=""/>
    <s v=""/>
    <s v="50%"/>
    <s v="Pipeline de Vendas"/>
    <s v="Em Fechamento (100%)"/>
    <s v=""/>
    <m/>
    <n v="28800"/>
    <n v="201012"/>
    <n v="56"/>
    <s v="Paulo Souza"/>
    <d v="2025-06-12T00:00:00"/>
    <d v="1899-12-30T16:24:50"/>
    <s v=""/>
    <s v="Ganho"/>
    <d v="2025-08-07T00:00:00"/>
    <d v="1899-12-30T12:06:18"/>
    <s v=""/>
    <s v=""/>
    <s v=""/>
    <x v="0"/>
    <s v="Paulo Souza"/>
    <x v="0"/>
    <s v=""/>
    <m/>
    <m/>
    <s v=""/>
    <s v=""/>
    <s v=""/>
    <s v=""/>
    <n v="1"/>
  </r>
  <r>
    <x v="1"/>
    <n v="447"/>
    <m/>
    <n v="2213"/>
    <s v=""/>
    <s v=""/>
    <x v="189"/>
    <m/>
    <s v=""/>
    <s v="Vitoria cortinas"/>
    <s v="53999594657"/>
    <s v=""/>
    <s v="compras@vitoriacortinasdecoracoes.com.br"/>
    <s v=""/>
    <s v=""/>
    <s v=""/>
    <s v=""/>
    <s v=""/>
    <s v=""/>
    <s v=""/>
    <s v=""/>
    <s v=""/>
    <s v="Pipeline de Vendas"/>
    <s v="Em Fechamento (100%)"/>
    <s v=""/>
    <m/>
    <n v="1782"/>
    <n v="3564"/>
    <n v="2"/>
    <s v="Junior Lopes"/>
    <d v="2025-06-16T00:00:00"/>
    <d v="1899-12-30T15:57:47"/>
    <s v=""/>
    <s v="Ganho"/>
    <d v="2025-06-18T00:00:00"/>
    <d v="1899-12-30T14:49:21"/>
    <s v=""/>
    <s v=""/>
    <s v=""/>
    <x v="86"/>
    <s v=""/>
    <x v="93"/>
    <s v=""/>
    <m/>
    <m/>
    <s v=""/>
    <s v=""/>
    <s v=""/>
    <s v=""/>
    <n v="1"/>
  </r>
  <r>
    <x v="1"/>
    <n v="451"/>
    <m/>
    <n v="2217"/>
    <s v=""/>
    <s v=""/>
    <x v="190"/>
    <n v="27898532000144"/>
    <s v=""/>
    <s v="Atacadão das Tripas (cloud)"/>
    <s v="14998117753"/>
    <s v=""/>
    <s v="atacadaodastripasfinanceiro@hotmail.com"/>
    <s v=""/>
    <s v=""/>
    <s v=""/>
    <s v="TUPA"/>
    <s v="SP"/>
    <s v=""/>
    <s v=""/>
    <s v=""/>
    <s v=""/>
    <s v="Pipeline de Vendas"/>
    <s v="Apresentar Solução (35%)"/>
    <s v=""/>
    <m/>
    <n v="1600"/>
    <n v="26507"/>
    <n v="26"/>
    <s v="Junior Lopes"/>
    <d v="2025-06-18T00:00:00"/>
    <d v="1899-12-30T14:31:48"/>
    <s v=""/>
    <s v="Perdido"/>
    <d v="2025-07-14T00:00:00"/>
    <d v="1899-12-30T10:34:04"/>
    <s v="Projeto adiado / sem prazo definido"/>
    <s v="Descartando ! cliente não encontra tempo para seguir"/>
    <s v=""/>
    <x v="81"/>
    <s v=""/>
    <x v="93"/>
    <s v=""/>
    <m/>
    <m/>
    <s v=""/>
    <s v=""/>
    <s v=""/>
    <s v=""/>
    <n v="1"/>
  </r>
  <r>
    <x v="1"/>
    <n v="453"/>
    <m/>
    <n v="2219"/>
    <s v=""/>
    <s v=""/>
    <x v="191"/>
    <m/>
    <s v=""/>
    <s v="MDL Import - int.WMS"/>
    <s v="11910695515"/>
    <s v=""/>
    <s v="janaina@mdlimport.com.br"/>
    <s v=""/>
    <s v=""/>
    <s v=""/>
    <s v=""/>
    <s v=""/>
    <s v=""/>
    <s v=""/>
    <s v=""/>
    <s v="30%"/>
    <s v="Pipeline de Vendas"/>
    <s v="Em negociação (75%)"/>
    <s v=""/>
    <m/>
    <n v="29680"/>
    <n v="0"/>
    <n v="7"/>
    <s v="Junior Lopes"/>
    <d v="2025-06-23T00:00:00"/>
    <d v="1899-12-30T09:14:24"/>
    <s v=""/>
    <s v="Perdido"/>
    <d v="2025-06-30T00:00:00"/>
    <d v="1899-12-30T15:12:28"/>
    <s v="Não houve aprovação financeira"/>
    <s v="orçamento não foi aprovado"/>
    <s v=""/>
    <x v="83"/>
    <s v=""/>
    <x v="95"/>
    <s v=""/>
    <m/>
    <m/>
    <s v=""/>
    <s v=""/>
    <s v=""/>
    <s v=""/>
    <n v="1"/>
  </r>
  <r>
    <x v="1"/>
    <n v="455"/>
    <m/>
    <n v="2221"/>
    <s v=""/>
    <s v=""/>
    <x v="192"/>
    <n v="1537246000160"/>
    <s v=""/>
    <s v="BS Toys (RMS)"/>
    <s v="15997551770"/>
    <s v=""/>
    <s v="atendimento@bstoys.com.br"/>
    <s v=""/>
    <s v=""/>
    <s v=""/>
    <s v="BOITUVA"/>
    <s v="SP"/>
    <s v=""/>
    <s v=""/>
    <s v=""/>
    <s v=""/>
    <s v="Pipeline de Vendas"/>
    <s v="Agendamento (0%)"/>
    <s v=""/>
    <m/>
    <m/>
    <m/>
    <n v="7"/>
    <s v="Junior Lopes"/>
    <d v="2025-06-24T00:00:00"/>
    <d v="1899-12-30T11:14:18"/>
    <s v=""/>
    <s v="Perdido"/>
    <d v="2025-07-01T00:00:00"/>
    <d v="1899-12-30T09:49:52"/>
    <s v="Projeto adiado / sem prazo definido"/>
    <s v="Aguardar Rep Mais"/>
    <s v=""/>
    <x v="0"/>
    <s v=""/>
    <x v="0"/>
    <s v=""/>
    <m/>
    <m/>
    <s v=""/>
    <s v=""/>
    <s v=""/>
    <s v=""/>
    <n v="1"/>
  </r>
  <r>
    <x v="1"/>
    <n v="456"/>
    <m/>
    <n v="2226"/>
    <s v=""/>
    <s v=""/>
    <x v="193"/>
    <n v="1684187000152"/>
    <s v=""/>
    <s v="Dielu"/>
    <s v="11947837975"/>
    <s v=""/>
    <s v=""/>
    <s v=""/>
    <s v=""/>
    <s v=""/>
    <s v="SAO PAULO"/>
    <s v="SP"/>
    <s v=""/>
    <s v=""/>
    <s v=""/>
    <s v=""/>
    <s v="Pipeline de Vendas"/>
    <s v="Agendamento (0%)"/>
    <s v=""/>
    <m/>
    <m/>
    <m/>
    <n v="7"/>
    <s v="Junior Lopes"/>
    <d v="2025-06-24T00:00:00"/>
    <d v="1899-12-30T11:20:52"/>
    <s v=""/>
    <s v="Perdido"/>
    <d v="2025-07-01T00:00:00"/>
    <d v="1899-12-30T09:50:21"/>
    <s v="Projeto adiado / sem prazo definido"/>
    <s v="Aguardar Rep Mais"/>
    <s v=""/>
    <x v="0"/>
    <s v=""/>
    <x v="0"/>
    <s v=""/>
    <m/>
    <m/>
    <s v=""/>
    <s v=""/>
    <s v=""/>
    <s v=""/>
    <n v="1"/>
  </r>
  <r>
    <x v="1"/>
    <n v="457"/>
    <m/>
    <n v="2230"/>
    <s v=""/>
    <s v=""/>
    <x v="194"/>
    <n v="28895260000191"/>
    <s v=""/>
    <s v="ceramica salute"/>
    <s v="19999094519"/>
    <s v=""/>
    <s v="comercial@ceramicasalute.com.br"/>
    <s v=""/>
    <s v=""/>
    <s v=""/>
    <s v="JABOTICABAL"/>
    <s v="SP"/>
    <s v=""/>
    <s v=""/>
    <s v=""/>
    <s v=""/>
    <s v="Pipeline de Vendas"/>
    <s v="Agendamento (0%)"/>
    <s v=""/>
    <m/>
    <m/>
    <m/>
    <n v="7"/>
    <s v="Junior Lopes"/>
    <d v="2025-06-24T00:00:00"/>
    <d v="1899-12-30T11:28:08"/>
    <s v=""/>
    <s v="Perdido"/>
    <d v="2025-07-01T00:00:00"/>
    <d v="1899-12-30T09:50:51"/>
    <s v="Projeto adiado / sem prazo definido"/>
    <s v="Aguardar Rep Mais"/>
    <s v=""/>
    <x v="0"/>
    <s v=""/>
    <x v="0"/>
    <s v=""/>
    <m/>
    <m/>
    <s v=""/>
    <s v=""/>
    <s v=""/>
    <s v=""/>
    <n v="1"/>
  </r>
  <r>
    <x v="1"/>
    <n v="462"/>
    <m/>
    <n v="2237"/>
    <s v=""/>
    <s v=""/>
    <x v="195"/>
    <n v="61630786000115"/>
    <s v=""/>
    <s v="Palete Chiari"/>
    <s v="16993303692"/>
    <s v=""/>
    <s v=""/>
    <s v=""/>
    <s v=""/>
    <s v=""/>
    <s v="SAO CARLOS"/>
    <s v="SP"/>
    <s v=""/>
    <s v=""/>
    <s v=""/>
    <s v=""/>
    <s v="Pipeline de Vendas"/>
    <s v="Apresentar Solução (35%)"/>
    <s v=""/>
    <m/>
    <n v="80560"/>
    <n v="249008"/>
    <n v="1"/>
    <s v="Junior Lopes"/>
    <d v="2025-06-25T00:00:00"/>
    <d v="1899-12-30T10:30:51"/>
    <s v=""/>
    <s v="Perdido"/>
    <d v="2025-06-26T00:00:00"/>
    <d v="1899-12-30T10:45:55"/>
    <s v="Projeto adiado / sem prazo definido"/>
    <s v="cliente não respondeu mais aos contatos ! estou decertando e manterei contato"/>
    <s v=""/>
    <x v="86"/>
    <s v=""/>
    <x v="96"/>
    <s v=""/>
    <m/>
    <m/>
    <s v=""/>
    <s v=""/>
    <s v=""/>
    <s v=""/>
    <n v="1"/>
  </r>
  <r>
    <x v="1"/>
    <n v="463"/>
    <m/>
    <n v="2239"/>
    <s v=""/>
    <s v=""/>
    <x v="196"/>
    <n v="61630786000115"/>
    <s v=""/>
    <s v="Chiare Palete - Cloud"/>
    <s v="16993303692"/>
    <s v=""/>
    <s v=""/>
    <s v=""/>
    <s v=""/>
    <s v=""/>
    <s v="SAO CARLOS"/>
    <s v="SP"/>
    <s v=""/>
    <s v=""/>
    <s v=""/>
    <s v=""/>
    <s v="Pipeline de Vendas"/>
    <s v="Apresentar Solução (35%)"/>
    <s v=""/>
    <m/>
    <n v="1600"/>
    <n v="278556"/>
    <n v="1"/>
    <s v="Junior Lopes"/>
    <d v="2025-06-25T00:00:00"/>
    <d v="1899-12-30T10:37:01"/>
    <s v=""/>
    <s v="Perdido"/>
    <d v="2025-06-26T00:00:00"/>
    <d v="1899-12-30T10:46:25"/>
    <s v="Projeto adiado / sem prazo definido"/>
    <s v="cliente não respondeu mais aos contatos ! estou decertando e manterei contato"/>
    <s v=""/>
    <x v="86"/>
    <s v=""/>
    <x v="96"/>
    <s v=""/>
    <m/>
    <m/>
    <s v=""/>
    <s v=""/>
    <s v=""/>
    <s v=""/>
    <n v="1"/>
  </r>
  <r>
    <x v="1"/>
    <n v="466"/>
    <m/>
    <n v="2243"/>
    <s v=""/>
    <s v=""/>
    <x v="197"/>
    <m/>
    <s v=""/>
    <s v="vitoria cortinas - User AFV"/>
    <s v="3599959465"/>
    <s v=""/>
    <s v="comercial@vitoriacortninasdecoracoes.com.br"/>
    <s v=""/>
    <s v=""/>
    <s v=""/>
    <s v=""/>
    <s v=""/>
    <s v=""/>
    <s v=""/>
    <s v=""/>
    <s v=""/>
    <s v="Pipeline de Vendas"/>
    <s v="Em Fechamento (100%)"/>
    <s v=""/>
    <m/>
    <n v="0"/>
    <n v="54887"/>
    <n v="5"/>
    <s v="Junior Lopes"/>
    <d v="2025-06-25T00:00:00"/>
    <d v="1899-12-30T14:32:40"/>
    <s v=""/>
    <s v="Ganho"/>
    <d v="2025-06-30T00:00:00"/>
    <d v="1899-12-30T08:34:12"/>
    <s v=""/>
    <s v=""/>
    <s v=""/>
    <x v="87"/>
    <s v=""/>
    <x v="97"/>
    <s v=""/>
    <m/>
    <m/>
    <s v=""/>
    <s v=""/>
    <s v=""/>
    <s v=""/>
    <n v="1"/>
  </r>
  <r>
    <x v="1"/>
    <n v="467"/>
    <m/>
    <n v="2244"/>
    <s v=""/>
    <s v=""/>
    <x v="198"/>
    <m/>
    <s v=""/>
    <s v="Meio atacado - Cloud"/>
    <s v="19997556622"/>
    <s v=""/>
    <s v="camila@meioatacado.com.br"/>
    <s v=""/>
    <s v=""/>
    <s v=""/>
    <s v=""/>
    <s v=""/>
    <s v=""/>
    <s v=""/>
    <s v=""/>
    <s v=""/>
    <s v="Pipeline de Vendas"/>
    <s v="Apresentar Solução (35%)"/>
    <s v=""/>
    <m/>
    <n v="1600"/>
    <n v="309656"/>
    <n v="5"/>
    <s v="Junior Lopes"/>
    <d v="2025-06-25T00:00:00"/>
    <d v="1899-12-30T15:54:02"/>
    <s v=""/>
    <s v="Perdido"/>
    <d v="2025-06-30T00:00:00"/>
    <d v="1899-12-30T15:06:57"/>
    <s v="Projeto adiado / sem prazo definido"/>
    <s v="não responde mais aos contatos"/>
    <s v=""/>
    <x v="83"/>
    <s v=""/>
    <x v="98"/>
    <s v=""/>
    <m/>
    <m/>
    <s v=""/>
    <s v=""/>
    <s v=""/>
    <s v=""/>
    <n v="1"/>
  </r>
  <r>
    <x v="1"/>
    <n v="468"/>
    <m/>
    <n v="2245"/>
    <s v=""/>
    <s v=""/>
    <x v="199"/>
    <n v="9509581000166"/>
    <s v=""/>
    <s v="Emporio Villamarin"/>
    <s v="11999265872"/>
    <s v=""/>
    <s v="alfonso@emporiovillamarin.com.br"/>
    <s v=""/>
    <s v=""/>
    <s v=""/>
    <s v="SAO PAULO"/>
    <s v="SP"/>
    <s v=""/>
    <s v=""/>
    <s v=""/>
    <s v=""/>
    <s v="Pipeline de Vendas"/>
    <s v="Apresentar Proposta (50%)"/>
    <s v=""/>
    <m/>
    <n v="10800"/>
    <n v="450"/>
    <n v="5"/>
    <s v="Junior Lopes"/>
    <d v="2025-06-25T00:00:00"/>
    <d v="1899-12-30T16:08:55"/>
    <s v=""/>
    <s v="Perdido"/>
    <d v="2025-06-30T00:00:00"/>
    <d v="1899-12-30T15:05:29"/>
    <s v="Projeto adiado / sem prazo definido"/>
    <s v="não ira dar continuidade no momento"/>
    <s v=""/>
    <x v="88"/>
    <s v=""/>
    <x v="92"/>
    <s v=""/>
    <m/>
    <m/>
    <s v=""/>
    <s v=""/>
    <s v=""/>
    <s v=""/>
    <n v="1"/>
  </r>
  <r>
    <x v="1"/>
    <n v="469"/>
    <m/>
    <n v="2250"/>
    <s v=""/>
    <s v=""/>
    <x v="200"/>
    <m/>
    <s v=""/>
    <s v="Elmo atacado (horas exc)"/>
    <s v="47984366161"/>
    <s v=""/>
    <s v="fabio@elmoatacado.com.br"/>
    <s v=""/>
    <s v=""/>
    <s v=""/>
    <s v=""/>
    <s v=""/>
    <s v=""/>
    <s v=""/>
    <s v=""/>
    <s v=""/>
    <s v="Pipeline de Vendas"/>
    <s v="Em Fechamento (100%)"/>
    <s v=""/>
    <m/>
    <n v="607121"/>
    <n v="0"/>
    <n v="25"/>
    <s v="Junior Lopes"/>
    <d v="2025-06-26T00:00:00"/>
    <d v="1899-12-30T11:58:43"/>
    <s v=""/>
    <s v="Ganho"/>
    <d v="2025-07-21T00:00:00"/>
    <d v="1899-12-30T09:16:58"/>
    <s v=""/>
    <s v=""/>
    <s v=""/>
    <x v="89"/>
    <s v=""/>
    <x v="99"/>
    <s v=""/>
    <m/>
    <m/>
    <s v=""/>
    <s v=""/>
    <s v=""/>
    <s v=""/>
    <n v="1"/>
  </r>
  <r>
    <x v="1"/>
    <n v="470"/>
    <m/>
    <n v="2272"/>
    <s v=""/>
    <s v=""/>
    <x v="201"/>
    <n v="912882000161"/>
    <s v=""/>
    <s v="Grupo K1"/>
    <s v="51980225006"/>
    <s v=""/>
    <s v="angela@kappersberg.com.br"/>
    <s v=""/>
    <s v=""/>
    <s v=""/>
    <s v="TUPANDI"/>
    <s v="RS"/>
    <s v=""/>
    <s v=""/>
    <s v=""/>
    <s v="30%"/>
    <s v="Pipeline de Vendas"/>
    <s v="Em negociação (75%)"/>
    <s v=""/>
    <m/>
    <n v="16960"/>
    <n v="14034"/>
    <n v="84"/>
    <s v="Junior Lopes"/>
    <d v="2025-06-30T00:00:00"/>
    <d v="1899-12-30T11:52:50"/>
    <s v=""/>
    <s v="Perdido"/>
    <d v="2025-09-22T00:00:00"/>
    <d v="1899-12-30T11:28:00"/>
    <s v="Projeto adiado / sem prazo definido"/>
    <s v="em contato com Ângela, nao esta descartado porem não seguirá nesse momento"/>
    <s v=""/>
    <x v="90"/>
    <s v=""/>
    <x v="100"/>
    <s v=""/>
    <m/>
    <m/>
    <s v=""/>
    <s v=""/>
    <s v=""/>
    <s v=""/>
    <n v="1"/>
  </r>
  <r>
    <x v="2"/>
    <n v="475"/>
    <m/>
    <n v="2299"/>
    <s v=""/>
    <s v=""/>
    <x v="202"/>
    <n v="3436772000169"/>
    <s v=""/>
    <s v="Julia Soares"/>
    <s v="11983386298"/>
    <s v=""/>
    <s v="vendas@trilharty.com.br"/>
    <s v=""/>
    <s v=""/>
    <s v=""/>
    <s v="SAO PAULO"/>
    <s v="SP"/>
    <s v=""/>
    <s v=""/>
    <s v=""/>
    <s v=""/>
    <s v="Pipeline de Vendas"/>
    <s v="Apresentar Proposta (50%)"/>
    <s v=""/>
    <m/>
    <m/>
    <m/>
    <n v="60"/>
    <s v="Rayssa Karapeticov"/>
    <d v="2025-07-04T00:00:00"/>
    <d v="1899-12-30T09:23:22"/>
    <s v=""/>
    <s v="Perdido"/>
    <d v="2025-09-02T00:00:00"/>
    <d v="1899-12-30T09:58:39"/>
    <s v="Projeto adiado / sem prazo definido"/>
    <s v=""/>
    <s v=""/>
    <x v="91"/>
    <s v=""/>
    <x v="101"/>
    <s v=""/>
    <m/>
    <m/>
    <s v=""/>
    <s v=""/>
    <s v=""/>
    <s v=""/>
    <n v="1"/>
  </r>
  <r>
    <x v="1"/>
    <n v="485"/>
    <m/>
    <n v="2341"/>
    <s v=""/>
    <s v=""/>
    <x v="203"/>
    <n v="20750928000109"/>
    <s v=""/>
    <s v="Tiago eletrodomésticos"/>
    <s v="(48) 9960-6091"/>
    <s v=""/>
    <s v="financeiro@saeletronicos.com.br"/>
    <s v=""/>
    <s v=""/>
    <s v=""/>
    <s v="ICARA"/>
    <s v="SC"/>
    <s v=""/>
    <s v=""/>
    <s v=""/>
    <s v="50%"/>
    <s v="Pipeline de Vendas"/>
    <s v="Em Fechamento (100%)"/>
    <s v=""/>
    <m/>
    <n v="6429976"/>
    <n v="399322"/>
    <n v="73"/>
    <s v="Junior Lopes"/>
    <d v="2025-07-14T00:00:00"/>
    <d v="1899-12-30T10:10:19"/>
    <s v=""/>
    <s v="Ganho"/>
    <d v="2025-09-25T00:00:00"/>
    <d v="1899-12-30T15:08:43"/>
    <s v=""/>
    <s v=""/>
    <s v=""/>
    <x v="92"/>
    <s v=""/>
    <x v="102"/>
    <s v=""/>
    <m/>
    <m/>
    <s v=""/>
    <s v=""/>
    <s v=""/>
    <s v=""/>
    <n v="1"/>
  </r>
  <r>
    <x v="1"/>
    <n v="486"/>
    <m/>
    <n v="2343"/>
    <s v=""/>
    <s v=""/>
    <x v="204"/>
    <n v="20750928000109"/>
    <s v=""/>
    <s v="Tiago eleytonicos"/>
    <s v="(48) 9960-6091"/>
    <s v=""/>
    <s v="financeiro@saeletronicos.com.br"/>
    <s v=""/>
    <s v=""/>
    <s v=""/>
    <s v="ICARA"/>
    <s v="SC"/>
    <s v=""/>
    <s v=""/>
    <s v=""/>
    <s v=""/>
    <s v="Pipeline de Vendas"/>
    <s v="Em Fechamento (100%)"/>
    <s v=""/>
    <m/>
    <n v="1600"/>
    <n v="2325"/>
    <n v="73"/>
    <s v="Junior Lopes"/>
    <d v="2025-07-14T00:00:00"/>
    <d v="1899-12-30T10:59:03"/>
    <s v=""/>
    <s v="Perdido"/>
    <d v="2025-09-25T00:00:00"/>
    <d v="1899-12-30T14:59:17"/>
    <s v="Não quer mudar a solução atual"/>
    <s v="cliente decidiu manter o servidor local"/>
    <s v=""/>
    <x v="92"/>
    <s v=""/>
    <x v="102"/>
    <s v=""/>
    <m/>
    <m/>
    <s v=""/>
    <s v=""/>
    <s v=""/>
    <s v=""/>
    <n v="1"/>
  </r>
  <r>
    <x v="1"/>
    <n v="487"/>
    <m/>
    <n v="2345"/>
    <s v=""/>
    <s v=""/>
    <x v="205"/>
    <m/>
    <s v=""/>
    <s v="Star distribuidora - Expede"/>
    <s v="17997793113"/>
    <s v=""/>
    <s v="comercial@distribuidorastar.com.br"/>
    <s v=""/>
    <s v=""/>
    <s v=""/>
    <s v=""/>
    <s v=""/>
    <s v=""/>
    <s v=""/>
    <s v=""/>
    <s v=""/>
    <s v="Pipeline de Vendas"/>
    <s v="Em Fechamento (100%)"/>
    <s v=""/>
    <m/>
    <n v="0"/>
    <n v="14256"/>
    <n v="7"/>
    <s v="Junior Lopes"/>
    <d v="2025-07-14T00:00:00"/>
    <d v="1899-12-30T14:38:51"/>
    <s v=""/>
    <s v="Ganho"/>
    <d v="2025-07-21T00:00:00"/>
    <d v="1899-12-30T09:23:38"/>
    <s v=""/>
    <s v=""/>
    <s v=""/>
    <x v="93"/>
    <s v=""/>
    <x v="103"/>
    <s v=""/>
    <m/>
    <m/>
    <s v=""/>
    <s v=""/>
    <s v=""/>
    <s v=""/>
    <n v="1"/>
  </r>
  <r>
    <x v="1"/>
    <n v="488"/>
    <m/>
    <n v="2346"/>
    <s v="O projeto B2B já está fechado, porém a continuidade dependerá da finalização da carga de dados na implantação do ERP. Assim que essa etapa for concluída, Junior Lopes deve retomar o contato com o cliente, verificar pendências e alinhar os próximos passos com data definida."/>
    <s v=""/>
    <x v="206"/>
    <n v="20750928000109"/>
    <s v=""/>
    <s v="Tiago eletrônicos - B2B"/>
    <s v="4899606091"/>
    <s v=""/>
    <s v="financeiro@saeletronicos.com.br"/>
    <s v=""/>
    <s v=""/>
    <s v=""/>
    <s v=""/>
    <s v=""/>
    <s v=""/>
    <s v=""/>
    <s v=""/>
    <s v="90%"/>
    <s v="Pipeline de Vendas"/>
    <s v="Em Fechamento (100%)"/>
    <s v=""/>
    <d v="2026-02-02T00:00:00"/>
    <n v="26200"/>
    <n v="3400"/>
    <n v="206"/>
    <s v="Junior Lopes"/>
    <d v="2025-07-15T00:00:00"/>
    <d v="1899-12-30T17:26:45"/>
    <s v=""/>
    <s v="Ganho"/>
    <d v="2026-02-06T00:00:00"/>
    <d v="1899-12-30T12:10:05"/>
    <s v=""/>
    <s v=""/>
    <s v=""/>
    <x v="92"/>
    <s v="Junior Lopes"/>
    <x v="102"/>
    <s v=""/>
    <d v="2025-12-10T00:00:00"/>
    <m/>
    <s v=""/>
    <s v=""/>
    <s v=""/>
    <s v=""/>
    <n v="1"/>
  </r>
  <r>
    <x v="1"/>
    <n v="493"/>
    <m/>
    <n v="2352"/>
    <s v=""/>
    <s v=""/>
    <x v="207"/>
    <n v="39750889000160"/>
    <s v=""/>
    <s v="MDL Comércio importação (ERP+AFV"/>
    <s v="(11) 91069-5515"/>
    <s v=""/>
    <s v="janaina@mdlimport.com.br"/>
    <s v=""/>
    <s v=""/>
    <s v=""/>
    <s v="SAO CAETANO DO SUL"/>
    <s v="SP"/>
    <s v=""/>
    <s v=""/>
    <s v=""/>
    <s v=""/>
    <s v="Pipeline de Vendas"/>
    <s v="Em Fechamento (100%)"/>
    <s v="10x sem juros (0/30/60/90/120/150...)"/>
    <m/>
    <n v="4327344"/>
    <n v="37442"/>
    <n v="42"/>
    <s v="Junior Lopes"/>
    <d v="2025-07-17T00:00:00"/>
    <d v="1899-12-30T14:23:39"/>
    <s v=""/>
    <s v="Ganho"/>
    <d v="2025-08-28T00:00:00"/>
    <d v="1899-12-30T15:08:55"/>
    <s v=""/>
    <s v=""/>
    <s v=""/>
    <x v="94"/>
    <s v=""/>
    <x v="104"/>
    <s v=""/>
    <m/>
    <m/>
    <s v=""/>
    <s v=""/>
    <s v=""/>
    <s v=""/>
    <n v="1"/>
  </r>
  <r>
    <x v="1"/>
    <n v="494"/>
    <m/>
    <n v="2354"/>
    <s v=""/>
    <s v=""/>
    <x v="208"/>
    <m/>
    <s v=""/>
    <s v="MDL comércio de importação (Int.WMS)"/>
    <s v="11910695515"/>
    <s v=""/>
    <s v="janaina@mdlimport.com.br"/>
    <s v=""/>
    <s v=""/>
    <s v=""/>
    <s v=""/>
    <s v=""/>
    <s v=""/>
    <s v=""/>
    <s v=""/>
    <s v=""/>
    <s v="Pipeline de Vendas"/>
    <s v="Em Fechamento (100%)"/>
    <s v="10x sem juros (0/30/60/90/120/150...)"/>
    <m/>
    <n v="1167696"/>
    <n v="0"/>
    <n v="42"/>
    <s v="Junior Lopes"/>
    <d v="2025-07-17T00:00:00"/>
    <d v="1899-12-30T14:38:09"/>
    <s v=""/>
    <s v="Ganho"/>
    <d v="2025-08-28T00:00:00"/>
    <d v="1899-12-30T15:11:27"/>
    <s v=""/>
    <s v=""/>
    <s v=""/>
    <x v="94"/>
    <s v=""/>
    <x v="104"/>
    <s v=""/>
    <m/>
    <m/>
    <s v=""/>
    <s v=""/>
    <s v=""/>
    <s v=""/>
    <n v="1"/>
  </r>
  <r>
    <x v="1"/>
    <n v="495"/>
    <m/>
    <n v="2356"/>
    <s v=""/>
    <s v=""/>
    <x v="209"/>
    <m/>
    <s v=""/>
    <s v="Germer porcenalas"/>
    <s v="41984816685"/>
    <s v=""/>
    <s v="ti@germerporcelanas.com.br"/>
    <s v=""/>
    <s v=""/>
    <s v=""/>
    <s v=""/>
    <s v=""/>
    <s v=""/>
    <s v=""/>
    <s v=""/>
    <s v="30%"/>
    <s v="Pipeline de Vendas"/>
    <s v="Em negociação (75%)"/>
    <s v=""/>
    <m/>
    <n v="16960"/>
    <n v="10748"/>
    <n v="67"/>
    <s v="Junior Lopes"/>
    <d v="2025-07-17T00:00:00"/>
    <d v="1899-12-30T16:01:44"/>
    <s v=""/>
    <s v="Perdido"/>
    <d v="2025-09-22T00:00:00"/>
    <d v="1899-12-30T11:35:25"/>
    <s v="Não quer mudar a solução atual"/>
    <s v="em contato com Claudinei projeto está estagnado"/>
    <s v=""/>
    <x v="93"/>
    <s v=""/>
    <x v="103"/>
    <s v="10/07/2025"/>
    <m/>
    <m/>
    <s v=""/>
    <s v=""/>
    <s v=""/>
    <s v=""/>
    <n v="1"/>
  </r>
  <r>
    <x v="1"/>
    <n v="496"/>
    <m/>
    <n v="2361"/>
    <s v="O próximo passo é Junior Lopes alinhar com o cliente o objetivo final da oportunidade, considerando que o cliente ainda está negociando o desenvolvimento da integração técnica que o ERP deles precisa construir. Somente após essa definição e após os ajustes técnicos com a Marília será possível retomar as conversas em janeiro de 2026 e avançar para o fechamento, previsto para 31/01/2026."/>
    <s v="Editora Dcl - Difusao Cultural Do Livro Ltda"/>
    <x v="210"/>
    <n v="60444098000521"/>
    <s v=""/>
    <s v="Editora Dcl - Difusao Cultural Do Livro Ltda"/>
    <s v="(11) 3932-5222"/>
    <s v=""/>
    <s v="welington@editoradcl.com.br"/>
    <s v=""/>
    <s v=""/>
    <s v=""/>
    <s v="ITUPEVA"/>
    <s v="SP"/>
    <s v="Base de empresas Leads2b"/>
    <s v=""/>
    <s v=""/>
    <s v="80%"/>
    <s v="Pipeline de Vendas"/>
    <s v="Em Fechamento (100%)"/>
    <s v="4x sem juros (0/30/60/90)"/>
    <d v="2026-01-30T00:00:00"/>
    <n v="16960"/>
    <n v="37395"/>
    <n v="166"/>
    <s v="Junior Lopes"/>
    <d v="2025-07-23T00:00:00"/>
    <d v="1899-12-30T11:53:55"/>
    <s v=""/>
    <s v="Ganho"/>
    <d v="2026-01-05T00:00:00"/>
    <d v="1899-12-30T14:50:49"/>
    <s v=""/>
    <s v=""/>
    <s v=""/>
    <x v="93"/>
    <s v="Junior Lopes"/>
    <x v="105"/>
    <s v="11/07/2025"/>
    <d v="2025-12-12T00:00:00"/>
    <m/>
    <s v=""/>
    <s v=""/>
    <s v=""/>
    <s v=""/>
    <n v="1"/>
  </r>
  <r>
    <x v="1"/>
    <n v="497"/>
    <m/>
    <n v="2363"/>
    <s v=""/>
    <s v="Associacao Medianeira Fuzipar"/>
    <x v="211"/>
    <n v="8306975000154"/>
    <s v=""/>
    <s v="Associacao Medianeira Fuzipar"/>
    <s v="(54) 3321-5456"/>
    <s v=""/>
    <s v=""/>
    <s v=""/>
    <s v=""/>
    <s v=""/>
    <s v="ERECHIM"/>
    <s v="RS"/>
    <s v="Base de empresas Leads2b"/>
    <s v=""/>
    <s v=""/>
    <s v=""/>
    <s v="Pipeline de Vendas"/>
    <s v="Em Fechamento (100%)"/>
    <s v=""/>
    <m/>
    <n v="16960"/>
    <n v="2455"/>
    <n v="64"/>
    <s v="Junior Lopes"/>
    <d v="2025-07-23T00:00:00"/>
    <d v="1899-12-30T12:05:00"/>
    <s v=""/>
    <s v="Ganho"/>
    <d v="2025-09-25T00:00:00"/>
    <d v="1899-12-30T14:58:22"/>
    <s v=""/>
    <s v=""/>
    <s v=""/>
    <x v="95"/>
    <s v=""/>
    <x v="105"/>
    <s v="18/08/2025"/>
    <m/>
    <m/>
    <s v=""/>
    <s v=""/>
    <s v=""/>
    <s v=""/>
    <n v="1"/>
  </r>
  <r>
    <x v="1"/>
    <n v="503"/>
    <m/>
    <n v="2433"/>
    <s v=""/>
    <s v=""/>
    <x v="212"/>
    <n v="46083438000181"/>
    <s v=""/>
    <s v="Adelmo Jeronimo"/>
    <s v="(81) 99252-2279"/>
    <s v=""/>
    <s v="adelmoo.jeronimo@gmail.com"/>
    <s v=""/>
    <s v=""/>
    <s v=""/>
    <s v=""/>
    <s v=""/>
    <s v="Base de empresas Leads2b"/>
    <s v=""/>
    <s v=""/>
    <s v=""/>
    <s v="Pipeline de Vendas"/>
    <s v="Apresentar Solução (35%)"/>
    <s v=""/>
    <m/>
    <n v="16960"/>
    <n v="998"/>
    <n v="29"/>
    <s v="Junior Lopes"/>
    <d v="2025-07-30T00:00:00"/>
    <d v="1899-12-30T11:50:21"/>
    <s v=""/>
    <s v="Perdido"/>
    <d v="2025-08-28T00:00:00"/>
    <d v="1899-12-30T16:43:54"/>
    <s v="Projeto adiado / sem prazo definido"/>
    <s v="após vários contatos não obtivemos retorno"/>
    <s v=""/>
    <x v="96"/>
    <s v=""/>
    <x v="106"/>
    <s v=""/>
    <m/>
    <m/>
    <s v=""/>
    <s v=""/>
    <s v=""/>
    <s v=""/>
    <n v="1"/>
  </r>
  <r>
    <x v="1"/>
    <n v="504"/>
    <m/>
    <n v="2434"/>
    <s v=""/>
    <s v=""/>
    <x v="213"/>
    <n v="8306975000154"/>
    <s v=""/>
    <s v="Fuzipar (ERP)"/>
    <s v="5499823395"/>
    <s v=""/>
    <s v=""/>
    <s v=""/>
    <s v=""/>
    <s v=""/>
    <s v="ERECHIM"/>
    <s v="RS"/>
    <s v=""/>
    <s v=""/>
    <s v=""/>
    <s v="50%"/>
    <s v="Pipeline de Vendas"/>
    <s v="Em negociação (75%)"/>
    <s v=""/>
    <m/>
    <n v="87344"/>
    <n v="514788"/>
    <n v="41"/>
    <s v="Junior Lopes"/>
    <d v="2025-07-30T00:00:00"/>
    <d v="1899-12-30T15:13:04"/>
    <s v=""/>
    <s v="Perdido"/>
    <d v="2025-09-09T00:00:00"/>
    <d v="1899-12-30T15:35:44"/>
    <s v="Não quer mudar a solução atual"/>
    <s v="cliente vai seguir somente com força de vendas"/>
    <s v=""/>
    <x v="97"/>
    <s v=""/>
    <x v="0"/>
    <s v=""/>
    <m/>
    <m/>
    <s v=""/>
    <s v=""/>
    <s v=""/>
    <s v=""/>
    <n v="1"/>
  </r>
  <r>
    <x v="1"/>
    <n v="505"/>
    <m/>
    <n v="2436"/>
    <s v=""/>
    <s v=""/>
    <x v="214"/>
    <n v="8306975000154"/>
    <s v=""/>
    <s v="Fuzipar (Cloud)"/>
    <s v="5499823395"/>
    <s v=""/>
    <s v=""/>
    <s v=""/>
    <s v=""/>
    <s v=""/>
    <s v="ERECHIM"/>
    <s v="RS"/>
    <s v=""/>
    <s v=""/>
    <s v=""/>
    <s v=""/>
    <s v="Pipeline de Vendas"/>
    <s v="Apresentar Solução (35%)"/>
    <s v=""/>
    <m/>
    <n v="1600"/>
    <n v="334556"/>
    <n v="30"/>
    <s v="Junior Lopes"/>
    <d v="2025-07-30T00:00:00"/>
    <d v="1899-12-30T16:07:10"/>
    <s v=""/>
    <s v="Perdido"/>
    <d v="2025-08-29T00:00:00"/>
    <d v="1899-12-30T15:49:29"/>
    <s v="Não quer mudar a solução atual"/>
    <s v="vai seguir somente com força de vendas"/>
    <s v=""/>
    <x v="96"/>
    <s v=""/>
    <x v="0"/>
    <s v=""/>
    <m/>
    <m/>
    <s v=""/>
    <s v=""/>
    <s v=""/>
    <s v=""/>
    <n v="1"/>
  </r>
  <r>
    <x v="1"/>
    <n v="506"/>
    <m/>
    <n v="2439"/>
    <s v=""/>
    <s v=""/>
    <x v="215"/>
    <n v="30924882000142"/>
    <s v=""/>
    <s v="PEDRO DE ROZENDO PACO DA SILVEIRA"/>
    <s v=""/>
    <s v=""/>
    <s v="pedro@grupoecoa.com.br"/>
    <s v=""/>
    <s v=""/>
    <s v=""/>
    <s v=""/>
    <s v=""/>
    <s v="Base de empresas Leads2b"/>
    <s v=""/>
    <s v=""/>
    <s v="90%"/>
    <s v="Pipeline de Vendas"/>
    <s v="Em Fechamento (100%)"/>
    <s v=""/>
    <m/>
    <n v="72240"/>
    <n v="2167539"/>
    <n v="56"/>
    <s v="Junior Lopes"/>
    <d v="2025-07-30T00:00:00"/>
    <d v="1899-12-30T16:26:43"/>
    <s v=""/>
    <s v="Perdido"/>
    <d v="2025-09-24T00:00:00"/>
    <d v="1899-12-30T09:34:51"/>
    <s v="Não quer mudar a solução atual"/>
    <s v="Pedro não responde mais aos contatos"/>
    <s v=""/>
    <x v="96"/>
    <s v=""/>
    <x v="0"/>
    <s v=""/>
    <m/>
    <m/>
    <s v=""/>
    <s v=""/>
    <s v=""/>
    <s v=""/>
    <n v="1"/>
  </r>
  <r>
    <x v="1"/>
    <n v="507"/>
    <m/>
    <n v="2440"/>
    <s v=""/>
    <s v=""/>
    <x v="216"/>
    <n v="30924882000142"/>
    <s v=""/>
    <s v="Grupo Ecoa"/>
    <s v="11987154112"/>
    <s v=""/>
    <s v="pedro@grupoecoa.com"/>
    <s v=""/>
    <s v=""/>
    <s v=""/>
    <s v="DUQUE DE CAXIAS"/>
    <s v="RJ"/>
    <s v=""/>
    <s v=""/>
    <s v=""/>
    <s v="80%"/>
    <s v="Pipeline de Vendas"/>
    <s v="Em Fechamento (100%)"/>
    <s v=""/>
    <m/>
    <n v="1620001"/>
    <n v="2900"/>
    <n v="56"/>
    <s v="Junior Lopes"/>
    <d v="2025-07-30T00:00:00"/>
    <d v="1899-12-30T17:20:05"/>
    <s v=""/>
    <s v="Perdido"/>
    <d v="2025-09-24T00:00:00"/>
    <d v="1899-12-30T09:17:39"/>
    <s v="Não quer mudar a solução atual"/>
    <s v="Pedro não responde mais os contatos"/>
    <s v=""/>
    <x v="96"/>
    <s v=""/>
    <x v="0"/>
    <s v=""/>
    <m/>
    <m/>
    <s v=""/>
    <s v=""/>
    <s v=""/>
    <s v=""/>
    <n v="1"/>
  </r>
  <r>
    <x v="1"/>
    <n v="508"/>
    <m/>
    <n v="2442"/>
    <s v=""/>
    <s v=""/>
    <x v="217"/>
    <m/>
    <s v=""/>
    <s v="Vitoria cortinas"/>
    <s v="35993445286"/>
    <s v=""/>
    <s v="compras@vitoriacortinasdecoracoes.com.br"/>
    <s v=""/>
    <s v=""/>
    <s v=""/>
    <s v=""/>
    <s v=""/>
    <s v=""/>
    <s v=""/>
    <s v=""/>
    <s v=""/>
    <s v="Pipeline de Vendas"/>
    <s v="Em Fechamento (100%)"/>
    <s v=""/>
    <m/>
    <n v="62169"/>
    <n v="0"/>
    <n v="53"/>
    <s v="Junior Lopes"/>
    <d v="2025-07-31T00:00:00"/>
    <d v="1899-12-30T09:07:55"/>
    <s v=""/>
    <s v="Ganho"/>
    <d v="2025-09-22T00:00:00"/>
    <d v="1899-12-30T10:43:58"/>
    <s v=""/>
    <s v=""/>
    <s v=""/>
    <x v="98"/>
    <s v=""/>
    <x v="107"/>
    <s v=""/>
    <m/>
    <m/>
    <s v=""/>
    <s v=""/>
    <s v=""/>
    <s v=""/>
    <n v="1"/>
  </r>
  <r>
    <x v="1"/>
    <n v="509"/>
    <m/>
    <n v="2443"/>
    <s v=""/>
    <s v="Maxsoy Alimentos Ltda"/>
    <x v="218"/>
    <n v="6346005000157"/>
    <s v=""/>
    <s v="Maxsoy Alimentos Ltda"/>
    <s v="(19) 3809-5454"/>
    <s v=""/>
    <s v="vendas@maxsoy.com.br"/>
    <s v=""/>
    <s v=""/>
    <s v=""/>
    <s v="HORTOLANDIA"/>
    <s v="SP"/>
    <s v="Base de empresas Leads2b"/>
    <s v=""/>
    <s v=""/>
    <s v=""/>
    <s v="Pipeline de Vendas"/>
    <s v="Apresentar Solução (35%)"/>
    <s v=""/>
    <m/>
    <n v="16960"/>
    <n v="67275"/>
    <n v="28"/>
    <s v="Junior Lopes"/>
    <d v="2025-07-31T00:00:00"/>
    <d v="1899-12-30T11:57:17"/>
    <s v=""/>
    <s v="Perdido"/>
    <d v="2025-08-28T00:00:00"/>
    <d v="1899-12-30T16:25:26"/>
    <s v="Preço muito alto - fora do budget de investimento"/>
    <s v="cliente não quer dar sequencia no momento por conta do valor"/>
    <s v=""/>
    <x v="99"/>
    <s v=""/>
    <x v="108"/>
    <s v="01/08/2025"/>
    <m/>
    <m/>
    <s v=""/>
    <s v=""/>
    <s v=""/>
    <s v=""/>
    <n v="1"/>
  </r>
  <r>
    <x v="1"/>
    <n v="510"/>
    <m/>
    <n v="2446"/>
    <s v=""/>
    <s v="Brinquemix Industria E Comercio Ltda"/>
    <x v="219"/>
    <n v="60315995000101"/>
    <s v=""/>
    <s v="Brinquemix Industria E Comercio Ltda"/>
    <s v="(11) 4116-5272"/>
    <s v=""/>
    <s v="fiscal@codepcontabilidade.com.br"/>
    <s v=""/>
    <s v=""/>
    <s v=""/>
    <s v="ITAQUAQUECETUBA"/>
    <s v="SP"/>
    <s v="Base de empresas Leads2b"/>
    <s v=""/>
    <s v=""/>
    <s v=""/>
    <s v="Pipeline de Vendas"/>
    <s v="Apresentar Solução (35%)"/>
    <s v=""/>
    <m/>
    <n v="94976"/>
    <n v="566152"/>
    <n v="29"/>
    <s v="Junior Lopes"/>
    <d v="2025-07-31T00:00:00"/>
    <d v="1899-12-30T17:09:31"/>
    <s v=""/>
    <s v="Perdido"/>
    <d v="2025-08-29T00:00:00"/>
    <d v="1899-12-30T11:05:45"/>
    <s v="Projeto adiado / sem prazo definido"/>
    <s v="16:26, 28/8/2025 Junior Lopes: Olá Simone, boa tarde_x000a_17:06, 28/8/2025 Simone Brinquemix : Olá Dra_x000a_17:06, 28/8/2025 Simone Brinquemix : Olá_x000a_11:03, 29/8/2025 Junior Lopes: Olá Simone ! Como não tive retorno de sua parte, vou encerrar este atendimento! _x000a_Caso mude de ideia ou precise de algo no futuro pode me chamar por aqui _x000a_Estimo sucesso para vocês 🤝"/>
    <s v=""/>
    <x v="100"/>
    <s v=""/>
    <x v="109"/>
    <s v="05/08/2025"/>
    <m/>
    <m/>
    <s v=""/>
    <s v=""/>
    <s v=""/>
    <s v=""/>
    <n v="1"/>
  </r>
  <r>
    <x v="0"/>
    <n v="516"/>
    <m/>
    <n v="2454"/>
    <s v=""/>
    <s v=""/>
    <x v="220"/>
    <n v="72677693000162"/>
    <s v=""/>
    <s v="Milene Fonseca"/>
    <s v="(11) 2431-1432"/>
    <s v=""/>
    <s v="compras@tapetesoasis.com.br"/>
    <s v=""/>
    <s v=""/>
    <s v=""/>
    <s v="Campinas"/>
    <s v=""/>
    <s v="Site"/>
    <s v=""/>
    <s v=""/>
    <s v="Solicita demo"/>
    <s v="Pipeline de Vendas"/>
    <s v="Em negociação (75%)"/>
    <s v=""/>
    <m/>
    <m/>
    <m/>
    <n v="53"/>
    <s v="Paulo Souza"/>
    <d v="2025-08-07T00:00:00"/>
    <d v="1899-12-30T12:08:11"/>
    <s v=""/>
    <s v="Perdido"/>
    <d v="2025-09-29T00:00:00"/>
    <d v="1899-12-30T16:35:41"/>
    <s v="Projeto adiado / sem prazo definido"/>
    <s v=""/>
    <s v=""/>
    <x v="0"/>
    <s v="Paulo Souza"/>
    <x v="110"/>
    <s v=""/>
    <m/>
    <m/>
    <s v=""/>
    <s v=""/>
    <s v=""/>
    <s v=""/>
    <n v="1"/>
  </r>
  <r>
    <x v="0"/>
    <n v="517"/>
    <m/>
    <n v="2453"/>
    <s v=""/>
    <s v=""/>
    <x v="221"/>
    <n v="38470026000176"/>
    <s v=""/>
    <s v="Matheus Ambrosi"/>
    <s v="(51) 99658-9275"/>
    <s v=""/>
    <s v="matheus.ambrosi@sanremo.com.br"/>
    <s v=""/>
    <s v=""/>
    <s v=""/>
    <s v="São Paulo"/>
    <s v=""/>
    <s v="Site"/>
    <s v=""/>
    <s v=""/>
    <s v=""/>
    <s v="Pipeline de Vendas"/>
    <s v="Qualificação de Vendas (SQL) (25%)"/>
    <s v=""/>
    <m/>
    <m/>
    <m/>
    <n v="53"/>
    <s v="Paulo Souza"/>
    <d v="2025-08-07T00:00:00"/>
    <d v="1899-12-30T12:08:57"/>
    <s v=""/>
    <s v="Perdido"/>
    <d v="2025-09-29T00:00:00"/>
    <d v="1899-12-30T16:37:57"/>
    <s v="Projeto adiado / sem prazo definido"/>
    <s v=""/>
    <s v=""/>
    <x v="0"/>
    <s v="Paulo Souza"/>
    <x v="0"/>
    <s v=""/>
    <m/>
    <m/>
    <s v=""/>
    <s v=""/>
    <s v=""/>
    <s v=""/>
    <n v="1"/>
  </r>
  <r>
    <x v="0"/>
    <n v="518"/>
    <m/>
    <n v="2456"/>
    <s v="Falei hoje com o Gomes consultor Totvs da empresa Oyshi e o mesmo que agendar uma reunião técnica de alinhamento para integrar o AFV com Protheus._x000a_19-01; Após nossa reunião na sexta-feira para alinhar sobre a integração, o Gomes ficou de providências uma agenda com o Rodrigo para fechar a negociação._x000a_22/01 - Cobrei novamente o Evandro para ele me posicionar se conseguiu falar com o Rodrigo para avançar com o contrato e fechamento e assim dar sequencias no projeto. Ele falou que estava envolvido em tarefas adicionais e isso atrasou a conversa que vai ocorrer na próxima semana._x000a_26/02 Fiz FUP com o Evandro hoje perguntando uma posição, no aguardo. Já falei com a Isabella diretor comercial, e até agora nada de retorno._x000a_12/03 Fiz FUP com o Evandro e ele falou que a decisão para seguir ou não vai ser tomada na próxima sexta-feira 13/03._x000a_23/03 Falei com a Isabella a mesma me avisou que semana que vem vai"/>
    <s v=""/>
    <x v="222"/>
    <n v="30340720000167"/>
    <s v=""/>
    <s v="Rodrigo"/>
    <s v="4491813443"/>
    <s v=""/>
    <s v="rodrigo.fongari@oyshi.com.br"/>
    <s v=""/>
    <s v=""/>
    <s v=""/>
    <s v=""/>
    <s v=""/>
    <s v="Outbound"/>
    <s v=""/>
    <s v=""/>
    <s v="80%"/>
    <s v="Pipeline de Vendas"/>
    <s v="Em Fechamento (100%)"/>
    <s v=""/>
    <d v="2026-03-31T00:00:00"/>
    <n v="27340"/>
    <n v="32992"/>
    <n v="246"/>
    <s v="Paulo Souza"/>
    <d v="2025-08-07T00:00:00"/>
    <d v="1899-12-30T13:57:39"/>
    <s v=""/>
    <s v="Perdido"/>
    <d v="2026-04-10T00:00:00"/>
    <d v="1899-12-30T16:56:59"/>
    <s v="Projeto adiado / sem prazo definido"/>
    <s v=""/>
    <s v=""/>
    <x v="101"/>
    <s v="Paulo Souza"/>
    <x v="111"/>
    <s v=""/>
    <d v="2026-04-10T00:00:00"/>
    <n v="90"/>
    <s v="80"/>
    <s v="AFV, BI"/>
    <s v="R$ 16.000"/>
    <s v="R$ 1.558"/>
    <n v="1"/>
  </r>
  <r>
    <x v="0"/>
    <n v="519"/>
    <m/>
    <n v="2457"/>
    <s v=""/>
    <s v=""/>
    <x v="223"/>
    <m/>
    <s v=""/>
    <s v="Fernanda"/>
    <s v="11997633759"/>
    <s v=""/>
    <s v="fernanda@jlkplasticos.com"/>
    <s v=""/>
    <s v=""/>
    <s v=""/>
    <s v=""/>
    <s v=""/>
    <s v=""/>
    <s v=""/>
    <s v=""/>
    <s v=""/>
    <s v="Pipeline de Vendas"/>
    <s v="Em negociação (75%)"/>
    <s v=""/>
    <m/>
    <m/>
    <m/>
    <n v="34"/>
    <s v="Paulo Souza"/>
    <d v="2025-08-07T00:00:00"/>
    <d v="1899-12-30T14:05:56"/>
    <s v=""/>
    <s v="Perdido"/>
    <d v="2025-09-10T00:00:00"/>
    <d v="1899-12-30T16:14:07"/>
    <s v="Preço muito alto - fora do budget de investimento"/>
    <s v=""/>
    <s v=""/>
    <x v="99"/>
    <s v="Paulo Souza"/>
    <x v="110"/>
    <s v=""/>
    <m/>
    <m/>
    <s v=""/>
    <s v=""/>
    <s v=""/>
    <s v=""/>
    <n v="1"/>
  </r>
  <r>
    <x v="0"/>
    <n v="521"/>
    <m/>
    <n v="2459"/>
    <s v=""/>
    <s v=""/>
    <x v="224"/>
    <n v="7380599000428"/>
    <s v=""/>
    <s v="Raymond"/>
    <s v="11982685555"/>
    <s v=""/>
    <s v="raymond@deltaimport.com.br"/>
    <s v=""/>
    <s v=""/>
    <s v=""/>
    <s v=""/>
    <s v=""/>
    <s v=""/>
    <s v=""/>
    <s v=""/>
    <s v=""/>
    <s v="Pipeline de Vendas"/>
    <s v="Em Fechamento (100%)"/>
    <s v=""/>
    <m/>
    <n v="55500"/>
    <n v="53662"/>
    <n v="17"/>
    <s v="Paulo Souza"/>
    <d v="2025-08-08T00:00:00"/>
    <d v="1899-12-30T11:45:56"/>
    <s v=""/>
    <s v="Ganho"/>
    <d v="2025-08-25T00:00:00"/>
    <d v="1899-12-30T14:26:43"/>
    <s v=""/>
    <s v=""/>
    <s v=""/>
    <x v="102"/>
    <s v="Paulo Souza"/>
    <x v="112"/>
    <s v=""/>
    <m/>
    <m/>
    <s v=""/>
    <s v=""/>
    <s v=""/>
    <s v=""/>
    <n v="1"/>
  </r>
  <r>
    <x v="2"/>
    <n v="531"/>
    <m/>
    <n v="2475"/>
    <s v=""/>
    <s v=""/>
    <x v="225"/>
    <n v="19733550000148"/>
    <s v=""/>
    <s v="Naiara"/>
    <s v="(19) 3496-7474 / (19) 3885-1725"/>
    <s v=""/>
    <s v="renatapalace@impal.ind.br"/>
    <s v=""/>
    <s v=""/>
    <s v=""/>
    <s v="RAFARD"/>
    <s v="SP"/>
    <s v=""/>
    <s v=""/>
    <s v=""/>
    <s v=""/>
    <s v="Pipeline de Vendas"/>
    <s v="Em negociação (75%)"/>
    <s v=""/>
    <m/>
    <n v="84420"/>
    <n v="4137"/>
    <n v="34"/>
    <s v="Rayssa Karapeticov"/>
    <d v="2025-08-20T00:00:00"/>
    <d v="1899-12-30T09:16:59"/>
    <s v=""/>
    <s v="Perdido"/>
    <d v="2025-09-23T00:00:00"/>
    <d v="1899-12-30T11:10:15"/>
    <s v="Preço muito alto - fora do budget de investimento"/>
    <s v=""/>
    <s v=""/>
    <x v="103"/>
    <s v=""/>
    <x v="113"/>
    <s v=""/>
    <m/>
    <m/>
    <s v=""/>
    <s v=""/>
    <s v=""/>
    <s v=""/>
    <n v="1"/>
  </r>
  <r>
    <x v="1"/>
    <n v="532"/>
    <m/>
    <n v="2478"/>
    <s v=""/>
    <s v="Distribuidora Tropical Aromas Ltda"/>
    <x v="226"/>
    <n v="12902777000120"/>
    <s v=""/>
    <s v="Distribuidora Tropical Aromas Ltda"/>
    <s v="(13) 3329-5855"/>
    <s v=""/>
    <s v="contato@keurequimica.com.br"/>
    <s v=""/>
    <s v=""/>
    <s v=""/>
    <s v="ITAQUAQUECETUBA"/>
    <s v="SP"/>
    <s v="Base de empresas Leads2b"/>
    <s v=""/>
    <s v=""/>
    <s v=""/>
    <s v="Pipeline de Vendas"/>
    <s v="Apresentar Solução (35%)"/>
    <s v=""/>
    <m/>
    <n v="16960"/>
    <n v="4910"/>
    <n v="69"/>
    <s v="Junior Lopes"/>
    <d v="2025-08-20T00:00:00"/>
    <d v="1899-12-30T09:53:51"/>
    <s v=""/>
    <s v="Perdido"/>
    <d v="2025-10-28T00:00:00"/>
    <d v="1899-12-30T10:23:56"/>
    <s v="Projeto adiado / sem prazo definido"/>
    <s v="Voltar contato em Janeiro 2026"/>
    <s v=""/>
    <x v="95"/>
    <s v=""/>
    <x v="114"/>
    <s v=""/>
    <m/>
    <m/>
    <s v=""/>
    <s v=""/>
    <s v=""/>
    <s v=""/>
    <n v="1"/>
  </r>
  <r>
    <x v="1"/>
    <n v="534"/>
    <m/>
    <n v="2481"/>
    <s v=""/>
    <s v="Usual Plastic - Utilidade Domestica E Comercio Ltda"/>
    <x v="227"/>
    <n v="12589391000291"/>
    <s v=""/>
    <s v="Usual Plastic - Utilidade Domestica E Comercio Ltda"/>
    <s v="(15) 3283-3659"/>
    <s v=""/>
    <s v="adm@usualutilidades.com.br"/>
    <s v=""/>
    <s v=""/>
    <s v=""/>
    <s v="CESARIO LANGE"/>
    <s v="SP"/>
    <s v="Base de empresas Leads2b"/>
    <s v=""/>
    <s v=""/>
    <s v="30%;50%"/>
    <s v="Pipeline de Vendas"/>
    <s v="Apresentar Solução (35%)"/>
    <s v=""/>
    <m/>
    <n v="16960"/>
    <n v="56568"/>
    <n v="20"/>
    <s v="Junior Lopes"/>
    <d v="2025-08-20T00:00:00"/>
    <d v="1899-12-30T09:59:57"/>
    <s v=""/>
    <s v="Perdido"/>
    <d v="2025-09-09T00:00:00"/>
    <d v="1899-12-30T15:34:30"/>
    <s v="Não quer mudar a solução atual"/>
    <s v="Gustavo conversou com os sócios e decidiu por não trocar de software no momento"/>
    <s v=""/>
    <x v="104"/>
    <s v=""/>
    <x v="115"/>
    <s v=""/>
    <m/>
    <m/>
    <s v=""/>
    <s v=""/>
    <s v=""/>
    <s v=""/>
    <n v="1"/>
  </r>
  <r>
    <x v="1"/>
    <n v="537"/>
    <m/>
    <n v="2486"/>
    <s v="O projeto já está fechado; porém, devido ao fim de ano e à alta demanda interna do cliente, a assinatura do contrato foi adiada. O cliente preferiu formalizar tudo na primeira semana de janeiro, com assinatura prevista para 05/01/2026."/>
    <s v=""/>
    <x v="228"/>
    <n v="4049280000183"/>
    <s v=""/>
    <s v="AmilPlast indústria"/>
    <s v="11973107041"/>
    <s v=""/>
    <s v="amilplast@amilplastt.com.br"/>
    <s v=""/>
    <s v=""/>
    <s v=""/>
    <s v="GUARULHOS"/>
    <s v="SP"/>
    <s v=""/>
    <s v=""/>
    <s v=""/>
    <s v="90%"/>
    <s v="Pipeline de Vendas"/>
    <s v="Em Fechamento (100%)"/>
    <s v=""/>
    <d v="2026-01-16T00:00:00"/>
    <n v="51300"/>
    <n v="17345"/>
    <n v="160"/>
    <s v="Junior Lopes"/>
    <d v="2025-08-20T00:00:00"/>
    <d v="1899-12-30T10:42:44"/>
    <s v=""/>
    <s v="Ganho"/>
    <d v="2026-01-27T00:00:00"/>
    <d v="1899-12-30T17:02:07"/>
    <s v=""/>
    <s v=""/>
    <s v="21/10/2025"/>
    <x v="105"/>
    <s v="Junior Lopes"/>
    <x v="116"/>
    <s v=""/>
    <d v="2026-01-06T00:00:00"/>
    <m/>
    <s v=""/>
    <s v=""/>
    <s v=""/>
    <s v=""/>
    <n v="1"/>
  </r>
  <r>
    <x v="1"/>
    <n v="539"/>
    <m/>
    <n v="2490"/>
    <s v=""/>
    <s v="Pracaza Decor Comercio Importacao E Exportacao De Artigos Para Decoracao Ltda."/>
    <x v="229"/>
    <n v="39679781000128"/>
    <s v=""/>
    <s v="Pracaza Decor Comercio Importacao E Exportacao De Artigos Para Decoracao Ltda."/>
    <s v="(11) 4395-7650"/>
    <s v=""/>
    <s v="contato@acrosscontabil.com.br"/>
    <s v=""/>
    <s v=""/>
    <s v=""/>
    <s v="SAO PAULO"/>
    <s v="SP"/>
    <s v="Base de empresas Leads2b"/>
    <s v=""/>
    <s v=""/>
    <s v=""/>
    <s v="Pipeline de Vendas"/>
    <s v="Apresentar Solução (35%)"/>
    <s v=""/>
    <m/>
    <n v="67840"/>
    <n v="13781"/>
    <n v="69"/>
    <s v="Junior Lopes"/>
    <d v="2025-08-20T00:00:00"/>
    <d v="1899-12-30T11:16:16"/>
    <s v=""/>
    <s v="Perdido"/>
    <d v="2025-10-28T00:00:00"/>
    <d v="1899-12-30T10:24:21"/>
    <s v="Não quer mudar a solução atual"/>
    <s v="sem retorno"/>
    <s v=""/>
    <x v="106"/>
    <s v=""/>
    <x v="0"/>
    <s v=""/>
    <m/>
    <m/>
    <s v=""/>
    <s v=""/>
    <s v=""/>
    <s v=""/>
    <n v="1"/>
  </r>
  <r>
    <x v="1"/>
    <n v="540"/>
    <m/>
    <n v="2493"/>
    <s v=""/>
    <s v="Aluminio Marcolar Ltda"/>
    <x v="230"/>
    <n v="43066372000204"/>
    <s v=""/>
    <s v="Aluminio Marcolar Ltda"/>
    <s v="(11) 2067-1299"/>
    <s v=""/>
    <s v="sac@marcolar.com.br"/>
    <s v=""/>
    <s v=""/>
    <s v=""/>
    <s v="RIBEIRAO PIRES"/>
    <s v="SP"/>
    <s v="Base de empresas Leads2b"/>
    <s v=""/>
    <s v=""/>
    <s v=""/>
    <s v="Pipeline de Vendas"/>
    <s v="Apresentar Solução (35%)"/>
    <s v=""/>
    <m/>
    <n v="16960"/>
    <n v="37712"/>
    <n v="71"/>
    <s v="Junior Lopes"/>
    <d v="2025-08-20T00:00:00"/>
    <d v="1899-12-30T11:29:31"/>
    <s v=""/>
    <s v="Perdido"/>
    <d v="2025-10-30T00:00:00"/>
    <d v="1899-12-30T10:08:50"/>
    <s v="Projeto adiado / sem prazo definido"/>
    <s v="Rogerio pediu para aguardar um pouco mais"/>
    <s v=""/>
    <x v="107"/>
    <s v=""/>
    <x v="117"/>
    <s v=""/>
    <m/>
    <m/>
    <s v=""/>
    <s v=""/>
    <s v=""/>
    <s v=""/>
    <n v="1"/>
  </r>
  <r>
    <x v="1"/>
    <n v="542"/>
    <m/>
    <n v="2496"/>
    <s v=""/>
    <s v=""/>
    <x v="231"/>
    <n v="1715468000125"/>
    <s v=""/>
    <s v="Off Paper"/>
    <s v="35984074473"/>
    <s v=""/>
    <s v="jessica@papeisoffpaper.com.br"/>
    <s v=""/>
    <s v=""/>
    <s v=""/>
    <s v="LAMBARI"/>
    <s v="MG"/>
    <s v=""/>
    <s v=""/>
    <s v=""/>
    <s v="30%"/>
    <s v="Pipeline de Vendas"/>
    <s v="Apresentar Proposta (50%)"/>
    <s v=""/>
    <m/>
    <n v="212"/>
    <n v="69045"/>
    <n v="41"/>
    <s v="Junior Lopes"/>
    <d v="2025-08-21T00:00:00"/>
    <d v="1899-12-30T09:33:37"/>
    <s v=""/>
    <s v="Perdido"/>
    <d v="2025-10-01T00:00:00"/>
    <d v="1899-12-30T15:59:20"/>
    <s v="Fechou com o concorrente - preço"/>
    <s v="fechou sem mesmo falar com Guarani"/>
    <s v=""/>
    <x v="106"/>
    <s v=""/>
    <x v="115"/>
    <s v="22/08/2025"/>
    <m/>
    <m/>
    <s v=""/>
    <s v=""/>
    <s v=""/>
    <s v=""/>
    <n v="1"/>
  </r>
  <r>
    <x v="0"/>
    <n v="545"/>
    <m/>
    <n v="2464"/>
    <s v=""/>
    <s v=""/>
    <x v="232"/>
    <m/>
    <s v=""/>
    <s v="Carlos"/>
    <s v="(11) 91852-0852"/>
    <s v=""/>
    <s v="cpedro@shinyt.com.br"/>
    <s v=""/>
    <s v=""/>
    <s v=""/>
    <s v="São Paulo"/>
    <s v=""/>
    <s v="Site"/>
    <s v=""/>
    <s v=""/>
    <s v=""/>
    <s v="Pipeline de Vendas"/>
    <s v="Apresentar Proposta (50%)"/>
    <s v=""/>
    <m/>
    <n v="47500"/>
    <n v="28571"/>
    <n v="3"/>
    <s v="Paulo Souza"/>
    <d v="2025-08-22T00:00:00"/>
    <d v="1899-12-30T16:30:14"/>
    <s v=""/>
    <s v="Perdido"/>
    <d v="2025-08-25T00:00:00"/>
    <d v="1899-12-30T14:44:29"/>
    <s v="Preço muito alto - fora do budget de investimento"/>
    <s v=""/>
    <s v=""/>
    <x v="99"/>
    <s v="Paulo Souza"/>
    <x v="113"/>
    <s v=""/>
    <m/>
    <m/>
    <s v=""/>
    <s v=""/>
    <s v=""/>
    <s v=""/>
    <n v="1"/>
  </r>
  <r>
    <x v="0"/>
    <n v="546"/>
    <m/>
    <n v="2463"/>
    <s v=""/>
    <s v=""/>
    <x v="233"/>
    <n v="27616615000101"/>
    <s v=""/>
    <s v="Raquel"/>
    <s v="(47) 99227-7535"/>
    <s v=""/>
    <s v="comercial@dgbcomex.com.br"/>
    <s v=""/>
    <s v=""/>
    <s v=""/>
    <s v="Santa Bárbara d'Oeste"/>
    <s v=""/>
    <s v="Site"/>
    <s v=""/>
    <s v=""/>
    <s v="Contato"/>
    <s v="Pipeline de Vendas"/>
    <s v="Em negociação (75%)"/>
    <s v=""/>
    <m/>
    <n v="56000"/>
    <n v="340834"/>
    <n v="38"/>
    <s v="Paulo Souza"/>
    <d v="2025-08-22T00:00:00"/>
    <d v="1899-12-30T16:30:46"/>
    <s v=""/>
    <s v="Perdido"/>
    <d v="2025-09-29T00:00:00"/>
    <d v="1899-12-30T16:42:31"/>
    <s v="Projeto adiado / sem prazo definido"/>
    <s v=""/>
    <s v=""/>
    <x v="108"/>
    <s v="Paulo Souza"/>
    <x v="118"/>
    <s v=""/>
    <m/>
    <m/>
    <s v=""/>
    <s v=""/>
    <s v=""/>
    <s v=""/>
    <n v="1"/>
  </r>
  <r>
    <x v="0"/>
    <n v="550"/>
    <m/>
    <n v="2506"/>
    <s v=""/>
    <s v=""/>
    <x v="234"/>
    <n v="7225431000103"/>
    <s v=""/>
    <s v="Ezequiel"/>
    <s v="49999523158"/>
    <s v=""/>
    <s v="adm@duarteestofaria.com.br"/>
    <s v=""/>
    <s v=""/>
    <s v=""/>
    <s v=""/>
    <s v=""/>
    <s v=""/>
    <s v=""/>
    <s v=""/>
    <s v=""/>
    <s v="Pipeline de Vendas"/>
    <s v="Em negociação (75%)"/>
    <s v=""/>
    <m/>
    <n v="519984"/>
    <n v="15378"/>
    <n v="0"/>
    <s v="Paulo Souza"/>
    <d v="2025-08-25T00:00:00"/>
    <d v="1899-12-30T14:30:34"/>
    <s v=""/>
    <s v="Perdido"/>
    <d v="2025-08-25T00:00:00"/>
    <d v="1899-12-30T14:33:38"/>
    <s v="Preço muito alto - fora do budget de investimento"/>
    <s v=""/>
    <s v=""/>
    <x v="109"/>
    <s v="Paulo Souza"/>
    <x v="119"/>
    <s v=""/>
    <m/>
    <m/>
    <s v=""/>
    <s v=""/>
    <s v=""/>
    <s v=""/>
    <n v="1"/>
  </r>
  <r>
    <x v="0"/>
    <n v="552"/>
    <m/>
    <n v="2508"/>
    <s v="Falei hoje 09/01/2026 com Helton e questionei ele sobre a sequência ou não do projeto sistema._x000a_Esta oportunidade encontra-se pausado durante 2026._x000a_22/01 - Retorno do Helton:  Paulo, bom dia! Peço desculpas pelo atraso na resposta. Desejo um ótimo 2026 para você também! _x000a_Analisamos as opções para uma possível troca, mas infelizmente não obtivemos a adesão esperada. Portanto, por enquanto, vamos manter o ERP atual."/>
    <s v=""/>
    <x v="235"/>
    <n v="17739326000138"/>
    <s v=""/>
    <s v="Helton"/>
    <s v="1633347333"/>
    <s v=""/>
    <s v="helton@ramos.com.br"/>
    <s v=""/>
    <s v=""/>
    <s v=""/>
    <s v=""/>
    <s v=""/>
    <s v=""/>
    <s v=""/>
    <s v=""/>
    <s v="30%"/>
    <s v="Pipeline de Vendas"/>
    <s v="Em negociação (75%)"/>
    <s v=""/>
    <d v="2026-01-22T00:00:00"/>
    <n v="15359994"/>
    <n v="924744"/>
    <n v="151"/>
    <s v="Paulo Souza"/>
    <d v="2025-08-25T00:00:00"/>
    <d v="1899-12-30T14:49:40"/>
    <s v=""/>
    <s v="Perdido"/>
    <d v="2026-01-23T00:00:00"/>
    <d v="1899-12-30T11:11:59"/>
    <s v="Não quer mudar a solução atual"/>
    <s v=""/>
    <s v=""/>
    <x v="110"/>
    <s v="Paulo Souza"/>
    <x v="120"/>
    <s v=""/>
    <d v="2026-01-22T00:00:00"/>
    <m/>
    <s v=""/>
    <s v=""/>
    <s v=""/>
    <s v=""/>
    <n v="1"/>
  </r>
  <r>
    <x v="0"/>
    <n v="553"/>
    <m/>
    <n v="2509"/>
    <s v=""/>
    <s v=""/>
    <x v="236"/>
    <m/>
    <s v=""/>
    <s v="Fabiana e Gilson"/>
    <s v="11950946784"/>
    <s v=""/>
    <s v="null"/>
    <s v=""/>
    <s v=""/>
    <s v=""/>
    <s v=""/>
    <s v=""/>
    <s v=""/>
    <s v=""/>
    <s v=""/>
    <s v=""/>
    <s v="Pipeline de Vendas"/>
    <s v="Em Fechamento (100%)"/>
    <s v=""/>
    <m/>
    <n v="9600"/>
    <n v="412064"/>
    <n v="84"/>
    <s v="Paulo Souza"/>
    <d v="2025-08-25T00:00:00"/>
    <d v="1899-12-30T14:58:26"/>
    <s v=""/>
    <s v="Ganho"/>
    <d v="2025-11-17T00:00:00"/>
    <d v="1899-12-30T15:27:00"/>
    <s v=""/>
    <s v=""/>
    <s v=""/>
    <x v="110"/>
    <s v="Paulo Souza"/>
    <x v="120"/>
    <s v=""/>
    <m/>
    <m/>
    <s v=""/>
    <s v=""/>
    <s v=""/>
    <s v=""/>
    <n v="1"/>
  </r>
  <r>
    <x v="1"/>
    <n v="557"/>
    <m/>
    <n v="2516"/>
    <s v=""/>
    <s v=""/>
    <x v="237"/>
    <n v="59716480000134"/>
    <s v=""/>
    <s v="Plastutti - Cloud"/>
    <s v="1146311986"/>
    <s v=""/>
    <s v="thiago@plasstutti.com.br"/>
    <s v=""/>
    <s v=""/>
    <s v=""/>
    <s v="DIADEMA"/>
    <s v="SP"/>
    <s v=""/>
    <s v=""/>
    <s v=""/>
    <s v=""/>
    <s v="Pipeline de Vendas"/>
    <s v="Apresentar Proposta (50%)"/>
    <s v=""/>
    <m/>
    <m/>
    <m/>
    <n v="0"/>
    <s v="Junior Lopes"/>
    <d v="2025-08-28T00:00:00"/>
    <d v="1899-12-30T16:54:42"/>
    <s v=""/>
    <s v="Perdido"/>
    <d v="2025-08-28T00:00:00"/>
    <d v="1899-12-30T17:00:14"/>
    <s v="Preço muito alto - fora do budget de investimento"/>
    <s v="achou valores acima"/>
    <s v=""/>
    <x v="111"/>
    <s v=""/>
    <x v="121"/>
    <s v=""/>
    <m/>
    <m/>
    <s v=""/>
    <s v=""/>
    <s v=""/>
    <s v=""/>
    <n v="1"/>
  </r>
  <r>
    <x v="1"/>
    <n v="558"/>
    <m/>
    <n v="2518"/>
    <s v=""/>
    <s v=""/>
    <x v="238"/>
    <n v="60315995000101"/>
    <s v=""/>
    <s v="Brinquemix - Cloud"/>
    <s v="11996823494"/>
    <s v=""/>
    <s v="simonee@brinquemix.com.br"/>
    <s v=""/>
    <s v=""/>
    <s v=""/>
    <s v="ITAQUAQUECETUBA"/>
    <s v="SP"/>
    <s v=""/>
    <s v=""/>
    <s v=""/>
    <s v=""/>
    <s v="Pipeline de Vendas"/>
    <s v="Apresentar Solução (35%)"/>
    <s v=""/>
    <m/>
    <n v="1600"/>
    <n v="323356"/>
    <n v="0"/>
    <s v="Junior Lopes"/>
    <d v="2025-08-29T00:00:00"/>
    <d v="1899-12-30T10:43:20"/>
    <s v=""/>
    <s v="Perdido"/>
    <d v="2025-08-29T00:00:00"/>
    <d v="1899-12-30T11:06:35"/>
    <s v="Projeto adiado / sem prazo definido"/>
    <s v="16:26, 28/8/2025 Junior Lopes: Olá Simone, boa tarde_x000a_17:06, 28/8/2025 Simone Brinquemix : Olá Dra_x000a_17:06, 28/8/2025 Simone Brinquemix : Olá_x000a_11:03, 29/8/2025 Junior Lopes: Olá Simone ! Como não tive retorno de sua parte, vou encerrar este atendimento! _x000a_Caso mude de ideia ou precise de algo no futuro pode me chamar por aqui _x000a_Estimo sucesso para vocês 🤝"/>
    <s v=""/>
    <x v="112"/>
    <s v=""/>
    <x v="109"/>
    <s v=""/>
    <m/>
    <m/>
    <s v=""/>
    <s v=""/>
    <s v=""/>
    <s v=""/>
    <n v="1"/>
  </r>
  <r>
    <x v="1"/>
    <n v="559"/>
    <n v="155"/>
    <m/>
    <s v=""/>
    <s v=""/>
    <x v="239"/>
    <n v="13609763000186"/>
    <s v="BAAG (Bahia Artes Gráficas)"/>
    <s v=""/>
    <s v=""/>
    <s v=""/>
    <s v="cleber@bahiagrafica.com.br"/>
    <s v=""/>
    <s v=""/>
    <s v=""/>
    <s v="Feira de Santana"/>
    <s v="BA"/>
    <s v=""/>
    <s v=""/>
    <s v=""/>
    <s v=""/>
    <s v="Pipeline de Vendas"/>
    <s v="Apresentar Solução (35%)"/>
    <s v=""/>
    <m/>
    <n v="16960"/>
    <n v="14256"/>
    <n v="32"/>
    <s v="Junior Lopes"/>
    <d v="2025-08-29T00:00:00"/>
    <d v="1899-12-30T15:55:01"/>
    <s v=""/>
    <s v="Perdido"/>
    <d v="2025-09-30T00:00:00"/>
    <d v="1899-12-30T16:26:43"/>
    <s v="Projeto adiado / sem prazo definido"/>
    <s v="em analise do consultor Munhoz, cliente não esta no momento  certo"/>
    <s v=""/>
    <x v="113"/>
    <s v=""/>
    <x v="0"/>
    <s v=""/>
    <m/>
    <m/>
    <s v=""/>
    <s v=""/>
    <s v=""/>
    <s v=""/>
    <n v="1"/>
  </r>
  <r>
    <x v="1"/>
    <n v="561"/>
    <m/>
    <n v="2523"/>
    <s v=""/>
    <s v=""/>
    <x v="240"/>
    <n v="4049280000183"/>
    <s v=""/>
    <s v="Amilplast - Cloud"/>
    <s v="11973107041"/>
    <s v=""/>
    <s v="amilplast@amilplastt.com.br"/>
    <s v=""/>
    <s v=""/>
    <s v=""/>
    <s v="GUARULHOS"/>
    <s v="SP"/>
    <s v=""/>
    <s v=""/>
    <s v=""/>
    <s v=""/>
    <s v="Pipeline de Vendas"/>
    <s v="Em Fechamento (100%)"/>
    <s v=""/>
    <m/>
    <n v="1600"/>
    <n v="390556"/>
    <n v="61"/>
    <s v="Junior Lopes"/>
    <d v="2025-08-29T00:00:00"/>
    <d v="1899-12-30T16:40:34"/>
    <s v=""/>
    <s v="Perdido"/>
    <d v="2025-10-29T00:00:00"/>
    <d v="1899-12-30T10:37:03"/>
    <s v="Não quer mudar a solução atual"/>
    <s v="Amilplast continuará com servidor físico"/>
    <s v="21/10/2025"/>
    <x v="105"/>
    <s v=""/>
    <x v="116"/>
    <s v=""/>
    <m/>
    <m/>
    <s v=""/>
    <s v=""/>
    <s v=""/>
    <s v=""/>
    <n v="1"/>
  </r>
  <r>
    <x v="1"/>
    <n v="562"/>
    <m/>
    <n v="2526"/>
    <s v=""/>
    <s v=""/>
    <x v="241"/>
    <n v="1715468000125"/>
    <s v=""/>
    <s v="Off Paper (ERP)"/>
    <s v="35984074473"/>
    <s v=""/>
    <s v="jessica@papeisoffpaper.com.br"/>
    <s v=""/>
    <s v=""/>
    <s v=""/>
    <s v="LAMBARI"/>
    <s v="MG"/>
    <s v=""/>
    <s v=""/>
    <s v=""/>
    <s v=""/>
    <s v="Pipeline de Vendas"/>
    <s v="Apresentar Solução (35%)"/>
    <s v=""/>
    <m/>
    <n v="1600"/>
    <n v="480156"/>
    <n v="33"/>
    <s v="Junior Lopes"/>
    <d v="2025-08-29T00:00:00"/>
    <d v="1899-12-30T16:52:44"/>
    <s v=""/>
    <s v="Perdido"/>
    <d v="2025-10-01T00:00:00"/>
    <d v="1899-12-30T15:58:53"/>
    <s v="Fechou com o concorrente - preço"/>
    <s v="fechou sem mesmo falar com Guarani"/>
    <s v=""/>
    <x v="106"/>
    <s v=""/>
    <x v="0"/>
    <s v=""/>
    <m/>
    <m/>
    <s v=""/>
    <s v=""/>
    <s v=""/>
    <s v=""/>
    <n v="1"/>
  </r>
  <r>
    <x v="1"/>
    <n v="563"/>
    <m/>
    <n v="2530"/>
    <s v=""/>
    <s v=""/>
    <x v="242"/>
    <n v="1715468000125"/>
    <s v=""/>
    <s v="Off Paper (Cloud)"/>
    <s v="35984074473"/>
    <s v=""/>
    <s v="jessica@papeisoffpaper.com.br"/>
    <s v=""/>
    <s v=""/>
    <s v=""/>
    <s v="LAMBARI"/>
    <s v="MG"/>
    <s v=""/>
    <s v=""/>
    <s v=""/>
    <s v=""/>
    <s v="Pipeline de Vendas"/>
    <s v="Apresentar Solução (35%)"/>
    <s v=""/>
    <m/>
    <n v="93280"/>
    <n v="1163416"/>
    <n v="33"/>
    <s v="Junior Lopes"/>
    <d v="2025-08-29T00:00:00"/>
    <d v="1899-12-30T16:55:00"/>
    <s v=""/>
    <s v="Perdido"/>
    <d v="2025-10-01T00:00:00"/>
    <d v="1899-12-30T15:58:22"/>
    <s v="Fechou com o concorrente - preço"/>
    <s v="fechou sem mesmo falar com Guarani"/>
    <s v=""/>
    <x v="106"/>
    <s v=""/>
    <x v="0"/>
    <s v=""/>
    <m/>
    <m/>
    <s v=""/>
    <s v=""/>
    <s v=""/>
    <s v=""/>
    <n v="1"/>
  </r>
  <r>
    <x v="1"/>
    <n v="564"/>
    <m/>
    <n v="2534"/>
    <s v=""/>
    <s v=""/>
    <x v="243"/>
    <m/>
    <s v=""/>
    <s v="Usual plastic (BI)"/>
    <s v="1532833659"/>
    <s v=""/>
    <s v="adm@usualutilidades.com.br"/>
    <s v=""/>
    <s v=""/>
    <s v=""/>
    <s v=""/>
    <s v=""/>
    <s v=""/>
    <s v=""/>
    <s v=""/>
    <s v=""/>
    <s v="Pipeline de Vendas"/>
    <s v="Apresentar Solução (35%)"/>
    <s v=""/>
    <m/>
    <n v="16200"/>
    <n v="2160"/>
    <n v="11"/>
    <s v="Junior Lopes"/>
    <d v="2025-08-29T00:00:00"/>
    <d v="1899-12-30T17:43:06"/>
    <s v=""/>
    <s v="Perdido"/>
    <d v="2025-09-09T00:00:00"/>
    <d v="1899-12-30T15:32:46"/>
    <s v="Não quer mudar a solução atual"/>
    <s v="Gustavo conversou com os sócios e decidiu por não trocar de software no momento"/>
    <s v=""/>
    <x v="104"/>
    <s v=""/>
    <x v="0"/>
    <s v=""/>
    <m/>
    <m/>
    <s v=""/>
    <s v=""/>
    <s v=""/>
    <s v=""/>
    <n v="1"/>
  </r>
  <r>
    <x v="2"/>
    <n v="566"/>
    <m/>
    <n v="2538"/>
    <s v=""/>
    <s v="Jr Comercio De Motos E Pecas Ltda"/>
    <x v="244"/>
    <n v="46964028000140"/>
    <s v=""/>
    <s v="Jr Comercio De Motos E Pecas Ltda"/>
    <s v="(67) 9121-3638"/>
    <s v=""/>
    <s v="custodiojadi@gmail.com"/>
    <s v=""/>
    <s v=""/>
    <s v=""/>
    <s v="CAMPO GRANDE"/>
    <s v="MS"/>
    <s v="Base de empresas Leads2b"/>
    <s v=""/>
    <s v=""/>
    <s v=""/>
    <s v="Pipeline de Vendas"/>
    <s v="Apresentar Solução (35%)"/>
    <s v=""/>
    <m/>
    <m/>
    <m/>
    <n v="28"/>
    <s v="Rayssa Karapeticov"/>
    <d v="2025-09-02T00:00:00"/>
    <d v="1899-12-30T09:34:13"/>
    <s v=""/>
    <s v="Perdido"/>
    <d v="2025-09-30T00:00:00"/>
    <d v="1899-12-30T09:44:47"/>
    <s v="Preço muito alto - fora do budget de investimento"/>
    <s v=""/>
    <s v=""/>
    <x v="0"/>
    <s v=""/>
    <x v="0"/>
    <s v=""/>
    <m/>
    <m/>
    <s v=""/>
    <s v=""/>
    <s v=""/>
    <s v=""/>
    <n v="1"/>
  </r>
  <r>
    <x v="2"/>
    <n v="567"/>
    <m/>
    <n v="2541"/>
    <s v=""/>
    <s v="Jomafe Brasil - Comercio De Utensilios Domesticos E Cutelarias Ltda."/>
    <x v="245"/>
    <n v="13039863000203"/>
    <s v=""/>
    <s v="Jomafe Brasil - Comercio De Utensilios Domesticos E Cutelarias Ltda."/>
    <s v="(11) 3283-3767"/>
    <s v=""/>
    <s v="vendas.br@jomafe.pt"/>
    <s v=""/>
    <s v=""/>
    <s v=""/>
    <s v="SAO PAULO"/>
    <s v="SP"/>
    <s v="Base de empresas Leads2b"/>
    <s v=""/>
    <s v=""/>
    <s v="WhatsappRayssa"/>
    <s v="Pipeline de Vendas"/>
    <s v="Agendamento (0%)"/>
    <s v=""/>
    <m/>
    <m/>
    <m/>
    <n v="98"/>
    <s v="Rayssa Karapeticov"/>
    <d v="2025-09-02T00:00:00"/>
    <d v="1899-12-30T10:57:13"/>
    <s v=""/>
    <s v="Perdido"/>
    <d v="2025-12-09T00:00:00"/>
    <d v="1899-12-30T11:48:37"/>
    <s v="Projeto adiado / sem prazo definido"/>
    <s v=""/>
    <s v=""/>
    <x v="0"/>
    <s v=""/>
    <x v="0"/>
    <s v=""/>
    <m/>
    <m/>
    <s v=""/>
    <s v=""/>
    <s v=""/>
    <s v=""/>
    <n v="1"/>
  </r>
  <r>
    <x v="0"/>
    <n v="575"/>
    <m/>
    <n v="2547"/>
    <s v=""/>
    <s v=""/>
    <x v="246"/>
    <m/>
    <s v=""/>
    <s v="NATALIA GABRIELA DAMACENO MOTA"/>
    <s v="(11) 9667-2094"/>
    <s v=""/>
    <s v="naty-gabriela@hotmail.com"/>
    <s v=""/>
    <s v=""/>
    <s v=""/>
    <s v="São Paulo"/>
    <s v=""/>
    <s v="Site"/>
    <s v=""/>
    <s v=""/>
    <s v="Contato"/>
    <s v="Pipeline de Vendas"/>
    <s v="Apresentar Proposta (50%)"/>
    <s v=""/>
    <m/>
    <m/>
    <m/>
    <n v="19"/>
    <s v="Paulo Souza"/>
    <d v="2025-09-10T00:00:00"/>
    <d v="1899-12-30T15:39:28"/>
    <s v=""/>
    <s v="Perdido"/>
    <d v="2025-09-29T00:00:00"/>
    <d v="1899-12-30T16:41:35"/>
    <s v="Fora do porte mínimo (sem fit estrutural)"/>
    <s v=""/>
    <s v=""/>
    <x v="108"/>
    <s v="Paulo Souza"/>
    <x v="118"/>
    <s v=""/>
    <m/>
    <m/>
    <s v=""/>
    <s v=""/>
    <s v=""/>
    <s v=""/>
    <n v="1"/>
  </r>
  <r>
    <x v="1"/>
    <n v="576"/>
    <m/>
    <n v="2551"/>
    <s v=""/>
    <s v="Natalia Gabriela Damaceno Mota"/>
    <x v="247"/>
    <n v="36621794000158"/>
    <s v=""/>
    <s v="Natalia Gabriela Damaceno Mota"/>
    <s v="(11) 4292-3358"/>
    <s v=""/>
    <s v="catocontabilidade@gmail.com"/>
    <s v=""/>
    <s v=""/>
    <s v=""/>
    <s v="SUZANO"/>
    <s v="SP"/>
    <s v="Base de empresas Leads2b"/>
    <s v=""/>
    <s v=""/>
    <s v=""/>
    <s v="Pipeline de Vendas"/>
    <s v="Apresentar Solução (35%)"/>
    <s v=""/>
    <m/>
    <n v="10176"/>
    <n v="2060"/>
    <n v="23"/>
    <s v="Junior Lopes"/>
    <d v="2025-09-10T00:00:00"/>
    <d v="1899-12-30T15:53:14"/>
    <s v=""/>
    <s v="Perdido"/>
    <d v="2025-10-03T00:00:00"/>
    <d v="1899-12-30T09:59:47"/>
    <s v="Não houve aprovação financeira"/>
    <s v="Após proposta cliente não respondeu mais"/>
    <s v=""/>
    <x v="114"/>
    <s v=""/>
    <x v="122"/>
    <s v=""/>
    <m/>
    <m/>
    <s v=""/>
    <s v=""/>
    <s v=""/>
    <s v=""/>
    <n v="1"/>
  </r>
  <r>
    <x v="0"/>
    <n v="577"/>
    <m/>
    <n v="2502"/>
    <s v=""/>
    <s v=""/>
    <x v="248"/>
    <m/>
    <s v=""/>
    <s v="Lara"/>
    <s v="(19) 99985-2953"/>
    <s v=""/>
    <s v="lfabian.pereira@gmail.com"/>
    <s v=""/>
    <s v=""/>
    <s v=""/>
    <s v="Pedreira"/>
    <s v=""/>
    <s v="Site"/>
    <s v=""/>
    <s v=""/>
    <s v="Contato"/>
    <s v="Pipeline de Vendas"/>
    <s v="Em negociação (75%)"/>
    <s v=""/>
    <m/>
    <m/>
    <m/>
    <n v="0"/>
    <s v="Paulo Souza"/>
    <d v="2025-09-10T00:00:00"/>
    <d v="1899-12-30T15:54:51"/>
    <s v=""/>
    <s v="Perdido"/>
    <d v="2025-09-10T00:00:00"/>
    <d v="1899-12-30T15:56:27"/>
    <s v="Preço muito alto - fora do budget de investimento"/>
    <s v=""/>
    <s v=""/>
    <x v="115"/>
    <s v="Paulo Souza"/>
    <x v="123"/>
    <s v=""/>
    <m/>
    <m/>
    <s v=""/>
    <s v=""/>
    <s v=""/>
    <s v=""/>
    <n v="1"/>
  </r>
  <r>
    <x v="0"/>
    <n v="578"/>
    <m/>
    <n v="2515"/>
    <s v=""/>
    <s v=""/>
    <x v="249"/>
    <m/>
    <s v=""/>
    <s v="Sidney Stabile"/>
    <s v="(11) 98122-0797"/>
    <s v=""/>
    <s v="sidneysmr1@gmail.com"/>
    <s v=""/>
    <s v=""/>
    <s v=""/>
    <s v="São Paulo"/>
    <s v=""/>
    <s v="Site"/>
    <s v=""/>
    <s v=""/>
    <s v="Solicita demo"/>
    <s v="Pipeline de Vendas"/>
    <s v="Apresentar Proposta (50%)"/>
    <s v=""/>
    <m/>
    <m/>
    <m/>
    <n v="0"/>
    <s v="Paulo Souza"/>
    <d v="2025-09-11T00:00:00"/>
    <d v="1899-12-30T08:35:20"/>
    <s v=""/>
    <s v="Perdido"/>
    <d v="2025-09-11T00:00:00"/>
    <d v="1899-12-30T08:38:05"/>
    <s v="Preço muito alto - fora do budget de investimento"/>
    <s v=""/>
    <s v=""/>
    <x v="116"/>
    <s v=""/>
    <x v="124"/>
    <s v=""/>
    <m/>
    <m/>
    <s v=""/>
    <s v=""/>
    <s v=""/>
    <s v=""/>
    <n v="1"/>
  </r>
  <r>
    <x v="1"/>
    <n v="582"/>
    <m/>
    <n v="2555"/>
    <s v="O projeto só avançará após o ERP entrar em produção. É necessário alinhar com o Mário e o Fernando para confirmar a data exata de go-live, pois o projeto permanece aguardando essa etapa da implantação para seguir com as próximas fases."/>
    <s v=""/>
    <x v="150"/>
    <n v="32921219000110"/>
    <s v=""/>
    <s v="MDL Import - Cloud"/>
    <s v="1190695515"/>
    <s v=""/>
    <s v="janaina@mdlimport.com.br"/>
    <s v=""/>
    <s v=""/>
    <s v=""/>
    <s v=""/>
    <s v=""/>
    <s v=""/>
    <s v=""/>
    <s v=""/>
    <s v="80%"/>
    <s v="Pipeline de Vendas"/>
    <s v="Em Fechamento (100%)"/>
    <s v=""/>
    <d v="2026-02-02T00:00:00"/>
    <n v="1600"/>
    <n v="256856"/>
    <n v="231"/>
    <s v="Junior Lopes"/>
    <d v="2025-09-11T00:00:00"/>
    <d v="1899-12-30T13:00:08"/>
    <s v=""/>
    <s v="Perdido"/>
    <d v="2026-04-30T00:00:00"/>
    <d v="1899-12-30T14:30:32"/>
    <s v="Não quer mudar a solução atual"/>
    <s v="esta em uso de servidor próprio"/>
    <s v=""/>
    <x v="117"/>
    <s v="Junior Lopes"/>
    <x v="125"/>
    <s v=""/>
    <d v="2025-12-12T00:00:00"/>
    <n v="80"/>
    <s v=""/>
    <s v=""/>
    <s v=""/>
    <s v=""/>
    <n v="1"/>
  </r>
  <r>
    <x v="0"/>
    <n v="583"/>
    <m/>
    <n v="578"/>
    <s v="A empresa está enfrentando uma situação delicada com a Receita Federal e, por isso, decidiu aguardar antes de assinar o contrato, já que não sabe se manterá a operação de atacado. O plano é retomar o contato na primeira semana de janeiro de 2026._x000a_06/02 A Michele me ligou retomando o projeto, agora estamos na fase de negociação."/>
    <s v="Futuro Brasil Importacao E Exportacao Ltda"/>
    <x v="250"/>
    <n v="7664689000289"/>
    <s v=""/>
    <s v="Futuro Brasil Importacao E Exportacao Ltda"/>
    <s v="(11) 3312-3990"/>
    <s v=""/>
    <s v="financeiro.michele@futurobrasil.com"/>
    <s v=""/>
    <s v=""/>
    <s v=""/>
    <s v="EXTREMA"/>
    <s v="MG"/>
    <s v="Base de empresas Leads2b"/>
    <s v=""/>
    <s v=""/>
    <s v="30%;Pausado"/>
    <s v="Pipeline de Vendas"/>
    <s v="Em negociação (75%)"/>
    <s v=""/>
    <d v="2026-04-30T00:00:00"/>
    <n v="100800"/>
    <n v="5484"/>
    <n v="249"/>
    <s v="Paulo Souza"/>
    <d v="2025-09-11T00:00:00"/>
    <d v="1899-12-30T15:56:45"/>
    <s v=""/>
    <s v="Perdido"/>
    <d v="2026-05-18T00:00:00"/>
    <d v="1899-12-30T16:49:23"/>
    <s v="Projeto adiado / sem prazo definido"/>
    <s v=""/>
    <s v=""/>
    <x v="118"/>
    <s v="Paulo Souza"/>
    <x v="126"/>
    <s v=""/>
    <d v="2026-03-31T00:00:00"/>
    <n v="30"/>
    <s v="504"/>
    <s v="ERP, AFV, ADICIONAIS, CLOUD, WMS"/>
    <s v="R$ 100.800"/>
    <s v="R$ 5.484"/>
    <n v="1"/>
  </r>
  <r>
    <x v="1"/>
    <n v="585"/>
    <m/>
    <n v="2557"/>
    <s v=""/>
    <s v=""/>
    <x v="251"/>
    <m/>
    <s v=""/>
    <s v="Fantoys comércio de brinquedos ltda"/>
    <s v="44999841977"/>
    <s v=""/>
    <s v="Fantoyscomercial@gmail.com"/>
    <s v=""/>
    <s v=""/>
    <s v=""/>
    <s v=""/>
    <s v=""/>
    <s v=""/>
    <s v=""/>
    <s v=""/>
    <s v=""/>
    <s v="Pipeline de Vendas"/>
    <s v="Apresentar Proposta (50%)"/>
    <s v=""/>
    <m/>
    <n v="58088"/>
    <n v="645602"/>
    <n v="13"/>
    <s v="Junior Lopes"/>
    <d v="2025-09-12T00:00:00"/>
    <d v="1899-12-30T14:48:47"/>
    <s v=""/>
    <s v="Perdido"/>
    <d v="2025-09-25T00:00:00"/>
    <d v="1899-12-30T16:14:01"/>
    <s v="Não houve aprovação financeira"/>
    <s v="cliente achou investimento muito alto"/>
    <s v=""/>
    <x v="119"/>
    <s v=""/>
    <x v="127"/>
    <s v=""/>
    <m/>
    <m/>
    <s v=""/>
    <s v=""/>
    <s v=""/>
    <s v=""/>
    <n v="1"/>
  </r>
  <r>
    <x v="2"/>
    <n v="587"/>
    <m/>
    <n v="2559"/>
    <s v=""/>
    <s v=""/>
    <x v="252"/>
    <m/>
    <s v=""/>
    <s v="Junior"/>
    <s v="19987126669"/>
    <s v=""/>
    <s v="null"/>
    <s v=""/>
    <s v=""/>
    <s v=""/>
    <s v=""/>
    <s v=""/>
    <s v=""/>
    <s v=""/>
    <s v=""/>
    <s v=""/>
    <s v="Pipeline de Vendas"/>
    <s v="Em Fechamento (100%)"/>
    <s v=""/>
    <m/>
    <n v="64200"/>
    <n v="254344"/>
    <n v="78"/>
    <s v="Rayssa Karapeticov"/>
    <d v="2025-09-15T00:00:00"/>
    <d v="1899-12-30T10:48:08"/>
    <s v=""/>
    <s v="Ganho"/>
    <d v="2025-12-02T00:00:00"/>
    <d v="1899-12-30T11:19:47"/>
    <s v=""/>
    <s v=""/>
    <s v=""/>
    <x v="120"/>
    <s v=""/>
    <x v="128"/>
    <s v="17/09/2025 00:00"/>
    <m/>
    <m/>
    <s v=""/>
    <s v=""/>
    <s v=""/>
    <s v=""/>
    <n v="1"/>
  </r>
  <r>
    <x v="1"/>
    <n v="589"/>
    <m/>
    <n v="2561"/>
    <s v=""/>
    <s v=""/>
    <x v="253"/>
    <n v="7548592000120"/>
    <s v=""/>
    <s v="KAIQUE ARAUJO"/>
    <s v="(67) 99250-3056"/>
    <s v=""/>
    <s v="comercial.centralracoes@hotmail.com"/>
    <s v=""/>
    <s v=""/>
    <s v=""/>
    <s v="CAMPO GRANDE"/>
    <s v="MS"/>
    <s v="Site"/>
    <s v=""/>
    <s v=""/>
    <s v="Solicita demo"/>
    <s v="Pipeline de Vendas"/>
    <s v="Apresentar Proposta (50%)"/>
    <s v=""/>
    <m/>
    <n v="103032"/>
    <n v="696032"/>
    <n v="30"/>
    <s v="Paulo Souza"/>
    <d v="2025-09-16T00:00:00"/>
    <d v="1899-12-30T09:41:24"/>
    <s v=""/>
    <s v="Perdido"/>
    <d v="2025-10-16T00:00:00"/>
    <d v="1899-12-30T12:01:25"/>
    <s v="Projeto adiado / sem prazo definido"/>
    <s v="informações salvo em notas"/>
    <s v=""/>
    <x v="121"/>
    <s v="Junior Lopes"/>
    <x v="129"/>
    <s v="30/09/2025"/>
    <m/>
    <m/>
    <s v=""/>
    <s v=""/>
    <s v=""/>
    <s v=""/>
    <n v="1"/>
  </r>
  <r>
    <x v="1"/>
    <n v="590"/>
    <m/>
    <n v="2561"/>
    <s v=""/>
    <s v=""/>
    <x v="254"/>
    <n v="7548592000120"/>
    <s v=""/>
    <s v="KAIQUE ARAUJO"/>
    <s v="(67) 99250-3056"/>
    <s v=""/>
    <s v="comercial.centralracoes@hotmail.com"/>
    <s v=""/>
    <s v=""/>
    <s v=""/>
    <s v="CAMPO GRANDE"/>
    <s v="MS"/>
    <s v="Site"/>
    <s v=""/>
    <s v=""/>
    <s v="Solicita demo"/>
    <s v="Pipeline de Vendas"/>
    <s v="Agendamento (0%)"/>
    <s v=""/>
    <m/>
    <m/>
    <m/>
    <n v="0"/>
    <s v="Junior Lopes"/>
    <d v="2025-09-16T00:00:00"/>
    <d v="1899-12-30T09:45:26"/>
    <s v=""/>
    <s v="Perdido"/>
    <d v="2025-09-16T00:00:00"/>
    <d v="1899-12-30T09:58:11"/>
    <s v="Fora do porte mínimo (sem fit estrutural)"/>
    <s v="cadastro duplicado"/>
    <s v=""/>
    <x v="0"/>
    <s v=""/>
    <x v="0"/>
    <s v=""/>
    <m/>
    <m/>
    <s v=""/>
    <s v=""/>
    <s v=""/>
    <s v=""/>
    <n v="1"/>
  </r>
  <r>
    <x v="1"/>
    <n v="597"/>
    <m/>
    <n v="2571"/>
    <s v=""/>
    <s v="Ilumac Industria Comercio E Servicos Ltda"/>
    <x v="255"/>
    <n v="49872306000127"/>
    <s v=""/>
    <s v="Ilumac Industria Comercio E Servicos Ltda"/>
    <s v="(14) 3213-1100"/>
    <s v=""/>
    <s v="direcao@safeway.ind.br"/>
    <s v=""/>
    <s v=""/>
    <s v=""/>
    <s v="BAURU"/>
    <s v="SP"/>
    <s v="Base de empresas Leads2b"/>
    <s v=""/>
    <s v=""/>
    <s v=""/>
    <s v="Pipeline de Vendas"/>
    <s v="Apresentar Proposta (50%)"/>
    <s v=""/>
    <m/>
    <n v="7021439"/>
    <n v="37362"/>
    <n v="14"/>
    <s v="Junior Lopes"/>
    <d v="2025-09-19T00:00:00"/>
    <d v="1899-12-30T15:49:06"/>
    <s v=""/>
    <s v="Perdido"/>
    <d v="2025-10-03T00:00:00"/>
    <d v="1899-12-30T09:41:38"/>
    <s v="Não quer mudar a solução atual"/>
    <s v="cliente não responde as mensagens e ligações"/>
    <s v=""/>
    <x v="114"/>
    <s v=""/>
    <x v="130"/>
    <s v=""/>
    <m/>
    <m/>
    <s v=""/>
    <s v=""/>
    <s v=""/>
    <s v=""/>
    <n v="1"/>
  </r>
  <r>
    <x v="0"/>
    <n v="600"/>
    <m/>
    <n v="2477"/>
    <s v=""/>
    <s v=""/>
    <x v="256"/>
    <m/>
    <s v=""/>
    <s v="Lucas"/>
    <s v="(11) 98527-7256"/>
    <s v=""/>
    <s v="marketing@mewoof.com.br"/>
    <s v=""/>
    <s v=""/>
    <s v=""/>
    <s v="São Paulo"/>
    <s v=""/>
    <s v="Site"/>
    <s v=""/>
    <s v=""/>
    <s v="Solicita demo"/>
    <s v="Pipeline de Vendas"/>
    <s v="Em negociação (75%)"/>
    <s v=""/>
    <m/>
    <m/>
    <m/>
    <n v="43"/>
    <s v="Paulo Souza"/>
    <d v="2025-09-23T00:00:00"/>
    <d v="1899-12-30T16:50:25"/>
    <s v=""/>
    <s v="Perdido"/>
    <d v="2025-11-05T00:00:00"/>
    <d v="1899-12-30T09:56:42"/>
    <s v="Fora do porte mínimo (sem fit estrutural)"/>
    <s v=""/>
    <s v=""/>
    <x v="108"/>
    <s v="Paulo Souza"/>
    <x v="131"/>
    <s v=""/>
    <m/>
    <m/>
    <s v=""/>
    <s v=""/>
    <s v=""/>
    <s v=""/>
    <n v="1"/>
  </r>
  <r>
    <x v="1"/>
    <n v="601"/>
    <m/>
    <n v="2579"/>
    <s v=""/>
    <s v=""/>
    <x v="257"/>
    <m/>
    <s v=""/>
    <s v="Fantoys Brinquedos - Cloud"/>
    <s v="44999841977"/>
    <s v=""/>
    <s v="Fantoyscomercial@gmail.com"/>
    <s v=""/>
    <s v=""/>
    <s v=""/>
    <s v=""/>
    <s v=""/>
    <s v=""/>
    <s v=""/>
    <s v=""/>
    <s v=""/>
    <s v="Pipeline de Vendas"/>
    <s v="Apresentar Proposta (50%)"/>
    <s v=""/>
    <m/>
    <n v="1600"/>
    <n v="2396"/>
    <n v="1"/>
    <s v="Junior Lopes"/>
    <d v="2025-09-24T00:00:00"/>
    <d v="1899-12-30T09:48:02"/>
    <s v=""/>
    <s v="Perdido"/>
    <d v="2025-09-25T00:00:00"/>
    <d v="1899-12-30T16:14:54"/>
    <s v="Não houve aprovação financeira"/>
    <s v="cliente achou investimento muito  alto"/>
    <s v=""/>
    <x v="119"/>
    <s v=""/>
    <x v="127"/>
    <s v=""/>
    <m/>
    <m/>
    <s v=""/>
    <s v=""/>
    <s v=""/>
    <s v=""/>
    <n v="1"/>
  </r>
  <r>
    <x v="1"/>
    <n v="602"/>
    <m/>
    <n v="2582"/>
    <s v=""/>
    <s v="Principios Representacoes De Artigos De Uso Domestico Ltda"/>
    <x v="258"/>
    <n v="11392803000155"/>
    <s v=""/>
    <s v="Principios Representacoes De Artigos De Uso Domestico Ltda"/>
    <s v="(48) 9123-3777"/>
    <s v=""/>
    <s v="fabiane.principios@gmail.com"/>
    <s v=""/>
    <s v=""/>
    <s v=""/>
    <s v="ARARANGUA"/>
    <s v="SC"/>
    <s v="Base de empresas Leads2b"/>
    <s v=""/>
    <s v=""/>
    <s v=""/>
    <s v="Pipeline de Vendas"/>
    <s v="Apresentar Proposta (50%)"/>
    <s v=""/>
    <m/>
    <m/>
    <m/>
    <n v="42"/>
    <s v="Junior Lopes"/>
    <d v="2025-09-24T00:00:00"/>
    <d v="1899-12-30T14:10:49"/>
    <s v=""/>
    <s v="Perdido"/>
    <d v="2025-11-05T00:00:00"/>
    <d v="1899-12-30T09:29:11"/>
    <s v="Projeto adiado / sem prazo definido"/>
    <s v="cliente Rep Mais"/>
    <s v=""/>
    <x v="0"/>
    <s v=""/>
    <x v="118"/>
    <s v=""/>
    <m/>
    <m/>
    <s v=""/>
    <s v=""/>
    <s v=""/>
    <s v=""/>
    <n v="1"/>
  </r>
  <r>
    <x v="1"/>
    <n v="603"/>
    <m/>
    <n v="2581"/>
    <s v=""/>
    <s v=""/>
    <x v="259"/>
    <n v="8019257000105"/>
    <s v=""/>
    <s v="Ramão"/>
    <s v=""/>
    <s v=""/>
    <s v="diego.barcelli@guaranisistemas.com.br"/>
    <s v=""/>
    <s v=""/>
    <s v=""/>
    <s v="Brumadinho"/>
    <s v=""/>
    <s v="Indicação"/>
    <s v=""/>
    <s v=""/>
    <s v=""/>
    <s v="Pipeline de Vendas"/>
    <s v="Agendamento (0%)"/>
    <s v=""/>
    <m/>
    <m/>
    <m/>
    <n v="13"/>
    <s v="Paulo Souza"/>
    <d v="2025-09-24T00:00:00"/>
    <d v="1899-12-30T16:01:16"/>
    <s v=""/>
    <s v="Perdido"/>
    <d v="2025-10-07T00:00:00"/>
    <d v="1899-12-30T14:43:39"/>
    <s v="Não quer mudar a solução atual"/>
    <s v="Sem retorno dos contatos"/>
    <s v=""/>
    <x v="0"/>
    <s v="Junior Lopes"/>
    <x v="132"/>
    <s v=""/>
    <m/>
    <m/>
    <s v=""/>
    <s v=""/>
    <s v=""/>
    <s v=""/>
    <n v="1"/>
  </r>
  <r>
    <x v="1"/>
    <n v="604"/>
    <m/>
    <n v="2580"/>
    <s v="Todos os dados preenchidos:_x000a_name: Ramão _x000a_phone: 67 9 9169-7702 _x000a_email: ramaodlara@gmail.com _x000a_nome_da_empresa_indicada: LUZIA LARA GUILHEN- MEI _x000a_field_6: Guarani ERP, PDV _x000a_nome_de_quem_indica: Diego Luis Barcelli _x000a_e_mail_de_quem_indica: diego.barcelli@guaranisistemas.com.br _x000a_telefone_de_quem_indica: 16 9 9265-3506 _x000a_Quais_produtos_Guarani_você_indica_para_essa_empresa?: Guarani ERP, PDV _x000a_0: Guarani ERP, PDV"/>
    <s v=""/>
    <x v="260"/>
    <m/>
    <s v=""/>
    <s v="Ramão"/>
    <s v="67 9 9169-7702"/>
    <s v=""/>
    <s v="ramaodlara@gmail.com"/>
    <s v=""/>
    <s v=""/>
    <s v=""/>
    <s v=""/>
    <s v=""/>
    <s v="Indicação"/>
    <s v=""/>
    <s v=""/>
    <s v=""/>
    <s v="Pipeline de Vendas"/>
    <s v="Agendamento (0%)"/>
    <s v=""/>
    <m/>
    <m/>
    <m/>
    <n v="13"/>
    <s v="Paulo Souza"/>
    <d v="2025-09-24T00:00:00"/>
    <d v="1899-12-30T16:02:08"/>
    <s v=""/>
    <s v="Perdido"/>
    <d v="2025-10-07T00:00:00"/>
    <d v="1899-12-30T09:36:27"/>
    <s v="Não quer mudar a solução atual"/>
    <s v="não responde ao contato"/>
    <s v=""/>
    <x v="0"/>
    <s v="Junior Lopes"/>
    <x v="132"/>
    <s v=""/>
    <m/>
    <m/>
    <s v=""/>
    <s v=""/>
    <s v=""/>
    <s v=""/>
    <n v="1"/>
  </r>
  <r>
    <x v="1"/>
    <n v="607"/>
    <m/>
    <n v="2590"/>
    <s v=""/>
    <s v=""/>
    <x v="261"/>
    <n v="1099426000107"/>
    <s v=""/>
    <s v="Chame Rio (Cloud)"/>
    <s v="21996087296"/>
    <s v=""/>
    <s v="leon@chamerio.com.br"/>
    <s v=""/>
    <s v=""/>
    <s v=""/>
    <s v=""/>
    <s v=""/>
    <s v=""/>
    <s v=""/>
    <s v=""/>
    <s v=""/>
    <s v="Pipeline de Vendas"/>
    <s v="Em negociação (75%)"/>
    <s v=""/>
    <m/>
    <n v="1600"/>
    <n v="3360"/>
    <n v="62"/>
    <s v="Junior Lopes"/>
    <d v="2025-09-25T00:00:00"/>
    <d v="1899-12-30T15:54:00"/>
    <s v=""/>
    <s v="Perdido"/>
    <d v="2025-11-26T00:00:00"/>
    <d v="1899-12-30T14:16:02"/>
    <s v="Projeto adiado / sem prazo definido"/>
    <s v="Aguardar ativação das lojas"/>
    <s v=""/>
    <x v="122"/>
    <s v=""/>
    <x v="133"/>
    <s v=""/>
    <m/>
    <m/>
    <s v=""/>
    <s v=""/>
    <s v=""/>
    <s v=""/>
    <n v="1"/>
  </r>
  <r>
    <x v="1"/>
    <n v="608"/>
    <m/>
    <n v="2591"/>
    <s v=""/>
    <s v=""/>
    <x v="262"/>
    <n v="6302372000159"/>
    <s v=""/>
    <s v="DVidros (CNPJ)"/>
    <s v="31992324071"/>
    <s v=""/>
    <s v="comercial@dvidros.com.br"/>
    <s v=""/>
    <s v=""/>
    <s v=""/>
    <s v=""/>
    <s v=""/>
    <s v=""/>
    <s v=""/>
    <s v=""/>
    <s v=""/>
    <s v="Pipeline de Vendas"/>
    <s v="Em Fechamento (100%)"/>
    <s v=""/>
    <m/>
    <n v="260148"/>
    <n v="0"/>
    <n v="0"/>
    <s v="Junior Lopes"/>
    <d v="2025-09-25T00:00:00"/>
    <d v="1899-12-30T16:03:28"/>
    <s v=""/>
    <s v="Ganho"/>
    <d v="2025-09-25T00:00:00"/>
    <d v="1899-12-30T16:12:47"/>
    <s v=""/>
    <s v=""/>
    <s v=""/>
    <x v="115"/>
    <s v=""/>
    <x v="123"/>
    <s v=""/>
    <m/>
    <m/>
    <s v=""/>
    <s v=""/>
    <s v=""/>
    <s v=""/>
    <n v="1"/>
  </r>
  <r>
    <x v="1"/>
    <n v="609"/>
    <m/>
    <n v="2592"/>
    <s v=""/>
    <s v=""/>
    <x v="263"/>
    <n v="7548592000120"/>
    <s v=""/>
    <s v="Central Rações - BI"/>
    <s v="67992503056"/>
    <s v=""/>
    <s v="comercial.centralracoes@hotmail.com"/>
    <s v=""/>
    <s v=""/>
    <s v=""/>
    <s v="CAMPO GRANDE"/>
    <s v="MS"/>
    <s v=""/>
    <s v=""/>
    <s v=""/>
    <s v=""/>
    <s v="Pipeline de Vendas"/>
    <s v="Apresentar Proposta (50%)"/>
    <s v=""/>
    <m/>
    <n v="16200"/>
    <n v="2160"/>
    <n v="21"/>
    <s v="Junior Lopes"/>
    <d v="2025-09-25T00:00:00"/>
    <d v="1899-12-30T16:39:10"/>
    <s v=""/>
    <s v="Perdido"/>
    <d v="2025-10-16T00:00:00"/>
    <d v="1899-12-30T12:02:57"/>
    <s v="Projeto adiado / sem prazo definido"/>
    <s v="informações salvo em notas"/>
    <s v=""/>
    <x v="121"/>
    <s v=""/>
    <x v="134"/>
    <s v=""/>
    <m/>
    <m/>
    <s v=""/>
    <s v=""/>
    <s v=""/>
    <s v=""/>
    <n v="1"/>
  </r>
  <r>
    <x v="1"/>
    <n v="610"/>
    <m/>
    <n v="2595"/>
    <s v=""/>
    <s v=""/>
    <x v="264"/>
    <n v="7548592000120"/>
    <s v=""/>
    <s v="Central Rações - Cloud"/>
    <s v="67992503056"/>
    <s v=""/>
    <s v="comercial.centralracoes@hotmail.com"/>
    <s v=""/>
    <s v=""/>
    <s v=""/>
    <s v="CAMPO GRANDE"/>
    <s v="MS"/>
    <s v=""/>
    <s v=""/>
    <s v=""/>
    <s v=""/>
    <s v="Pipeline de Vendas"/>
    <s v="Apresentar Proposta (50%)"/>
    <s v=""/>
    <m/>
    <n v="1600"/>
    <n v="405552"/>
    <n v="21"/>
    <s v="Junior Lopes"/>
    <d v="2025-09-25T00:00:00"/>
    <d v="1899-12-30T16:41:53"/>
    <s v=""/>
    <s v="Perdido"/>
    <d v="2025-10-16T00:00:00"/>
    <d v="1899-12-30T12:02:06"/>
    <s v="Projeto adiado / sem prazo definido"/>
    <s v="informações salvo em notas"/>
    <s v=""/>
    <x v="121"/>
    <s v=""/>
    <x v="134"/>
    <s v=""/>
    <m/>
    <m/>
    <s v=""/>
    <s v=""/>
    <s v=""/>
    <s v=""/>
    <n v="1"/>
  </r>
  <r>
    <x v="2"/>
    <n v="611"/>
    <m/>
    <n v="2598"/>
    <s v=""/>
    <s v=""/>
    <x v="265"/>
    <n v="11861121000306"/>
    <s v=""/>
    <s v="Emerson Silva"/>
    <s v="(55) 11941-3524"/>
    <s v=""/>
    <s v="operacional@facinato.com.br"/>
    <s v=""/>
    <s v=""/>
    <s v=""/>
    <s v="São Paulo"/>
    <s v=""/>
    <s v="Site"/>
    <s v=""/>
    <s v=""/>
    <s v="Solicita demo"/>
    <s v="Pipeline de Vendas"/>
    <s v="Apresentar Proposta (50%)"/>
    <s v=""/>
    <m/>
    <m/>
    <m/>
    <n v="28"/>
    <s v="Paulo Souza"/>
    <d v="2025-09-26T00:00:00"/>
    <d v="1899-12-30T10:12:27"/>
    <s v=""/>
    <s v="Perdido"/>
    <d v="2025-10-24T00:00:00"/>
    <d v="1899-12-30T12:02:58"/>
    <s v="Preço muito alto - fora do budget de investimento"/>
    <s v=""/>
    <s v=""/>
    <x v="0"/>
    <s v="Rayssa Karapeticov"/>
    <x v="135"/>
    <s v=""/>
    <m/>
    <m/>
    <s v=""/>
    <s v=""/>
    <s v=""/>
    <s v=""/>
    <n v="1"/>
  </r>
  <r>
    <x v="1"/>
    <n v="613"/>
    <m/>
    <n v="2600"/>
    <s v="11:51, 06/01/2026 Junior Lopes: lá Wilkerson, bom dia_x000a_11:51, 06/01/2026 Junior Lopes: Um Feliz 2026 para vc e toda equipe 🙏🙏_x000a_11:51, 06/01/2026 Junior Lopes: Me recebe aí para discutirmos sobre a proposta comercial?_x000a_15:32, 23/01/2026 Junior Lopes: Olá Wilkerson, boa tarde_x000a_13:34, 27/01/2026 Wilkerson Plasbrin: Ola_x000a_13:34, 27/01/2026 Wilkerson Plasbrin: Estou analisando a proposta sina_x000a_13:34, 27/01/2026 Wilkerson Plasbrin: Ainda_x000a_13:35, 27/01/2026 Wilkerson Plasbrin: Creio que em fevereiro te contato sobre uma negociação_x000a_13:36, 27/01/2026 Junior Lopes: Olá meu amigo! Ótimo _x000a_Veja o que precisa para fecharmos! Nossa solução vai ajudar muito em seus processos _x000a_Te aguardo 👊_x000a_14:25, 27/01/2026 Wilkerson Plasbrin: Pode deixar_x000a_14:25, 27/01/2026 Wilkerson Plasbrin: Vamos avaliar_x000a_08:53, 24/02/2026 Junior Lopes: Olá Wilkerson, bom dia , Td bem ?_x000a_08:54, 24/02/2026 Junior Lopes: Vamos agendar um bate papo para próxima semana ? _x000a_Se sim vou até você !"/>
    <s v=""/>
    <x v="266"/>
    <n v="221294000181"/>
    <s v=""/>
    <s v="PlasBink"/>
    <s v="11997580006"/>
    <s v=""/>
    <s v="falgat@terra.com.br"/>
    <s v=""/>
    <s v=""/>
    <s v=""/>
    <s v="CABREUVA"/>
    <s v="SP"/>
    <s v=""/>
    <s v=""/>
    <s v=""/>
    <s v="50%"/>
    <s v="Pipeline de Vendas"/>
    <s v="Em negociação (75%)"/>
    <s v=""/>
    <d v="2026-03-31T00:00:00"/>
    <n v="81786"/>
    <n v="79654"/>
    <n v="233"/>
    <s v="Junior Lopes"/>
    <d v="2025-09-29T00:00:00"/>
    <d v="1899-12-30T11:41:56"/>
    <s v=""/>
    <s v="Ativo"/>
    <m/>
    <m/>
    <s v=""/>
    <s v=""/>
    <s v="08/10/2025"/>
    <x v="123"/>
    <s v="Junior Lopes"/>
    <x v="118"/>
    <s v=""/>
    <d v="2026-02-24T00:00:00"/>
    <n v="50"/>
    <s v=""/>
    <s v=""/>
    <s v=""/>
    <s v=""/>
    <n v="1"/>
  </r>
  <r>
    <x v="0"/>
    <n v="614"/>
    <m/>
    <n v="2603"/>
    <s v="Indefinido se vamos ou não seguir . O Wellington esta em analise se vamos evoluir!_x000a_Esta oportunidade encontra-se pausado durante 2026._x000a_07/02 Por motivo de gerenciamento do meu CRM, estou declinando a proposta e futuramente quando o cliente demonstrar interesse novamente retornamos com a proposta."/>
    <s v=""/>
    <x v="267"/>
    <n v="9517464000144"/>
    <s v=""/>
    <s v="Wellington"/>
    <s v=""/>
    <s v=""/>
    <s v="well@wellmix.com.br"/>
    <s v=""/>
    <s v=""/>
    <s v=""/>
    <s v=""/>
    <s v=""/>
    <s v=""/>
    <s v=""/>
    <s v=""/>
    <s v="30%;Pausado"/>
    <s v="Pipeline de Vendas"/>
    <s v="Em negociação (75%)"/>
    <s v=""/>
    <d v="2026-03-31T00:00:00"/>
    <n v="254760"/>
    <n v="1578632"/>
    <n v="131"/>
    <s v="Paulo Souza"/>
    <d v="2025-09-29T00:00:00"/>
    <d v="1899-12-30T17:19:09"/>
    <s v=""/>
    <s v="Perdido"/>
    <d v="2026-02-07T00:00:00"/>
    <d v="1899-12-30T08:47:53"/>
    <s v="Não quer mudar a solução atual"/>
    <s v="07/02 Por motivo de gerenciamento do meu CRM, estou declinando a proposta e futuramente quando o cliente demonstrar interesse novamente retornamos com a proposta."/>
    <s v=""/>
    <x v="124"/>
    <s v="Paulo Souza"/>
    <x v="136"/>
    <s v=""/>
    <d v="2026-02-07T00:00:00"/>
    <n v="30"/>
    <s v=""/>
    <s v=""/>
    <s v=""/>
    <s v=""/>
    <n v="1"/>
  </r>
  <r>
    <x v="0"/>
    <n v="615"/>
    <m/>
    <n v="2604"/>
    <s v=""/>
    <s v=""/>
    <x v="268"/>
    <n v="73114894000114"/>
    <s v=""/>
    <s v="Sidney"/>
    <s v=""/>
    <s v=""/>
    <s v="sidney@unikhome.com.br"/>
    <s v=""/>
    <s v=""/>
    <s v=""/>
    <s v=""/>
    <s v=""/>
    <s v=""/>
    <s v=""/>
    <s v=""/>
    <s v=""/>
    <s v="Pipeline de Vendas"/>
    <s v="Em negociação (75%)"/>
    <s v=""/>
    <m/>
    <m/>
    <m/>
    <n v="0"/>
    <s v="Paulo Souza"/>
    <d v="2025-09-29T00:00:00"/>
    <d v="1899-12-30T17:22:41"/>
    <s v=""/>
    <s v="Perdido"/>
    <d v="2025-09-29T00:00:00"/>
    <d v="1899-12-30T17:22:55"/>
    <s v="Preço muito alto - fora do budget de investimento"/>
    <s v=""/>
    <s v=""/>
    <x v="125"/>
    <s v="Paulo Souza"/>
    <x v="137"/>
    <s v=""/>
    <m/>
    <m/>
    <s v=""/>
    <s v=""/>
    <s v=""/>
    <s v=""/>
    <n v="1"/>
  </r>
  <r>
    <x v="0"/>
    <n v="616"/>
    <m/>
    <n v="2605"/>
    <s v=""/>
    <s v=""/>
    <x v="269"/>
    <n v="18628799000120"/>
    <s v=""/>
    <s v="Gabeirl"/>
    <s v="(11) 3567-5470"/>
    <s v=""/>
    <s v="atendimento@dolcehome.com.br"/>
    <s v=""/>
    <s v=""/>
    <s v=""/>
    <s v="SAO PAULO"/>
    <s v="SP"/>
    <s v=""/>
    <s v=""/>
    <s v=""/>
    <s v=""/>
    <s v="Pipeline de Vendas"/>
    <s v="Em negociação (75%)"/>
    <s v=""/>
    <m/>
    <m/>
    <m/>
    <n v="37"/>
    <s v="Paulo Souza"/>
    <d v="2025-09-29T00:00:00"/>
    <d v="1899-12-30T17:28:50"/>
    <s v=""/>
    <s v="Perdido"/>
    <d v="2025-11-05T00:00:00"/>
    <d v="1899-12-30T09:54:48"/>
    <s v="Fora do porte mínimo (sem fit estrutural)"/>
    <s v=""/>
    <s v=""/>
    <x v="126"/>
    <s v="Paulo Souza"/>
    <x v="136"/>
    <s v=""/>
    <m/>
    <m/>
    <s v=""/>
    <s v=""/>
    <s v=""/>
    <s v=""/>
    <n v="1"/>
  </r>
  <r>
    <x v="1"/>
    <n v="618"/>
    <m/>
    <n v="2609"/>
    <s v=""/>
    <s v=""/>
    <x v="270"/>
    <n v="49872306000127"/>
    <s v=""/>
    <s v="Illumac Industria - Cloud"/>
    <s v="1432131100"/>
    <s v=""/>
    <s v="direcao@safeway.ind.br"/>
    <s v=""/>
    <s v=""/>
    <s v=""/>
    <s v="BAURU"/>
    <s v="SP"/>
    <s v=""/>
    <s v=""/>
    <s v=""/>
    <s v=""/>
    <s v="Pipeline de Vendas"/>
    <s v="Apresentar Proposta (50%)"/>
    <s v=""/>
    <m/>
    <n v="1600"/>
    <n v="2468"/>
    <n v="3"/>
    <s v="Junior Lopes"/>
    <d v="2025-09-30T00:00:00"/>
    <d v="1899-12-30T14:38:16"/>
    <s v=""/>
    <s v="Perdido"/>
    <d v="2025-10-03T00:00:00"/>
    <d v="1899-12-30T09:42:31"/>
    <s v="Não quer mudar a solução atual"/>
    <s v="cliente não responde as mensagens e ligações"/>
    <s v=""/>
    <x v="114"/>
    <s v=""/>
    <x v="130"/>
    <s v=""/>
    <m/>
    <m/>
    <s v=""/>
    <s v=""/>
    <s v=""/>
    <s v=""/>
    <n v="1"/>
  </r>
  <r>
    <x v="1"/>
    <n v="619"/>
    <m/>
    <n v="2614"/>
    <s v=""/>
    <s v=""/>
    <x v="271"/>
    <n v="1099426000107"/>
    <s v=""/>
    <s v="Chame Rio - Horas"/>
    <s v="21996087296"/>
    <s v=""/>
    <s v="leon@chamerio.com.br"/>
    <s v=""/>
    <s v=""/>
    <s v=""/>
    <s v=""/>
    <s v=""/>
    <s v=""/>
    <s v=""/>
    <s v=""/>
    <s v=""/>
    <s v="Pipeline de Vendas"/>
    <s v="Em Fechamento (100%)"/>
    <s v=""/>
    <m/>
    <n v="2527318"/>
    <n v="0"/>
    <n v="29"/>
    <s v="Junior Lopes"/>
    <d v="2025-09-30T00:00:00"/>
    <d v="1899-12-30T15:58:34"/>
    <s v=""/>
    <s v="Ganho"/>
    <d v="2025-10-29T00:00:00"/>
    <d v="1899-12-30T10:50:59"/>
    <s v=""/>
    <s v=""/>
    <s v=""/>
    <x v="127"/>
    <s v=""/>
    <x v="0"/>
    <s v=""/>
    <m/>
    <m/>
    <s v=""/>
    <s v=""/>
    <s v=""/>
    <s v=""/>
    <n v="1"/>
  </r>
  <r>
    <x v="0"/>
    <n v="620"/>
    <m/>
    <n v="2615"/>
    <s v=""/>
    <s v=""/>
    <x v="272"/>
    <n v="5856090000130"/>
    <s v=""/>
    <s v="José Luiz Gomes Junior"/>
    <s v=""/>
    <s v=""/>
    <s v="controladoria@bionov.com.br"/>
    <s v=""/>
    <s v=""/>
    <s v=""/>
    <s v=""/>
    <s v=""/>
    <s v=""/>
    <s v=""/>
    <s v=""/>
    <s v=""/>
    <s v="Pipeline de Vendas"/>
    <s v="Em negociação (75%)"/>
    <s v=""/>
    <m/>
    <m/>
    <m/>
    <n v="36"/>
    <s v="Paulo Souza"/>
    <d v="2025-09-30T00:00:00"/>
    <d v="1899-12-30T16:04:40"/>
    <s v=""/>
    <s v="Perdido"/>
    <d v="2025-11-05T00:00:00"/>
    <d v="1899-12-30T09:53:42"/>
    <s v="Preço muito alto - fora do budget de investimento"/>
    <s v=""/>
    <s v=""/>
    <x v="128"/>
    <s v="Paulo Souza"/>
    <x v="138"/>
    <s v=""/>
    <m/>
    <m/>
    <s v=""/>
    <s v=""/>
    <s v=""/>
    <s v=""/>
    <n v="1"/>
  </r>
  <r>
    <x v="1"/>
    <n v="621"/>
    <m/>
    <n v="2616"/>
    <s v=""/>
    <s v=""/>
    <x v="273"/>
    <m/>
    <s v=""/>
    <s v="Vitoria cortinas - Horas"/>
    <s v="35999594857"/>
    <s v=""/>
    <s v="financeiro@vitoriacortinas.com.br"/>
    <s v=""/>
    <s v=""/>
    <s v=""/>
    <s v=""/>
    <s v=""/>
    <s v=""/>
    <s v=""/>
    <s v=""/>
    <s v=""/>
    <s v="Pipeline de Vendas"/>
    <s v="Em Fechamento (100%)"/>
    <s v=""/>
    <m/>
    <n v="5406"/>
    <n v="0"/>
    <n v="0"/>
    <s v="Junior Lopes"/>
    <d v="2025-09-30T00:00:00"/>
    <d v="1899-12-30T16:31:01"/>
    <s v=""/>
    <s v="Ganho"/>
    <d v="2025-09-30T00:00:00"/>
    <d v="1899-12-30T16:32:13"/>
    <s v=""/>
    <s v=""/>
    <s v=""/>
    <x v="121"/>
    <s v=""/>
    <x v="0"/>
    <s v=""/>
    <m/>
    <m/>
    <s v=""/>
    <s v=""/>
    <s v=""/>
    <s v=""/>
    <n v="1"/>
  </r>
  <r>
    <x v="1"/>
    <n v="622"/>
    <m/>
    <n v="2617"/>
    <s v=""/>
    <s v=""/>
    <x v="274"/>
    <m/>
    <s v=""/>
    <s v="Casa Bonitta - Cloud"/>
    <s v="1142923358"/>
    <s v=""/>
    <s v="catocontabilidade@gmail.com"/>
    <s v=""/>
    <s v=""/>
    <s v=""/>
    <s v=""/>
    <s v=""/>
    <s v=""/>
    <s v=""/>
    <s v=""/>
    <s v=""/>
    <s v="Pipeline de Vendas"/>
    <s v="Apresentar Solução (35%)"/>
    <s v=""/>
    <m/>
    <n v="1600"/>
    <n v="2468"/>
    <n v="3"/>
    <s v="Junior Lopes"/>
    <d v="2025-09-30T00:00:00"/>
    <d v="1899-12-30T16:35:41"/>
    <s v=""/>
    <s v="Perdido"/>
    <d v="2025-10-03T00:00:00"/>
    <d v="1899-12-30T09:59:20"/>
    <s v="Não houve aprovação financeira"/>
    <s v="Após proposta cliente não respondeu mais"/>
    <s v=""/>
    <x v="114"/>
    <s v=""/>
    <x v="122"/>
    <s v=""/>
    <m/>
    <m/>
    <s v=""/>
    <s v=""/>
    <s v=""/>
    <s v=""/>
    <n v="1"/>
  </r>
  <r>
    <x v="1"/>
    <n v="623"/>
    <m/>
    <n v="2618"/>
    <s v=""/>
    <s v=""/>
    <x v="275"/>
    <m/>
    <s v=""/>
    <s v="Casa Bonitta - PDV"/>
    <s v="1142923358"/>
    <s v=""/>
    <s v="catocontabilidade@gmail.com"/>
    <s v=""/>
    <s v=""/>
    <s v=""/>
    <s v=""/>
    <s v=""/>
    <s v=""/>
    <s v=""/>
    <s v=""/>
    <s v=""/>
    <s v="Pipeline de Vendas"/>
    <s v="Apresentar Solução (35%)"/>
    <s v=""/>
    <m/>
    <n v="59360"/>
    <n v="27562"/>
    <n v="3"/>
    <s v="Junior Lopes"/>
    <d v="2025-09-30T00:00:00"/>
    <d v="1899-12-30T16:38:47"/>
    <s v=""/>
    <s v="Perdido"/>
    <d v="2025-10-03T00:00:00"/>
    <d v="1899-12-30T09:58:51"/>
    <s v="Não houve aprovação financeira"/>
    <s v="Após proposta cliente não respondeu mais"/>
    <s v=""/>
    <x v="114"/>
    <s v=""/>
    <x v="122"/>
    <s v=""/>
    <m/>
    <m/>
    <s v=""/>
    <s v=""/>
    <s v=""/>
    <s v=""/>
    <n v="1"/>
  </r>
  <r>
    <x v="0"/>
    <n v="624"/>
    <m/>
    <n v="2619"/>
    <s v=""/>
    <s v=""/>
    <x v="276"/>
    <m/>
    <s v=""/>
    <s v="Hussein"/>
    <s v="96170057610"/>
    <s v=""/>
    <s v="null"/>
    <s v=""/>
    <s v=""/>
    <s v=""/>
    <s v=""/>
    <s v=""/>
    <s v=""/>
    <s v=""/>
    <s v=""/>
    <s v=""/>
    <s v="Pipeline de Vendas"/>
    <s v="Em negociação (75%)"/>
    <s v=""/>
    <m/>
    <m/>
    <m/>
    <n v="36"/>
    <s v="Paulo Souza"/>
    <d v="2025-09-30T00:00:00"/>
    <d v="1899-12-30T17:35:39"/>
    <s v=""/>
    <s v="Perdido"/>
    <d v="2025-11-05T00:00:00"/>
    <d v="1899-12-30T09:51:43"/>
    <s v="Projeto adiado / sem prazo definido"/>
    <s v=""/>
    <s v=""/>
    <x v="128"/>
    <s v="Paulo Souza"/>
    <x v="138"/>
    <s v=""/>
    <m/>
    <m/>
    <s v=""/>
    <s v=""/>
    <s v=""/>
    <s v=""/>
    <n v="1"/>
  </r>
  <r>
    <x v="1"/>
    <n v="628"/>
    <m/>
    <n v="2622"/>
    <s v=""/>
    <s v=""/>
    <x v="277"/>
    <m/>
    <s v=""/>
    <s v="Leandro carlos gonçalves"/>
    <s v="(16) 99270-3152"/>
    <s v=""/>
    <s v="solpratae@gmail.com"/>
    <s v=""/>
    <s v=""/>
    <s v=""/>
    <s v="São Carlos"/>
    <s v=""/>
    <s v="Site"/>
    <s v=""/>
    <s v=""/>
    <s v="Solicita demo"/>
    <s v="Pipeline de Vendas"/>
    <s v="Qualificação de Vendas (SQL) (25%)"/>
    <s v=""/>
    <m/>
    <m/>
    <m/>
    <n v="4"/>
    <s v="Paulo Souza"/>
    <d v="2025-10-03T00:00:00"/>
    <d v="1899-12-30T11:10:44"/>
    <s v=""/>
    <s v="Perdido"/>
    <d v="2025-10-07T00:00:00"/>
    <d v="1899-12-30T09:34:17"/>
    <s v="Nossa solução não atende - falta funcionalidade"/>
    <s v="cliente fora do perfil"/>
    <s v=""/>
    <x v="0"/>
    <s v="Junior Lopes"/>
    <x v="0"/>
    <s v=""/>
    <m/>
    <m/>
    <s v=""/>
    <s v=""/>
    <s v=""/>
    <s v=""/>
    <n v="1"/>
  </r>
  <r>
    <x v="1"/>
    <n v="634"/>
    <m/>
    <n v="2631"/>
    <s v=""/>
    <s v="Artesanato Uni-art Industria E Comercio Ltda"/>
    <x v="278"/>
    <n v="43400571000126"/>
    <s v=""/>
    <s v="Artesanato Uni-art Industria E Comercio Ltda"/>
    <s v="(19) 3876-4260"/>
    <s v=""/>
    <s v="thiago@uniartrelogios.com.br"/>
    <s v=""/>
    <s v=""/>
    <s v=""/>
    <s v="VINHEDO"/>
    <s v="SP"/>
    <s v="Base de empresas Leads2b"/>
    <s v=""/>
    <s v=""/>
    <s v=""/>
    <s v="Pipeline de Vendas"/>
    <s v="Apresentar Proposta (50%)"/>
    <s v=""/>
    <m/>
    <n v="7021439"/>
    <n v="417338"/>
    <n v="20"/>
    <s v="Junior Lopes"/>
    <d v="2025-10-09T00:00:00"/>
    <d v="1899-12-30T15:47:08"/>
    <s v=""/>
    <s v="Perdido"/>
    <d v="2025-10-29T00:00:00"/>
    <d v="1899-12-30T10:23:53"/>
    <s v="Projeto adiado / sem prazo definido"/>
    <s v="sem retorno do cliente"/>
    <s v=""/>
    <x v="129"/>
    <s v=""/>
    <x v="139"/>
    <s v=""/>
    <m/>
    <m/>
    <s v=""/>
    <s v=""/>
    <s v=""/>
    <s v=""/>
    <n v="1"/>
  </r>
  <r>
    <x v="1"/>
    <n v="638"/>
    <m/>
    <n v="2640"/>
    <s v=""/>
    <s v=""/>
    <x v="279"/>
    <m/>
    <s v=""/>
    <s v="Star Distribuidora (WMS)"/>
    <s v="17996266970"/>
    <s v=""/>
    <s v="null"/>
    <s v=""/>
    <s v=""/>
    <s v=""/>
    <s v=""/>
    <s v=""/>
    <s v=""/>
    <s v=""/>
    <s v=""/>
    <s v=""/>
    <s v="Pipeline de Vendas"/>
    <s v="Em negociação (75%)"/>
    <s v=""/>
    <m/>
    <m/>
    <m/>
    <n v="62"/>
    <s v="Junior Lopes"/>
    <d v="2025-10-10T00:00:00"/>
    <d v="1899-12-30T15:25:31"/>
    <s v=""/>
    <s v="Perdido"/>
    <d v="2025-12-11T00:00:00"/>
    <d v="1899-12-30T15:22:39"/>
    <s v="Projeto adiado / sem prazo definido"/>
    <s v=""/>
    <s v=""/>
    <x v="0"/>
    <s v=""/>
    <x v="139"/>
    <s v=""/>
    <m/>
    <m/>
    <s v=""/>
    <s v=""/>
    <s v=""/>
    <s v=""/>
    <n v="1"/>
  </r>
  <r>
    <x v="0"/>
    <n v="639"/>
    <m/>
    <n v="2644"/>
    <s v=""/>
    <s v=""/>
    <x v="280"/>
    <m/>
    <s v=""/>
    <s v="Alexsandro"/>
    <s v="75988472625"/>
    <s v=""/>
    <s v="null"/>
    <s v=""/>
    <s v=""/>
    <s v=""/>
    <s v=""/>
    <s v=""/>
    <s v=""/>
    <s v=""/>
    <s v=""/>
    <s v=""/>
    <s v="Pipeline de Vendas"/>
    <s v="Em negociação (75%)"/>
    <s v=""/>
    <m/>
    <m/>
    <m/>
    <n v="33"/>
    <s v="Paulo Souza"/>
    <d v="2025-10-15T00:00:00"/>
    <d v="1899-12-30T17:33:19"/>
    <s v=""/>
    <s v="Perdido"/>
    <d v="2025-11-17T00:00:00"/>
    <d v="1899-12-30T15:27:20"/>
    <s v="Não houve aprovação financeira"/>
    <s v=""/>
    <s v=""/>
    <x v="130"/>
    <s v="Paulo Souza"/>
    <x v="140"/>
    <s v=""/>
    <m/>
    <m/>
    <s v=""/>
    <s v=""/>
    <s v=""/>
    <s v=""/>
    <n v="1"/>
  </r>
  <r>
    <x v="1"/>
    <n v="640"/>
    <m/>
    <n v="2646"/>
    <s v=""/>
    <s v=""/>
    <x v="281"/>
    <m/>
    <s v=""/>
    <s v="Preciza Import"/>
    <s v="11947600755"/>
    <s v=""/>
    <s v="financeiro@precizaimports.com.br"/>
    <s v=""/>
    <s v=""/>
    <s v=""/>
    <s v=""/>
    <s v=""/>
    <s v=""/>
    <s v=""/>
    <s v=""/>
    <s v=""/>
    <s v="Pipeline de Vendas"/>
    <s v="Em Fechamento (100%)"/>
    <s v=""/>
    <m/>
    <n v="1380825"/>
    <n v="0"/>
    <n v="0"/>
    <s v="Junior Lopes"/>
    <d v="2025-10-16T00:00:00"/>
    <d v="1899-12-30T14:48:50"/>
    <s v=""/>
    <s v="Ganho"/>
    <d v="2025-10-16T00:00:00"/>
    <d v="1899-12-30T14:51:47"/>
    <s v=""/>
    <s v=""/>
    <s v=""/>
    <x v="131"/>
    <s v=""/>
    <x v="0"/>
    <s v=""/>
    <m/>
    <m/>
    <s v=""/>
    <s v=""/>
    <s v=""/>
    <s v=""/>
    <n v="1"/>
  </r>
  <r>
    <x v="1"/>
    <n v="641"/>
    <m/>
    <n v="2647"/>
    <s v=""/>
    <s v=""/>
    <x v="282"/>
    <m/>
    <s v=""/>
    <s v="Artesanato Uni-art Ind.- Cloud"/>
    <s v="1938764260"/>
    <s v=""/>
    <s v="thiago@uniartrelogios.com.br"/>
    <s v=""/>
    <s v=""/>
    <s v=""/>
    <s v=""/>
    <s v=""/>
    <s v=""/>
    <s v=""/>
    <s v=""/>
    <s v=""/>
    <s v="Pipeline de Vendas"/>
    <s v="Apresentar Proposta (50%)"/>
    <s v=""/>
    <m/>
    <n v="1600"/>
    <n v="3695"/>
    <n v="13"/>
    <s v="Junior Lopes"/>
    <d v="2025-10-16T00:00:00"/>
    <d v="1899-12-30T16:42:09"/>
    <s v=""/>
    <s v="Perdido"/>
    <d v="2025-10-29T00:00:00"/>
    <d v="1899-12-30T10:25:19"/>
    <s v="Projeto adiado / sem prazo definido"/>
    <s v="cliente não atende aos contatos"/>
    <s v=""/>
    <x v="129"/>
    <s v=""/>
    <x v="139"/>
    <s v=""/>
    <m/>
    <m/>
    <s v=""/>
    <s v=""/>
    <s v=""/>
    <s v=""/>
    <n v="1"/>
  </r>
  <r>
    <x v="1"/>
    <n v="642"/>
    <m/>
    <n v="2648"/>
    <s v="11:51, 06/01/2026 Junior Lopes: lá Wilkerson, bom dia_x000a_11:51, 06/01/2026 Junior Lopes: Um Feliz 2026 para vc e toda equipe 🙏🙏_x000a_11:51, 06/01/2026 Junior Lopes: Me recebe aí para discutirmos sobre a proposta comercial?_x000a_15:32, 23/01/2026 Junior Lopes: Olá Wilkerson, boa tarde_x000a_13:34, 27/01/2026 Wilkerson Plasbrin: Ola_x000a_13:34, 27/01/2026 Wilkerson Plasbrin: Estou analisando a proposta sina_x000a_13:34, 27/01/2026 Wilkerson Plasbrin: Ainda_x000a_13:35, 27/01/2026 Wilkerson Plasbrin: Creio que em fevereiro te contato sobre uma negociação_x000a_13:36, 27/01/2026 Junior Lopes: Olá meu amigo! Ótimo _x000a_Veja o que precisa para fecharmos! Nossa solução vai ajudar muito em seus processos _x000a_Te aguardo 👊_x000a_14:25, 27/01/2026 Wilkerson Plasbrin: Pode deixar_x000a_14:25, 27/01/2026 Wilkerson Plasbrin: Vamos avaliar_x000a_08:53, 24/02/2026 Junior Lopes: Olá Wilkerson, bom dia , Td bem ?_x000a_08:54, 24/02/2026 Junior Lopes: Vamos agendar um bate papo para próxima semana ? _x000a_Se sim vou até você !"/>
    <s v=""/>
    <x v="283"/>
    <m/>
    <s v=""/>
    <s v="Plasbrink Embalagens Plasticas Ltda - Cloud"/>
    <s v="11997580006"/>
    <s v=""/>
    <s v="falgat@terra.com.br"/>
    <s v=""/>
    <s v=""/>
    <s v=""/>
    <s v=""/>
    <s v=""/>
    <s v=""/>
    <s v=""/>
    <s v=""/>
    <s v="50%"/>
    <s v="Pipeline de Vendas"/>
    <s v="Em negociação (75%)"/>
    <s v=""/>
    <d v="2026-03-31T00:00:00"/>
    <n v="1600"/>
    <n v="335607"/>
    <n v="215"/>
    <s v="Junior Lopes"/>
    <d v="2025-10-17T00:00:00"/>
    <d v="1899-12-30T09:45:53"/>
    <s v=""/>
    <s v="Ativo"/>
    <m/>
    <m/>
    <s v=""/>
    <s v=""/>
    <s v=""/>
    <x v="123"/>
    <s v="Junior Lopes"/>
    <x v="141"/>
    <s v=""/>
    <d v="2026-02-24T00:00:00"/>
    <n v="50"/>
    <s v=""/>
    <s v=""/>
    <s v=""/>
    <s v=""/>
    <n v="1"/>
  </r>
  <r>
    <x v="1"/>
    <n v="643"/>
    <m/>
    <n v="2649"/>
    <s v="O cliente está utilizando o módulo em período de degustação de 7 dias, com término em 16/12/2025. Após essa data, ele deverá decidir se seguirá com a contratação ou se irá declinar."/>
    <s v=""/>
    <x v="284"/>
    <n v="43028557000143"/>
    <s v=""/>
    <s v="Preciza Import - Boleto WhatsApp"/>
    <s v="11947600755"/>
    <s v=""/>
    <s v="financeiro@precizaimports.com.br"/>
    <s v=""/>
    <s v=""/>
    <s v=""/>
    <s v=""/>
    <s v=""/>
    <s v=""/>
    <s v=""/>
    <s v=""/>
    <s v="80%"/>
    <s v="Pipeline de Vendas"/>
    <s v="Em Fechamento (100%)"/>
    <s v=""/>
    <d v="2025-11-28T00:00:00"/>
    <n v="0"/>
    <n v="3564"/>
    <n v="129"/>
    <s v="Junior Lopes"/>
    <d v="2025-10-17T00:00:00"/>
    <d v="1899-12-30T09:48:43"/>
    <s v=""/>
    <s v="Perdido"/>
    <d v="2026-02-23T00:00:00"/>
    <d v="1899-12-30T10:22:57"/>
    <s v="Projeto adiado / sem prazo definido"/>
    <s v="cliente não assinou contrato"/>
    <s v=""/>
    <x v="132"/>
    <s v="Junior Lopes"/>
    <x v="142"/>
    <s v=""/>
    <d v="2025-12-12T00:00:00"/>
    <n v="80"/>
    <s v=""/>
    <s v=""/>
    <s v=""/>
    <s v=""/>
    <n v="1"/>
  </r>
  <r>
    <x v="1"/>
    <n v="644"/>
    <m/>
    <n v="2650"/>
    <s v="Após a apresentação de 10/12/2025, ficou definido que a equipe da Marka Têxtil se reunirá para decidir sobre a continuidade do projeto. Farei um follow-up em 15/12/2025 para obter a definição._x000a_16:22, 27/01/2026 Junior Lopes: Olá Regina ! Boa tarde_x000a_16:22, 27/01/2026 Regina Chagas: Boa tarde_x000a_16:27, 27/01/2026 Junior Lopes: Como está a evolução do projeto?_x000a_16:29, 27/01/2026 Junior Lopes: Sei que vcs estão em contato com outras ferramentas! E que está tudo bem _x000a_Porém fico preocupado com valor que já negociamos! A proposta é do ano passado ! Viramos a nossa tabela _x000a_Estou segurando os valores aqui ! Mas preciso de um feedback_x000a_16:49, 27/01/2026 Regina Chagas: Entendo, acredito que até sexta feira eu te dou um retorno final_x000a_(03/02/2026) em contato com a Bruna na feira Abup informou que decidiu seguir com ERP que apresentou uma proposta mais atrativa em questão de valores ! abaixo mensagem da Regina com mesmo contexto : _x000a_07:57, 09/02/2026 Regina Chagas: Bom dia Junior, desculpe a demora no retorno._x000a_Fechamos com outra empresa, em reunião foi decidido que seria mais vantajoso além do custo/beneficio._x000a_Muito obrigada pelo seu ótimo atendimento_x000a_08:59, 09/02/2026 Junior Lopes: Olá Regina bom dia ! Falei com a Bruna na feira _x000a_Desejo sucesso para vocês"/>
    <s v=""/>
    <x v="285"/>
    <n v="62499934000177"/>
    <s v=""/>
    <s v="Marka Textil"/>
    <s v="11975444564"/>
    <s v=""/>
    <s v="brunaantonelli@markatextil.com.br"/>
    <s v=""/>
    <s v=""/>
    <s v=""/>
    <s v="GUARAREMA"/>
    <s v="SP"/>
    <s v=""/>
    <s v=""/>
    <s v=""/>
    <s v="80%"/>
    <s v="Pipeline de Vendas"/>
    <s v="Em negociação (75%)"/>
    <s v=""/>
    <d v="2026-02-28T00:00:00"/>
    <n v="118908"/>
    <n v="1304844"/>
    <n v="117"/>
    <s v="Junior Lopes"/>
    <d v="2025-10-17T00:00:00"/>
    <d v="1899-12-30T10:09:46"/>
    <s v=""/>
    <s v="Perdido"/>
    <d v="2026-02-11T00:00:00"/>
    <d v="1899-12-30T17:32:54"/>
    <s v="Fechou com o concorrente - preço"/>
    <s v="fechou por preço"/>
    <s v=""/>
    <x v="133"/>
    <s v="Junior Lopes"/>
    <x v="142"/>
    <s v="05/11/2025"/>
    <d v="2026-02-03T00:00:00"/>
    <n v="80"/>
    <s v=""/>
    <s v=""/>
    <s v=""/>
    <s v=""/>
    <n v="1"/>
  </r>
  <r>
    <x v="1"/>
    <n v="645"/>
    <m/>
    <n v="2654"/>
    <s v="Após a apresentação de 10/12/2025, ficou definido que a equipe da Marka Têxtil se reunirá para decidir sobre a continuidade do projeto. Farei um follow-up em 15/12/2025 para obter a definição._x000a_16:22, 27/01/2026 Junior Lopes: Olá Regina ! Boa tarde_x000a_16:22, 27/01/2026 Regina Chagas: Boa tarde_x000a_16:27, 27/01/2026 Junior Lopes: Como está a evolução do projeto?_x000a_16:29, 27/01/2026 Junior Lopes: Sei que vcs estão em contato com outras ferramentas! E que está tudo bem _x000a_Porém fico preocupado com valor que já negociamos! A proposta é do ano passado ! Viramos a nossa tabela _x000a_Estou segurando os valores aqui ! Mas preciso de um feedback_x000a_16:49, 27/01/2026 Regina Chagas: Entendo, acredito que até sexta feira eu te dou um retorno final_x000a_(03/02/2026) em contato com a Bruna na feira Abup informou que decidiu seguir com ERP que apresentou uma proposta mais atrativa em questão de valores ! abaixo mensagem da Regina com mesmo contexto : _x000a_07:57, 09/02/2026 Regina Chagas: Bom dia Junior, desculpe a demora no retorno._x000a_Fechamos com outra empresa, em reunião foi decidido que seria mais vantajoso além do custo/beneficio._x000a_Muito obrigada pelo seu ótimo atendimento_x000a_08:59, 09/02/2026 Junior Lopes: Olá Regina bom dia ! Falei com a Bruna na feira _x000a_Desejo sucesso para vocês"/>
    <s v=""/>
    <x v="286"/>
    <n v="62499934000177"/>
    <s v=""/>
    <s v="Marka Textil - Cloud"/>
    <s v="11975444564"/>
    <s v=""/>
    <s v="brunaantonelli@markatextil.com.br"/>
    <s v=""/>
    <s v=""/>
    <s v=""/>
    <s v="GUARAREMA"/>
    <s v="SP"/>
    <s v=""/>
    <s v=""/>
    <s v=""/>
    <s v="80%"/>
    <s v="Pipeline de Vendas"/>
    <s v="Em negociação (75%)"/>
    <s v=""/>
    <d v="2026-02-28T00:00:00"/>
    <n v="1600"/>
    <n v="68466"/>
    <n v="117"/>
    <s v="Junior Lopes"/>
    <d v="2025-10-17T00:00:00"/>
    <d v="1899-12-30T10:12:49"/>
    <s v=""/>
    <s v="Perdido"/>
    <d v="2026-02-11T00:00:00"/>
    <d v="1899-12-30T17:34:29"/>
    <s v="Fechou com o concorrente - preço"/>
    <s v="fechou por preço"/>
    <s v=""/>
    <x v="134"/>
    <s v="Junior Lopes"/>
    <x v="143"/>
    <s v=""/>
    <d v="2026-02-03T00:00:00"/>
    <n v="80"/>
    <s v=""/>
    <s v=""/>
    <s v=""/>
    <s v=""/>
    <n v="1"/>
  </r>
  <r>
    <x v="1"/>
    <n v="656"/>
    <m/>
    <n v="2261"/>
    <s v=""/>
    <s v="Imprime Industria E Comercio De Plasticos Ltda"/>
    <x v="287"/>
    <n v="37905383000157"/>
    <s v=""/>
    <s v="Imprime Industria E Comercio De Plasticos Ltda"/>
    <s v="(11) 4552-8400"/>
    <s v=""/>
    <s v="sac@ascampoli.com.br"/>
    <s v=""/>
    <s v=""/>
    <s v=""/>
    <s v="SAO PAULO"/>
    <s v="SP"/>
    <s v="Base de empresas Leads2b"/>
    <s v=""/>
    <s v=""/>
    <s v=""/>
    <s v="Pipeline de Vendas"/>
    <s v="Apresentar Solução (35%)"/>
    <s v=""/>
    <m/>
    <m/>
    <m/>
    <n v="34"/>
    <s v="Junior Lopes"/>
    <d v="2025-10-22T00:00:00"/>
    <d v="1899-12-30T17:04:38"/>
    <s v=""/>
    <s v="Perdido"/>
    <d v="2025-11-25T00:00:00"/>
    <d v="1899-12-30T16:56:11"/>
    <s v="Não quer mudar a solução atual"/>
    <s v=""/>
    <s v=""/>
    <x v="0"/>
    <s v=""/>
    <x v="0"/>
    <s v=""/>
    <m/>
    <m/>
    <s v=""/>
    <s v=""/>
    <s v=""/>
    <s v=""/>
    <n v="1"/>
  </r>
  <r>
    <x v="1"/>
    <n v="657"/>
    <m/>
    <n v="2659"/>
    <s v=""/>
    <s v=""/>
    <x v="288"/>
    <m/>
    <s v=""/>
    <s v="Jones da Costa Grance"/>
    <s v="(67) 99147-9660"/>
    <s v=""/>
    <s v="distribuidoraprime067@gmail.com"/>
    <s v=""/>
    <s v=""/>
    <s v=""/>
    <s v="Campo Grande"/>
    <s v=""/>
    <s v="Site"/>
    <s v=""/>
    <s v=""/>
    <s v="Solicita demo"/>
    <s v="Pipeline de Vendas"/>
    <s v="Apresentar Solução (35%)"/>
    <s v=""/>
    <m/>
    <n v="38380"/>
    <n v="107526"/>
    <n v="32"/>
    <s v="Paulo Souza"/>
    <d v="2025-10-23T00:00:00"/>
    <d v="1899-12-30T15:08:08"/>
    <s v=""/>
    <s v="Perdido"/>
    <d v="2025-11-24T00:00:00"/>
    <d v="1899-12-30T16:49:44"/>
    <s v="Preço muito alto - fora do budget de investimento"/>
    <s v="cliente não esta no tempo certo, achou investimento muito alto"/>
    <s v=""/>
    <x v="123"/>
    <s v="Junior Lopes"/>
    <x v="144"/>
    <s v=""/>
    <m/>
    <m/>
    <s v=""/>
    <s v=""/>
    <s v=""/>
    <s v=""/>
    <n v="1"/>
  </r>
  <r>
    <x v="1"/>
    <n v="659"/>
    <m/>
    <n v="2680"/>
    <s v=""/>
    <s v=""/>
    <x v="289"/>
    <m/>
    <s v=""/>
    <s v="Karam kaiss"/>
    <s v="(11) 98348-6116"/>
    <s v=""/>
    <s v="mbcontatokaram@gmail.com"/>
    <s v=""/>
    <s v=""/>
    <s v=""/>
    <s v="São Paulo"/>
    <s v=""/>
    <s v="Site"/>
    <s v=""/>
    <s v=""/>
    <s v="Solicita demo"/>
    <s v="Pipeline de Vendas"/>
    <s v="Qualificação de Vendas (SQL) (25%)"/>
    <s v=""/>
    <m/>
    <m/>
    <m/>
    <n v="9"/>
    <s v="Paulo Souza"/>
    <d v="2025-10-27T00:00:00"/>
    <d v="1899-12-30T15:37:34"/>
    <s v=""/>
    <s v="Perdido"/>
    <d v="2025-11-05T00:00:00"/>
    <d v="1899-12-30T09:12:53"/>
    <s v="Nossa solução não atende - falta funcionalidade"/>
    <s v="cliente busca apenas módulo de compras"/>
    <s v=""/>
    <x v="0"/>
    <s v="Junior Lopes"/>
    <x v="0"/>
    <s v=""/>
    <m/>
    <m/>
    <s v=""/>
    <s v=""/>
    <s v=""/>
    <s v=""/>
    <n v="1"/>
  </r>
  <r>
    <x v="1"/>
    <n v="662"/>
    <m/>
    <n v="2684"/>
    <s v="(16/01/2026) Bruno decidiu por não fazer o investimento nesse momento ! esta estruturando a equipe de vendas"/>
    <s v="Sevilha Comercio Internacional Ltda"/>
    <x v="290"/>
    <n v="44628219000105"/>
    <s v=""/>
    <s v="Sevilha Comercio Internacional Ltda"/>
    <s v="(11) 4115-0797"/>
    <s v=""/>
    <s v="diego@gruposevilha.com"/>
    <s v=""/>
    <s v=""/>
    <s v=""/>
    <s v="NAVEGANTES"/>
    <s v="SC"/>
    <s v="Base de empresas Leads2b"/>
    <s v=""/>
    <s v=""/>
    <s v="30%"/>
    <s v="Pipeline de Vendas"/>
    <s v="Em negociação (75%)"/>
    <s v=""/>
    <d v="2026-01-30T00:00:00"/>
    <n v="38380"/>
    <n v="107526"/>
    <n v="80"/>
    <s v="Junior Lopes"/>
    <d v="2025-10-28T00:00:00"/>
    <d v="1899-12-30T10:15:43"/>
    <s v=""/>
    <s v="Perdido"/>
    <d v="2026-01-16T00:00:00"/>
    <d v="1899-12-30T15:59:13"/>
    <s v="Não houve aprovação financeira"/>
    <s v="(16/01/2026) Bruno decidiu por não fazer o investimento nesse momento ! esta estruturando a equipe de vendas"/>
    <s v=""/>
    <x v="135"/>
    <s v=""/>
    <x v="145"/>
    <s v=""/>
    <d v="2026-01-16T00:00:00"/>
    <m/>
    <s v=""/>
    <s v=""/>
    <s v=""/>
    <s v=""/>
    <n v="1"/>
  </r>
  <r>
    <x v="1"/>
    <n v="665"/>
    <m/>
    <n v="2692"/>
    <s v="(16/01/2026) Bruno decidiu por não fazer o investimento nesse momento ! esta estruturando a equipe de vendas"/>
    <s v=""/>
    <x v="291"/>
    <m/>
    <s v=""/>
    <s v="Sevilha Trade - Cloud"/>
    <s v="1141150797"/>
    <s v=""/>
    <s v="diego@gruposevilha.com"/>
    <s v=""/>
    <s v=""/>
    <s v=""/>
    <s v=""/>
    <s v=""/>
    <s v=""/>
    <s v=""/>
    <s v=""/>
    <s v="30%"/>
    <s v="Pipeline de Vendas"/>
    <s v="Em negociação (75%)"/>
    <s v=""/>
    <d v="2026-01-30T00:00:00"/>
    <n v="1600"/>
    <n v="2174"/>
    <n v="79"/>
    <s v="Junior Lopes"/>
    <d v="2025-10-29T00:00:00"/>
    <d v="1899-12-30T17:01:18"/>
    <s v=""/>
    <s v="Perdido"/>
    <d v="2026-01-16T00:00:00"/>
    <d v="1899-12-30T16:00:32"/>
    <s v="Não houve aprovação financeira"/>
    <s v="(16/01/2026) Bruno decidiu por não fazer o investimento nesse momento ! esta estruturando a equipe de vendas"/>
    <s v=""/>
    <x v="135"/>
    <s v=""/>
    <x v="145"/>
    <s v=""/>
    <d v="2026-01-16T00:00:00"/>
    <m/>
    <s v=""/>
    <s v=""/>
    <s v=""/>
    <s v=""/>
    <n v="1"/>
  </r>
  <r>
    <x v="1"/>
    <n v="667"/>
    <m/>
    <n v="2698"/>
    <s v=""/>
    <s v=""/>
    <x v="292"/>
    <m/>
    <s v=""/>
    <s v="Distribuidora Prime - Cloud"/>
    <s v="67991479660"/>
    <s v=""/>
    <s v="distribuidoraprime067@gmail.com"/>
    <s v=""/>
    <s v=""/>
    <s v=""/>
    <s v=""/>
    <s v=""/>
    <s v=""/>
    <s v=""/>
    <s v=""/>
    <s v=""/>
    <s v="Pipeline de Vendas"/>
    <s v="Apresentar Solução (35%)"/>
    <s v=""/>
    <m/>
    <n v="1600"/>
    <n v="21746"/>
    <n v="25"/>
    <s v="Junior Lopes"/>
    <d v="2025-10-30T00:00:00"/>
    <d v="1899-12-30T10:55:07"/>
    <s v=""/>
    <s v="Perdido"/>
    <d v="2025-11-24T00:00:00"/>
    <d v="1899-12-30T16:50:34"/>
    <s v="Preço muito alto - fora do budget de investimento"/>
    <s v="cliente não esta no tempo certo, achou investimento muito alto"/>
    <s v=""/>
    <x v="123"/>
    <s v=""/>
    <x v="144"/>
    <s v=""/>
    <m/>
    <m/>
    <s v=""/>
    <s v=""/>
    <s v=""/>
    <s v=""/>
    <n v="1"/>
  </r>
  <r>
    <x v="1"/>
    <n v="669"/>
    <m/>
    <n v="2718"/>
    <s v=""/>
    <s v=""/>
    <x v="293"/>
    <m/>
    <s v=""/>
    <s v="Tritec - Proposta Web"/>
    <s v="4791025652"/>
    <s v=""/>
    <s v="null"/>
    <s v=""/>
    <s v=""/>
    <s v=""/>
    <s v=""/>
    <s v=""/>
    <s v=""/>
    <s v=""/>
    <s v=""/>
    <s v=""/>
    <s v="Pipeline de Vendas"/>
    <s v="Apresentar Proposta (50%)"/>
    <s v=""/>
    <m/>
    <n v="0"/>
    <n v="2185"/>
    <n v="26"/>
    <s v="Junior Lopes"/>
    <d v="2025-10-31T00:00:00"/>
    <d v="1899-12-30T11:46:34"/>
    <s v=""/>
    <s v="Perdido"/>
    <d v="2025-11-26T00:00:00"/>
    <d v="1899-12-30T14:03:26"/>
    <s v="Projeto adiado / sem prazo definido"/>
    <s v="por enquanto nao vai adicionar proposta web"/>
    <s v=""/>
    <x v="133"/>
    <s v=""/>
    <x v="146"/>
    <s v=""/>
    <m/>
    <m/>
    <s v=""/>
    <s v=""/>
    <s v=""/>
    <s v=""/>
    <n v="1"/>
  </r>
  <r>
    <x v="2"/>
    <n v="672"/>
    <m/>
    <n v="2729"/>
    <s v="Realizei hoje, 12/12/2025, a apresentação do AFV para os gerentes comerciais e atualizei a proposta com os valores de licença do APP. O próximo passo será negociar a proposta, o que deve ocorrer somente na primeira quinzena de janeiro._x000a_05.02 Iniciaram a importação agora,previsão permace para março_x000a_18.03 tinham previsão para iniciar as importações, mas ainda não deu certo, retomar o contato daqui 3 meses"/>
    <s v=""/>
    <x v="294"/>
    <m/>
    <s v=""/>
    <s v="Lucas Pivetta"/>
    <s v="15996012600"/>
    <s v=""/>
    <s v="null"/>
    <s v=""/>
    <s v=""/>
    <s v=""/>
    <s v=""/>
    <s v=""/>
    <s v="Indicação"/>
    <s v=""/>
    <s v=""/>
    <s v="50%"/>
    <s v="Pipeline de Vendas"/>
    <s v="Em negociação (75%)"/>
    <s v=""/>
    <d v="2026-06-30T00:00:00"/>
    <n v="46200"/>
    <n v="146047"/>
    <n v="191"/>
    <s v="Rayssa Karapeticov"/>
    <d v="2025-11-03T00:00:00"/>
    <d v="1899-12-30T15:43:05"/>
    <s v=""/>
    <s v="Perdido"/>
    <d v="2026-05-13T00:00:00"/>
    <d v="1899-12-30T09:39:49"/>
    <s v="Projeto adiado / sem prazo definido"/>
    <s v=""/>
    <s v=""/>
    <x v="136"/>
    <s v="Rayssa Karapeticov"/>
    <x v="147"/>
    <s v="12/12/2025"/>
    <d v="2026-03-16T00:00:00"/>
    <n v="50"/>
    <s v=""/>
    <s v=""/>
    <s v=""/>
    <s v=""/>
    <n v="1"/>
  </r>
  <r>
    <x v="0"/>
    <n v="673"/>
    <m/>
    <n v="2730"/>
    <s v="Feito vários contatos com o cliente sem sucesso. _x000a_12/01/2026_x000a_23-01 Fiz Fups com o Jairo hoje para saber se ele vai seguir ou não com o projeto. Caso não me responda vou encerrar a oportunidade , prazo 31/01._x000a_06/02 Fiz FUP com  o Jairo e por falta de interesse estou declinando a proposta._x000a_07/02 Jairo me respondeu e avisou que vai implantar o Totvs lá. E futuramente retorna a falar comigo sobre Força de Venda."/>
    <s v=""/>
    <x v="295"/>
    <n v="22949063000121"/>
    <s v=""/>
    <s v="MEDIHOSP"/>
    <s v="(11) 2506-6323/ (11) 2506-6589"/>
    <s v=""/>
    <s v="medihosp@medihosp.com.br"/>
    <s v=""/>
    <s v=""/>
    <s v=""/>
    <s v="SAO PAULO"/>
    <s v="SP"/>
    <s v="Outbound"/>
    <s v=""/>
    <s v=""/>
    <s v="30%"/>
    <s v="Pipeline de Vendas"/>
    <s v="Em negociação (75%)"/>
    <s v=""/>
    <d v="2026-01-31T00:00:00"/>
    <n v="20000"/>
    <n v="5880"/>
    <n v="94"/>
    <s v="Paulo Souza"/>
    <d v="2025-11-05T00:00:00"/>
    <d v="1899-12-30T10:49:02"/>
    <s v=""/>
    <s v="Perdido"/>
    <d v="2026-02-07T00:00:00"/>
    <d v="1899-12-30T08:42:30"/>
    <s v="Fechou com o concorrente - preço"/>
    <s v="07/02 Jairo me respondeu e avisou que vai implantar o Totvs lá. E futuramente retorna a falar comigo sobre Força de Venda."/>
    <s v=""/>
    <x v="137"/>
    <s v="Paulo Souza"/>
    <x v="148"/>
    <s v=""/>
    <d v="2026-01-23T00:00:00"/>
    <n v="30"/>
    <s v=""/>
    <s v=""/>
    <s v=""/>
    <s v=""/>
    <n v="1"/>
  </r>
  <r>
    <x v="1"/>
    <n v="674"/>
    <m/>
    <n v="2733"/>
    <s v=""/>
    <s v="Salopet Embalagens Plasticas Ltda"/>
    <x v="296"/>
    <n v="4911908000370"/>
    <s v=""/>
    <s v="Salopet Embalagens Plasticas Ltda"/>
    <s v="(11) 2575-1800"/>
    <s v=""/>
    <s v="paralegal10@mgcontecnica.com.br"/>
    <s v=""/>
    <s v=""/>
    <s v=""/>
    <s v="EMBU DAS ARTES"/>
    <s v="SP"/>
    <s v="Base de empresas Leads2b"/>
    <s v=""/>
    <s v=""/>
    <s v=""/>
    <s v="Pipeline de Vendas"/>
    <s v="Apresentar Proposta (50%)"/>
    <s v=""/>
    <m/>
    <n v="81786"/>
    <n v="914979"/>
    <n v="21"/>
    <s v="Junior Lopes"/>
    <d v="2025-11-05T00:00:00"/>
    <d v="1899-12-30T15:31:21"/>
    <s v=""/>
    <s v="Perdido"/>
    <d v="2025-11-26T00:00:00"/>
    <d v="1899-12-30T12:30:08"/>
    <s v="Não quer mudar a solução atual"/>
    <s v="estou descartando por falta de atividades do André, já agendou varias vezes e não aparece nas reuniões _x000a_Fala chefe, boa tarde _x000a_Está uma loucura esse final de ano_x000a_Mais vamos lá_x000a_Hoje uso o sistema Areco ele é gigante e tem tudo o que precisamos mais está em falta com o suporte e o preço está ficando alto_x000a_Vou tentar finalizar algumas coisa e na sexta-feira na parte da manhã estarei mais tranquilo ai chamo pra que possamos conversar"/>
    <s v=""/>
    <x v="134"/>
    <s v=""/>
    <x v="149"/>
    <s v=""/>
    <m/>
    <m/>
    <s v=""/>
    <s v=""/>
    <s v=""/>
    <s v=""/>
    <n v="1"/>
  </r>
  <r>
    <x v="1"/>
    <n v="680"/>
    <m/>
    <n v="2755"/>
    <s v=""/>
    <s v=""/>
    <x v="297"/>
    <m/>
    <s v=""/>
    <s v="Tecelegam Castilho - MDFe"/>
    <s v="62993609476"/>
    <s v=""/>
    <s v="dayane.tecelagemcastilho@gmail.com"/>
    <s v=""/>
    <s v=""/>
    <s v=""/>
    <s v=""/>
    <s v=""/>
    <s v=""/>
    <s v=""/>
    <s v=""/>
    <s v=""/>
    <s v="Pipeline de Vendas"/>
    <s v="Em Fechamento (100%)"/>
    <s v=""/>
    <m/>
    <n v="0"/>
    <n v="3564"/>
    <n v="13"/>
    <s v="Junior Lopes"/>
    <d v="2025-11-12T00:00:00"/>
    <d v="1899-12-30T10:20:21"/>
    <s v=""/>
    <s v="Ganho"/>
    <d v="2025-11-25T00:00:00"/>
    <d v="1899-12-30T15:23:44"/>
    <s v=""/>
    <s v=""/>
    <s v=""/>
    <x v="138"/>
    <s v=""/>
    <x v="149"/>
    <s v=""/>
    <m/>
    <m/>
    <s v=""/>
    <s v=""/>
    <s v=""/>
    <s v=""/>
    <n v="1"/>
  </r>
  <r>
    <x v="1"/>
    <n v="681"/>
    <m/>
    <n v="2756"/>
    <s v="O projeto já está fechado e o contrato está com o cliente aguardando assinatura. O follow-up está sendo feito diariamente e a previsão de fechamento é até 19/12/2025."/>
    <s v=""/>
    <x v="298"/>
    <n v="43252675000130"/>
    <s v=""/>
    <s v="Atacadão MOntebello"/>
    <s v="(19) 3377-2746 / (19) 3426-1450"/>
    <s v=""/>
    <s v="administracao@atacadaoamontebello.com.br"/>
    <s v=""/>
    <s v=""/>
    <s v=""/>
    <s v="PIRACICABA"/>
    <s v="SP"/>
    <s v=""/>
    <s v=""/>
    <s v=""/>
    <s v="80%"/>
    <s v="Pipeline de Vendas"/>
    <s v="Em Fechamento (100%)"/>
    <s v=""/>
    <d v="2025-12-31T00:00:00"/>
    <n v="22000"/>
    <n v="1800"/>
    <n v="54"/>
    <s v="Junior Lopes"/>
    <d v="2025-11-12T00:00:00"/>
    <d v="1899-12-30T14:32:23"/>
    <s v=""/>
    <s v="Ganho"/>
    <d v="2026-01-05T00:00:00"/>
    <d v="1899-12-30T14:51:32"/>
    <s v=""/>
    <s v=""/>
    <s v=""/>
    <x v="138"/>
    <s v="Junior Lopes"/>
    <x v="149"/>
    <s v="28/11/2025"/>
    <d v="2025-12-12T00:00:00"/>
    <m/>
    <s v=""/>
    <s v=""/>
    <s v=""/>
    <s v=""/>
    <n v="1"/>
  </r>
  <r>
    <x v="1"/>
    <n v="684"/>
    <m/>
    <n v="2760"/>
    <s v=""/>
    <s v=""/>
    <x v="299"/>
    <m/>
    <s v=""/>
    <s v="NewBaby - ERP"/>
    <s v="11979734057"/>
    <s v=""/>
    <s v="dani@3lrepresentacoes.com.br"/>
    <s v=""/>
    <s v=""/>
    <s v=""/>
    <s v=""/>
    <s v=""/>
    <s v=""/>
    <s v=""/>
    <s v=""/>
    <s v="30%"/>
    <s v="Pipeline de Vendas"/>
    <s v="Apresentar Proposta (50%)"/>
    <s v=""/>
    <m/>
    <n v="106400"/>
    <n v="1419164"/>
    <n v="13"/>
    <s v="Junior Lopes"/>
    <d v="2025-11-13T00:00:00"/>
    <d v="1899-12-30T12:09:17"/>
    <s v=""/>
    <s v="Perdido"/>
    <d v="2025-11-26T00:00:00"/>
    <d v="1899-12-30T12:48:22"/>
    <s v="Projeto adiado / sem prazo definido"/>
    <s v="Em contato com Dani ! _x000a_eles só queriam a priori uma estimativa de investimento nas soluções Guarani ! a ideia é aos poucos convencer a Giselia na troca do sistema"/>
    <s v=""/>
    <x v="139"/>
    <s v=""/>
    <x v="150"/>
    <s v=""/>
    <m/>
    <m/>
    <s v=""/>
    <s v=""/>
    <s v=""/>
    <s v=""/>
    <n v="1"/>
  </r>
  <r>
    <x v="2"/>
    <n v="685"/>
    <m/>
    <n v="2761"/>
    <s v=""/>
    <s v="Kitay Industria E Comercio De Alimentos Ltda"/>
    <x v="300"/>
    <n v="42517186000109"/>
    <s v=""/>
    <s v="Kitay Industria E Comercio De Alimentos Ltda"/>
    <s v="(11) 4018-3764"/>
    <s v=""/>
    <s v="claudiorcsalles@gmail.com"/>
    <s v=""/>
    <s v=""/>
    <s v=""/>
    <s v="VARGEM GRANDE PAULISTA"/>
    <s v="SP"/>
    <s v="Base de empresas Leads2b"/>
    <s v=""/>
    <s v=""/>
    <s v=""/>
    <s v="Pipeline de Vendas"/>
    <s v="Agendamento (0%)"/>
    <s v=""/>
    <m/>
    <m/>
    <m/>
    <n v="0"/>
    <s v="Rayssa Karapeticov"/>
    <d v="2025-11-13T00:00:00"/>
    <d v="1899-12-30T16:09:55"/>
    <s v=""/>
    <s v="Perdido"/>
    <d v="2025-11-13T00:00:00"/>
    <d v="1899-12-30T16:12:25"/>
    <s v="Preço muito alto - fora do budget de investimento"/>
    <s v=""/>
    <s v=""/>
    <x v="0"/>
    <s v="Rayssa Karapeticov"/>
    <x v="0"/>
    <s v=""/>
    <m/>
    <m/>
    <s v=""/>
    <s v=""/>
    <s v=""/>
    <s v=""/>
    <n v="1"/>
  </r>
  <r>
    <x v="1"/>
    <n v="690"/>
    <m/>
    <n v="2872"/>
    <s v=""/>
    <s v=""/>
    <x v="301"/>
    <m/>
    <s v=""/>
    <s v="MDL - WMS"/>
    <s v="11910695515"/>
    <s v=""/>
    <s v="null"/>
    <s v=""/>
    <s v=""/>
    <s v=""/>
    <s v=""/>
    <s v=""/>
    <s v=""/>
    <s v=""/>
    <s v=""/>
    <s v="90%"/>
    <s v="Pipeline de Vendas"/>
    <s v="Em Fechamento (100%)"/>
    <s v=""/>
    <d v="2025-11-26T00:00:00"/>
    <n v="0"/>
    <n v="114048"/>
    <n v="16"/>
    <s v="Junior Lopes"/>
    <d v="2025-11-24T00:00:00"/>
    <d v="1899-12-30T16:53:16"/>
    <s v=""/>
    <s v="Ganho"/>
    <d v="2025-12-10T00:00:00"/>
    <d v="1899-12-30T10:14:04"/>
    <s v=""/>
    <s v=""/>
    <s v=""/>
    <x v="140"/>
    <s v=""/>
    <x v="151"/>
    <s v=""/>
    <m/>
    <m/>
    <s v=""/>
    <s v=""/>
    <s v=""/>
    <s v=""/>
    <n v="1"/>
  </r>
  <r>
    <x v="1"/>
    <n v="692"/>
    <m/>
    <n v="2880"/>
    <s v=""/>
    <s v=""/>
    <x v="302"/>
    <m/>
    <s v=""/>
    <s v="NewBaby - Cloud"/>
    <s v="11979734057"/>
    <s v=""/>
    <s v="dani@3lrepresentacoes.com.br"/>
    <s v=""/>
    <s v=""/>
    <s v=""/>
    <s v=""/>
    <s v=""/>
    <s v=""/>
    <s v=""/>
    <s v=""/>
    <s v="30%"/>
    <s v="Pipeline de Vendas"/>
    <s v="Apresentar Proposta (50%)"/>
    <s v=""/>
    <m/>
    <n v="1600"/>
    <n v="860304"/>
    <n v="1"/>
    <s v="Junior Lopes"/>
    <d v="2025-11-25T00:00:00"/>
    <d v="1899-12-30T15:03:40"/>
    <s v=""/>
    <s v="Perdido"/>
    <d v="2025-11-26T00:00:00"/>
    <d v="1899-12-30T12:49:30"/>
    <s v="Projeto adiado / sem prazo definido"/>
    <s v="Em contato com Dani ! _x000a_eles só queriam a priori uma estimativa de investimento nas soluções Guarani ! a ideia é aos poucos convencer a Giselia na troca do sistema"/>
    <s v=""/>
    <x v="139"/>
    <s v=""/>
    <x v="150"/>
    <s v=""/>
    <m/>
    <m/>
    <s v=""/>
    <s v=""/>
    <s v=""/>
    <s v=""/>
    <n v="1"/>
  </r>
  <r>
    <x v="1"/>
    <n v="693"/>
    <m/>
    <n v="2881"/>
    <s v=""/>
    <s v=""/>
    <x v="303"/>
    <m/>
    <s v=""/>
    <s v="Baag - Incl.CNPJ"/>
    <s v="7530217768"/>
    <s v=""/>
    <s v="null"/>
    <s v=""/>
    <s v=""/>
    <s v=""/>
    <s v=""/>
    <s v=""/>
    <s v=""/>
    <s v=""/>
    <s v=""/>
    <s v=""/>
    <s v="Pipeline de Vendas"/>
    <s v="Agendamento (0%)"/>
    <s v=""/>
    <m/>
    <n v="330714"/>
    <n v="0"/>
    <n v="0"/>
    <s v="Junior Lopes"/>
    <d v="2025-11-25T00:00:00"/>
    <d v="1899-12-30T15:44:44"/>
    <s v=""/>
    <s v="Ganho"/>
    <d v="2025-11-25T00:00:00"/>
    <d v="1899-12-30T15:47:26"/>
    <s v=""/>
    <s v=""/>
    <s v=""/>
    <x v="141"/>
    <s v=""/>
    <x v="152"/>
    <s v=""/>
    <m/>
    <m/>
    <s v=""/>
    <s v=""/>
    <s v=""/>
    <s v=""/>
    <n v="1"/>
  </r>
  <r>
    <x v="1"/>
    <n v="694"/>
    <m/>
    <n v="2882"/>
    <s v=""/>
    <s v=""/>
    <x v="304"/>
    <m/>
    <s v=""/>
    <s v="E.S Maia"/>
    <s v="11969325678"/>
    <s v=""/>
    <s v="null"/>
    <s v=""/>
    <s v=""/>
    <s v=""/>
    <s v=""/>
    <s v=""/>
    <s v=""/>
    <s v=""/>
    <s v=""/>
    <s v="30%"/>
    <s v="Pipeline de Vendas"/>
    <s v="Apresentar Proposta (50%)"/>
    <s v=""/>
    <d v="2026-01-01T00:00:00"/>
    <n v="16960"/>
    <n v="450"/>
    <n v="15"/>
    <s v="Junior Lopes"/>
    <d v="2025-11-25T00:00:00"/>
    <d v="1899-12-30T15:59:24"/>
    <s v=""/>
    <s v="Perdido"/>
    <d v="2025-12-10T00:00:00"/>
    <d v="1899-12-30T09:26:00"/>
    <s v="Projeto adiado / sem prazo definido"/>
    <s v="nao esta no momento certo"/>
    <s v=""/>
    <x v="134"/>
    <s v=""/>
    <x v="143"/>
    <s v=""/>
    <m/>
    <m/>
    <s v=""/>
    <s v=""/>
    <s v=""/>
    <s v=""/>
    <n v="1"/>
  </r>
  <r>
    <x v="1"/>
    <n v="695"/>
    <m/>
    <n v="2883"/>
    <s v=""/>
    <s v=""/>
    <x v="305"/>
    <n v="57524096000104"/>
    <s v=""/>
    <s v="Phabllo Parambu Atacado - ERP"/>
    <s v="88996365702"/>
    <s v=""/>
    <s v="phabllo2022@gmail.com"/>
    <s v=""/>
    <s v=""/>
    <s v=""/>
    <s v="COCAL"/>
    <s v="PI"/>
    <s v=""/>
    <s v=""/>
    <s v=""/>
    <s v="30%"/>
    <s v="Pipeline de Vendas"/>
    <s v="Apresentar Solução (35%)"/>
    <s v=""/>
    <m/>
    <m/>
    <m/>
    <n v="8"/>
    <s v="Junior Lopes"/>
    <d v="2025-11-25T00:00:00"/>
    <d v="1899-12-30T16:25:17"/>
    <s v=""/>
    <s v="Perdido"/>
    <d v="2025-12-03T00:00:00"/>
    <d v="1899-12-30T15:53:51"/>
    <s v="Projeto adiado / sem prazo definido"/>
    <s v="Cliente não tem tempo para fazermos apresentação"/>
    <s v=""/>
    <x v="142"/>
    <s v=""/>
    <x v="153"/>
    <s v=""/>
    <m/>
    <m/>
    <s v=""/>
    <s v=""/>
    <s v=""/>
    <s v=""/>
    <n v="1"/>
  </r>
  <r>
    <x v="1"/>
    <n v="696"/>
    <m/>
    <n v="2885"/>
    <s v=""/>
    <s v=""/>
    <x v="306"/>
    <n v="57524096000104"/>
    <s v=""/>
    <s v="Phabllo Parambu Atacado - Cloud"/>
    <s v="88996365702"/>
    <s v=""/>
    <s v="phabllo2022@gmail.com"/>
    <s v=""/>
    <s v=""/>
    <s v=""/>
    <s v=""/>
    <s v=""/>
    <s v=""/>
    <s v=""/>
    <s v=""/>
    <s v="30%"/>
    <s v="Pipeline de Vendas"/>
    <s v="Apresentar Solução (35%)"/>
    <s v=""/>
    <m/>
    <m/>
    <m/>
    <n v="8"/>
    <s v="Junior Lopes"/>
    <d v="2025-11-25T00:00:00"/>
    <d v="1899-12-30T16:48:26"/>
    <s v=""/>
    <s v="Perdido"/>
    <d v="2025-12-03T00:00:00"/>
    <d v="1899-12-30T15:53:19"/>
    <s v="Projeto adiado / sem prazo definido"/>
    <s v="Cliente não tem tempo para fazermos apresentação"/>
    <s v=""/>
    <x v="142"/>
    <s v=""/>
    <x v="153"/>
    <s v=""/>
    <m/>
    <m/>
    <s v=""/>
    <s v=""/>
    <s v=""/>
    <s v=""/>
    <n v="1"/>
  </r>
  <r>
    <x v="1"/>
    <n v="697"/>
    <m/>
    <n v="2887"/>
    <s v=""/>
    <s v=""/>
    <x v="307"/>
    <m/>
    <s v=""/>
    <s v="Salopet Embalagens Plasticas - Cloud"/>
    <s v="1125751800"/>
    <s v=""/>
    <s v="paralegal10@mgcontecnica.com.br"/>
    <s v=""/>
    <s v=""/>
    <s v=""/>
    <s v=""/>
    <s v=""/>
    <s v=""/>
    <s v=""/>
    <s v=""/>
    <s v=""/>
    <s v="Pipeline de Vendas"/>
    <s v="Apresentar Solução (35%)"/>
    <s v=""/>
    <m/>
    <n v="1600"/>
    <n v="335607"/>
    <n v="1"/>
    <s v="Junior Lopes"/>
    <d v="2025-11-25T00:00:00"/>
    <d v="1899-12-30T17:07:06"/>
    <s v=""/>
    <s v="Perdido"/>
    <d v="2025-11-26T00:00:00"/>
    <d v="1899-12-30T12:32:26"/>
    <s v="Não quer mudar a solução atual"/>
    <s v="estou descartando por falta de atividades do André, já agendou varias vezes e não aparece nas reuniões _x000a_Fala chefe, boa tarde _x000a_Está uma loucura esse final de ano_x000a_Mais vamos lá_x000a_Hoje uso o sistema Areco ele é gigante e tem tudo o que precisamos mais está em falta com o suporte e o preço está ficando alto_x000a_Vou tentar finalizar algumas coisa e na sexta-feira na parte da manhã estarei mais tranquilo ai chamo pra que possamos conversar"/>
    <s v=""/>
    <x v="134"/>
    <s v=""/>
    <x v="149"/>
    <s v=""/>
    <m/>
    <m/>
    <s v=""/>
    <s v=""/>
    <s v=""/>
    <s v=""/>
    <n v="1"/>
  </r>
  <r>
    <x v="0"/>
    <n v="700"/>
    <m/>
    <n v="2874"/>
    <s v=""/>
    <s v=""/>
    <x v="308"/>
    <m/>
    <s v=""/>
    <s v="Samuel Ferreira"/>
    <s v="(38) 99741-8594"/>
    <s v=""/>
    <s v="lojastem.financeiro@gmail.com"/>
    <s v=""/>
    <s v=""/>
    <s v=""/>
    <s v="Montes Claros"/>
    <s v=""/>
    <s v="Site"/>
    <s v=""/>
    <s v=""/>
    <s v="30%;Solicita demo"/>
    <s v="Pipeline de Vendas"/>
    <s v="Apresentar Proposta (50%)"/>
    <s v=""/>
    <d v="2026-01-31T00:00:00"/>
    <m/>
    <m/>
    <n v="14"/>
    <s v="Paulo Souza"/>
    <d v="2025-11-26T00:00:00"/>
    <d v="1899-12-30T11:24:38"/>
    <s v=""/>
    <s v="Perdido"/>
    <d v="2025-12-10T00:00:00"/>
    <d v="1899-12-30T23:13:47"/>
    <s v="Não houve aprovação financeira"/>
    <s v=""/>
    <s v=""/>
    <x v="143"/>
    <s v="Paulo Souza"/>
    <x v="154"/>
    <s v=""/>
    <m/>
    <m/>
    <s v=""/>
    <s v=""/>
    <s v=""/>
    <s v=""/>
    <n v="1"/>
  </r>
  <r>
    <x v="0"/>
    <n v="701"/>
    <m/>
    <n v="2829"/>
    <s v="Cobrei a Luciana sobre a sequência do projeto ou não (09/01/2026)_x000a_23/01 - Fiz FUPs hoje com a Lucimeire, chamando ela para retomar as negociações, aguardar ele responder para saber se vamos seguir ou não? R: Ela retornou avisando que a negociação está pausada por enquanto."/>
    <s v=""/>
    <x v="309"/>
    <n v="5825017000100"/>
    <s v=""/>
    <s v="Lucimeire Jardim"/>
    <s v="(17) 99270-5941"/>
    <s v=""/>
    <s v="gerencia.adm@belaflor.com.br"/>
    <s v=""/>
    <s v=""/>
    <s v=""/>
    <s v="São José do Rio Preto"/>
    <s v=""/>
    <s v="Site"/>
    <s v=""/>
    <s v=""/>
    <s v="30%;Pausado;Solicita demo"/>
    <s v="Pipeline de Vendas"/>
    <s v="Em negociação (75%)"/>
    <s v=""/>
    <d v="2026-03-31T00:00:00"/>
    <n v="130600"/>
    <n v="1680982"/>
    <n v="173"/>
    <s v="Paulo Souza"/>
    <d v="2025-11-26T00:00:00"/>
    <d v="1899-12-30T11:25:27"/>
    <s v=""/>
    <s v="Perdido"/>
    <d v="2026-05-18T00:00:00"/>
    <d v="1899-12-30T16:51:17"/>
    <s v="Projeto adiado / sem prazo definido"/>
    <s v=""/>
    <s v=""/>
    <x v="143"/>
    <s v="Paulo Souza"/>
    <x v="154"/>
    <s v=""/>
    <d v="2026-03-31T00:00:00"/>
    <n v="30"/>
    <s v="653"/>
    <s v="ERP, AFV, BI, WMS"/>
    <s v="R$ 130.600"/>
    <s v="R$ 16.809,82"/>
    <n v="1"/>
  </r>
  <r>
    <x v="0"/>
    <n v="702"/>
    <m/>
    <n v="2890"/>
    <s v="Falei com Rodrigo CFO, e vamos negociar a proposta na semana do dia 12/01/2025._x000a_Falei hoje 12/01 com Rodrigo cobrando um aposição dele._x000a_14/01 - Hoje o Jeferson TI me ligou avisando que a diretoria reprovou o valor mensal. Porém a equipe interna gostou muito do sistema e esta batalhando para seguir. Com isso ele apresentou um valor base de R$60,00 por usuário estou estudando uma estratégia para responder. Acionei o Fábio._x000a_19/01: No dia 15/01 foi resolvido a questão da proposta. A pendência agora é em relação a integração com Sênior, ou seja, Jeferson esta fazendo orçamento com pessoal da Sênior, só após daremos andamento. Previsto uma conversa para sexta-feira próxima, dia 23/01."/>
    <s v=""/>
    <x v="310"/>
    <m/>
    <s v=""/>
    <s v="Wellington"/>
    <s v="43996624014"/>
    <s v=""/>
    <s v="null"/>
    <s v=""/>
    <s v=""/>
    <s v=""/>
    <s v=""/>
    <s v=""/>
    <s v=""/>
    <s v=""/>
    <s v=""/>
    <s v="90%;Fabio Indica"/>
    <s v="Pipeline de Vendas"/>
    <s v="Em Fechamento (100%)"/>
    <s v=""/>
    <d v="2026-01-31T00:00:00"/>
    <n v="16000"/>
    <n v="5880"/>
    <n v="57"/>
    <s v="Paulo Souza"/>
    <d v="2025-11-26T00:00:00"/>
    <d v="1899-12-30T11:28:10"/>
    <s v=""/>
    <s v="Perdido"/>
    <d v="2026-01-22T00:00:00"/>
    <d v="1899-12-30T16:27:10"/>
    <s v="Não houve aprovação financeira"/>
    <s v="A diretoria não aprovou o projeto devido o total da implantação ficar na casa dos 32k. Somando o projeto do Sênior 15-20k e Guarani 16k"/>
    <s v=""/>
    <x v="144"/>
    <s v="Paulo Souza"/>
    <x v="155"/>
    <s v=""/>
    <d v="2026-01-09T00:00:00"/>
    <m/>
    <s v=""/>
    <s v=""/>
    <s v=""/>
    <s v=""/>
    <n v="1"/>
  </r>
  <r>
    <x v="0"/>
    <n v="703"/>
    <m/>
    <n v="2891"/>
    <s v="Falei hoje com o Abdallah, o mesmo esta fora do Brasil. Combinamos de falar na sua volta que é em 15/01/2026!_x000a_23/01 - Após conversa com o Abdallah, o mesmo ainda continua fora do brasil e em nossa conversa falou que não tem resposta se vai ou não mudar. Com base no histórico das conversa ele não tem interesse de mudança no curto prazo. Sendo assim, estou declinando a proposta e futuramente voltamos a falar."/>
    <s v=""/>
    <x v="311"/>
    <n v="7728812000105"/>
    <s v=""/>
    <s v="Abdallah"/>
    <s v="(11) 3228-9751"/>
    <s v=""/>
    <s v="aihfinanceiro@gmail.com"/>
    <s v=""/>
    <s v=""/>
    <s v=""/>
    <s v="SAO PAULO"/>
    <s v="SP"/>
    <s v=""/>
    <s v=""/>
    <s v=""/>
    <s v="30%"/>
    <s v="Pipeline de Vendas"/>
    <s v="Em negociação (75%)"/>
    <s v=""/>
    <d v="2026-01-23T00:00:00"/>
    <n v="72000"/>
    <n v="8045"/>
    <n v="58"/>
    <s v="Paulo Souza"/>
    <d v="2025-11-26T00:00:00"/>
    <d v="1899-12-30T11:30:14"/>
    <s v=""/>
    <s v="Perdido"/>
    <d v="2026-01-23T00:00:00"/>
    <d v="1899-12-30T11:38:34"/>
    <s v="Projeto adiado / sem prazo definido"/>
    <s v=""/>
    <s v=""/>
    <x v="48"/>
    <s v="Paulo Souza"/>
    <x v="156"/>
    <s v=""/>
    <d v="2026-01-23T00:00:00"/>
    <m/>
    <s v=""/>
    <s v=""/>
    <s v=""/>
    <s v=""/>
    <n v="1"/>
  </r>
  <r>
    <x v="0"/>
    <n v="704"/>
    <m/>
    <n v="2894"/>
    <s v="Hoje foi realizada a apresentação do PDV do ERP ao cliente. O fechamento está previsto para ocorrer até 19/12/2025."/>
    <s v=""/>
    <x v="312"/>
    <n v="3761404000196"/>
    <s v=""/>
    <s v="Jose Eduardo"/>
    <s v="(19) 3492-9944"/>
    <s v=""/>
    <s v="adm@plastcap.com.br"/>
    <s v=""/>
    <s v=""/>
    <s v=""/>
    <s v="CAPIVARI"/>
    <s v="SP"/>
    <s v=""/>
    <s v=""/>
    <s v=""/>
    <s v="90%"/>
    <s v="Pipeline de Vendas"/>
    <s v="Em Fechamento (100%)"/>
    <s v=""/>
    <d v="2026-01-15T00:00:00"/>
    <n v="17829"/>
    <n v="83997"/>
    <n v="44"/>
    <s v="Paulo Souza"/>
    <d v="2025-11-26T00:00:00"/>
    <d v="1899-12-30T11:36:11"/>
    <s v=""/>
    <s v="Ganho"/>
    <d v="2026-01-09T00:00:00"/>
    <d v="1899-12-30T14:02:37"/>
    <s v=""/>
    <s v=""/>
    <s v=""/>
    <x v="145"/>
    <s v="Paulo Souza"/>
    <x v="154"/>
    <s v=""/>
    <d v="2025-12-12T00:00:00"/>
    <m/>
    <s v=""/>
    <s v=""/>
    <s v=""/>
    <s v=""/>
    <n v="1"/>
  </r>
  <r>
    <x v="0"/>
    <n v="705"/>
    <m/>
    <n v="2896"/>
    <s v="Não vai seguir com esse projeto no momento! Primeiro vai fazer a reciclagem e no meio do ano de 2026, voltamos a falar."/>
    <s v=""/>
    <x v="313"/>
    <n v="3761404000196"/>
    <s v=""/>
    <s v="Jose Eduardo"/>
    <s v="(19) 3492-9944"/>
    <s v=""/>
    <s v="adm@plastcap.com.br"/>
    <s v=""/>
    <s v=""/>
    <s v=""/>
    <s v="CAPIVARI"/>
    <s v="SP"/>
    <s v=""/>
    <s v=""/>
    <s v=""/>
    <s v="30%"/>
    <s v="Pipeline de Vendas"/>
    <s v="Em negociação (75%)"/>
    <s v=""/>
    <d v="2025-12-31T00:00:00"/>
    <n v="1600"/>
    <n v="384454"/>
    <n v="44"/>
    <s v="Paulo Souza"/>
    <d v="2025-11-26T00:00:00"/>
    <d v="1899-12-30T11:54:10"/>
    <s v=""/>
    <s v="Perdido"/>
    <d v="2026-01-09T00:00:00"/>
    <d v="1899-12-30T14:22:58"/>
    <s v="Projeto adiado / sem prazo definido"/>
    <s v=""/>
    <s v=""/>
    <x v="143"/>
    <s v="Paulo Souza"/>
    <x v="154"/>
    <s v=""/>
    <d v="2026-01-09T00:00:00"/>
    <m/>
    <s v=""/>
    <s v=""/>
    <s v=""/>
    <s v=""/>
    <n v="1"/>
  </r>
  <r>
    <x v="0"/>
    <n v="706"/>
    <m/>
    <n v="2897"/>
    <s v=""/>
    <s v=""/>
    <x v="314"/>
    <m/>
    <s v=""/>
    <s v="Kaue Prado"/>
    <s v="49998169464"/>
    <s v=""/>
    <s v="null"/>
    <s v=""/>
    <s v=""/>
    <s v=""/>
    <s v=""/>
    <s v=""/>
    <s v=""/>
    <s v=""/>
    <s v=""/>
    <s v=""/>
    <s v="Pipeline de Vendas"/>
    <s v="Em negociação (75%)"/>
    <s v=""/>
    <d v="2026-01-15T00:00:00"/>
    <n v="50000"/>
    <n v="2355"/>
    <n v="14"/>
    <s v="Paulo Souza"/>
    <d v="2025-11-26T00:00:00"/>
    <d v="1899-12-30T11:57:13"/>
    <s v=""/>
    <s v="Perdido"/>
    <d v="2025-12-10T00:00:00"/>
    <d v="1899-12-30T17:18:17"/>
    <s v="Não houve aprovação financeira"/>
    <s v=""/>
    <s v=""/>
    <x v="146"/>
    <s v="Paulo Souza"/>
    <x v="157"/>
    <s v=""/>
    <m/>
    <m/>
    <s v=""/>
    <s v=""/>
    <s v=""/>
    <s v=""/>
    <n v="1"/>
  </r>
  <r>
    <x v="0"/>
    <n v="707"/>
    <m/>
    <n v="2898"/>
    <s v="Após retorno do Jeferson fui informado que ele não vai seguir com o projeto no momento."/>
    <s v=""/>
    <x v="315"/>
    <m/>
    <s v=""/>
    <s v="Jeferson"/>
    <s v="83998878069"/>
    <s v=""/>
    <s v="null"/>
    <s v=""/>
    <s v=""/>
    <s v=""/>
    <s v=""/>
    <s v=""/>
    <s v="Outbound"/>
    <s v=""/>
    <s v=""/>
    <s v="90%"/>
    <s v="Pipeline de Vendas"/>
    <s v="Em negociação (75%)"/>
    <s v=""/>
    <d v="2026-01-31T00:00:00"/>
    <n v="14400"/>
    <n v="185328"/>
    <n v="47"/>
    <s v="Paulo Souza"/>
    <d v="2025-11-26T00:00:00"/>
    <d v="1899-12-30T11:59:12"/>
    <s v=""/>
    <s v="Perdido"/>
    <d v="2026-01-12T00:00:00"/>
    <d v="1899-12-30T22:24:16"/>
    <s v="Projeto adiado / sem prazo definido"/>
    <s v=""/>
    <s v=""/>
    <x v="147"/>
    <s v="Paulo Souza"/>
    <x v="158"/>
    <s v=""/>
    <d v="2026-01-12T00:00:00"/>
    <m/>
    <s v=""/>
    <s v=""/>
    <s v=""/>
    <s v=""/>
    <n v="1"/>
  </r>
  <r>
    <x v="0"/>
    <n v="708"/>
    <m/>
    <n v="2899"/>
    <s v=""/>
    <s v=""/>
    <x v="236"/>
    <m/>
    <s v=""/>
    <s v="Fabiana"/>
    <s v="16996352359"/>
    <s v=""/>
    <s v="null"/>
    <s v=""/>
    <s v=""/>
    <s v=""/>
    <s v=""/>
    <s v=""/>
    <s v=""/>
    <s v=""/>
    <s v=""/>
    <s v=""/>
    <s v="Pipeline de Vendas"/>
    <s v="Em Fechamento (100%)"/>
    <s v=""/>
    <m/>
    <m/>
    <m/>
    <n v="12"/>
    <s v="Paulo Souza"/>
    <d v="2025-11-26T00:00:00"/>
    <d v="1899-12-30T12:01:20"/>
    <s v=""/>
    <s v="Ganho"/>
    <d v="2025-12-08T00:00:00"/>
    <d v="1899-12-30T13:53:33"/>
    <s v=""/>
    <s v=""/>
    <s v=""/>
    <x v="148"/>
    <s v="Paulo Souza"/>
    <x v="159"/>
    <s v=""/>
    <m/>
    <m/>
    <s v=""/>
    <s v=""/>
    <s v=""/>
    <s v=""/>
    <n v="1"/>
  </r>
  <r>
    <x v="0"/>
    <n v="709"/>
    <m/>
    <n v="2900"/>
    <s v=""/>
    <s v=""/>
    <x v="316"/>
    <m/>
    <s v=""/>
    <s v="Gustavo"/>
    <s v="16996352359"/>
    <s v=""/>
    <s v="null"/>
    <s v=""/>
    <s v=""/>
    <s v=""/>
    <s v=""/>
    <s v=""/>
    <s v=""/>
    <s v=""/>
    <s v=""/>
    <s v=""/>
    <s v="Pipeline de Vendas"/>
    <s v="Em Fechamento (100%)"/>
    <s v=""/>
    <m/>
    <m/>
    <m/>
    <n v="12"/>
    <s v="Paulo Souza"/>
    <d v="2025-11-26T00:00:00"/>
    <d v="1899-12-30T12:02:41"/>
    <s v=""/>
    <s v="Ganho"/>
    <d v="2025-12-08T00:00:00"/>
    <d v="1899-12-30T14:21:05"/>
    <s v=""/>
    <s v=""/>
    <s v=""/>
    <x v="149"/>
    <s v="Paulo Souza"/>
    <x v="160"/>
    <s v=""/>
    <m/>
    <m/>
    <s v=""/>
    <s v=""/>
    <s v=""/>
    <s v=""/>
    <n v="1"/>
  </r>
  <r>
    <x v="1"/>
    <n v="711"/>
    <m/>
    <n v="2902"/>
    <s v="O próximo passo é Junior Lopes contatar a Tânia para confirmar o envio do vídeo do armazém e obter uma data definida para isso. Ele também deve atualizar no sistema o campo “O que falta para atingir o objetivo” com os requisitos pendentes e registrar um próximo passo com data, como analisar o vídeo ou agendar uma reunião para discutir sua avaliação."/>
    <s v=""/>
    <x v="317"/>
    <m/>
    <s v=""/>
    <s v="FaFa Import - WMS"/>
    <s v="86188758539"/>
    <s v=""/>
    <s v="null"/>
    <s v=""/>
    <s v=""/>
    <s v=""/>
    <s v=""/>
    <s v=""/>
    <s v=""/>
    <s v=""/>
    <s v=""/>
    <s v="50%"/>
    <s v="Pipeline de Vendas"/>
    <s v="Em Fechamento (100%)"/>
    <s v=""/>
    <d v="2026-02-09T00:00:00"/>
    <n v="235848"/>
    <n v="14256"/>
    <n v="65"/>
    <s v="Junior Lopes"/>
    <d v="2025-11-26T00:00:00"/>
    <d v="1899-12-30T15:05:11"/>
    <s v=""/>
    <s v="Perdido"/>
    <d v="2026-01-30T00:00:00"/>
    <d v="1899-12-30T15:36:59"/>
    <s v="Projeto adiado / sem prazo definido"/>
    <s v="sem retorno"/>
    <s v=""/>
    <x v="132"/>
    <s v="Junior Lopes"/>
    <x v="153"/>
    <s v=""/>
    <d v="2025-12-12T00:00:00"/>
    <m/>
    <s v=""/>
    <s v=""/>
    <s v=""/>
    <s v=""/>
    <n v="1"/>
  </r>
  <r>
    <x v="1"/>
    <n v="714"/>
    <m/>
    <n v="2910"/>
    <s v=""/>
    <s v=""/>
    <x v="318"/>
    <m/>
    <s v=""/>
    <s v="Tecelagem Castilho - Proposta Web"/>
    <s v="6293622662"/>
    <s v=""/>
    <s v="null"/>
    <s v=""/>
    <s v=""/>
    <s v=""/>
    <s v=""/>
    <s v=""/>
    <s v=""/>
    <s v=""/>
    <s v=""/>
    <s v=""/>
    <s v="Pipeline de Vendas"/>
    <s v="Em negociação (75%)"/>
    <s v=""/>
    <m/>
    <n v="0"/>
    <n v="209"/>
    <n v="12"/>
    <s v="Junior Lopes"/>
    <d v="2025-11-28T00:00:00"/>
    <d v="1899-12-30T14:27:28"/>
    <s v=""/>
    <s v="Perdido"/>
    <d v="2025-12-10T00:00:00"/>
    <d v="1899-12-30T10:00:03"/>
    <s v="Não quer mudar a solução atual"/>
    <s v="por enquanto vai fazer as aprovações via ERP"/>
    <s v=""/>
    <x v="142"/>
    <s v=""/>
    <x v="161"/>
    <s v=""/>
    <m/>
    <m/>
    <s v=""/>
    <s v=""/>
    <s v=""/>
    <s v=""/>
    <n v="1"/>
  </r>
  <r>
    <x v="0"/>
    <n v="717"/>
    <m/>
    <n v="2945"/>
    <s v="Falei hoje 09/01/2026 com o Mario para saber se seguiremos. Ele está fora do brasil retomar contato em 15/01._x000a_23/01 fazer proposta e enviar ao mario._x000a_06/02 Fiz FUP e não evoluiu a conversa pois o Mario está estruturando a empresa e nesse momento vai aguardar."/>
    <s v=""/>
    <x v="319"/>
    <m/>
    <s v=""/>
    <s v="Mario Perez"/>
    <s v="(11) 99471-3332"/>
    <s v=""/>
    <s v="mariovperez@hotmail.com"/>
    <s v=""/>
    <s v=""/>
    <s v=""/>
    <s v="São Paulo"/>
    <s v=""/>
    <s v="Site"/>
    <s v=""/>
    <s v=""/>
    <s v="30%"/>
    <s v="Pipeline de Vendas"/>
    <s v="Apresentar Proposta (50%)"/>
    <s v=""/>
    <d v="2026-01-31T00:00:00"/>
    <m/>
    <m/>
    <n v="68"/>
    <s v="Paulo Souza"/>
    <d v="2025-12-01T00:00:00"/>
    <d v="1899-12-30T15:50:11"/>
    <s v=""/>
    <s v="Perdido"/>
    <d v="2026-02-07T00:00:00"/>
    <d v="1899-12-30T08:22:44"/>
    <s v="Não quer mudar a solução atual"/>
    <s v=""/>
    <s v=""/>
    <x v="150"/>
    <s v="Paulo Souza"/>
    <x v="162"/>
    <s v=""/>
    <d v="2026-01-23T00:00:00"/>
    <n v="30"/>
    <s v=""/>
    <s v=""/>
    <s v=""/>
    <s v=""/>
    <n v="1"/>
  </r>
  <r>
    <x v="0"/>
    <n v="718"/>
    <m/>
    <n v="2913"/>
    <s v="Falei com a Valeria hoje 09/01/26 para saber sobre a retomada do projeto._x000a_23/01 Fiz FUP hoje com a Valeria cobrando se seguiremos ou não com o projeto, prazo para declinar 31/01."/>
    <s v=""/>
    <x v="320"/>
    <m/>
    <s v=""/>
    <s v="Valéria Honorato da Silva"/>
    <s v="(45) 99903-2312"/>
    <s v=""/>
    <s v="valeriahonoratomkt@gmail.com"/>
    <s v=""/>
    <s v=""/>
    <s v=""/>
    <s v="Santa Tereza do Oeste"/>
    <s v=""/>
    <s v="Site"/>
    <s v=""/>
    <s v=""/>
    <s v="30%;Pausado;Solicita demo"/>
    <s v="Pipeline de Vendas"/>
    <s v="Qualificação de Vendas (SQL) (25%)"/>
    <s v=""/>
    <d v="2026-04-30T00:00:00"/>
    <m/>
    <m/>
    <n v="161"/>
    <s v="Paulo Souza"/>
    <d v="2025-12-01T00:00:00"/>
    <d v="1899-12-30T16:23:02"/>
    <s v=""/>
    <s v="Perdido"/>
    <d v="2026-05-11T00:00:00"/>
    <d v="1899-12-30T11:55:42"/>
    <s v="Projeto adiado / sem prazo definido"/>
    <s v=""/>
    <s v=""/>
    <x v="151"/>
    <s v="Paulo Souza"/>
    <x v="162"/>
    <s v=""/>
    <d v="2026-04-10T00:00:00"/>
    <n v="30"/>
    <s v=""/>
    <s v=""/>
    <s v=""/>
    <s v=""/>
    <n v="1"/>
  </r>
  <r>
    <x v="0"/>
    <n v="719"/>
    <m/>
    <n v="2904"/>
    <s v="Falei com a Kelly hoje que me passou as informações que faltava para formular a proposta. Agora e falar com o Fernando e montar a proposta e apresentar._x000a_23/01 Falei com a Kelly em 19/01, e ela avisou que estava de férias e que retorno essa semana , e que só vai conseguir analisar a proposta na semana do dia 26/01, quando retornarei o contato._x000a_07/02 Fiz FUP com a Kelly e perguntei se ela vai ou não seguir com o projeto, não retornou ainda._x000a_12/03 12/03 Fiz FUP com a Kelly e a mesma esta analisando a proposta. Como esta semana ela tá fazendo compra de natal, vai conseguir parar e ver a proposta amanhã 13/03._x000a_20/03 Cobrando a Kelly para ir para o fechamento."/>
    <s v=""/>
    <x v="321"/>
    <n v="3674537000125"/>
    <s v=""/>
    <s v="kelly"/>
    <s v="(12) 97403-0134"/>
    <s v=""/>
    <s v="mkt@valport.com.br"/>
    <s v=""/>
    <s v=""/>
    <s v=""/>
    <s v="São Paulo"/>
    <s v=""/>
    <s v="Site"/>
    <s v=""/>
    <s v=""/>
    <s v="50%;Solicita demo"/>
    <s v="Pipeline de Vendas"/>
    <s v="Em negociação (75%)"/>
    <s v=""/>
    <d v="2026-03-31T00:00:00"/>
    <n v="104490"/>
    <n v="111957"/>
    <n v="130"/>
    <s v="Paulo Souza"/>
    <d v="2025-12-01T00:00:00"/>
    <d v="1899-12-30T16:37:54"/>
    <s v=""/>
    <s v="Perdido"/>
    <d v="2026-04-10T00:00:00"/>
    <d v="1899-12-30T15:54:49"/>
    <s v="Projeto adiado / sem prazo definido"/>
    <s v=""/>
    <s v=""/>
    <x v="151"/>
    <s v="Paulo Souza"/>
    <x v="163"/>
    <s v=""/>
    <d v="2026-03-20T00:00:00"/>
    <n v="30"/>
    <s v="416"/>
    <s v="ERP, AFV, BI, PDV, ADICIONAIS"/>
    <s v="R$ 104.490"/>
    <s v="R$ 11.195,70"/>
    <n v="1"/>
  </r>
  <r>
    <x v="0"/>
    <n v="725"/>
    <m/>
    <n v="2970"/>
    <s v="Cobrei hoje 09/01 o Alex, para saber sobre a evolução do projeto em 2026._x000a_14/01 - O Alex me ligou hoje avisando que a empresa optou pelo mais barato e fechou com a RioSoft."/>
    <s v=""/>
    <x v="322"/>
    <m/>
    <s v=""/>
    <s v="Alex"/>
    <s v="1799137617"/>
    <s v=""/>
    <s v="null"/>
    <s v=""/>
    <s v=""/>
    <s v=""/>
    <s v=""/>
    <s v=""/>
    <s v=""/>
    <s v=""/>
    <s v=""/>
    <s v="30%;Pausado"/>
    <s v="Pipeline de Vendas"/>
    <s v="Em negociação (75%)"/>
    <s v=""/>
    <d v="2026-03-31T00:00:00"/>
    <n v="315000"/>
    <n v="32575"/>
    <n v="37"/>
    <s v="Paulo Souza"/>
    <d v="2025-12-08T00:00:00"/>
    <d v="1899-12-30T13:58:57"/>
    <s v=""/>
    <s v="Perdido"/>
    <d v="2026-01-14T00:00:00"/>
    <d v="1899-12-30T18:52:38"/>
    <s v="Fechou com o concorrente - preço"/>
    <s v="O Alex me ligou hoje avisando que a empresa optou pelo mais barato e fechou com a RioSoft."/>
    <s v=""/>
    <x v="151"/>
    <s v="Paulo Souza"/>
    <x v="164"/>
    <s v=""/>
    <d v="2026-01-09T00:00:00"/>
    <m/>
    <s v=""/>
    <s v=""/>
    <s v=""/>
    <s v=""/>
    <n v="1"/>
  </r>
  <r>
    <x v="0"/>
    <n v="726"/>
    <m/>
    <n v="2971"/>
    <s v=""/>
    <s v=""/>
    <x v="323"/>
    <m/>
    <s v=""/>
    <s v="Raymond"/>
    <s v="11982685555"/>
    <s v=""/>
    <s v="null"/>
    <s v=""/>
    <s v=""/>
    <s v=""/>
    <s v=""/>
    <s v=""/>
    <s v=""/>
    <s v=""/>
    <s v=""/>
    <s v=""/>
    <s v="Pipeline de Vendas"/>
    <s v="Em Fechamento (100%)"/>
    <s v=""/>
    <m/>
    <n v="0"/>
    <n v="57024"/>
    <n v="0"/>
    <s v="Paulo Souza"/>
    <d v="2025-12-08T00:00:00"/>
    <d v="1899-12-30T14:06:46"/>
    <s v=""/>
    <s v="Ganho"/>
    <d v="2025-12-08T00:00:00"/>
    <d v="1899-12-30T14:09:01"/>
    <s v=""/>
    <s v=""/>
    <s v=""/>
    <x v="152"/>
    <s v="Paulo Souza"/>
    <x v="162"/>
    <s v=""/>
    <m/>
    <m/>
    <s v=""/>
    <s v=""/>
    <s v=""/>
    <s v=""/>
    <n v="1"/>
  </r>
  <r>
    <x v="0"/>
    <n v="727"/>
    <m/>
    <n v="2969"/>
    <s v="Hoje 09/01/26 cobrei a Michelli para saber se ela vai seguir ou não com o projeto._x000a_23/01 - Fiz FUp com a Michelle hoje para saber se vamos ou não seguir com o projeto. _x000a_R: Falou que a proposta esta sobe analise da diretoria e que para a próxima semana já terá um retorno. _x000a_07/02 Fiz FUP com a Michelle e ela me posicionou que não vai trocar de sistema por enquanto."/>
    <s v=""/>
    <x v="324"/>
    <m/>
    <s v=""/>
    <s v="MICHELE"/>
    <s v="(12) 99635-6502"/>
    <s v=""/>
    <s v="flavia.honorato@hotmail.com"/>
    <s v=""/>
    <s v=""/>
    <s v=""/>
    <s v="Guaratinguetá"/>
    <s v=""/>
    <s v="Site"/>
    <s v=""/>
    <s v=""/>
    <s v="30%;Solicita demo"/>
    <s v="Pipeline de Vendas"/>
    <s v="Em negociação (75%)"/>
    <s v=""/>
    <d v="2026-01-31T00:00:00"/>
    <n v="47200"/>
    <n v="22981"/>
    <n v="60"/>
    <s v="Paulo Souza"/>
    <d v="2025-12-09T00:00:00"/>
    <d v="1899-12-30T14:14:17"/>
    <s v=""/>
    <s v="Perdido"/>
    <d v="2026-02-07T00:00:00"/>
    <d v="1899-12-30T08:55:56"/>
    <s v="Não quer mudar a solução atual"/>
    <s v="07/02 Fiz FUP com a Michelle e ela me posicionou que não vai trocar de sistema por enquanto."/>
    <s v=""/>
    <x v="153"/>
    <s v="Paulo Souza"/>
    <x v="165"/>
    <s v=""/>
    <d v="2026-02-07T00:00:00"/>
    <n v="30"/>
    <s v=""/>
    <s v=""/>
    <s v=""/>
    <s v=""/>
    <n v="1"/>
  </r>
  <r>
    <x v="0"/>
    <n v="728"/>
    <m/>
    <n v="2973"/>
    <s v="Falei com a Kelly hoje que me passou as informações que faltava para formular a proposta. Agora e falar com o Fernando e montar a proposta e apresentar._x000a_13/01/2026 - Apresentar proposta_x000a_23/01 Falei com a Kelly em 19/01, e ela avisou que estava de férias e que retorno essa semana , e que só vai conseguir analisar a proposta na semana do dia 26/01, quando retornarei o contato._x000a_07/02 Fiz FUP com a Kelly e perguntei se ela vai ou não seguir com o projeto, não retornou ainda._x000a_12/03 12/03 Fiz FUP com a Kelly e a mesma esta analisando a proposta. Como esta semana ela tá fazendo compra de natal, vai conseguir parar e ver a proposta amanhã 13/03._x000a_20/03 Cobrando a Kelly para ir para o fechamento."/>
    <s v=""/>
    <x v="325"/>
    <n v="3674537000125"/>
    <s v=""/>
    <s v="Kelly"/>
    <s v="(12) 3204-5200"/>
    <s v=""/>
    <s v="financeiro@valport.com.br"/>
    <s v=""/>
    <s v=""/>
    <s v=""/>
    <s v="SAO JOSE DOS CAMPOS"/>
    <s v="SP"/>
    <s v="Outbound"/>
    <s v=""/>
    <s v=""/>
    <s v="50%"/>
    <s v="Pipeline de Vendas"/>
    <s v="Em negociação (75%)"/>
    <s v=""/>
    <d v="2026-03-31T00:00:00"/>
    <n v="1700"/>
    <n v="13100"/>
    <n v="121"/>
    <s v="Paulo Souza"/>
    <d v="2025-12-10T00:00:00"/>
    <d v="1899-12-30T17:33:41"/>
    <s v=""/>
    <s v="Perdido"/>
    <d v="2026-04-10T00:00:00"/>
    <d v="1899-12-30T15:55:20"/>
    <s v="Projeto adiado / sem prazo definido"/>
    <s v=""/>
    <s v=""/>
    <x v="153"/>
    <s v="Paulo Souza"/>
    <x v="165"/>
    <s v=""/>
    <d v="2026-03-20T00:00:00"/>
    <n v="30"/>
    <s v="80"/>
    <s v="B2B"/>
    <s v="R$ 13.100"/>
    <s v="R$ 1.700"/>
    <n v="1"/>
  </r>
  <r>
    <x v="0"/>
    <n v="729"/>
    <m/>
    <n v="2972"/>
    <s v="Falei com o Dalvan que esta devendo os dados para fazer a proposta. Segundo ele até o dia 09/01/26 ele termina de preencher. Após receber fazer proposta junto ao Fernando._x000a_23/01 Fiz FUP hoje com o DALVAN, o bicho é enrolado não responde os questionamentos que preciso para fazer a proposta._x000a_06/02 Estou declinando a proposta por falta de interação. o Dalvan, não me responde."/>
    <s v=""/>
    <x v="326"/>
    <m/>
    <s v=""/>
    <s v="Dalvan barros"/>
    <s v="(99) 98265-8209"/>
    <s v=""/>
    <s v="atualmiix@gmail.com"/>
    <s v=""/>
    <s v=""/>
    <s v=""/>
    <s v="Porto Franco"/>
    <s v=""/>
    <s v="Site"/>
    <s v=""/>
    <s v=""/>
    <s v="30%;Solicita demo"/>
    <s v="Pipeline de Vendas"/>
    <s v="Apresentar Proposta (50%)"/>
    <s v=""/>
    <d v="2026-01-31T00:00:00"/>
    <m/>
    <m/>
    <n v="59"/>
    <s v="Paulo Souza"/>
    <d v="2025-12-10T00:00:00"/>
    <d v="1899-12-30T22:55:29"/>
    <s v=""/>
    <s v="Perdido"/>
    <d v="2026-02-07T00:00:00"/>
    <d v="1899-12-30T08:20:54"/>
    <s v="Projeto adiado / sem prazo definido"/>
    <s v="06/02 Estou declinando a proposta por falta de interação. o Dalvan, não me responde."/>
    <s v=""/>
    <x v="154"/>
    <s v="Paulo Souza"/>
    <x v="166"/>
    <s v=""/>
    <d v="2026-02-06T00:00:00"/>
    <n v="30"/>
    <s v=""/>
    <s v=""/>
    <s v=""/>
    <s v=""/>
    <n v="1"/>
  </r>
  <r>
    <x v="1"/>
    <n v="730"/>
    <m/>
    <n v="2977"/>
    <s v="(07/01/2026) visita comercial _x000a_(14/01/2026) Visita apresentação com Max _x000a_(29/01/2026) cliente esta ligando para nossos clientes  _x000a_(24/04/2026) Bassel não responde , não esta no momento certo"/>
    <s v="Vic Import, Comercio, Importacao E Exportacao De Brinquedos E Utilidades Em Geral Ltda"/>
    <x v="327"/>
    <n v="50828915000168"/>
    <s v=""/>
    <s v="Vic Import, Comercio, Importacao E Exportacao De Brinquedos E Utilidades Em Geral Ltda"/>
    <s v="(11) 2171-0800"/>
    <s v=""/>
    <s v="legal@vrscontabil.com.br"/>
    <s v=""/>
    <s v=""/>
    <s v=""/>
    <s v="SAO PAULO"/>
    <s v="SP"/>
    <s v="Base de empresas Leads2b"/>
    <s v=""/>
    <s v=""/>
    <s v="50%;Fabio Indica"/>
    <s v="Pipeline de Vendas"/>
    <s v="Em negociação (75%)"/>
    <s v=""/>
    <d v="2026-02-28T00:00:00"/>
    <n v="44000"/>
    <n v="13781"/>
    <n v="134"/>
    <s v="Junior Lopes"/>
    <d v="2025-12-11T00:00:00"/>
    <d v="1899-12-30T10:06:06"/>
    <s v=""/>
    <s v="Perdido"/>
    <d v="2026-04-24T00:00:00"/>
    <d v="1899-12-30T09:24:13"/>
    <s v="Projeto adiado / sem prazo definido"/>
    <s v="(24/04/2026) Bassel não responde , não esta no momento certo"/>
    <s v=""/>
    <x v="155"/>
    <s v="Junior Lopes"/>
    <x v="167"/>
    <s v="14/01/2026"/>
    <d v="2026-04-24T00:00:00"/>
    <n v="50"/>
    <s v=""/>
    <s v=""/>
    <s v=""/>
    <s v=""/>
    <n v="1"/>
  </r>
  <r>
    <x v="1"/>
    <n v="731"/>
    <m/>
    <n v="2980"/>
    <s v=""/>
    <s v=""/>
    <x v="328"/>
    <m/>
    <s v=""/>
    <s v="Vic Import - AFV"/>
    <s v="1121710800"/>
    <s v=""/>
    <s v="legal@vrscontabil.com.br"/>
    <s v=""/>
    <s v=""/>
    <s v=""/>
    <s v=""/>
    <s v=""/>
    <s v=""/>
    <s v=""/>
    <s v=""/>
    <s v="50%"/>
    <s v="Pipeline de Vendas"/>
    <s v="Em negociação (75%)"/>
    <s v=""/>
    <d v="2026-01-31T00:00:00"/>
    <n v="8000"/>
    <n v="19642"/>
    <n v="49"/>
    <s v="Junior Lopes"/>
    <d v="2025-12-11T00:00:00"/>
    <d v="1899-12-30T10:21:27"/>
    <s v=""/>
    <s v="Perdido"/>
    <d v="2026-01-29T00:00:00"/>
    <d v="1899-12-30T15:51:08"/>
    <s v="Não quer mudar a solução atual"/>
    <s v="seguindo com ERP"/>
    <s v=""/>
    <x v="156"/>
    <s v=""/>
    <x v="168"/>
    <s v=""/>
    <d v="2026-01-09T00:00:00"/>
    <m/>
    <s v=""/>
    <s v=""/>
    <s v=""/>
    <s v=""/>
    <n v="1"/>
  </r>
  <r>
    <x v="1"/>
    <n v="732"/>
    <m/>
    <n v="2981"/>
    <s v="(07/01/2026) visita comercial _x000a_(14/01/2026) Visita apresentação com Max _x000a_(29/01/2026) cliente esta ligando para nossos clientes"/>
    <s v=""/>
    <x v="329"/>
    <m/>
    <s v=""/>
    <s v="Vic Import - Cloud"/>
    <s v="1121710800"/>
    <s v=""/>
    <s v="legal@vrscontabil.com.br"/>
    <s v=""/>
    <s v=""/>
    <s v=""/>
    <s v=""/>
    <s v=""/>
    <s v=""/>
    <s v=""/>
    <s v=""/>
    <s v="50%"/>
    <s v="Pipeline de Vendas"/>
    <s v="Em negociação (75%)"/>
    <s v=""/>
    <d v="2026-02-28T00:00:00"/>
    <n v="1600"/>
    <n v="34428"/>
    <n v="134"/>
    <s v="Junior Lopes"/>
    <d v="2025-12-11T00:00:00"/>
    <d v="1899-12-30T10:23:08"/>
    <s v=""/>
    <s v="Perdido"/>
    <d v="2026-04-24T00:00:00"/>
    <d v="1899-12-30T09:35:19"/>
    <s v="Projeto adiado / sem prazo definido"/>
    <s v="(24/04/2026) Bassel não responde , não esta no momento certo"/>
    <s v=""/>
    <x v="155"/>
    <s v="Junior Lopes"/>
    <x v="167"/>
    <s v="14/01/2026"/>
    <d v="2026-04-24T00:00:00"/>
    <n v="50"/>
    <s v=""/>
    <s v=""/>
    <s v=""/>
    <s v=""/>
    <n v="1"/>
  </r>
  <r>
    <x v="1"/>
    <n v="733"/>
    <m/>
    <n v="2982"/>
    <s v=""/>
    <s v="Conthey Presentes E Decoracoes Ltda"/>
    <x v="330"/>
    <n v="96280292000809"/>
    <s v=""/>
    <s v="Conthey Presentes E Decoracoes Ltda"/>
    <s v="(11) 2081-7750"/>
    <s v=""/>
    <s v="sc@conthey.com.br"/>
    <s v=""/>
    <s v=""/>
    <s v=""/>
    <s v="PALHOCA"/>
    <s v="SC"/>
    <s v="Base de empresas Leads2b"/>
    <s v=""/>
    <s v=""/>
    <s v="90%;Fabio Indica"/>
    <s v="Pipeline de Vendas"/>
    <s v="Em Fechamento (100%)"/>
    <s v=""/>
    <d v="2026-02-28T00:00:00"/>
    <n v="580005"/>
    <n v="7230"/>
    <n v="62"/>
    <s v="Junior Lopes"/>
    <d v="2025-12-11T00:00:00"/>
    <d v="1899-12-30T11:21:41"/>
    <s v=""/>
    <s v="Ganho"/>
    <d v="2026-02-11T00:00:00"/>
    <d v="1899-12-30T17:49:12"/>
    <s v=""/>
    <s v=""/>
    <s v=""/>
    <x v="157"/>
    <s v="Junior Lopes"/>
    <x v="169"/>
    <s v=""/>
    <d v="2026-01-16T00:00:00"/>
    <n v="90"/>
    <s v=""/>
    <s v=""/>
    <s v=""/>
    <s v=""/>
    <n v="1"/>
  </r>
  <r>
    <x v="1"/>
    <n v="734"/>
    <m/>
    <n v="2985"/>
    <s v="fechamos ERP , estou descartando essa oportunidade"/>
    <s v=""/>
    <x v="331"/>
    <m/>
    <s v=""/>
    <s v="Conthey - AFV"/>
    <s v="11982163176"/>
    <s v=""/>
    <s v="sc@conthey.com.br"/>
    <s v=""/>
    <s v=""/>
    <s v=""/>
    <s v=""/>
    <s v=""/>
    <s v=""/>
    <s v=""/>
    <s v=""/>
    <s v="50%"/>
    <s v="Pipeline de Vendas"/>
    <s v="Em negociação (75%)"/>
    <s v=""/>
    <d v="2026-01-16T00:00:00"/>
    <n v="0"/>
    <n v="19642"/>
    <n v="47"/>
    <s v="Junior Lopes"/>
    <d v="2025-12-11T00:00:00"/>
    <d v="1899-12-30T11:31:04"/>
    <s v=""/>
    <s v="Perdido"/>
    <d v="2026-01-27T00:00:00"/>
    <d v="1899-12-30T16:32:05"/>
    <s v="Cliente não quer contato LGPD"/>
    <s v="fechamos ERP , estou descartando essa oportunidade"/>
    <s v=""/>
    <x v="157"/>
    <s v=""/>
    <x v="169"/>
    <s v=""/>
    <d v="2026-01-27T00:00:00"/>
    <m/>
    <s v=""/>
    <s v=""/>
    <s v=""/>
    <s v=""/>
    <n v="1"/>
  </r>
  <r>
    <x v="1"/>
    <n v="735"/>
    <m/>
    <n v="2986"/>
    <s v="(24/04/2026) Conthey vai manter o servidor local , em breve caso necessário irá migrar para cloud"/>
    <s v=""/>
    <x v="332"/>
    <m/>
    <s v=""/>
    <s v="Conthey - Cloud"/>
    <s v="11982163176"/>
    <s v=""/>
    <s v="sc@conthey.com.br"/>
    <s v=""/>
    <s v=""/>
    <s v=""/>
    <s v=""/>
    <s v=""/>
    <s v=""/>
    <s v=""/>
    <s v=""/>
    <s v="80%"/>
    <s v="Pipeline de Vendas"/>
    <s v="Em Fechamento (100%)"/>
    <s v=""/>
    <d v="2026-01-16T00:00:00"/>
    <n v="1600"/>
    <n v="524246"/>
    <n v="134"/>
    <s v="Junior Lopes"/>
    <d v="2025-12-11T00:00:00"/>
    <d v="1899-12-30T11:33:08"/>
    <s v=""/>
    <s v="Perdido"/>
    <d v="2026-04-24T00:00:00"/>
    <d v="1899-12-30T09:04:14"/>
    <s v="Não quer mudar a solução atual"/>
    <s v="(24/04/2026) Conthey vai manter o servidor local , em breve caso necessário irá migrar para cloud"/>
    <s v=""/>
    <x v="157"/>
    <s v="Junior Lopes"/>
    <x v="169"/>
    <s v=""/>
    <d v="2026-04-24T00:00:00"/>
    <n v="80"/>
    <s v=""/>
    <s v=""/>
    <s v=""/>
    <s v=""/>
    <n v="1"/>
  </r>
  <r>
    <x v="1"/>
    <n v="736"/>
    <m/>
    <n v="2988"/>
    <s v=""/>
    <s v=""/>
    <x v="333"/>
    <m/>
    <s v=""/>
    <s v="Star - B2B"/>
    <s v="17997793113"/>
    <s v=""/>
    <s v="comercial@distribuidorastar.com.br"/>
    <s v=""/>
    <s v=""/>
    <s v=""/>
    <s v=""/>
    <s v=""/>
    <s v=""/>
    <s v=""/>
    <s v=""/>
    <s v="30%"/>
    <s v="Pipeline de Vendas"/>
    <s v="Em negociação (75%)"/>
    <s v=""/>
    <d v="2025-12-17T00:00:00"/>
    <n v="26200"/>
    <n v="3400"/>
    <n v="50"/>
    <s v="Junior Lopes"/>
    <d v="2025-12-11T00:00:00"/>
    <d v="1899-12-30T15:26:26"/>
    <s v=""/>
    <s v="Perdido"/>
    <d v="2026-01-30T00:00:00"/>
    <d v="1899-12-30T15:36:18"/>
    <s v="Projeto adiado / sem prazo definido"/>
    <s v="sem retorno"/>
    <s v=""/>
    <x v="158"/>
    <s v=""/>
    <x v="170"/>
    <s v="15/12/2025"/>
    <d v="2026-01-09T00:00:00"/>
    <m/>
    <s v=""/>
    <s v=""/>
    <s v=""/>
    <s v=""/>
    <n v="1"/>
  </r>
  <r>
    <x v="1"/>
    <n v="737"/>
    <m/>
    <n v="2989"/>
    <s v=""/>
    <s v=""/>
    <x v="334"/>
    <m/>
    <s v=""/>
    <s v="Tecelagem Castilho - Contábil"/>
    <s v="62993609476"/>
    <s v=""/>
    <s v="null"/>
    <s v=""/>
    <s v=""/>
    <s v=""/>
    <s v=""/>
    <s v=""/>
    <s v=""/>
    <s v=""/>
    <s v=""/>
    <s v="30%"/>
    <s v="Pipeline de Vendas"/>
    <s v="Em negociação (75%)"/>
    <s v=""/>
    <d v="2025-12-17T00:00:00"/>
    <n v="22824"/>
    <n v="68904"/>
    <n v="1"/>
    <s v="Junior Lopes"/>
    <d v="2025-12-11T00:00:00"/>
    <d v="1899-12-30T15:56:07"/>
    <s v=""/>
    <s v="Perdido"/>
    <d v="2025-12-12T00:00:00"/>
    <d v="1899-12-30T16:41:43"/>
    <s v="Projeto adiado / sem prazo definido"/>
    <s v="rto, obrigada_x000a_Dayane ! O módulo contábil faz sentido para vocês  ?_x000a_No momento não_x000a_Olá Dayane ! perfeito , ficamos a disposição ! um ótimo final de semana"/>
    <s v=""/>
    <x v="157"/>
    <s v=""/>
    <x v="171"/>
    <s v=""/>
    <d v="2025-12-12T00:00:00"/>
    <m/>
    <s v=""/>
    <s v=""/>
    <s v=""/>
    <s v=""/>
    <n v="1"/>
  </r>
  <r>
    <x v="1"/>
    <n v="739"/>
    <m/>
    <n v="2991"/>
    <s v=""/>
    <s v=""/>
    <x v="335"/>
    <m/>
    <s v=""/>
    <s v="Erca Alumínio - Imp.XML"/>
    <s v="19999989392"/>
    <s v=""/>
    <s v="null"/>
    <s v=""/>
    <s v=""/>
    <s v=""/>
    <s v=""/>
    <s v=""/>
    <s v=""/>
    <s v=""/>
    <s v=""/>
    <s v="30%"/>
    <s v="Pipeline de Vendas"/>
    <s v="Apresentar Proposta (50%)"/>
    <s v=""/>
    <d v="2025-12-31T00:00:00"/>
    <n v="3392"/>
    <n v="3564"/>
    <n v="76"/>
    <s v="Junior Lopes"/>
    <d v="2025-12-12T00:00:00"/>
    <d v="1899-12-30T12:21:40"/>
    <s v=""/>
    <s v="Perdido"/>
    <d v="2026-02-26T00:00:00"/>
    <d v="1899-12-30T09:21:39"/>
    <s v="Projeto adiado / sem prazo definido"/>
    <s v="sem retorno do cliente"/>
    <s v=""/>
    <x v="159"/>
    <s v="Junior Lopes"/>
    <x v="172"/>
    <s v=""/>
    <d v="2025-12-12T00:00:00"/>
    <n v="30"/>
    <s v=""/>
    <s v=""/>
    <s v=""/>
    <s v=""/>
    <n v="1"/>
  </r>
  <r>
    <x v="0"/>
    <n v="740"/>
    <m/>
    <n v="2994"/>
    <s v="Em conversa com o Valter ficou combinado de falar no dia 19/01, pois ele esta em viagem._x000a_23/01 Fiz contato com o Walter hoje para cobrar ele nossa agenda para a próxima semana._x000a_11/03 Fiz FUP com Valter, ele tem resistência em aceitar a proposta devido aos valores._x000a_20/03 Após tentativas de negociar não evoluiu porque o preço ficou fora do que o cliente gostaria de investir."/>
    <s v=""/>
    <x v="336"/>
    <m/>
    <s v=""/>
    <s v="Valter"/>
    <s v="11996577830"/>
    <s v=""/>
    <s v="vppeliciari@gmail.com"/>
    <s v=""/>
    <s v=""/>
    <s v=""/>
    <s v=""/>
    <s v=""/>
    <s v="Campanha"/>
    <s v=""/>
    <s v=""/>
    <s v="30%;Dentro Perfil;Instagram"/>
    <s v="Pipeline de Vendas"/>
    <s v="Em negociação (75%)"/>
    <s v=""/>
    <d v="2026-03-31T00:00:00"/>
    <n v="115520"/>
    <n v="65721"/>
    <n v="94"/>
    <s v="Paulo Souza"/>
    <d v="2025-12-16T00:00:00"/>
    <d v="1899-12-30T12:13:29"/>
    <s v=""/>
    <s v="Perdido"/>
    <d v="2026-03-20T00:00:00"/>
    <d v="1899-12-30T16:59:02"/>
    <s v="Preço muito alto - fora do budget de investimento"/>
    <s v=""/>
    <s v=""/>
    <x v="160"/>
    <s v="Paulo Souza"/>
    <x v="173"/>
    <s v=""/>
    <d v="2026-03-20T00:00:00"/>
    <n v="30"/>
    <s v=""/>
    <s v="ERP, PCP"/>
    <s v=""/>
    <s v=""/>
    <n v="1"/>
  </r>
  <r>
    <x v="1"/>
    <n v="741"/>
    <m/>
    <n v="2995"/>
    <s v="(16/01/2026) Entrei em contato com Allan ! segundo ele esta verificando com a diretoria sobre a sequencia no projeto ! informei que nossa proposta está vencida e que preciso de uma decisão urgente para nao  perdemos o valor _x000a_16/01/2026 em contato com Allan ! decidiu por nao dar sequencia nesse momento ! o motivo é por conta do investimento"/>
    <s v=""/>
    <x v="337"/>
    <m/>
    <s v=""/>
    <s v="Allan Kaynã Vargas"/>
    <s v="(49) 99929-0242"/>
    <s v=""/>
    <s v="comercial2@topten.net.br"/>
    <s v=""/>
    <s v=""/>
    <s v=""/>
    <s v="Guarujá do Sul"/>
    <s v=""/>
    <s v="Site"/>
    <s v=""/>
    <s v=""/>
    <s v="30%;Solicita demo"/>
    <s v="Pipeline de Vendas"/>
    <s v="Em negociação (75%)"/>
    <s v=""/>
    <d v="2026-01-31T00:00:00"/>
    <n v="44000"/>
    <n v="110248"/>
    <n v="31"/>
    <s v="Junior Lopes"/>
    <d v="2025-12-16T00:00:00"/>
    <d v="1899-12-30T17:29:27"/>
    <s v=""/>
    <s v="Perdido"/>
    <d v="2026-01-16T00:00:00"/>
    <d v="1899-12-30T15:55:46"/>
    <s v="Não houve aprovação financeira"/>
    <s v="16/01/2026 em contato com Allan ! decidiu por nao dar sequencia nesse momento ! o motivo é por conta do investimento"/>
    <s v=""/>
    <x v="161"/>
    <s v=""/>
    <x v="174"/>
    <s v="19/12/2025"/>
    <d v="2026-01-16T00:00:00"/>
    <m/>
    <s v=""/>
    <s v=""/>
    <s v=""/>
    <s v=""/>
    <n v="1"/>
  </r>
  <r>
    <x v="1"/>
    <n v="742"/>
    <m/>
    <n v="2996"/>
    <s v="(16/01/2026) Entrei em contato com Allan ! segundo ele esta verificando com a diretoria sobre a sequencia no projeto ! informei que nossa proposta está vencida e que preciso de uma decisão urgente para nao  perdemos o valor _x000a_16/01/2026 em contato com Allan ! decidiu por nao dar sequencia nesse momento ! o motivo é por conta do investimento"/>
    <s v=""/>
    <x v="338"/>
    <m/>
    <s v=""/>
    <s v="TopTem - AFV"/>
    <s v="49999290242"/>
    <s v=""/>
    <s v="comercial2@topten.net.br"/>
    <s v=""/>
    <s v=""/>
    <s v=""/>
    <s v=""/>
    <s v=""/>
    <s v=""/>
    <s v=""/>
    <s v=""/>
    <s v="30%"/>
    <s v="Pipeline de Vendas"/>
    <s v="Em negociação (75%)"/>
    <s v=""/>
    <d v="2026-01-31T00:00:00"/>
    <n v="8000"/>
    <n v="186599"/>
    <n v="31"/>
    <s v="Junior Lopes"/>
    <d v="2025-12-16T00:00:00"/>
    <d v="1899-12-30T17:31:43"/>
    <s v=""/>
    <s v="Perdido"/>
    <d v="2026-01-16T00:00:00"/>
    <d v="1899-12-30T15:56:44"/>
    <s v="Não houve aprovação financeira"/>
    <s v="16/01/2026 em contato com Allan ! decidiu por nao dar sequencia nesse momento ! o motivo é por conta do investimento"/>
    <s v=""/>
    <x v="161"/>
    <s v=""/>
    <x v="174"/>
    <s v="19/12/2025"/>
    <d v="2026-01-16T00:00:00"/>
    <m/>
    <s v=""/>
    <s v=""/>
    <s v=""/>
    <s v=""/>
    <n v="1"/>
  </r>
  <r>
    <x v="1"/>
    <n v="746"/>
    <m/>
    <n v="3004"/>
    <s v=""/>
    <s v=""/>
    <x v="339"/>
    <m/>
    <s v=""/>
    <s v="Atacado Sibras 1.99"/>
    <s v="4191190775"/>
    <s v=""/>
    <s v="andrearnpauli@hotmail.com"/>
    <s v=""/>
    <s v=""/>
    <s v=""/>
    <s v=""/>
    <s v=""/>
    <s v="Campanha"/>
    <s v=""/>
    <s v=""/>
    <s v="Fora Perfil;Instagram"/>
    <s v="Pipeline de Vendas"/>
    <s v="Agendamento (0%)"/>
    <s v=""/>
    <m/>
    <m/>
    <m/>
    <n v="135"/>
    <s v="Junior Lopes"/>
    <d v="2025-12-22T00:00:00"/>
    <d v="1899-12-30T08:30:48"/>
    <s v=""/>
    <s v="Perdido"/>
    <d v="2026-05-06T00:00:00"/>
    <d v="1899-12-30T16:31:41"/>
    <s v="Fora do porte mínimo (sem fit estrutural)"/>
    <s v="lojista"/>
    <s v=""/>
    <x v="0"/>
    <s v=""/>
    <x v="0"/>
    <s v=""/>
    <m/>
    <m/>
    <s v=""/>
    <s v=""/>
    <s v=""/>
    <s v=""/>
    <n v="1"/>
  </r>
  <r>
    <x v="1"/>
    <n v="747"/>
    <m/>
    <n v="3003"/>
    <s v=""/>
    <s v=""/>
    <x v="340"/>
    <m/>
    <s v=""/>
    <s v="BJ Engenharia"/>
    <s v="6195770926"/>
    <s v=""/>
    <s v="eduaniceto@engenhariabomjesus.com.br"/>
    <s v=""/>
    <s v=""/>
    <s v=""/>
    <s v=""/>
    <s v=""/>
    <s v="Campanha"/>
    <s v=""/>
    <s v=""/>
    <s v="Fora Perfil;Instagram"/>
    <s v="Pipeline de Vendas"/>
    <s v="Agendamento (0%)"/>
    <s v=""/>
    <m/>
    <m/>
    <m/>
    <n v="138"/>
    <s v="Junior Lopes"/>
    <d v="2025-12-22T00:00:00"/>
    <d v="1899-12-30T08:35:32"/>
    <s v=""/>
    <s v="Perdido"/>
    <d v="2026-05-09T00:00:00"/>
    <d v="1899-12-30T08:04:32"/>
    <s v="Fora do segmento atendido"/>
    <s v=""/>
    <s v=""/>
    <x v="0"/>
    <s v=""/>
    <x v="0"/>
    <s v=""/>
    <m/>
    <m/>
    <s v=""/>
    <s v=""/>
    <s v=""/>
    <s v=""/>
    <n v="1"/>
  </r>
  <r>
    <x v="1"/>
    <n v="748"/>
    <m/>
    <n v="3011"/>
    <s v="Lead entrou em contato no Whatsapp Business do Damián._x000a_(21/01/2026) 09:14, 21/01/2026 Junior Lopes: Olá Dário ! Bom dia , Td bem ?_x000a_09:30, 21/01/2026 Chavetas: Bom dia Júnior, td bem ? Estou a analisar as diversas empresas que tive contato, os prós e contras, porém com calma, para fazer algo que realmente atenda a necessidades._x000a_(21/01/2026) além do material que enviei para Dário , sugeri a ele uma visita comercial para apresentar nossas soluções _x000a_(29/01/2026) Estou alinhando com Dário mais uma rodada de apresentação ! ele esta indeciso em algumas opções concorrentes _x000a_(02/03/2026) em contato com Dário _x000a_Esta em analise com alguns ERPs, porem nada com previsão imediata devido a outras prioridades ! estou descartando e manterei contato via WhatsApp"/>
    <s v=""/>
    <x v="341"/>
    <n v="9260618000165"/>
    <s v=""/>
    <s v="Chavetas Comércio de Peças e Ferramentas Ltda."/>
    <s v="(11) 98183-5003"/>
    <s v=""/>
    <s v="dario@chavetasecia.com.br"/>
    <s v=""/>
    <s v=""/>
    <s v=""/>
    <s v=""/>
    <s v=""/>
    <s v="Campanha"/>
    <s v=""/>
    <s v=""/>
    <s v="30%;Dentro Perfil;Instagram"/>
    <s v="Pipeline de Vendas"/>
    <s v="Apresentar Solução (35%)"/>
    <s v=""/>
    <d v="2026-01-31T00:00:00"/>
    <m/>
    <m/>
    <n v="62"/>
    <s v="Junior Lopes"/>
    <d v="2025-12-30T00:00:00"/>
    <d v="1899-12-30T11:08:44"/>
    <s v=""/>
    <s v="Perdido"/>
    <d v="2026-03-02T00:00:00"/>
    <d v="1899-12-30T11:31:09"/>
    <s v="Não quer mudar a solução atual"/>
    <s v="(02/03/2026) em contato com Dário _x000a_Esta em analise com alguns ERPs, porem nada com previsão imediata devido a outras prioridades ! estou descartando e manterei contato via WhatsApp"/>
    <s v=""/>
    <x v="0"/>
    <s v="Junior Lopes"/>
    <x v="167"/>
    <s v=""/>
    <d v="2026-03-02T00:00:00"/>
    <n v="30"/>
    <s v=""/>
    <s v=""/>
    <s v=""/>
    <s v=""/>
    <n v="1"/>
  </r>
  <r>
    <x v="1"/>
    <n v="749"/>
    <m/>
    <n v="3006"/>
    <s v="(21/01/2026) em contato com Edilson _x000a_pediu para retornar contato no dia 26/01 pois esta bem corrido devido a um feriado na cidade ! ele pediu para enviar material sobre nossas soluções _x000a_(29/01/2026) Cliente esta analisando demais ferramentas ! estamos organizando apresentação do AFV _x000a_(18/02/2026) Edilson declinou por conta do valor acima da expectativa de investimento ! não ofertou contra proposta pq valor estava bem acima do esperado"/>
    <s v=""/>
    <x v="342"/>
    <n v="34667612000154"/>
    <s v=""/>
    <s v="ColorUnhas"/>
    <s v="(44) 9706-9580"/>
    <s v=""/>
    <s v="colorunhas@uol.com.br"/>
    <s v=""/>
    <s v=""/>
    <s v=""/>
    <s v="TELEMACO BORBA"/>
    <s v="PR"/>
    <s v="Campanha"/>
    <s v=""/>
    <s v=""/>
    <s v="30%;Dentro Perfil;Instagram"/>
    <s v="Pipeline de Vendas"/>
    <s v="Apresentar Proposta (50%)"/>
    <s v=""/>
    <d v="2026-02-28T00:00:00"/>
    <n v="1117015"/>
    <n v="468739"/>
    <n v="50"/>
    <s v="Junior Lopes"/>
    <d v="2025-12-30T00:00:00"/>
    <d v="1899-12-30T11:28:58"/>
    <s v=""/>
    <s v="Perdido"/>
    <d v="2026-02-18T00:00:00"/>
    <d v="1899-12-30T08:52:33"/>
    <s v="Não houve aprovação financeira"/>
    <s v="(18/02/2026) Edilson declinou por conta do valor acima da expectativa de investimento ! não ofertou contra proposta pq valor estava bem acima do esperado"/>
    <s v=""/>
    <x v="162"/>
    <s v="Junior Lopes"/>
    <x v="175"/>
    <s v="05/02/2026"/>
    <d v="2026-02-18T00:00:00"/>
    <n v="30"/>
    <s v=""/>
    <s v=""/>
    <s v=""/>
    <s v=""/>
    <n v="1"/>
  </r>
  <r>
    <x v="2"/>
    <n v="750"/>
    <m/>
    <n v="3016"/>
    <s v="Reunião agendada para o dia 23/01 _x000a_17-02 Cliente deu negativa no avanço do projeto,pois o valor ficou fora do que estão planejando _x000a_E receberam uma proposta comercial de 30mil de implantação e 4mil de mensalidade do sistema webmais_x000a_https://webmaissistemas.com.br/"/>
    <s v=""/>
    <x v="343"/>
    <n v="1574467000108"/>
    <s v=""/>
    <s v="Doce festa"/>
    <s v="17981152060"/>
    <s v=""/>
    <s v="paulopedroso@produtosdocefesta.com.br"/>
    <s v=""/>
    <s v=""/>
    <s v=""/>
    <s v=""/>
    <s v=""/>
    <s v="Campanha"/>
    <s v=""/>
    <s v=""/>
    <s v="50%;Dentro Perfil;Instagram"/>
    <s v="Pipeline de Vendas"/>
    <s v="Em negociação (75%)"/>
    <s v=""/>
    <d v="2026-03-31T00:00:00"/>
    <n v="12996348"/>
    <n v="860884"/>
    <n v="43"/>
    <s v="Rayssa Karapeticov"/>
    <d v="2026-01-05T00:00:00"/>
    <d v="1899-12-30T11:50:01"/>
    <s v=""/>
    <s v="Perdido"/>
    <d v="2026-02-17T00:00:00"/>
    <d v="1899-12-30T16:19:52"/>
    <s v="Preço muito alto - fora do budget de investimento"/>
    <s v=""/>
    <s v=""/>
    <x v="0"/>
    <s v="Rayssa Karapeticov"/>
    <x v="167"/>
    <s v="05/02/2026"/>
    <d v="2026-02-05T00:00:00"/>
    <n v="50"/>
    <s v=""/>
    <s v=""/>
    <s v=""/>
    <s v=""/>
    <n v="1"/>
  </r>
  <r>
    <x v="2"/>
    <n v="754"/>
    <m/>
    <n v="3017"/>
    <s v="Proposta feita,aguardando agenda do cliente para apresentar_x000a_Oi, Rayssa, tudo bem?_x000a_Estamos em processo de mudança de local e, por isso, essa semana está bem corrida por aqui. Acabei ficando sem tempo para conseguir conversar com calma agora."/>
    <s v="Irriga House Irrigacao Comercial Agricola Ltda"/>
    <x v="344"/>
    <n v="61516270000144"/>
    <s v=""/>
    <s v="Irriga house"/>
    <s v="11973112176"/>
    <s v=""/>
    <s v="vendas@irrigahouse.com.br"/>
    <s v=""/>
    <s v=""/>
    <s v=""/>
    <s v="JUNDIAI"/>
    <s v="SP"/>
    <s v="Campanha"/>
    <s v=""/>
    <s v=""/>
    <s v="30%;Dentro Perfil;Instagram"/>
    <s v="Pipeline de Vendas"/>
    <s v="Apresentar Proposta (50%)"/>
    <s v=""/>
    <d v="2026-04-30T00:00:00"/>
    <m/>
    <m/>
    <n v="13"/>
    <s v="Rayssa Karapeticov"/>
    <d v="2026-01-07T00:00:00"/>
    <d v="1899-12-30T10:16:04"/>
    <s v=""/>
    <s v="Perdido"/>
    <d v="2026-01-20T00:00:00"/>
    <d v="1899-12-30T17:15:42"/>
    <s v="Não quer mudar a solução atual"/>
    <s v=""/>
    <s v=""/>
    <x v="163"/>
    <s v="Rayssa Karapeticov"/>
    <x v="176"/>
    <s v=""/>
    <d v="2026-01-19T00:00:00"/>
    <m/>
    <s v=""/>
    <s v=""/>
    <s v=""/>
    <s v=""/>
    <n v="1"/>
  </r>
  <r>
    <x v="0"/>
    <n v="757"/>
    <m/>
    <n v="3046"/>
    <s v="Hoje (12/01/26) cobrei o Allan se ele tem interesse nas soluções da Guarani Sim ou Não. Por ele não atende minhas ligações. (13/01 - Chamei e liguei para o Allan, sem retorno._x000a_12/01 Fiz FUP, com Allan, fechou com uma empresa de menor e falou que se não se adaptar volta a fazer contato."/>
    <s v=""/>
    <x v="345"/>
    <m/>
    <s v=""/>
    <s v="Allan"/>
    <s v="12982018157"/>
    <s v=""/>
    <s v="e.mazala@hotmail.com"/>
    <s v=""/>
    <s v=""/>
    <s v=""/>
    <s v=""/>
    <s v=""/>
    <s v="Campanha"/>
    <s v=""/>
    <s v=""/>
    <s v="30%;Dentro Perfil;Instagram"/>
    <s v="Pipeline de Vendas"/>
    <s v="Qualificação de Vendas (SQL) (25%)"/>
    <s v=""/>
    <d v="2026-01-12T00:00:00"/>
    <m/>
    <m/>
    <n v="15"/>
    <s v="Paulo Souza"/>
    <d v="2026-01-08T00:00:00"/>
    <d v="1899-12-30T15:56:57"/>
    <s v=""/>
    <s v="Perdido"/>
    <d v="2026-01-23T00:00:00"/>
    <d v="1899-12-30T17:53:36"/>
    <s v="Fechou com o concorrente - preço"/>
    <s v="optou por uma empresa menor neste momento."/>
    <s v=""/>
    <x v="0"/>
    <s v="Paulo Souza"/>
    <x v="0"/>
    <s v=""/>
    <d v="2026-01-12T00:00:00"/>
    <m/>
    <s v=""/>
    <s v=""/>
    <s v=""/>
    <s v=""/>
    <n v="1"/>
  </r>
  <r>
    <x v="0"/>
    <n v="758"/>
    <m/>
    <n v="3048"/>
    <s v="Liberado em degustação por 7 dias e depois efetivar vendas ._x000a_Liberado a degustação em 12/01._x000a_19/01: Cobrei o Mario pra saber se esta tudo ok. E se iremos seguir ou não com a contratação._x000a_23/01 - Em conversa com o Mario, o suporte ainda esta configurando e após vai treinar e assim vou conseguir contabilizar os 7 dias de degustação e fechar o negocio._x000a_26/02 Não avançou."/>
    <s v=""/>
    <x v="346"/>
    <m/>
    <s v=""/>
    <s v="Mario"/>
    <s v="11982243773"/>
    <s v=""/>
    <s v="vendas1.jpdistribuidora@gmail.com"/>
    <s v=""/>
    <s v=""/>
    <s v=""/>
    <s v=""/>
    <s v=""/>
    <s v=""/>
    <s v=""/>
    <s v=""/>
    <s v="50%"/>
    <s v="Pipeline de Vendas"/>
    <s v="Em negociação (75%)"/>
    <s v=""/>
    <d v="2026-02-26T00:00:00"/>
    <n v="0"/>
    <n v="66"/>
    <n v="49"/>
    <s v="Paulo Souza"/>
    <d v="2026-01-08T00:00:00"/>
    <d v="1899-12-30T16:54:28"/>
    <s v=""/>
    <s v="Perdido"/>
    <d v="2026-02-26T00:00:00"/>
    <d v="1899-12-30T22:15:54"/>
    <s v="Não houve aprovação financeira"/>
    <s v=""/>
    <s v=""/>
    <x v="164"/>
    <s v="Paulo Souza"/>
    <x v="177"/>
    <s v=""/>
    <d v="2026-02-26T00:00:00"/>
    <n v="50"/>
    <s v="2"/>
    <s v="ADICIONAIS"/>
    <s v="R$ 0"/>
    <s v="R$ 66"/>
    <n v="1"/>
  </r>
  <r>
    <x v="0"/>
    <n v="759"/>
    <m/>
    <n v="3049"/>
    <s v="Fechado."/>
    <s v=""/>
    <x v="347"/>
    <n v="10345472000130"/>
    <s v=""/>
    <s v="Walter"/>
    <s v="19983040748"/>
    <s v=""/>
    <s v="walter@akitembembarato.com"/>
    <s v=""/>
    <s v=""/>
    <s v=""/>
    <s v=""/>
    <s v=""/>
    <s v=""/>
    <s v=""/>
    <s v=""/>
    <s v="90%"/>
    <s v="Pipeline de Vendas"/>
    <s v="Em Fechamento (100%)"/>
    <s v=""/>
    <d v="2026-01-31T00:00:00"/>
    <n v="1505387"/>
    <n v="27562"/>
    <n v="4"/>
    <s v="Paulo Souza"/>
    <d v="2026-01-08T00:00:00"/>
    <d v="1899-12-30T17:14:43"/>
    <s v=""/>
    <s v="Ganho"/>
    <d v="2026-01-12T00:00:00"/>
    <d v="1899-12-30T14:36:45"/>
    <s v=""/>
    <s v=""/>
    <s v=""/>
    <x v="164"/>
    <s v="Paulo Souza"/>
    <x v="177"/>
    <s v=""/>
    <m/>
    <m/>
    <s v=""/>
    <s v=""/>
    <s v=""/>
    <s v=""/>
    <n v="1"/>
  </r>
  <r>
    <x v="0"/>
    <n v="760"/>
    <m/>
    <n v="3050"/>
    <s v="Falei com o Robson hoje , questionando sobre a proposta e se tem alguma dúvida._x000a_23/01 - Fiz FUPs hoje com o Robson :_x000a_R: Bom dia Paulo, fiz umas considerações na proposta e farei uma reunia com os diretores para apresentação, na sequência quero marcar uma reunião com vocês para conversarmos._x000a_Eu espero te posicionar na próxima terça-feira._x000a_26/02 Alinhar com o Fernando a sequência dos itens que será abordados. E qual item já foi entregue e horas consumidas!_x000a_12/03 O projeto já iniciou e o combinado é que vai cobrar conforme entrega de etapas._x000a_12/03 O projeto já iniciou e o combinado é que vai cobrar conforme entrega de etapas._x000a_20/03 Após alinhamento foi criado pela implantação 10 etapas no projeto, para o acompanhamento e posterior fechamento de horas."/>
    <s v=""/>
    <x v="348"/>
    <n v="3204281000192"/>
    <s v=""/>
    <s v="Robson"/>
    <s v="(11) 4677-6249/ (11) 4677-6250"/>
    <s v=""/>
    <s v="contato@aluminionacional.com.br"/>
    <s v=""/>
    <s v=""/>
    <s v=""/>
    <s v="FERRAZ DE VASCONCELOS"/>
    <s v="SP"/>
    <s v=""/>
    <s v=""/>
    <s v=""/>
    <s v="90%"/>
    <s v="Pipeline de Vendas"/>
    <s v="Em Fechamento (100%)"/>
    <s v=""/>
    <d v="2026-03-31T00:00:00"/>
    <n v="58000"/>
    <n v="0"/>
    <n v="132"/>
    <s v="Paulo Souza"/>
    <d v="2026-01-08T00:00:00"/>
    <d v="1899-12-30T17:22:05"/>
    <s v=""/>
    <s v="Ativo"/>
    <m/>
    <m/>
    <s v=""/>
    <s v=""/>
    <s v=""/>
    <x v="165"/>
    <s v="Paulo Souza"/>
    <x v="178"/>
    <s v=""/>
    <d v="2026-03-20T00:00:00"/>
    <n v="90"/>
    <s v="290"/>
    <s v="TREINAMENTO"/>
    <s v="R$ 58.000,00"/>
    <s v="R$ 0"/>
    <n v="1"/>
  </r>
  <r>
    <x v="0"/>
    <n v="761"/>
    <m/>
    <n v="3053"/>
    <s v="Falei com a Enila e cobrei uma posição se vamos avançar ou não com o projeto. Ela ficou de conversar com o Glayson e me dar um retorno até 12/01/2026."/>
    <s v=""/>
    <x v="349"/>
    <n v="12585697000199"/>
    <s v=""/>
    <s v="Enila"/>
    <s v="(16) 3412-8794"/>
    <s v=""/>
    <s v="operacao@pcp.eng.br"/>
    <s v=""/>
    <s v=""/>
    <s v=""/>
    <s v="SAO CARLOS"/>
    <s v="SP"/>
    <s v=""/>
    <s v=""/>
    <s v=""/>
    <s v=""/>
    <s v="Pipeline de Vendas"/>
    <s v="Em negociação (75%)"/>
    <s v=""/>
    <d v="2026-01-31T00:00:00"/>
    <n v="8100"/>
    <n v="1080"/>
    <n v="4"/>
    <s v="Paulo Souza"/>
    <d v="2026-01-08T00:00:00"/>
    <d v="1899-12-30T17:28:40"/>
    <s v=""/>
    <s v="Perdido"/>
    <d v="2026-01-12T00:00:00"/>
    <d v="1899-12-30T14:31:42"/>
    <s v="Não quer mudar a solução atual"/>
    <s v=""/>
    <s v=""/>
    <x v="164"/>
    <s v="Paulo Souza"/>
    <x v="177"/>
    <s v=""/>
    <d v="2026-01-09T00:00:00"/>
    <m/>
    <s v=""/>
    <s v=""/>
    <s v=""/>
    <s v=""/>
    <n v="1"/>
  </r>
  <r>
    <x v="0"/>
    <n v="762"/>
    <m/>
    <n v="3040"/>
    <s v="Falei com o Ivan hoje que não me deu atenção avisou que estava no transito e não podia atender. Falou para chamar ele no zap e combinar um horário semana que vem. 13/01 - Retomei contato com o IVan e não obtive retorno._x000a_23/01 declinei a proposta por falta de interesse por parte do cliente, não me atendeu e nem respondeu meus contatos."/>
    <s v=""/>
    <x v="350"/>
    <m/>
    <s v=""/>
    <s v="Ivan"/>
    <s v="11930305063"/>
    <s v=""/>
    <s v="liraivan2000@yahoo.com.br"/>
    <s v=""/>
    <s v=""/>
    <s v=""/>
    <s v=""/>
    <s v=""/>
    <s v="Campanha"/>
    <s v=""/>
    <s v=""/>
    <s v="30%;Fora Perfil;Instagram"/>
    <s v="Pipeline de Vendas"/>
    <s v="Qualificação de Vendas (SQL) (25%)"/>
    <s v=""/>
    <d v="2026-01-23T00:00:00"/>
    <m/>
    <m/>
    <n v="15"/>
    <s v="Paulo Souza"/>
    <d v="2026-01-08T00:00:00"/>
    <d v="1899-12-30T17:34:33"/>
    <s v=""/>
    <s v="Perdido"/>
    <d v="2026-01-23T00:00:00"/>
    <d v="1899-12-30T17:56:12"/>
    <s v="Fora do porte mínimo (sem fit estrutural)"/>
    <s v=""/>
    <s v=""/>
    <x v="0"/>
    <s v="Paulo Souza"/>
    <x v="0"/>
    <s v=""/>
    <d v="2026-01-23T00:00:00"/>
    <m/>
    <s v=""/>
    <s v=""/>
    <s v=""/>
    <s v=""/>
    <n v="1"/>
  </r>
  <r>
    <x v="1"/>
    <n v="763"/>
    <m/>
    <n v="3058"/>
    <s v="(12/01/2026) Em contato com Bruno realizamos uma apresentação do força de vendas em 12/01/2026 e falamos um pouco sobre nosso ERP ! logo pediu uma ideia de investimento para seguir _x000a_(29/01/2026) Após envio de proposta cliente não respondeu mais"/>
    <s v=""/>
    <x v="351"/>
    <n v="55042933000133"/>
    <s v=""/>
    <s v="Folha Dourada Tabacos Ltda"/>
    <s v="(32) 8408-3586"/>
    <s v=""/>
    <s v="atacabaco@gmail.com"/>
    <s v=""/>
    <s v=""/>
    <s v=""/>
    <s v="JUIZ DE FORA"/>
    <s v="MG"/>
    <s v="Campanha"/>
    <s v=""/>
    <s v=""/>
    <s v="30%;Dentro Perfil;Instagram"/>
    <s v="Pipeline de Vendas"/>
    <s v="Apresentar Solução (35%)"/>
    <s v=""/>
    <d v="2026-01-31T00:00:00"/>
    <n v="61904"/>
    <n v="13156"/>
    <n v="20"/>
    <s v="Junior Lopes"/>
    <d v="2026-01-09T00:00:00"/>
    <d v="1899-12-30T11:15:37"/>
    <s v=""/>
    <s v="Perdido"/>
    <d v="2026-01-29T00:00:00"/>
    <d v="1899-12-30T14:30:59"/>
    <s v="Projeto adiado / sem prazo definido"/>
    <s v="(29/01/2026) Após envio de proposta cliente não respondeu mais"/>
    <s v=""/>
    <x v="166"/>
    <s v=""/>
    <x v="179"/>
    <s v=""/>
    <d v="2026-01-29T00:00:00"/>
    <m/>
    <s v=""/>
    <s v=""/>
    <s v=""/>
    <s v=""/>
    <n v="1"/>
  </r>
  <r>
    <x v="2"/>
    <n v="764"/>
    <m/>
    <n v="3007"/>
    <s v="Realizamos a apresentação do ERP junto com o  Max seguindo o documento deles de chekilist d aderencia do software, tiraram duvidas dos processos e seguiemos para uma segunda apresentação do AFV e Do BI_x000a_26/01 Video do AFV encaminhado ao cliente, _x000a_Precisamos de mais uma agenda para demonstração das demais soluções_x000a_26.01 - aguardando Fernando passar horas do projeto_x000a_05.02 estou tentando falar com o cliente a algum tempo,fizemos uma reunião para discutir pontos sobre o ERP. E após isso cliente pediu uma proposta comercial, porém para seguir eu precisava levantar alguns dados que não me foram enviados e depois de várias tentativas cliente não me respondeu_x000a_Após nossa reunião sobre o ERP, preparei os pontos necessários para avançarmos com a proposta comercial. No entanto, não recebi os dados solicitados para dar continuidade e, sem eles, não conseguimos evoluir._x000a_Gostaria de reforçar que esta solução representa uma oportunidade única de crescimento e ganho de eficiência para sua empresa. Cada semana de Como não tive nenhum retorno, entendo que não há interesse em seguir neste momento e encerrarei o processo. Ainda assim, permanecerei à disposição para retomar quando considerar oportuno._x000a_Atenciosamente,"/>
    <s v=""/>
    <x v="352"/>
    <n v="51776465000170"/>
    <s v=""/>
    <s v="CLS Química"/>
    <s v="16996298460"/>
    <s v=""/>
    <s v="keila.graciele@clsquimica.com.br"/>
    <s v=""/>
    <s v=""/>
    <s v=""/>
    <s v=""/>
    <s v=""/>
    <s v="Campanha"/>
    <s v=""/>
    <s v=""/>
    <s v="30%;Dentro Perfil;Instagram"/>
    <s v="Pipeline de Vendas"/>
    <s v="Apresentar Proposta (50%)"/>
    <s v=""/>
    <d v="2026-03-31T00:00:00"/>
    <m/>
    <m/>
    <n v="120"/>
    <s v="Rayssa Karapeticov"/>
    <d v="2026-01-09T00:00:00"/>
    <d v="1899-12-30T11:44:25"/>
    <s v=""/>
    <s v="Perdido"/>
    <d v="2026-05-09T00:00:00"/>
    <d v="1899-12-30T08:32:37"/>
    <s v="Não quer mudar a solução atual"/>
    <s v=""/>
    <s v=""/>
    <x v="0"/>
    <s v="Rayssa Karapeticov"/>
    <x v="180"/>
    <s v=""/>
    <d v="2026-01-28T00:00:00"/>
    <m/>
    <s v=""/>
    <s v=""/>
    <s v=""/>
    <s v=""/>
    <n v="1"/>
  </r>
  <r>
    <x v="0"/>
    <n v="766"/>
    <m/>
    <n v="3063"/>
    <s v="Tiago, retorna apena no dia 15/01, data que retomo o contato com ele._x000a_23/01 - Fechamos negocio."/>
    <s v=""/>
    <x v="353"/>
    <m/>
    <s v=""/>
    <s v="Tiago"/>
    <s v="11971597112"/>
    <s v=""/>
    <s v="null"/>
    <s v=""/>
    <s v=""/>
    <s v=""/>
    <s v=""/>
    <s v=""/>
    <s v=""/>
    <s v=""/>
    <s v=""/>
    <s v="90%;Fabio Indica"/>
    <s v="Pipeline de Vendas"/>
    <s v="Em Fechamento (100%)"/>
    <s v=""/>
    <d v="2026-01-15T00:00:00"/>
    <n v="56100"/>
    <n v="67334"/>
    <n v="14"/>
    <s v="Paulo Souza"/>
    <d v="2026-01-09T00:00:00"/>
    <d v="1899-12-30T15:28:21"/>
    <s v=""/>
    <s v="Ganho"/>
    <d v="2026-01-23T00:00:00"/>
    <d v="1899-12-30T11:05:59"/>
    <s v=""/>
    <s v=""/>
    <s v=""/>
    <x v="164"/>
    <s v="Paulo Souza"/>
    <x v="181"/>
    <s v=""/>
    <d v="2026-01-15T00:00:00"/>
    <m/>
    <s v=""/>
    <s v=""/>
    <s v=""/>
    <s v=""/>
    <n v="1"/>
  </r>
  <r>
    <x v="0"/>
    <n v="767"/>
    <m/>
    <n v="3064"/>
    <s v="Cobrei o André hoje aguardando o retorno sobre a evolução do projeto._x000a_19/01 Fiz FUP com o Andre ele me posicionou que o presidente esta afastado por motivos de saúde e que como ele que decide, só na volta dele para avança. A previsão e que ele retorne na semana do dia 26/1._x000a_07/02 Fiz fup hoje com o André e aguardo a posição dele se a diretoria retornou e se vamos seguir ou não com o projeto._x000a_27/02 Por falta de retorno por parte do cliente, estou declinando a proposta."/>
    <s v=""/>
    <x v="354"/>
    <m/>
    <s v=""/>
    <s v="Andre"/>
    <s v="11982745856"/>
    <s v=""/>
    <s v="andrefelipone@olealimentos.com.br"/>
    <s v=""/>
    <s v=""/>
    <s v=""/>
    <s v=""/>
    <s v=""/>
    <s v=""/>
    <s v=""/>
    <s v=""/>
    <s v="30%;Fabio Indica"/>
    <s v="Pipeline de Vendas"/>
    <s v="Em negociação (75%)"/>
    <s v=""/>
    <d v="2026-01-31T00:00:00"/>
    <n v="16000"/>
    <n v="18330"/>
    <n v="49"/>
    <s v="Paulo Souza"/>
    <d v="2026-01-09T00:00:00"/>
    <d v="1899-12-30T15:38:45"/>
    <s v=""/>
    <s v="Perdido"/>
    <d v="2026-02-27T00:00:00"/>
    <d v="1899-12-30T21:22:05"/>
    <s v="Preço muito alto - fora do budget de investimento"/>
    <s v=""/>
    <s v=""/>
    <x v="167"/>
    <s v="Paulo Souza"/>
    <x v="178"/>
    <s v=""/>
    <d v="2026-01-19T00:00:00"/>
    <n v="30"/>
    <s v="80"/>
    <s v="AFV"/>
    <s v="R$ 16.000"/>
    <s v="R$ 18.330"/>
    <n v="1"/>
  </r>
  <r>
    <x v="2"/>
    <n v="768"/>
    <m/>
    <n v="2107"/>
    <s v="11:25, 1/13/2026 +55 47 8834-5510: Bom dia Rayssa. Tudo bem?_x000a_11:25, 1/13/2026 +55 47 8834-5510: Aguarde um pouco antes de continuar a RFP._x000a_11:25, 1/13/2026 Rayssa Karapeticov - Comercial - Guarani Sistemas: Tudo otimo e  você?_x000a_Blzinha_x000a_11:28, 1/13/2026 +55 47 8834-5510: Existem alguns itens que observei e conversei com as áreas envolvidas, e que são difícil de negociar, comparado com outros fabricantes que já estão também participando._x000a_11:29, 1/13/2026 +55 47 8834-5510: Vamos deixar nesse momento suspenso o processo de RFP com vcs, e caso ocorra alguma mudança muito grande com aqueles que estão participando, eu aviso a necessidade de retomar ok?_x000a_11:29, 1/13/2026 +55 47 8834-5510: Agradeço demais seu tempo até aqui, e é realmente para evitar um trabalho maior agora, que tz não seja possível avançar depois._x000a_11:30, 1/13/2026 +55 47 8834-5510: 🙏🏻🙏🏻🙏🏻🙏🏻_x000a_11:30, 1/13/2026 Rayssa Karapeticov - Comercial - Guarani Sistemas: Entendo perfeitamente, para resgistro de feedback, quais são esses pontos?_x000a_11:32, 1/13/2026 +55 47 8834-5510: Em especial itens de tecnologia, e alguns pontos das áreas de negócio já preenchidas. _x000a_Fiz um bate papo com a equipe para olharmos oq já foi preenchido, e relacionamos com os demais fabricantes que estão participando._x000a_11:33, 1/13/2026 Rayssa Karapeticov - Comercial - Guarani Sistemas: Certo, fico a disposição aqui caso queira continuar. _x000a_Qualquer duvida também pode me chamar_x000a_11:33, 1/13/2026 +55 47 8834-5510: Como o objetivo é seguir a prox fase com no máx 3 fabricantes, outros fabricantes já se enquadraram melhor no que estamos buscando._x000a_11:33, 1/13/2026 +55 47 8834-5510: Mas se algo mudar durante o processo, eu aviso. Muito obrigadoooo!!!_x000a_11:34, 1/13/2026 Rayssa Karapeticov - Comercial - Guarani Sistemas: Combinado"/>
    <s v="Maral Industria E Comercio De Brinquedos Ltda"/>
    <x v="355"/>
    <n v="10469551000152"/>
    <s v=""/>
    <s v="Carlos Alberto Kuehl"/>
    <s v="(47) 3387-5400/ (47) 3394-0982"/>
    <s v=""/>
    <s v="contato@maral.ind.br"/>
    <s v=""/>
    <s v=""/>
    <s v=""/>
    <s v="POMERODE"/>
    <s v="SC"/>
    <s v="Base de empresas Leads2b"/>
    <s v=""/>
    <s v=""/>
    <s v="30%;Dentro Perfil;Feiras"/>
    <s v="Pipeline de Vendas"/>
    <s v="Qualificação de Vendas (SQL) (25%)"/>
    <s v=""/>
    <d v="2026-04-30T00:00:00"/>
    <m/>
    <m/>
    <n v="11"/>
    <s v="Rayssa Karapeticov"/>
    <d v="2026-01-09T00:00:00"/>
    <d v="1899-12-30T16:53:32"/>
    <s v=""/>
    <s v="Perdido"/>
    <d v="2026-01-20T00:00:00"/>
    <d v="1899-12-30T17:10:21"/>
    <s v="Fechou com o concorrente - preço"/>
    <s v=""/>
    <s v=""/>
    <x v="0"/>
    <s v=""/>
    <x v="0"/>
    <s v=""/>
    <d v="2026-01-13T00:00:00"/>
    <m/>
    <s v=""/>
    <s v=""/>
    <s v=""/>
    <s v=""/>
    <n v="1"/>
  </r>
  <r>
    <x v="0"/>
    <n v="769"/>
    <m/>
    <n v="2997"/>
    <s v="Falei com o Kleber hoje novamente e estou aguardando ele me dar um retorno sobre agenda. 13/01 - Fiz contato com o Kleber para saber se tem interesse ou não em seguir,"/>
    <s v=""/>
    <x v="356"/>
    <m/>
    <s v=""/>
    <s v="Kleber"/>
    <s v="11991898161"/>
    <s v=""/>
    <s v="kleber.ppbh@gmail.com"/>
    <s v=""/>
    <s v=""/>
    <s v=""/>
    <s v=""/>
    <s v=""/>
    <s v="Campanha"/>
    <s v=""/>
    <s v=""/>
    <s v="30%;Dentro Perfil;Instagram"/>
    <s v="Pipeline de Vendas"/>
    <s v="Qualificação de Vendas (SQL) (25%)"/>
    <s v=""/>
    <d v="2026-01-31T00:00:00"/>
    <m/>
    <m/>
    <n v="1"/>
    <s v="Paulo Souza"/>
    <d v="2026-01-12T00:00:00"/>
    <d v="1899-12-30T17:30:01"/>
    <s v=""/>
    <s v="Perdido"/>
    <d v="2026-01-13T00:00:00"/>
    <d v="1899-12-30T17:30:51"/>
    <s v="Não quer mudar a solução atual"/>
    <s v=""/>
    <s v=""/>
    <x v="0"/>
    <s v="Paulo Souza"/>
    <x v="0"/>
    <s v=""/>
    <m/>
    <m/>
    <s v=""/>
    <s v=""/>
    <s v=""/>
    <s v=""/>
    <n v="1"/>
  </r>
  <r>
    <x v="0"/>
    <n v="770"/>
    <m/>
    <n v="3005"/>
    <s v="Falei Com Omar hoje 12/01 e ele falou que retorna de viagem dia 15/01 e é para procurá-lo._x000a_23/01 Fiz FUP hoje como o Omar, para avançar com uma agenda na quinta ou sexta da semana do dia 26/01. Aguardando o retorno do cleinte._x000a_09/02/26 Fiz fup e ele acabou fechando com um sistema pequeno."/>
    <s v=""/>
    <x v="357"/>
    <n v="18190972000151"/>
    <s v=""/>
    <s v="Zini home"/>
    <s v="12997937887"/>
    <s v=""/>
    <s v="omar@zinihome.com.br"/>
    <s v=""/>
    <s v=""/>
    <s v=""/>
    <s v=""/>
    <s v=""/>
    <s v="Campanha"/>
    <s v=""/>
    <s v=""/>
    <s v="30%;Dentro Perfil;Instagram"/>
    <s v="Pipeline de Vendas"/>
    <s v="Qualificação de Vendas (SQL) (25%)"/>
    <s v=""/>
    <d v="2026-01-31T00:00:00"/>
    <m/>
    <m/>
    <n v="38"/>
    <s v="Paulo Souza"/>
    <d v="2026-01-12T00:00:00"/>
    <d v="1899-12-30T17:33:46"/>
    <s v=""/>
    <s v="Perdido"/>
    <d v="2026-02-19T00:00:00"/>
    <d v="1899-12-30T17:50:16"/>
    <s v="Fechou com o concorrente - preço"/>
    <s v=""/>
    <s v=""/>
    <x v="0"/>
    <s v="Paulo Souza"/>
    <x v="0"/>
    <s v=""/>
    <d v="2026-01-23T00:00:00"/>
    <n v="30"/>
    <s v=""/>
    <s v=""/>
    <s v=""/>
    <s v=""/>
    <n v="1"/>
  </r>
  <r>
    <x v="0"/>
    <n v="771"/>
    <m/>
    <n v="3001"/>
    <s v="Fernando , esta de féria e só vamos conseguir realizar o bate-papo após o seu retorno. O previsto é no dia 16/01/2026._x000a_23/01 Fiz FUP hoje com o Fernando para agendar uma reunião na semana que vem , na quarta ou quinta._x000a_05/02 Fiz FUP hoje com o Fernando, e ele cancelou a nossa reunião das 10h. Fiz uma nova agenda para o dia 11/02 às 15h!_x000a_12/03  Fiz FUP com o Fernando afim de saber se ele vai querer continuar ou nao._x000a_12/03 Por falta de interesse estou declinando o lead. Após apresentar a solução o cliente esfriou e sumiu não dando retorno._x000a_20/03 Fiz FUP e cobrei o Fernando se seguiremos ou não com o projeto."/>
    <s v=""/>
    <x v="358"/>
    <m/>
    <s v=""/>
    <s v="Russa Diatribuidora"/>
    <s v="11991303160"/>
    <s v=""/>
    <s v="fernando@russadistribuidora.com.br"/>
    <s v=""/>
    <s v=""/>
    <s v=""/>
    <s v=""/>
    <s v=""/>
    <s v="Campanha"/>
    <s v=""/>
    <s v=""/>
    <s v="30%;Dentro Perfil;Instagram"/>
    <s v="Pipeline de Vendas"/>
    <s v="Em negociação (75%)"/>
    <s v=""/>
    <d v="2026-03-31T00:00:00"/>
    <n v="6840289"/>
    <n v="44907"/>
    <n v="126"/>
    <s v="Paulo Souza"/>
    <d v="2026-01-12T00:00:00"/>
    <d v="1899-12-30T17:38:29"/>
    <s v=""/>
    <s v="Perdido"/>
    <d v="2026-05-18T00:00:00"/>
    <d v="1899-12-30T16:52:10"/>
    <s v="Não era o decisor - sem acesso"/>
    <s v=""/>
    <s v=""/>
    <x v="168"/>
    <s v="Paulo Souza"/>
    <x v="182"/>
    <s v=""/>
    <d v="2026-04-20T00:00:00"/>
    <n v="30"/>
    <s v=""/>
    <s v="ERP, AFV"/>
    <s v=""/>
    <s v=""/>
    <n v="1"/>
  </r>
  <r>
    <x v="0"/>
    <n v="772"/>
    <m/>
    <n v="3008"/>
    <s v="Após conversa com Everaldo ele informou que el loja de varejo e não vamos atender varejo em 2026"/>
    <s v=""/>
    <x v="359"/>
    <m/>
    <s v=""/>
    <s v="Everaldo"/>
    <s v="(21) 96439-0742"/>
    <s v=""/>
    <s v="e.leonardojr@hotmail.com"/>
    <s v=""/>
    <s v=""/>
    <s v=""/>
    <s v="Rio de Janeiro"/>
    <s v=""/>
    <s v="Site"/>
    <s v=""/>
    <s v=""/>
    <s v="30%"/>
    <s v="Pipeline de Vendas"/>
    <s v="Qualificação de Vendas (SQL) (25%)"/>
    <s v=""/>
    <d v="2026-01-31T00:00:00"/>
    <m/>
    <m/>
    <n v="0"/>
    <s v="Paulo Souza"/>
    <d v="2026-01-12T00:00:00"/>
    <d v="1899-12-30T17:43:14"/>
    <s v=""/>
    <s v="Perdido"/>
    <d v="2026-01-12T00:00:00"/>
    <d v="1899-12-30T22:28:23"/>
    <s v="Fora do porte mínimo (sem fit estrutural)"/>
    <s v=""/>
    <s v=""/>
    <x v="0"/>
    <s v="Paulo Souza"/>
    <x v="0"/>
    <s v=""/>
    <m/>
    <m/>
    <s v=""/>
    <s v=""/>
    <s v=""/>
    <s v=""/>
    <n v="1"/>
  </r>
  <r>
    <x v="0"/>
    <n v="773"/>
    <m/>
    <n v="3000"/>
    <s v="Falei com o Joao hoje 12/01 e combinamos de conversa na segunda dia 15/01._x000a_23/01 Fiz FUP hoje com o João para agendar uma apresentação na próxima semana."/>
    <s v=""/>
    <x v="360"/>
    <m/>
    <s v=""/>
    <s v="João"/>
    <s v="(17) 98126-9337"/>
    <s v=""/>
    <s v="joao@stokfrios.com.br"/>
    <s v=""/>
    <s v=""/>
    <s v=""/>
    <s v="São José do Rio Preto"/>
    <s v=""/>
    <s v="Site"/>
    <s v=""/>
    <s v=""/>
    <s v="30%;Contato;Solicita demo"/>
    <s v="Inbound"/>
    <s v="Novos Leads (0%)"/>
    <s v=""/>
    <d v="2026-01-31T00:00:00"/>
    <m/>
    <m/>
    <n v="128"/>
    <s v="Paulo Souza"/>
    <d v="2026-01-12T00:00:00"/>
    <d v="1899-12-30T17:46:12"/>
    <s v=""/>
    <s v="Ativo"/>
    <m/>
    <m/>
    <s v=""/>
    <s v=""/>
    <s v=""/>
    <x v="0"/>
    <s v="Paulo Souza"/>
    <x v="0"/>
    <s v=""/>
    <d v="2026-01-23T00:00:00"/>
    <n v="30"/>
    <s v=""/>
    <s v=""/>
    <s v=""/>
    <s v=""/>
    <n v="1"/>
  </r>
  <r>
    <x v="1"/>
    <n v="774"/>
    <m/>
    <n v="3067"/>
    <s v="(14/01/2026)Em contato com Marcelo para entender mais sobre sua empresa e necessidades _x000a_(20/01/2026) em contato com André, sua confecção é de camisetas, uniformes, bonés ! existem algumas particularidades que necessitam no software como grades de cores e tamanhos e algumas particularidades para confecção ! atende cliente final B2C ! cliente de operação pequena que não esta na hora de embarcar com Guarani devido ao valor de investimento"/>
    <s v=""/>
    <x v="361"/>
    <m/>
    <s v=""/>
    <s v="Atacado Delfino"/>
    <s v="51986006121"/>
    <s v=""/>
    <s v="dhcamisetas@terra.com.br"/>
    <s v=""/>
    <s v=""/>
    <s v=""/>
    <s v=""/>
    <s v=""/>
    <s v="Campanha"/>
    <s v=""/>
    <s v=""/>
    <s v="30%;Fora Perfil;Instagram"/>
    <s v="Pipeline de Vendas"/>
    <s v="Qualificação de Vendas (SQL) (25%)"/>
    <s v=""/>
    <d v="2026-01-31T00:00:00"/>
    <m/>
    <m/>
    <n v="26"/>
    <s v="Paulo Souza"/>
    <d v="2026-01-12T00:00:00"/>
    <d v="1899-12-30T21:53:02"/>
    <s v=""/>
    <s v="Perdido"/>
    <d v="2026-02-07T00:00:00"/>
    <d v="1899-12-30T07:42:39"/>
    <s v="Fora do porte mínimo (sem fit estrutural)"/>
    <s v=""/>
    <s v=""/>
    <x v="0"/>
    <s v="Junior Lopes"/>
    <x v="0"/>
    <s v=""/>
    <d v="2026-01-20T00:00:00"/>
    <m/>
    <s v=""/>
    <s v=""/>
    <s v=""/>
    <s v=""/>
    <n v="1"/>
  </r>
  <r>
    <x v="1"/>
    <n v="775"/>
    <m/>
    <n v="3069"/>
    <s v="(14/01/2026) Após tentativa por ligação foi efetuado tentativa de contato via WhatsApp conforme mensagem abaixo : _x000a_(16/01/2026) tentei novamente contato via telefone com Nykollas porem sem retorno ! estou declinando oportunidade_x000a_16:31, 12/01/2026 Junior Lopes: Olá Nycollas , boa tarde_x000a_16:32, 12/01/2026 Junior Lopes: Sou Junior Lopes da Guarani sistemas! Td bem ?_x000a_11:56, 14/01/2026 Junior Lopes: Olá Boa tarde !  _x000a_Estamos retornando seu contato sobre nossas soluções em ERP ! Qual melhor horário para falarmos ?"/>
    <s v=""/>
    <x v="362"/>
    <m/>
    <s v=""/>
    <s v="BK COMÉRCIO LTDA"/>
    <s v="92988541804"/>
    <s v=""/>
    <s v="nykollaskelvyn86@gmail.com"/>
    <s v=""/>
    <s v=""/>
    <s v=""/>
    <s v=""/>
    <s v=""/>
    <s v="Campanha"/>
    <s v=""/>
    <s v=""/>
    <s v="30%;Fora Perfil;Instagram"/>
    <s v="Pipeline de Vendas"/>
    <s v="Qualificação de Vendas (SQL) (25%)"/>
    <s v=""/>
    <d v="2026-01-31T00:00:00"/>
    <m/>
    <m/>
    <n v="26"/>
    <s v="Paulo Souza"/>
    <d v="2026-01-12T00:00:00"/>
    <d v="1899-12-30T21:53:50"/>
    <s v=""/>
    <s v="Perdido"/>
    <d v="2026-02-07T00:00:00"/>
    <d v="1899-12-30T07:50:15"/>
    <s v="Fora do porte mínimo (sem fit estrutural)"/>
    <s v=""/>
    <s v=""/>
    <x v="0"/>
    <s v="Junior Lopes"/>
    <x v="0"/>
    <s v=""/>
    <d v="2026-01-16T00:00:00"/>
    <m/>
    <s v=""/>
    <s v=""/>
    <s v=""/>
    <s v=""/>
    <n v="1"/>
  </r>
  <r>
    <x v="2"/>
    <n v="776"/>
    <m/>
    <n v="3041"/>
    <s v="Não consegui retorno nem contato"/>
    <s v=""/>
    <x v="363"/>
    <m/>
    <s v=""/>
    <s v="Fisiohosp"/>
    <s v="6596658787"/>
    <s v=""/>
    <s v="contabilfisio2024@gmail.com"/>
    <s v=""/>
    <s v=""/>
    <s v=""/>
    <s v=""/>
    <s v=""/>
    <s v="Campanha"/>
    <s v=""/>
    <s v=""/>
    <s v="30%;Fora Perfil;Instagram"/>
    <s v="Pipeline de Vendas"/>
    <s v="Qualificação de Vendas (SQL) (25%)"/>
    <s v=""/>
    <d v="2026-01-31T00:00:00"/>
    <m/>
    <m/>
    <n v="105"/>
    <s v="Paulo Souza"/>
    <d v="2026-01-12T00:00:00"/>
    <d v="1899-12-30T21:57:54"/>
    <s v=""/>
    <s v="Perdido"/>
    <d v="2026-04-27T00:00:00"/>
    <d v="1899-12-30T16:00:34"/>
    <s v="Fora do porte mínimo (sem fit estrutural)"/>
    <s v=""/>
    <s v=""/>
    <x v="0"/>
    <s v="Junior Lopes"/>
    <x v="0"/>
    <s v=""/>
    <d v="2026-04-13T00:00:00"/>
    <n v="30"/>
    <s v=""/>
    <s v=""/>
    <s v=""/>
    <s v=""/>
    <n v="1"/>
  </r>
  <r>
    <x v="2"/>
    <n v="777"/>
    <m/>
    <n v="3047"/>
    <s v="cliente marcou uma reunião na sexta porém não entrou no link estou tentando reagendar mas não deu retorno"/>
    <s v=""/>
    <x v="364"/>
    <m/>
    <s v=""/>
    <s v="Vida Fitness"/>
    <s v="71996614629"/>
    <s v=""/>
    <s v="vidafitness@outlook.com.br"/>
    <s v=""/>
    <s v=""/>
    <s v=""/>
    <s v=""/>
    <s v=""/>
    <s v="Campanha"/>
    <s v=""/>
    <s v=""/>
    <s v="30%;Fora Perfil;Instagram"/>
    <s v="Pipeline de Vendas"/>
    <s v="Qualificação de Vendas (SQL) (25%)"/>
    <s v=""/>
    <d v="2026-01-31T00:00:00"/>
    <m/>
    <m/>
    <n v="26"/>
    <s v="Paulo Souza"/>
    <d v="2026-01-12T00:00:00"/>
    <d v="1899-12-30T21:58:55"/>
    <s v=""/>
    <s v="Perdido"/>
    <d v="2026-02-07T00:00:00"/>
    <d v="1899-12-30T07:47:45"/>
    <s v="Fora do porte mínimo (sem fit estrutural)"/>
    <s v=""/>
    <s v=""/>
    <x v="0"/>
    <s v="Rayssa Karapeticov"/>
    <x v="0"/>
    <s v=""/>
    <d v="2026-01-16T00:00:00"/>
    <m/>
    <s v=""/>
    <s v=""/>
    <s v=""/>
    <s v=""/>
    <n v="1"/>
  </r>
  <r>
    <x v="2"/>
    <n v="778"/>
    <m/>
    <n v="3059"/>
    <s v="Bom dia Luan, como vai?_x000a_Estou tentando contato com você para entender sua solicitação para conhecer nossos sistemas._x000a_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_x000a_Vou deixar uma apresentação de nossa empresa e quando tiver um tempo disponivel por retornar o contato"/>
    <s v=""/>
    <x v="365"/>
    <n v="30250062000112"/>
    <s v=""/>
    <s v="HORTODASACACIAS"/>
    <s v="21966014543"/>
    <s v=""/>
    <s v="financeiro1@hortodasacacias.com.br"/>
    <s v=""/>
    <s v=""/>
    <s v=""/>
    <s v="RIO DE JANEIRO"/>
    <s v="RJ"/>
    <s v="Campanha"/>
    <s v=""/>
    <s v=""/>
    <s v="30%;Fora Perfil;Instagram"/>
    <s v="Pipeline de Vendas"/>
    <s v="Qualificação de Vendas (SQL) (25%)"/>
    <s v=""/>
    <d v="2026-01-31T00:00:00"/>
    <m/>
    <m/>
    <n v="2"/>
    <s v="Paulo Souza"/>
    <d v="2026-01-12T00:00:00"/>
    <d v="1899-12-30T22:00:47"/>
    <s v=""/>
    <s v="Perdido"/>
    <d v="2026-01-14T00:00:00"/>
    <d v="1899-12-30T11:54:09"/>
    <s v="Fora do porte mínimo (sem fit estrutural)"/>
    <s v=""/>
    <s v=""/>
    <x v="0"/>
    <s v="Rayssa Karapeticov"/>
    <x v="0"/>
    <s v=""/>
    <d v="2026-01-13T00:00:00"/>
    <m/>
    <s v=""/>
    <s v=""/>
    <s v=""/>
    <s v=""/>
    <n v="1"/>
  </r>
  <r>
    <x v="2"/>
    <n v="779"/>
    <m/>
    <n v="3066"/>
    <s v="Empresa fora do perfil, vendem produto porta a porta e o contato é  vendedor"/>
    <s v=""/>
    <x v="366"/>
    <n v="22422233000115"/>
    <s v=""/>
    <s v="Devons Hair"/>
    <s v="(41) 9900-2255 / (41) 8428-6900 / (18) 3361-4423"/>
    <s v=""/>
    <s v="denilribeiro@gmail.com"/>
    <s v=""/>
    <s v=""/>
    <s v=""/>
    <s v="CAMPO LARGO"/>
    <s v="PR"/>
    <s v="Campanha"/>
    <s v=""/>
    <s v=""/>
    <s v="30%;Fora Perfil;Instagram"/>
    <s v="Pipeline de Vendas"/>
    <s v="Qualificação de Vendas (SQL) (25%)"/>
    <s v=""/>
    <d v="2026-01-31T00:00:00"/>
    <m/>
    <m/>
    <n v="4"/>
    <s v="Paulo Souza"/>
    <d v="2026-01-12T00:00:00"/>
    <d v="1899-12-30T22:01:35"/>
    <s v=""/>
    <s v="Perdido"/>
    <d v="2026-01-16T00:00:00"/>
    <d v="1899-12-30T09:34:44"/>
    <s v="Fora do porte mínimo (sem fit estrutural)"/>
    <s v=""/>
    <s v=""/>
    <x v="0"/>
    <s v="Rayssa Karapeticov"/>
    <x v="0"/>
    <s v=""/>
    <d v="2026-01-16T00:00:00"/>
    <m/>
    <s v=""/>
    <s v=""/>
    <s v=""/>
    <s v=""/>
    <n v="1"/>
  </r>
  <r>
    <x v="0"/>
    <n v="780"/>
    <m/>
    <n v="3068"/>
    <s v="Hoje 13/01 busquei agenda com o Ricardo sem sucesso._x000a_23/01 Fiz FUP hoje com o Ricardo para saber se ele quer ou nao seguir , pois ele não retorna os mus contatos._x000a_23/01 o numero estava errado , consegui o numero certo e retomei os contatos sem sucesso no retorno ainda. _x000a_07/02 Após diversas tentativa de contato com o Ricardo sem sucesso estou declinando a oportunidade."/>
    <s v=""/>
    <x v="367"/>
    <m/>
    <s v=""/>
    <s v="Deltamed Comércio e Servicos Ltda"/>
    <s v="51997766708"/>
    <s v=""/>
    <s v="rrnnaa@gmail.com"/>
    <s v=""/>
    <s v=""/>
    <s v=""/>
    <s v=""/>
    <s v=""/>
    <s v="Campanha"/>
    <s v=""/>
    <s v=""/>
    <s v="30%;Fora Perfil;Instagram"/>
    <s v="Pipeline de Vendas"/>
    <s v="Qualificação de Vendas (SQL) (25%)"/>
    <s v=""/>
    <d v="2026-01-31T00:00:00"/>
    <m/>
    <m/>
    <n v="26"/>
    <s v="Paulo Souza"/>
    <d v="2026-01-12T00:00:00"/>
    <d v="1899-12-30T22:02:28"/>
    <s v=""/>
    <s v="Perdido"/>
    <d v="2026-02-07T00:00:00"/>
    <d v="1899-12-30T07:27:31"/>
    <s v="Fora do porte mínimo (sem fit estrutural)"/>
    <s v="07/02 Após diversas tentativa de contato com o Ricardo sem sucesso estou declinando a oportunidade."/>
    <s v=""/>
    <x v="0"/>
    <s v="Paulo Souza"/>
    <x v="0"/>
    <s v=""/>
    <d v="2026-01-23T00:00:00"/>
    <n v="30"/>
    <s v=""/>
    <s v=""/>
    <s v=""/>
    <s v=""/>
    <n v="1"/>
  </r>
  <r>
    <x v="2"/>
    <n v="781"/>
    <m/>
    <n v="3070"/>
    <s v="Bom dia Adelita, como vai?_x000a_Estou tentando contato com você para entender sua solicitação para conhecer nossos sistemas._x000a_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_x000a_Vou deixar uma apresentação de nossa empresa e quando tiver um tempo disponivel por retornar o contato_x000a_tentie contato no celular cadastrado e no telefone fixo da empresa 35) 3067-8566"/>
    <s v=""/>
    <x v="368"/>
    <n v="29495831000163"/>
    <s v=""/>
    <s v="Alpinpro"/>
    <s v="(35) 9125-9412"/>
    <s v=""/>
    <s v="adelita@alpinpro.com.br"/>
    <s v=""/>
    <s v=""/>
    <s v=""/>
    <s v="VARGINHA"/>
    <s v="MG"/>
    <s v="Campanha"/>
    <s v=""/>
    <s v=""/>
    <s v="30%;Fora Perfil;Instagram"/>
    <s v="Pipeline de Vendas"/>
    <s v="Qualificação de Vendas (SQL) (25%)"/>
    <s v=""/>
    <d v="2026-01-31T00:00:00"/>
    <m/>
    <m/>
    <n v="101"/>
    <s v="Paulo Souza"/>
    <d v="2026-01-12T00:00:00"/>
    <d v="1899-12-30T22:03:10"/>
    <s v=""/>
    <s v="Perdido"/>
    <d v="2026-04-23T00:00:00"/>
    <d v="1899-12-30T09:18:28"/>
    <s v="Fora do porte mínimo (sem fit estrutural)"/>
    <s v=""/>
    <s v=""/>
    <x v="0"/>
    <s v="Rayssa Karapeticov"/>
    <x v="0"/>
    <s v=""/>
    <d v="2026-04-23T00:00:00"/>
    <m/>
    <s v=""/>
    <s v=""/>
    <s v=""/>
    <s v=""/>
    <n v="1"/>
  </r>
  <r>
    <x v="2"/>
    <n v="782"/>
    <m/>
    <n v="3009"/>
    <s v=""/>
    <s v=""/>
    <x v="369"/>
    <n v="10942276000142"/>
    <s v=""/>
    <s v="Suprema"/>
    <s v="4130959299"/>
    <s v=""/>
    <s v="ordelo01@jotmail.com"/>
    <s v=""/>
    <s v=""/>
    <s v=""/>
    <s v=""/>
    <s v=""/>
    <s v="Campanha"/>
    <s v=""/>
    <s v=""/>
    <s v="Fora Perfil;Instagram"/>
    <s v="Pipeline de Vendas"/>
    <s v="Agendamento (0%)"/>
    <s v=""/>
    <m/>
    <m/>
    <m/>
    <n v="0"/>
    <s v="Paulo Souza"/>
    <d v="2026-01-12T00:00:00"/>
    <d v="1899-12-30T22:36:32"/>
    <s v=""/>
    <s v="Perdido"/>
    <d v="2026-01-12T00:00:00"/>
    <d v="1899-12-30T22:36:54"/>
    <s v="Fora do porte mínimo (sem fit estrutural)"/>
    <s v=""/>
    <s v=""/>
    <x v="0"/>
    <s v="Rayssa Karapeticov"/>
    <x v="0"/>
    <s v=""/>
    <m/>
    <m/>
    <s v=""/>
    <s v=""/>
    <s v=""/>
    <s v=""/>
    <n v="1"/>
  </r>
  <r>
    <x v="0"/>
    <n v="783"/>
    <m/>
    <n v="3010"/>
    <s v=""/>
    <s v=""/>
    <x v="370"/>
    <m/>
    <s v=""/>
    <s v="Carlinhos Doces Artesanais"/>
    <s v="41997238911"/>
    <s v=""/>
    <s v="carlinhosrepresentacao24@gmail.com"/>
    <s v=""/>
    <s v=""/>
    <s v=""/>
    <s v=""/>
    <s v=""/>
    <s v="Campanha"/>
    <s v=""/>
    <s v=""/>
    <s v="Fora Perfil;Instagram"/>
    <s v="Pipeline de Vendas"/>
    <s v="Agendamento (0%)"/>
    <s v=""/>
    <m/>
    <m/>
    <m/>
    <n v="0"/>
    <s v="Paulo Souza"/>
    <d v="2026-01-12T00:00:00"/>
    <d v="1899-12-30T22:37:42"/>
    <s v=""/>
    <s v="Perdido"/>
    <d v="2026-01-12T00:00:00"/>
    <d v="1899-12-30T22:37:58"/>
    <s v="Fora do porte mínimo (sem fit estrutural)"/>
    <s v=""/>
    <s v=""/>
    <x v="0"/>
    <s v="Rayssa Karapeticov"/>
    <x v="0"/>
    <s v=""/>
    <m/>
    <m/>
    <s v=""/>
    <s v=""/>
    <s v=""/>
    <s v=""/>
    <n v="1"/>
  </r>
  <r>
    <x v="0"/>
    <n v="784"/>
    <m/>
    <n v="3015"/>
    <s v=""/>
    <s v=""/>
    <x v="371"/>
    <m/>
    <s v=""/>
    <s v="Kuff Consultoria"/>
    <s v="42998191259"/>
    <s v=""/>
    <s v="thiagokuf@hotmail.com"/>
    <s v=""/>
    <s v=""/>
    <s v=""/>
    <s v=""/>
    <s v=""/>
    <s v="Campanha"/>
    <s v=""/>
    <s v=""/>
    <s v="Fora Perfil;Instagram"/>
    <s v="Pipeline de Vendas"/>
    <s v="Agendamento (0%)"/>
    <s v=""/>
    <m/>
    <m/>
    <m/>
    <n v="0"/>
    <s v="Paulo Souza"/>
    <d v="2026-01-12T00:00:00"/>
    <d v="1899-12-30T22:38:54"/>
    <s v=""/>
    <s v="Perdido"/>
    <d v="2026-01-12T00:00:00"/>
    <d v="1899-12-30T22:39:05"/>
    <s v="Fora do porte mínimo (sem fit estrutural)"/>
    <s v=""/>
    <s v=""/>
    <x v="0"/>
    <s v="Junior Lopes"/>
    <x v="0"/>
    <s v=""/>
    <m/>
    <m/>
    <s v=""/>
    <s v=""/>
    <s v=""/>
    <s v=""/>
    <n v="1"/>
  </r>
  <r>
    <x v="0"/>
    <n v="785"/>
    <m/>
    <n v="2669"/>
    <s v=""/>
    <s v=""/>
    <x v="372"/>
    <m/>
    <s v=""/>
    <s v="RENATO DE MATTOS MALAQUIAS"/>
    <s v="(21) 99470-2428"/>
    <s v=""/>
    <s v="representacoesvendas02@gmail.com"/>
    <s v=""/>
    <s v=""/>
    <s v=""/>
    <s v="Nova Iguaçu"/>
    <s v=""/>
    <s v="Site"/>
    <s v=""/>
    <s v=""/>
    <s v="Contato;Fora Perfil;Instagram"/>
    <s v="Pipeline de Vendas"/>
    <s v="Agendamento (0%)"/>
    <s v=""/>
    <m/>
    <m/>
    <m/>
    <n v="0"/>
    <s v="Paulo Souza"/>
    <d v="2026-01-12T00:00:00"/>
    <d v="1899-12-30T22:39:38"/>
    <s v=""/>
    <s v="Perdido"/>
    <d v="2026-01-12T00:00:00"/>
    <d v="1899-12-30T22:39:50"/>
    <s v="Fora do porte mínimo (sem fit estrutural)"/>
    <s v=""/>
    <s v=""/>
    <x v="0"/>
    <s v="Junior Lopes"/>
    <x v="0"/>
    <s v=""/>
    <m/>
    <m/>
    <s v=""/>
    <s v=""/>
    <s v=""/>
    <s v=""/>
    <n v="1"/>
  </r>
  <r>
    <x v="0"/>
    <n v="786"/>
    <m/>
    <n v="3045"/>
    <s v=""/>
    <s v=""/>
    <x v="373"/>
    <m/>
    <s v=""/>
    <s v="Ana Maria Fonseca Garcia"/>
    <s v="18998215566"/>
    <s v=""/>
    <s v="garciacontabilidade15@gmail.com"/>
    <s v=""/>
    <s v=""/>
    <s v=""/>
    <s v=""/>
    <s v=""/>
    <s v="Campanha"/>
    <s v=""/>
    <s v=""/>
    <s v="Fora Perfil;Instagram"/>
    <s v="Pipeline de Vendas"/>
    <s v="Agendamento (0%)"/>
    <s v=""/>
    <m/>
    <m/>
    <m/>
    <n v="0"/>
    <s v="Paulo Souza"/>
    <d v="2026-01-12T00:00:00"/>
    <d v="1899-12-30T22:40:26"/>
    <s v=""/>
    <s v="Perdido"/>
    <d v="2026-01-12T00:00:00"/>
    <d v="1899-12-30T22:40:38"/>
    <s v="Fora do porte mínimo (sem fit estrutural)"/>
    <s v=""/>
    <s v=""/>
    <x v="0"/>
    <s v="Junior Lopes"/>
    <x v="0"/>
    <s v=""/>
    <m/>
    <m/>
    <s v=""/>
    <s v=""/>
    <s v=""/>
    <s v=""/>
    <n v="1"/>
  </r>
  <r>
    <x v="1"/>
    <n v="787"/>
    <m/>
    <n v="3057"/>
    <s v=""/>
    <s v=""/>
    <x v="374"/>
    <n v="10269690000132"/>
    <s v=""/>
    <s v="Ricieri Locacoes e Serviços"/>
    <s v="27999479659"/>
    <s v=""/>
    <s v="diego@ricieri.net.br"/>
    <s v=""/>
    <s v=""/>
    <s v=""/>
    <s v=""/>
    <s v=""/>
    <s v="Campanha"/>
    <s v=""/>
    <s v=""/>
    <s v="Fora Perfil;Instagram"/>
    <s v="Pipeline de Vendas"/>
    <s v="Agendamento (0%)"/>
    <s v=""/>
    <m/>
    <m/>
    <m/>
    <n v="117"/>
    <s v="Paulo Souza"/>
    <d v="2026-01-12T00:00:00"/>
    <d v="1899-12-30T22:41:13"/>
    <s v=""/>
    <s v="Perdido"/>
    <d v="2026-05-09T00:00:00"/>
    <d v="1899-12-30T08:08:37"/>
    <s v="Fora do segmento atendido"/>
    <s v=""/>
    <s v=""/>
    <x v="0"/>
    <s v="Junior Lopes"/>
    <x v="0"/>
    <s v=""/>
    <m/>
    <m/>
    <s v=""/>
    <s v=""/>
    <s v=""/>
    <s v=""/>
    <n v="1"/>
  </r>
  <r>
    <x v="2"/>
    <n v="788"/>
    <m/>
    <n v="3083"/>
    <s v="Cliente entrou em contato pedindo apresentação de nossas solução de AFV _x000a_Reuão agendada para segunda as 14h_x000a_26-01 proposta está em analise pela diretoria _x000a_29-01 Boa tarde, Tiago! Espero que esteja bem._x000a_No dia 19/01 encaminhamos à sua equipe a proposta comercial da Guarani Sistemas, que contempla uma condição exclusiva para evolução tecnológica e automação da força de vendas._x000a_Com o Guarani AFV, aliado à assistente virtual Iara e ao módulo de orçamento web, sua empresa terá:_x000a_Automação completa da equipe de vendas, com acompanhamento de objetivos e indicadores em tempo real;_x000a_Aumento de produtividade e faturamento, reduzindo rupturas no ponto de venda;_x000a_Dashboard inteligente para análise de desempenho e curva ABC de produtos;_x000a_Integração simplificada com o ERP, garantindo maior agilidade e menos retrabalho._x000a_Além disso, oferecemos condições comerciais diferenciadas, incluindo implantação com mentoria especializada e mensalidade ajustada ao perfil da sua operação._x000a_Diante de todos esses benefícios, gostaria de entender: o que falta para avançarmos juntos e garantir essas vantagens para sua equipe?_x000a_05.02Retornou que estão em analise pela diretoria previsão de retorno para proxima semana _x000a_18.03 - Estão tratando internamento com o ERP, porque precisam entende rse o sistema atual terá capacidade de atender a necessidade deles para integrar com o AFV_x000a_15.04 09:24, 15/04/2026 Rayssa Karapeticov - Comercial - Guarani Sistemas: Oi Tiago, como você está.?_x000a_Na última troca, você comentou que eles devem manter o sistema atual por mais tempo, e eu fiquei de marcar uma reunião presencial para detalharmos a integração e forma de trabalho._x000a_Queria entender contigo se ainda faz sentido seguirmos com esse alinhamento agora. Se sim, me indica por favor dois horários que funcionem para você"/>
    <s v="Alfa Seven Embalagens Industria E Comercio Ltda"/>
    <x v="375"/>
    <n v="14078994000254"/>
    <s v=""/>
    <s v="Alfa Seven Embalagens Industria E Comercio Ltda"/>
    <s v="(35) 3435-2255"/>
    <s v=""/>
    <s v="luizhenrique@julianicontabilidade.com.br"/>
    <s v=""/>
    <s v=""/>
    <s v=""/>
    <s v="EXTREMA"/>
    <s v="MG"/>
    <s v="Base de empresas Leads2b"/>
    <s v=""/>
    <s v=""/>
    <s v="50%;Dentro Perfil"/>
    <s v="Pipeline de Vendas"/>
    <s v="Em negociação (75%)"/>
    <s v=""/>
    <d v="2026-04-30T00:00:00"/>
    <n v="16800"/>
    <n v="73717"/>
    <n v="120"/>
    <s v="Rayssa Karapeticov"/>
    <d v="2026-01-13T00:00:00"/>
    <d v="1899-12-30T16:09:19"/>
    <s v=""/>
    <s v="Perdido"/>
    <d v="2026-05-13T00:00:00"/>
    <d v="1899-12-30T10:51:39"/>
    <s v="Não quer mudar a solução atual"/>
    <s v=""/>
    <s v=""/>
    <x v="163"/>
    <s v="Rayssa Karapeticov"/>
    <x v="183"/>
    <s v="02/03/2026"/>
    <d v="2026-05-13T00:00:00"/>
    <n v="50"/>
    <s v=""/>
    <s v="AFV"/>
    <s v=""/>
    <s v=""/>
    <n v="1"/>
  </r>
  <r>
    <x v="0"/>
    <n v="789"/>
    <m/>
    <n v="3084"/>
    <s v="Fernando, esta avaliando outros produtos e terei um retorno na próxima semana dia 15/01, que decide é a Luciana._x000a_23/01 Fiz FUP hoje com o Fernando o mesmo ainda não respondeu, perguntei o que nos impede de seguir?_x000a_26/02 Fernando me procurou essa semana , pedido atualização de informações sobre o projeto. Hoje fiz novo FUP solicitando informações se seguiremos ou não com o projeto._x000a_20/03 Fernando me passou que a proposta ainda continua na direção sem definição."/>
    <s v=""/>
    <x v="376"/>
    <n v="31507103000176"/>
    <s v=""/>
    <s v="Fernando e Luciana"/>
    <s v="18997715980"/>
    <s v=""/>
    <s v="comercial@casamiga.com.br"/>
    <s v=""/>
    <s v=""/>
    <s v=""/>
    <s v=""/>
    <s v=""/>
    <s v=""/>
    <s v=""/>
    <s v=""/>
    <s v="50%"/>
    <s v="Pipeline de Vendas"/>
    <s v="Em negociação (75%)"/>
    <s v=""/>
    <d v="2026-03-31T00:00:00"/>
    <n v="13100"/>
    <n v="1700"/>
    <n v="87"/>
    <s v="Paulo Souza"/>
    <d v="2026-01-13T00:00:00"/>
    <d v="1899-12-30T16:12:50"/>
    <s v=""/>
    <s v="Perdido"/>
    <d v="2026-04-10T00:00:00"/>
    <d v="1899-12-30T17:16:03"/>
    <s v="Nossa solução não atende - falta funcionalidade"/>
    <s v=""/>
    <s v=""/>
    <x v="169"/>
    <s v="Paulo Souza"/>
    <x v="184"/>
    <s v=""/>
    <d v="2026-03-20T00:00:00"/>
    <n v="50"/>
    <s v="80"/>
    <s v="B2B"/>
    <s v="R$ 13.100"/>
    <s v="R$ 1.700"/>
    <n v="1"/>
  </r>
  <r>
    <x v="1"/>
    <n v="790"/>
    <m/>
    <n v="3071"/>
    <s v="em contato com Sr. Barbosa !_x000a_atualmente tem 02 lojas físicas e esta fora do nosso perfil de atendimento"/>
    <s v=""/>
    <x v="377"/>
    <m/>
    <s v=""/>
    <s v="Casa bom dia bricolagem ltda"/>
    <s v="16981830404"/>
    <s v=""/>
    <s v="casabomdiabricolagem@gmail.com"/>
    <s v=""/>
    <s v=""/>
    <s v=""/>
    <s v=""/>
    <s v=""/>
    <s v="Campanha"/>
    <s v=""/>
    <s v=""/>
    <s v="Fora Perfil;Instagram"/>
    <s v="Pipeline de Vendas"/>
    <s v="Qualificação de Vendas (SQL) (25%)"/>
    <s v=""/>
    <d v="2026-01-31T00:00:00"/>
    <m/>
    <m/>
    <n v="23"/>
    <s v="Paulo Souza"/>
    <d v="2026-01-13T00:00:00"/>
    <d v="1899-12-30T16:54:22"/>
    <s v=""/>
    <s v="Perdido"/>
    <d v="2026-02-05T00:00:00"/>
    <d v="1899-12-30T14:15:34"/>
    <s v="Fora do porte mínimo (sem fit estrutural)"/>
    <s v=""/>
    <s v=""/>
    <x v="0"/>
    <s v="Junior Lopes"/>
    <x v="0"/>
    <s v=""/>
    <d v="2026-01-16T00:00:00"/>
    <m/>
    <s v=""/>
    <s v=""/>
    <s v=""/>
    <s v=""/>
    <n v="1"/>
  </r>
  <r>
    <x v="2"/>
    <n v="792"/>
    <m/>
    <n v="3072"/>
    <s v="Boa tarde Rogério, como vai? _x000a_Meu nome é Rayssa, sou do setor comercial e relacionamento da Guarani Sistemas._x000a_Recebi seu contato interessado em nossas soluções, você prefere que eu te ligue ou quer tratar por aqui?_x000a_Aguardando retorno,liguei e não atendeu_x000a_13.02 novamente disse que não podia falar que era para entrar em contato em outro momento"/>
    <s v=""/>
    <x v="378"/>
    <n v="6037707000230"/>
    <s v=""/>
    <s v="WB Engenharia"/>
    <s v="67999299440"/>
    <s v=""/>
    <s v="rogerio@wbmanutencao.com.br"/>
    <s v=""/>
    <s v=""/>
    <s v=""/>
    <s v=""/>
    <s v=""/>
    <s v="Campanha"/>
    <s v=""/>
    <s v=""/>
    <s v="Fora Perfil;Instagram"/>
    <s v="Pipeline de Vendas"/>
    <s v="Qualificação de Vendas (SQL) (25%)"/>
    <s v=""/>
    <d v="2026-01-31T00:00:00"/>
    <m/>
    <m/>
    <n v="31"/>
    <s v="Paulo Souza"/>
    <d v="2026-01-13T00:00:00"/>
    <d v="1899-12-30T16:56:09"/>
    <s v=""/>
    <s v="Perdido"/>
    <d v="2026-02-13T00:00:00"/>
    <d v="1899-12-30T11:46:12"/>
    <s v="Fora do porte mínimo (sem fit estrutural)"/>
    <s v=""/>
    <s v=""/>
    <x v="0"/>
    <s v="Rayssa Karapeticov"/>
    <x v="0"/>
    <s v=""/>
    <d v="2026-02-12T00:00:00"/>
    <n v="30"/>
    <s v=""/>
    <s v=""/>
    <s v=""/>
    <s v=""/>
    <n v="1"/>
  </r>
  <r>
    <x v="0"/>
    <n v="793"/>
    <m/>
    <n v="3082"/>
    <s v="Fiz contato hoje mais o cliente já não estava na empresa, vamos falar amanha 14/01_x000a_23/01 Fiz FUp hoje com a Jessica, para buscar agenda na proxima semana._x000a_19/02 Fiz varias tentativa sem retorno e por isso declinei a proposta."/>
    <s v=""/>
    <x v="379"/>
    <m/>
    <s v=""/>
    <s v="JESSICA"/>
    <s v="(38) 99730-0736"/>
    <s v=""/>
    <s v="centraleletricasolar@gmail.com"/>
    <s v=""/>
    <s v=""/>
    <s v=""/>
    <s v="São Paulo"/>
    <s v=""/>
    <s v="Site"/>
    <s v=""/>
    <s v=""/>
    <s v="30%;Solicita demo"/>
    <s v="Pipeline de Vendas"/>
    <s v="Qualificação de Vendas (SQL) (25%)"/>
    <s v=""/>
    <d v="2026-01-31T00:00:00"/>
    <m/>
    <m/>
    <n v="37"/>
    <s v="Paulo Souza"/>
    <d v="2026-01-13T00:00:00"/>
    <d v="1899-12-30T16:59:23"/>
    <s v=""/>
    <s v="Perdido"/>
    <d v="2026-02-19T00:00:00"/>
    <d v="1899-12-30T17:51:50"/>
    <s v="Fora do porte mínimo (sem fit estrutural)"/>
    <s v=""/>
    <s v=""/>
    <x v="0"/>
    <s v="Paulo Souza"/>
    <x v="0"/>
    <s v=""/>
    <d v="2026-01-23T00:00:00"/>
    <n v="30"/>
    <s v=""/>
    <s v=""/>
    <s v=""/>
    <s v=""/>
    <n v="1"/>
  </r>
  <r>
    <x v="2"/>
    <n v="794"/>
    <m/>
    <n v="3086"/>
    <s v="Falei com o cliente ele possui uma loja de embalagens (estilo Plasticap), levantei as informações dele e agendamos uma demonstração para amanhã as 9h_x000a_19/01- Olá Ederaldo, tudo bem?_x000a_No dia 15/01 encaminhamos a proposta de investimento para o Guarani ERP, contemplando os serviços de ERP + PDV, com foco na evolução tecnológica e no crescimento da sua empresa._x000a_Para avançarmos, gostaria de entender como foi sua análise e qual o investimento previsto para o software, assim conseguimos alinhar expectativas e próximos passos._x000a_Quando seria um bom momento para conversarmos?_x000a_26/01 - Após envio e apresentação da proposta comercial cliente não deu retorno. _x000a_Encerrando contato_x000a_Oi Ederaldo, tudo bem?_x000a_No dia 15/01 te enviei uma proposta que poderia mudar os rumos do seu negócio. Como não tivemos retorno, estou encerrando nosso contato._x000a_Quero deixar claro: essa não era apenas mais uma oferta, mas uma oportunidade única que dificilmente vai se repetir. Ao não avançar, você está deixando escapar aquilo que poderia ser o divisor de águas para sua empresa._x000a_Desejo sucesso nos seus próximos passos!"/>
    <s v=""/>
    <x v="380"/>
    <m/>
    <s v=""/>
    <s v="Marques Embalagens"/>
    <s v="16992159372"/>
    <s v=""/>
    <s v="marquesembalagens@hotmail.com"/>
    <s v=""/>
    <s v=""/>
    <s v=""/>
    <s v=""/>
    <s v=""/>
    <s v="Campanha"/>
    <s v=""/>
    <s v=""/>
    <s v="Dentro Perfil;Instagram"/>
    <s v="Pipeline de Vendas"/>
    <s v="Apresentar Proposta (50%)"/>
    <s v=""/>
    <d v="2026-01-31T00:00:00"/>
    <n v="6168744"/>
    <n v="149828"/>
    <n v="13"/>
    <s v="Paulo Souza"/>
    <d v="2026-01-13T00:00:00"/>
    <d v="1899-12-30T17:42:00"/>
    <s v=""/>
    <s v="Perdido"/>
    <d v="2026-01-26T00:00:00"/>
    <d v="1899-12-30T09:26:12"/>
    <s v="Preço muito alto - fora do budget de investimento"/>
    <s v=""/>
    <s v=""/>
    <x v="170"/>
    <s v="Rayssa Karapeticov"/>
    <x v="180"/>
    <s v=""/>
    <d v="2026-01-26T00:00:00"/>
    <m/>
    <s v=""/>
    <s v=""/>
    <s v=""/>
    <s v=""/>
    <n v="1"/>
  </r>
  <r>
    <x v="0"/>
    <n v="795"/>
    <m/>
    <n v="3088"/>
    <s v="Falei com a Kelly hoje que me passou as informações que faltava para formular a proposta. Agora e falar com o Fernando e montar a proposta e apresentar._x000a_23/01 Falei com a Kelly em 19/01, e ela avisou que estava de férias e que retorno essa semana , e que só vai conseguir analisar a proposta na semana do dia 26/01, quando retornarei o contato._x000a_07/02 Fiz FUP com a Kelly e perguntei se ela vai ou não seguir com o projeto, não retornou ainda._x000a_12/03 12/03 Fiz FUP com a Kelly e a mesma esta analisando a proposta. Como esta semana ela tá fazendo compra de natal, vai conseguir parar e ver a proposta amanhã 13/03._x000a_20/03 Cobrei a Kelly a evolução da negociação."/>
    <s v=""/>
    <x v="381"/>
    <n v="3674537000125"/>
    <s v=""/>
    <s v="Kelly"/>
    <s v="12974030134"/>
    <s v=""/>
    <s v="MKT@VALPORT.COM.BR"/>
    <s v=""/>
    <s v=""/>
    <s v=""/>
    <s v=""/>
    <s v=""/>
    <s v=""/>
    <s v=""/>
    <s v=""/>
    <s v="50%"/>
    <s v="Pipeline de Vendas"/>
    <s v="Em negociação (75%)"/>
    <s v=""/>
    <d v="2026-03-31T00:00:00"/>
    <n v="1600"/>
    <n v="384454"/>
    <n v="87"/>
    <s v="Paulo Souza"/>
    <d v="2026-01-13T00:00:00"/>
    <d v="1899-12-30T22:55:41"/>
    <s v=""/>
    <s v="Perdido"/>
    <d v="2026-04-10T00:00:00"/>
    <d v="1899-12-30T15:55:43"/>
    <s v="Projeto adiado / sem prazo definido"/>
    <s v=""/>
    <s v=""/>
    <x v="0"/>
    <s v="Paulo Souza"/>
    <x v="0"/>
    <s v=""/>
    <d v="2026-03-20T00:00:00"/>
    <n v="30"/>
    <s v="7"/>
    <s v="CLOUD"/>
    <s v="R$ 1.600"/>
    <s v="R$ 3.844,54"/>
    <n v="1"/>
  </r>
  <r>
    <x v="0"/>
    <n v="796"/>
    <m/>
    <n v="3087"/>
    <s v="Feito contato com o Vinicius afim de qualificar o LEAD._x000a_23/01 Fiz FUp hoje com o Vinicius para saber se e possível a nossa agenda na semana que vem na quinta feira._x000a_07/02 Fiz FUP com o Vinicius e avise que por falta de contato estou declinando a oportunidade e em caso de interesse retornamos o contato."/>
    <s v=""/>
    <x v="382"/>
    <m/>
    <s v=""/>
    <s v="MVF Lavadoras"/>
    <s v="35998687836"/>
    <s v=""/>
    <s v="ti@mvflavadoras.com.br"/>
    <s v=""/>
    <s v=""/>
    <s v=""/>
    <s v=""/>
    <s v=""/>
    <s v="Campanha"/>
    <s v=""/>
    <s v=""/>
    <s v="Dentro Perfil;Instagram"/>
    <s v="Pipeline de Vendas"/>
    <s v="Qualificação de Vendas (SQL) (25%)"/>
    <s v=""/>
    <d v="2026-01-31T00:00:00"/>
    <m/>
    <m/>
    <n v="24"/>
    <s v="Paulo Souza"/>
    <d v="2026-01-14T00:00:00"/>
    <d v="1899-12-30T10:15:54"/>
    <s v=""/>
    <s v="Perdido"/>
    <d v="2026-02-07T00:00:00"/>
    <d v="1899-12-30T07:35:17"/>
    <s v="Fora do porte mínimo (sem fit estrutural)"/>
    <s v="07/02 Fiz FUP com o Vinicius e avise que por falta de contato estou declinando a oportunidade e em caso de interesse retornamos o contato."/>
    <s v=""/>
    <x v="0"/>
    <s v="Paulo Souza"/>
    <x v="0"/>
    <s v=""/>
    <d v="2026-02-07T00:00:00"/>
    <n v="30"/>
    <s v=""/>
    <s v=""/>
    <s v=""/>
    <s v=""/>
    <n v="1"/>
  </r>
  <r>
    <x v="0"/>
    <n v="799"/>
    <m/>
    <n v="3091"/>
    <s v="Visita amanha em São Paulo no cliente_x000a_23/01 - fechamos negocio."/>
    <s v=""/>
    <x v="383"/>
    <m/>
    <s v=""/>
    <s v="Tiago"/>
    <s v="11971597112"/>
    <s v=""/>
    <s v="null"/>
    <s v=""/>
    <s v=""/>
    <s v=""/>
    <s v=""/>
    <s v=""/>
    <s v=""/>
    <s v=""/>
    <s v=""/>
    <s v="90%;Fabio Indica"/>
    <s v="Pipeline de Vendas"/>
    <s v="Em Fechamento (100%)"/>
    <s v=""/>
    <d v="2026-01-15T00:00:00"/>
    <n v="1600"/>
    <n v="252471"/>
    <n v="9"/>
    <s v="Paulo Souza"/>
    <d v="2026-01-14T00:00:00"/>
    <d v="1899-12-30T18:55:04"/>
    <s v=""/>
    <s v="Ganho"/>
    <d v="2026-01-23T00:00:00"/>
    <d v="1899-12-30T11:04:46"/>
    <s v=""/>
    <s v=""/>
    <s v="14/01/2026 00:00"/>
    <x v="171"/>
    <s v="Paulo Souza"/>
    <x v="185"/>
    <s v=""/>
    <d v="2026-01-15T00:00:00"/>
    <m/>
    <s v=""/>
    <s v=""/>
    <s v=""/>
    <s v=""/>
    <n v="1"/>
  </r>
  <r>
    <x v="2"/>
    <n v="800"/>
    <m/>
    <n v="3092"/>
    <s v=""/>
    <s v=""/>
    <x v="384"/>
    <n v="9205460000120"/>
    <s v=""/>
    <s v="Panveiga"/>
    <s v="(83) 3343-3391 / (83) 3343-3391"/>
    <s v=""/>
    <s v="null"/>
    <s v=""/>
    <s v=""/>
    <s v=""/>
    <s v="CAMPINA GRANDE"/>
    <s v="PB"/>
    <s v="Campanha"/>
    <s v=""/>
    <s v=""/>
    <s v="Fora Perfil;Instagram"/>
    <s v="Pipeline de Vendas"/>
    <s v="Agendamento (0%)"/>
    <s v=""/>
    <d v="2026-01-31T00:00:00"/>
    <m/>
    <m/>
    <n v="7"/>
    <s v="Paulo Souza"/>
    <d v="2026-01-16T00:00:00"/>
    <d v="1899-12-30T09:31:20"/>
    <s v=""/>
    <s v="Perdido"/>
    <d v="2026-01-23T00:00:00"/>
    <d v="1899-12-30T17:12:19"/>
    <s v="Fora do porte mínimo (sem fit estrutural)"/>
    <s v=""/>
    <s v=""/>
    <x v="0"/>
    <s v="Rayssa Karapeticov"/>
    <x v="0"/>
    <s v=""/>
    <d v="2026-01-23T00:00:00"/>
    <m/>
    <s v=""/>
    <s v=""/>
    <s v=""/>
    <s v=""/>
    <n v="1"/>
  </r>
  <r>
    <x v="1"/>
    <n v="803"/>
    <m/>
    <n v="3094"/>
    <s v="(20/01/2026) efetuei tentativa de ligação e mensagem no WhatsApp a fim de alinhar em bate papo com Ismael e entender suas necessidades , porem cliente não responde aos contatos"/>
    <s v=""/>
    <x v="385"/>
    <m/>
    <s v=""/>
    <s v="Autônomo"/>
    <s v="27999362925"/>
    <s v=""/>
    <s v="continente.of@gmail.com"/>
    <s v=""/>
    <s v=""/>
    <s v=""/>
    <s v=""/>
    <s v=""/>
    <s v="Campanha"/>
    <s v=""/>
    <s v=""/>
    <s v="Fora Perfil;Instagram"/>
    <s v="Pipeline de Vendas"/>
    <s v="Qualificação de Vendas (SQL) (25%)"/>
    <s v=""/>
    <d v="2026-01-31T00:00:00"/>
    <m/>
    <m/>
    <n v="113"/>
    <s v="Paulo Souza"/>
    <d v="2026-01-16T00:00:00"/>
    <d v="1899-12-30T16:05:09"/>
    <s v=""/>
    <s v="Perdido"/>
    <d v="2026-05-09T00:00:00"/>
    <d v="1899-12-30T07:39:04"/>
    <s v="Fora do porte mínimo (sem fit estrutural)"/>
    <s v=""/>
    <s v=""/>
    <x v="0"/>
    <s v="Junior Lopes"/>
    <x v="0"/>
    <s v=""/>
    <d v="2026-01-20T00:00:00"/>
    <m/>
    <s v=""/>
    <s v=""/>
    <s v=""/>
    <s v=""/>
    <n v="1"/>
  </r>
  <r>
    <x v="2"/>
    <n v="804"/>
    <m/>
    <n v="3099"/>
    <s v=""/>
    <s v=""/>
    <x v="386"/>
    <n v="33036815000180"/>
    <s v=""/>
    <s v="Haller Farmacêutica"/>
    <s v="21994011336"/>
    <s v=""/>
    <s v="marcelo.uchoa@haller.ind.br"/>
    <s v=""/>
    <s v=""/>
    <s v=""/>
    <s v=""/>
    <s v=""/>
    <s v="Campanha"/>
    <s v=""/>
    <s v=""/>
    <s v="Fora Perfil;Instagram"/>
    <s v="Pipeline de Vendas"/>
    <s v="Agendamento (0%)"/>
    <s v=""/>
    <d v="2026-01-31T00:00:00"/>
    <m/>
    <m/>
    <n v="5"/>
    <s v="Paulo Souza"/>
    <d v="2026-01-16T00:00:00"/>
    <d v="1899-12-30T16:06:39"/>
    <s v=""/>
    <s v="Perdido"/>
    <d v="2026-01-21T00:00:00"/>
    <d v="1899-12-30T11:42:22"/>
    <s v="Fora do porte mínimo (sem fit estrutural)"/>
    <s v=""/>
    <s v=""/>
    <x v="0"/>
    <s v="Rayssa Karapeticov"/>
    <x v="0"/>
    <s v=""/>
    <d v="2026-01-21T00:00:00"/>
    <m/>
    <s v=""/>
    <s v=""/>
    <s v=""/>
    <s v=""/>
    <n v="1"/>
  </r>
  <r>
    <x v="1"/>
    <n v="805"/>
    <m/>
    <n v="3093"/>
    <s v="(20/01/2026)  09:04, 20/01/2026 Junior Lopes: Olá Cláudio ! Bom dia_x000a_17:23, 27/01/2026 Claudio Teixeira: Boa tarde essa semana estou fora da empresa_x000a_17:23, 27/01/2026 Claudio Teixeira: Semana que vem falamos_x000a_17:32, 27/01/2026 Junior Lopes: Perfeito Claudio ! abraço _x000a_09:06, 20/01/2026 Claudio Teixeira: Bom dia_x000a_09:07, 20/01/2026 Junior Lopes: Td bem ? Vc entrou em contato com a Guarani sistemas, gostaria de marcar um horário para batermos um papo e entender melhor suas necessidades_x000a_09:08, 20/01/2026 Junior Lopes: Qual melhor horário para você?_x000a_09:08, 20/01/2026 Claudio Teixeira: Pode ser às 11:30_x000a_09:10, 20/01/2026 Junior Lopes: Ótimo, vou Estar terminando uma apresentação! Pode ser que atrase uns 15 minutos para ligar_x000a_09:11, 20/01/2026 Claudio Teixeira: Ok_x000a_Perfeito Cláudio ! Abraço_x000a_Olá Cláudio! Como vai ?_x000a_Olá Cláudio Td bem ? _x000a_Como não recebi seu retorno nos últimos dias, entendo que talvez não seja o melhor momento para seguirmos com projeto Guarani _x000a_Para nao lotar seu WhatsApp de mensagens estou encerrando o contato! _x000a_Caso suas prioridades mudem sigo a disposição _x000a_Abraço"/>
    <s v=""/>
    <x v="387"/>
    <n v="53629067000156"/>
    <s v=""/>
    <s v="Claudio Teixeira"/>
    <s v="(43) 99669-3593"/>
    <s v=""/>
    <s v="claudioteixeirasap@hotmail.com"/>
    <s v=""/>
    <s v=""/>
    <s v=""/>
    <s v="CONSELHEIRO MAIRINCK"/>
    <s v="PR"/>
    <s v="Site"/>
    <s v=""/>
    <s v=""/>
    <s v="Solicita demo"/>
    <s v="Pipeline de Vendas"/>
    <s v="Apresentar Proposta (50%)"/>
    <s v=""/>
    <d v="2026-01-31T00:00:00"/>
    <n v="72080"/>
    <n v="18676"/>
    <n v="52"/>
    <s v="Paulo Souza"/>
    <d v="2026-01-16T00:00:00"/>
    <d v="1899-12-30T16:08:11"/>
    <s v=""/>
    <s v="Perdido"/>
    <d v="2026-03-09T00:00:00"/>
    <d v="1899-12-30T11:02:30"/>
    <s v="Projeto adiado / sem prazo definido"/>
    <s v="Perfeito Cláudio ! Abraço_x000a_Olá Cláudio! Como vai ?_x000a_Olá Cláudio Td bem ? _x000a_Como não recebi seu retorno nos últimos dias, entendo que talvez não seja o melhor momento para seguirmos com projeto Guarani _x000a_Para nao lotar seu WhatsApp de mensagens estou encerrando o contato! _x000a_Caso suas prioridades mudem sigo a disposição _x000a_Abraço"/>
    <s v=""/>
    <x v="172"/>
    <s v="Junior Lopes"/>
    <x v="186"/>
    <s v=""/>
    <d v="2026-02-09T00:00:00"/>
    <m/>
    <s v=""/>
    <s v=""/>
    <s v=""/>
    <s v=""/>
    <n v="1"/>
  </r>
  <r>
    <x v="2"/>
    <n v="818"/>
    <m/>
    <n v="3101"/>
    <s v="Apresentação agendada para 27/01/2026 - 15:00 horas_x000a_26/01 - reunião agendada para amanhã, aguardand confirmação_x000a_27/01 - cliente não confirmou nem entrou na reunião_x000a_28/01 - Oi Renato, tudo bem?_x000a_No dia 27/01 tinhamos uma agenda de apresentação que poderia mudar os rumos do seu negócio. Como não tivemos retorno, estou encerrando nosso contato._x000a_Quero deixar claro: essa não era apenas mais uma oferta, mas uma oportunidade única que dificilmente vai se repetir. Ao não avançar, você está deixando escapar aquilo que poderia ser o divisor de águas para sua empresa._x000a_Desejo sucesso nos seus próximos passos!"/>
    <s v=""/>
    <x v="388"/>
    <m/>
    <s v=""/>
    <s v="Recanto Agricola"/>
    <s v="17999791171"/>
    <s v=""/>
    <s v="recantoagricola@gmail.com"/>
    <s v=""/>
    <s v=""/>
    <s v=""/>
    <s v=""/>
    <s v=""/>
    <s v="Campanha"/>
    <s v=""/>
    <s v=""/>
    <s v="Dentro Perfil;Instagram"/>
    <s v="Pipeline de Vendas"/>
    <s v="Apresentar Solução (35%)"/>
    <s v=""/>
    <d v="2026-03-31T00:00:00"/>
    <m/>
    <m/>
    <n v="9"/>
    <s v="Paulo Souza"/>
    <d v="2026-01-19T00:00:00"/>
    <d v="1899-12-30T11:30:57"/>
    <s v=""/>
    <s v="Perdido"/>
    <d v="2026-01-28T00:00:00"/>
    <d v="1899-12-30T16:29:00"/>
    <s v="Não quer mudar a solução atual"/>
    <s v=""/>
    <s v=""/>
    <x v="0"/>
    <s v="Rayssa Karapeticov"/>
    <x v="0"/>
    <s v=""/>
    <d v="2026-01-28T00:00:00"/>
    <m/>
    <s v=""/>
    <s v=""/>
    <s v=""/>
    <s v=""/>
    <n v="1"/>
  </r>
  <r>
    <x v="1"/>
    <n v="819"/>
    <m/>
    <n v="3102"/>
    <s v="(19/01/2026) reunião de apresentação agendada para 20/01/2026_x000a_(26/01/2026) _x000a_Olá Mauricio ! tudo bem ?_x000a_Como não recebi o seu retorno sobre o questionário após nossa apresentação, imagino que as prioridades tenham mudado por aí ou que este não seja o momento ideal para avançarmos com a proposta da Guarani Sistemas._x000a_Para não sobrecarregar sua caixa de entrada, estou encerrando o seu processo aqui no meu sistema por enquanto._x000a_Caso seus planos mudem no futuro, meus contatos continuam os mesmos. Desejo sucesso em seus projetos._x000a_Após mensagem enviada Mauricio compartilhou áudio dizendo que achou investimento muito alto e que no futuro vamos voltar a falar"/>
    <s v=""/>
    <x v="389"/>
    <n v="49827202000109"/>
    <s v=""/>
    <s v="Maurício Jorge lima"/>
    <s v="(93) 8406-4995"/>
    <s v=""/>
    <s v="mauriciojlatm@gmail.com"/>
    <s v=""/>
    <s v=""/>
    <s v=""/>
    <s v="ITAITUBA"/>
    <s v="PA"/>
    <s v="Site"/>
    <s v=""/>
    <s v=""/>
    <s v="Contato;Dentro Perfil"/>
    <s v="Pipeline de Vendas"/>
    <s v="Apresentar Solução (35%)"/>
    <s v=""/>
    <d v="2026-01-31T00:00:00"/>
    <n v="72080"/>
    <n v="881079"/>
    <n v="17"/>
    <s v="Paulo Souza"/>
    <d v="2026-01-19T00:00:00"/>
    <d v="1899-12-30T11:33:47"/>
    <s v=""/>
    <s v="Perdido"/>
    <d v="2026-02-05T00:00:00"/>
    <d v="1899-12-30T14:12:46"/>
    <s v="Preço muito alto - fora do budget de investimento"/>
    <s v=": Preço muito alto"/>
    <s v=""/>
    <x v="172"/>
    <s v="Junior Lopes"/>
    <x v="183"/>
    <s v=""/>
    <d v="2026-01-26T00:00:00"/>
    <m/>
    <s v=""/>
    <s v=""/>
    <s v=""/>
    <s v=""/>
    <n v="1"/>
  </r>
  <r>
    <x v="2"/>
    <n v="820"/>
    <m/>
    <n v="3103"/>
    <s v=""/>
    <s v=""/>
    <x v="390"/>
    <m/>
    <s v=""/>
    <s v="Max club"/>
    <s v="3194371833"/>
    <s v=""/>
    <s v="willian.portodasilva8@gmail.com"/>
    <s v=""/>
    <s v=""/>
    <s v=""/>
    <s v=""/>
    <s v=""/>
    <s v="Campanha"/>
    <s v=""/>
    <s v=""/>
    <s v="Fora Perfil;Instagram"/>
    <s v="Pipeline de Vendas"/>
    <s v="Agendamento (0%)"/>
    <s v=""/>
    <d v="2026-01-31T00:00:00"/>
    <m/>
    <m/>
    <n v="19"/>
    <s v="Paulo Souza"/>
    <d v="2026-01-19T00:00:00"/>
    <d v="1899-12-30T11:34:55"/>
    <s v=""/>
    <s v="Perdido"/>
    <d v="2026-02-07T00:00:00"/>
    <d v="1899-12-30T07:45:07"/>
    <s v="Fora do porte mínimo (sem fit estrutural)"/>
    <s v=""/>
    <s v=""/>
    <x v="0"/>
    <s v="Rayssa Karapeticov"/>
    <x v="0"/>
    <s v=""/>
    <d v="2026-01-27T00:00:00"/>
    <m/>
    <s v=""/>
    <s v=""/>
    <s v=""/>
    <s v=""/>
    <n v="1"/>
  </r>
  <r>
    <x v="0"/>
    <n v="821"/>
    <m/>
    <n v="3119"/>
    <s v="Liguei para o Gerson o mesmo não atendeu deixei msg no whatsapp._x000a_23/01 Foi feito apresentação para o cliente do institucional e AFV.  em resumo, a apresentação foi direcionada para a importadora DINATALE (Diego). Porém entrou na reunião a CASAART (William) e também o Mauricio cuja a empresa ainda não conheço. O Gerson (consultor0 que esta conduzindo o projeto participou e informou que são 5 empresa no total, a ideia é conseguir colocar o sistema nas 5 empresas. _x000a_O próximo passo é fazer uma nova agenda para a semana do dia 26/01, para apresentar o sistema novamente para uma equipe maior e expandido com o módulo OCMEX, ERP, REP+ E CONTABIL._x000a_13/02 Esse negócio está sendo tratado nas proposta da Iracema, Dinatale, Casart e MCFlores."/>
    <s v=""/>
    <x v="391"/>
    <n v="7658378000126"/>
    <s v=""/>
    <s v="Gerson Baesso"/>
    <s v="(49) 98872-0298"/>
    <s v=""/>
    <s v="consultor01@visionway.com.br"/>
    <s v=""/>
    <s v=""/>
    <s v=""/>
    <s v="Nova Aurora"/>
    <s v=""/>
    <s v="Site"/>
    <s v=""/>
    <s v=""/>
    <s v="30%;Solicita demo"/>
    <s v="Pipeline de Vendas"/>
    <s v="Apresentar Solução (35%)"/>
    <s v=""/>
    <d v="2026-01-31T00:00:00"/>
    <m/>
    <m/>
    <n v="24"/>
    <s v="Paulo Souza"/>
    <d v="2026-01-20T00:00:00"/>
    <d v="1899-12-30T08:41:55"/>
    <s v=""/>
    <s v="Perdido"/>
    <d v="2026-02-13T00:00:00"/>
    <d v="1899-12-30T17:34:46"/>
    <s v="Projeto adiado / sem prazo definido"/>
    <s v=""/>
    <s v=""/>
    <x v="173"/>
    <s v="Paulo Souza"/>
    <x v="187"/>
    <s v=""/>
    <d v="2026-01-23T00:00:00"/>
    <n v="30"/>
    <s v=""/>
    <s v="ERP, AFV, BI"/>
    <s v=""/>
    <s v=""/>
    <n v="1"/>
  </r>
  <r>
    <x v="2"/>
    <n v="823"/>
    <m/>
    <n v="3118"/>
    <s v="29/01 - retornar após o carnaval_x000a_18.03 - agendando um contato para negociação, sugeri hoje as 16:30_x000a_30.03 Boa tarde, Helena. Espero que esteja bem._x000a_Conversamos anteriormente sobre o software de gestão da Guarani Sistemas, empresa consolidada e referência no mercado de utilidades e abastecimento de artigos para o lar._x000a_Acreditamos que, com o potencial da sua empresa aliado à experiência da Guarani, seria possível alcançar resultados ainda mais expressivos. No entanto, após diversas tentativas de contato, não obtivemos retorno para avançar com esse projeto._x000a_Diante disso, estamos encerrando nosso contato neste momento, entendendo que não há interesse da Purai Suvinirs em seguir com essa oportunidade de crescimento. Permaneço à disposição para retomar a conversa quando fizer sentido para vocês._x000a_Atenciosamente,"/>
    <s v=""/>
    <x v="392"/>
    <n v="44530589000105"/>
    <s v=""/>
    <s v="Helena reis"/>
    <s v="(47) 3344-3239"/>
    <s v=""/>
    <s v="vendas@diceart.com.br"/>
    <s v=""/>
    <s v=""/>
    <s v=""/>
    <s v="ITAJAI"/>
    <s v="SC"/>
    <s v="Site"/>
    <s v=""/>
    <s v=""/>
    <s v="30%;Dentro Perfil"/>
    <s v="Pipeline de Vendas"/>
    <s v="Em negociação (75%)"/>
    <s v=""/>
    <d v="2026-05-31T00:00:00"/>
    <n v="579843"/>
    <n v="28845"/>
    <n v="69"/>
    <s v="Paulo Souza"/>
    <d v="2026-01-20T00:00:00"/>
    <d v="1899-12-30T08:46:51"/>
    <s v=""/>
    <s v="Perdido"/>
    <d v="2026-03-30T00:00:00"/>
    <d v="1899-12-30T15:47:48"/>
    <s v="Projeto adiado / sem prazo definido"/>
    <s v=""/>
    <s v=""/>
    <x v="174"/>
    <s v="Rayssa Karapeticov"/>
    <x v="188"/>
    <s v="12/03/2026"/>
    <d v="2026-03-30T00:00:00"/>
    <n v="30"/>
    <s v=""/>
    <s v="ERP, AFV"/>
    <s v=""/>
    <s v=""/>
    <n v="1"/>
  </r>
  <r>
    <x v="2"/>
    <n v="847"/>
    <m/>
    <n v="3129"/>
    <s v="Telefone cadastrado eé de um mercado"/>
    <s v=""/>
    <x v="393"/>
    <m/>
    <s v=""/>
    <s v="Bem bom pescados"/>
    <s v="6233899200"/>
    <s v=""/>
    <s v="edinho@grupo3ebr.com.br"/>
    <s v=""/>
    <s v=""/>
    <s v=""/>
    <s v=""/>
    <s v=""/>
    <s v="Campanha"/>
    <s v=""/>
    <s v=""/>
    <s v="Fora Perfil;Instagram"/>
    <s v="Pipeline de Vendas"/>
    <s v="Agendamento (0%)"/>
    <s v=""/>
    <d v="2026-01-31T00:00:00"/>
    <m/>
    <m/>
    <n v="0"/>
    <s v="Paulo Souza"/>
    <d v="2026-01-21T00:00:00"/>
    <d v="1899-12-30T10:51:15"/>
    <s v=""/>
    <s v="Perdido"/>
    <d v="2026-01-21T00:00:00"/>
    <d v="1899-12-30T11:14:02"/>
    <s v="Fora do porte mínimo (sem fit estrutural)"/>
    <s v=""/>
    <s v=""/>
    <x v="0"/>
    <s v="Rayssa Karapeticov"/>
    <x v="0"/>
    <s v=""/>
    <m/>
    <m/>
    <s v=""/>
    <s v=""/>
    <s v=""/>
    <s v=""/>
    <n v="1"/>
  </r>
  <r>
    <x v="1"/>
    <n v="848"/>
    <m/>
    <n v="3148"/>
    <s v="(23/01/2026) Sérgio não respondeu as minhas mensagens ! estou descartando de falta de retorno do cliente"/>
    <s v=""/>
    <x v="394"/>
    <m/>
    <s v=""/>
    <s v="Possani mix"/>
    <s v="11971375421"/>
    <s v=""/>
    <s v="possanimix@gmail.com"/>
    <s v=""/>
    <s v=""/>
    <s v=""/>
    <s v=""/>
    <s v=""/>
    <s v="Campanha"/>
    <s v=""/>
    <s v=""/>
    <s v="Fora Perfil;Instagram"/>
    <s v="Pipeline de Vendas"/>
    <s v="Agendamento (0%)"/>
    <s v=""/>
    <d v="2026-01-31T00:00:00"/>
    <m/>
    <m/>
    <n v="108"/>
    <s v="Paulo Souza"/>
    <d v="2026-01-21T00:00:00"/>
    <d v="1899-12-30T10:54:34"/>
    <s v=""/>
    <s v="Perdido"/>
    <d v="2026-05-09T00:00:00"/>
    <d v="1899-12-30T08:48:17"/>
    <s v="Fora do segmento atendido"/>
    <s v=""/>
    <s v=""/>
    <x v="0"/>
    <s v="Junior Lopes"/>
    <x v="0"/>
    <s v=""/>
    <d v="2026-01-23T00:00:00"/>
    <m/>
    <s v=""/>
    <s v=""/>
    <s v=""/>
    <s v=""/>
    <n v="1"/>
  </r>
  <r>
    <x v="2"/>
    <n v="849"/>
    <m/>
    <n v="3149"/>
    <s v=""/>
    <s v=""/>
    <x v="395"/>
    <n v="27343071000143"/>
    <s v=""/>
    <s v="Bombemi"/>
    <s v="11959925385"/>
    <s v=""/>
    <s v="adminitrativo@bombemi.com.br"/>
    <s v=""/>
    <s v=""/>
    <s v=""/>
    <s v=""/>
    <s v=""/>
    <s v="Campanha"/>
    <s v=""/>
    <s v=""/>
    <s v="Fora Perfil;Instagram"/>
    <s v="Pipeline de Vendas"/>
    <s v="Agendamento (0%)"/>
    <s v=""/>
    <d v="2026-01-31T00:00:00"/>
    <m/>
    <m/>
    <n v="17"/>
    <s v="Paulo Souza"/>
    <d v="2026-01-21T00:00:00"/>
    <d v="1899-12-30T12:23:03"/>
    <s v=""/>
    <s v="Perdido"/>
    <d v="2026-02-07T00:00:00"/>
    <d v="1899-12-30T07:43:30"/>
    <s v="Fora do porte mínimo (sem fit estrutural)"/>
    <s v=""/>
    <s v=""/>
    <x v="0"/>
    <s v="Rayssa Karapeticov"/>
    <x v="0"/>
    <s v=""/>
    <m/>
    <m/>
    <s v=""/>
    <s v=""/>
    <s v=""/>
    <s v=""/>
    <n v="1"/>
  </r>
  <r>
    <x v="2"/>
    <n v="850"/>
    <m/>
    <n v="3150"/>
    <s v=""/>
    <s v=""/>
    <x v="395"/>
    <n v="27343071000143"/>
    <s v=""/>
    <s v="MILENE DIAS"/>
    <s v="(11) 95992-5385"/>
    <s v=""/>
    <s v="administrativo@bombemi.com.br"/>
    <s v=""/>
    <s v=""/>
    <s v=""/>
    <s v="São Paulo"/>
    <s v=""/>
    <s v="Site"/>
    <s v=""/>
    <s v=""/>
    <s v="Dentro Perfil;Solicita demo"/>
    <s v="Pipeline de Vendas"/>
    <s v="Qualificação de Vendas (SQL) (25%)"/>
    <s v=""/>
    <d v="2026-01-31T00:00:00"/>
    <m/>
    <m/>
    <n v="1"/>
    <s v="Paulo Souza"/>
    <d v="2026-01-21T00:00:00"/>
    <d v="1899-12-30T12:24:02"/>
    <s v=""/>
    <s v="Perdido"/>
    <d v="2026-01-22T00:00:00"/>
    <d v="1899-12-30T10:03:56"/>
    <s v="Preço muito alto - fora do budget de investimento"/>
    <s v=""/>
    <s v=""/>
    <x v="0"/>
    <s v="Rayssa Karapeticov"/>
    <x v="0"/>
    <s v=""/>
    <m/>
    <m/>
    <s v=""/>
    <s v=""/>
    <s v=""/>
    <s v=""/>
    <n v="1"/>
  </r>
  <r>
    <x v="1"/>
    <n v="851"/>
    <m/>
    <n v="3151"/>
    <s v="14:08, 21/01/2026 Junior Lopes: Olá Edmilson, boa tarde ! Aqui é Junior da Guarani sistemas, Td bem ?_x000a_(26/01/2026) Ola Edmilson, bom dia tudo bem ? _x000a_Sobre as soluções em software ERP e Força de vendas Guarani ! Tem interesse em conhecer? _x000a_21/01/2026 - envio de Aúdio me apresentando e solicitando data para falarmos _x000a_15:30, 23/01/2026 Junior Lopes: Olá Edmilson, boa tarde_x000a_17:08, 27/01/2026 Junior Lopes: Olá, Edmilson! Como não conseguimos evoluir nossa conversa nos últimos dias, entendo que talvez este não seja o momento ideal para focarmos na Solução ERP e Força de vendas. Estou encerrando o seu processo por aqui para não lotar sua caixa de entrada. Vou deixar seu contato salvo e, assim que suas prioridades mudarem, sinta-se à vontade para me chamar_x000a_(18/05/2026) Após varias tentativas de contato , sem sucesso ! estou declinando oportunidade"/>
    <s v=""/>
    <x v="396"/>
    <m/>
    <s v=""/>
    <s v="Édy Distribuidora de Alimentos"/>
    <s v="12997313349"/>
    <s v=""/>
    <s v="edmilson.goulart1@gmail.com"/>
    <s v=""/>
    <s v=""/>
    <s v=""/>
    <s v=""/>
    <s v=""/>
    <s v="Campanha"/>
    <s v=""/>
    <s v=""/>
    <s v="Dentro Perfil;Instagram"/>
    <s v="Pipeline de Vendas"/>
    <s v="Qualificação de Vendas (SQL) (25%)"/>
    <s v=""/>
    <d v="2026-01-31T00:00:00"/>
    <m/>
    <m/>
    <n v="117"/>
    <s v="Paulo Souza"/>
    <d v="2026-01-21T00:00:00"/>
    <d v="1899-12-30T12:30:13"/>
    <s v=""/>
    <s v="Perdido"/>
    <d v="2026-05-18T00:00:00"/>
    <d v="1899-12-30T14:43:41"/>
    <s v="Sem qualificação — contato não atende ligações nem responde msg"/>
    <s v="(18/05/2026) Após varias tentativas de contato , sem sucesso ! estou declinando oportunidade"/>
    <s v=""/>
    <x v="0"/>
    <s v="Junior Lopes"/>
    <x v="0"/>
    <s v=""/>
    <d v="2026-05-18T00:00:00"/>
    <m/>
    <s v=""/>
    <s v=""/>
    <s v=""/>
    <s v=""/>
    <n v="1"/>
  </r>
  <r>
    <x v="2"/>
    <n v="853"/>
    <m/>
    <n v="3154"/>
    <s v="22/01/2026 Rayssa Karapeticov - Comercial - Guarani Sistemas: Bom dia Roberto, como vai? _x000a_29/01 Ok, entendi o objeto. Vejo que não estaremos aptos a fazer o investimento com a sua empresa._x000a_Fica agradecido._x000a_Obrigado pela franqueza e informações._x000a_É a Rayssa da Guarani Sistemas _x000a_recebi seu contato para falar de nossas soluções, você prefere que eu te ligue ou trate por aqui?_x000a_12:34, 22/01/2026 +55 62 8181-2473: Bom dia!_x000a_Pode ser por aqui..._x000a_15:40, 22/01/2026 Rayssa Karapeticov - Comercial - Guarani Sistemas: Perfeito, me passa o que esta procurando de solução de software e como posso te ajudar?_x000a_26/01/2026 Rayssa Karapeticov - Comercial - Guarani Sistemas: Bom dia Roberto como vai?_x000a_Para que possamos avançar, preciso entende um pouco da sua empresa e como as soluções da Guarani Sistemas podem potencializar seus processos e faturamento. _x000a_Podemos conversar?_x000a_27-01 Bom dia Roberto, tudo bem?_x000a_Ainda tem interesse em seguir com uma solução técnologica para sua empresa?_x000a_28/01 Somos uma empresa distribuição de secos e molhados._x000a_Faturamento médio de 350 mil mês_x000a_Trabalhamos com venda direta e pré-venda._x000a_7 vendedores externos_x000a_5 usuário do ERP interno._x000a_Certo, quantos CNPJs?_x000a_2 CNPJ_x000a_vocês precisam controlar lote e validade?_x000a_É interessante, embora não estamos fazendo. Por isso a mudança de ERP..."/>
    <s v=""/>
    <x v="397"/>
    <n v="8439142000161"/>
    <s v=""/>
    <s v="MSRAC"/>
    <s v="62981812473"/>
    <s v=""/>
    <s v="roberto@msrac.com.br"/>
    <s v=""/>
    <s v=""/>
    <s v=""/>
    <s v=""/>
    <s v=""/>
    <s v="Campanha"/>
    <s v=""/>
    <s v=""/>
    <s v="Dentro Perfil;Instagram"/>
    <s v="Pipeline de Vendas"/>
    <s v="Apresentar Proposta (50%)"/>
    <s v=""/>
    <d v="2026-03-31T00:00:00"/>
    <n v="58800"/>
    <n v="873144"/>
    <n v="8"/>
    <s v="Paulo Souza"/>
    <d v="2026-01-21T00:00:00"/>
    <d v="1899-12-30T21:58:26"/>
    <s v=""/>
    <s v="Perdido"/>
    <d v="2026-01-29T00:00:00"/>
    <d v="1899-12-30T16:08:35"/>
    <s v="Preço muito alto - fora do budget de investimento"/>
    <s v=""/>
    <s v=""/>
    <x v="175"/>
    <s v="Rayssa Karapeticov"/>
    <x v="189"/>
    <s v="29/01/2026"/>
    <d v="2026-01-28T00:00:00"/>
    <m/>
    <s v=""/>
    <s v=""/>
    <s v=""/>
    <s v=""/>
    <n v="1"/>
  </r>
  <r>
    <x v="2"/>
    <n v="854"/>
    <m/>
    <n v="3155"/>
    <s v=""/>
    <s v=""/>
    <x v="398"/>
    <m/>
    <s v=""/>
    <s v="Mundo Das Águas Turismo"/>
    <s v="4599648080"/>
    <s v=""/>
    <s v="mundodasaguasturismo@gmail.com"/>
    <s v=""/>
    <s v=""/>
    <s v=""/>
    <s v=""/>
    <s v=""/>
    <s v="Campanha"/>
    <s v=""/>
    <s v=""/>
    <s v="Fora Perfil;Instagram"/>
    <s v="Pipeline de Vendas"/>
    <s v="Agendamento (0%)"/>
    <s v=""/>
    <d v="2026-01-22T00:00:00"/>
    <m/>
    <m/>
    <n v="0"/>
    <s v="Paulo Souza"/>
    <d v="2026-01-22T00:00:00"/>
    <d v="1899-12-30T15:01:30"/>
    <s v=""/>
    <s v="Perdido"/>
    <d v="2026-01-22T00:00:00"/>
    <d v="1899-12-30T15:42:36"/>
    <s v="Fora do porte mínimo (sem fit estrutural)"/>
    <s v=""/>
    <s v=""/>
    <x v="0"/>
    <s v="Rayssa Karapeticov"/>
    <x v="0"/>
    <s v=""/>
    <m/>
    <m/>
    <s v=""/>
    <s v=""/>
    <s v=""/>
    <s v=""/>
    <n v="1"/>
  </r>
  <r>
    <x v="1"/>
    <n v="860"/>
    <m/>
    <n v="3164"/>
    <s v="23/01/2026 Enviei mensagem para Adriano me apresentando, aguardando resposta para agendar um bate papo _x000a_(26/01/2026) buscando contato, enviei áudio buscando o melhor momento para falarmos sobre as soluções _x000a_(29/01/2026) Após tentativas de contato sem sucesso estou desacatando oportunidade !_x000a_Olá Adriano ! Td bem ? _x000a_Tentei contato com você sobre nossas soluções ! Porém não tivemos sucesso no contato, acredito que você esteja com outras prioridades nesse momento _x000a_Para não ficar incomodando vou descartar nosso contato por aqui ! Vou deixar seu contato salvo se suas prioridades mudarem me chame por favor _x000a_Abraço"/>
    <s v=""/>
    <x v="399"/>
    <n v="1399482000167"/>
    <s v=""/>
    <s v="Bral-Max Ind.Com.Plasticos Ltda"/>
    <s v="24999136531"/>
    <s v=""/>
    <s v="adriano@bral-max.com.br"/>
    <s v=""/>
    <s v=""/>
    <s v=""/>
    <s v=""/>
    <s v=""/>
    <s v="Campanha"/>
    <s v=""/>
    <s v=""/>
    <s v="Dentro Perfil;Instagram"/>
    <s v="Pipeline de Vendas"/>
    <s v="Qualificação de Vendas (SQL) (25%)"/>
    <s v=""/>
    <d v="2026-01-31T00:00:00"/>
    <m/>
    <m/>
    <n v="106"/>
    <s v="Paulo Souza"/>
    <d v="2026-01-23T00:00:00"/>
    <d v="1899-12-30T10:04:40"/>
    <s v=""/>
    <s v="Perdido"/>
    <d v="2026-05-09T00:00:00"/>
    <d v="1899-12-30T07:44:36"/>
    <s v="Sem qualificação — contato não atende ligações nem responde msg"/>
    <s v=""/>
    <s v=""/>
    <x v="0"/>
    <s v="Junior Lopes"/>
    <x v="0"/>
    <s v=""/>
    <d v="2026-01-29T00:00:00"/>
    <m/>
    <s v=""/>
    <s v=""/>
    <s v=""/>
    <s v=""/>
    <n v="1"/>
  </r>
  <r>
    <x v="2"/>
    <n v="861"/>
    <m/>
    <n v="3165"/>
    <s v="tentativa de contato_x000a_26/01 - Faz venda porta a porta e tem PDV _x000a_13.02 Tentei contato por ligação e não atendeu_x000a_É um cliente que eu já havia conversado e faz venda PAP, atualmente o Guarani não atende ao que procura _x000a_Fora do perfil"/>
    <s v=""/>
    <x v="400"/>
    <m/>
    <s v=""/>
    <s v="Multiple business service"/>
    <s v="19971619676"/>
    <s v=""/>
    <s v="thomazdistribuidora@gmail.com"/>
    <s v=""/>
    <s v=""/>
    <s v=""/>
    <s v=""/>
    <s v=""/>
    <s v="Campanha"/>
    <s v=""/>
    <s v=""/>
    <s v="Fora Perfil;Instagram"/>
    <s v="Pipeline de Vendas"/>
    <s v="Agendamento (0%)"/>
    <s v=""/>
    <d v="2026-01-31T00:00:00"/>
    <m/>
    <m/>
    <n v="21"/>
    <s v="Paulo Souza"/>
    <d v="2026-01-23T00:00:00"/>
    <d v="1899-12-30T10:37:23"/>
    <s v=""/>
    <s v="Perdido"/>
    <d v="2026-02-13T00:00:00"/>
    <d v="1899-12-30T17:25:09"/>
    <s v="Fora do porte mínimo (sem fit estrutural)"/>
    <s v=""/>
    <s v=""/>
    <x v="0"/>
    <s v="Rayssa Karapeticov"/>
    <x v="0"/>
    <s v=""/>
    <d v="2026-02-13T00:00:00"/>
    <m/>
    <s v=""/>
    <s v=""/>
    <s v=""/>
    <s v=""/>
    <n v="1"/>
  </r>
  <r>
    <x v="0"/>
    <n v="862"/>
    <m/>
    <n v="3166"/>
    <s v="23/01 Apresentar o sistema ERP + AFV hoje as 14h para o Gerson (consultor)_x000a_23/01 23/01 Foi feito apresentação para o cliente do institucional e AFV.  em resumo, a apresentação foi direcionada para a importadora DINATALE (Diego). Porém entrou na reunião a CASAART (William) e também o Mauricio cuja a empresa ainda não conheço. O Gerson (consultor0 que esta conduzindo o projeto participou e informou que são 5 empresa no total, a ideia é conseguir colocar o sistema nas 5 empresas. _x000a_O próximo passo é fazer uma nova agenda para a semana do dia 26/01, para apresentar o sistema novamente para uma equipe maior e expandido com o módulo OCMEX, ERP, REP+ E CONTABIL._x000a_06/02 Fiz FUP hoje com o Gerson consultor e apresentei a proposta.  Na sequência ele vai falar com o a diretoria para agendar uma nova reunião de discursão de valores."/>
    <s v=""/>
    <x v="401"/>
    <n v="82808122000173"/>
    <s v=""/>
    <s v="Gerson"/>
    <s v="(49) 9945-2608"/>
    <s v=""/>
    <s v="contabilizar.atendimento@gmail.com"/>
    <s v=""/>
    <s v=""/>
    <s v=""/>
    <s v="FLOR DO SERTAO"/>
    <s v="SC"/>
    <s v=""/>
    <s v=""/>
    <s v=""/>
    <s v="50%"/>
    <s v="Pipeline de Vendas"/>
    <s v="Em negociação (75%)"/>
    <s v=""/>
    <d v="2026-02-28T00:00:00"/>
    <n v="987029"/>
    <n v="1811884"/>
    <n v="34"/>
    <s v="Paulo Souza"/>
    <d v="2026-01-23T00:00:00"/>
    <d v="1899-12-30T11:23:43"/>
    <s v=""/>
    <s v="Ganho"/>
    <d v="2026-02-26T00:00:00"/>
    <d v="1899-12-30T21:52:56"/>
    <s v=""/>
    <s v=""/>
    <s v=""/>
    <x v="118"/>
    <s v="Paulo Souza"/>
    <x v="126"/>
    <s v=""/>
    <d v="2026-02-27T00:00:00"/>
    <n v="50"/>
    <s v="270"/>
    <s v="ERP, AFV, BI, WMS, COMEX, ADICIONAIS"/>
    <s v="R$ 65.502,90"/>
    <s v="R$ 17.071,80"/>
    <n v="1"/>
  </r>
  <r>
    <x v="0"/>
    <n v="864"/>
    <m/>
    <n v="3169"/>
    <s v="23/01 Fiz FUP hoje com o Junior e o mesmo mencionou que a diretoria achou o valor da mensalidade alta. falou que tem contrato fechado com a GETT com mensal de R$900,00._x000a_Falar com o Fábio e negociar melhor essa questão._x000a_20/03 Hoje foi aberto um ticket para acompanhar dar apoio nas configurações do comex para que o pessoal consiga usar."/>
    <s v=""/>
    <x v="402"/>
    <m/>
    <s v=""/>
    <s v="Junior"/>
    <s v="19987126669"/>
    <s v=""/>
    <s v="junior@tiinfra.com.br"/>
    <s v=""/>
    <s v=""/>
    <s v=""/>
    <s v=""/>
    <s v=""/>
    <s v="BaseGua"/>
    <s v=""/>
    <s v=""/>
    <s v="30%"/>
    <s v="Pipeline de Vendas"/>
    <s v="Em Fechamento (100%)"/>
    <s v=""/>
    <d v="2026-01-31T00:00:00"/>
    <n v="10000"/>
    <n v="2000"/>
    <n v="117"/>
    <s v="Paulo Souza"/>
    <d v="2026-01-23T00:00:00"/>
    <d v="1899-12-30T16:24:12"/>
    <s v=""/>
    <s v="Ativo"/>
    <m/>
    <m/>
    <s v=""/>
    <s v=""/>
    <s v=""/>
    <x v="176"/>
    <s v="Paulo Souza"/>
    <x v="190"/>
    <s v=""/>
    <d v="2026-03-20T00:00:00"/>
    <n v="30"/>
    <s v="20"/>
    <s v="COMEX"/>
    <s v="R$ 10.000"/>
    <s v="R$ 2.000"/>
    <n v="1"/>
  </r>
  <r>
    <x v="0"/>
    <n v="865"/>
    <m/>
    <n v="3170"/>
    <s v="23/01 Fiz FUP com a Simone e o próximo asso e fazer a proposta._x000a_A principal dor do cliente é centralizar a operação em um único sistema, garantindo maior fluidez nos processos, redução de falhas de integração e ganho de produtividade, principalmente nas áreas comercial, faturamento e backoffice._x000a_06/02 Foi apresentado a proposta, que esta sob-analsie da diretoria._x000a_26/02 Fiz FUP com a Simone para saber se vamos seguir ou não._x000a_20/03 Estou cobrando a Simone se vamos seguir ou não."/>
    <s v=""/>
    <x v="403"/>
    <n v="13303103000172"/>
    <s v=""/>
    <s v="Simone"/>
    <s v="(49) 3322-8576 / (49) 3644-0850"/>
    <s v=""/>
    <s v="toyehome@toyehome.com.br"/>
    <s v=""/>
    <s v=""/>
    <s v=""/>
    <s v="CHAPECO"/>
    <s v="SC"/>
    <s v="Inbound"/>
    <s v=""/>
    <s v=""/>
    <s v="50%"/>
    <s v="Pipeline de Vendas"/>
    <s v="Em negociação (75%)"/>
    <s v=""/>
    <d v="2026-03-31T00:00:00"/>
    <n v="59184"/>
    <n v="488139"/>
    <n v="77"/>
    <s v="Paulo Souza"/>
    <d v="2026-01-23T00:00:00"/>
    <d v="1899-12-30T16:52:07"/>
    <s v=""/>
    <s v="Perdido"/>
    <d v="2026-04-10T00:00:00"/>
    <d v="1899-12-30T17:22:13"/>
    <s v="Projeto adiado / sem prazo definido"/>
    <s v=""/>
    <s v=""/>
    <x v="176"/>
    <s v="Paulo Souza"/>
    <x v="190"/>
    <s v=""/>
    <d v="2026-03-20T00:00:00"/>
    <n v="50"/>
    <s v="320"/>
    <s v="ERP, AFV, ADICIONAIS"/>
    <s v="R$ 79.311,16"/>
    <s v="R$ 6.145,44"/>
    <n v="1"/>
  </r>
  <r>
    <x v="2"/>
    <n v="866"/>
    <m/>
    <n v="3177"/>
    <s v="26/01 - é uma industria e esta buscando software de gestão da empresa. _x000a_Estou tentando marcar reunião mas o cliente não atende_x000a_27/01 - Bom dia Micael, tudo bem?_x000a_Ainda tem interesse em seguir com uma solução técnologica para sua empresa?"/>
    <s v=""/>
    <x v="404"/>
    <m/>
    <s v=""/>
    <s v="Lcosmeticos"/>
    <s v="11957608058"/>
    <s v=""/>
    <s v="carriaomicael@gmail.com"/>
    <s v=""/>
    <s v=""/>
    <s v=""/>
    <s v=""/>
    <s v=""/>
    <s v="Campanha"/>
    <s v=""/>
    <s v=""/>
    <s v="Dentro Perfil;Instagram"/>
    <s v="Pipeline de Vendas"/>
    <s v="Agendamento (0%)"/>
    <s v=""/>
    <d v="2026-01-31T00:00:00"/>
    <m/>
    <m/>
    <n v="3"/>
    <s v="Paulo Souza"/>
    <d v="2026-01-26T00:00:00"/>
    <d v="1899-12-30T13:12:42"/>
    <s v=""/>
    <s v="Perdido"/>
    <d v="2026-01-29T00:00:00"/>
    <d v="1899-12-30T16:04:41"/>
    <s v="Não houve aprovação financeira"/>
    <s v=""/>
    <s v=""/>
    <x v="0"/>
    <s v="Rayssa Karapeticov"/>
    <x v="0"/>
    <s v=""/>
    <d v="2026-01-27T00:00:00"/>
    <m/>
    <s v=""/>
    <s v=""/>
    <s v=""/>
    <s v=""/>
    <n v="1"/>
  </r>
  <r>
    <x v="1"/>
    <n v="867"/>
    <m/>
    <n v="3176"/>
    <s v="(27/01/2026) em contato com Thales , ficamos de falar por telefone as 11;30 horas do dia 27/01_x000a_(27/01/2026) Reunião de apresentação primeira Etapa AFV em 28/01/2026 as 14 horas _x000a_(28/01/2026) apresentação do força de vendas na integra e vídeos do força de vendas _x000a_cliente pediu para seguirmos com proposta comercial para ver se está dentro do sua previsão de investimento _x000a_(19/02/2026) Thales achou valor acima para o momento"/>
    <s v=""/>
    <x v="405"/>
    <n v="16743404000105"/>
    <s v=""/>
    <s v="MINAS MIX"/>
    <s v="3194143043"/>
    <s v=""/>
    <s v="thales_david@hotmail.com"/>
    <s v=""/>
    <s v=""/>
    <s v=""/>
    <s v="BELO HORIZONTE"/>
    <s v="MG"/>
    <s v="Campanha"/>
    <s v=""/>
    <s v=""/>
    <s v="30%;Dentro Perfil;Instagram"/>
    <s v="Pipeline de Vendas"/>
    <s v="Apresentar Proposta (50%)"/>
    <s v=""/>
    <d v="2026-02-28T00:00:00"/>
    <n v="61904"/>
    <n v="10192"/>
    <n v="24"/>
    <s v="Paulo Souza"/>
    <d v="2026-01-26T00:00:00"/>
    <d v="1899-12-30T13:15:19"/>
    <s v=""/>
    <s v="Perdido"/>
    <d v="2026-02-19T00:00:00"/>
    <d v="1899-12-30T16:36:15"/>
    <s v="Não houve aprovação financeira"/>
    <s v="(19/02/2026) Thales achou valor acima para o momento"/>
    <s v=""/>
    <x v="175"/>
    <s v="Junior Lopes"/>
    <x v="191"/>
    <s v=""/>
    <d v="2026-02-19T00:00:00"/>
    <n v="30"/>
    <s v=""/>
    <s v=""/>
    <s v=""/>
    <s v=""/>
    <n v="1"/>
  </r>
  <r>
    <x v="2"/>
    <n v="868"/>
    <m/>
    <n v="3174"/>
    <s v="Usa o sistema da Linx, é um armazem de bebida e fazvendas por Zé delivery e Ifood."/>
    <s v=""/>
    <x v="406"/>
    <m/>
    <s v=""/>
    <s v="Brasa e Malte"/>
    <s v="31997703979"/>
    <s v=""/>
    <s v="jsamaurin@gmail.com"/>
    <s v=""/>
    <s v=""/>
    <s v=""/>
    <s v=""/>
    <s v=""/>
    <s v="Campanha"/>
    <s v=""/>
    <s v=""/>
    <s v="Fora Perfil;Instagram"/>
    <s v="Pipeline de Vendas"/>
    <s v="Agendamento (0%)"/>
    <s v=""/>
    <d v="2026-01-31T00:00:00"/>
    <m/>
    <m/>
    <n v="0"/>
    <s v="Paulo Souza"/>
    <d v="2026-01-26T00:00:00"/>
    <d v="1899-12-30T13:17:49"/>
    <s v=""/>
    <s v="Perdido"/>
    <d v="2026-01-26T00:00:00"/>
    <d v="1899-12-30T14:29:56"/>
    <s v="Fora do porte mínimo (sem fit estrutural)"/>
    <s v=""/>
    <s v=""/>
    <x v="0"/>
    <s v="Rayssa Karapeticov"/>
    <x v="0"/>
    <s v=""/>
    <m/>
    <m/>
    <s v=""/>
    <s v=""/>
    <s v=""/>
    <s v=""/>
    <n v="1"/>
  </r>
  <r>
    <x v="1"/>
    <n v="869"/>
    <m/>
    <n v="3175"/>
    <s v="17:09, 26/01/2026 Junior Lopes: Olá Leonan ! Boa tarde _x000a_Sou Junior Lopes da Guarani sistemas, Td bem ?_x000a_17:11, 26/01/2026 Leonan: opa boa tarde_x000a_09:05, 27/01/2026 Junior Lopes: Olá Leonan, bom dia tudo bem ?_x000a_09:06, 27/01/2026 Junior Lopes: podemos bater um papo por telefone hoje as 14 horas ? a ideia é entender suas necessidades e te apresentar uma solução para te ajudar_x000a_17:25, 27/01/2026 Junior Lopes: Olá, Leonan! Como não conseguimos evoluir nossa conversa nos últimos dias, entendo que talvez este não seja o momento ideal para focarmos na Solução ERP e Força de vendas. Estou encerrando o seu processo por aqui para não lotar sua caixa de entrada. Vou deixar seu contato salvo e, assim que suas prioridades mudarem, sinta-se à vontade para me chamar"/>
    <s v=""/>
    <x v="407"/>
    <m/>
    <s v=""/>
    <s v="Leme"/>
    <s v="11976239673"/>
    <s v=""/>
    <s v="leonamj@gmail.com"/>
    <s v=""/>
    <s v=""/>
    <s v=""/>
    <s v=""/>
    <s v=""/>
    <s v="Campanha"/>
    <s v=""/>
    <s v=""/>
    <s v="Dentro Perfil;Instagram"/>
    <s v="Pipeline de Vendas"/>
    <s v="Agendamento (0%)"/>
    <s v=""/>
    <d v="2026-01-31T00:00:00"/>
    <m/>
    <m/>
    <n v="103"/>
    <s v="Paulo Souza"/>
    <d v="2026-01-26T00:00:00"/>
    <d v="1899-12-30T13:19:44"/>
    <s v=""/>
    <s v="Perdido"/>
    <d v="2026-05-09T00:00:00"/>
    <d v="1899-12-30T08:11:38"/>
    <s v="Sem qualificação — contato não atende ligações nem responde msg"/>
    <s v=""/>
    <s v=""/>
    <x v="0"/>
    <s v="Junior Lopes"/>
    <x v="0"/>
    <s v=""/>
    <d v="2026-01-27T00:00:00"/>
    <m/>
    <s v=""/>
    <s v=""/>
    <s v=""/>
    <s v=""/>
    <n v="1"/>
  </r>
  <r>
    <x v="2"/>
    <n v="870"/>
    <m/>
    <n v="3173"/>
    <s v="14:32, 1/26/2026 Rayssa Karapeticov - Comercial - Guarani Sistemas: Boa tarde, Adriano, como vai? _x000a_É a Rayssa da Guarani Sistemas _x000a_recebi seu contato para falar de nossas soluções, você prefere que eu te ligue ou trate por aqui?_x000a_15:53, 1/26/2026 +55 16 99614-4458: AMANHÃ ENTRO EM CONTATO_x000a_15:54, 1/26/2026 Rayssa Karapeticov - Comercial - Guarani Sistemas: Perfeito, aguardo retorno_x000a_09:53, 1/27/2026 Rayssa Karapeticov - Comercial - Guarani Sistemas: Bom dia Adriano, tudo bem? _x000a_Conseguimos falar hoje?_x000a_05.02 - Sem retorno do cliente Sem retorno do cliente _x000a_17.02Usa um  sistema do Rio grande do Sul Nova gestor e tem duas dificuldades _x000a_Não comunica com o banco C6Bank _x000a_Ordem de produção _x000a_São uma indústria química por batelada _x000a_Várias tipos de embalagem _x000a_Adesivos industriais _x000a_Minas Gerais - _x000a_8 RCA _x000a_3 pessoas _x000a_Atualmente pagar R$290,00 por mes com todos esses acessos, então fica inviavel a contratação"/>
    <s v=""/>
    <x v="408"/>
    <m/>
    <s v=""/>
    <s v="Kicollaadesivos.com.br"/>
    <s v="16996144458"/>
    <s v=""/>
    <s v="adrianosoaresm@yahoo.com.br"/>
    <s v=""/>
    <s v=""/>
    <s v=""/>
    <s v=""/>
    <s v=""/>
    <s v="Campanha"/>
    <s v=""/>
    <s v=""/>
    <s v="30%;Dentro Perfil;Instagram"/>
    <s v="Pipeline de Vendas"/>
    <s v="Qualificação de Vendas (SQL) (25%)"/>
    <s v=""/>
    <d v="2026-01-31T00:00:00"/>
    <m/>
    <m/>
    <n v="22"/>
    <s v="Paulo Souza"/>
    <d v="2026-01-26T00:00:00"/>
    <d v="1899-12-30T13:21:08"/>
    <s v=""/>
    <s v="Perdido"/>
    <d v="2026-02-17T00:00:00"/>
    <d v="1899-12-30T16:11:30"/>
    <s v="Preço muito alto - fora do budget de investimento"/>
    <s v=""/>
    <s v=""/>
    <x v="0"/>
    <s v="Rayssa Karapeticov"/>
    <x v="0"/>
    <s v=""/>
    <d v="2026-02-17T00:00:00"/>
    <n v="30"/>
    <s v=""/>
    <s v=""/>
    <s v=""/>
    <s v=""/>
    <n v="1"/>
  </r>
  <r>
    <x v="0"/>
    <n v="871"/>
    <m/>
    <n v="3172"/>
    <s v="contato realizado com o Alexanre, sem sucesso. Deixei msg no zap para faalrmos amanha!_x000a_28/01 Fiz FUP hoje com o Alexandre, sem sucesso. Deixei novamente recado no whatsapp e e-mail!_x000a_12/03 Por falta de retorno e interesse estou declinando o lead foi feita diversas tentativa de comunicação sem sucesso."/>
    <s v=""/>
    <x v="409"/>
    <n v="19933187000104"/>
    <s v=""/>
    <s v="Giacom Distribuidora Ltda"/>
    <s v="11918764203"/>
    <s v=""/>
    <s v="alexandre@giacomdistribuidora.com.br"/>
    <s v=""/>
    <s v=""/>
    <s v=""/>
    <s v=""/>
    <s v=""/>
    <s v="Campanha"/>
    <s v=""/>
    <s v=""/>
    <s v="30%;Dentro Perfil;Instagram"/>
    <s v="Pipeline de Vendas"/>
    <s v="Qualificação de Vendas (SQL) (25%)"/>
    <s v=""/>
    <d v="2026-01-31T00:00:00"/>
    <m/>
    <m/>
    <n v="45"/>
    <s v="Paulo Souza"/>
    <d v="2026-01-26T00:00:00"/>
    <d v="1899-12-30T13:21:53"/>
    <s v=""/>
    <s v="Perdido"/>
    <d v="2026-03-12T00:00:00"/>
    <d v="1899-12-30T17:29:31"/>
    <s v="Fora do porte mínimo (sem fit estrutural)"/>
    <s v=""/>
    <s v=""/>
    <x v="0"/>
    <s v="Paulo Souza"/>
    <x v="0"/>
    <s v=""/>
    <d v="2026-03-12T00:00:00"/>
    <n v="30"/>
    <s v=""/>
    <s v=""/>
    <s v=""/>
    <s v=""/>
    <n v="1"/>
  </r>
  <r>
    <x v="0"/>
    <n v="872"/>
    <m/>
    <n v="3178"/>
    <s v="Fiz o primeiro contato com a Maria e agendamos amanhã às 14h._x000a_28/01 Fiz FUP hoje com a maria sem sucesso. Liguei não atendeu , deixei recado no whats app e estou aguardando retorno._x000a_28/01 Consegui fazer a apresentação institucional para a Maria. O próximo passo é enviar a proposta !_x000a_06/02 Fiz uma reunião onde apresentei a proposta. A Maria, foi bem objetiva e falou que o valor ficou bem acima dos demais concorrentes, mesmo assim ela vai ter uma reunião com a diretoria na próxima semana e me retorna se seguiremos ou não!_x000a_26/02 Fiz FUP com a Maria cobrando uma posição se seguiremos ou não._x000a_27/02 Por falta de interação e retorno do cliente estou declinando a proposta."/>
    <s v=""/>
    <x v="410"/>
    <m/>
    <s v=""/>
    <s v="Maria"/>
    <s v="(11) 97129-2472"/>
    <s v=""/>
    <s v="financeiro@autovolth.com.br"/>
    <s v=""/>
    <s v=""/>
    <s v=""/>
    <s v="São Paulo"/>
    <s v=""/>
    <s v="Site"/>
    <s v=""/>
    <s v=""/>
    <s v="50%;Solicita demo"/>
    <s v="Pipeline de Vendas"/>
    <s v="Em negociação (75%)"/>
    <s v=""/>
    <d v="2026-02-28T00:00:00"/>
    <n v="701343"/>
    <n v="17345"/>
    <n v="32"/>
    <s v="Paulo Souza"/>
    <d v="2026-01-26T00:00:00"/>
    <d v="1899-12-30T17:09:40"/>
    <s v=""/>
    <s v="Perdido"/>
    <d v="2026-02-27T00:00:00"/>
    <d v="1899-12-30T21:20:57"/>
    <s v="Projeto adiado / sem prazo definido"/>
    <s v=""/>
    <s v=""/>
    <x v="177"/>
    <s v="Paulo Souza"/>
    <x v="192"/>
    <s v=""/>
    <d v="2026-02-26T00:00:00"/>
    <n v="50"/>
    <s v="330"/>
    <s v="ERP, PCP, ADICIONAIS"/>
    <s v="R$ 66.000"/>
    <s v="R$ 5.868,80"/>
    <n v="1"/>
  </r>
  <r>
    <x v="1"/>
    <n v="873"/>
    <m/>
    <n v="3179"/>
    <s v="(27/01/2026) Olá Fábio ! Bom dia _x000a_Sou Junior Lopes da Guarani sistemas, Td bem ?_x000a_acrescentei um áudio me apresentando e sugerindo um bate papo hoje as 14 horas _x000a_(29/01/2026) tentativa de contato sem retorno do Fabio !_x000a_Olá Fábio ! Estou tentando contato para falarmos sobre as soluções Guarani ! _x000a_Porém devido a falta de retorno acredito que você está com outras prioridades _x000a_Vou deixar seu contato salvo caso em breve queira conversar _x000a_Um grande abraço"/>
    <s v=""/>
    <x v="411"/>
    <m/>
    <s v=""/>
    <s v="FB dis"/>
    <s v="11992758370"/>
    <s v=""/>
    <s v="fabiojb80@gmail.com"/>
    <s v=""/>
    <s v=""/>
    <s v=""/>
    <s v=""/>
    <s v=""/>
    <s v="Campanha"/>
    <s v=""/>
    <s v=""/>
    <s v="Dentro Perfil;Instagram"/>
    <s v="Pipeline de Vendas"/>
    <s v="Agendamento (0%)"/>
    <s v=""/>
    <m/>
    <m/>
    <m/>
    <n v="102"/>
    <s v="Paulo Souza"/>
    <d v="2026-01-27T00:00:00"/>
    <d v="1899-12-30T08:39:12"/>
    <s v=""/>
    <s v="Perdido"/>
    <d v="2026-05-09T00:00:00"/>
    <d v="1899-12-30T08:13:07"/>
    <s v="Sem qualificação — contato não atende ligações nem responde msg"/>
    <s v=""/>
    <s v=""/>
    <x v="0"/>
    <s v="Junior Lopes"/>
    <x v="0"/>
    <s v=""/>
    <d v="2026-01-29T00:00:00"/>
    <m/>
    <s v=""/>
    <s v=""/>
    <s v=""/>
    <s v=""/>
    <n v="1"/>
  </r>
  <r>
    <x v="2"/>
    <n v="874"/>
    <m/>
    <n v="3180"/>
    <s v=""/>
    <s v=""/>
    <x v="412"/>
    <m/>
    <s v=""/>
    <s v="Scientech Ambiental"/>
    <s v="11999733410"/>
    <s v=""/>
    <s v="luissscaro@hotmail.com"/>
    <s v=""/>
    <s v=""/>
    <s v=""/>
    <s v=""/>
    <s v=""/>
    <s v="Campanha"/>
    <s v=""/>
    <s v=""/>
    <s v="Fora Perfil;Instagram"/>
    <s v="Pipeline de Vendas"/>
    <s v="Agendamento (0%)"/>
    <s v=""/>
    <d v="2026-01-31T00:00:00"/>
    <m/>
    <m/>
    <n v="2"/>
    <s v="Paulo Souza"/>
    <d v="2026-01-27T00:00:00"/>
    <d v="1899-12-30T08:40:17"/>
    <s v=""/>
    <s v="Perdido"/>
    <d v="2026-01-29T00:00:00"/>
    <d v="1899-12-30T15:59:33"/>
    <s v="Fora do porte mínimo (sem fit estrutural)"/>
    <s v=""/>
    <s v=""/>
    <x v="0"/>
    <s v="Rayssa Karapeticov"/>
    <x v="0"/>
    <s v=""/>
    <m/>
    <m/>
    <s v=""/>
    <s v=""/>
    <s v=""/>
    <s v=""/>
    <n v="1"/>
  </r>
  <r>
    <x v="1"/>
    <n v="876"/>
    <m/>
    <n v="3182"/>
    <s v=""/>
    <s v="Orbhes Espumas E Colchoes Ltda"/>
    <x v="413"/>
    <n v="5937946000100"/>
    <s v=""/>
    <s v="Orbhes Espumas E Colchoes Ltda"/>
    <s v="(47) 3376-8400"/>
    <s v=""/>
    <s v="orbhes@orbhes.com.br"/>
    <s v=""/>
    <s v=""/>
    <s v=""/>
    <s v="JARAGUA DO SUL"/>
    <s v="SC"/>
    <s v="Base de empresas Leads2b"/>
    <s v=""/>
    <s v=""/>
    <s v="80%"/>
    <s v="Pipeline de Vendas"/>
    <s v="Em Fechamento (100%)"/>
    <s v=""/>
    <d v="2026-02-28T00:00:00"/>
    <n v="16960"/>
    <n v="32775"/>
    <n v="16"/>
    <s v="Junior Lopes"/>
    <d v="2026-01-28T00:00:00"/>
    <d v="1899-12-30T09:06:40"/>
    <s v=""/>
    <s v="Ganho"/>
    <d v="2026-02-13T00:00:00"/>
    <d v="1899-12-30T12:16:48"/>
    <s v=""/>
    <s v=""/>
    <s v=""/>
    <x v="178"/>
    <s v="Junior Lopes"/>
    <x v="193"/>
    <s v=""/>
    <m/>
    <n v="80"/>
    <s v=""/>
    <s v=""/>
    <s v=""/>
    <s v=""/>
    <n v="1"/>
  </r>
  <r>
    <x v="0"/>
    <n v="877"/>
    <m/>
    <n v="3187"/>
    <s v="28/01 Apresentar o sistema B2B para Clevis o responsável de TI e Alessandro gerente de loja. _x000a_05/02/2026 Fiz apresentação do produto e da proposta, agora negociado._x000a_26/02 Fiz FUP com o CLEVIS, hoje cobrando a reunião para negociar!_x000a_10/03 Fiz reunião ontem com o Clevis e expliquei que o que e possível em relação a isenção da mensalidade é : 4 meses da assinatura ou qdo sistema em produção._x000a_12/03 Negociando o fechamento reunião técnica para o dia 17/03 as 15h._x000a_12/03 Fiz FUP hoje com o Clevis para firmar uma agenda de uma conversa técnica para terça feira dia 17/03 as 15h. Será feito nessa reunião um alinhamento de integração do nosso B2B com o JJsistema  . _x000a_A proposta ficou em 13k e a mensalidade iniciar com com 4 meses da assinatura do contrato ou sistema em produção._x000a_20/03 Esta na fase de coleta de documentação para assinar o contrato."/>
    <s v=""/>
    <x v="414"/>
    <m/>
    <s v=""/>
    <s v="Clevis"/>
    <s v="47992119052"/>
    <s v=""/>
    <s v="null"/>
    <s v=""/>
    <s v=""/>
    <s v=""/>
    <s v=""/>
    <s v=""/>
    <s v="BaseGua"/>
    <s v=""/>
    <s v=""/>
    <s v="90%"/>
    <s v="Pipeline de Vendas"/>
    <s v="Em Fechamento (100%)"/>
    <s v=""/>
    <d v="2026-03-31T00:00:00"/>
    <n v="12000"/>
    <n v="1700"/>
    <n v="110"/>
    <s v="Paulo Souza"/>
    <d v="2026-01-28T00:00:00"/>
    <d v="1899-12-30T15:54:53"/>
    <s v=""/>
    <s v="Perdido"/>
    <d v="2026-05-18T00:00:00"/>
    <d v="1899-12-30T17:08:31"/>
    <s v="Não houve aprovação financeira"/>
    <s v=""/>
    <s v=""/>
    <x v="118"/>
    <s v="Paulo Souza"/>
    <x v="194"/>
    <s v=""/>
    <d v="2026-03-20T00:00:00"/>
    <n v="80"/>
    <s v="24"/>
    <s v="B2B"/>
    <s v="R$ 0,00"/>
    <s v="R$ 0,00"/>
    <n v="1"/>
  </r>
  <r>
    <x v="1"/>
    <n v="879"/>
    <m/>
    <n v="3192"/>
    <s v="(29/01/2026) feito ligação para Marcelo para explicar valores da proposta comercial"/>
    <s v="Portal Importacao E Exportacao De Equipamentos De Informatica Ltda"/>
    <x v="415"/>
    <n v="42371959000183"/>
    <s v=""/>
    <s v="Portal Importacao E Exportacao De Equipamentos De Informatica Ltda"/>
    <s v="(11) 8444-8642"/>
    <s v=""/>
    <s v="portal@gmail.com"/>
    <s v=""/>
    <s v=""/>
    <s v=""/>
    <s v="GUARULHOS"/>
    <s v="SP"/>
    <s v="Base de empresas Leads2b"/>
    <s v=""/>
    <s v=""/>
    <s v="30%"/>
    <s v="Pipeline de Vendas"/>
    <s v="Apresentar Proposta (50%)"/>
    <s v=""/>
    <d v="2026-02-28T00:00:00"/>
    <n v="79958"/>
    <n v="45432"/>
    <n v="25"/>
    <s v="Junior Lopes"/>
    <d v="2026-01-29T00:00:00"/>
    <d v="1899-12-30T09:56:25"/>
    <s v=""/>
    <s v="Perdido"/>
    <d v="2026-02-23T00:00:00"/>
    <d v="1899-12-30T15:07:05"/>
    <s v="Não houve aprovação financeira"/>
    <s v="cliente declinou após recebimento da proposta comercial"/>
    <s v=""/>
    <x v="175"/>
    <s v="Junior Lopes"/>
    <x v="189"/>
    <s v=""/>
    <m/>
    <n v="30"/>
    <s v=""/>
    <s v=""/>
    <s v=""/>
    <s v=""/>
    <n v="1"/>
  </r>
  <r>
    <x v="1"/>
    <n v="882"/>
    <m/>
    <n v="3199"/>
    <s v="em contato na feira Abcasa , vai seguir com AFV"/>
    <s v=""/>
    <x v="416"/>
    <m/>
    <s v=""/>
    <s v="Plasberg - ERP"/>
    <s v="75981412000"/>
    <s v=""/>
    <s v="null"/>
    <s v=""/>
    <s v=""/>
    <s v=""/>
    <s v=""/>
    <s v=""/>
    <s v=""/>
    <s v=""/>
    <s v=""/>
    <s v="50%"/>
    <s v="Pipeline de Vendas"/>
    <s v="Em negociação (75%)"/>
    <s v=""/>
    <d v="2026-02-28T00:00:00"/>
    <n v="90000"/>
    <n v="921279"/>
    <n v="15"/>
    <s v="Junior Lopes"/>
    <d v="2026-01-29T00:00:00"/>
    <d v="1899-12-30T16:10:26"/>
    <s v=""/>
    <s v="Perdido"/>
    <d v="2026-02-13T00:00:00"/>
    <d v="1899-12-30T12:24:12"/>
    <s v="Não quer mudar a solução atual"/>
    <s v="em contato na feira Abcasa , vai seguir com AFV"/>
    <s v=""/>
    <x v="179"/>
    <s v="Junior Lopes"/>
    <x v="175"/>
    <s v=""/>
    <d v="2026-02-13T00:00:00"/>
    <n v="50"/>
    <s v=""/>
    <s v=""/>
    <s v=""/>
    <s v=""/>
    <n v="1"/>
  </r>
  <r>
    <x v="1"/>
    <n v="883"/>
    <m/>
    <n v="3200"/>
    <s v="em contato na feira Abcasa , vai seguir com AFV"/>
    <s v=""/>
    <x v="113"/>
    <m/>
    <s v=""/>
    <s v="Plasberg - AFV"/>
    <s v="75981412000"/>
    <s v=""/>
    <s v="null"/>
    <s v=""/>
    <s v=""/>
    <s v=""/>
    <s v=""/>
    <s v=""/>
    <s v=""/>
    <s v=""/>
    <s v=""/>
    <s v="50%"/>
    <s v="Pipeline de Vendas"/>
    <s v="Em negociação (75%)"/>
    <s v=""/>
    <d v="2026-02-28T00:00:00"/>
    <n v="1600"/>
    <n v="599515"/>
    <n v="15"/>
    <s v="Junior Lopes"/>
    <d v="2026-01-29T00:00:00"/>
    <d v="1899-12-30T16:20:50"/>
    <s v=""/>
    <s v="Perdido"/>
    <d v="2026-02-13T00:00:00"/>
    <d v="1899-12-30T12:25:47"/>
    <s v="Não quer mudar a solução atual"/>
    <s v="em contato na feira Abcasa , vai seguir com AFV"/>
    <s v=""/>
    <x v="179"/>
    <s v="Junior Lopes"/>
    <x v="175"/>
    <s v=""/>
    <d v="2026-02-13T00:00:00"/>
    <n v="50"/>
    <s v=""/>
    <s v=""/>
    <s v=""/>
    <s v=""/>
    <n v="1"/>
  </r>
  <r>
    <x v="1"/>
    <n v="884"/>
    <m/>
    <n v="3202"/>
    <s v="10:21, 09/03/2026 Junior Lopes: Olá Breno ! Como vai ?_x000a_11:06, 09/03/2026 Breno Plasberg: Bom dia_x000a_11:07, 09/03/2026 Junior Lopes: tudo bem meu amigo ! sobre a sequencia do projeto, alguma novidade ?"/>
    <s v=""/>
    <x v="417"/>
    <m/>
    <s v=""/>
    <s v="Plasberg - AFV"/>
    <s v="75981412000"/>
    <s v=""/>
    <s v="null"/>
    <s v=""/>
    <s v=""/>
    <s v=""/>
    <s v=""/>
    <s v=""/>
    <s v=""/>
    <s v=""/>
    <s v=""/>
    <s v="50%"/>
    <s v="Pipeline de Vendas"/>
    <s v="Em Fechamento (100%)"/>
    <s v=""/>
    <d v="2026-03-31T00:00:00"/>
    <n v="149248"/>
    <n v="29499"/>
    <n v="62"/>
    <s v="Junior Lopes"/>
    <d v="2026-01-29T00:00:00"/>
    <d v="1899-12-30T16:37:42"/>
    <s v=""/>
    <s v="Ganho"/>
    <d v="2026-04-01T00:00:00"/>
    <d v="1899-12-30T15:31:20"/>
    <s v=""/>
    <s v=""/>
    <s v=""/>
    <x v="175"/>
    <s v="Junior Lopes"/>
    <x v="175"/>
    <s v="11/02/2026"/>
    <d v="2026-02-09T00:00:00"/>
    <n v="50"/>
    <s v=""/>
    <s v=""/>
    <s v=""/>
    <s v=""/>
    <n v="1"/>
  </r>
  <r>
    <x v="1"/>
    <n v="885"/>
    <m/>
    <n v="3205"/>
    <s v="(29/01/2026) em contato com Artur, esta em analise interna"/>
    <s v=""/>
    <x v="418"/>
    <n v="4312818000109"/>
    <s v=""/>
    <s v="Pino lar"/>
    <s v=""/>
    <s v=""/>
    <s v=""/>
    <s v=""/>
    <s v=""/>
    <s v=""/>
    <s v="SAO PAULO"/>
    <s v="SP"/>
    <s v=""/>
    <s v=""/>
    <s v=""/>
    <s v="30%"/>
    <s v="Pipeline de Vendas"/>
    <s v="Em negociação (75%)"/>
    <s v=""/>
    <d v="2026-02-28T00:00:00"/>
    <n v="1600"/>
    <n v="384454"/>
    <n v="20"/>
    <s v="Junior Lopes"/>
    <d v="2026-01-30T00:00:00"/>
    <d v="1899-12-30T14:50:39"/>
    <s v=""/>
    <s v="Perdido"/>
    <d v="2026-02-19T00:00:00"/>
    <d v="1899-12-30T16:32:59"/>
    <s v="Não quer mudar a solução atual"/>
    <s v="11:13, 13/02/2026 Artur Pino Pino Lar: Bom dia_x000a_11:13, 13/02/2026 Artur Pino Pino Lar: Tudo bem ?_x000a_11:13, 13/02/2026 Artur Pino Pino Lar: Optei em fechar com a Penso_x000a_11:13, 13/02/2026 Artur Pino Pino Lar: Nossa empresa de TI_x000a_11:14, 13/02/2026 Artur Pino Pino Lar: O valor , pelo pacote que temos ficou muito atrativo_x000a_11:14, 13/02/2026 Artur Pino Pino Lar: Próxima semana já vamos iniciar a carga de dados_x000a_11:14, 13/02/2026 Artur Pino Pino Lar: Mas …… obrigado !_x000a_11:16, 13/02/2026 Junior Lopes: Olá Artur , perfeito!  Vou comunicar o Fernando por aqui"/>
    <s v=""/>
    <x v="172"/>
    <s v="Junior Lopes"/>
    <x v="0"/>
    <s v=""/>
    <d v="2026-02-19T00:00:00"/>
    <n v="30"/>
    <s v=""/>
    <s v=""/>
    <s v=""/>
    <s v=""/>
    <n v="1"/>
  </r>
  <r>
    <x v="1"/>
    <n v="886"/>
    <m/>
    <n v="3207"/>
    <s v="Perfeito Cláudio ! Abraço_x000a_Olá Cláudio! Como vai ?_x000a_Olá Cláudio Td bem ? _x000a_Como não recebi seu retorno nos últimos dias, entendo que talvez não seja o melhor momento para seguirmos com projeto Guarani _x000a_Para nao lotar seu WhatsApp de mensagens estou encerrando o contato! _x000a_Caso suas prioridades mudem sigo a disposição _x000a_Abraço"/>
    <s v=""/>
    <x v="419"/>
    <m/>
    <s v=""/>
    <s v="Claudio Teixeira"/>
    <s v="43996693593"/>
    <s v=""/>
    <s v="claudioteixeirasap@hotmail.com"/>
    <s v=""/>
    <s v=""/>
    <s v=""/>
    <s v=""/>
    <s v=""/>
    <s v=""/>
    <s v=""/>
    <s v=""/>
    <s v="Dentro Perfil;Instagram"/>
    <s v="Pipeline de Vendas"/>
    <s v="Apresentar Proposta (50%)"/>
    <s v=""/>
    <m/>
    <n v="1600"/>
    <n v="252471"/>
    <n v="38"/>
    <s v="Junior Lopes"/>
    <d v="2026-01-30T00:00:00"/>
    <d v="1899-12-30T15:24:23"/>
    <s v=""/>
    <s v="Perdido"/>
    <d v="2026-03-09T00:00:00"/>
    <d v="1899-12-30T11:03:54"/>
    <s v="Projeto adiado / sem prazo definido"/>
    <s v="Perfeito Cláudio ! Abraço_x000a_Olá Cláudio! Como vai ?_x000a_Olá Cláudio Td bem ? _x000a_Como não recebi seu retorno nos últimos dias, entendo que talvez não seja o melhor momento para seguirmos com projeto Guarani _x000a_Para nao lotar seu WhatsApp de mensagens estou encerrando o contato! _x000a_Caso suas prioridades mudem sigo a disposição _x000a_Abraço"/>
    <s v=""/>
    <x v="172"/>
    <s v=""/>
    <x v="0"/>
    <s v=""/>
    <d v="2026-02-09T00:00:00"/>
    <m/>
    <s v=""/>
    <s v=""/>
    <s v=""/>
    <s v=""/>
    <n v="1"/>
  </r>
  <r>
    <x v="1"/>
    <n v="887"/>
    <m/>
    <n v="3208"/>
    <s v=""/>
    <s v=""/>
    <x v="420"/>
    <m/>
    <s v=""/>
    <s v="Mauricio Jorge Lima - Cloud"/>
    <s v="9384064995"/>
    <s v=""/>
    <s v="mauriciojlatm@gmail.com"/>
    <s v=""/>
    <s v=""/>
    <s v=""/>
    <s v=""/>
    <s v=""/>
    <s v=""/>
    <s v=""/>
    <s v=""/>
    <s v="Dentro Perfil"/>
    <s v="Pipeline de Vendas"/>
    <s v="Apresentar Solução (35%)"/>
    <s v=""/>
    <m/>
    <n v="1600"/>
    <n v="254271"/>
    <n v="6"/>
    <s v="Junior Lopes"/>
    <d v="2026-01-30T00:00:00"/>
    <d v="1899-12-30T15:57:59"/>
    <s v=""/>
    <s v="Perdido"/>
    <d v="2026-02-05T00:00:00"/>
    <d v="1899-12-30T14:13:46"/>
    <s v="Preço muito alto - fora do budget de investimento"/>
    <s v=": Preço muito alto"/>
    <s v=""/>
    <x v="172"/>
    <s v=""/>
    <x v="183"/>
    <s v=""/>
    <d v="2026-01-26T00:00:00"/>
    <m/>
    <s v=""/>
    <s v=""/>
    <s v=""/>
    <s v=""/>
    <n v="1"/>
  </r>
  <r>
    <x v="1"/>
    <n v="888"/>
    <m/>
    <n v="3209"/>
    <s v=""/>
    <s v=""/>
    <x v="421"/>
    <m/>
    <s v=""/>
    <s v="Folha dourada tabacos - Cloud"/>
    <s v="3284083586"/>
    <s v=""/>
    <s v="atacabaco@gmail.com"/>
    <s v=""/>
    <s v=""/>
    <s v=""/>
    <s v=""/>
    <s v=""/>
    <s v=""/>
    <s v=""/>
    <s v=""/>
    <s v="Dentro Perfil;Instagram"/>
    <s v="Pipeline de Vendas"/>
    <s v="Apresentar Solução (35%)"/>
    <s v=""/>
    <m/>
    <n v="1600"/>
    <n v="252471"/>
    <n v="6"/>
    <s v="Junior Lopes"/>
    <d v="2026-01-30T00:00:00"/>
    <d v="1899-12-30T16:09:17"/>
    <s v=""/>
    <s v="Perdido"/>
    <d v="2026-02-05T00:00:00"/>
    <d v="1899-12-30T12:21:51"/>
    <s v="Não houve aprovação financeira"/>
    <s v="valor acima da expectativa"/>
    <s v=""/>
    <x v="166"/>
    <s v=""/>
    <x v="176"/>
    <s v=""/>
    <d v="2026-01-29T00:00:00"/>
    <m/>
    <s v=""/>
    <s v=""/>
    <s v=""/>
    <s v=""/>
    <n v="1"/>
  </r>
  <r>
    <x v="1"/>
    <n v="889"/>
    <m/>
    <n v="3210"/>
    <s v="(19/02/2026) Thales achou valor acima para o momento"/>
    <s v=""/>
    <x v="422"/>
    <m/>
    <s v=""/>
    <s v="Minas Mix - Cloud"/>
    <s v="3194143043"/>
    <s v=""/>
    <s v="thales_david@hotmail.com"/>
    <s v=""/>
    <s v=""/>
    <s v=""/>
    <s v=""/>
    <s v=""/>
    <s v=""/>
    <s v=""/>
    <s v=""/>
    <s v="30%;Dentro Perfil;Instagram"/>
    <s v="Pipeline de Vendas"/>
    <s v="Apresentar Proposta (50%)"/>
    <s v=""/>
    <m/>
    <n v="1600"/>
    <n v="252471"/>
    <n v="20"/>
    <s v="Junior Lopes"/>
    <d v="2026-01-30T00:00:00"/>
    <d v="1899-12-30T16:40:37"/>
    <s v=""/>
    <s v="Perdido"/>
    <d v="2026-02-19T00:00:00"/>
    <d v="1899-12-30T16:37:47"/>
    <s v="Não houve aprovação financeira"/>
    <s v="(19/02/2026) Thales achou valor acima para o momento"/>
    <s v=""/>
    <x v="175"/>
    <s v="Junior Lopes"/>
    <x v="191"/>
    <s v=""/>
    <d v="2026-02-19T00:00:00"/>
    <n v="30"/>
    <s v=""/>
    <s v=""/>
    <s v=""/>
    <s v=""/>
    <n v="1"/>
  </r>
  <r>
    <x v="1"/>
    <n v="890"/>
    <m/>
    <n v="3190"/>
    <s v="16:53, 30/01/2026 Junior Lopes: ani sistemas, Td bem ?_x000a_17:35, 30/01/2026 Leonardo Form: Boa tarde tudo e vc ?_x000a_16:53, 02/02/2026 Junior Lopes: Olá Leonardo, boa tarde  ! tem interesse em conhecer nossas soluções ?"/>
    <s v=""/>
    <x v="423"/>
    <n v="747901000222"/>
    <s v=""/>
    <s v="Tenneco"/>
    <s v="19995356201"/>
    <s v=""/>
    <s v="ltavares@tenneco.com"/>
    <s v=""/>
    <s v=""/>
    <s v=""/>
    <s v=""/>
    <s v=""/>
    <s v="Campanha"/>
    <s v=""/>
    <s v=""/>
    <s v="30%;Dentro Perfil;Instagram"/>
    <s v="Pipeline de Vendas"/>
    <s v="Apresentar Solução (35%)"/>
    <s v=""/>
    <d v="2026-02-28T00:00:00"/>
    <m/>
    <m/>
    <n v="99"/>
    <s v="Paulo Souza"/>
    <d v="2026-01-30T00:00:00"/>
    <d v="1899-12-30T16:49:56"/>
    <s v=""/>
    <s v="Perdido"/>
    <d v="2026-05-09T00:00:00"/>
    <d v="1899-12-30T08:34:33"/>
    <s v="Sem qualificação — contato não atende ligações nem responde msg"/>
    <s v=""/>
    <s v=""/>
    <x v="0"/>
    <s v="Junior Lopes"/>
    <x v="0"/>
    <s v=""/>
    <d v="2026-03-09T00:00:00"/>
    <n v="30"/>
    <s v=""/>
    <s v=""/>
    <s v=""/>
    <s v=""/>
    <n v="1"/>
  </r>
  <r>
    <x v="2"/>
    <n v="891"/>
    <m/>
    <n v="3191"/>
    <s v="18.02 - Tentativa de contato realizado por telefone e-mail"/>
    <s v=""/>
    <x v="424"/>
    <m/>
    <s v=""/>
    <s v="Certo"/>
    <s v="3335294949"/>
    <s v=""/>
    <s v="ti@grupocerto.com.br"/>
    <s v=""/>
    <s v=""/>
    <s v=""/>
    <s v=""/>
    <s v=""/>
    <s v="Campanha"/>
    <s v=""/>
    <s v=""/>
    <s v="30%;Dentro Perfil;Instagram"/>
    <s v="Pipeline de Vendas"/>
    <s v="Apresentar Proposta (50%)"/>
    <s v=""/>
    <d v="2026-02-28T00:00:00"/>
    <m/>
    <m/>
    <n v="26"/>
    <s v="Paulo Souza"/>
    <d v="2026-01-30T00:00:00"/>
    <d v="1899-12-30T16:51:49"/>
    <s v=""/>
    <s v="Perdido"/>
    <d v="2026-02-25T00:00:00"/>
    <d v="1899-12-30T10:30:05"/>
    <s v="Cliente não quer contato LGPD"/>
    <s v=""/>
    <s v=""/>
    <x v="0"/>
    <s v="Rayssa Karapeticov"/>
    <x v="0"/>
    <s v=""/>
    <d v="2026-02-18T00:00:00"/>
    <n v="30"/>
    <s v=""/>
    <s v=""/>
    <s v=""/>
    <s v=""/>
    <n v="1"/>
  </r>
  <r>
    <x v="1"/>
    <n v="892"/>
    <m/>
    <n v="3196"/>
    <s v="(30/01/2026) Sou Junior Lopes da Guarani sistemas_x000a_16:56, 30/01/2026 Junior Lopes: Td bem ?_x000a_17:01, 30/01/2026 Orlando: Tudo_x000a_17:08, 30/01/2026 Orlando: Descreve alguma coisa do seu sistema_x000a_17:29, 30/01/2026 Orlando: Qual o valor mensal?_x000a_Este valor mensal posso incluir quantas empresas?_x000a_16:49, 02/02/2026 Junior Lopes: Olá Orlando , tem interesse em dar continuidade no contato ?_x000a_Hj um investimento em um ERP Guarani controlando sua empresa de ponta a ponta desde a produção passando pelos módulos financeiro a pagar e receber, comercial, compras, Fiscal, logística/expedicao (WMS) e Força de vendas ! Fica dentro de uma expectativa entre (60 mil a 90 mil) de investimento em implantação e treinamentos !_x000a_A mensalidade é por usuário sendo R$ 280,00 do ERP e R$ 115,00 do AFV_x000a_Caso queira um orçamento mais preciso, podemos nos reunir para entender melhor suas necessidades_x000a_O que seria AFV?  (enviei =áudio explicando)_x000a_(11/02/2026) retornei contato com Orlando buscando continuidade no atendimento _x000a_10:07, 19/02/2026 Orlando: Falamos mais tarde_x000a_10:08, 19/02/2026 Orlando: Estou viajando, melhor poderia me chamar na segunda feira?_x000a_10:17, 19/02/2026 Junior Lopes: Estou viajando, melhor poderia me chamar na segunda feira?_x000a_Sim ! Te chamo segunda-feira_x000a_(16/03/2026) em contato com Orlando ! acredito que não esta no momento certo ! Orlando um pouco confuso"/>
    <s v=""/>
    <x v="425"/>
    <n v="54888350000165"/>
    <s v=""/>
    <s v="Plastilando Ind e Com"/>
    <s v="21999778181"/>
    <s v=""/>
    <s v="orlando@plastianna.com.br"/>
    <s v=""/>
    <s v=""/>
    <s v=""/>
    <s v=""/>
    <s v=""/>
    <s v="Campanha"/>
    <s v=""/>
    <s v=""/>
    <s v="30%;Dentro Perfil;Instagram"/>
    <s v="Pipeline de Vendas"/>
    <s v="Em negociação (75%)"/>
    <s v=""/>
    <d v="2026-03-31T00:00:00"/>
    <n v="1148572"/>
    <n v="71924"/>
    <n v="99"/>
    <s v="Paulo Souza"/>
    <d v="2026-01-30T00:00:00"/>
    <d v="1899-12-30T16:53:38"/>
    <s v=""/>
    <s v="Perdido"/>
    <d v="2026-05-09T00:00:00"/>
    <d v="1899-12-30T08:30:36"/>
    <s v="Não houve aprovação financeira"/>
    <s v=""/>
    <s v=""/>
    <x v="180"/>
    <s v="Junior Lopes"/>
    <x v="195"/>
    <s v=""/>
    <d v="2026-03-16T00:00:00"/>
    <n v="30"/>
    <s v=""/>
    <s v=""/>
    <s v=""/>
    <s v=""/>
    <n v="1"/>
  </r>
  <r>
    <x v="0"/>
    <n v="893"/>
    <m/>
    <n v="3203"/>
    <s v="17/02 Feito apresentação institucional e vídeos do ERP . _x000a_10/03 Fiz FUP com o Henrique e ele recebeu a proposta e esta sobre analise. Temos um reunião de apresentação de WMS na sexta-feira proxima para ele conhecer este módulo e seguirmos._x000a_20/03 Aguardando o Henrique se reunir com o time de ERP atual para decidir se vai trocar ou não o sistema."/>
    <s v=""/>
    <x v="426"/>
    <n v="10258712000169"/>
    <s v=""/>
    <s v="HENRIQUE CARVALHO SANTOS"/>
    <s v="(31) 99987-1034"/>
    <s v=""/>
    <s v="henrique@armandonacionais.com.br"/>
    <s v=""/>
    <s v=""/>
    <s v=""/>
    <s v="São Paulo"/>
    <s v=""/>
    <s v="Site"/>
    <s v=""/>
    <s v=""/>
    <s v="90%;Dentro Perfil;Solicita demo"/>
    <s v="Pipeline de Vendas"/>
    <s v="Em Fechamento (100%)"/>
    <s v=""/>
    <d v="2026-03-31T00:00:00"/>
    <n v="1301786"/>
    <n v="2713706"/>
    <n v="70"/>
    <s v="Paulo Souza"/>
    <d v="2026-01-30T00:00:00"/>
    <d v="1899-12-30T17:03:26"/>
    <s v=""/>
    <s v="Perdido"/>
    <d v="2026-04-10T00:00:00"/>
    <d v="1899-12-30T15:57:04"/>
    <s v="Não quer mudar a solução atual"/>
    <s v=""/>
    <s v=""/>
    <x v="168"/>
    <s v="Paulo Souza"/>
    <x v="182"/>
    <s v=""/>
    <d v="2026-03-20T00:00:00"/>
    <n v="30"/>
    <s v=""/>
    <s v="ERP, AFV, PDV, TREINAMENTO"/>
    <s v=""/>
    <s v=""/>
    <n v="1"/>
  </r>
  <r>
    <x v="0"/>
    <n v="894"/>
    <m/>
    <n v="3204"/>
    <s v="26/02 Foi feito FUP com o Wilson e ele optou pela concorrência devido a valor."/>
    <s v=""/>
    <x v="427"/>
    <m/>
    <s v=""/>
    <s v="Mobal"/>
    <s v="13997072312"/>
    <s v=""/>
    <s v="alumiglass.peruibe@gmail.com"/>
    <s v=""/>
    <s v=""/>
    <s v=""/>
    <s v=""/>
    <s v=""/>
    <s v="Campanha"/>
    <s v=""/>
    <s v=""/>
    <s v="30%;Dentro Perfil;Instagram"/>
    <s v="Pipeline de Vendas"/>
    <s v="Agendamento (0%)"/>
    <s v=""/>
    <d v="2026-02-28T00:00:00"/>
    <m/>
    <m/>
    <n v="27"/>
    <s v="Paulo Souza"/>
    <d v="2026-01-30T00:00:00"/>
    <d v="1899-12-30T17:06:43"/>
    <s v=""/>
    <s v="Perdido"/>
    <d v="2026-02-26T00:00:00"/>
    <d v="1899-12-30T18:31:38"/>
    <s v="Fechou com o concorrente - preço"/>
    <s v="26/02 Foi feito FUP com o Wilson e ele optou pela concorrência devido a valor."/>
    <s v=""/>
    <x v="0"/>
    <s v="Paulo Souza"/>
    <x v="0"/>
    <s v=""/>
    <d v="2026-02-26T00:00:00"/>
    <n v="30"/>
    <s v=""/>
    <s v="ERP"/>
    <s v=""/>
    <s v=""/>
    <n v="1"/>
  </r>
  <r>
    <x v="2"/>
    <n v="895"/>
    <m/>
    <n v="3201"/>
    <s v="07.04 cliente ainda imaturo para os processos"/>
    <s v="Fabiano Aparecido Vaine"/>
    <x v="428"/>
    <n v="28229707000193"/>
    <s v=""/>
    <s v="Fabiano Aparecido Vaine"/>
    <s v="(16) 9701-3510"/>
    <s v=""/>
    <s v="fabianovaine@terra.com.br"/>
    <s v=""/>
    <s v=""/>
    <s v=""/>
    <s v="SAO CARLOS"/>
    <s v="SP"/>
    <s v="Base de empresas Leads2b"/>
    <s v=""/>
    <s v=""/>
    <s v="30%;Dentro Perfil"/>
    <s v="Pipeline de Vendas"/>
    <s v="Apresentar Solução (35%)"/>
    <s v=""/>
    <d v="2026-04-30T00:00:00"/>
    <m/>
    <m/>
    <n v="64"/>
    <s v="Rayssa Karapeticov"/>
    <d v="2026-02-02T00:00:00"/>
    <d v="1899-12-30T09:47:17"/>
    <s v=""/>
    <s v="Perdido"/>
    <d v="2026-04-07T00:00:00"/>
    <d v="1899-12-30T10:56:50"/>
    <s v="Não quer mudar a solução atual"/>
    <s v=""/>
    <s v=""/>
    <x v="0"/>
    <s v="Rayssa Karapeticov"/>
    <x v="196"/>
    <s v=""/>
    <d v="2026-02-17T00:00:00"/>
    <n v="30"/>
    <s v=""/>
    <s v="ERP, AFV, PCP, WMS"/>
    <s v=""/>
    <s v=""/>
    <n v="1"/>
  </r>
  <r>
    <x v="2"/>
    <n v="901"/>
    <m/>
    <n v="3218"/>
    <s v="05/02 - Possui uma loja de peças de moto, onde presta serviço de conserto também. _x000a_Fora do perfil"/>
    <s v=""/>
    <x v="429"/>
    <m/>
    <s v=""/>
    <s v="RG moto peças"/>
    <s v="87988082642"/>
    <s v=""/>
    <s v="regisandes10@outlook.com"/>
    <s v=""/>
    <s v=""/>
    <s v=""/>
    <s v=""/>
    <s v=""/>
    <s v="Campanha"/>
    <s v=""/>
    <s v=""/>
    <s v="30%;Fora Perfil;Instagram"/>
    <s v="Pipeline de Vendas"/>
    <s v="Qualificação de Vendas (SQL) (25%)"/>
    <s v=""/>
    <d v="2026-02-28T00:00:00"/>
    <m/>
    <m/>
    <n v="2"/>
    <s v="Paulo Souza"/>
    <d v="2026-02-05T00:00:00"/>
    <d v="1899-12-30T08:33:37"/>
    <s v=""/>
    <s v="Perdido"/>
    <d v="2026-02-07T00:00:00"/>
    <d v="1899-12-30T21:31:00"/>
    <s v="Fora do porte mínimo (sem fit estrutural)"/>
    <s v=""/>
    <s v=""/>
    <x v="0"/>
    <s v="Rayssa Karapeticov"/>
    <x v="0"/>
    <s v=""/>
    <m/>
    <n v="30"/>
    <s v=""/>
    <s v=""/>
    <s v=""/>
    <s v=""/>
    <n v="1"/>
  </r>
  <r>
    <x v="1"/>
    <n v="902"/>
    <m/>
    <n v="3211"/>
    <s v=""/>
    <s v=""/>
    <x v="430"/>
    <n v="7324070000144"/>
    <s v=""/>
    <s v="SOLIMP"/>
    <s v="8391128022"/>
    <s v=""/>
    <s v="oliveiraeulalio@yahoo.com.br"/>
    <s v=""/>
    <s v=""/>
    <s v=""/>
    <s v="CAMPINA GRANDE"/>
    <s v="PB"/>
    <s v="Campanha"/>
    <s v=""/>
    <s v=""/>
    <s v="30%;Dentro Perfil;Instagram"/>
    <s v="Pipeline de Vendas"/>
    <s v="Qualificação de Vendas (SQL) (25%)"/>
    <s v=""/>
    <d v="2026-02-28T00:00:00"/>
    <m/>
    <m/>
    <n v="93"/>
    <s v="Paulo Souza"/>
    <d v="2026-02-05T00:00:00"/>
    <d v="1899-12-30T08:35:26"/>
    <s v=""/>
    <s v="Perdido"/>
    <d v="2026-05-09T00:00:00"/>
    <d v="1899-12-30T07:45:34"/>
    <s v="Sem qualificação — contato não atende ligações nem responde msg"/>
    <s v=""/>
    <s v=""/>
    <x v="0"/>
    <s v="Junior Lopes"/>
    <x v="0"/>
    <s v=""/>
    <d v="2026-02-19T00:00:00"/>
    <n v="30"/>
    <s v=""/>
    <s v=""/>
    <s v=""/>
    <s v=""/>
    <n v="1"/>
  </r>
  <r>
    <x v="0"/>
    <n v="903"/>
    <m/>
    <n v="3217"/>
    <s v="17/02 Após vários FUPs não obtive retorno do cliente sobre a sequência do projeto. Encerrei por falta de interesse."/>
    <s v=""/>
    <x v="431"/>
    <m/>
    <s v=""/>
    <s v="Monteiro"/>
    <s v="6184085792"/>
    <s v=""/>
    <s v="saff71@hotmail.com"/>
    <s v=""/>
    <s v=""/>
    <s v=""/>
    <s v=""/>
    <s v=""/>
    <s v="Campanha"/>
    <s v=""/>
    <s v=""/>
    <s v="30%;Dentro Perfil;Instagram"/>
    <s v="Pipeline de Vendas"/>
    <s v="Qualificação de Vendas (SQL) (25%)"/>
    <s v=""/>
    <d v="2026-02-28T00:00:00"/>
    <m/>
    <m/>
    <n v="93"/>
    <s v="Paulo Souza"/>
    <d v="2026-02-05T00:00:00"/>
    <d v="1899-12-30T08:40:25"/>
    <s v=""/>
    <s v="Perdido"/>
    <d v="2026-05-09T00:00:00"/>
    <d v="1899-12-30T07:46:56"/>
    <s v="Sem qualificação — contato não atende ligações nem responde msg"/>
    <s v=""/>
    <s v=""/>
    <x v="0"/>
    <s v="Paulo Souza"/>
    <x v="0"/>
    <s v=""/>
    <m/>
    <n v="30"/>
    <s v=""/>
    <s v=""/>
    <s v=""/>
    <s v=""/>
    <n v="1"/>
  </r>
  <r>
    <x v="0"/>
    <n v="906"/>
    <m/>
    <n v="3226"/>
    <s v="03/03 Após diversas tentativa de FUP não tive retorno e por falta de interação estou declinando o lead."/>
    <s v=""/>
    <x v="432"/>
    <m/>
    <s v=""/>
    <s v="2VO"/>
    <s v="11985858558"/>
    <s v=""/>
    <s v="wasques@uol.com.br"/>
    <s v=""/>
    <s v=""/>
    <s v=""/>
    <s v=""/>
    <s v=""/>
    <s v="Campanha"/>
    <s v=""/>
    <s v=""/>
    <s v="30%;Dentro Perfil;Instagram"/>
    <s v="Pipeline de Vendas"/>
    <s v="Apresentar Solução (35%)"/>
    <s v=""/>
    <d v="2026-02-28T00:00:00"/>
    <m/>
    <m/>
    <n v="24"/>
    <s v="Paulo Souza"/>
    <d v="2026-02-07T00:00:00"/>
    <d v="1899-12-30T07:04:06"/>
    <s v=""/>
    <s v="Perdido"/>
    <d v="2026-03-03T00:00:00"/>
    <d v="1899-12-30T21:33:22"/>
    <s v="Fora do porte mínimo (sem fit estrutural)"/>
    <s v=""/>
    <s v=""/>
    <x v="0"/>
    <s v="Paulo Souza"/>
    <x v="0"/>
    <s v=""/>
    <m/>
    <n v="30"/>
    <s v=""/>
    <s v="ERP, AFV"/>
    <s v=""/>
    <s v=""/>
    <n v="1"/>
  </r>
  <r>
    <x v="0"/>
    <n v="907"/>
    <m/>
    <n v="3222"/>
    <s v="13/02 Fiz FUP hoje com a Andressa, mas não atendeu deixei recado."/>
    <s v=""/>
    <x v="433"/>
    <m/>
    <s v=""/>
    <s v="Andresa Aparecida Carvalho"/>
    <s v="(11) 94468-8676"/>
    <s v=""/>
    <s v="andresacarvalho55@gmail.com"/>
    <s v=""/>
    <s v=""/>
    <s v=""/>
    <s v="São Paulo"/>
    <s v=""/>
    <s v="Site"/>
    <s v=""/>
    <s v=""/>
    <s v="30%;Solicita demo"/>
    <s v="Pipeline de Vendas"/>
    <s v="Apresentar Solução (35%)"/>
    <s v=""/>
    <d v="2026-02-28T00:00:00"/>
    <m/>
    <m/>
    <n v="12"/>
    <s v="Paulo Souza"/>
    <d v="2026-02-07T00:00:00"/>
    <d v="1899-12-30T07:13:56"/>
    <s v=""/>
    <s v="Perdido"/>
    <d v="2026-02-19T00:00:00"/>
    <d v="1899-12-30T17:31:05"/>
    <s v="Projeto adiado / sem prazo definido"/>
    <s v="Rayssa, atendendo"/>
    <s v=""/>
    <x v="0"/>
    <s v="Paulo Souza"/>
    <x v="187"/>
    <s v=""/>
    <m/>
    <n v="30"/>
    <s v=""/>
    <s v=""/>
    <s v=""/>
    <s v=""/>
    <n v="1"/>
  </r>
  <r>
    <x v="0"/>
    <n v="908"/>
    <m/>
    <n v="3228"/>
    <s v="06/02 Feito a apresentação da proposta em fase de negociação._x000a_13/02 Foi feito uma visita em São Paulo no Grupo Iracema, onde falamos com os sócios , e o cabeça o Mauricio. A proposta foi reformulada e ajustada e estamos na faze de negociação. Próximo passo, quarta-feira apresentar o WMS."/>
    <s v=""/>
    <x v="434"/>
    <m/>
    <s v=""/>
    <s v="Gerson"/>
    <s v="49988720298"/>
    <s v=""/>
    <s v="null"/>
    <s v=""/>
    <s v=""/>
    <s v=""/>
    <s v=""/>
    <s v=""/>
    <s v="Indicação"/>
    <s v=""/>
    <s v=""/>
    <s v="50%"/>
    <s v="Pipeline de Vendas"/>
    <s v="Em negociação (75%)"/>
    <s v=""/>
    <d v="2026-02-28T00:00:00"/>
    <n v="987029"/>
    <n v="1228454"/>
    <n v="19"/>
    <s v="Paulo Souza"/>
    <d v="2026-02-07T00:00:00"/>
    <d v="1899-12-30T09:59:21"/>
    <s v=""/>
    <s v="Ganho"/>
    <d v="2026-02-26T00:00:00"/>
    <d v="1899-12-30T21:55:21"/>
    <s v=""/>
    <s v=""/>
    <s v=""/>
    <x v="118"/>
    <s v="Paulo Souza"/>
    <x v="126"/>
    <s v=""/>
    <d v="2026-02-26T00:00:00"/>
    <n v="50"/>
    <s v="270"/>
    <s v="ERP, AFV, BI, WMS, COMEX, ADICIONAIS"/>
    <s v="R$ 89.502,90"/>
    <s v="R$ 12.883,50"/>
    <n v="1"/>
  </r>
  <r>
    <x v="0"/>
    <n v="909"/>
    <m/>
    <n v="3229"/>
    <s v="06/02 Feito a apresentação da proposta em fase de negociação._x000a_13/02 Foi feito uma visita em São Paulo no Grupo Iracema, onde falamos com os sócios , e o cabeça o Mauricio. A proposta foi reformulada e ajustada e estamos na faze de negociação. Próximo passo, quarta-feira apresentar o WMS._x000a_13/02 Foi feito uma visita em São Paulo no Grupo Iracema, onde falamos com os sócios , e o cabeça o Mauricio. A proposta foi reformulada e ajustada e estamos na faze de negociação. Próximo passo, quarta-feira apresentar o WMS."/>
    <s v=""/>
    <x v="435"/>
    <m/>
    <s v=""/>
    <s v="Willaim"/>
    <s v="49998015654"/>
    <s v=""/>
    <s v="null"/>
    <s v=""/>
    <s v=""/>
    <s v=""/>
    <s v=""/>
    <s v=""/>
    <s v=""/>
    <s v=""/>
    <s v=""/>
    <s v="50%"/>
    <s v="Pipeline de Vendas"/>
    <s v="Em Fechamento (100%)"/>
    <s v=""/>
    <d v="2026-02-28T00:00:00"/>
    <n v="7470289"/>
    <n v="1038848"/>
    <n v="19"/>
    <s v="Paulo Souza"/>
    <d v="2026-02-07T00:00:00"/>
    <d v="1899-12-30T10:00:29"/>
    <s v=""/>
    <s v="Ganho"/>
    <d v="2026-02-26T00:00:00"/>
    <d v="1899-12-30T21:48:31"/>
    <s v=""/>
    <s v=""/>
    <s v=""/>
    <x v="181"/>
    <s v="Paulo Souza"/>
    <x v="197"/>
    <s v=""/>
    <d v="2026-02-26T00:00:00"/>
    <n v="50"/>
    <s v="150"/>
    <s v="ERP, AFV, BI, WMS, COMEX, ADICIONAIS"/>
    <s v="R$ 65.502,90"/>
    <s v="R$ 11.334,84"/>
    <n v="1"/>
  </r>
  <r>
    <x v="1"/>
    <n v="912"/>
    <m/>
    <n v="3248"/>
    <s v="(11/02/2026) Contato feira ABcasa ! agendamos apresentação para sexta feira dia 20/02_x000a_10:05, 20/02/2026 Junior Lopes: Entendo ! Vamos organizar nova data_x000a_10:06, 20/02/2026 Junior Lopes: Segunda feira , é possível?_x000a_10:13, 20/02/2026 Fabio Oliveira Nina Enc: eu consigo te atender, mas vamos precisar remarcar um pouco mais para frente, eu quero muito te atender e realmente preciso, porem nesse momento ta dificil_x000a_(09/03/2026) buscando data para apresentação _x000a_(14/04/2026) em contato com Fabio a fim de agendarmos apresentação _x000a_09:58, 14/04/2026 Junior Lopes: Olá Fábio, bom dia_x000a_10:01, 14/04/2026 Fabio Oliveira Nina Enc: Bom dia meu amigo, tudo certo ?_x000a_10:02, 14/04/2026 Junior Lopes: Opa td certo 🙏_x000a_Vamos programar apresentação?_x000a_10:04, 14/04/2026 Fabio Oliveira Nina Enc: o meu amigo, esta semana nao vou ter como te atender, estamos organizando muita coisa na empresa, na quarta feira meu pai vai para china, mas acho que na outra semana a gente consegue, na quinta ou sexta da semana que vem_x000a_10:05, 14/04/2026 Junior Lopes: Perfeito Fábio ! Aí te chamo no começo da semana para alinharmos_x000a_10:05, 14/04/2026 Fabio Oliveira Nina Enc: combinado"/>
    <s v="Sebastiao Cardoso Comercio Atacadista De Ferramentas Ltda"/>
    <x v="436"/>
    <n v="12391174000101"/>
    <s v=""/>
    <s v="Sebastiao Cardoso Comercio Atacadista De Ferramentas Ltda"/>
    <s v="(47) 3368-3065"/>
    <s v=""/>
    <s v="ninaencartelados@gmail.com"/>
    <s v=""/>
    <s v=""/>
    <s v=""/>
    <s v="ITAPEMA"/>
    <s v="SC"/>
    <s v="Base de empresas Leads2b"/>
    <s v=""/>
    <s v=""/>
    <s v=""/>
    <s v="Pipeline de Vendas"/>
    <s v="Apresentar Proposta (50%)"/>
    <s v=""/>
    <d v="2026-05-31T00:00:00"/>
    <n v="748805"/>
    <n v="53071"/>
    <n v="92"/>
    <s v="Junior Lopes"/>
    <d v="2026-02-11T00:00:00"/>
    <d v="1899-12-30T09:59:48"/>
    <s v=""/>
    <s v="Perdido"/>
    <d v="2026-05-14T00:00:00"/>
    <d v="1899-12-30T14:48:33"/>
    <s v="Não houve aprovação financeira"/>
    <s v="14/05/2026 : _x000a_09:02, 13/05/2026 Fabio Oliveira Nina Enc: Consegui sim, teu sistema é maravilhoso, muito bom mesmo _x000a_porem eu passei pro pessoal aqui, e no momento, nosso faturamaento nao condiz com o investimento a ser feito_x000a_09:03, 13/05/2026 Fabio Oliveira Nina Enc: espero que logo possamos mudar isso_x000a_09:05, 13/05/2026 Junior Lopes: Entendo Fábio ! _x000a_ O que está pegando mais na proposta ? O projeto ou as mensalidades?_x000a_09:08, 13/05/2026 Fabio Oliveira Nina Enc: na verdade é um pouco dos dois, hj nosso sistema nos custa 6 mil por ano, claro que ele nao tem a mesma eficiencia do seu, mas para a quantidade de vendas nossa, no atual momento ele nos atende bem_x000a_09:21, 13/05/2026 Junior Lopes: Entendo ! Gostaria de pensar aí e nos fazer uma contra proposta ?_x000a_09:22, 13/05/2026 Fabio Oliveira Nina Enc: no momento vamos deixar em off_x000a_09:22, 13/05/2026 Fabio Oliveira Nina Enc: obrigado pela atençao_x000a_09:28, 13/05/2026 Junior Lopes: Ta joia meu amigo_x000a_09:29, 13/05/2026 Junior Lopes: Ficamos a disposição! Tenho certeza que podemos ajudar muito no crescimento da Nina encartelados _x000a_Um abraço_x000a_09:29, 13/05/2026 Fabio Oliveira Nina Enc: abraço"/>
    <s v=""/>
    <x v="182"/>
    <s v=""/>
    <x v="198"/>
    <s v="05/05/2026"/>
    <d v="2026-05-14T00:00:00"/>
    <n v="50"/>
    <s v=""/>
    <s v=""/>
    <s v=""/>
    <s v=""/>
    <n v="1"/>
  </r>
  <r>
    <x v="1"/>
    <n v="915"/>
    <m/>
    <n v="3253"/>
    <s v="(11/02/2026) Vídeo demonstrativo enviado para analise   _x000a_(11/02/2026) Proposta enviada"/>
    <s v=""/>
    <x v="437"/>
    <m/>
    <s v=""/>
    <s v="Ad &amp; Ad (Comex)"/>
    <s v="14996930353"/>
    <s v=""/>
    <s v="daniel@adimportacao.com.br"/>
    <s v=""/>
    <s v=""/>
    <s v=""/>
    <s v=""/>
    <s v=""/>
    <s v=""/>
    <s v=""/>
    <s v=""/>
    <s v="30%"/>
    <s v="Pipeline de Vendas"/>
    <s v="Apresentar Proposta (50%)"/>
    <s v=""/>
    <d v="2026-04-30T00:00:00"/>
    <n v="10240"/>
    <n v="2000"/>
    <n v="82"/>
    <s v="Junior Lopes"/>
    <d v="2026-02-11T00:00:00"/>
    <d v="1899-12-30T10:27:04"/>
    <s v=""/>
    <s v="Perdido"/>
    <d v="2026-05-04T00:00:00"/>
    <d v="1899-12-30T08:59:14"/>
    <s v="Projeto adiado / sem prazo definido"/>
    <s v="vai aguardar um pouco mais"/>
    <s v=""/>
    <x v="183"/>
    <s v=""/>
    <x v="196"/>
    <s v=""/>
    <d v="2026-05-04T00:00:00"/>
    <n v="30"/>
    <s v=""/>
    <s v=""/>
    <s v=""/>
    <s v=""/>
    <n v="1"/>
  </r>
  <r>
    <x v="0"/>
    <n v="919"/>
    <m/>
    <n v="3227"/>
    <s v="26/02 Fiz FUP com o Jader e ele tem uma ferramentaria. Entendi o processo e agora preciso falar com o Fernando, para ver se conseguirmos atender ele ou não. na sequência vou passar uma proposta. _x000a_12/03 - Encerrei o lead por falta de retorno, futuramente se ele demonstrar interesse falamos."/>
    <s v=""/>
    <x v="438"/>
    <m/>
    <s v=""/>
    <s v="Jader Silva"/>
    <s v="17996751231"/>
    <s v=""/>
    <s v="jader.reobote@outlook.com"/>
    <s v=""/>
    <s v=""/>
    <s v=""/>
    <s v=""/>
    <s v=""/>
    <s v="Campanha"/>
    <s v=""/>
    <s v=""/>
    <s v="Dentro Perfil;Instagram"/>
    <s v="Pipeline de Vendas"/>
    <s v="Apresentar Solução (35%)"/>
    <s v=""/>
    <m/>
    <m/>
    <m/>
    <n v="29"/>
    <s v="Paulo Souza"/>
    <d v="2026-02-11T00:00:00"/>
    <d v="1899-12-30T11:21:33"/>
    <s v=""/>
    <s v="Perdido"/>
    <d v="2026-03-12T00:00:00"/>
    <d v="1899-12-30T17:24:16"/>
    <s v="Fora do porte mínimo (sem fit estrutural)"/>
    <s v=""/>
    <s v=""/>
    <x v="168"/>
    <s v="Paulo Souza"/>
    <x v="182"/>
    <s v=""/>
    <d v="2026-03-31T00:00:00"/>
    <n v="30"/>
    <s v=""/>
    <s v="ERP"/>
    <s v=""/>
    <s v=""/>
    <n v="1"/>
  </r>
  <r>
    <x v="2"/>
    <n v="920"/>
    <m/>
    <n v="3230"/>
    <s v="12.02 - cliente agendou hoje as 9h não entrou na reunião, estou tentando contato para reagendar"/>
    <s v=""/>
    <x v="439"/>
    <n v="36377920000170"/>
    <s v=""/>
    <s v="RG distribuidora de bebidas ltda"/>
    <s v="(37) 3213-0306"/>
    <s v=""/>
    <s v="rgdistribuidoraltda@hotmail.com"/>
    <s v=""/>
    <s v=""/>
    <s v=""/>
    <s v="DIVINOPOLIS"/>
    <s v="MG"/>
    <s v="Campanha"/>
    <s v=""/>
    <s v=""/>
    <s v="Dentro Perfil;Instagram"/>
    <s v="Pipeline de Vendas"/>
    <s v="Apresentar Proposta (50%)"/>
    <s v=""/>
    <d v="2026-04-30T00:00:00"/>
    <n v="7784244"/>
    <n v="144748"/>
    <n v="14"/>
    <s v="Paulo Souza"/>
    <d v="2026-02-11T00:00:00"/>
    <d v="1899-12-30T11:22:26"/>
    <s v=""/>
    <s v="Perdido"/>
    <d v="2026-02-25T00:00:00"/>
    <d v="1899-12-30T10:28:11"/>
    <s v="Preço muito alto - fora do budget de investimento"/>
    <s v=""/>
    <s v=""/>
    <x v="184"/>
    <s v="Rayssa Karapeticov"/>
    <x v="199"/>
    <s v=""/>
    <d v="2026-02-24T00:00:00"/>
    <n v="30"/>
    <s v=""/>
    <s v="ERP, AFV"/>
    <s v=""/>
    <s v=""/>
    <n v="1"/>
  </r>
  <r>
    <x v="0"/>
    <n v="921"/>
    <m/>
    <n v="3231"/>
    <s v="26/02 Fiz FUP hoje com o Antônio, sem sucesso. Após minhas ligações ele não atendeu , deixei recado no Whatsapp. _x000a_27/02 Após diversas FUps sem sucesso e sem retorno do lead, estou declinando a oportunidade."/>
    <s v=""/>
    <x v="440"/>
    <m/>
    <s v=""/>
    <s v="Loja da construção"/>
    <s v="85996031544"/>
    <s v=""/>
    <s v="ajs.antoniojose@hotmail.com"/>
    <s v=""/>
    <s v=""/>
    <s v=""/>
    <s v=""/>
    <s v=""/>
    <s v="Campanha"/>
    <s v=""/>
    <s v=""/>
    <s v="Fora Perfil;Instagram"/>
    <s v="Pipeline de Vendas"/>
    <s v="Qualificação de Vendas (SQL) (25%)"/>
    <s v=""/>
    <d v="2026-02-28T00:00:00"/>
    <m/>
    <m/>
    <n v="16"/>
    <s v="Paulo Souza"/>
    <d v="2026-02-11T00:00:00"/>
    <d v="1899-12-30T11:23:49"/>
    <s v=""/>
    <s v="Perdido"/>
    <d v="2026-02-27T00:00:00"/>
    <d v="1899-12-30T21:32:33"/>
    <s v="Fora do porte mínimo (sem fit estrutural)"/>
    <s v=""/>
    <s v=""/>
    <x v="0"/>
    <s v="Paulo Souza"/>
    <x v="0"/>
    <s v=""/>
    <d v="2026-02-26T00:00:00"/>
    <n v="30"/>
    <s v=""/>
    <s v=""/>
    <s v=""/>
    <s v=""/>
    <n v="1"/>
  </r>
  <r>
    <x v="0"/>
    <n v="922"/>
    <m/>
    <n v="3232"/>
    <s v="27/02 Fiz diversos FUP sem retorno, por isso estou declinando o contato."/>
    <s v=""/>
    <x v="441"/>
    <m/>
    <s v=""/>
    <s v="Zzzz"/>
    <s v="41987097843"/>
    <s v=""/>
    <s v="gipatelini@hotmail.com"/>
    <s v=""/>
    <s v=""/>
    <s v=""/>
    <s v=""/>
    <s v=""/>
    <s v="Campanha"/>
    <s v=""/>
    <s v=""/>
    <s v="Dentro Perfil;Instagram"/>
    <s v="Pipeline de Vendas"/>
    <s v="Apresentar Solução (35%)"/>
    <s v=""/>
    <d v="2026-02-27T00:00:00"/>
    <m/>
    <m/>
    <n v="16"/>
    <s v="Paulo Souza"/>
    <d v="2026-02-11T00:00:00"/>
    <d v="1899-12-30T11:24:41"/>
    <s v=""/>
    <s v="Perdido"/>
    <d v="2026-02-27T00:00:00"/>
    <d v="1899-12-30T21:27:11"/>
    <s v="Fora do porte mínimo (sem fit estrutural)"/>
    <s v=""/>
    <s v=""/>
    <x v="0"/>
    <s v="Paulo Souza"/>
    <x v="0"/>
    <s v=""/>
    <m/>
    <n v="30"/>
    <s v=""/>
    <s v=""/>
    <s v=""/>
    <s v=""/>
    <n v="1"/>
  </r>
  <r>
    <x v="2"/>
    <n v="923"/>
    <m/>
    <n v="3236"/>
    <s v=""/>
    <s v=""/>
    <x v="442"/>
    <m/>
    <s v=""/>
    <s v="Gs atacado"/>
    <s v="61984251198"/>
    <s v=""/>
    <s v="gsatacado69@gmail.com"/>
    <s v=""/>
    <s v=""/>
    <s v=""/>
    <s v=""/>
    <s v=""/>
    <s v="Campanha"/>
    <s v=""/>
    <s v=""/>
    <s v="Dentro Perfil;Instagram"/>
    <s v="Pipeline de Vendas"/>
    <s v="Qualificação de Vendas (SQL) (25%)"/>
    <s v=""/>
    <d v="2026-04-30T00:00:00"/>
    <m/>
    <m/>
    <n v="16"/>
    <s v="Paulo Souza"/>
    <d v="2026-02-11T00:00:00"/>
    <d v="1899-12-30T11:27:12"/>
    <s v=""/>
    <s v="Perdido"/>
    <d v="2026-02-27T00:00:00"/>
    <d v="1899-12-30T17:23:25"/>
    <s v="Preço muito alto - fora do budget de investimento"/>
    <s v=""/>
    <s v=""/>
    <x v="0"/>
    <s v="Rayssa Karapeticov"/>
    <x v="200"/>
    <s v=""/>
    <d v="2026-02-25T00:00:00"/>
    <n v="30"/>
    <s v=""/>
    <s v="ERP, PDV, AFV"/>
    <s v=""/>
    <s v=""/>
    <n v="1"/>
  </r>
  <r>
    <x v="1"/>
    <n v="924"/>
    <m/>
    <n v="3238"/>
    <s v="(11/02/2026) tentativa de ligação nao atendida _x000a_17:03, 11/02/2026 Junior Lopes: Olá Gabriel , boa tarde_x000a_17:03, 11/02/2026 Junior Lopes: sou Junior Lopes da Guarani sistemas ! td bem ?_x000a_(19/02/2026) apresar de não ter resposta do cliente ! em pesquise verifiquei que LM é um deposito de bebidas que acaba fugindo do perfil"/>
    <s v=""/>
    <x v="443"/>
    <m/>
    <s v=""/>
    <s v="lm bebidas"/>
    <s v="11910369959"/>
    <s v=""/>
    <s v="gelucinaro@hotmail.com"/>
    <s v=""/>
    <s v=""/>
    <s v=""/>
    <s v=""/>
    <s v=""/>
    <s v="Campanha"/>
    <s v=""/>
    <s v=""/>
    <s v="Fora Perfil;Instagram"/>
    <s v="Pipeline de Vendas"/>
    <s v="Qualificação de Vendas (SQL) (25%)"/>
    <s v=""/>
    <m/>
    <m/>
    <m/>
    <n v="15"/>
    <s v="Paulo Souza"/>
    <d v="2026-02-11T00:00:00"/>
    <d v="1899-12-30T11:29:47"/>
    <s v=""/>
    <s v="Perdido"/>
    <d v="2026-02-26T00:00:00"/>
    <d v="1899-12-30T23:08:40"/>
    <s v="Fora do porte mínimo (sem fit estrutural)"/>
    <s v=""/>
    <s v=""/>
    <x v="0"/>
    <s v=""/>
    <x v="0"/>
    <s v=""/>
    <d v="2026-02-19T00:00:00"/>
    <n v="30"/>
    <s v=""/>
    <s v=""/>
    <s v=""/>
    <s v=""/>
    <n v="1"/>
  </r>
  <r>
    <x v="1"/>
    <n v="925"/>
    <m/>
    <n v="3244"/>
    <s v="(11/02/2026) tentativa de ligação não atendida _x000a_16:48, 11/02/2026 Junior Lopes: Olá Kariello, boa tarde !_x000a_16:48, 11/02/2026 Junior Lopes: sou Junior Lopes da Guarani sistemas, tudo bem ?_x000a_(19/02/2026) buscando data para apresentação _x000a_(23/02/2026) Vamos Agendar apresentação do força de vendas para amanhã ?_x000a_10 ou 14 horas ! O que fica melhor?_x000a_Vamos marca na primeira semana de março_x000a_Fechamento do mês é complicado_x000a_Sim ! Vamos deixar uma agenda para dia 4/03 quarta feira! Se sim já te envio um link do Meet_x000a_Ok_x000a_Apresentação Guarani (AFV) _x000a_Quarta-feira, 4 de março · 10:00 – 11:30_x000a_Fuso horário: America/Sao_Paulo_x000a_Como participar do Google Meet_x000a_Link da videochamada: https://meet.google.com/dsp-gfgz-nyv_x000a_09:54, 04/03/2026 KARIELLO COELHO: Tive um imprevisto_x000a_09:54, 04/03/2026 KARIELLO COELHO: Teremos que remarcar_x000a_09:55, 04/03/2026 Junior Lopes: Td bem meu amigo , sem problemas_x000a_12:41, 04/03/2026 KARIELLO COELHO: Até sexta agora_x000a_12:42, 04/03/2026 Junior Lopes: 10 horas é um bom horário?_x000a_12:45, 04/03/2026 KARIELLO COELHO: 11h_x000a_12:46, 04/03/2026 Junior Lopes: Joia! Vou gerar um link_x000a_12:50, 04/03/2026 Junior Lopes: Apresentação Guarani AFV - CK Hospitalar_x000a_Sexta-feira, 6 de março · 11:00 – 12:15_x000a_Fuso horário: America/Sao_Paulo_x000a_Como participar do Google Meet_x000a_Link da videochamada: https://meet.google.com/zum-xcty-mab_x000a_(09/03/2026) Após Kariello desmarcar a reunião de apresentação , não respondeu mais aos contatos"/>
    <s v=""/>
    <x v="444"/>
    <n v="32534969000139"/>
    <s v=""/>
    <s v="CK HOSPITALAR"/>
    <s v="6392247104"/>
    <s v=""/>
    <s v="diretoria@ckhospitalar.com.br"/>
    <s v=""/>
    <s v=""/>
    <s v=""/>
    <s v=""/>
    <s v="Palmas"/>
    <s v="Inbound"/>
    <s v=""/>
    <s v=""/>
    <s v="Dentro Perfil;Instagram"/>
    <s v="Pipeline de Vendas"/>
    <s v="Apresentar Proposta (50%)"/>
    <s v=""/>
    <d v="2026-04-30T00:00:00"/>
    <n v="16960"/>
    <n v="32775"/>
    <n v="41"/>
    <s v="Paulo Souza"/>
    <d v="2026-02-11T00:00:00"/>
    <d v="1899-12-30T11:30:31"/>
    <s v=""/>
    <s v="Perdido"/>
    <d v="2026-03-24T00:00:00"/>
    <d v="1899-12-30T16:03:55"/>
    <s v="Projeto adiado / sem prazo definido"/>
    <s v="(09/03/2026) Após Kariello desmarcar a reunião de apresentação , não respondeu mais aos contatos"/>
    <s v=""/>
    <x v="185"/>
    <s v=""/>
    <x v="196"/>
    <s v="04/03/2026"/>
    <d v="2026-03-09T00:00:00"/>
    <n v="30"/>
    <s v=""/>
    <s v=""/>
    <s v=""/>
    <s v=""/>
    <n v="1"/>
  </r>
  <r>
    <x v="1"/>
    <n v="926"/>
    <m/>
    <n v="3237"/>
    <s v="(11/02/2026) tentativa de ligação não atendida ! mensagem em seguida _x000a_16:43, 11/02/2026 Junior Lopes: Olá Renato ! boa tarde_x000a_16:43, 11/02/2026 Junior Lopes: sou Junior Lopes da Guarani sistemas ! tudo bem ?"/>
    <s v=""/>
    <x v="445"/>
    <m/>
    <s v=""/>
    <s v="Rp pisos"/>
    <s v="81996498759"/>
    <s v=""/>
    <s v="renatosouzarp2018@gmail.com"/>
    <s v=""/>
    <s v=""/>
    <s v=""/>
    <s v=""/>
    <s v=""/>
    <s v="Campanha"/>
    <s v=""/>
    <s v=""/>
    <s v="Fora Perfil;Instagram"/>
    <s v="Pipeline de Vendas"/>
    <s v="Qualificação de Vendas (SQL) (25%)"/>
    <s v=""/>
    <m/>
    <m/>
    <m/>
    <n v="87"/>
    <s v="Paulo Souza"/>
    <d v="2026-02-11T00:00:00"/>
    <d v="1899-12-30T11:42:17"/>
    <s v=""/>
    <s v="Perdido"/>
    <d v="2026-05-09T00:00:00"/>
    <d v="1899-12-30T07:47:47"/>
    <s v="Sem qualificação — contato não atende ligações nem responde msg"/>
    <s v=""/>
    <s v=""/>
    <x v="0"/>
    <s v=""/>
    <x v="0"/>
    <s v=""/>
    <d v="2026-02-19T00:00:00"/>
    <n v="30"/>
    <s v=""/>
    <s v=""/>
    <s v=""/>
    <s v=""/>
    <n v="1"/>
  </r>
  <r>
    <x v="2"/>
    <n v="927"/>
    <m/>
    <n v="3239"/>
    <s v="13.02 é uma loja de auto peças, prouca PDV, fora do perfil"/>
    <s v=""/>
    <x v="446"/>
    <m/>
    <s v=""/>
    <s v="Dede Acessorios"/>
    <s v="6596196462"/>
    <s v=""/>
    <s v="lu_kawakami@msn.com"/>
    <s v=""/>
    <s v=""/>
    <s v=""/>
    <s v=""/>
    <s v=""/>
    <s v="Campanha"/>
    <s v=""/>
    <s v=""/>
    <s v="Fora Perfil;Instagram"/>
    <s v="Pipeline de Vendas"/>
    <s v="Agendamento (0%)"/>
    <s v=""/>
    <m/>
    <m/>
    <m/>
    <n v="2"/>
    <s v="Paulo Souza"/>
    <d v="2026-02-11T00:00:00"/>
    <d v="1899-12-30T11:44:32"/>
    <s v=""/>
    <s v="Perdido"/>
    <d v="2026-02-13T00:00:00"/>
    <d v="1899-12-30T17:27:41"/>
    <s v="Fora do porte mínimo (sem fit estrutural)"/>
    <s v=""/>
    <s v=""/>
    <x v="0"/>
    <s v="Rayssa Karapeticov"/>
    <x v="0"/>
    <s v=""/>
    <d v="2026-02-13T00:00:00"/>
    <n v="30"/>
    <s v=""/>
    <s v=""/>
    <s v=""/>
    <s v=""/>
    <n v="1"/>
  </r>
  <r>
    <x v="1"/>
    <n v="928"/>
    <m/>
    <n v="3242"/>
    <s v="(11/02/2026) ligação efetuada - Anderson pediu para retornar ! vamos dar sequencia no whatsapp_x000a_(18/02/2026) buscando contato com Anderson ! sem resposta até o momento"/>
    <s v=""/>
    <x v="384"/>
    <n v="9205460000120"/>
    <s v=""/>
    <s v="Panveiga"/>
    <s v="(83) 3343-3391 / (83) 3343-3391"/>
    <s v=""/>
    <s v=""/>
    <s v=""/>
    <s v=""/>
    <s v=""/>
    <s v="CAMPINA GRANDE"/>
    <s v="PB"/>
    <s v="Inbound"/>
    <s v=""/>
    <s v=""/>
    <s v="Dentro Perfil;Instagram"/>
    <s v="Pipeline de Vendas"/>
    <s v="Qualificação de Vendas (SQL) (25%)"/>
    <s v=""/>
    <m/>
    <m/>
    <m/>
    <n v="8"/>
    <s v="Paulo Souza"/>
    <d v="2026-02-11T00:00:00"/>
    <d v="1899-12-30T11:51:24"/>
    <s v=""/>
    <s v="Perdido"/>
    <d v="2026-02-19T00:00:00"/>
    <d v="1899-12-30T09:53:04"/>
    <s v="Nossa solução não atende - falta funcionalidade"/>
    <s v="cliente precisa que o força de vendas atenda em pronta entrega"/>
    <s v=""/>
    <x v="0"/>
    <s v=""/>
    <x v="0"/>
    <s v=""/>
    <d v="2026-02-18T00:00:00"/>
    <n v="30"/>
    <s v=""/>
    <s v=""/>
    <s v=""/>
    <s v=""/>
    <n v="1"/>
  </r>
  <r>
    <x v="1"/>
    <n v="929"/>
    <m/>
    <n v="3235"/>
    <s v="Conversa extraida do áudio enviado em 12/03/2026_x000a_ 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
    <s v=""/>
    <x v="447"/>
    <m/>
    <s v=""/>
    <s v="kayo calil marques"/>
    <s v="(14) 99854-9863"/>
    <s v=""/>
    <s v="kayocalil@hotmail.com"/>
    <s v=""/>
    <s v=""/>
    <s v=""/>
    <s v="Tupã"/>
    <s v=""/>
    <s v="Site"/>
    <s v=""/>
    <s v=""/>
    <s v="Solicita demo"/>
    <s v="Pipeline de Vendas"/>
    <s v="Em negociação (75%)"/>
    <s v=""/>
    <m/>
    <n v="41040"/>
    <n v="384858"/>
    <n v="29"/>
    <s v="Paulo Souza"/>
    <d v="2026-02-11T00:00:00"/>
    <d v="1899-12-30T11:53:14"/>
    <s v=""/>
    <s v="Perdido"/>
    <d v="2026-03-12T00:00:00"/>
    <d v="1899-12-30T14:14:05"/>
    <s v="Não quer mudar a solução atual"/>
    <s v="Conversa extraida do áudio enviado em 12/03/2026_x000a_ 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
    <s v=""/>
    <x v="186"/>
    <s v=""/>
    <x v="201"/>
    <s v="19/02/2026"/>
    <d v="2026-03-12T00:00:00"/>
    <n v="30"/>
    <s v=""/>
    <s v=""/>
    <s v=""/>
    <s v=""/>
    <n v="1"/>
  </r>
  <r>
    <x v="2"/>
    <n v="930"/>
    <m/>
    <n v="3243"/>
    <s v="12.02 - é uma importadora de Ribeirão Preto e veio por indicação da Simone (QFestas) são do mesmo seguimento_x000a_Disse que já havia feito contato um tempo atrás mas na época achou muito caro, então não avançou_x000a_Esta retomando o contato agora e gostaria de receber uma proposta comercial antes, já que já conhece o sistema, já recebeu várias indicações de importadores, e representantes. _x000a_18.03 - estou tentando contato, mas esta em feira _x000a_30.03 Achou que não é o momento certo para avançar"/>
    <s v=""/>
    <x v="448"/>
    <n v="14590342000113"/>
    <s v=""/>
    <s v="Leandro"/>
    <s v="(16) 98237-0011"/>
    <s v=""/>
    <s v="leandro@bazarimportadora.com.br"/>
    <s v=""/>
    <s v=""/>
    <s v=""/>
    <s v="Ribeirão Preto"/>
    <s v=""/>
    <s v="Site"/>
    <s v=""/>
    <s v=""/>
    <s v="Contato;Dentro Perfil"/>
    <s v="Pipeline de Vendas"/>
    <s v="Apresentar Proposta (50%)"/>
    <s v=""/>
    <m/>
    <m/>
    <m/>
    <n v="47"/>
    <s v="Paulo Souza"/>
    <d v="2026-02-11T00:00:00"/>
    <d v="1899-12-30T11:54:00"/>
    <s v=""/>
    <s v="Perdido"/>
    <d v="2026-03-30T00:00:00"/>
    <d v="1899-12-30T15:50:03"/>
    <s v="Projeto adiado / sem prazo definido"/>
    <s v=""/>
    <s v=""/>
    <x v="0"/>
    <s v="Rayssa Karapeticov"/>
    <x v="202"/>
    <s v=""/>
    <d v="2026-03-30T00:00:00"/>
    <n v="30"/>
    <s v=""/>
    <s v="AFV, ERP"/>
    <s v=""/>
    <s v=""/>
    <n v="1"/>
  </r>
  <r>
    <x v="1"/>
    <n v="931"/>
    <m/>
    <n v="3233"/>
    <s v="11/02/2026) cliente com necessidades especificas _x000a_Rastreabilidade avançada de coletas e devoluções (fluxo de logística reversa e conferência de avarias);_x000a_Gestão flexível de Kits (desmembramento dinâmico de itens no ato da manutenção);"/>
    <s v=""/>
    <x v="449"/>
    <n v="36096287000142"/>
    <s v=""/>
    <s v="Fernando Ramalho"/>
    <s v="(21) 98655-6912"/>
    <s v=""/>
    <s v="fernando.ramalho@superzinca.com.br"/>
    <s v=""/>
    <s v=""/>
    <s v=""/>
    <s v="Ibirité"/>
    <s v=""/>
    <s v="Site"/>
    <s v=""/>
    <s v=""/>
    <s v="Fora Perfil;Solicita demo"/>
    <s v="Pipeline de Vendas"/>
    <s v="Qualificação de Vendas (SQL) (25%)"/>
    <s v=""/>
    <m/>
    <m/>
    <m/>
    <n v="0"/>
    <s v="Paulo Souza"/>
    <d v="2026-02-11T00:00:00"/>
    <d v="1899-12-30T11:55:55"/>
    <s v=""/>
    <s v="Perdido"/>
    <d v="2026-02-11T00:00:00"/>
    <d v="1899-12-30T15:28:53"/>
    <s v="Fora do porte mínimo (sem fit estrutural)"/>
    <s v="cliente fora do perfil"/>
    <s v=""/>
    <x v="0"/>
    <s v=""/>
    <x v="0"/>
    <s v=""/>
    <m/>
    <n v="30"/>
    <s v=""/>
    <s v=""/>
    <s v=""/>
    <s v=""/>
    <n v="1"/>
  </r>
  <r>
    <x v="2"/>
    <n v="932"/>
    <m/>
    <n v="3234"/>
    <s v="12.02 ligação realizada no dia 12.02 as 11:13, não atendeu. Enviei mensagem no whatsapp, para tentar um novo horario para ligação_x000a_13.02 Cliente é uma industria de copos de liquidificador estão sempre na ABUP e vieram por indicação da Arthi _x000a_Usam um sistema interno - mas futuramente querem trocar o sistema, explicou que a principio querem conhecer nosso AFV, porque foi uma indicação e o sistema atual possui esse módulo mas libera muitas informações que eles não querem disponibilizar para os RCAs, porém não podem editar ou bloquear_x000a_Não enviar estoque _x000a_Tabelas de preço - Explicou que possuem várias tabelas de preço por faixa de valor, informei que o sistema atende essa necessidade e quem podem ter uma unica tabela com uma regra comercial de desconto por faixar de valor amarrada ao pedido_x000a_Imagens de produtos - quer que o cliente tenha acesso a imagem do produto, expliquei que sim, e que pode gerar o catalogo em PDF para o cliente_x000a_Descrição - ficha técnica do produto e descrição do item_x000a_Uso de sistemas na feira - usar leitor de código de produto_x000a_Envio de orçamento - envio de cópia de orçamentos por PDF, link ou excel, e explicar funções em feira _x000a_Isis vai verificar com a gerente uma data para apresentação do AFV_x000a_18.02 - apresentação agendada para amanhã _x000a_18.03 Negociação finalizada, aguardando documentação para seguir com contrato_x000a_15.04 09:24, 15/04/2026 Rayssa Karapeticov - Comercial - Guarani Sistemas: Oi Isis, como você está.?_x000a_Na última troca, você comentou que eles devem manter o sistema atual por mais tempo, e eu fiquei de marcar uma reunião presencial para detalharmos a integração e forma de trabalho._x000a_Queria entender contigo se ainda faz sentido seguirmos com esse alinhamento agora. Se sim, me indica por favor dois horários que funcionem para você."/>
    <s v=""/>
    <x v="450"/>
    <n v="1498495000193"/>
    <s v=""/>
    <s v="Isis Miguelette"/>
    <s v="(11) 91290-8574"/>
    <s v=""/>
    <s v="isismiguelette@micromaxindustria.com.br"/>
    <s v=""/>
    <s v=""/>
    <s v=""/>
    <s v="Itatiba"/>
    <s v=""/>
    <s v="Site"/>
    <s v=""/>
    <s v=""/>
    <s v="Dentro Perfil;Solicita demo"/>
    <s v="Pipeline de Vendas"/>
    <s v="Em negociação (75%)"/>
    <s v=""/>
    <d v="2026-04-30T00:00:00"/>
    <n v="16143"/>
    <n v="690"/>
    <n v="70"/>
    <s v="Paulo Souza"/>
    <d v="2026-02-11T00:00:00"/>
    <d v="1899-12-30T11:56:36"/>
    <s v=""/>
    <s v="Perdido"/>
    <d v="2026-04-22T00:00:00"/>
    <d v="1899-12-30T17:19:39"/>
    <s v="Preço muito alto - fora do budget de investimento"/>
    <s v=""/>
    <s v=""/>
    <x v="185"/>
    <s v="Rayssa Karapeticov"/>
    <x v="203"/>
    <s v=""/>
    <d v="2026-04-15T00:00:00"/>
    <n v="30"/>
    <s v=""/>
    <s v="AFV"/>
    <s v=""/>
    <s v=""/>
    <n v="1"/>
  </r>
  <r>
    <x v="1"/>
    <n v="933"/>
    <m/>
    <n v="3262"/>
    <s v=""/>
    <s v="Startools Ferramentas, Comercio, Importacao E Exportacao Ltda"/>
    <x v="451"/>
    <n v="35754976000215"/>
    <s v=""/>
    <s v="Startools Ferramentas, Comercio, Importacao E Exportacao Ltda"/>
    <s v="(11) 8472-4282"/>
    <s v=""/>
    <s v="controladoria@startoolsferramentas.com.br"/>
    <s v=""/>
    <s v=""/>
    <s v=""/>
    <s v="ARAQUARI"/>
    <s v="SC"/>
    <s v="Base de empresas Leads2b"/>
    <s v=""/>
    <s v=""/>
    <s v=""/>
    <s v="Pipeline de Vendas"/>
    <s v="Apresentar Solução (35%)"/>
    <s v=""/>
    <m/>
    <n v="0"/>
    <n v="0"/>
    <n v="98"/>
    <s v="Junior Lopes"/>
    <d v="2026-02-11T00:00:00"/>
    <d v="1899-12-30T18:07:55"/>
    <s v=""/>
    <s v="Ativo"/>
    <m/>
    <m/>
    <s v=""/>
    <s v=""/>
    <s v=""/>
    <x v="0"/>
    <s v=""/>
    <x v="204"/>
    <s v=""/>
    <d v="2026-05-08T00:00:00"/>
    <n v="50"/>
    <s v=""/>
    <s v=""/>
    <s v=""/>
    <s v=""/>
    <n v="1"/>
  </r>
  <r>
    <x v="1"/>
    <n v="934"/>
    <m/>
    <n v="3263"/>
    <s v="(03/03/2026) Visita apresentação _x000a_(05/03/2026)  buscando fechamento"/>
    <s v="Cleantech Solucoes Industria, Distribuidora, Comercio, Importacao E Exportacao De Produtos Quimicos Ltda"/>
    <x v="452"/>
    <n v="51540058000169"/>
    <s v=""/>
    <s v="Cleantech Solucoes Industria, Distribuidora, Comercio, Importacao E Exportacao De Produtos Quimicos Ltda"/>
    <s v="(11) 91564-2482"/>
    <s v=""/>
    <s v=""/>
    <s v=""/>
    <s v=""/>
    <s v=""/>
    <s v="SAO PAULO"/>
    <s v="SP"/>
    <s v="Base de empresas Leads2b"/>
    <s v=""/>
    <s v=""/>
    <s v=""/>
    <s v="Pipeline de Vendas"/>
    <s v="Em Fechamento (100%)"/>
    <s v=""/>
    <m/>
    <n v="68400"/>
    <n v="114607"/>
    <n v="49"/>
    <s v="Junior Lopes"/>
    <d v="2026-02-11T00:00:00"/>
    <d v="1899-12-30T18:19:45"/>
    <s v=""/>
    <s v="Ganho"/>
    <d v="2026-04-01T00:00:00"/>
    <d v="1899-12-30T10:36:11"/>
    <s v=""/>
    <s v=""/>
    <s v=""/>
    <x v="183"/>
    <s v=""/>
    <x v="196"/>
    <s v="03/03/2026"/>
    <d v="2026-03-05T00:00:00"/>
    <n v="70"/>
    <s v=""/>
    <s v=""/>
    <s v=""/>
    <s v=""/>
    <n v="1"/>
  </r>
  <r>
    <x v="0"/>
    <n v="935"/>
    <m/>
    <n v="3259"/>
    <s v="13/02 Fiz FUP hoje com a Pamela e o perfil identificado é de cliente emergente para investir no momento. E por isso foi declinado."/>
    <s v=""/>
    <x v="453"/>
    <m/>
    <s v=""/>
    <s v="PAMELA CRISTINA DA FONSECA"/>
    <s v="(46) 99984-1338"/>
    <s v=""/>
    <s v="importacao.azul@hotmail.com"/>
    <s v=""/>
    <s v=""/>
    <s v=""/>
    <s v="Fazenda Rio Grande"/>
    <s v=""/>
    <s v="Site"/>
    <s v=""/>
    <s v=""/>
    <s v="Solicita demo"/>
    <s v="Pipeline de Vendas"/>
    <s v="Qualificação de Vendas (SQL) (25%)"/>
    <s v=""/>
    <d v="2026-02-28T00:00:00"/>
    <m/>
    <m/>
    <n v="1"/>
    <s v="Paulo Souza"/>
    <d v="2026-02-12T00:00:00"/>
    <d v="1899-12-30T02:29:04"/>
    <s v=""/>
    <s v="Perdido"/>
    <d v="2026-02-13T00:00:00"/>
    <d v="1899-12-30T17:22:46"/>
    <s v="Preço muito alto - fora do budget de investimento"/>
    <s v=""/>
    <s v=""/>
    <x v="0"/>
    <s v="Paulo Souza"/>
    <x v="187"/>
    <s v=""/>
    <m/>
    <n v="30"/>
    <s v=""/>
    <s v="ERP, AFV"/>
    <s v=""/>
    <s v=""/>
    <n v="1"/>
  </r>
  <r>
    <x v="1"/>
    <n v="936"/>
    <m/>
    <n v="3268"/>
    <s v="(20/02/2026) Buscando fechamento _x000a_Conversa extraida do áudio enviado em 12/03/2026_x000a_ 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
    <s v=""/>
    <x v="454"/>
    <m/>
    <s v=""/>
    <s v="Atacadão das Tripas"/>
    <s v="14998549863"/>
    <s v=""/>
    <s v="kayocalil@hotmail.com"/>
    <s v=""/>
    <s v=""/>
    <s v=""/>
    <s v=""/>
    <s v=""/>
    <s v=""/>
    <s v=""/>
    <s v=""/>
    <s v=""/>
    <s v="Pipeline de Vendas"/>
    <s v="Em negociação (75%)"/>
    <s v=""/>
    <m/>
    <m/>
    <m/>
    <n v="27"/>
    <s v="Junior Lopes"/>
    <d v="2026-02-13T00:00:00"/>
    <d v="1899-12-30T14:52:42"/>
    <s v=""/>
    <s v="Perdido"/>
    <d v="2026-03-12T00:00:00"/>
    <d v="1899-12-30T14:12:42"/>
    <s v="Não quer mudar a solução atual"/>
    <s v="Conversa extraida do áudio enviado em 12/03/2026_x000a_ 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
    <s v=""/>
    <x v="0"/>
    <s v=""/>
    <x v="187"/>
    <s v=""/>
    <d v="2026-03-12T00:00:00"/>
    <n v="50"/>
    <s v=""/>
    <s v=""/>
    <s v=""/>
    <s v=""/>
    <n v="1"/>
  </r>
  <r>
    <x v="1"/>
    <n v="937"/>
    <m/>
    <n v="3267"/>
    <s v="(19/02/2026) descartando por falta de interação _x000a_09:44, 19/02/2026 Junior Lopes: Oi, Edenilson Tentei contato algumas vezes, mas não consegui falar com você. Imagino que sua rotina esteja corrida. Vou encerrar seu atendimento por aqui para não lotar sua caixa de entrada, mas sigo à disposição caso queira retomar o assunto no futuro"/>
    <s v=""/>
    <x v="455"/>
    <n v="3318893000106"/>
    <s v=""/>
    <s v="Eletro Fort Poste Padrão"/>
    <s v="19974151604"/>
    <s v=""/>
    <s v="compras@eletrofortlimeira.com.br"/>
    <s v=""/>
    <s v=""/>
    <s v=""/>
    <s v=""/>
    <s v=""/>
    <s v="Campanha"/>
    <s v=""/>
    <s v=""/>
    <s v="Dentro Perfil;Instagram"/>
    <s v="Pipeline de Vendas"/>
    <s v="Qualificação de Vendas (SQL) (25%)"/>
    <s v=""/>
    <d v="2026-02-28T00:00:00"/>
    <m/>
    <m/>
    <n v="13"/>
    <s v="Paulo Souza"/>
    <d v="2026-02-13T00:00:00"/>
    <d v="1899-12-30T21:58:18"/>
    <s v=""/>
    <s v="Perdido"/>
    <d v="2026-02-26T00:00:00"/>
    <d v="1899-12-30T23:10:17"/>
    <s v="Fora do porte mínimo (sem fit estrutural)"/>
    <s v=""/>
    <s v=""/>
    <x v="0"/>
    <s v="Junior Lopes"/>
    <x v="0"/>
    <s v=""/>
    <d v="2026-02-19T00:00:00"/>
    <n v="30"/>
    <s v=""/>
    <s v=""/>
    <s v=""/>
    <s v=""/>
    <n v="1"/>
  </r>
  <r>
    <x v="0"/>
    <n v="938"/>
    <m/>
    <n v="3266"/>
    <s v="19/02 Fiz FUP com o cliente e liguei para o Luis e ao entender o processo dele verifique que não atendemos. Pois ele quer que o vendedor no momento do pedido já emita a NF."/>
    <s v=""/>
    <x v="456"/>
    <n v="11994847000155"/>
    <s v=""/>
    <s v="Luís Fernando"/>
    <s v="(15) 99839-1786"/>
    <s v=""/>
    <s v="luismendesjr@cafecarneiro.com.br"/>
    <s v=""/>
    <s v=""/>
    <s v=""/>
    <s v="Itapeva"/>
    <s v=""/>
    <s v="Site"/>
    <s v=""/>
    <s v=""/>
    <s v="Contato"/>
    <s v="Pipeline de Vendas"/>
    <s v="Apresentar Solução (35%)"/>
    <s v=""/>
    <d v="2026-02-28T00:00:00"/>
    <m/>
    <m/>
    <n v="6"/>
    <s v="Paulo Souza"/>
    <d v="2026-02-13T00:00:00"/>
    <d v="1899-12-30T22:00:55"/>
    <s v=""/>
    <s v="Perdido"/>
    <d v="2026-02-19T00:00:00"/>
    <d v="1899-12-30T17:25:13"/>
    <s v="Nossa solução não atende - falta funcionalidade"/>
    <s v="19/02 Fiz FUP com o cliente e liguei para o Luis e ao entender o processo dele verifique que não atendemos. Pois ele quer que o vendedor no momento do pedido já emita a NF."/>
    <s v=""/>
    <x v="0"/>
    <s v="Paulo Souza"/>
    <x v="0"/>
    <s v=""/>
    <m/>
    <n v="30"/>
    <s v=""/>
    <s v=""/>
    <s v=""/>
    <s v=""/>
    <n v="1"/>
  </r>
  <r>
    <x v="2"/>
    <n v="945"/>
    <m/>
    <n v="3271"/>
    <s v=""/>
    <s v=""/>
    <x v="457"/>
    <m/>
    <s v=""/>
    <s v="Angel"/>
    <s v="(45) 99828-7178"/>
    <s v=""/>
    <s v="lucaangel20@hotmail.com"/>
    <s v=""/>
    <s v=""/>
    <s v=""/>
    <s v="Toledo"/>
    <s v=""/>
    <s v="Site"/>
    <s v=""/>
    <s v=""/>
    <s v="Solicita demo"/>
    <s v="Pipeline de Vendas"/>
    <s v="Agendamento (0%)"/>
    <s v=""/>
    <m/>
    <m/>
    <m/>
    <n v="2"/>
    <s v="Paulo Souza"/>
    <d v="2026-02-17T00:00:00"/>
    <d v="1899-12-30T17:47:51"/>
    <s v=""/>
    <s v="Perdido"/>
    <d v="2026-02-19T00:00:00"/>
    <d v="1899-12-30T09:05:02"/>
    <s v="Cliente não quer contato LGPD"/>
    <s v=""/>
    <s v=""/>
    <x v="0"/>
    <s v="Rayssa Karapeticov"/>
    <x v="0"/>
    <s v=""/>
    <d v="2026-02-18T00:00:00"/>
    <n v="30"/>
    <s v=""/>
    <s v="ERP"/>
    <s v=""/>
    <s v=""/>
    <n v="1"/>
  </r>
  <r>
    <x v="0"/>
    <n v="946"/>
    <m/>
    <n v="3270"/>
    <s v="26/02 Fiz FUP hoje com o Diego após varias tentativas de ligação ele não atendeu, envie e-mail para ver se consigo outro canal de conversa._x000a_12/03 Diego optou por uma solução local e se não der certo retorna o contato."/>
    <s v=""/>
    <x v="458"/>
    <m/>
    <s v=""/>
    <s v="Cia atacadista"/>
    <s v="71982084451"/>
    <s v=""/>
    <s v="ailtonsrocha@hotmail.com"/>
    <s v=""/>
    <s v=""/>
    <s v=""/>
    <s v=""/>
    <s v=""/>
    <s v="Campanha"/>
    <s v=""/>
    <s v=""/>
    <s v="Dentro Perfil;Instagram"/>
    <s v="Pipeline de Vendas"/>
    <s v="Qualificação de Vendas (SQL) (25%)"/>
    <s v=""/>
    <d v="2026-03-31T00:00:00"/>
    <m/>
    <m/>
    <n v="82"/>
    <s v="Paulo Souza"/>
    <d v="2026-02-18T00:00:00"/>
    <d v="1899-12-30T08:51:33"/>
    <s v=""/>
    <s v="Perdido"/>
    <d v="2026-05-11T00:00:00"/>
    <d v="1899-12-30T11:54:40"/>
    <s v="Fechou com o concorrente - preço"/>
    <s v="optou por uma solução local, senão atende-lo volta o contato."/>
    <s v=""/>
    <x v="0"/>
    <s v="Paulo Souza"/>
    <x v="0"/>
    <s v=""/>
    <d v="2026-03-12T00:00:00"/>
    <n v="30"/>
    <s v=""/>
    <s v="ERP, AFV"/>
    <s v=""/>
    <s v=""/>
    <n v="1"/>
  </r>
  <r>
    <x v="1"/>
    <n v="948"/>
    <m/>
    <n v="3278"/>
    <s v="(19/02/2026) em contato com Andreia ! atualmente usa ERP Linx e busca ferramenta de força de vendas _x000a_estamos alinhando data de apresentação _x000a_(09/03/2026) Após envio da proposta comercial Andréa não respondeu mais ! dois pontos de atenção com relacçao ao seu ramo de atividade , por ser um fabrica de roupas e ERP Linx"/>
    <s v=""/>
    <x v="459"/>
    <m/>
    <s v=""/>
    <s v="Ama"/>
    <s v="21995112577"/>
    <s v=""/>
    <s v="andreiamattosaeb@mail.com"/>
    <s v=""/>
    <s v=""/>
    <s v=""/>
    <s v=""/>
    <s v=""/>
    <s v="Campanha"/>
    <s v=""/>
    <s v=""/>
    <s v="Dentro Perfil;Instagram"/>
    <s v="Pipeline de Vendas"/>
    <s v="Apresentar Proposta (50%)"/>
    <s v=""/>
    <d v="2026-02-28T00:00:00"/>
    <n v="16960"/>
    <n v="575"/>
    <n v="21"/>
    <s v="Paulo Souza"/>
    <d v="2026-02-19T00:00:00"/>
    <d v="1899-12-30T08:14:29"/>
    <s v=""/>
    <s v="Perdido"/>
    <d v="2026-03-12T00:00:00"/>
    <d v="1899-12-30T15:22:14"/>
    <s v="Não houve aprovação financeira"/>
    <s v="investimento alto"/>
    <s v=""/>
    <x v="184"/>
    <s v="Junior Lopes"/>
    <x v="205"/>
    <s v=""/>
    <d v="2026-03-09T00:00:00"/>
    <n v="31"/>
    <s v=""/>
    <s v=""/>
    <s v=""/>
    <s v=""/>
    <n v="1"/>
  </r>
  <r>
    <x v="2"/>
    <n v="949"/>
    <m/>
    <n v="3279"/>
    <s v=""/>
    <s v=""/>
    <x v="363"/>
    <m/>
    <s v=""/>
    <s v="Fisiohosp"/>
    <s v="06596658787"/>
    <s v=""/>
    <s v="cmag2017@gmail.com"/>
    <s v=""/>
    <s v=""/>
    <s v=""/>
    <s v=""/>
    <s v="Cuiabá mt"/>
    <s v="Inbound"/>
    <s v=""/>
    <s v=""/>
    <s v="Fora Perfil;Instagram"/>
    <s v="Pipeline de Vendas"/>
    <s v="Agendamento (0%)"/>
    <s v=""/>
    <d v="2026-02-28T00:00:00"/>
    <m/>
    <m/>
    <n v="4"/>
    <s v="Paulo Souza"/>
    <d v="2026-02-19T00:00:00"/>
    <d v="1899-12-30T08:15:39"/>
    <s v=""/>
    <s v="Perdido"/>
    <d v="2026-02-23T00:00:00"/>
    <d v="1899-12-30T16:11:43"/>
    <s v="Fora do porte mínimo (sem fit estrutural)"/>
    <s v=""/>
    <s v=""/>
    <x v="0"/>
    <s v="Rayssa Karapeticov"/>
    <x v="0"/>
    <s v=""/>
    <m/>
    <n v="30"/>
    <s v=""/>
    <s v=""/>
    <s v=""/>
    <s v=""/>
    <n v="1"/>
  </r>
  <r>
    <x v="2"/>
    <n v="950"/>
    <m/>
    <n v="3280"/>
    <s v="19.02 devido o feriado de carnaval estã retornando hoje._x000a_Combinamos de falar amanhã 20/02 as 09h"/>
    <s v=""/>
    <x v="460"/>
    <n v="3459449000100"/>
    <s v=""/>
    <s v="San marcus industrial"/>
    <s v="75998542317"/>
    <s v=""/>
    <s v="marcos@sanmarcus.com.br"/>
    <s v=""/>
    <s v=""/>
    <s v=""/>
    <s v=""/>
    <s v=""/>
    <s v="Campanha"/>
    <s v=""/>
    <s v=""/>
    <s v="Dentro Perfil;Instagram"/>
    <s v="Pipeline de Vendas"/>
    <s v="Apresentar Solução (35%)"/>
    <s v=""/>
    <d v="2026-04-30T00:00:00"/>
    <m/>
    <m/>
    <n v="22"/>
    <s v="Paulo Souza"/>
    <d v="2026-02-19T00:00:00"/>
    <d v="1899-12-30T08:17:18"/>
    <s v=""/>
    <s v="Perdido"/>
    <d v="2026-03-13T00:00:00"/>
    <d v="1899-12-30T10:35:07"/>
    <s v="Não quer mudar a solução atual"/>
    <s v=""/>
    <s v=""/>
    <x v="0"/>
    <s v="Rayssa Karapeticov"/>
    <x v="0"/>
    <s v=""/>
    <d v="2026-03-13T00:00:00"/>
    <n v="31"/>
    <s v=""/>
    <s v="ERP, PCP, AFV"/>
    <s v=""/>
    <s v=""/>
    <n v="1"/>
  </r>
  <r>
    <x v="1"/>
    <n v="951"/>
    <m/>
    <n v="3282"/>
    <s v="(19/02/2026) ligação não atendida ! na sequencia envio de mensagem _x000a_(19/02/2026) em contato com Carolla , a empresa é uma loja de doces , fora do perfil _x000a_08:56, 19/02/2026 Junior Lopes: OLá Carolla, bom dia !_x000a_08:56, 19/02/2026 Junior Lopes: sou Junior Lopes da Guarani sistemas td bem ?_x000a_08:57, 19/02/2026 Junior Lopes: estou retornando um contato que você fez conosco"/>
    <s v=""/>
    <x v="461"/>
    <m/>
    <s v=""/>
    <s v="Fa de doces"/>
    <s v="16993027000"/>
    <s v=""/>
    <s v="carollafinancas@gmail.com"/>
    <s v=""/>
    <s v=""/>
    <s v=""/>
    <s v=""/>
    <s v=""/>
    <s v="Campanha"/>
    <s v=""/>
    <s v=""/>
    <s v="Fora Perfil;Instagram"/>
    <s v="Pipeline de Vendas"/>
    <s v="Qualificação de Vendas (SQL) (25%)"/>
    <s v=""/>
    <d v="2026-02-19T00:00:00"/>
    <m/>
    <m/>
    <n v="7"/>
    <s v="Paulo Souza"/>
    <d v="2026-02-19T00:00:00"/>
    <d v="1899-12-30T08:18:43"/>
    <s v=""/>
    <s v="Perdido"/>
    <d v="2026-02-26T00:00:00"/>
    <d v="1899-12-30T23:09:28"/>
    <s v="Fora do porte mínimo (sem fit estrutural)"/>
    <s v=""/>
    <s v=""/>
    <x v="0"/>
    <s v="Junior Lopes"/>
    <x v="0"/>
    <s v=""/>
    <m/>
    <n v="30"/>
    <s v=""/>
    <s v=""/>
    <s v=""/>
    <s v=""/>
    <n v="1"/>
  </r>
  <r>
    <x v="0"/>
    <n v="952"/>
    <m/>
    <n v="3283"/>
    <s v="26/02 Fiz FUP com Alessandro e combinamos de falar na segunda-feira as 9h_x000a_12/03 Fiz FUP com o Alessandro e combinamos uma apresentação amanhã as 8h _x000a_20/03 Fiz FUP com o Alessandro para saber se ele vai seguir ou não._x000a_20/03 Cliente achou o preço muito alto para investir agora."/>
    <s v=""/>
    <x v="462"/>
    <m/>
    <s v=""/>
    <s v="Alessandro"/>
    <s v="49999890528"/>
    <s v=""/>
    <s v="ale@metaladm.com.br"/>
    <s v=""/>
    <s v=""/>
    <s v=""/>
    <s v=""/>
    <s v=""/>
    <s v="Campanha"/>
    <s v=""/>
    <s v=""/>
    <s v="Dentro Perfil;Instagram"/>
    <s v="Pipeline de Vendas"/>
    <s v="Em negociação (75%)"/>
    <s v=""/>
    <d v="2026-03-31T00:00:00"/>
    <n v="862043"/>
    <n v="34937"/>
    <n v="40"/>
    <s v="Paulo Souza"/>
    <d v="2026-02-19T00:00:00"/>
    <d v="1899-12-30T08:19:46"/>
    <s v=""/>
    <s v="Perdido"/>
    <d v="2026-03-31T00:00:00"/>
    <d v="1899-12-30T16:31:50"/>
    <s v="Preço muito alto - fora do budget de investimento"/>
    <s v=""/>
    <s v=""/>
    <x v="187"/>
    <s v="Paulo Souza"/>
    <x v="0"/>
    <s v=""/>
    <d v="2026-03-20T00:00:00"/>
    <n v="30"/>
    <s v=""/>
    <s v="ERP, AFV"/>
    <s v=""/>
    <s v=""/>
    <n v="1"/>
  </r>
  <r>
    <x v="0"/>
    <n v="953"/>
    <m/>
    <n v="3284"/>
    <s v="26/02 Fiz FUP com a Fernanda e ela não atendeu, deixei recado para falarmos._x000a_02/02 Fiz FUP e cliente falou que vai analisar"/>
    <s v=""/>
    <x v="463"/>
    <m/>
    <s v=""/>
    <s v="NEW"/>
    <s v="1140227929"/>
    <s v=""/>
    <s v="ferramentarianws@gmail.com"/>
    <s v=""/>
    <s v=""/>
    <s v=""/>
    <s v=""/>
    <s v=""/>
    <s v="Campanha"/>
    <s v=""/>
    <s v=""/>
    <s v="Fora Perfil;Instagram"/>
    <s v="Pipeline de Vendas"/>
    <s v="Qualificação de Vendas (SQL) (25%)"/>
    <s v=""/>
    <d v="2026-02-28T00:00:00"/>
    <m/>
    <m/>
    <n v="12"/>
    <s v="Paulo Souza"/>
    <d v="2026-02-19T00:00:00"/>
    <d v="1899-12-30T08:20:37"/>
    <s v=""/>
    <s v="Perdido"/>
    <d v="2026-03-03T00:00:00"/>
    <d v="1899-12-30T21:25:01"/>
    <s v="Fora do porte mínimo (sem fit estrutural)"/>
    <s v=""/>
    <s v=""/>
    <x v="0"/>
    <s v="Paulo Souza"/>
    <x v="0"/>
    <s v=""/>
    <m/>
    <n v="32"/>
    <s v=""/>
    <s v=""/>
    <s v=""/>
    <s v=""/>
    <n v="1"/>
  </r>
  <r>
    <x v="2"/>
    <n v="956"/>
    <m/>
    <n v="3286"/>
    <s v="esta atrás de parceiria para revenda do sistema"/>
    <s v=""/>
    <x v="464"/>
    <m/>
    <s v=""/>
    <s v="Grupo Alves Consultoria Empresarial"/>
    <s v="92992307944"/>
    <s v=""/>
    <s v="tayanxpmartins@hotmail.com"/>
    <s v=""/>
    <s v=""/>
    <s v=""/>
    <s v=""/>
    <s v=""/>
    <s v="Campanha"/>
    <s v=""/>
    <s v=""/>
    <s v="Fora Perfil;Instagram"/>
    <s v="Pipeline de Vendas"/>
    <s v="Agendamento (0%)"/>
    <s v=""/>
    <d v="2026-02-28T00:00:00"/>
    <m/>
    <m/>
    <n v="3"/>
    <s v="Paulo Souza"/>
    <d v="2026-02-20T00:00:00"/>
    <d v="1899-12-30T13:53:53"/>
    <s v=""/>
    <s v="Perdido"/>
    <d v="2026-02-23T00:00:00"/>
    <d v="1899-12-30T16:07:54"/>
    <s v="Fora do porte mínimo (sem fit estrutural)"/>
    <s v=""/>
    <s v=""/>
    <x v="0"/>
    <s v="Rayssa Karapeticov"/>
    <x v="0"/>
    <s v=""/>
    <d v="2026-02-23T00:00:00"/>
    <n v="30"/>
    <s v=""/>
    <s v=""/>
    <s v=""/>
    <s v=""/>
    <n v="1"/>
  </r>
  <r>
    <x v="2"/>
    <n v="959"/>
    <m/>
    <n v="3298"/>
    <s v="Cliente é um representante da Oster e outras marcas, a ideia de negociação é do AFV, mas no dia sexta-feira, 20 de fevereiro de 2026_x000a_11:00 - 12:00 (BRT) - realizamos uma apresentação do AFv, durante a reunião pediu uma proposta do ERP também para avaliar uma possivel troca. _x000a_Após a reunião fizemos uma segunda ruenião de apresentação da proposta comercial no dia 24/02_x000a_Após isso cliente ficou de me passar uma contra proposta para negociação, porém ele esta em feria no EUA, e ainda não retornoul_x000a_Falei com ele hoje 18/03 e ainda esta em feira e pediu para retornar na sexta oferecendo um login e senha. _x000a_Vou retornar o contato na sexta para entender(provavelemente é do AFV) mas dar sequencia no atendimento_x000a_24.03 Estou marcando uma reunião presencial, porém essa semana esta em SC"/>
    <s v=""/>
    <x v="465"/>
    <m/>
    <s v=""/>
    <s v="André Feldman"/>
    <s v="11988461881"/>
    <s v=""/>
    <s v="andre@homebrands.com.br"/>
    <s v=""/>
    <s v=""/>
    <s v=""/>
    <s v=""/>
    <s v=""/>
    <s v=""/>
    <s v=""/>
    <s v=""/>
    <s v=""/>
    <s v="Pipeline de Vendas"/>
    <s v="Em negociação (75%)"/>
    <s v=""/>
    <d v="2026-05-31T00:00:00"/>
    <n v="963186"/>
    <n v="62062"/>
    <n v="79"/>
    <s v="Rayssa Karapeticov"/>
    <d v="2026-02-23T00:00:00"/>
    <d v="1899-12-30T11:51:24"/>
    <s v=""/>
    <s v="Perdido"/>
    <d v="2026-05-13T00:00:00"/>
    <d v="1899-12-30T10:42:53"/>
    <s v="Projeto adiado / sem prazo definido"/>
    <s v=""/>
    <s v=""/>
    <x v="188"/>
    <s v="Rayssa Karapeticov"/>
    <x v="206"/>
    <s v=""/>
    <d v="2026-05-13T00:00:00"/>
    <n v="30"/>
    <s v=""/>
    <s v="ERP"/>
    <s v=""/>
    <s v=""/>
    <n v="1"/>
  </r>
  <r>
    <x v="2"/>
    <n v="960"/>
    <m/>
    <n v="3299"/>
    <s v="Cliente é um representante da Oster e outras marcas, a ideia de negociação é do AFV, mas no dia sexta-feira, 20 de fevereiro de 2026_x000a_11:00 - 12:00 (BRT) - realizamos uma apresentação do AFv, durante a reunião pediu uma proposta do ERP também para avaliar uma possivel troca. _x000a_Após a reunião fizemos uma segunda ruenião de apresentação da proposta comercial no dia 24/02_x000a_Após isso cliente ficou de me passar uma contra proposta para negociação, porém ele esta em feria no EUA, e ainda não retornoul_x000a_Falei com ele hoje 18/03 e ainda esta em feira e pediu para retornar na sexta oferecendo um login e senha. _x000a_Vou retornar o contato na sexta para entender(provavelemente é do AFV) mas dar sequencia no atendimento_x000a_24.03 Estou marcando uma reunião presencial, porém essa semana esta em SC."/>
    <s v=""/>
    <x v="466"/>
    <m/>
    <s v=""/>
    <s v="Andre"/>
    <s v="11988461881"/>
    <s v=""/>
    <s v="andre@homebrands.com.br"/>
    <s v=""/>
    <s v=""/>
    <s v=""/>
    <s v=""/>
    <s v=""/>
    <s v=""/>
    <s v=""/>
    <s v=""/>
    <s v=""/>
    <s v="Pipeline de Vendas"/>
    <s v="Em negociação (75%)"/>
    <s v=""/>
    <d v="2026-04-30T00:00:00"/>
    <n v="27150"/>
    <n v="3450"/>
    <n v="79"/>
    <s v="Rayssa Karapeticov"/>
    <d v="2026-02-23T00:00:00"/>
    <d v="1899-12-30T12:12:37"/>
    <s v=""/>
    <s v="Perdido"/>
    <d v="2026-05-13T00:00:00"/>
    <d v="1899-12-30T10:53:23"/>
    <s v="Não quer mudar a solução atual"/>
    <s v=""/>
    <s v=""/>
    <x v="188"/>
    <s v="Rayssa Karapeticov"/>
    <x v="206"/>
    <s v=""/>
    <d v="2026-05-13T00:00:00"/>
    <n v="30"/>
    <s v=""/>
    <s v="AFV"/>
    <s v=""/>
    <s v=""/>
    <n v="1"/>
  </r>
  <r>
    <x v="1"/>
    <n v="961"/>
    <m/>
    <n v="3287"/>
    <s v="12:26, 24/02/2026 Junior Lopes: lá Valdir, bom dia_x000a_12:26, 24/02/2026 Junior Lopes: aqui é Junior Lopes da Guarani sistemas tudo bem ?_x000a_12:39, 24/02/2026 +55 19 99218-9262: Boa tarde._x000a_Tudo bem e você?_x000a_Estou em um pregão eletrônico,  assim que acabar te chamo_x000a_13:02, 25/02/2026 +55 19 99218-9262: Preciso de um erp que controle 2 cnpj._x000a_Tenha:_x000a_Controle de O.S. com emissão de produto junto._x000a_Atualização com marketplace hoje, ML, Amazon, Shopee e Magazine Luiza._x000a_Controle de contratos _x000a_Ecomerce._x000a_Vendas por WhatsApp, Instagram, etc._x000a_Quando fazer venda na loja física, podendo colocar produtos das duas empresas e depois fazer as nfe de acordo com os produtos adequados._x000a_13:02, 25/02/2026 Junior Lopes: Olá Valdir , boa tarde_x000a_13:03, 25/02/2026 Junior Lopes: Assim que finalizar meu almoço , verifico sua mensagem e te respondo_x000a_13:03, 25/02/2026 Junior Lopes: Um abraço_x000a_13:03, 25/02/2026 +55 19 99218-9262: Estou no médico tambem agora, kkkk_x000a_13:03, 25/02/2026 +55 19 99218-9262: No aguardo_x000a_14:02, 25/02/2026 Junior Lopes: Olá Valdir, td bem ? fiz uma analise sobre as necessidades que você solicitou_x000a_14:02, 25/02/2026 Junior Lopes: Para o cenário da Compuleme, que exige uma frente de caixa (PDV) para loja física e integração direta com redes sociais e marketplaces, informamos que a Guarani não é a solução ideal._x000a_Embora sejamos fortes no controle de múltiplos CNPJs, O.S. e contratos, nosso sistema não opera com vendas de varejo físico ou integração de canais de atendimento (WhatsApp/Instagram). Preferimos ser transparentes para que vocês possam focar em uma ferramenta que já possua esse ecossistema de vendas integrado nativamente"/>
    <s v=""/>
    <x v="467"/>
    <n v="56556830000154"/>
    <s v=""/>
    <s v="Compuleme"/>
    <s v="19992189262"/>
    <s v=""/>
    <s v="valdir@compuleme.com.br"/>
    <s v=""/>
    <s v=""/>
    <s v=""/>
    <s v=""/>
    <s v=""/>
    <s v="Campanha"/>
    <s v=""/>
    <s v=""/>
    <s v="Fora Perfil;Instagram"/>
    <s v="Pipeline de Vendas"/>
    <s v="Qualificação de Vendas (SQL) (25%)"/>
    <s v=""/>
    <d v="2026-02-28T00:00:00"/>
    <m/>
    <m/>
    <n v="2"/>
    <s v="Paulo Souza"/>
    <d v="2026-02-24T00:00:00"/>
    <d v="1899-12-30T09:39:07"/>
    <s v=""/>
    <s v="Perdido"/>
    <d v="2026-02-26T00:00:00"/>
    <d v="1899-12-30T23:10:53"/>
    <s v="Fora do porte mínimo (sem fit estrutural)"/>
    <s v=""/>
    <s v=""/>
    <x v="0"/>
    <s v="Junior Lopes"/>
    <x v="0"/>
    <s v=""/>
    <d v="2026-02-25T00:00:00"/>
    <n v="30"/>
    <s v=""/>
    <s v=""/>
    <s v=""/>
    <s v=""/>
    <n v="1"/>
  </r>
  <r>
    <x v="2"/>
    <n v="962"/>
    <m/>
    <n v="3290"/>
    <s v="Perfil da Empresa_x000a_Setor: Tecnologia e segurança_x000a_Atuação: Distribuidora e empresa de tecnologia_x000a_Marcas representadas: Motorola, 3M_x000a_Produtos e Serviços_x000a_Vendas de produtos:_x000a_Via rádio de segurança_x000a_Formato de vendas para clientes recorrentes_x000a_Indicação pelo próprio representante_x000a_Equipe interna de vendas com 10 pessoas_x000a_Locação de produtos_x000a_Serviços complementares (não especificados, mas mencionados)_x000a_Estrutura Comercial_x000a_Equipe de vendas: 10 pessoas_x000a_Canais de vendas:_x000a_Representantes_x000a_Indicações_x000a_Equipe interna_x000a_Necessidade Atual_x000a_Implementar uma solução que:_x000a_Crie indicadores de desempenho para a equipe de vendas_x000a_Disponibilize um CRM para gestão de clientes e processos"/>
    <s v=""/>
    <x v="468"/>
    <m/>
    <s v=""/>
    <s v="São Paulo"/>
    <s v="11991241336"/>
    <s v=""/>
    <s v="dario@trivaletecnologia.com.br"/>
    <s v=""/>
    <s v=""/>
    <s v=""/>
    <s v=""/>
    <s v=""/>
    <s v="Campanha"/>
    <s v=""/>
    <s v=""/>
    <s v="Dentro Perfil;Instagram"/>
    <s v="Pipeline de Vendas"/>
    <s v="Agendamento (0%)"/>
    <s v=""/>
    <d v="2026-02-28T00:00:00"/>
    <m/>
    <m/>
    <n v="74"/>
    <s v="Paulo Souza"/>
    <d v="2026-02-24T00:00:00"/>
    <d v="1899-12-30T09:42:24"/>
    <s v=""/>
    <s v="Perdido"/>
    <d v="2026-05-09T00:00:00"/>
    <d v="1899-12-30T08:49:05"/>
    <s v="Fora do segmento atendido"/>
    <s v=""/>
    <s v=""/>
    <x v="0"/>
    <s v="Rayssa Karapeticov"/>
    <x v="0"/>
    <s v=""/>
    <d v="2026-02-26T00:00:00"/>
    <n v="30"/>
    <s v=""/>
    <s v=""/>
    <s v=""/>
    <s v=""/>
    <n v="1"/>
  </r>
  <r>
    <x v="0"/>
    <n v="963"/>
    <m/>
    <n v="3293"/>
    <s v="26/02 Fiz FUP com o Anderson e ele possui 3 lojas de roupa e esta fora do perfil."/>
    <s v=""/>
    <x v="469"/>
    <m/>
    <s v=""/>
    <s v="Anderson Brandão"/>
    <s v="13981286699"/>
    <s v=""/>
    <s v="anderson.melro@hotmail.com"/>
    <s v=""/>
    <s v=""/>
    <s v=""/>
    <s v=""/>
    <s v=""/>
    <s v="Campanha"/>
    <s v=""/>
    <s v=""/>
    <s v="Fora Perfil;Instagram"/>
    <s v="Pipeline de Vendas"/>
    <s v="Agendamento (0%)"/>
    <s v=""/>
    <d v="2026-02-28T00:00:00"/>
    <m/>
    <m/>
    <n v="2"/>
    <s v="Paulo Souza"/>
    <d v="2026-02-24T00:00:00"/>
    <d v="1899-12-30T09:46:02"/>
    <s v=""/>
    <s v="Perdido"/>
    <d v="2026-02-26T00:00:00"/>
    <d v="1899-12-30T17:30:38"/>
    <s v="Fora do porte mínimo (sem fit estrutural)"/>
    <s v="26/02 Fiz FUP com o Anderson e ele possui 3 lojas de roupa e esta fora do perfil."/>
    <s v=""/>
    <x v="0"/>
    <s v="Paulo Souza"/>
    <x v="0"/>
    <s v=""/>
    <m/>
    <n v="30"/>
    <s v=""/>
    <s v="PDV"/>
    <s v=""/>
    <s v=""/>
    <n v="1"/>
  </r>
  <r>
    <x v="0"/>
    <n v="964"/>
    <m/>
    <n v="3294"/>
    <s v="26/02 Fiz FUP com a Leticia ela não pode atender pois estava saindo para buscar o filho na escola, ficamos de falar amanha._x000a_12/03 Apos ligar e não ser atendido estou declinando a aliança."/>
    <s v=""/>
    <x v="470"/>
    <m/>
    <s v=""/>
    <s v="Leticia"/>
    <s v="(62) 99953-7500"/>
    <s v=""/>
    <s v="leticiarsouza1@gmail.com"/>
    <s v=""/>
    <s v=""/>
    <s v=""/>
    <s v="Goiânia"/>
    <s v=""/>
    <s v="Site"/>
    <s v=""/>
    <s v=""/>
    <s v="Dentro Perfil;Fora Perfil;Solicita demo"/>
    <s v="Pipeline de Vendas"/>
    <s v="Qualificação de Vendas (SQL) (25%)"/>
    <s v=""/>
    <d v="2026-02-28T00:00:00"/>
    <m/>
    <m/>
    <n v="16"/>
    <s v="Paulo Souza"/>
    <d v="2026-02-24T00:00:00"/>
    <d v="1899-12-30T09:48:17"/>
    <s v=""/>
    <s v="Perdido"/>
    <d v="2026-03-12T00:00:00"/>
    <d v="1899-12-30T17:30:42"/>
    <s v="Fora do porte mínimo (sem fit estrutural)"/>
    <s v=""/>
    <s v=""/>
    <x v="0"/>
    <s v="Paulo Souza"/>
    <x v="200"/>
    <s v=""/>
    <d v="2026-03-12T00:00:00"/>
    <n v="30"/>
    <s v=""/>
    <s v=""/>
    <s v=""/>
    <s v=""/>
    <n v="1"/>
  </r>
  <r>
    <x v="1"/>
    <n v="965"/>
    <m/>
    <n v="3295"/>
    <s v="(24/02/20260 Tentativa de ligação não atendia ! enviei mensagem a fim de contato com Geaze ! _x000a_em busca sobre a empresa usando IA do Google :_x000a_A Infraloc é uma empresa especializada na locação e venda de móveis corporativos e equipamentos, com forte atuação no setor de construção civil, canteiros de obras e eventos. _x000a_Informações de Contato e Localização_x000a_Endereço: R. José Miranda, 143 - Afogados, Recife - PE._x000a_WhatsApp: (81) 98297-2897._x000a_Site Oficial: infraloc.com.br. _x000a_Principais Produtos e Serviços_x000a_A empresa oferece soluções completas para canteiros, escritórios e refeitórios, incluindo:_x000a_Móveis Corporativos: Mesas de reunião, mesas e cadeiras de escritório, armários roupeiros e estações de trabalho._x000a_Equipamentos: Bebedouros industriais, cafeteiras expressas, impressoras a laser e máquinas para construção._x000a_Estruturas para Eventos: Locação de toldos, mesas e cadeiras de PVC para festas e eventos em gera_x000a_(25/02/2026) cliente trabalha com locação de equipamento , é necessário controle e contrato de locação manutenção (Fora do perfil )"/>
    <s v=""/>
    <x v="471"/>
    <m/>
    <s v=""/>
    <s v="Infraloc"/>
    <s v="81986574539"/>
    <s v=""/>
    <s v="geazemiranda@yahoo.com.br"/>
    <s v=""/>
    <s v=""/>
    <s v=""/>
    <s v=""/>
    <s v=""/>
    <s v="Campanha"/>
    <s v=""/>
    <s v=""/>
    <s v="Fora Perfil;Instagram"/>
    <s v="Pipeline de Vendas"/>
    <s v="Qualificação de Vendas (SQL) (25%)"/>
    <s v=""/>
    <d v="2026-02-28T00:00:00"/>
    <m/>
    <m/>
    <n v="1"/>
    <s v="Paulo Souza"/>
    <d v="2026-02-24T00:00:00"/>
    <d v="1899-12-30T09:49:20"/>
    <s v=""/>
    <s v="Perdido"/>
    <d v="2026-02-25T00:00:00"/>
    <d v="1899-12-30T10:58:00"/>
    <s v="Fora do porte mínimo (sem fit estrutural)"/>
    <s v="(25/02/2026) cliente trabalha com locação de equipamento , é necessário controle e contrato de locação manutenção (Fora do perfil )"/>
    <s v=""/>
    <x v="0"/>
    <s v="Junior Lopes"/>
    <x v="0"/>
    <s v=""/>
    <d v="2026-02-25T00:00:00"/>
    <n v="30"/>
    <s v=""/>
    <s v=""/>
    <s v=""/>
    <s v=""/>
    <n v="1"/>
  </r>
  <r>
    <x v="2"/>
    <n v="966"/>
    <m/>
    <n v="3296"/>
    <s v=""/>
    <s v=""/>
    <x v="472"/>
    <m/>
    <s v=""/>
    <s v="Centrolar"/>
    <s v="62992132212"/>
    <s v=""/>
    <s v="ubiratanrosania@gmail.com"/>
    <s v=""/>
    <s v=""/>
    <s v=""/>
    <s v=""/>
    <s v=""/>
    <s v="Campanha"/>
    <s v=""/>
    <s v=""/>
    <s v="Fora Perfil;Instagram"/>
    <s v="Pipeline de Vendas"/>
    <s v="Agendamento (0%)"/>
    <s v=""/>
    <d v="2026-03-31T00:00:00"/>
    <m/>
    <m/>
    <n v="74"/>
    <s v="Paulo Souza"/>
    <d v="2026-02-24T00:00:00"/>
    <d v="1899-12-30T09:50:49"/>
    <s v=""/>
    <s v="Perdido"/>
    <d v="2026-05-09T00:00:00"/>
    <d v="1899-12-30T21:11:15"/>
    <s v="Sem qualificação — contato não atende ligações nem responde msg"/>
    <s v=""/>
    <s v=""/>
    <x v="0"/>
    <s v="Rayssa Karapeticov"/>
    <x v="0"/>
    <s v=""/>
    <d v="2026-03-09T00:00:00"/>
    <n v="30"/>
    <s v=""/>
    <s v=""/>
    <s v=""/>
    <s v=""/>
    <n v="1"/>
  </r>
  <r>
    <x v="1"/>
    <n v="967"/>
    <m/>
    <n v="3300"/>
    <s v="(24/02/2026) em contato com Daniel _x000a_A empresa Vitta Estrutural está iniciando as operação, sua operação esta focada em recarga de extintores e revenda de produtos através de venda balcão e representante externo ! um ponto especifico é o controle de lote e validade dos extintores informando a data que está vencendo no ambiente do cliente _x000a_Daniel solicitou uma previsão de investimento para seguirmos _x000a_(25/02/2026) enviando previsão de investimento para analise do cliente e viabilidade  _x000a_10:50, 25/02/2026 Junior Lopes: valores na pagina 27 com resumo na pagina 28_x000a_10:53, 25/02/2026 Junior Lopes: perfeito ! ficamos a disposição para apresentação completa da solução_x000a_10:41, 09/03/2026 Junior Lopes: Olá Daniel, bom dia _x000a_Sobre o projeto ERP Guarani ! Vamos da sequência meu amigo?_x000a_10:41, 09/03/2026 Junior Lopes: Olá Daniel, bom dia _x000a_Sobre o projeto ERP Guarani ! Vamos da sequência meu amigo?_x000a_10:42, 09/03/2026 +55 67 9207-9099: Bom dia, agradeço por enquanto.,_x000a_10:45, 09/03/2026 Junior Lopes: Obrigado pelo retorno! Sucesso para vcs"/>
    <s v=""/>
    <x v="473"/>
    <m/>
    <s v=""/>
    <s v="Vitta Estrutural"/>
    <s v="67992079099"/>
    <s v=""/>
    <s v="dgruschel@hotmail.com"/>
    <s v=""/>
    <s v=""/>
    <s v=""/>
    <s v=""/>
    <s v=""/>
    <s v="Campanha"/>
    <s v=""/>
    <s v=""/>
    <s v="30%;Dentro Perfil;Instagram"/>
    <s v="Pipeline de Vendas"/>
    <s v="Apresentar Proposta (50%)"/>
    <s v=""/>
    <d v="2026-03-30T00:00:00"/>
    <n v="758068"/>
    <n v="9596"/>
    <n v="13"/>
    <s v="Paulo Souza"/>
    <d v="2026-02-24T00:00:00"/>
    <d v="1899-12-30T09:52:13"/>
    <s v=""/>
    <s v="Perdido"/>
    <d v="2026-03-09T00:00:00"/>
    <d v="1899-12-30T10:46:44"/>
    <s v="Projeto adiado / sem prazo definido"/>
    <s v="10:41, 09/03/2026 Junior Lopes: Olá Daniel, bom dia _x000a_Sobre o projeto ERP Guarani ! Vamos da sequência meu amigo?_x000a_10:42, 09/03/2026 +55 67 9207-9099: Bom dia, agradeço por enquanto.,_x000a_10:45, 09/03/2026 Junior Lopes: Obrigado pelo retorno! Sucesso para vcs"/>
    <s v=""/>
    <x v="184"/>
    <s v="Junior Lopes"/>
    <x v="199"/>
    <s v=""/>
    <d v="2026-03-09T00:00:00"/>
    <n v="30"/>
    <s v=""/>
    <s v=""/>
    <s v=""/>
    <s v=""/>
    <n v="1"/>
  </r>
  <r>
    <x v="0"/>
    <n v="968"/>
    <m/>
    <n v="3288"/>
    <s v="26/02 Fiz FUP hoje com o Fábio ele não atendeu a ligação, deixei novo recado no Whatasapp."/>
    <s v=""/>
    <x v="474"/>
    <m/>
    <s v=""/>
    <s v="Flávio Storino"/>
    <s v="(19) 99667-2002"/>
    <s v=""/>
    <s v="flaviostorino@gmail.com"/>
    <s v=""/>
    <s v=""/>
    <s v=""/>
    <s v="Porto Ferreira"/>
    <s v=""/>
    <s v="Site"/>
    <s v=""/>
    <s v=""/>
    <s v="Contato"/>
    <s v="Pipeline de Vendas"/>
    <s v="Qualificação de Vendas (SQL) (25%)"/>
    <s v=""/>
    <d v="2026-02-28T00:00:00"/>
    <m/>
    <m/>
    <n v="2"/>
    <s v="Paulo Souza"/>
    <d v="2026-02-24T00:00:00"/>
    <d v="1899-12-30T09:54:16"/>
    <s v=""/>
    <s v="Perdido"/>
    <d v="2026-02-26T00:00:00"/>
    <d v="1899-12-30T18:33:13"/>
    <s v="Fora do porte mínimo (sem fit estrutural)"/>
    <s v=""/>
    <s v=""/>
    <x v="0"/>
    <s v="Paulo Souza"/>
    <x v="0"/>
    <s v=""/>
    <m/>
    <n v="30"/>
    <s v=""/>
    <s v=""/>
    <s v=""/>
    <s v=""/>
    <n v="1"/>
  </r>
  <r>
    <x v="2"/>
    <n v="969"/>
    <m/>
    <n v="3304"/>
    <s v=""/>
    <s v=""/>
    <x v="475"/>
    <n v="64688089000103"/>
    <s v=""/>
    <s v="Lucas"/>
    <s v="(11) 1111-1111"/>
    <s v=""/>
    <s v="contato@lucassecco.com.br"/>
    <s v=""/>
    <s v=""/>
    <s v=""/>
    <s v="ITAJAI"/>
    <s v="SC"/>
    <s v=""/>
    <s v=""/>
    <s v=""/>
    <s v=""/>
    <s v="Pipeline de Vendas"/>
    <s v="Apresentar Proposta (50%)"/>
    <s v=""/>
    <d v="2026-06-30T00:00:00"/>
    <n v="5191686"/>
    <n v="50562"/>
    <n v="16"/>
    <s v="Rayssa Karapeticov"/>
    <d v="2026-02-24T00:00:00"/>
    <d v="1899-12-30T12:41:49"/>
    <s v=""/>
    <s v="Perdido"/>
    <d v="2026-03-12T00:00:00"/>
    <d v="1899-12-30T17:14:44"/>
    <s v="Preço muito alto - fora do budget de investimento"/>
    <s v=""/>
    <s v=""/>
    <x v="189"/>
    <s v="Rayssa Karapeticov"/>
    <x v="207"/>
    <s v=""/>
    <d v="2026-03-12T00:00:00"/>
    <n v="30"/>
    <s v=""/>
    <s v="ERP, AFV"/>
    <s v=""/>
    <s v=""/>
    <n v="1"/>
  </r>
  <r>
    <x v="2"/>
    <n v="971"/>
    <m/>
    <n v="3303"/>
    <s v=""/>
    <s v=""/>
    <x v="476"/>
    <n v="1397620000179"/>
    <s v=""/>
    <s v="Sunred confecções"/>
    <s v="37988006012"/>
    <s v=""/>
    <s v="atendimento@sunred.com.br"/>
    <s v=""/>
    <s v=""/>
    <s v=""/>
    <s v=""/>
    <s v=""/>
    <s v="Campanha"/>
    <s v=""/>
    <s v=""/>
    <s v="Fora Perfil;Instagram"/>
    <s v="Pipeline de Vendas"/>
    <s v="Agendamento (0%)"/>
    <s v=""/>
    <d v="2026-02-28T00:00:00"/>
    <m/>
    <m/>
    <n v="73"/>
    <s v="Paulo Souza"/>
    <d v="2026-02-25T00:00:00"/>
    <d v="1899-12-30T15:32:36"/>
    <s v=""/>
    <s v="Perdido"/>
    <d v="2026-05-09T00:00:00"/>
    <d v="1899-12-30T08:49:28"/>
    <s v="Fora do segmento atendido"/>
    <s v=""/>
    <s v=""/>
    <x v="0"/>
    <s v="Rayssa Karapeticov"/>
    <x v="0"/>
    <s v=""/>
    <m/>
    <n v="27"/>
    <s v=""/>
    <s v=""/>
    <s v=""/>
    <s v=""/>
    <n v="1"/>
  </r>
  <r>
    <x v="1"/>
    <n v="972"/>
    <m/>
    <n v="3305"/>
    <s v="25/02/2026) em contato com Rogério _x000a_aoós tentativa de ligação nos falamos via WhatsApp conforme abaixo : _x000a_15:40, 25/02/2026 Junior Lopes: Olá Rogério , boa tarde_x000a_15:40, 25/02/2026 Junior Lopes: Sou Junior Lopes da Guarani sistemas! Td bem ?_x000a_15:40, 25/02/2026 Teodoro Cosmeticos: Boa tarde Júnior_x000a_15:41, 25/02/2026 Teodoro Cosmeticos: Bem graças a Deus_x000a_15:41, 25/02/2026 Junior Lopes: Que bom_x000a_15:41, 25/02/2026 Junior Lopes: Estou retornando um contato que vc fez conosco, relacionado ao nosso software_x000a_através de um áudio pedi para me falar um pouco mais sonbre sua empresa e dores _x000a_(25/02/2026) Agenda de apresentação AFV _x000a_(12/03/2026) Rogério achou investimento alto para o momento  atual"/>
    <s v=""/>
    <x v="477"/>
    <n v="51119265000144"/>
    <s v=""/>
    <s v="Teodoro cosméticos"/>
    <s v="(14) 3541-6311"/>
    <s v=""/>
    <s v="agilassessoriacontabil@otmail.com"/>
    <s v=""/>
    <s v=""/>
    <s v=""/>
    <s v="PROMISSAO"/>
    <s v="SP"/>
    <s v="Campanha"/>
    <s v=""/>
    <s v=""/>
    <s v="Dentro Perfil;Instagram"/>
    <s v="Pipeline de Vendas"/>
    <s v="Apresentar Proposta (50%)"/>
    <s v=""/>
    <d v="2026-02-25T00:00:00"/>
    <n v="5842744"/>
    <n v="145888"/>
    <n v="15"/>
    <s v="Paulo Souza"/>
    <d v="2026-02-25T00:00:00"/>
    <d v="1899-12-30T15:33:31"/>
    <s v=""/>
    <s v="Perdido"/>
    <d v="2026-03-12T00:00:00"/>
    <d v="1899-12-30T10:52:05"/>
    <s v="Não houve aprovação financeira"/>
    <s v="(12/03/2026) Rogério achou investimento alto para o momento  atual"/>
    <s v=""/>
    <x v="190"/>
    <s v="Junior Lopes"/>
    <x v="200"/>
    <s v=""/>
    <d v="2026-03-12T00:00:00"/>
    <n v="30"/>
    <s v=""/>
    <s v=""/>
    <s v=""/>
    <s v=""/>
    <n v="1"/>
  </r>
  <r>
    <x v="1"/>
    <n v="973"/>
    <m/>
    <n v="3309"/>
    <s v="(26/02/2026) Tentativa de ligação não atendida _x000a_09:13, 26/02/2026 Junior Lopes: Olá Junior, bom dia_x000a_09:13, 26/02/2026 Junior Lopes: aqui é Junior Lopes da Guarani sistemas, tudo bem ?_x000a_09:14, 26/02/2026 Junior Lopes: estou retornando um contato que você fez relacionado ao sistema Guarani_x000a_(26/02/2026) cliente não retorna aos contatos ! em breve pesquisa sobre a Revisão autopeças identifiquei que loja balcão ficando fora do perfil _x000a_estou declinando"/>
    <s v=""/>
    <x v="478"/>
    <n v="13994329000167"/>
    <s v=""/>
    <s v="Revisao Autopeças"/>
    <s v="(31) 8705-9607"/>
    <s v=""/>
    <s v="pratesctb@gmail.com"/>
    <s v=""/>
    <s v=""/>
    <s v=""/>
    <s v="CONTAGEM"/>
    <s v="MG"/>
    <s v="Inbound"/>
    <s v=""/>
    <s v=""/>
    <s v="Fora Perfil;Instagram"/>
    <s v="Pipeline de Vendas"/>
    <s v="Qualificação de Vendas (SQL) (25%)"/>
    <s v=""/>
    <d v="2026-02-28T00:00:00"/>
    <m/>
    <m/>
    <n v="1"/>
    <s v="Paulo Souza"/>
    <d v="2026-02-25T00:00:00"/>
    <d v="1899-12-30T21:31:37"/>
    <s v=""/>
    <s v="Perdido"/>
    <d v="2026-02-26T00:00:00"/>
    <d v="1899-12-30T23:08:09"/>
    <s v="Fora do porte mínimo (sem fit estrutural)"/>
    <s v=""/>
    <s v=""/>
    <x v="0"/>
    <s v="Junior Lopes"/>
    <x v="0"/>
    <s v=""/>
    <m/>
    <n v="30"/>
    <s v=""/>
    <s v=""/>
    <s v=""/>
    <s v=""/>
    <n v="1"/>
  </r>
  <r>
    <x v="2"/>
    <n v="974"/>
    <m/>
    <n v="3312"/>
    <s v=""/>
    <s v=""/>
    <x v="479"/>
    <m/>
    <s v=""/>
    <s v="Jlj transportes e locações"/>
    <s v="3196677652"/>
    <s v=""/>
    <s v="jairocesar@jllcomserv.com.br"/>
    <s v=""/>
    <s v=""/>
    <s v=""/>
    <s v=""/>
    <s v=""/>
    <s v="Campanha"/>
    <s v=""/>
    <s v=""/>
    <s v="Fora Perfil;Instagram"/>
    <s v="Pipeline de Vendas"/>
    <s v="Agendamento (0%)"/>
    <s v=""/>
    <d v="2026-05-31T00:00:00"/>
    <m/>
    <m/>
    <n v="72"/>
    <s v="Paulo Souza"/>
    <d v="2026-02-26T00:00:00"/>
    <d v="1899-12-30T09:29:58"/>
    <s v=""/>
    <s v="Perdido"/>
    <d v="2026-05-09T00:00:00"/>
    <d v="1899-12-30T08:49:59"/>
    <s v="Fora do segmento atendido"/>
    <s v=""/>
    <s v=""/>
    <x v="0"/>
    <s v="Rayssa Karapeticov"/>
    <x v="0"/>
    <s v=""/>
    <d v="2026-03-03T00:00:00"/>
    <n v="30"/>
    <s v=""/>
    <s v=""/>
    <s v=""/>
    <s v=""/>
    <n v="1"/>
  </r>
  <r>
    <x v="0"/>
    <n v="976"/>
    <m/>
    <n v="3314"/>
    <s v="26/02 Fiz Fiz FUP hoje com o Matheus e agendamos uma apresentação para quinta-feira dia 05/03 às 15h._x000a_05/03 Fiz FUP com o Matheus e hoje temos uma apresentação as 15h par afalar de sistema. Ele tem uma distribuidora de alimentação animal. _x000a_Tem 7 vendedores. já ancorei 50k de investimento_x000a_12/03 Fiz FUP hoje com o Matheus para saber se ele tem interesse em seguir _x000a_20/03 Fiz contato com o Matues muitas vezes sem retorno e por falta de comunicação estou encerrado a oportunidade."/>
    <s v=""/>
    <x v="480"/>
    <n v="22228036000160"/>
    <s v=""/>
    <s v="Matheus"/>
    <s v="(15) 3553-1307 / (15) 3553-1308"/>
    <s v=""/>
    <s v="matheusmarmodossantoslima@gmail.com"/>
    <s v=""/>
    <s v=""/>
    <s v=""/>
    <s v="RIBEIRAO BRANCO"/>
    <s v="SP"/>
    <s v="Site"/>
    <s v=""/>
    <s v=""/>
    <s v="Dentro Perfil;Solicita demo"/>
    <s v="Pipeline de Vendas"/>
    <s v="Apresentar Proposta (50%)"/>
    <s v=""/>
    <d v="2026-03-31T00:00:00"/>
    <m/>
    <m/>
    <n v="22"/>
    <s v="Paulo Souza"/>
    <d v="2026-02-26T00:00:00"/>
    <d v="1899-12-30T15:46:38"/>
    <s v=""/>
    <s v="Perdido"/>
    <d v="2026-03-20T00:00:00"/>
    <d v="1899-12-30T17:21:26"/>
    <s v="Projeto adiado / sem prazo definido"/>
    <s v=""/>
    <s v=""/>
    <x v="168"/>
    <s v="Paulo Souza"/>
    <x v="182"/>
    <s v=""/>
    <d v="2026-03-20T00:00:00"/>
    <n v="32"/>
    <s v=""/>
    <s v="ERP, AFV"/>
    <s v=""/>
    <s v=""/>
    <n v="1"/>
  </r>
  <r>
    <x v="0"/>
    <n v="977"/>
    <m/>
    <n v="3318"/>
    <s v="10/03 uilian me retornou avisou que vai manter a Mercos , devido a urgência que precisa referente a abertura da unidade São Paulo. Após essa necessidade ser atendida voltaremos a falar!"/>
    <s v=""/>
    <x v="481"/>
    <n v="82270893000150"/>
    <s v=""/>
    <s v="uilian"/>
    <s v="(44) 3045-3700"/>
    <s v=""/>
    <s v="uilian.gurjon@prats.com.br"/>
    <s v=""/>
    <s v=""/>
    <s v=""/>
    <s v="PARANAVAI"/>
    <s v="PR"/>
    <s v=""/>
    <s v=""/>
    <s v=""/>
    <s v=""/>
    <s v="Pipeline de Vendas"/>
    <s v="Em Fechamento (100%)"/>
    <s v=""/>
    <d v="2026-02-28T00:00:00"/>
    <n v="35870"/>
    <n v="5290"/>
    <n v="12"/>
    <s v="Paulo Souza"/>
    <d v="2026-02-26T00:00:00"/>
    <d v="1899-12-30T15:48:32"/>
    <s v=""/>
    <s v="Perdido"/>
    <d v="2026-03-10T00:00:00"/>
    <d v="1899-12-30T11:44:09"/>
    <s v="Não quer mudar a solução atual"/>
    <s v=""/>
    <s v=""/>
    <x v="168"/>
    <s v="Paulo Souza"/>
    <x v="199"/>
    <s v=""/>
    <m/>
    <n v="30"/>
    <s v="100"/>
    <s v="AFV"/>
    <s v=""/>
    <s v=""/>
    <n v="1"/>
  </r>
  <r>
    <x v="1"/>
    <n v="978"/>
    <m/>
    <n v="3323"/>
    <s v="(12/03/2026) Rogério achou investimento alto para o momento  atual"/>
    <s v=""/>
    <x v="482"/>
    <m/>
    <s v=""/>
    <s v="Teodoro cosméticos - AFV"/>
    <s v="1435416311"/>
    <s v=""/>
    <s v="agilassessoriacontabil@otmail.com"/>
    <s v=""/>
    <s v=""/>
    <s v=""/>
    <s v=""/>
    <s v=""/>
    <s v=""/>
    <s v=""/>
    <s v=""/>
    <s v=""/>
    <s v="Pipeline de Vendas"/>
    <s v="Apresentar Proposta (50%)"/>
    <s v=""/>
    <m/>
    <n v="1105989"/>
    <n v="29463"/>
    <n v="14"/>
    <s v="Junior Lopes"/>
    <d v="2026-02-26T00:00:00"/>
    <d v="1899-12-30T17:20:40"/>
    <s v=""/>
    <s v="Perdido"/>
    <d v="2026-03-12T00:00:00"/>
    <d v="1899-12-30T10:53:12"/>
    <s v="Não houve aprovação financeira"/>
    <s v="(12/03/2026) Rogério achou investimento alto para o momento  atual"/>
    <s v=""/>
    <x v="190"/>
    <s v=""/>
    <x v="200"/>
    <s v=""/>
    <d v="2026-03-13T00:00:00"/>
    <n v="30"/>
    <s v=""/>
    <s v=""/>
    <s v=""/>
    <s v=""/>
    <n v="1"/>
  </r>
  <r>
    <x v="1"/>
    <n v="979"/>
    <m/>
    <n v="3324"/>
    <s v="(12/03/2026) Rogério achou investimento alto para o momento  atual"/>
    <s v=""/>
    <x v="483"/>
    <m/>
    <s v=""/>
    <s v="Teodoro cosméticos - Cloud"/>
    <s v="1435416311"/>
    <s v=""/>
    <s v="agilassessoriacontabil@otmail.com"/>
    <s v=""/>
    <s v=""/>
    <s v=""/>
    <s v=""/>
    <s v=""/>
    <s v=""/>
    <s v=""/>
    <s v=""/>
    <s v=""/>
    <s v="Pipeline de Vendas"/>
    <s v="Apresentar Proposta (50%)"/>
    <s v=""/>
    <m/>
    <n v="1600"/>
    <n v="252471"/>
    <n v="14"/>
    <s v="Junior Lopes"/>
    <d v="2026-02-26T00:00:00"/>
    <d v="1899-12-30T17:35:15"/>
    <s v=""/>
    <s v="Perdido"/>
    <d v="2026-03-12T00:00:00"/>
    <d v="1899-12-30T10:50:51"/>
    <s v="Não houve aprovação financeira"/>
    <s v="(12/03/2026) Rogério achou investimento alto para o momento  atual"/>
    <s v="12/03/2026"/>
    <x v="190"/>
    <s v=""/>
    <x v="0"/>
    <s v=""/>
    <m/>
    <n v="30"/>
    <s v=""/>
    <s v=""/>
    <s v=""/>
    <s v=""/>
    <n v="1"/>
  </r>
  <r>
    <x v="0"/>
    <n v="980"/>
    <m/>
    <n v="3325"/>
    <s v=""/>
    <s v=""/>
    <x v="484"/>
    <n v="23059521000110"/>
    <s v=""/>
    <s v="Cristiana"/>
    <s v="(49) 3665-3004"/>
    <s v=""/>
    <s v=""/>
    <s v=""/>
    <s v=""/>
    <s v=""/>
    <s v="IRACEMINHA"/>
    <s v="SC"/>
    <s v=""/>
    <s v=""/>
    <s v=""/>
    <s v=""/>
    <s v="Pipeline de Vendas"/>
    <s v="Em Fechamento (100%)"/>
    <s v=""/>
    <d v="2026-02-28T00:00:00"/>
    <n v="7470289"/>
    <n v="1221612"/>
    <n v="0"/>
    <s v="Paulo Souza"/>
    <d v="2026-02-26T00:00:00"/>
    <d v="1899-12-30T21:58:14"/>
    <s v=""/>
    <s v="Ganho"/>
    <d v="2026-02-26T00:00:00"/>
    <d v="1899-12-30T22:03:35"/>
    <s v=""/>
    <s v=""/>
    <s v=""/>
    <x v="190"/>
    <s v="Paulo Souza"/>
    <x v="208"/>
    <s v=""/>
    <m/>
    <n v="90"/>
    <s v=""/>
    <s v="ERP, AFV, ADICIONAIS, BI"/>
    <s v="R$ 74.702,90"/>
    <s v="R$ 12.216,08"/>
    <n v="1"/>
  </r>
  <r>
    <x v="1"/>
    <n v="981"/>
    <m/>
    <n v="3328"/>
    <s v=""/>
    <s v=""/>
    <x v="485"/>
    <m/>
    <s v=""/>
    <s v="Encartelados Nina - Cloud"/>
    <s v="4733683065"/>
    <s v=""/>
    <s v="ninaencartelados@gmail.com"/>
    <s v=""/>
    <s v=""/>
    <s v=""/>
    <s v=""/>
    <s v=""/>
    <s v=""/>
    <s v=""/>
    <s v=""/>
    <s v=""/>
    <s v="Pipeline de Vendas"/>
    <s v="Apresentar Proposta (50%)"/>
    <s v=""/>
    <m/>
    <n v="0"/>
    <n v="1900"/>
    <n v="76"/>
    <s v="Junior Lopes"/>
    <d v="2026-02-27T00:00:00"/>
    <d v="1899-12-30T10:58:33"/>
    <s v=""/>
    <s v="Perdido"/>
    <d v="2026-05-14T00:00:00"/>
    <d v="1899-12-30T14:49:37"/>
    <s v="Não houve aprovação financeira"/>
    <s v="14/05/2026 : _x000a_09:02, 13/05/2026 Fabio Oliveira Nina Enc: Consegui sim, teu sistema é maravilhoso, muito bom mesmo _x000a_porem eu passei pro pessoal aqui, e no momento, nosso faturamaento nao condiz com o investimento a ser feito_x000a_09:03, 13/05/2026 Fabio Oliveira Nina Enc: espero que logo possamos mudar isso_x000a_09:05, 13/05/2026 Junior Lopes: Entendo Fábio ! _x000a_ O que está pegando mais na proposta ? O projeto ou as mensalidades?_x000a_09:08, 13/05/2026 Fabio Oliveira Nina Enc: na verdade é um pouco dos dois, hj nosso sistema nos custa 6 mil por ano, claro que ele nao tem a mesma eficiencia do seu, mas para a quantidade de vendas nossa, no atual momento ele nos atende bem_x000a_09:21, 13/05/2026 Junior Lopes: Entendo ! Gostaria de pensar aí e nos fazer uma contra proposta ?_x000a_09:22, 13/05/2026 Fabio Oliveira Nina Enc: no momento vamos deixar em off_x000a_09:22, 13/05/2026 Fabio Oliveira Nina Enc: obrigado pela atençao_x000a_09:28, 13/05/2026 Junior Lopes: Ta joia meu amigo_x000a_09:29, 13/05/2026 Junior Lopes: Ficamos a disposição! Tenho certeza que podemos ajudar muito no crescimento da Nina encartelados _x000a_Um abraço_x000a_09:29, 13/05/2026 Fabio Oliveira Nina Enc: abraço"/>
    <s v=""/>
    <x v="182"/>
    <s v=""/>
    <x v="198"/>
    <s v="05/05/2026"/>
    <d v="2026-05-14T00:00:00"/>
    <n v="30"/>
    <s v=""/>
    <s v=""/>
    <s v=""/>
    <s v=""/>
    <n v="1"/>
  </r>
  <r>
    <x v="1"/>
    <n v="982"/>
    <m/>
    <n v="3329"/>
    <s v=""/>
    <s v=""/>
    <x v="486"/>
    <m/>
    <s v=""/>
    <s v="Atavadão das Tripas - Cloud"/>
    <s v="14998549863"/>
    <s v=""/>
    <s v="kayocalil@hotmail.com"/>
    <s v=""/>
    <s v=""/>
    <s v=""/>
    <s v=""/>
    <s v=""/>
    <s v=""/>
    <s v=""/>
    <s v=""/>
    <s v=""/>
    <s v="Pipeline de Vendas"/>
    <s v="Em negociação (75%)"/>
    <s v=""/>
    <m/>
    <n v="1600"/>
    <n v="252471"/>
    <n v="56"/>
    <s v="Junior Lopes"/>
    <d v="2026-02-27T00:00:00"/>
    <d v="1899-12-30T12:19:18"/>
    <s v=""/>
    <s v="Perdido"/>
    <d v="2026-04-24T00:00:00"/>
    <d v="1899-12-30T09:13:40"/>
    <s v="Não houve aprovação financeira"/>
    <s v="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
    <s v=""/>
    <x v="191"/>
    <s v=""/>
    <x v="196"/>
    <s v="19/02/2026"/>
    <m/>
    <n v="30"/>
    <s v=""/>
    <s v=""/>
    <s v=""/>
    <s v=""/>
    <n v="1"/>
  </r>
  <r>
    <x v="1"/>
    <n v="983"/>
    <m/>
    <n v="3330"/>
    <s v=""/>
    <s v=""/>
    <x v="487"/>
    <m/>
    <s v=""/>
    <s v="Clean tech - Cloud"/>
    <s v="11915642482"/>
    <s v=""/>
    <s v="null"/>
    <s v=""/>
    <s v=""/>
    <s v=""/>
    <s v=""/>
    <s v=""/>
    <s v=""/>
    <s v=""/>
    <s v=""/>
    <s v=""/>
    <s v="Pipeline de Vendas"/>
    <s v="Em Fechamento (100%)"/>
    <s v=""/>
    <m/>
    <n v="0"/>
    <n v="384454"/>
    <n v="33"/>
    <s v="Junior Lopes"/>
    <d v="2026-02-27T00:00:00"/>
    <d v="1899-12-30T13:04:33"/>
    <s v=""/>
    <s v="Ganho"/>
    <d v="2026-04-01T00:00:00"/>
    <d v="1899-12-30T10:40:31"/>
    <s v=""/>
    <s v=""/>
    <s v=""/>
    <x v="183"/>
    <s v=""/>
    <x v="0"/>
    <s v=""/>
    <m/>
    <n v="30"/>
    <s v=""/>
    <s v=""/>
    <s v=""/>
    <s v=""/>
    <n v="1"/>
  </r>
  <r>
    <x v="1"/>
    <n v="984"/>
    <m/>
    <n v="3331"/>
    <s v=""/>
    <s v=""/>
    <x v="488"/>
    <m/>
    <s v=""/>
    <s v="StarTools - Cloud"/>
    <s v="1184724282"/>
    <s v=""/>
    <s v="controladoria@startoolsferramentas.com.br"/>
    <s v=""/>
    <s v=""/>
    <s v=""/>
    <s v=""/>
    <s v=""/>
    <s v=""/>
    <s v=""/>
    <s v=""/>
    <s v=""/>
    <s v="Pipeline de Vendas"/>
    <s v="Apresentar Solução (35%)"/>
    <s v=""/>
    <m/>
    <n v="0"/>
    <n v="0"/>
    <n v="82"/>
    <s v="Junior Lopes"/>
    <d v="2026-02-27T00:00:00"/>
    <d v="1899-12-30T13:09:06"/>
    <s v=""/>
    <s v="Ativo"/>
    <m/>
    <m/>
    <s v=""/>
    <s v=""/>
    <s v=""/>
    <x v="0"/>
    <s v=""/>
    <x v="209"/>
    <s v=""/>
    <d v="2026-04-29T00:00:00"/>
    <n v="30"/>
    <s v=""/>
    <s v=""/>
    <s v=""/>
    <s v=""/>
    <n v="1"/>
  </r>
  <r>
    <x v="0"/>
    <n v="985"/>
    <m/>
    <n v="3332"/>
    <s v="27/02 Fiz apresentação do sistema e proposta para o cliente._x000a_12/03 Fiz FUP hoje com Pamela para saber se seguiremos ou não._x000a_20/03 Cobrando a Pamela para fazer o fechamento do projeto."/>
    <s v=""/>
    <x v="489"/>
    <m/>
    <s v=""/>
    <s v="Pamela"/>
    <s v="4699841338"/>
    <s v=""/>
    <s v="importacao.azul@hotmail.com"/>
    <s v=""/>
    <s v=""/>
    <s v=""/>
    <s v=""/>
    <s v=""/>
    <s v=""/>
    <s v=""/>
    <s v=""/>
    <s v=""/>
    <s v="Pipeline de Vendas"/>
    <s v="Em Fechamento (100%)"/>
    <s v=""/>
    <d v="2026-03-31T00:00:00"/>
    <n v="5007058"/>
    <n v="268966"/>
    <n v="42"/>
    <s v="Paulo Souza"/>
    <d v="2026-02-27T00:00:00"/>
    <d v="1899-12-30T14:36:39"/>
    <s v=""/>
    <s v="Perdido"/>
    <d v="2026-04-10T00:00:00"/>
    <d v="1899-12-30T16:01:47"/>
    <s v="Não quer mudar a solução atual"/>
    <s v=""/>
    <s v=""/>
    <x v="168"/>
    <s v="Paulo Souza"/>
    <x v="182"/>
    <s v=""/>
    <d v="2026-03-12T00:00:00"/>
    <n v="30"/>
    <s v="280"/>
    <s v="ERP, AFV"/>
    <s v=""/>
    <s v=""/>
    <n v="1"/>
  </r>
  <r>
    <x v="0"/>
    <n v="987"/>
    <m/>
    <n v="3334"/>
    <s v="26/02 Fiz FUP e agendei uma apresentação._x000a_20/03 Buscando nova agenda com o Alexandre para o dia 27/03."/>
    <s v=""/>
    <x v="490"/>
    <n v="7730144000142"/>
    <s v=""/>
    <s v="Breno"/>
    <s v="11994558029"/>
    <s v=""/>
    <s v="suporte.ti@kopermax.com.br"/>
    <s v=""/>
    <s v=""/>
    <s v=""/>
    <s v=""/>
    <s v=""/>
    <s v=""/>
    <s v=""/>
    <s v=""/>
    <s v=""/>
    <s v="Pipeline de Vendas"/>
    <s v="Em negociação (75%)"/>
    <s v=""/>
    <d v="2026-03-31T00:00:00"/>
    <n v="29800"/>
    <n v="4600"/>
    <n v="80"/>
    <s v="Paulo Souza"/>
    <d v="2026-02-27T00:00:00"/>
    <d v="1899-12-30T21:24:36"/>
    <s v=""/>
    <s v="Perdido"/>
    <d v="2026-05-18T00:00:00"/>
    <d v="1899-12-30T16:54:32"/>
    <s v="Projeto adiado / sem prazo definido"/>
    <s v=""/>
    <s v=""/>
    <x v="101"/>
    <s v="Paulo Souza"/>
    <x v="210"/>
    <s v=""/>
    <d v="2026-03-20T00:00:00"/>
    <n v="30"/>
    <s v=""/>
    <s v="AFV"/>
    <s v=""/>
    <s v=""/>
    <n v="1"/>
  </r>
  <r>
    <x v="2"/>
    <n v="990"/>
    <m/>
    <n v="3335"/>
    <s v="19.03 Entrei em contato com a Karen, apresentação agendada para quarta as 9:30 _x000a_31.03 não tenho consultor disponivel para seguir com uma agenda com o cliente_x000a_07.04 - não tenho consultor disponivel para seguir com uma agenda com o cliente"/>
    <s v=""/>
    <x v="491"/>
    <n v="15497764000616"/>
    <s v=""/>
    <s v="KAREN STANGE"/>
    <s v="(42) 3025-6309"/>
    <s v=""/>
    <s v="karen.stang@hotmail.com"/>
    <s v=""/>
    <s v=""/>
    <s v=""/>
    <s v="MAFRA"/>
    <s v="SC"/>
    <s v="Site"/>
    <s v=""/>
    <s v=""/>
    <s v="Dentro Perfil;Solicita demo"/>
    <s v="Pipeline de Vendas"/>
    <s v="Apresentar Solução (35%)"/>
    <s v=""/>
    <d v="2026-06-30T00:00:00"/>
    <m/>
    <m/>
    <n v="35"/>
    <s v="Paulo Souza"/>
    <d v="2026-03-03T00:00:00"/>
    <d v="1899-12-30T21:22:22"/>
    <s v=""/>
    <s v="Perdido"/>
    <d v="2026-04-07T00:00:00"/>
    <d v="1899-12-30T10:59:30"/>
    <s v="Projeto adiado / sem prazo definido"/>
    <s v=""/>
    <s v=""/>
    <x v="0"/>
    <s v="Rayssa Karapeticov"/>
    <x v="0"/>
    <s v=""/>
    <d v="2026-04-07T00:00:00"/>
    <n v="30"/>
    <s v=""/>
    <s v="ERP"/>
    <s v=""/>
    <s v=""/>
    <n v="1"/>
  </r>
  <r>
    <x v="1"/>
    <n v="991"/>
    <m/>
    <n v="3339"/>
    <s v="17:05, 04/03/2026 Junior Lopes: Olá Marcelo ! Boa tarde_x000a_17:05, 04/03/2026 Junior Lopes: Junior da Guarani sistemas por aqui , Td bem ?_x000a_17:07, 04/03/2026 Junior Lopes: Estou retornando um contato que vc fez conosco ! Qual melhor horário para falarmos ?_x000a_17:14, 04/03/2026 Marcelo Plug Lar: opa blz._x000a_17:14, 04/03/2026 Marcelo Plug Lar: joia junior_x000a_17:15, 04/03/2026 Junior Lopes: Td joia Marcelo_x000a_17:18, 04/03/2026 Marcelo Plug Lar: eu queria conhecer + sobre o sistema de vocês._x000a_17:18, 04/03/2026 Marcelo Plug Lar: eu procuro algo básico_x000a_(09/03/2026) Buscando contato com Marcelo a fim de darmos sequencia _x000a_(09/03/2026) Marcelo busca um software mais simples e com custo menor!"/>
    <s v=""/>
    <x v="492"/>
    <n v="5137778000160"/>
    <s v=""/>
    <s v="Marcelo Camargo"/>
    <s v="(19) 99623-4303"/>
    <s v=""/>
    <s v="marcelo@pluglar.com.br"/>
    <s v=""/>
    <s v=""/>
    <s v=""/>
    <s v="Rio Claro"/>
    <s v=""/>
    <s v="Site"/>
    <s v=""/>
    <s v=""/>
    <s v="Dentro Perfil;Solicita demo"/>
    <s v="Pipeline de Vendas"/>
    <s v="Apresentar Solução (35%)"/>
    <s v=""/>
    <d v="2026-03-31T00:00:00"/>
    <n v="1104172"/>
    <n v="656776"/>
    <n v="20"/>
    <s v="Paulo Souza"/>
    <d v="2026-03-04T00:00:00"/>
    <d v="1899-12-30T16:37:48"/>
    <s v=""/>
    <s v="Perdido"/>
    <d v="2026-03-24T00:00:00"/>
    <d v="1899-12-30T15:30:09"/>
    <s v="Não houve aprovação financeira"/>
    <s v="(09/03/2026) Marcelo busca um software mais simples e com custo menor!"/>
    <s v=""/>
    <x v="192"/>
    <s v="Junior Lopes"/>
    <x v="188"/>
    <s v=""/>
    <d v="2026-03-09T00:00:00"/>
    <n v="30"/>
    <s v=""/>
    <s v="B2B"/>
    <s v=""/>
    <s v=""/>
    <n v="1"/>
  </r>
  <r>
    <x v="0"/>
    <n v="993"/>
    <m/>
    <n v="3342"/>
    <s v="11/03 Foi feito a apresentação hoje do institucional e Guarani AFV._x000a_Resumo:_x000a_Produtos : ERP + AFV + Televendas + MDe _x000a_Opcionais: Comex, Cloud, CRM , B2B, HUB_x000a_Próximo passos: enviar uma proposta._x000a_20/03 Fiz contato com o Ericson para saber se vamos seguir ou não."/>
    <s v=""/>
    <x v="493"/>
    <n v="43191819000196"/>
    <s v=""/>
    <s v="Ericson"/>
    <s v="(43) 3056-3780"/>
    <s v=""/>
    <s v="escritorio@damiaoefilhos.com.br"/>
    <s v=""/>
    <s v=""/>
    <s v=""/>
    <s v="ARAPONGAS"/>
    <s v="PR"/>
    <s v=""/>
    <s v=""/>
    <s v=""/>
    <s v=""/>
    <s v="Pipeline de Vendas"/>
    <s v="Em negociação (75%)"/>
    <s v=""/>
    <d v="2026-03-31T00:00:00"/>
    <n v="895843"/>
    <n v="395308"/>
    <n v="36"/>
    <s v="Paulo Souza"/>
    <d v="2026-03-05T00:00:00"/>
    <d v="1899-12-30T08:51:53"/>
    <s v=""/>
    <s v="Perdido"/>
    <d v="2026-04-10T00:00:00"/>
    <d v="1899-12-30T17:25:45"/>
    <s v="Preço muito alto - fora do budget de investimento"/>
    <s v=""/>
    <s v=""/>
    <x v="187"/>
    <s v="Paulo Souza"/>
    <x v="211"/>
    <s v=""/>
    <d v="2026-03-20T00:00:00"/>
    <n v="30"/>
    <s v=""/>
    <s v="ERP, AFV, ADICIONAIS"/>
    <s v=""/>
    <s v=""/>
    <n v="1"/>
  </r>
  <r>
    <x v="2"/>
    <n v="994"/>
    <m/>
    <n v="3347"/>
    <s v="24.03 cliente enviou um documento de aderencia, porém a MArilia pediu uma reunião para falar sobre o documento e funcionalidades_x000a_15.04 Ficou fora da empresa esses 15 dias, acredita que hoje consegue avaliar todo material que mandei, retornar o contato na segunda"/>
    <s v="Industria E Comercio Jolitex Ltda"/>
    <x v="494"/>
    <n v="61808531000523"/>
    <s v=""/>
    <s v="Industria E Comercio Jolitex Ltda"/>
    <s v="(11) 3254-7100"/>
    <s v=""/>
    <s v="atendimento@jolitex.com"/>
    <s v=""/>
    <s v=""/>
    <s v=""/>
    <s v="SAO PAULO"/>
    <s v="SP"/>
    <s v="Base de empresas Leads2b"/>
    <s v=""/>
    <s v=""/>
    <s v=""/>
    <s v="Pipeline de Vendas"/>
    <s v="Apresentar Proposta (50%)"/>
    <s v=""/>
    <d v="2026-04-30T00:00:00"/>
    <m/>
    <m/>
    <n v="76"/>
    <s v="Rayssa Karapeticov"/>
    <d v="2026-03-05T00:00:00"/>
    <d v="1899-12-30T17:24:09"/>
    <s v=""/>
    <s v="Ativo"/>
    <m/>
    <m/>
    <s v=""/>
    <s v=""/>
    <s v=""/>
    <x v="0"/>
    <s v="Rayssa Karapeticov"/>
    <x v="195"/>
    <s v="12/03/2026"/>
    <d v="2026-04-23T00:00:00"/>
    <n v="30"/>
    <s v=""/>
    <s v="AFV"/>
    <s v=""/>
    <s v=""/>
    <n v="1"/>
  </r>
  <r>
    <x v="1"/>
    <n v="995"/>
    <m/>
    <n v="3348"/>
    <s v="16:28, 06/03/2026 Valdinei vaeso: Entendi mas esta fora do que pretendo investir_x000a_16:28, 06/03/2026 Valdinei vaeso: Te agradeço_x000a_16:46, 06/03/2026 Junior Lopes: Qual é a sua ideia de investimento?_x000a_16:47, 06/03/2026 Valdinei vaeso: Não vou nem fazer proposta porque a proposta veio com valores altos de implementação e mentoria_x000a_16:47, 06/03/2026 Valdinei vaeso: Sistema parece intuitivo_x000a_16:47, 06/03/2026 Valdinei vaeso: E vi ontem e gostei_x000a_16:47, 06/03/2026 Valdinei vaeso: Preciso de força de vendas_x000a_16:56, 06/03/2026 Valdinei vaeso: Ok"/>
    <s v="Vaeso Comercial Ltda"/>
    <x v="495"/>
    <n v="58092341000114"/>
    <s v=""/>
    <s v="Vaeso Comercial Ltda"/>
    <s v="(47) 9946-6330"/>
    <s v=""/>
    <s v="administrativo@qscontabilidade.com.br"/>
    <s v=""/>
    <s v=""/>
    <s v=""/>
    <s v="JOINVILLE"/>
    <s v="SC"/>
    <s v="Base de empresas Leads2b"/>
    <s v=""/>
    <s v=""/>
    <s v=""/>
    <s v="Pipeline de Vendas"/>
    <s v="Apresentar Proposta (50%)"/>
    <s v=""/>
    <m/>
    <n v="686343"/>
    <n v="36781"/>
    <n v="3"/>
    <s v="Junior Lopes"/>
    <d v="2026-03-06T00:00:00"/>
    <d v="1899-12-30T12:33:31"/>
    <s v=""/>
    <s v="Perdido"/>
    <d v="2026-03-09T00:00:00"/>
    <d v="1899-12-30T09:35:35"/>
    <s v="Não houve aprovação financeira"/>
    <s v="16:28, 06/03/2026 Valdinei vaeso: Entendi mas esta fora do que pretendo investir_x000a_16:28, 06/03/2026 Valdinei vaeso: Te agradeço_x000a_16:46, 06/03/2026 Junior Lopes: Qual é a sua ideia de investimento?_x000a_16:47, 06/03/2026 Valdinei vaeso: Não vou nem fazer proposta porque a proposta veio com valores altos de implementação e mentoria_x000a_16:47, 06/03/2026 Valdinei vaeso: Sistema parece intuitivo_x000a_16:47, 06/03/2026 Valdinei vaeso: E vi ontem e gostei_x000a_16:47, 06/03/2026 Valdinei vaeso: Preciso de força de vendas_x000a_16:56, 06/03/2026 Valdinei vaeso: Ok"/>
    <s v=""/>
    <x v="193"/>
    <s v=""/>
    <x v="212"/>
    <s v=""/>
    <d v="2026-03-06T00:00:00"/>
    <n v="50"/>
    <s v=""/>
    <s v=""/>
    <s v=""/>
    <s v=""/>
    <n v="1"/>
  </r>
  <r>
    <x v="1"/>
    <n v="996"/>
    <m/>
    <n v="3351"/>
    <s v="(10/03/2026) Agenda para apresentação do ERP 12/03 _x000a_10:07, 14/04/2026 Luccas Globalmix: Bom dia meu amigo, tudo bem? _x000a_Desculpe não te responder. Estou com alguns problemas de família e estive meio ausente. _x000a_Analisamos sua proposta e infelizmente ficou muito acima do que estávamos planejando nesse momento. _x000a_Desculpe a minha ignorância, mas não consegui compreender o motivo de um custo tão alto para a implementação de um ERP já existente. O custo que você me passou é basicamente o de desenvolver um novo sistema próprio. _x000a_Infelizmente nessas condições é inviável para nós nesse momento. _x000a_Agradeço pelo seu atendimento nas últimas semanas, foi extremamente atencioso. Espero que compreenda. _x000a_Obrigado_x000a_10:15, 14/04/2026 Junior Lopes: Bom dia, Luccas, tudo bem?_x000a_Primeiro, espero que as coisas com sua família se resolvam da melhor forma possível. Fica tranquilo quanto ao retorno, eu entendo perfeitamente._x000a_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_x000a_O que está incluso nesse investimento é justamente o que vai fazer o sistema “virar realidade” dentro da Globalmix:_x000a_– entendimento dos processos de vocês;_x000a_– parametrização do ERP para a realidade da empresa;_x000a_– construção/ajuste dos relatórios que vocês precisam;_x000a_– validação e homologação do funcionamento antes de ir para produção;_x000a_– integração com a Lisa Log;_x000a_– e, principalmente, treinamento da equipe e acompanhamento na virada, para que todo mundo use da forma correta e o projeto traga resultado._x000a_Sem essa etapa de consultoria, o risco é ter um sistema bom, mas mal configurado ou pouco usado, o que acaba gerando retrabalho e perda de confiança na ferramenta – e é justamente isso que queremos evitar._x000a_Dito isso, eu entendo totalmente a questão de orçamento. Se fizer sentido para você, eu posso:_x000a_1) rever o escopo para enxugar etapas e tentar adequar o investimento ao momento da Globalmix; ou_x000a_2) pensar em uma implantação por fases, começando pelo essencial (comercial + força de vendas + básico de estoque) e deixando integrações e aprofundamentos para uma segunda etapa._x000a_Você se sentiria confortável em me dizer qual faixa de investimento vocês tinham planejado, para eu ver o que é possível ajustar com transparência?"/>
    <s v="Crx Comercio, Importacao E Exportacao Ltda"/>
    <x v="496"/>
    <n v="27672869000139"/>
    <s v=""/>
    <s v="GlobalMIx"/>
    <s v="(11) 9999-9999"/>
    <s v=""/>
    <s v="contabilgrupocrx@gmail.com"/>
    <s v=""/>
    <s v=""/>
    <s v=""/>
    <s v="ITAJAI"/>
    <s v="SC"/>
    <s v=""/>
    <s v=""/>
    <s v=""/>
    <s v=""/>
    <s v="Pipeline de Vendas"/>
    <s v="Apresentar Solução (35%)"/>
    <s v=""/>
    <m/>
    <n v="7305558"/>
    <n v="143186"/>
    <n v="40"/>
    <s v="Junior Lopes"/>
    <d v="2026-03-06T00:00:00"/>
    <d v="1899-12-30T17:07:19"/>
    <s v=""/>
    <s v="Perdido"/>
    <d v="2026-04-15T00:00:00"/>
    <d v="1899-12-30T09:35:15"/>
    <s v="Não houve aprovação financeira"/>
    <s v="10:07, 14/04/2026 Luccas Globalmix: Bom dia meu amigo, tudo bem? _x000a_Desculpe não te responder. Estou com alguns problemas de família e estive meio ausente. _x000a_Analisamos sua proposta e infelizmente ficou muito acima do que estávamos planejando nesse momento. _x000a_Desculpe a minha ignorância, mas não consegui compreender o motivo de um custo tão alto para a implementação de um ERP já existente. O custo que você me passou é basicamente o de desenvolver um novo sistema próprio. _x000a_Infelizmente nessas condições é inviável para nós nesse momento. _x000a_Agradeço pelo seu atendimento nas últimas semanas, foi extremamente atencioso. Espero que compreenda. _x000a_Obrigado_x000a_10:15, 14/04/2026 Junior Lopes: Bom dia, Luccas, tudo bem?_x000a_Primeiro, espero que as coisas com sua família se resolvam da melhor forma possível. Fica tranquilo quanto ao retorno, eu entendo perfeitamente._x000a_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_x000a_O que está incluso nesse investimento é justamente o que vai fazer o sistema “virar realidade” dentro da Globalmix:_x000a_– entendimento dos processos de vocês;_x000a_– parametrização do ERP para a realidade da empresa;_x000a_– construção/ajuste dos relatórios que vocês precisam;_x000a_– validação e homologação do funcionamento antes de ir para produção;_x000a_– integração com a Lisa Log;_x000a_– e, principalmente, treinamento da equipe e acompanhamento na virada, para que todo mundo use da forma correta e o projeto traga resultado._x000a_Sem essa etapa de consultoria, o risco é ter um sistema bom, mas mal configurado ou pouco usado, o que acaba gerando retrabalho e perda de confiança na ferramenta – e é justamente isso que queremos evitar._x000a_Dito isso, eu entendo totalmente a questão de orçamento. Se fizer sentido para você, eu posso:_x000a_1) rever o escopo para enxugar etapas e tentar adequar o investimento ao momento da Globalmix; ou_x000a_2) pensar em uma implantação por fases, começando pelo essencial (comercial + força de vendas + básico de estoque) e deixando integrações e aprofundamentos para uma segunda etapa._x000a_Você se sentiria confortável em me dizer qual faixa de investimento vocês tinham planejado, para eu ver o que é possível ajustar com transparência?"/>
    <s v=""/>
    <x v="194"/>
    <s v=""/>
    <x v="195"/>
    <s v=""/>
    <d v="2026-04-15T00:00:00"/>
    <n v="30"/>
    <s v=""/>
    <s v=""/>
    <s v=""/>
    <s v=""/>
    <n v="1"/>
  </r>
  <r>
    <x v="2"/>
    <n v="997"/>
    <m/>
    <n v="3341"/>
    <s v=""/>
    <s v=""/>
    <x v="497"/>
    <m/>
    <s v=""/>
    <s v="Irmãos Capuci"/>
    <s v="67999772326"/>
    <s v=""/>
    <s v="joaoliloc@gmail.com"/>
    <s v=""/>
    <s v=""/>
    <s v=""/>
    <s v=""/>
    <s v=""/>
    <s v="Campanha"/>
    <s v=""/>
    <s v=""/>
    <s v="Fora Perfil;Instagram"/>
    <s v="Pipeline de Vendas"/>
    <s v="Agendamento (0%)"/>
    <s v=""/>
    <d v="2026-03-31T00:00:00"/>
    <m/>
    <m/>
    <n v="1"/>
    <s v="Paulo Souza"/>
    <d v="2026-03-09T00:00:00"/>
    <d v="1899-12-30T14:16:23"/>
    <s v=""/>
    <s v="Perdido"/>
    <d v="2026-03-10T00:00:00"/>
    <d v="1899-12-30T10:03:18"/>
    <s v="Fora do porte mínimo (sem fit estrutural)"/>
    <s v=""/>
    <s v=""/>
    <x v="0"/>
    <s v="Rayssa Karapeticov"/>
    <x v="0"/>
    <s v=""/>
    <m/>
    <n v="30"/>
    <s v=""/>
    <s v=""/>
    <s v=""/>
    <s v=""/>
    <n v="1"/>
  </r>
  <r>
    <x v="1"/>
    <n v="999"/>
    <m/>
    <n v="3360"/>
    <s v="(10/03/2026) em contato com Fernando _x000a_11:24, 11/03/2026 Junior Lopes: Olá Fernando! Td bem ? _x000a_Você tem interesse sem seguir com informações sobre a solução Guarani sistemas?"/>
    <s v=""/>
    <x v="498"/>
    <m/>
    <s v=""/>
    <s v="Fcabrasil"/>
    <s v="19974124080"/>
    <s v=""/>
    <s v="fernando@fcabrasil.com.br"/>
    <s v=""/>
    <s v=""/>
    <s v=""/>
    <s v=""/>
    <s v=""/>
    <s v="Campanha"/>
    <s v=""/>
    <s v=""/>
    <s v="Fora Perfil;Instagram"/>
    <s v="Pipeline de Vendas"/>
    <s v="Qualificação de Vendas (SQL) (25%)"/>
    <s v=""/>
    <d v="2026-03-31T00:00:00"/>
    <m/>
    <m/>
    <n v="29"/>
    <s v="Paulo Souza"/>
    <d v="2026-03-10T00:00:00"/>
    <d v="1899-12-30T09:07:12"/>
    <s v=""/>
    <s v="Perdido"/>
    <d v="2026-04-08T00:00:00"/>
    <d v="1899-12-30T17:25:42"/>
    <s v="Fora do porte mínimo (sem fit estrutural)"/>
    <s v=") declinando por falta de interação por parte do cliente"/>
    <s v=""/>
    <x v="0"/>
    <s v="Junior Lopes"/>
    <x v="0"/>
    <s v=""/>
    <d v="2026-03-19T00:00:00"/>
    <n v="30"/>
    <s v=""/>
    <s v=""/>
    <s v=""/>
    <s v=""/>
    <n v="1"/>
  </r>
  <r>
    <x v="0"/>
    <n v="1000"/>
    <m/>
    <n v="3358"/>
    <s v="10/03 Fiz contato e não obtive retorno deixei recado._x000a_11/03 Fiz FUP hoje com o Ridalvo Donizeti sem sucesso._x000a_12/3 Fiz varias ligações sem sucesso. Por falta de retorno encerrei o lead,."/>
    <s v=""/>
    <x v="499"/>
    <m/>
    <s v=""/>
    <s v="Ridalvo Donizeti"/>
    <s v="16991945630"/>
    <s v=""/>
    <s v="ridalvo.rossi@brdbtasil.com.br"/>
    <s v=""/>
    <s v=""/>
    <s v=""/>
    <s v=""/>
    <s v=""/>
    <s v="Campanha"/>
    <s v=""/>
    <s v=""/>
    <s v="Dentro Perfil;Instagram"/>
    <s v="Pipeline de Vendas"/>
    <s v="Qualificação de Vendas (SQL) (25%)"/>
    <s v=""/>
    <d v="2026-03-31T00:00:00"/>
    <m/>
    <m/>
    <n v="2"/>
    <s v="Paulo Souza"/>
    <d v="2026-03-10T00:00:00"/>
    <d v="1899-12-30T09:19:04"/>
    <s v=""/>
    <s v="Perdido"/>
    <d v="2026-03-12T00:00:00"/>
    <d v="1899-12-30T17:27:22"/>
    <s v="Fora do porte mínimo (sem fit estrutural)"/>
    <s v=""/>
    <s v=""/>
    <x v="0"/>
    <s v="Paulo Souza"/>
    <x v="0"/>
    <s v=""/>
    <d v="2026-03-12T00:00:00"/>
    <n v="30"/>
    <s v=""/>
    <s v=""/>
    <s v=""/>
    <s v=""/>
    <n v="1"/>
  </r>
  <r>
    <x v="2"/>
    <n v="1001"/>
    <m/>
    <n v="3357"/>
    <s v="18.03 proposta apresentada no dia de hoje _x000a_24.03 - não atendeu"/>
    <s v=""/>
    <x v="500"/>
    <m/>
    <s v=""/>
    <s v="Artur Decker"/>
    <s v="(47) 99699-9700"/>
    <s v=""/>
    <s v="artur@assessoriadecker.com"/>
    <s v=""/>
    <s v=""/>
    <s v=""/>
    <s v="Blumenau"/>
    <s v=""/>
    <s v="Site"/>
    <s v=""/>
    <s v=""/>
    <s v="Dentro Perfil;Solicita demo"/>
    <s v="Pipeline de Vendas"/>
    <s v="Em negociação (75%)"/>
    <s v=""/>
    <d v="2026-05-31T00:00:00"/>
    <n v="16800"/>
    <n v="12600"/>
    <n v="71"/>
    <s v="Paulo Souza"/>
    <d v="2026-03-10T00:00:00"/>
    <d v="1899-12-30T09:20:36"/>
    <s v=""/>
    <s v="Ativo"/>
    <m/>
    <m/>
    <s v=""/>
    <s v=""/>
    <s v=""/>
    <x v="195"/>
    <s v="Rayssa Karapeticov"/>
    <x v="213"/>
    <s v=""/>
    <d v="2026-05-13T00:00:00"/>
    <n v="30"/>
    <s v=""/>
    <s v=""/>
    <s v=""/>
    <s v=""/>
    <n v="1"/>
  </r>
  <r>
    <x v="1"/>
    <n v="1002"/>
    <m/>
    <n v="3356"/>
    <s v="(10/03/2026) Em contato com Maxwel _x000a_(27/03/2026) após analise cliente fica fora do perfil ! estamparia de camisetas, canecas e brindes em geral"/>
    <s v=""/>
    <x v="501"/>
    <m/>
    <s v=""/>
    <s v="Terra Brasil"/>
    <s v="11989296453"/>
    <s v=""/>
    <s v="max.vendas@terrabrasilbrindes.com.br"/>
    <s v=""/>
    <s v=""/>
    <s v=""/>
    <s v=""/>
    <s v=""/>
    <s v="Campanha"/>
    <s v=""/>
    <s v=""/>
    <s v="Fora Perfil;Instagram"/>
    <s v="Pipeline de Vendas"/>
    <s v="Qualificação de Vendas (SQL) (25%)"/>
    <s v=""/>
    <d v="2026-03-31T00:00:00"/>
    <m/>
    <m/>
    <n v="17"/>
    <s v="Paulo Souza"/>
    <d v="2026-03-10T00:00:00"/>
    <d v="1899-12-30T09:44:38"/>
    <s v=""/>
    <s v="Perdido"/>
    <d v="2026-03-27T00:00:00"/>
    <d v="1899-12-30T14:24:00"/>
    <s v="Fora do porte mínimo (sem fit estrutural)"/>
    <s v="(27/03/2026) após analise cliente fica fora do perfil ! estamparia de camisetas, canecas e brindes em geral"/>
    <s v=""/>
    <x v="0"/>
    <s v="Junior Lopes"/>
    <x v="0"/>
    <s v=""/>
    <d v="2026-03-27T00:00:00"/>
    <n v="30"/>
    <s v=""/>
    <s v=""/>
    <s v=""/>
    <s v=""/>
    <n v="1"/>
  </r>
  <r>
    <x v="2"/>
    <n v="1003"/>
    <m/>
    <n v="3355"/>
    <s v=""/>
    <s v=""/>
    <x v="502"/>
    <m/>
    <s v=""/>
    <s v="Farmacia Boa Sorte"/>
    <s v="74999642551"/>
    <s v=""/>
    <s v="farmaboasorte@gmail.com"/>
    <s v=""/>
    <s v=""/>
    <s v=""/>
    <s v=""/>
    <s v=""/>
    <s v="Campanha"/>
    <s v=""/>
    <s v=""/>
    <s v="Fora Perfil;Instagram"/>
    <s v="Pipeline de Vendas"/>
    <s v="Agendamento (0%)"/>
    <s v=""/>
    <d v="2026-03-31T00:00:00"/>
    <m/>
    <m/>
    <n v="0"/>
    <s v="Paulo Souza"/>
    <d v="2026-03-10T00:00:00"/>
    <d v="1899-12-30T09:46:18"/>
    <s v=""/>
    <s v="Perdido"/>
    <d v="2026-03-10T00:00:00"/>
    <d v="1899-12-30T10:23:45"/>
    <s v="Fora do porte mínimo (sem fit estrutural)"/>
    <s v=""/>
    <s v=""/>
    <x v="0"/>
    <s v="Rayssa Karapeticov"/>
    <x v="0"/>
    <s v=""/>
    <m/>
    <n v="30"/>
    <s v=""/>
    <s v=""/>
    <s v=""/>
    <s v=""/>
    <n v="1"/>
  </r>
  <r>
    <x v="0"/>
    <n v="1004"/>
    <m/>
    <n v="3353"/>
    <s v="15/03 Feio FUP da apresentação da proposta._x000a_20/03 Fiz FUP hoje com o Sergio cobrando ele sobre a proposta WMS se seguiremos._x000a_20/03 Sergio me passou que o investimento ficou alto para o momento e que nao vai seguir."/>
    <s v=""/>
    <x v="503"/>
    <n v="5291214000188"/>
    <s v=""/>
    <s v="Sergio cdp"/>
    <s v="(38) 99831-2605"/>
    <s v=""/>
    <s v="sergio.cdp00@gmail.com"/>
    <s v=""/>
    <s v=""/>
    <s v=""/>
    <s v="MONTES CLAROS"/>
    <s v="MG"/>
    <s v="Site"/>
    <s v=""/>
    <s v=""/>
    <s v="Solicita demo"/>
    <s v="Pipeline de Vendas"/>
    <s v="Em negociação (75%)"/>
    <s v=""/>
    <d v="2026-03-31T00:00:00"/>
    <n v="22800"/>
    <n v="14256"/>
    <n v="10"/>
    <s v="Paulo Souza"/>
    <d v="2026-03-10T00:00:00"/>
    <d v="1899-12-30T09:52:59"/>
    <s v=""/>
    <s v="Perdido"/>
    <d v="2026-03-20T00:00:00"/>
    <d v="1899-12-30T17:17:39"/>
    <s v="Preço muito alto - fora do budget de investimento"/>
    <s v=""/>
    <s v=""/>
    <x v="174"/>
    <s v="Paulo Souza"/>
    <x v="214"/>
    <s v=""/>
    <d v="2026-03-20T00:00:00"/>
    <n v="30"/>
    <s v=""/>
    <s v="WMS"/>
    <s v=""/>
    <s v=""/>
    <n v="1"/>
  </r>
  <r>
    <x v="2"/>
    <n v="1005"/>
    <m/>
    <n v="3354"/>
    <s v="Reunião realizada 08.04.2024 presencial no cliente_x000a_04.05 - Estou avançando a negociação com o client,e porém ele não concorda com o rejuste de no minimo 5% do contrato"/>
    <s v=""/>
    <x v="504"/>
    <n v="59578948000171"/>
    <s v=""/>
    <s v="3D"/>
    <s v="11983479931"/>
    <s v=""/>
    <s v="tufano@maquimp.com.br"/>
    <s v=""/>
    <s v=""/>
    <s v=""/>
    <s v="SAO PAULO"/>
    <s v="SP"/>
    <s v="Campanha"/>
    <s v=""/>
    <s v=""/>
    <s v="Dentro Perfil;Instagram"/>
    <s v="Pipeline de Vendas"/>
    <s v="Em negociação (75%)"/>
    <s v=""/>
    <d v="2026-06-30T00:00:00"/>
    <n v="58800"/>
    <n v="55164"/>
    <n v="71"/>
    <s v="Paulo Souza"/>
    <d v="2026-03-10T00:00:00"/>
    <d v="1899-12-30T09:55:28"/>
    <s v=""/>
    <s v="Ativo"/>
    <m/>
    <m/>
    <s v=""/>
    <s v=""/>
    <s v=""/>
    <x v="196"/>
    <s v="Rayssa Karapeticov"/>
    <x v="215"/>
    <s v="08/04/2026"/>
    <d v="2026-05-15T00:00:00"/>
    <n v="30"/>
    <s v=""/>
    <s v="ERP"/>
    <s v=""/>
    <s v=""/>
    <n v="1"/>
  </r>
  <r>
    <x v="1"/>
    <n v="1006"/>
    <m/>
    <n v="3343"/>
    <s v="(10/03/2026) em contato com Bruno _x000a_(10/03/2026) cliente informa que já fechou projeto com a Mercos"/>
    <s v=""/>
    <x v="505"/>
    <n v="36882195000198"/>
    <s v=""/>
    <s v="Bruno"/>
    <s v="(11) 94075-6696"/>
    <s v=""/>
    <s v="bruno.arouca@brotacompany.com.br"/>
    <s v=""/>
    <s v=""/>
    <s v=""/>
    <s v="São Paulo"/>
    <s v=""/>
    <s v="Site"/>
    <s v=""/>
    <s v=""/>
    <s v="Dentro Perfil;Solicita demo"/>
    <s v="Pipeline de Vendas"/>
    <s v="Qualificação de Vendas (SQL) (25%)"/>
    <s v=""/>
    <m/>
    <m/>
    <m/>
    <n v="0"/>
    <s v="Paulo Souza"/>
    <d v="2026-03-10T00:00:00"/>
    <d v="1899-12-30T09:59:38"/>
    <s v=""/>
    <s v="Perdido"/>
    <d v="2026-03-10T00:00:00"/>
    <d v="1899-12-30T16:59:56"/>
    <s v="Fechou com o concorrente - preço"/>
    <s v="(10/03/2026) cliente informa que já fechou projeto com a Mercos"/>
    <s v=""/>
    <x v="0"/>
    <s v="Junior Lopes"/>
    <x v="0"/>
    <s v=""/>
    <m/>
    <n v="30"/>
    <s v=""/>
    <s v="AFV"/>
    <s v=""/>
    <s v=""/>
    <n v="1"/>
  </r>
  <r>
    <x v="2"/>
    <n v="1007"/>
    <m/>
    <n v="3344"/>
    <s v="Falei com o Rodrigo, são umdistribuidor de autopeças de Bauru, vieram por inidicação da Ad&amp;Ad. _x000a_Atualmente as vendas são por MKPlace e mercado livre, e possuem vendas internas telemarketing_x000a_Trabalha com a parte especial, falamos sobre financeiro, fiscal, estoque. e pedidos decompras _x000a_Pediu uma estimativa de valores, porque atualmente é ele e um sócio, e precisa discutir com o Sócio para ver se vai avançar por causa do investimento, só que o sócio não esta essa semana _x000a_Então combinamos de falar na proxima semana (23/03)"/>
    <s v=""/>
    <x v="506"/>
    <m/>
    <s v=""/>
    <s v="rodrigo"/>
    <s v="(14) 99701-3009"/>
    <s v=""/>
    <s v="compras@s4distribuidora.com.br"/>
    <s v=""/>
    <s v=""/>
    <s v=""/>
    <s v="Bauru"/>
    <s v=""/>
    <s v="Site"/>
    <s v=""/>
    <s v=""/>
    <s v="Dentro Perfil;Solicita demo"/>
    <s v="Pipeline de Vendas"/>
    <s v="Apresentar Solução (35%)"/>
    <s v=""/>
    <d v="2026-08-31T00:00:00"/>
    <m/>
    <m/>
    <n v="28"/>
    <s v="Paulo Souza"/>
    <d v="2026-03-10T00:00:00"/>
    <d v="1899-12-30T10:01:14"/>
    <s v=""/>
    <s v="Perdido"/>
    <d v="2026-04-07T00:00:00"/>
    <d v="1899-12-30T10:52:27"/>
    <s v="Preço muito alto - fora do budget de investimento"/>
    <s v=""/>
    <s v=""/>
    <x v="0"/>
    <s v="Rayssa Karapeticov"/>
    <x v="0"/>
    <s v=""/>
    <d v="2026-04-07T00:00:00"/>
    <n v="30"/>
    <s v=""/>
    <s v="ERP, ADICIONAIS, CLOUD"/>
    <s v=""/>
    <s v=""/>
    <n v="1"/>
  </r>
  <r>
    <x v="0"/>
    <n v="1008"/>
    <m/>
    <n v="3346"/>
    <s v=""/>
    <s v=""/>
    <x v="507"/>
    <n v="27672869000139"/>
    <s v=""/>
    <s v="Luccas Nassif"/>
    <s v="(11) 98873-6515"/>
    <s v=""/>
    <s v="luccas.nassif@globalmix.com.br"/>
    <s v=""/>
    <s v=""/>
    <s v=""/>
    <s v="São Paulo"/>
    <s v=""/>
    <s v="Site"/>
    <s v=""/>
    <s v=""/>
    <s v="Solicita demo"/>
    <s v="Pipeline de Vendas"/>
    <s v="Agendamento (0%)"/>
    <s v=""/>
    <d v="2026-03-31T00:00:00"/>
    <m/>
    <m/>
    <n v="0"/>
    <s v="Paulo Souza"/>
    <d v="2026-03-10T00:00:00"/>
    <d v="1899-12-30T10:02:20"/>
    <s v=""/>
    <s v="Perdido"/>
    <d v="2026-03-10T00:00:00"/>
    <d v="1899-12-30T10:27:02"/>
    <s v="Fora do porte mínimo (sem fit estrutural)"/>
    <s v=""/>
    <s v=""/>
    <x v="0"/>
    <s v="Paulo Souza"/>
    <x v="0"/>
    <s v=""/>
    <m/>
    <n v="30"/>
    <s v=""/>
    <s v=""/>
    <s v=""/>
    <s v=""/>
    <n v="1"/>
  </r>
  <r>
    <x v="1"/>
    <n v="1009"/>
    <m/>
    <n v="3361"/>
    <s v="(11/03/2026) Agenda de apresentação para 17/03/2026_x000a_(30/03/2026) Alinhando visita presencial com Thiago"/>
    <s v="Banana Toys Ltda"/>
    <x v="508"/>
    <n v="8878994000155"/>
    <s v=""/>
    <s v="Banana Toys Ltda"/>
    <s v="(15) 3283-5196"/>
    <s v=""/>
    <s v="faturamento@bananatoys.com.br"/>
    <s v=""/>
    <s v=""/>
    <s v=""/>
    <s v="LARANJAL PAULISTA"/>
    <s v="SP"/>
    <s v="Base de empresas Leads2b"/>
    <s v=""/>
    <s v=""/>
    <s v=""/>
    <s v="Pipeline de Vendas"/>
    <s v="Em negociação (75%)"/>
    <s v=""/>
    <d v="2026-03-31T00:00:00"/>
    <n v="11390346"/>
    <n v="384882"/>
    <n v="71"/>
    <s v="Junior Lopes"/>
    <d v="2026-03-10T00:00:00"/>
    <d v="1899-12-30T16:23:30"/>
    <s v=""/>
    <s v="Ativo"/>
    <m/>
    <m/>
    <s v=""/>
    <s v=""/>
    <s v=""/>
    <x v="197"/>
    <s v=""/>
    <x v="214"/>
    <s v="17/03/2026"/>
    <d v="2026-03-30T00:00:00"/>
    <n v="50"/>
    <s v=""/>
    <s v=""/>
    <s v=""/>
    <s v=""/>
    <n v="1"/>
  </r>
  <r>
    <x v="0"/>
    <n v="1011"/>
    <m/>
    <n v="3365"/>
    <s v="20/03 Cobrei o Everton sobre a posição sobre a proposta comercial e se seguiremos e se existe algum impedimento."/>
    <s v=""/>
    <x v="509"/>
    <n v="7865166000110"/>
    <s v=""/>
    <s v="EVERTON MARINI GAVIAO"/>
    <s v="(17) 3342-1605"/>
    <s v=""/>
    <s v="comercialgaviao@bol.com.br"/>
    <s v=""/>
    <s v=""/>
    <s v=""/>
    <s v="BEBEDOURO"/>
    <s v="SP"/>
    <s v="Site"/>
    <s v=""/>
    <s v=""/>
    <s v="Solicita demo"/>
    <s v="Pipeline de Vendas"/>
    <s v="Em Fechamento (100%)"/>
    <s v=""/>
    <d v="2026-03-31T00:00:00"/>
    <n v="870636"/>
    <n v="434528"/>
    <n v="70"/>
    <s v="Paulo Souza"/>
    <d v="2026-03-11T00:00:00"/>
    <d v="1899-12-30T11:51:21"/>
    <s v=""/>
    <s v="Ativo"/>
    <m/>
    <m/>
    <s v=""/>
    <s v=""/>
    <s v=""/>
    <x v="187"/>
    <s v="Paulo Souza"/>
    <x v="216"/>
    <s v=""/>
    <d v="2026-05-18T00:00:00"/>
    <n v="30"/>
    <s v=""/>
    <s v="ERP, AFV"/>
    <s v=""/>
    <s v=""/>
    <n v="1"/>
  </r>
  <r>
    <x v="1"/>
    <n v="1012"/>
    <m/>
    <n v="3345"/>
    <s v="(20/03/2026) contato com  Ramos a fim de seguirmos com negociações _x000a_09:22, 06/05/2026 Junior Lopes: Olá Danilo ! Td bem meu amigo _x000a_Ficamos de fazer uma agenda de apresentação para seu sócio ! _x000a_Vamos agendar para próxima semana ?_x000a_10:07, 06/05/2026 Danilo Euroquad: Bom dia_x000a_10:08, 06/05/2026 Danilo Euroquad: Tudo bem e vc?_x000a_10:08, 06/05/2026 Danilo Euroquad: Estou na china volto no final do mês_x000a_10:08, 06/05/2026 Danilo Euroquad: Quando chegar marcamos_x000a_11:35, 06/05/2026 Junior Lopes: Perfeito Danilo, ótimos negocios por ai"/>
    <s v="Euroquadros Industria Importacao E Exportacao Ltda"/>
    <x v="510"/>
    <n v="72770225000561"/>
    <s v=""/>
    <s v="Euroquadros Industria Importacao E Exportacao Ltda"/>
    <s v="(47) 3515-3000"/>
    <s v=""/>
    <s v="contabil@fratelliinox.com.br"/>
    <s v=""/>
    <s v=""/>
    <s v=""/>
    <s v="BARRA VELHA"/>
    <s v="SC"/>
    <s v="Base de empresas Leads2b"/>
    <s v=""/>
    <s v=""/>
    <s v=""/>
    <s v="Pipeline de Vendas"/>
    <s v="Em negociação (75%)"/>
    <s v=""/>
    <m/>
    <n v="52702"/>
    <n v="17020"/>
    <n v="70"/>
    <s v="Junior Lopes"/>
    <d v="2026-03-11T00:00:00"/>
    <d v="1899-12-30T16:07:58"/>
    <s v=""/>
    <s v="Ativo"/>
    <m/>
    <m/>
    <s v=""/>
    <s v=""/>
    <s v=""/>
    <x v="195"/>
    <s v=""/>
    <x v="217"/>
    <s v="18/03/2026"/>
    <d v="2026-05-06T00:00:00"/>
    <n v="50"/>
    <s v=""/>
    <s v=""/>
    <s v=""/>
    <s v=""/>
    <n v="1"/>
  </r>
  <r>
    <x v="2"/>
    <n v="1013"/>
    <m/>
    <n v="3368"/>
    <s v="30.03 Lidi, boa tarde!_x000a_Vamos agendar quarta às 15h_x000a_Meu gerente de projetos que vai fazer, assim já consigo matar WMS, ERP, PDV, todo processo de estoque futuro e importação_x000a_07.04 2° parte da reunião ficou para sexta 10/04_x000a_13.04 apresentação realizada, proxima etapa apresentação da proposta, aguardar avaliação do Paulo quanto ao serviço de cloud"/>
    <s v="Simao Distribuidora De Embalagens Descartaveis Ltda"/>
    <x v="511"/>
    <n v="10649489000180"/>
    <s v=""/>
    <s v="Simao Distribuidora De Embalagens Descartaveis Ltda"/>
    <s v="(24) 3325-7650"/>
    <s v=""/>
    <s v="legalizacao@mastermaxcontabilidade.com.br"/>
    <s v=""/>
    <s v=""/>
    <s v=""/>
    <s v="RIO DE JANEIRO"/>
    <s v="RJ"/>
    <s v="Base de empresas Leads2b"/>
    <s v=""/>
    <s v=""/>
    <s v=""/>
    <s v="Pipeline de Vendas"/>
    <s v="Apresentar Proposta (50%)"/>
    <s v=""/>
    <d v="2026-09-30T00:00:00"/>
    <m/>
    <m/>
    <n v="69"/>
    <s v="Rayssa Karapeticov"/>
    <d v="2026-03-12T00:00:00"/>
    <d v="1899-12-30T10:07:51"/>
    <s v=""/>
    <s v="Ativo"/>
    <m/>
    <m/>
    <s v=""/>
    <s v=""/>
    <s v=""/>
    <x v="198"/>
    <s v="Rayssa Karapeticov"/>
    <x v="218"/>
    <s v="10/04/2026"/>
    <d v="2026-05-13T00:00:00"/>
    <n v="30"/>
    <s v=""/>
    <s v="ERP, AFV"/>
    <s v=""/>
    <s v=""/>
    <n v="1"/>
  </r>
  <r>
    <x v="0"/>
    <n v="1014"/>
    <m/>
    <n v="3371"/>
    <s v="12/03 Fiz FUP com o Renan e ele avisou que a Vera esta em viagem retornando vamos agendar uma apresentação._x000a_12/03 Fiz FUP com o cliente e marcamos reunião para dia 18/03 as 15h._x000a_20/03 Conversei com o Renan para saber qual a nova data para fazer a apresentação."/>
    <s v=""/>
    <x v="512"/>
    <n v="10633099000112"/>
    <s v=""/>
    <s v="Vera Lucia"/>
    <s v="(47) 3075-0552"/>
    <s v=""/>
    <s v="financeiro@mundialimpexp.com.br"/>
    <s v=""/>
    <s v=""/>
    <s v=""/>
    <s v="ITAJAI"/>
    <s v="SC"/>
    <s v=""/>
    <s v=""/>
    <s v=""/>
    <s v="Pausado"/>
    <s v="Pipeline de Vendas"/>
    <s v="Apresentar Solução (35%)"/>
    <s v=""/>
    <d v="2026-03-30T00:00:00"/>
    <m/>
    <m/>
    <n v="60"/>
    <s v="Paulo Souza"/>
    <d v="2026-03-12T00:00:00"/>
    <d v="1899-12-30T12:10:28"/>
    <s v=""/>
    <s v="Perdido"/>
    <d v="2026-05-11T00:00:00"/>
    <d v="1899-12-30T11:56:15"/>
    <s v="Projeto adiado / sem prazo definido"/>
    <s v=""/>
    <s v=""/>
    <x v="0"/>
    <s v="Paulo Souza"/>
    <x v="0"/>
    <s v=""/>
    <d v="2026-04-10T00:00:00"/>
    <n v="30"/>
    <s v=""/>
    <s v="ERP, AFV"/>
    <s v=""/>
    <s v=""/>
    <n v="1"/>
  </r>
  <r>
    <x v="1"/>
    <n v="1015"/>
    <m/>
    <n v="3375"/>
    <s v="(16/03/2026) Agenda de apresentação para dia 17/03/2026"/>
    <s v=""/>
    <x v="513"/>
    <n v="35417169000126"/>
    <s v=""/>
    <s v="Brisa Artes"/>
    <s v="11992558277"/>
    <s v=""/>
    <s v="marcos@mairinckcontabil.com.br"/>
    <s v=""/>
    <s v=""/>
    <s v=""/>
    <s v="RIBEIRAO PIRES"/>
    <s v="SP"/>
    <s v=""/>
    <s v=""/>
    <s v=""/>
    <s v=""/>
    <s v="Pipeline de Vendas"/>
    <s v="Apresentar Solução (35%)"/>
    <s v=""/>
    <m/>
    <m/>
    <m/>
    <n v="69"/>
    <s v="Junior Lopes"/>
    <d v="2026-03-12T00:00:00"/>
    <d v="1899-12-30T15:11:14"/>
    <s v=""/>
    <s v="Ativo"/>
    <m/>
    <m/>
    <s v=""/>
    <s v=""/>
    <s v=""/>
    <x v="0"/>
    <s v=""/>
    <x v="0"/>
    <s v=""/>
    <d v="2026-03-16T00:00:00"/>
    <n v="30"/>
    <s v=""/>
    <s v=""/>
    <s v=""/>
    <s v=""/>
    <n v="1"/>
  </r>
  <r>
    <x v="1"/>
    <n v="1016"/>
    <m/>
    <n v="3373"/>
    <s v="09:04, 13/03/2026 Junior Lopes: Olá Victor, bom dia_x000a_09:04, 13/03/2026 Junior Lopes: sou Junior Lopes da Guarani sistemas, td bem ?_x000a_09:05, 13/03/2026 Junior Lopes: estou retornando um contato que vc fez conosco relacionado ao nosso software de gestão Guarani sistemas_x000a_(13/03/2026) Aós tentativa de ligação e contato ! nenhuma respondida _x000a_estou descartando a oportunidade pois o nome da empresa mencionado não existe e demais informações preenchidas sem dados concretos ! por informar que tem um faturamento abaixo de 200K mensal fica fora do nosso perfil"/>
    <s v=""/>
    <x v="514"/>
    <m/>
    <s v=""/>
    <s v="Nemoaprds"/>
    <s v="38998244039"/>
    <s v=""/>
    <s v="vitorborgessilva333@gmail.com"/>
    <s v=""/>
    <s v=""/>
    <s v=""/>
    <s v=""/>
    <s v=""/>
    <s v="Campanha"/>
    <s v=""/>
    <s v=""/>
    <s v="Fora Perfil;Instagram"/>
    <s v="Pipeline de Vendas"/>
    <s v="Qualificação de Vendas (SQL) (25%)"/>
    <s v=""/>
    <d v="2026-03-31T00:00:00"/>
    <m/>
    <m/>
    <n v="58"/>
    <s v="Paulo Souza"/>
    <d v="2026-03-12T00:00:00"/>
    <d v="1899-12-30T17:35:46"/>
    <s v=""/>
    <s v="Perdido"/>
    <d v="2026-05-09T00:00:00"/>
    <d v="1899-12-30T07:56:21"/>
    <s v="Sem qualificação — contato não atende ligações nem responde msg"/>
    <s v=""/>
    <s v=""/>
    <x v="0"/>
    <s v="Junior Lopes"/>
    <x v="0"/>
    <s v=""/>
    <d v="2026-03-13T00:00:00"/>
    <n v="30"/>
    <s v=""/>
    <s v=""/>
    <s v=""/>
    <s v=""/>
    <n v="1"/>
  </r>
  <r>
    <x v="2"/>
    <n v="1017"/>
    <m/>
    <n v="3374"/>
    <s v="17/03 - Nova Maringa - Amazonia Sistemas_x000a_Empresa de vendas e locação de maquinas agricolas, procura um softaware onde possa acompanhar a svedas, criar promnoções/campanhas, realizar OS para manutenções das maquinas. _x000a_Possui PDV _x000a_Apresentação agendada para terça 24/03 as 15h_x000a_25/03 achou o valor de investimento alto"/>
    <s v=""/>
    <x v="515"/>
    <n v="33947903000133"/>
    <s v=""/>
    <s v="Giovani luiz Agrorural Ltda"/>
    <s v="(66) 8101-6884"/>
    <s v=""/>
    <s v="soberanaagrorural@hotmail.com"/>
    <s v=""/>
    <s v=""/>
    <s v=""/>
    <s v="NOVA MARINGA"/>
    <s v="MT"/>
    <s v="Campanha"/>
    <s v=""/>
    <s v=""/>
    <s v="Fora Perfil;Instagram"/>
    <s v="Pipeline de Vendas"/>
    <s v="Apresentar Solução (35%)"/>
    <s v=""/>
    <d v="2026-07-31T00:00:00"/>
    <m/>
    <m/>
    <n v="13"/>
    <s v="Paulo Souza"/>
    <d v="2026-03-12T00:00:00"/>
    <d v="1899-12-30T17:37:00"/>
    <s v=""/>
    <s v="Perdido"/>
    <d v="2026-03-25T00:00:00"/>
    <d v="1899-12-30T10:06:43"/>
    <s v="Preço muito alto - fora do budget de investimento"/>
    <s v=""/>
    <s v=""/>
    <x v="0"/>
    <s v="Rayssa Karapeticov"/>
    <x v="219"/>
    <s v=""/>
    <d v="2026-03-25T00:00:00"/>
    <n v="31"/>
    <s v=""/>
    <s v=""/>
    <s v=""/>
    <s v=""/>
    <n v="1"/>
  </r>
  <r>
    <x v="1"/>
    <n v="1018"/>
    <m/>
    <n v="3379"/>
    <s v="(13/03/2026) em contato com Juraci a fim de retomar assunto sobre força de vendas _x000a_(12/03/2026) em contato com Juraci, informou que vamos voltar a falar no final do ano ! devido a sua alta demanda de vendas nesse período inviabilizou o projeto nesse momento"/>
    <s v=""/>
    <x v="185"/>
    <n v="28646036000166"/>
    <s v=""/>
    <s v="Gola Comercial"/>
    <s v="11938010304"/>
    <s v=""/>
    <s v="juraci@goalcomercial.com.br"/>
    <s v=""/>
    <s v=""/>
    <s v=""/>
    <s v="SAO CAETANO DO SUL"/>
    <s v="SP"/>
    <s v=""/>
    <s v=""/>
    <s v=""/>
    <s v=""/>
    <s v="Pipeline de Vendas"/>
    <s v="Apresentar Solução (35%)"/>
    <s v=""/>
    <m/>
    <n v="1696"/>
    <n v="6400"/>
    <n v="17"/>
    <s v="Junior Lopes"/>
    <d v="2026-03-13T00:00:00"/>
    <d v="1899-12-30T09:34:40"/>
    <s v=""/>
    <s v="Perdido"/>
    <d v="2026-03-30T00:00:00"/>
    <d v="1899-12-30T17:12:25"/>
    <s v="Projeto adiado / sem prazo definido"/>
    <s v="cliente não tem mais tempo para mudança esse ano , ficará para final do ano 2026"/>
    <s v=""/>
    <x v="84"/>
    <s v=""/>
    <x v="213"/>
    <s v=""/>
    <d v="2026-03-12T00:00:00"/>
    <n v="30"/>
    <s v=""/>
    <s v=""/>
    <s v=""/>
    <s v=""/>
    <n v="1"/>
  </r>
  <r>
    <x v="2"/>
    <n v="1019"/>
    <m/>
    <n v="3381"/>
    <s v="18.03 apresentação agendada para segunda 24/03_x000a_30.03 - como é uma empresa pequena de 1 ano, não consegue dar andamento agora _x000a_mas vão estudar para o futuro"/>
    <s v="Verti Flores E Plantas Permanentes Ltda"/>
    <x v="516"/>
    <n v="55841149000195"/>
    <s v=""/>
    <s v="Verti Flores E Plantas Permanentes Ltda"/>
    <s v="(47) 9214-8117"/>
    <s v=""/>
    <s v="societario@rmxcontabilidade.com.br"/>
    <s v=""/>
    <s v=""/>
    <s v=""/>
    <s v="ITAPEMA"/>
    <s v="SC"/>
    <s v="Base de empresas Leads2b"/>
    <s v=""/>
    <s v=""/>
    <s v=""/>
    <s v="Pipeline de Vendas"/>
    <s v="Apresentar Solução (35%)"/>
    <s v=""/>
    <d v="2026-07-31T00:00:00"/>
    <n v="58800"/>
    <n v="2525"/>
    <n v="17"/>
    <s v="Rayssa Karapeticov"/>
    <d v="2026-03-13T00:00:00"/>
    <d v="1899-12-30T14:52:20"/>
    <s v=""/>
    <s v="Perdido"/>
    <d v="2026-03-30T00:00:00"/>
    <d v="1899-12-30T16:07:14"/>
    <s v="Preço muito alto - fora do budget de investimento"/>
    <s v=""/>
    <s v=""/>
    <x v="199"/>
    <s v="Rayssa Karapeticov"/>
    <x v="220"/>
    <s v=""/>
    <d v="2026-03-30T00:00:00"/>
    <n v="30"/>
    <s v=""/>
    <s v="ERP"/>
    <s v=""/>
    <s v=""/>
    <n v="1"/>
  </r>
  <r>
    <x v="1"/>
    <n v="1020"/>
    <m/>
    <n v="3378"/>
    <s v="(17/03/2026) em contato com Junior ! A Otmiza busca um software para gerenciamento de obras com controle de contratos e ordens de serviço"/>
    <s v=""/>
    <x v="517"/>
    <m/>
    <s v=""/>
    <s v="Otimiza"/>
    <s v="6399999235"/>
    <s v=""/>
    <s v="pelissari.otimiza@gmail.com"/>
    <s v=""/>
    <s v=""/>
    <s v=""/>
    <s v=""/>
    <s v=""/>
    <s v="Campanha"/>
    <s v=""/>
    <s v=""/>
    <s v="Fora Perfil;Instagram"/>
    <s v="Pipeline de Vendas"/>
    <s v="Qualificação de Vendas (SQL) (25%)"/>
    <s v=""/>
    <d v="2026-03-31T00:00:00"/>
    <m/>
    <m/>
    <n v="1"/>
    <s v="Paulo Souza"/>
    <d v="2026-03-16T00:00:00"/>
    <d v="1899-12-30T13:47:29"/>
    <s v=""/>
    <s v="Perdido"/>
    <d v="2026-03-17T00:00:00"/>
    <d v="1899-12-30T09:38:46"/>
    <s v="Fora do porte mínimo (sem fit estrutural)"/>
    <s v="(17/03/2026) em contato com Junior ! A Otmiza busca um software para gerenciamento de obras com controle de contratos e ordens de serviço"/>
    <s v=""/>
    <x v="0"/>
    <s v="Junior Lopes"/>
    <x v="0"/>
    <s v=""/>
    <d v="2026-03-17T00:00:00"/>
    <n v="30"/>
    <s v=""/>
    <s v=""/>
    <s v=""/>
    <s v=""/>
    <n v="1"/>
  </r>
  <r>
    <x v="2"/>
    <n v="1021"/>
    <m/>
    <n v="3384"/>
    <s v="19.03 Pediu uma estimativa de valor, e achou o investimento muito alto para o faturamento anual da empresa"/>
    <s v=""/>
    <x v="518"/>
    <m/>
    <s v=""/>
    <s v="Javeh"/>
    <s v="11947270946"/>
    <s v=""/>
    <s v="atadeu7@gmail.com"/>
    <s v=""/>
    <s v=""/>
    <s v=""/>
    <s v=""/>
    <s v=""/>
    <s v="Campanha"/>
    <s v=""/>
    <s v=""/>
    <s v="Fora Perfil;Instagram"/>
    <s v="Pipeline de Vendas"/>
    <s v="Qualificação de Vendas (SQL) (25%)"/>
    <s v=""/>
    <d v="2026-03-31T00:00:00"/>
    <m/>
    <m/>
    <n v="3"/>
    <s v="Paulo Souza"/>
    <d v="2026-03-16T00:00:00"/>
    <d v="1899-12-30T13:48:48"/>
    <s v=""/>
    <s v="Perdido"/>
    <d v="2026-03-19T00:00:00"/>
    <d v="1899-12-30T11:31:26"/>
    <s v="Preço muito alto - fora do budget de investimento"/>
    <s v=""/>
    <s v=""/>
    <x v="0"/>
    <s v="Rayssa Karapeticov"/>
    <x v="0"/>
    <s v=""/>
    <d v="2026-03-17T00:00:00"/>
    <n v="30"/>
    <s v=""/>
    <s v=""/>
    <s v=""/>
    <s v=""/>
    <n v="1"/>
  </r>
  <r>
    <x v="1"/>
    <n v="1022"/>
    <m/>
    <n v="3385"/>
    <s v="(17/03/2026) em contato com Diego ! a Biricutico é um deposito de bebidas com venda balcão para pessoa física"/>
    <s v=""/>
    <x v="519"/>
    <m/>
    <s v=""/>
    <s v="Biricutico"/>
    <s v="21964945088"/>
    <s v=""/>
    <s v="diegosart@gmail.com"/>
    <s v=""/>
    <s v=""/>
    <s v=""/>
    <s v=""/>
    <s v=""/>
    <s v="Campanha"/>
    <s v=""/>
    <s v=""/>
    <s v="Fora Perfil;Instagram"/>
    <s v="Pipeline de Vendas"/>
    <s v="Qualificação de Vendas (SQL) (25%)"/>
    <s v=""/>
    <d v="2026-03-31T00:00:00"/>
    <m/>
    <m/>
    <n v="1"/>
    <s v="Paulo Souza"/>
    <d v="2026-03-16T00:00:00"/>
    <d v="1899-12-30T13:49:55"/>
    <s v=""/>
    <s v="Perdido"/>
    <d v="2026-03-17T00:00:00"/>
    <d v="1899-12-30T09:41:15"/>
    <s v="Fora do porte mínimo (sem fit estrutural)"/>
    <s v="(17/03/2026) em contato com Diego ! a Biricutico é um deposito de bebidas com venda balcão para pessoa física"/>
    <s v=""/>
    <x v="0"/>
    <s v="Junior Lopes"/>
    <x v="0"/>
    <s v=""/>
    <d v="2026-03-17T00:00:00"/>
    <n v="30"/>
    <s v=""/>
    <s v=""/>
    <s v=""/>
    <s v=""/>
    <n v="1"/>
  </r>
  <r>
    <x v="2"/>
    <n v="1023"/>
    <m/>
    <n v="3386"/>
    <s v="Falei com o Marcelo são uma distribuidora de descartaveis e estão buscando um software. _x000a_30.03 - esta viajando, pediu retorno na proxima semana_x000a_Passei informações sobre a Guarani, e enviei nossa apresentação, hoje vão ter uma reunião interna para saber quais sistemas que vão 18/03 agendar uma apresentação _x000a_30.03 - Falou que esta em viagem, pediu para retornar_x000a_07.03 - não estou tendo nenhum retorno"/>
    <s v=""/>
    <x v="520"/>
    <n v="57769346000176"/>
    <s v=""/>
    <s v="Plus atacadista"/>
    <s v="(62) 8318-2116/ (0000) 0000-0000"/>
    <s v=""/>
    <s v="diretor@staratacadista.com.br"/>
    <s v=""/>
    <s v=""/>
    <s v=""/>
    <s v="GOIANIA"/>
    <s v="GO"/>
    <s v="Campanha"/>
    <s v=""/>
    <s v=""/>
    <s v="Dentro Perfil;Instagram"/>
    <s v="Pipeline de Vendas"/>
    <s v="Apresentar Solução (35%)"/>
    <s v=""/>
    <d v="2026-07-31T00:00:00"/>
    <m/>
    <m/>
    <n v="22"/>
    <s v="Paulo Souza"/>
    <d v="2026-03-16T00:00:00"/>
    <d v="1899-12-30T13:51:06"/>
    <s v=""/>
    <s v="Perdido"/>
    <d v="2026-04-07T00:00:00"/>
    <d v="1899-12-30T10:45:40"/>
    <s v="Fora do porte mínimo (sem fit estrutural)"/>
    <s v=""/>
    <s v=""/>
    <x v="187"/>
    <s v="Rayssa Karapeticov"/>
    <x v="215"/>
    <s v=""/>
    <d v="2026-04-07T00:00:00"/>
    <n v="30"/>
    <s v=""/>
    <s v=""/>
    <s v=""/>
    <s v=""/>
    <n v="1"/>
  </r>
  <r>
    <x v="0"/>
    <n v="1024"/>
    <m/>
    <n v="3388"/>
    <s v="18/03 Liguei para o Tiago não atendeu. Deixei recado no whatsapp !_x000a_18/03 Tiago retorno por audio e falou que essa semana está ocupado e não consegue falar. Vai me retornar ate o fim da semana._x000a_20/03 Após conversa com o Tiago ele avisou que essa semana esta inviável para falar que conversamos semana que vem."/>
    <s v=""/>
    <x v="521"/>
    <m/>
    <s v=""/>
    <s v="Tiago"/>
    <s v="62991537827"/>
    <s v=""/>
    <s v="mastervedacoesind@gmail.com"/>
    <s v=""/>
    <s v=""/>
    <s v=""/>
    <s v=""/>
    <s v=""/>
    <s v="Campanha"/>
    <s v=""/>
    <s v=""/>
    <s v="Dentro Perfil;Instagram"/>
    <s v="Pipeline de Vendas"/>
    <s v="Qualificação de Vendas (SQL) (25%)"/>
    <s v=""/>
    <d v="2026-03-31T00:00:00"/>
    <m/>
    <m/>
    <n v="54"/>
    <s v="Paulo Souza"/>
    <d v="2026-03-16T00:00:00"/>
    <d v="1899-12-30T13:52:07"/>
    <s v=""/>
    <s v="Perdido"/>
    <d v="2026-05-09T00:00:00"/>
    <d v="1899-12-30T07:58:33"/>
    <s v="Sem qualificação — contato não atende ligações nem responde msg"/>
    <s v=""/>
    <s v=""/>
    <x v="0"/>
    <s v="Paulo Souza"/>
    <x v="0"/>
    <s v=""/>
    <d v="2026-03-20T00:00:00"/>
    <n v="30"/>
    <s v=""/>
    <s v=""/>
    <s v=""/>
    <s v=""/>
    <n v="1"/>
  </r>
  <r>
    <x v="0"/>
    <n v="1025"/>
    <m/>
    <n v="3389"/>
    <s v="18/03 Liguei para o Dimitrius e ele estava viajando hoje, vai me retornar ainda esta semana._x000a_18/03 Dimitrius retornou o áudio, avisou que vai me retornar assim que terminar a viagem que faz hoje._x000a_20/03 Fiz uma conversa com Demétrius para entender o cenário dele e alinhamos que ele vai preencher o formulário e depois disso fazer uma apresentação."/>
    <s v=""/>
    <x v="522"/>
    <m/>
    <s v=""/>
    <s v="Dimitrius"/>
    <s v="73988565500"/>
    <s v=""/>
    <s v="dimigrintzos@gmail.com"/>
    <s v=""/>
    <s v=""/>
    <s v=""/>
    <s v=""/>
    <s v=""/>
    <s v="Campanha"/>
    <s v=""/>
    <s v=""/>
    <s v="Dentro Perfil;Instagram"/>
    <s v="Pipeline de Vendas"/>
    <s v="Apresentar Solução (35%)"/>
    <s v=""/>
    <d v="2026-03-31T00:00:00"/>
    <m/>
    <m/>
    <n v="25"/>
    <s v="Paulo Souza"/>
    <d v="2026-03-16T00:00:00"/>
    <d v="1899-12-30T13:53:00"/>
    <s v=""/>
    <s v="Perdido"/>
    <d v="2026-04-10T00:00:00"/>
    <d v="1899-12-30T14:40:40"/>
    <s v="Projeto adiado / sem prazo definido"/>
    <s v=""/>
    <s v=""/>
    <x v="0"/>
    <s v="Paulo Souza"/>
    <x v="0"/>
    <s v=""/>
    <d v="2026-03-20T00:00:00"/>
    <n v="30"/>
    <s v=""/>
    <s v="ERP, AFV"/>
    <s v=""/>
    <s v=""/>
    <n v="1"/>
  </r>
  <r>
    <x v="1"/>
    <n v="1026"/>
    <m/>
    <n v="3390"/>
    <s v="14:10, 16/03/2026 Junior Lopes: Olá Rogerio, boa tarde ! _x000a_(27/03/2026) após varias tentativas sem retorno do Rogério , declinando oportunidade_x000a_Sou Junior Lopes da Guarani sistemas_x000a_14:11, 16/03/2026 Junior Lopes: estou retornando um contato que vc fez conosco_x000a_12:18, 19/03/2026 Junior Lopes: OLá Rogério ! tudo Bem ?_x000a_12:19, 19/03/2026 Junior Lopes: tem interesse em dar continuidade ?_x000a_(06/04/2026) varias tentativas de contato sem retorno"/>
    <s v=""/>
    <x v="523"/>
    <n v="35511300000110"/>
    <s v=""/>
    <s v="Vivazhigienização"/>
    <s v="82993812526"/>
    <s v=""/>
    <s v="progeriogomesxavier@gmail.comp"/>
    <s v=""/>
    <s v=""/>
    <s v=""/>
    <s v=""/>
    <s v=""/>
    <s v="Campanha"/>
    <s v=""/>
    <s v=""/>
    <s v="Dentro Perfil;Instagram"/>
    <s v="Pipeline de Vendas"/>
    <s v="Qualificação de Vendas (SQL) (25%)"/>
    <s v=""/>
    <d v="2026-03-31T00:00:00"/>
    <m/>
    <m/>
    <n v="54"/>
    <s v="Paulo Souza"/>
    <d v="2026-03-16T00:00:00"/>
    <d v="1899-12-30T13:53:57"/>
    <s v=""/>
    <s v="Perdido"/>
    <d v="2026-05-09T00:00:00"/>
    <d v="1899-12-30T07:59:08"/>
    <s v="Sem qualificação — contato não atende ligações nem responde msg"/>
    <s v=""/>
    <s v=""/>
    <x v="0"/>
    <s v="Junior Lopes"/>
    <x v="0"/>
    <s v=""/>
    <d v="2026-04-06T00:00:00"/>
    <n v="30"/>
    <s v=""/>
    <s v=""/>
    <s v=""/>
    <s v=""/>
    <n v="1"/>
  </r>
  <r>
    <x v="2"/>
    <n v="1027"/>
    <m/>
    <n v="3391"/>
    <s v=""/>
    <s v=""/>
    <x v="524"/>
    <m/>
    <s v=""/>
    <s v="Master"/>
    <s v="31994220888"/>
    <s v=""/>
    <s v="anibalsmoura@gmail.com"/>
    <s v=""/>
    <s v=""/>
    <s v=""/>
    <s v=""/>
    <s v=""/>
    <s v="Campanha"/>
    <s v=""/>
    <s v=""/>
    <s v="Dentro Perfil;Instagram"/>
    <s v="Pipeline de Vendas"/>
    <s v="Agendamento (0%)"/>
    <s v=""/>
    <d v="2026-07-31T00:00:00"/>
    <m/>
    <m/>
    <n v="54"/>
    <s v="Paulo Souza"/>
    <d v="2026-03-16T00:00:00"/>
    <d v="1899-12-30T13:54:58"/>
    <s v=""/>
    <s v="Perdido"/>
    <d v="2026-05-09T00:00:00"/>
    <d v="1899-12-30T21:12:46"/>
    <s v="Sem qualificação — contato não atende ligações nem responde msg"/>
    <s v=""/>
    <s v=""/>
    <x v="0"/>
    <s v="Rayssa Karapeticov"/>
    <x v="0"/>
    <s v=""/>
    <d v="2026-03-17T00:00:00"/>
    <n v="30"/>
    <s v=""/>
    <s v=""/>
    <s v=""/>
    <s v=""/>
    <n v="1"/>
  </r>
  <r>
    <x v="2"/>
    <n v="1029"/>
    <m/>
    <n v="3395"/>
    <s v="30.03 Tinhamos agendado uma apresentação na sexta-feira (27/03) porém o Vagner consultor da Guarani Cancelou e não avisaram o setor comercial. _x000a_Ao passar a informação de ultima hora de cancelamento para o cliente, não consegui reverte o atendimento _x000a_Cliente encerrou o contato com a Guarani Sistemas"/>
    <s v=""/>
    <x v="525"/>
    <n v="6864286000130"/>
    <s v=""/>
    <s v="Bruno"/>
    <s v="(48) 99677-1211"/>
    <s v=""/>
    <s v="bruno@alquimya.com.br"/>
    <s v=""/>
    <s v=""/>
    <s v=""/>
    <s v="Florianópolis"/>
    <s v=""/>
    <s v="Site"/>
    <s v=""/>
    <s v=""/>
    <s v=""/>
    <s v="Pipeline de Vendas"/>
    <s v="Apresentar Solução (35%)"/>
    <s v=""/>
    <d v="2026-05-31T00:00:00"/>
    <m/>
    <m/>
    <n v="13"/>
    <s v="Paulo Souza"/>
    <d v="2026-03-17T00:00:00"/>
    <d v="1899-12-30T15:45:42"/>
    <s v=""/>
    <s v="Perdido"/>
    <d v="2026-03-30T00:00:00"/>
    <d v="1899-12-30T15:55:01"/>
    <s v="Fechou com o concorrente - preço"/>
    <s v=""/>
    <s v=""/>
    <x v="0"/>
    <s v="Rayssa Karapeticov"/>
    <x v="0"/>
    <s v=""/>
    <d v="2026-03-30T00:00:00"/>
    <n v="30"/>
    <s v=""/>
    <s v="ERP, AFV, PCP"/>
    <s v=""/>
    <s v=""/>
    <n v="1"/>
  </r>
  <r>
    <x v="1"/>
    <n v="1030"/>
    <m/>
    <n v="3396"/>
    <s v="(23/06/2026) em contato com Leandro , atualmente o perfil é uma padaria e uma fabrica de pequeno porte de pão de alho ! enviei uma estimativa de valores mas achou que para o momento esta muito acima"/>
    <s v=""/>
    <x v="526"/>
    <m/>
    <s v=""/>
    <s v="Pão de alho"/>
    <s v="62985336869"/>
    <s v=""/>
    <s v="therabyte_go@hotmail.com"/>
    <s v=""/>
    <s v=""/>
    <s v=""/>
    <s v=""/>
    <s v=""/>
    <s v="Campanha"/>
    <s v=""/>
    <s v=""/>
    <s v="Fora Perfil;Instagram"/>
    <s v="Pipeline de Vendas"/>
    <s v="Qualificação de Vendas (SQL) (25%)"/>
    <s v=""/>
    <d v="2026-03-31T00:00:00"/>
    <m/>
    <m/>
    <n v="22"/>
    <s v="Paulo Souza"/>
    <d v="2026-03-17T00:00:00"/>
    <d v="1899-12-30T15:47:06"/>
    <s v=""/>
    <s v="Perdido"/>
    <d v="2026-04-08T00:00:00"/>
    <d v="1899-12-30T17:21:21"/>
    <s v="Fora do porte mínimo (sem fit estrutural)"/>
    <s v="(23/06/2026) em contato com Leandro , atualmente o perfil é uma padaria e uma fabrica de pequeno porte de pão de alho ! enviei uma estimativa de valores mas achou que para o momento esta muito acima"/>
    <s v=""/>
    <x v="0"/>
    <s v="Junior Lopes"/>
    <x v="0"/>
    <s v=""/>
    <d v="2026-03-23T00:00:00"/>
    <n v="30"/>
    <s v=""/>
    <s v=""/>
    <s v=""/>
    <s v=""/>
    <n v="1"/>
  </r>
  <r>
    <x v="0"/>
    <n v="1031"/>
    <m/>
    <n v="3397"/>
    <s v="18/03 Liguei para o Celso e ele não atendeu deixei recado no zap."/>
    <s v=""/>
    <x v="527"/>
    <n v="27742655000191"/>
    <s v=""/>
    <s v="Celso"/>
    <s v="21970038782"/>
    <s v=""/>
    <s v="gerencia@inovapet.com.br"/>
    <s v=""/>
    <s v=""/>
    <s v=""/>
    <s v=""/>
    <s v=""/>
    <s v="Campanha"/>
    <s v=""/>
    <s v=""/>
    <s v="Dentro Perfil;Instagram"/>
    <s v="Pipeline de Vendas"/>
    <s v="Qualificação de Vendas (SQL) (25%)"/>
    <s v=""/>
    <d v="2026-03-31T00:00:00"/>
    <m/>
    <m/>
    <n v="3"/>
    <s v="Paulo Souza"/>
    <d v="2026-03-17T00:00:00"/>
    <d v="1899-12-30T15:49:33"/>
    <s v=""/>
    <s v="Perdido"/>
    <d v="2026-03-20T00:00:00"/>
    <d v="1899-12-30T15:43:59"/>
    <s v="Fora do porte mínimo (sem fit estrutural)"/>
    <s v=""/>
    <s v=""/>
    <x v="0"/>
    <s v="Paulo Souza"/>
    <x v="0"/>
    <s v=""/>
    <m/>
    <n v="30"/>
    <s v=""/>
    <s v=""/>
    <s v=""/>
    <s v=""/>
    <n v="1"/>
  </r>
  <r>
    <x v="2"/>
    <n v="1032"/>
    <m/>
    <n v="3402"/>
    <s v="Cliente entrou em contato pelo suporte pedindo contato comercial apra falar sobre software, tentie ligar e mandie msg mas ainda não me retornou _x000a_31.03 - não atendeu,"/>
    <s v=""/>
    <x v="528"/>
    <n v="27742655000191"/>
    <s v=""/>
    <s v="Celso"/>
    <s v="(21) 3451-9599"/>
    <s v=""/>
    <s v="inovapet.adm@gmail.com"/>
    <s v=""/>
    <s v=""/>
    <s v=""/>
    <s v="DUQUE DE CAXIAS"/>
    <s v="RJ"/>
    <s v=""/>
    <s v=""/>
    <s v=""/>
    <s v=""/>
    <s v="Pipeline de Vendas"/>
    <s v="Agendamento (0%)"/>
    <s v=""/>
    <d v="2026-07-31T00:00:00"/>
    <m/>
    <m/>
    <n v="35"/>
    <s v="Rayssa Karapeticov"/>
    <d v="2026-03-18T00:00:00"/>
    <d v="1899-12-30T11:38:25"/>
    <s v=""/>
    <s v="Perdido"/>
    <d v="2026-04-22T00:00:00"/>
    <d v="1899-12-30T17:16:19"/>
    <s v="Não era o decisor - sem acesso"/>
    <s v=""/>
    <s v=""/>
    <x v="0"/>
    <s v="Rayssa Karapeticov"/>
    <x v="0"/>
    <s v=""/>
    <d v="2026-04-22T00:00:00"/>
    <n v="30"/>
    <s v=""/>
    <s v=""/>
    <s v=""/>
    <s v=""/>
    <n v="1"/>
  </r>
  <r>
    <x v="2"/>
    <n v="1033"/>
    <m/>
    <n v="3401"/>
    <s v="19.03 - CLiente estava em reunião, retornar o contato_x000a_20.03 cliente respondeu o formulário tentando agendar uma apresentação do ERp para o dia 31/03_x000a_30/03 - Fiz vários contato com o cliente para agendar uma apresentação e não tive retorno"/>
    <s v=""/>
    <x v="529"/>
    <n v="27251864000132"/>
    <s v=""/>
    <s v="Vinicius Primo"/>
    <s v="(19) 99959-1568"/>
    <s v=""/>
    <s v="engenharia@a2industrial.com.br"/>
    <s v=""/>
    <s v=""/>
    <s v=""/>
    <s v="Rio de Janeiro"/>
    <s v=""/>
    <s v="Site"/>
    <s v=""/>
    <s v=""/>
    <s v="Solicita demo"/>
    <s v="Pipeline de Vendas"/>
    <s v="Apresentar Solução (35%)"/>
    <s v=""/>
    <d v="2026-06-30T00:00:00"/>
    <m/>
    <m/>
    <n v="12"/>
    <s v="Paulo Souza"/>
    <d v="2026-03-18T00:00:00"/>
    <d v="1899-12-30T15:25:11"/>
    <s v=""/>
    <s v="Perdido"/>
    <d v="2026-03-30T00:00:00"/>
    <d v="1899-12-30T15:53:15"/>
    <s v="Projeto adiado / sem prazo definido"/>
    <s v=""/>
    <s v=""/>
    <x v="0"/>
    <s v="Rayssa Karapeticov"/>
    <x v="0"/>
    <s v=""/>
    <d v="2026-03-30T00:00:00"/>
    <n v="30"/>
    <s v=""/>
    <s v="ERP"/>
    <s v=""/>
    <s v=""/>
    <n v="1"/>
  </r>
  <r>
    <x v="1"/>
    <n v="1034"/>
    <m/>
    <n v="3400"/>
    <s v="(27/03/2026) Flavio não responde aos contatos"/>
    <s v=""/>
    <x v="530"/>
    <m/>
    <s v=""/>
    <s v="FM Negocios"/>
    <s v="11987194488"/>
    <s v=""/>
    <s v="fmsallas@gmail.com"/>
    <s v=""/>
    <s v=""/>
    <s v=""/>
    <s v=""/>
    <s v=""/>
    <s v="Campanha"/>
    <s v=""/>
    <s v=""/>
    <s v="Fora Perfil;Instagram"/>
    <s v="Pipeline de Vendas"/>
    <s v="Qualificação de Vendas (SQL) (25%)"/>
    <s v=""/>
    <d v="2026-03-31T00:00:00"/>
    <m/>
    <m/>
    <n v="21"/>
    <s v="Paulo Souza"/>
    <d v="2026-03-18T00:00:00"/>
    <d v="1899-12-30T15:26:48"/>
    <s v=""/>
    <s v="Perdido"/>
    <d v="2026-04-08T00:00:00"/>
    <d v="1899-12-30T17:22:35"/>
    <s v="Fora do porte mínimo (sem fit estrutural)"/>
    <s v="Flavio não responde aos contatos"/>
    <s v=""/>
    <x v="0"/>
    <s v="Junior Lopes"/>
    <x v="0"/>
    <s v=""/>
    <d v="2026-03-27T00:00:00"/>
    <n v="30"/>
    <s v=""/>
    <s v=""/>
    <s v=""/>
    <s v=""/>
    <n v="1"/>
  </r>
  <r>
    <x v="0"/>
    <n v="1035"/>
    <m/>
    <n v="3399"/>
    <s v="18/03 Fiz contato com o Itamar, sem retorno ate o momento._x000a_20/03 Falei com o Itamar esta na unimed ficamos de falar na próxima semana."/>
    <s v=""/>
    <x v="531"/>
    <m/>
    <s v=""/>
    <s v="Concreps"/>
    <s v="62984060714"/>
    <s v=""/>
    <s v="itamarbuenoadv@gmail.com"/>
    <s v=""/>
    <s v=""/>
    <s v=""/>
    <s v=""/>
    <s v=""/>
    <s v="Campanha"/>
    <s v=""/>
    <s v=""/>
    <s v="Dentro Perfil;Instagram"/>
    <s v="Pipeline de Vendas"/>
    <s v="Qualificação de Vendas (SQL) (25%)"/>
    <s v=""/>
    <d v="2026-03-31T00:00:00"/>
    <m/>
    <m/>
    <n v="52"/>
    <s v="Paulo Souza"/>
    <d v="2026-03-18T00:00:00"/>
    <d v="1899-12-30T15:27:53"/>
    <s v=""/>
    <s v="Perdido"/>
    <d v="2026-05-09T00:00:00"/>
    <d v="1899-12-30T08:02:23"/>
    <s v="Sem qualificação — contato não atende ligações nem responde msg"/>
    <s v=""/>
    <s v=""/>
    <x v="0"/>
    <s v="Paulo Souza"/>
    <x v="0"/>
    <s v=""/>
    <d v="2026-03-20T00:00:00"/>
    <n v="30"/>
    <s v=""/>
    <s v=""/>
    <s v=""/>
    <s v=""/>
    <n v="1"/>
  </r>
  <r>
    <x v="2"/>
    <n v="1037"/>
    <m/>
    <n v="3404"/>
    <s v="19.03 - Tentei contato por telefone, ligação por whatsapp e mensagem. _x000a_20.03 Convite enviado para Quarta (25/03) as 15h_x000a_Segue o link também:_x000a_https://teams.microsoft.com/meet/25533981257135?p=HZgs0XbZOVQrxgr3rL_x000a_24/03Realizamos uma apresentação do ERP, mas como o cliente é logista pediu uma previsão de investimento e achou o valor acima"/>
    <s v=""/>
    <x v="532"/>
    <m/>
    <s v=""/>
    <s v="Auto peças taurus"/>
    <s v="61981840031"/>
    <s v=""/>
    <s v="gustavoandreh@yahoo.com.br"/>
    <s v=""/>
    <s v=""/>
    <s v=""/>
    <s v=""/>
    <s v=""/>
    <s v="Campanha"/>
    <s v=""/>
    <s v=""/>
    <s v="Dentro Perfil;Instagram"/>
    <s v="Pipeline de Vendas"/>
    <s v="Apresentar Solução (35%)"/>
    <s v=""/>
    <d v="2026-03-31T00:00:00"/>
    <m/>
    <m/>
    <n v="51"/>
    <s v="Paulo Souza"/>
    <d v="2026-03-19T00:00:00"/>
    <d v="1899-12-30T10:26:22"/>
    <s v=""/>
    <s v="Perdido"/>
    <d v="2026-05-09T00:00:00"/>
    <d v="1899-12-30T21:07:24"/>
    <s v="Preço muito alto - fora do budget de investimento"/>
    <s v=""/>
    <s v=""/>
    <x v="200"/>
    <s v="Rayssa Karapeticov"/>
    <x v="219"/>
    <s v=""/>
    <d v="2026-03-24T00:00:00"/>
    <n v="30"/>
    <s v=""/>
    <s v=""/>
    <s v=""/>
    <s v=""/>
    <n v="1"/>
  </r>
  <r>
    <x v="1"/>
    <n v="1038"/>
    <m/>
    <n v="3405"/>
    <s v="11:55, 19/03/2026 Junior Lopes: Faz sentido para vocês ?_x000a_11:56, 19/03/2026 +55 35 9839-4949: Acredito que nao_x000a_12:02, 19/03/2026 +55 35 9839-4949: Distribuidor_x000a_12:02, 19/03/2026 +55 35 9839-4949: Frutas e legumes_x000a_12:03, 19/03/2026 Junior Lopes: E vc tem vendedores externos ?_x000a_12:09, 19/03/2026 +55 35 9839-4949: Somente 1"/>
    <s v=""/>
    <x v="533"/>
    <m/>
    <s v=""/>
    <s v="Grupo Kimura"/>
    <s v="35998394949"/>
    <s v=""/>
    <s v="veniltonsouza@hotmail.com"/>
    <s v=""/>
    <s v=""/>
    <s v=""/>
    <s v=""/>
    <s v=""/>
    <s v="Campanha"/>
    <s v=""/>
    <s v=""/>
    <s v="Fora Perfil;Instagram"/>
    <s v="Pipeline de Vendas"/>
    <s v="Qualificação de Vendas (SQL) (25%)"/>
    <s v=""/>
    <m/>
    <m/>
    <m/>
    <n v="0"/>
    <s v="Paulo Souza"/>
    <d v="2026-03-19T00:00:00"/>
    <d v="1899-12-30T10:29:59"/>
    <s v=""/>
    <s v="Perdido"/>
    <d v="2026-03-19T00:00:00"/>
    <d v="1899-12-30T12:15:59"/>
    <s v="Fora do porte mínimo (sem fit estrutural)"/>
    <s v="Cliente de porte muito pequeno"/>
    <s v=""/>
    <x v="0"/>
    <s v="Junior Lopes"/>
    <x v="0"/>
    <s v=""/>
    <m/>
    <n v="30"/>
    <s v=""/>
    <s v=""/>
    <s v=""/>
    <s v=""/>
    <n v="1"/>
  </r>
  <r>
    <x v="2"/>
    <n v="1040"/>
    <m/>
    <n v="3408"/>
    <s v="20.03 - Oi Raysa, bem e você?_x000a_Estou em viagem e só volto no final da próxima semana. _x000a_Podemos deixar para o meu retorno?_x000a_23.03 esta em viagem e retorna no final da proxima semana, agendando contato_x000a_31.03 retomamos o contato hoje _x000a_06.04 Eduardo pediu para entrar em contato com o Rafael, preciso entender o negócio deles."/>
    <s v=""/>
    <x v="534"/>
    <n v="40707794000142"/>
    <s v=""/>
    <s v="Aquatrat"/>
    <s v="71999081968"/>
    <s v=""/>
    <s v="eduardo@aquatrat.com.br"/>
    <s v=""/>
    <s v=""/>
    <s v=""/>
    <s v=""/>
    <s v=""/>
    <s v="Campanha"/>
    <s v=""/>
    <s v=""/>
    <s v="Fora Perfil;Instagram"/>
    <s v="Pipeline de Vendas"/>
    <s v="Agendamento (0%)"/>
    <s v=""/>
    <d v="2026-04-30T00:00:00"/>
    <m/>
    <m/>
    <n v="33"/>
    <s v="Paulo Souza"/>
    <d v="2026-03-20T00:00:00"/>
    <d v="1899-12-30T09:22:44"/>
    <s v=""/>
    <s v="Perdido"/>
    <d v="2026-04-22T00:00:00"/>
    <d v="1899-12-30T17:13:52"/>
    <s v="Fora do porte mínimo (sem fit estrutural)"/>
    <s v=""/>
    <s v=""/>
    <x v="0"/>
    <s v="Rayssa Karapeticov"/>
    <x v="0"/>
    <s v=""/>
    <d v="2026-04-22T00:00:00"/>
    <n v="30"/>
    <s v=""/>
    <s v=""/>
    <s v=""/>
    <s v=""/>
    <n v="1"/>
  </r>
  <r>
    <x v="2"/>
    <n v="1041"/>
    <m/>
    <n v="3409"/>
    <s v="20.03 não atendeu_x000a_Boa tarde Jairo, tudo bem?_x000a_Meu nome é Rayssa, sou da Guarani Sistemas, estou retornando seu contato interessado em software para a empresa VENTMAR Ventilação_x000a_podemos falar?_x000a_23.03 achou o investimento alto, é uma loja de bairro"/>
    <s v=""/>
    <x v="535"/>
    <m/>
    <s v=""/>
    <s v="VENTMAR Ventilacao"/>
    <s v="67999748649"/>
    <s v=""/>
    <s v="jairodsm@gmail.com"/>
    <s v=""/>
    <s v=""/>
    <s v=""/>
    <s v=""/>
    <s v=""/>
    <s v="Campanha"/>
    <s v=""/>
    <s v=""/>
    <s v="Fora Perfil;Instagram"/>
    <s v="Pipeline de Vendas"/>
    <s v="Agendamento (0%)"/>
    <s v=""/>
    <m/>
    <m/>
    <m/>
    <n v="50"/>
    <s v="Paulo Souza"/>
    <d v="2026-03-20T00:00:00"/>
    <d v="1899-12-30T15:28:44"/>
    <s v=""/>
    <s v="Perdido"/>
    <d v="2026-05-09T00:00:00"/>
    <d v="1899-12-30T21:09:38"/>
    <s v="Fora do porte mínimo (sem fit estrutural)"/>
    <s v=""/>
    <s v=""/>
    <x v="0"/>
    <s v="Rayssa Karapeticov"/>
    <x v="0"/>
    <s v=""/>
    <d v="2026-03-23T00:00:00"/>
    <n v="30"/>
    <s v=""/>
    <s v=""/>
    <s v=""/>
    <s v=""/>
    <n v="1"/>
  </r>
  <r>
    <x v="1"/>
    <n v="1044"/>
    <m/>
    <n v="3414"/>
    <s v="(27/03/2026) Após varias tentativas de contato com Afabio sem retorno ! estou declinando oportunidade"/>
    <s v=""/>
    <x v="536"/>
    <m/>
    <s v=""/>
    <s v="Vilela &amp; Vilela Ltda"/>
    <s v="9991419327"/>
    <s v=""/>
    <s v="afabio2016@gmail.com"/>
    <s v=""/>
    <s v=""/>
    <s v=""/>
    <s v=""/>
    <s v="Para"/>
    <s v="Inbound"/>
    <s v=""/>
    <s v=""/>
    <s v="Fora Perfil;Instagram;Perfil Indefinido"/>
    <s v="Pipeline de Vendas"/>
    <s v="Qualificação de Vendas (SQL) (25%)"/>
    <s v=""/>
    <d v="2026-03-24T00:00:00"/>
    <m/>
    <m/>
    <n v="16"/>
    <s v="Paulo Souza"/>
    <d v="2026-03-23T00:00:00"/>
    <d v="1899-12-30T13:47:48"/>
    <s v=""/>
    <s v="Perdido"/>
    <d v="2026-04-08T00:00:00"/>
    <d v="1899-12-30T17:20:11"/>
    <s v="Fora do porte mínimo (sem fit estrutural)"/>
    <s v="Após varias tentativas de contato com Afabio sem retorno ! estou declinando oportunidade"/>
    <s v=""/>
    <x v="0"/>
    <s v="Junior Lopes"/>
    <x v="0"/>
    <s v=""/>
    <d v="2026-03-23T00:00:00"/>
    <n v="30"/>
    <s v=""/>
    <s v=""/>
    <s v=""/>
    <s v=""/>
    <n v="1"/>
  </r>
  <r>
    <x v="2"/>
    <n v="1045"/>
    <m/>
    <n v="3412"/>
    <s v="24.03 - não consegui contato_x000a_06.04 - telefone não atende_x000a_11:28, 31/03/2026 Rayssa Karapeticov - Comercial - Guarani Sistemas: Bom dia Lucas, como vai?_x000a_Meu nome é Rayssa, sou da Guarani Sistemas. _x000a_Estou tentando contato com você para entender como as soluções da Guarani Sistemas podem atender a MaisMendes Distribuidora Materiais para construção_x000a_11:56, 06/04/2026 Rayssa Karapeticov - Comercial - Guarani Sistemas: Boa tarde Lucas, tudo bem? _x000a_Meu nome é Rayssa, sou da Guarani Sistemas. _x000a_Ainda faz sentido a procura de uma solução para sua empresa?_x000a_07.4"/>
    <s v=""/>
    <x v="537"/>
    <m/>
    <s v=""/>
    <s v="MaisMendes Distribuidora Materiais para construção"/>
    <s v="62993734302"/>
    <s v=""/>
    <s v="lucasmatheusmendes@outlook.com"/>
    <s v=""/>
    <s v=""/>
    <s v=""/>
    <s v=""/>
    <s v=""/>
    <s v="Campanha"/>
    <s v=""/>
    <s v=""/>
    <s v="Fora Perfil;Instagram"/>
    <s v="Pipeline de Vendas"/>
    <s v="Agendamento (0%)"/>
    <s v=""/>
    <d v="2026-04-30T00:00:00"/>
    <m/>
    <m/>
    <n v="15"/>
    <s v="Paulo Souza"/>
    <d v="2026-03-23T00:00:00"/>
    <d v="1899-12-30T13:49:09"/>
    <s v=""/>
    <s v="Perdido"/>
    <d v="2026-04-07T00:00:00"/>
    <d v="1899-12-30T09:36:31"/>
    <s v="Fora do porte mínimo (sem fit estrutural)"/>
    <s v=""/>
    <s v=""/>
    <x v="0"/>
    <s v="Rayssa Karapeticov"/>
    <x v="0"/>
    <s v=""/>
    <d v="2026-04-07T00:00:00"/>
    <n v="30"/>
    <s v=""/>
    <s v=""/>
    <s v=""/>
    <s v=""/>
    <n v="1"/>
  </r>
  <r>
    <x v="1"/>
    <n v="1046"/>
    <m/>
    <n v="3411"/>
    <s v="(23/03/2026) contato com Rafael _x000a_(27/03/2026) Rafael não responde aos contato"/>
    <s v=""/>
    <x v="538"/>
    <n v="32354207000150"/>
    <s v=""/>
    <s v="DISTRIBOM"/>
    <s v="27999328628"/>
    <s v=""/>
    <s v="rafaeldebossan@gmail.com"/>
    <s v=""/>
    <s v=""/>
    <s v=""/>
    <s v="VILA VELHA"/>
    <s v="ES"/>
    <s v="Campanha"/>
    <s v=""/>
    <s v=""/>
    <s v="Dentro Perfil;Instagram"/>
    <s v="Pipeline de Vendas"/>
    <s v="Qualificação de Vendas (SQL) (25%)"/>
    <s v=""/>
    <d v="2026-03-31T00:00:00"/>
    <m/>
    <m/>
    <n v="47"/>
    <s v="Paulo Souza"/>
    <d v="2026-03-23T00:00:00"/>
    <d v="1899-12-30T13:50:19"/>
    <s v=""/>
    <s v="Perdido"/>
    <d v="2026-05-09T00:00:00"/>
    <d v="1899-12-30T08:02:53"/>
    <s v="Sem qualificação — contato não atende ligações nem responde msg"/>
    <s v=""/>
    <s v=""/>
    <x v="0"/>
    <s v="Junior Lopes"/>
    <x v="0"/>
    <s v=""/>
    <d v="2026-03-27T00:00:00"/>
    <n v="30"/>
    <s v=""/>
    <s v=""/>
    <s v=""/>
    <s v=""/>
    <n v="1"/>
  </r>
  <r>
    <x v="1"/>
    <n v="1047"/>
    <m/>
    <n v="3417"/>
    <s v=""/>
    <s v=""/>
    <x v="539"/>
    <m/>
    <s v=""/>
    <s v="Preciza Imports"/>
    <s v="11947600755"/>
    <s v=""/>
    <s v="financeiro@precizaimports.com.br"/>
    <s v=""/>
    <s v=""/>
    <s v=""/>
    <s v=""/>
    <s v=""/>
    <s v=""/>
    <s v=""/>
    <s v=""/>
    <s v=""/>
    <s v="Pipeline de Vendas"/>
    <s v="Em Fechamento (100%)"/>
    <s v=""/>
    <m/>
    <n v="1652929"/>
    <n v="0"/>
    <n v="0"/>
    <s v="Junior Lopes"/>
    <d v="2026-03-24T00:00:00"/>
    <d v="1899-12-30T16:07:13"/>
    <s v=""/>
    <s v="Ganho"/>
    <d v="2026-03-24T00:00:00"/>
    <d v="1899-12-30T16:09:06"/>
    <s v=""/>
    <s v=""/>
    <s v=""/>
    <x v="84"/>
    <s v=""/>
    <x v="0"/>
    <s v=""/>
    <m/>
    <n v="90"/>
    <s v=""/>
    <s v=""/>
    <s v=""/>
    <s v=""/>
    <n v="1"/>
  </r>
  <r>
    <x v="1"/>
    <n v="1049"/>
    <m/>
    <n v="3420"/>
    <s v="(31/03/2026) Reciclanorte  tem algumas particularidades que fogem do nosso ERP"/>
    <s v=""/>
    <x v="540"/>
    <n v="33582253000170"/>
    <s v=""/>
    <s v="Mateus Ramos"/>
    <s v="(38) 9968-0779"/>
    <s v=""/>
    <s v="reciclanorte2@gmail.com"/>
    <s v=""/>
    <s v=""/>
    <s v=""/>
    <s v="PONTO CHIQUE"/>
    <s v="MG"/>
    <s v="Site"/>
    <s v=""/>
    <s v=""/>
    <s v="Contato;Fora Perfil"/>
    <s v="Pipeline de Vendas"/>
    <s v="Qualificação de Vendas (SQL) (25%)"/>
    <s v=""/>
    <d v="2026-03-31T00:00:00"/>
    <m/>
    <m/>
    <n v="7"/>
    <s v="Paulo Souza"/>
    <d v="2026-03-25T00:00:00"/>
    <d v="1899-12-30T16:31:34"/>
    <s v=""/>
    <s v="Perdido"/>
    <d v="2026-04-01T00:00:00"/>
    <d v="1899-12-30T10:29:40"/>
    <s v="Fora do porte mínimo (sem fit estrutural)"/>
    <s v="(31/03/2026) Reciclanorte  tem algumas particularidades que fogem do nosso ERP"/>
    <s v=""/>
    <x v="0"/>
    <s v="Junior Lopes"/>
    <x v="0"/>
    <s v=""/>
    <d v="2026-03-31T00:00:00"/>
    <n v="30"/>
    <s v=""/>
    <s v=""/>
    <s v=""/>
    <s v=""/>
    <n v="1"/>
  </r>
  <r>
    <x v="1"/>
    <n v="1050"/>
    <m/>
    <n v="3427"/>
    <s v="10:07, 14/04/2026 Luccas Globalmix: Bom dia meu amigo, tudo bem? _x000a_Desculpe não te responder. Estou com alguns problemas de família e estive meio ausente. _x000a_Analisamos sua proposta e infelizmente ficou muito acima do que estávamos planejando nesse momento. _x000a_Desculpe a minha ignorância, mas não consegui compreender o motivo de um custo tão alto para a implementação de um ERP já existente. O custo que você me passou é basicamente o de desenvolver um novo sistema próprio. _x000a_Infelizmente nessas condições é inviável para nós nesse momento. _x000a_Agradeço pelo seu atendimento nas últimas semanas, foi extremamente atencioso. Espero que compreenda. _x000a_Obrigado_x000a_10:15, 14/04/2026 Junior Lopes: Bom dia, Luccas, tudo bem?_x000a_Primeiro, espero que as coisas com sua família se resolvam da melhor forma possível. Fica tranquilo quanto ao retorno, eu entendo perfeitamente._x000a_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_x000a_O que está incluso nesse investimento é justamente o que vai fazer o sistema “virar realidade” dentro da Globalmix:_x000a_– entendimento dos processos de vocês;_x000a_– parametrização do ERP para a realidade da empresa;_x000a_– construção/ajuste dos relatórios que vocês precisam;_x000a_– validação e homologação do funcionamento antes de ir para produção;_x000a_– integração com a Lisa Log;_x000a_– e, principalmente, treinamento da equipe e acompanhamento na virada, para que todo mundo use da forma correta e o projeto traga resultado._x000a_Sem essa etapa de consultoria, o risco é ter um sistema bom, mas mal configurado ou pouco usado, o que acaba gerando retrabalho e perda de confiança na ferramenta – e é justamente isso que queremos evitar._x000a_Dito isso, eu entendo totalmente a questão de orçamento. Se fizer sentido para você, eu posso:_x000a_1) rever o escopo para enxugar etapas e tentar adequar o investimento ao momento da Globalmix; ou_x000a_2) pensar em uma implantação por fases, começando pelo essencial (comercial + força de vendas + básico de estoque) e deixando integrações e aprofundamentos para uma segunda etapa._x000a_Você se sentiria confortável em me dizer qual faixa de investimento vocês tinham planejado, para eu ver o que é possível ajustar com transparência?"/>
    <s v=""/>
    <x v="541"/>
    <m/>
    <s v=""/>
    <s v="GlobalMix - Cloud"/>
    <s v="11988736515"/>
    <s v=""/>
    <s v="contabilgrupocrx@gmail.com"/>
    <s v=""/>
    <s v=""/>
    <s v=""/>
    <s v=""/>
    <s v=""/>
    <s v=""/>
    <s v=""/>
    <s v=""/>
    <s v=""/>
    <s v="Pipeline de Vendas"/>
    <s v="Apresentar Solução (35%)"/>
    <s v=""/>
    <m/>
    <n v="1600"/>
    <n v="252471"/>
    <n v="20"/>
    <s v="Junior Lopes"/>
    <d v="2026-03-26T00:00:00"/>
    <d v="1899-12-30T15:55:09"/>
    <s v=""/>
    <s v="Perdido"/>
    <d v="2026-04-15T00:00:00"/>
    <d v="1899-12-30T09:40:31"/>
    <s v="Não houve aprovação financeira"/>
    <s v="10:07, 14/04/2026 Luccas Globalmix: Bom dia meu amigo, tudo bem? _x000a_Desculpe não te responder. Estou com alguns problemas de família e estive meio ausente. _x000a_Analisamos sua proposta e infelizmente ficou muito acima do que estávamos planejando nesse momento. _x000a_Desculpe a minha ignorância, mas não consegui compreender o motivo de um custo tão alto para a implementação de um ERP já existente. O custo que você me passou é basicamente o de desenvolver um novo sistema próprio. _x000a_Infelizmente nessas condições é inviável para nós nesse momento. _x000a_Agradeço pelo seu atendimento nas últimas semanas, foi extremamente atencioso. Espero que compreenda. _x000a_Obrigado_x000a_10:15, 14/04/2026 Junior Lopes: Bom dia, Luccas, tudo bem?_x000a_Primeiro, espero que as coisas com sua família se resolvam da melhor forma possível. Fica tranquilo quanto ao retorno, eu entendo perfeitamente._x000a_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_x000a_O que está incluso nesse investimento é justamente o que vai fazer o sistema “virar realidade” dentro da Globalmix:_x000a_– entendimento dos processos de vocês;_x000a_– parametrização do ERP para a realidade da empresa;_x000a_– construção/ajuste dos relatórios que vocês precisam;_x000a_– validação e homologação do funcionamento antes de ir para produção;_x000a_– integração com a Lisa Log;_x000a_– e, principalmente, treinamento da equipe e acompanhamento na virada, para que todo mundo use da forma correta e o projeto traga resultado._x000a_Sem essa etapa de consultoria, o risco é ter um sistema bom, mas mal configurado ou pouco usado, o que acaba gerando retrabalho e perda de confiança na ferramenta – e é justamente isso que queremos evitar._x000a_Dito isso, eu entendo totalmente a questão de orçamento. Se fizer sentido para você, eu posso:_x000a_1) rever o escopo para enxugar etapas e tentar adequar o investimento ao momento da Globalmix; ou_x000a_2) pensar em uma implantação por fases, começando pelo essencial (comercial + força de vendas + básico de estoque) e deixando integrações e aprofundamentos para uma segunda etapa._x000a_Você se sentiria confortável em me dizer qual faixa de investimento vocês tinham planejado, para eu ver o que é possível ajustar com transparência?"/>
    <s v=""/>
    <x v="194"/>
    <s v=""/>
    <x v="211"/>
    <s v=""/>
    <d v="2026-04-15T00:00:00"/>
    <n v="50"/>
    <s v=""/>
    <s v=""/>
    <s v=""/>
    <s v=""/>
    <n v="1"/>
  </r>
  <r>
    <x v="1"/>
    <n v="1051"/>
    <m/>
    <n v="3428"/>
    <s v="10:07, 14/04/2026 Luccas Globalmix: Bom dia meu amigo, tudo bem? _x000a_Desculpe não te responder. Estou com alguns problemas de família e estive meio ausente. _x000a_Analisamos sua proposta e infelizmente ficou muito acima do que estávamos planejando nesse momento. _x000a_Desculpe a minha ignorância, mas não consegui compreender o motivo de um custo tão alto para a implementação de um ERP já existente. O custo que você me passou é basicamente o de desenvolver um novo sistema próprio. _x000a_Infelizmente nessas condições é inviável para nós nesse momento. _x000a_Agradeço pelo seu atendimento nas últimas semanas, foi extremamente atencioso. Espero que compreenda. _x000a_Obrigado_x000a_10:15, 14/04/2026 Junior Lopes: Bom dia, Luccas, tudo bem?_x000a_Primeiro, espero que as coisas com sua família se resolvam da melhor forma possível. Fica tranquilo quanto ao retorno, eu entendo perfeitamente._x000a_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_x000a_O que está incluso nesse investimento é justamente o que vai fazer o sistema “virar realidade” dentro da Globalmix:_x000a_– entendimento dos processos de vocês;_x000a_– parametrização do ERP para a realidade da empresa;_x000a_– construção/ajuste dos relatórios que vocês precisam;_x000a_– validação e homologação do funcionamento antes de ir para produção;_x000a_– integração com a Lisa Log;_x000a_– e, principalmente, treinamento da equipe e acompanhamento na virada, para que todo mundo use da forma correta e o projeto traga resultado._x000a_Sem essa etapa de consultoria, o risco é ter um sistema bom, mas mal configurado ou pouco usado, o que acaba gerando retrabalho e perda de confiança na ferramenta – e é justamente isso que queremos evitar._x000a_Dito isso, eu entendo totalmente a questão de orçamento. Se fizer sentido para você, eu posso:_x000a_1) rever o escopo para enxugar etapas e tentar adequar o investimento ao momento da Globalmix; ou_x000a_2) pensar em uma implantação por fases, começando pelo essencial (comercial + força de vendas + básico de estoque) e deixando integrações e aprofundamentos para uma segunda etapa._x000a_Você se sentiria confortável em me dizer qual faixa de investimento vocês tinham planejado, para eu ver o que é possível ajustar com transparência?"/>
    <s v=""/>
    <x v="542"/>
    <m/>
    <s v=""/>
    <s v="GlobalMix - B2B"/>
    <s v="11988736515"/>
    <s v=""/>
    <s v="contabilgrupocrx@gmail.com"/>
    <s v=""/>
    <s v=""/>
    <s v=""/>
    <s v=""/>
    <s v=""/>
    <s v=""/>
    <s v=""/>
    <s v=""/>
    <s v=""/>
    <s v="Pipeline de Vendas"/>
    <s v="Apresentar Solução (35%)"/>
    <s v=""/>
    <m/>
    <n v="13100"/>
    <n v="1800"/>
    <n v="20"/>
    <s v="Junior Lopes"/>
    <d v="2026-03-26T00:00:00"/>
    <d v="1899-12-30T15:59:11"/>
    <s v=""/>
    <s v="Perdido"/>
    <d v="2026-04-15T00:00:00"/>
    <d v="1899-12-30T09:36:41"/>
    <s v="Não houve aprovação financeira"/>
    <s v="10:07, 14/04/2026 Luccas Globalmix: Bom dia meu amigo, tudo bem? _x000a_Desculpe não te responder. Estou com alguns problemas de família e estive meio ausente. _x000a_Analisamos sua proposta e infelizmente ficou muito acima do que estávamos planejando nesse momento. _x000a_Desculpe a minha ignorância, mas não consegui compreender o motivo de um custo tão alto para a implementação de um ERP já existente. O custo que você me passou é basicamente o de desenvolver um novo sistema próprio. _x000a_Infelizmente nessas condições é inviável para nós nesse momento. _x000a_Agradeço pelo seu atendimento nas últimas semanas, foi extremamente atencioso. Espero que compreenda. _x000a_Obrigado_x000a_10:15, 14/04/2026 Junior Lopes: Bom dia, Luccas, tudo bem?_x000a_Primeiro, espero que as coisas com sua família se resolvam da melhor forma possível. Fica tranquilo quanto ao retorno, eu entendo perfeitamente._x000a_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_x000a_O que está incluso nesse investimento é justamente o que vai fazer o sistema “virar realidade” dentro da Globalmix:_x000a_– entendimento dos processos de vocês;_x000a_– parametrização do ERP para a realidade da empresa;_x000a_– construção/ajuste dos relatórios que vocês precisam;_x000a_– validação e homologação do funcionamento antes de ir para produção;_x000a_– integração com a Lisa Log;_x000a_– e, principalmente, treinamento da equipe e acompanhamento na virada, para que todo mundo use da forma correta e o projeto traga resultado._x000a_Sem essa etapa de consultoria, o risco é ter um sistema bom, mas mal configurado ou pouco usado, o que acaba gerando retrabalho e perda de confiança na ferramenta – e é justamente isso que queremos evitar._x000a_Dito isso, eu entendo totalmente a questão de orçamento. Se fizer sentido para você, eu posso:_x000a_1) rever o escopo para enxugar etapas e tentar adequar o investimento ao momento da Globalmix; ou_x000a_2) pensar em uma implantação por fases, começando pelo essencial (comercial + força de vendas + básico de estoque) e deixando integrações e aprofundamentos para uma segunda etapa._x000a_Você se sentiria confortável em me dizer qual faixa de investimento vocês tinham planejado, para eu ver o que é possível ajustar com transparência?"/>
    <s v=""/>
    <x v="194"/>
    <s v=""/>
    <x v="221"/>
    <s v=""/>
    <d v="2026-04-15T00:00:00"/>
    <n v="50"/>
    <s v=""/>
    <s v=""/>
    <s v=""/>
    <s v=""/>
    <n v="1"/>
  </r>
  <r>
    <x v="2"/>
    <n v="1052"/>
    <m/>
    <n v="3423"/>
    <s v="31.03 caixa postal: Bom dia Murilo, como vai?_x000a_Meu nome é Rayssa, sou da Guarani Sistemas. _x000a_Estou tentando contato com você para entender como as soluções da Guarani Sistemas podem atender a JUNDCOAT_x000a_07.04 caixa postal"/>
    <s v=""/>
    <x v="543"/>
    <n v="48440778000148"/>
    <s v=""/>
    <s v="JUNDCOAT"/>
    <s v="11912958843"/>
    <s v=""/>
    <s v="murilo@jundcoat.com.br"/>
    <s v=""/>
    <s v=""/>
    <s v=""/>
    <s v=""/>
    <s v="Itupeva"/>
    <s v="Inbound"/>
    <s v=""/>
    <s v=""/>
    <s v="Dentro Perfil;Instagram"/>
    <s v="Pipeline de Vendas"/>
    <s v="Agendamento (0%)"/>
    <s v=""/>
    <d v="2026-03-31T00:00:00"/>
    <m/>
    <m/>
    <n v="44"/>
    <s v="Paulo Souza"/>
    <d v="2026-03-26T00:00:00"/>
    <d v="1899-12-30T16:53:38"/>
    <s v=""/>
    <s v="Perdido"/>
    <d v="2026-05-09T00:00:00"/>
    <d v="1899-12-30T08:37:27"/>
    <s v="Sem qualificação — contato não atende ligações nem responde msg"/>
    <s v=""/>
    <s v=""/>
    <x v="0"/>
    <s v="Rayssa Karapeticov"/>
    <x v="0"/>
    <s v=""/>
    <d v="2026-04-07T00:00:00"/>
    <n v="30"/>
    <s v=""/>
    <s v=""/>
    <s v=""/>
    <s v=""/>
    <n v="1"/>
  </r>
  <r>
    <x v="1"/>
    <n v="1053"/>
    <m/>
    <n v="3424"/>
    <s v="(26/03/2026) em contato com Joel"/>
    <s v=""/>
    <x v="544"/>
    <n v="4486490000139"/>
    <s v=""/>
    <s v="indukraft"/>
    <s v="47988227474"/>
    <s v=""/>
    <s v="joel@indukraft.com.br"/>
    <s v=""/>
    <s v=""/>
    <s v=""/>
    <s v=""/>
    <s v=""/>
    <s v="Campanha"/>
    <s v=""/>
    <s v=""/>
    <s v="Dentro Perfil;Instagram"/>
    <s v="Pipeline de Vendas"/>
    <s v="Qualificação de Vendas (SQL) (25%)"/>
    <s v=""/>
    <d v="2026-03-26T00:00:00"/>
    <m/>
    <m/>
    <n v="55"/>
    <s v="Paulo Souza"/>
    <d v="2026-03-26T00:00:00"/>
    <d v="1899-12-30T16:56:07"/>
    <s v=""/>
    <s v="Ativo"/>
    <m/>
    <m/>
    <s v=""/>
    <s v=""/>
    <s v=""/>
    <x v="0"/>
    <s v="Junior Lopes"/>
    <x v="0"/>
    <s v=""/>
    <m/>
    <n v="30"/>
    <s v=""/>
    <s v=""/>
    <s v=""/>
    <s v=""/>
    <n v="1"/>
  </r>
  <r>
    <x v="2"/>
    <n v="1054"/>
    <m/>
    <n v="3425"/>
    <s v="30.03 pediu uma apresentação e valores. _x000a_Falei que preciso conhecer a empresa dele e entender a razão de procurar um novo software para empresa_x000a_Estavamos avançando com a conversa_x000a_01.04 - Não atendeu _x000a_Boa tarde Milton, tudo bem?_x000a_Fez sentido para sua operação as informações que passei?_x000a_06.04 - não atende e não retorna contato"/>
    <s v=""/>
    <x v="545"/>
    <m/>
    <s v=""/>
    <s v="B&amp;G Comércio de Sinalização e Materiais de Construção"/>
    <s v="11984731999"/>
    <s v=""/>
    <s v="milton-bernardo@uol.com.br"/>
    <s v=""/>
    <s v=""/>
    <s v=""/>
    <s v=""/>
    <s v="Caieiras"/>
    <s v="Inbound"/>
    <s v=""/>
    <s v=""/>
    <s v="Fora Perfil;Instagram"/>
    <s v="Pipeline de Vendas"/>
    <s v="Agendamento (0%)"/>
    <s v=""/>
    <d v="2026-03-26T00:00:00"/>
    <m/>
    <m/>
    <n v="11"/>
    <s v="Paulo Souza"/>
    <d v="2026-03-26T00:00:00"/>
    <d v="1899-12-30T16:58:49"/>
    <s v=""/>
    <s v="Perdido"/>
    <d v="2026-04-06T00:00:00"/>
    <d v="1899-12-30T12:44:35"/>
    <s v="Fora do porte mínimo (sem fit estrutural)"/>
    <s v=""/>
    <s v=""/>
    <x v="0"/>
    <s v="Rayssa Karapeticov"/>
    <x v="0"/>
    <s v=""/>
    <d v="2026-04-01T00:00:00"/>
    <n v="30"/>
    <s v=""/>
    <s v=""/>
    <s v=""/>
    <s v=""/>
    <n v="1"/>
  </r>
  <r>
    <x v="2"/>
    <n v="1055"/>
    <m/>
    <n v="3429"/>
    <s v="30.03 - lojista de material de construção"/>
    <s v=""/>
    <x v="546"/>
    <m/>
    <s v=""/>
    <s v="Leondilmo mat const ltda"/>
    <s v="61999781085"/>
    <s v=""/>
    <s v="leondilmo@hotmail.com"/>
    <s v=""/>
    <s v=""/>
    <s v=""/>
    <s v=""/>
    <s v=""/>
    <s v="Campanha"/>
    <s v=""/>
    <s v=""/>
    <s v="Fora Perfil;Instagram"/>
    <s v="Pipeline de Vendas"/>
    <s v="Agendamento (0%)"/>
    <s v=""/>
    <d v="2026-03-31T00:00:00"/>
    <m/>
    <m/>
    <n v="3"/>
    <s v="Paulo Souza"/>
    <d v="2026-03-27T00:00:00"/>
    <d v="1899-12-30T10:18:25"/>
    <s v=""/>
    <s v="Perdido"/>
    <d v="2026-03-30T00:00:00"/>
    <d v="1899-12-30T17:43:09"/>
    <s v="Fora do porte mínimo (sem fit estrutural)"/>
    <s v=""/>
    <s v=""/>
    <x v="0"/>
    <s v="Rayssa Karapeticov"/>
    <x v="0"/>
    <s v=""/>
    <d v="2026-03-30T00:00:00"/>
    <n v="30"/>
    <s v=""/>
    <s v=""/>
    <s v=""/>
    <s v=""/>
    <n v="1"/>
  </r>
  <r>
    <x v="1"/>
    <n v="1059"/>
    <m/>
    <n v="3455"/>
    <s v="(30/03/2026) Alinhando visita presencial com Thiago"/>
    <s v=""/>
    <x v="547"/>
    <m/>
    <s v=""/>
    <s v="Banana Toys - Cloud"/>
    <s v="1532835196"/>
    <s v=""/>
    <s v="faturamento@bananatoys.com.br"/>
    <s v=""/>
    <s v=""/>
    <s v=""/>
    <s v=""/>
    <s v=""/>
    <s v=""/>
    <s v=""/>
    <s v=""/>
    <s v=""/>
    <s v="Pipeline de Vendas"/>
    <s v="Em negociação (75%)"/>
    <s v=""/>
    <m/>
    <n v="1600"/>
    <n v="384454"/>
    <n v="51"/>
    <s v="Junior Lopes"/>
    <d v="2026-03-30T00:00:00"/>
    <d v="1899-12-30T15:20:04"/>
    <s v=""/>
    <s v="Ativo"/>
    <m/>
    <m/>
    <s v=""/>
    <s v=""/>
    <s v=""/>
    <x v="197"/>
    <s v=""/>
    <x v="222"/>
    <s v=""/>
    <d v="2026-03-30T00:00:00"/>
    <n v="50"/>
    <s v=""/>
    <s v=""/>
    <s v=""/>
    <s v=""/>
    <n v="1"/>
  </r>
  <r>
    <x v="1"/>
    <n v="1060"/>
    <m/>
    <n v="3460"/>
    <s v=""/>
    <s v=""/>
    <x v="548"/>
    <m/>
    <s v=""/>
    <s v="Util Ud - PCP / WMS"/>
    <s v="19974080034"/>
    <s v=""/>
    <s v="null"/>
    <s v=""/>
    <s v=""/>
    <s v=""/>
    <s v=""/>
    <s v=""/>
    <s v=""/>
    <s v=""/>
    <s v=""/>
    <s v=""/>
    <s v="Pipeline de Vendas"/>
    <s v="Em negociação (75%)"/>
    <s v=""/>
    <m/>
    <n v="34236"/>
    <n v="42768"/>
    <n v="51"/>
    <s v="Junior Lopes"/>
    <d v="2026-03-30T00:00:00"/>
    <d v="1899-12-30T16:14:02"/>
    <s v=""/>
    <s v="Ativo"/>
    <m/>
    <m/>
    <s v=""/>
    <s v=""/>
    <s v=""/>
    <x v="201"/>
    <s v=""/>
    <x v="223"/>
    <s v=""/>
    <m/>
    <n v="50"/>
    <s v=""/>
    <s v=""/>
    <s v=""/>
    <s v=""/>
    <n v="1"/>
  </r>
  <r>
    <x v="1"/>
    <n v="1061"/>
    <m/>
    <n v="3466"/>
    <s v="(24/04/2026) orçamento não aprovado"/>
    <s v=""/>
    <x v="549"/>
    <m/>
    <s v=""/>
    <s v="Weck - Horas"/>
    <s v="11947895866"/>
    <s v=""/>
    <s v="null"/>
    <s v=""/>
    <s v=""/>
    <s v=""/>
    <s v=""/>
    <s v=""/>
    <s v=""/>
    <s v=""/>
    <s v=""/>
    <s v=""/>
    <s v="Pipeline de Vendas"/>
    <s v="Apresentar Proposta (50%)"/>
    <s v=""/>
    <m/>
    <n v="13568"/>
    <n v="0"/>
    <n v="25"/>
    <s v="Junior Lopes"/>
    <d v="2026-03-30T00:00:00"/>
    <d v="1899-12-30T16:39:07"/>
    <s v=""/>
    <s v="Perdido"/>
    <d v="2026-04-24T00:00:00"/>
    <d v="1899-12-30T10:11:23"/>
    <s v="Não houve aprovação financeira"/>
    <s v="(24/04/2026) orçamento não aprovado"/>
    <s v=""/>
    <x v="202"/>
    <s v=""/>
    <x v="224"/>
    <s v=""/>
    <d v="2026-04-24T00:00:00"/>
    <n v="30"/>
    <s v=""/>
    <s v=""/>
    <s v=""/>
    <s v=""/>
    <n v="1"/>
  </r>
  <r>
    <x v="1"/>
    <n v="1062"/>
    <m/>
    <n v="3093"/>
    <s v=""/>
    <s v=""/>
    <x v="550"/>
    <n v="53629067000156"/>
    <s v=""/>
    <s v="Claudio Teixeira"/>
    <s v="(43) 99669-3593"/>
    <s v=""/>
    <s v="claudioteixeirasap@hotmail.com"/>
    <s v=""/>
    <s v=""/>
    <s v=""/>
    <s v="CONSELHEIRO MAIRINCK"/>
    <s v="PR"/>
    <s v="Site"/>
    <s v=""/>
    <s v=""/>
    <s v="Solicita demo"/>
    <s v="Pipeline de Vendas"/>
    <s v="Apresentar Proposta (50%)"/>
    <s v=""/>
    <m/>
    <n v="68743"/>
    <n v="143186"/>
    <n v="0"/>
    <s v="Junior Lopes"/>
    <d v="2026-03-30T00:00:00"/>
    <d v="1899-12-30T17:23:13"/>
    <s v=""/>
    <s v="Perdido"/>
    <d v="2026-03-30T00:00:00"/>
    <d v="1899-12-30T17:46:58"/>
    <s v="Não houve aprovação financeira"/>
    <s v="Claudio achou o valor muito acima para investimento"/>
    <s v=""/>
    <x v="160"/>
    <s v=""/>
    <x v="173"/>
    <s v=""/>
    <m/>
    <n v="30"/>
    <s v=""/>
    <s v=""/>
    <s v=""/>
    <s v=""/>
    <n v="1"/>
  </r>
  <r>
    <x v="1"/>
    <n v="1063"/>
    <m/>
    <n v="3467"/>
    <s v=""/>
    <s v=""/>
    <x v="551"/>
    <m/>
    <s v=""/>
    <s v="Casabella Claudio Teixeira - Cloud"/>
    <s v="43996693593"/>
    <s v=""/>
    <s v="null"/>
    <s v=""/>
    <s v=""/>
    <s v=""/>
    <s v=""/>
    <s v=""/>
    <s v=""/>
    <s v=""/>
    <s v=""/>
    <s v=""/>
    <s v="Pipeline de Vendas"/>
    <s v="Apresentar Proposta (50%)"/>
    <s v=""/>
    <m/>
    <n v="1600"/>
    <n v="252471"/>
    <n v="0"/>
    <s v="Junior Lopes"/>
    <d v="2026-03-30T00:00:00"/>
    <d v="1899-12-30T17:41:36"/>
    <s v=""/>
    <s v="Perdido"/>
    <d v="2026-03-30T00:00:00"/>
    <d v="1899-12-30T17:47:37"/>
    <s v="Não houve aprovação financeira"/>
    <s v="Claudio achou o valor muito acima para investimento"/>
    <s v=""/>
    <x v="203"/>
    <s v=""/>
    <x v="173"/>
    <s v="27/03/2026 00:00"/>
    <m/>
    <n v="30"/>
    <s v=""/>
    <s v=""/>
    <s v=""/>
    <s v=""/>
    <n v="1"/>
  </r>
  <r>
    <x v="2"/>
    <n v="1064"/>
    <m/>
    <n v="3446"/>
    <s v="31.03 - Caixa Postal - Bom dia Anderson, como vai?_x000a_Meu nome é Rayssa, sou da Guarani Sistemas. _x000a_Estou tentando contato com você para entender como as soluções da Guarani Sistemas podem atender a Distribuidora Anderson Corrado_x000a_01.04 - caixa postal_x000a_07.04 encerrando por falta de retorno"/>
    <s v=""/>
    <x v="552"/>
    <m/>
    <s v=""/>
    <s v="Anderson Corrado"/>
    <s v="31971564261"/>
    <s v=""/>
    <s v="andersoncorrado@gmail.com"/>
    <s v=""/>
    <s v=""/>
    <s v=""/>
    <s v=""/>
    <s v=""/>
    <s v="Campanha"/>
    <s v=""/>
    <s v=""/>
    <s v="Fora Perfil;Instagram"/>
    <s v="Pipeline de Vendas"/>
    <s v="Agendamento (0%)"/>
    <s v=""/>
    <d v="2026-04-30T00:00:00"/>
    <m/>
    <m/>
    <n v="7"/>
    <s v="Paulo Souza"/>
    <d v="2026-03-31T00:00:00"/>
    <d v="1899-12-30T10:18:31"/>
    <s v=""/>
    <s v="Perdido"/>
    <d v="2026-04-07T00:00:00"/>
    <d v="1899-12-30T09:12:54"/>
    <s v="Fora do porte mínimo (sem fit estrutural)"/>
    <s v=""/>
    <s v=""/>
    <x v="0"/>
    <s v="Rayssa Karapeticov"/>
    <x v="0"/>
    <s v=""/>
    <d v="2026-04-01T00:00:00"/>
    <n v="30"/>
    <s v=""/>
    <s v=""/>
    <s v=""/>
    <s v=""/>
    <n v="1"/>
  </r>
  <r>
    <x v="1"/>
    <n v="1065"/>
    <m/>
    <n v="3447"/>
    <s v="(31/03/2026) cliente de loja porte pequeno , fora do perfil"/>
    <s v=""/>
    <x v="553"/>
    <m/>
    <s v=""/>
    <s v="nat art papelaria"/>
    <s v="15991197046"/>
    <s v=""/>
    <s v="cricanicolete@gmail.com"/>
    <s v=""/>
    <s v=""/>
    <s v=""/>
    <s v=""/>
    <s v="Sorocaba"/>
    <s v="Inbound"/>
    <s v=""/>
    <s v=""/>
    <s v="Fora Perfil;Instagram"/>
    <s v="Pipeline de Vendas"/>
    <s v="Agendamento (0%)"/>
    <s v=""/>
    <d v="2026-03-31T00:00:00"/>
    <m/>
    <m/>
    <n v="0"/>
    <s v="Paulo Souza"/>
    <d v="2026-03-31T00:00:00"/>
    <d v="1899-12-30T10:23:46"/>
    <s v=""/>
    <s v="Perdido"/>
    <d v="2026-03-31T00:00:00"/>
    <d v="1899-12-30T14:56:07"/>
    <s v="Fora do porte mínimo (sem fit estrutural)"/>
    <s v="(31/03/2026) cliente de loja porte pequeno , fora do perfil"/>
    <s v=""/>
    <x v="0"/>
    <s v="Junior Lopes"/>
    <x v="0"/>
    <s v=""/>
    <m/>
    <n v="30"/>
    <s v=""/>
    <s v=""/>
    <s v=""/>
    <s v=""/>
    <n v="1"/>
  </r>
  <r>
    <x v="1"/>
    <n v="1066"/>
    <m/>
    <n v="3448"/>
    <s v="(31/03/2026) em contato com Fernando _x000a_(06/04/2026) declinando por falta de retorno"/>
    <s v=""/>
    <x v="554"/>
    <n v="4827674000115"/>
    <s v=""/>
    <s v="Forte e Limpo"/>
    <s v="(73) 3027-3546"/>
    <s v=""/>
    <s v="forteelimpo@gmail.com"/>
    <s v=""/>
    <s v=""/>
    <s v=""/>
    <s v="ITABUNA"/>
    <s v="BA"/>
    <s v="Campanha"/>
    <s v=""/>
    <s v=""/>
    <s v="Dentro Perfil;Instagram"/>
    <s v="Pipeline de Vendas"/>
    <s v="Qualificação de Vendas (SQL) (25%)"/>
    <s v=""/>
    <m/>
    <m/>
    <m/>
    <n v="39"/>
    <s v="Paulo Souza"/>
    <d v="2026-03-31T00:00:00"/>
    <d v="1899-12-30T10:32:04"/>
    <s v=""/>
    <s v="Perdido"/>
    <d v="2026-05-09T00:00:00"/>
    <d v="1899-12-30T08:03:53"/>
    <s v="Sem qualificação — contato não atende ligações nem responde msg"/>
    <s v=""/>
    <s v=""/>
    <x v="0"/>
    <s v="Junior Lopes"/>
    <x v="0"/>
    <s v=""/>
    <d v="2026-04-06T00:00:00"/>
    <n v="30"/>
    <s v=""/>
    <s v=""/>
    <s v=""/>
    <s v=""/>
    <n v="1"/>
  </r>
  <r>
    <x v="2"/>
    <n v="1067"/>
    <m/>
    <n v="3468"/>
    <s v="31.03 é uma corretora e agentes de seguros, de planos de previdência complementar e de saúde."/>
    <s v=""/>
    <x v="555"/>
    <n v="50649054000150"/>
    <s v=""/>
    <s v="Finance coop LTDA"/>
    <s v="(21) 9310-5614"/>
    <s v=""/>
    <s v="financecorporacao@gmail.com"/>
    <s v=""/>
    <s v=""/>
    <s v=""/>
    <s v="RIO DE JANEIRO"/>
    <s v="RJ"/>
    <s v="Inbound"/>
    <s v=""/>
    <s v=""/>
    <s v="Fora Perfil;Instagram"/>
    <s v="Pipeline de Vendas"/>
    <s v="Agendamento (0%)"/>
    <s v=""/>
    <m/>
    <m/>
    <m/>
    <n v="0"/>
    <s v="Paulo Souza"/>
    <d v="2026-03-31T00:00:00"/>
    <d v="1899-12-30T10:35:35"/>
    <s v=""/>
    <s v="Perdido"/>
    <d v="2026-03-31T00:00:00"/>
    <d v="1899-12-30T15:20:34"/>
    <s v="Fora do porte mínimo (sem fit estrutural)"/>
    <s v=""/>
    <s v=""/>
    <x v="0"/>
    <s v="Rayssa Karapeticov"/>
    <x v="0"/>
    <s v=""/>
    <m/>
    <n v="30"/>
    <s v=""/>
    <s v=""/>
    <s v=""/>
    <s v=""/>
    <n v="1"/>
  </r>
  <r>
    <x v="1"/>
    <n v="1068"/>
    <m/>
    <n v="3471"/>
    <s v="(20/04/2026) em contato com Edson , informou que Baag vai manter servidor local devido ao alto investimento"/>
    <s v=""/>
    <x v="556"/>
    <m/>
    <s v=""/>
    <s v="Baag - Cloud"/>
    <s v="(75) 3021-7768"/>
    <s v=""/>
    <s v="null"/>
    <s v=""/>
    <s v=""/>
    <s v=""/>
    <s v=""/>
    <s v=""/>
    <s v=""/>
    <s v=""/>
    <s v=""/>
    <s v=""/>
    <s v="Pipeline de Vendas"/>
    <s v="Apresentar Proposta (50%)"/>
    <s v=""/>
    <m/>
    <n v="1600"/>
    <n v="384454"/>
    <n v="20"/>
    <s v="Junior Lopes"/>
    <d v="2026-03-31T00:00:00"/>
    <d v="1899-12-30T15:16:59"/>
    <s v=""/>
    <s v="Perdido"/>
    <d v="2026-04-20T00:00:00"/>
    <d v="1899-12-30T11:51:43"/>
    <s v="Não houve aprovação financeira"/>
    <s v="(20/04/2026) em contato com Edson , informou que Baag vai manter servidor local devido ao alto investimento"/>
    <s v=""/>
    <x v="194"/>
    <s v=""/>
    <x v="218"/>
    <s v=""/>
    <d v="2026-04-20T00:00:00"/>
    <n v="50"/>
    <s v=""/>
    <s v=""/>
    <s v=""/>
    <s v=""/>
    <n v="1"/>
  </r>
  <r>
    <x v="1"/>
    <n v="1069"/>
    <m/>
    <n v="3472"/>
    <s v=""/>
    <s v=""/>
    <x v="557"/>
    <m/>
    <s v=""/>
    <s v="Baag - Televendas"/>
    <s v="7530217768"/>
    <s v=""/>
    <s v="null"/>
    <s v=""/>
    <s v=""/>
    <s v=""/>
    <s v=""/>
    <s v=""/>
    <s v=""/>
    <s v=""/>
    <s v=""/>
    <s v=""/>
    <s v="Pipeline de Vendas"/>
    <s v="Apresentar Proposta (50%)"/>
    <s v=""/>
    <m/>
    <n v="8480"/>
    <n v="3564"/>
    <n v="24"/>
    <s v="Junior Lopes"/>
    <d v="2026-03-31T00:00:00"/>
    <d v="1899-12-30T15:37:28"/>
    <s v=""/>
    <s v="Perdido"/>
    <d v="2026-04-24T00:00:00"/>
    <d v="1899-12-30T10:06:18"/>
    <s v="Não houve aprovação financeira"/>
    <s v="24/04/2026) Edson falou com diretoria e achou valor alto para o momento"/>
    <s v=""/>
    <x v="204"/>
    <s v=""/>
    <x v="225"/>
    <s v=""/>
    <m/>
    <n v="30"/>
    <s v=""/>
    <s v=""/>
    <s v=""/>
    <s v=""/>
    <n v="1"/>
  </r>
  <r>
    <x v="1"/>
    <n v="1072"/>
    <m/>
    <n v="3474"/>
    <s v="(01/04/2026) Badux é uma auto elétrica que que faz manutenção e venda de peças no balcão (lojista)"/>
    <s v=""/>
    <x v="558"/>
    <n v="27728774000190"/>
    <s v=""/>
    <s v="Badux auto eletrica"/>
    <s v="(95) 9142-2588"/>
    <s v=""/>
    <s v="fabianoggsilva@hotmail.com"/>
    <s v=""/>
    <s v=""/>
    <s v=""/>
    <s v="BOA VISTA"/>
    <s v="RR"/>
    <s v="Inbound"/>
    <s v=""/>
    <s v=""/>
    <s v="Fora Perfil;Instagram"/>
    <s v="Pipeline de Vendas"/>
    <s v="Agendamento (0%)"/>
    <s v=""/>
    <m/>
    <m/>
    <m/>
    <n v="0"/>
    <s v="Paulo Souza"/>
    <d v="2026-04-01T00:00:00"/>
    <d v="1899-12-30T11:45:05"/>
    <s v=""/>
    <s v="Perdido"/>
    <d v="2026-04-01T00:00:00"/>
    <d v="1899-12-30T15:25:26"/>
    <s v="Fora do porte mínimo (sem fit estrutural)"/>
    <s v="(01/04/2026) Badux é uma auto elétrica que que faz manutenção e venda de peças no balcão (lojista)"/>
    <s v=""/>
    <x v="0"/>
    <s v="Junior Lopes"/>
    <x v="0"/>
    <s v=""/>
    <m/>
    <n v="30"/>
    <s v=""/>
    <s v=""/>
    <s v=""/>
    <s v=""/>
    <n v="1"/>
  </r>
  <r>
    <x v="1"/>
    <n v="1073"/>
    <m/>
    <n v="3479"/>
    <s v="(07/04/2026) tentativas de contato sem sucesso , em analise sobre verifiquei que é um empresa de lavanderia ! fora do perfil"/>
    <s v=""/>
    <x v="559"/>
    <n v="667476000261"/>
    <s v=""/>
    <s v="Ciape Distribuidora De Peças"/>
    <s v="44988361402"/>
    <s v=""/>
    <s v="rodrigo@lavinorte.com.br"/>
    <s v=""/>
    <s v=""/>
    <s v=""/>
    <s v=""/>
    <s v=""/>
    <s v="Campanha"/>
    <s v=""/>
    <s v=""/>
    <s v="Fora Perfil;Instagram"/>
    <s v="Pipeline de Vendas"/>
    <s v="Qualificação de Vendas (SQL) (25%)"/>
    <s v=""/>
    <m/>
    <m/>
    <m/>
    <n v="1"/>
    <s v="Paulo Souza"/>
    <d v="2026-04-06T00:00:00"/>
    <d v="1899-12-30T11:20:09"/>
    <s v=""/>
    <s v="Perdido"/>
    <d v="2026-04-07T00:00:00"/>
    <d v="1899-12-30T16:31:35"/>
    <s v="Fora do porte mínimo (sem fit estrutural)"/>
    <s v="(07/04/2026) tentativas de contato sem sucesso , em analise sobre verifiquei que é um empresa de lavanderia ! fora do perfil"/>
    <s v=""/>
    <x v="0"/>
    <s v="Junior Lopes"/>
    <x v="0"/>
    <s v=""/>
    <d v="2026-04-07T00:00:00"/>
    <n v="30"/>
    <s v=""/>
    <s v=""/>
    <s v=""/>
    <s v=""/>
    <n v="1"/>
  </r>
  <r>
    <x v="2"/>
    <n v="1074"/>
    <m/>
    <n v="3478"/>
    <s v="06.04 Liguei, pediu para chamar no whatsapp_x000a_Boa tarde Leandro, tudo bem?_x000a_Meu nome é Rayssa, sou da Guarani Sistemas. _x000a_Acabei de te liga rpara entender sua necessidade quanton as soluções da Guarani Sistemas. _x000a_Como posso te ajudar?"/>
    <s v=""/>
    <x v="560"/>
    <n v="34777766000107"/>
    <s v=""/>
    <s v="Tecalhas"/>
    <s v="(32) 3551-6365"/>
    <s v=""/>
    <s v="contato@realcontabilidadevrb.com.br"/>
    <s v=""/>
    <s v=""/>
    <s v=""/>
    <s v="VISCONDE DO RIO BRANCO"/>
    <s v="MG"/>
    <s v="Campanha"/>
    <s v=""/>
    <s v=""/>
    <s v="Fora Perfil;Instagram"/>
    <s v="Pipeline de Vendas"/>
    <s v="Agendamento (0%)"/>
    <s v=""/>
    <m/>
    <m/>
    <m/>
    <n v="33"/>
    <s v="Paulo Souza"/>
    <d v="2026-04-06T00:00:00"/>
    <d v="1899-12-30T11:21:52"/>
    <s v=""/>
    <s v="Perdido"/>
    <d v="2026-05-09T00:00:00"/>
    <d v="1899-12-30T08:38:25"/>
    <s v="Sem qualificação — contato não atende ligações nem responde msg"/>
    <s v=""/>
    <s v=""/>
    <x v="0"/>
    <s v="Rayssa Karapeticov"/>
    <x v="0"/>
    <s v=""/>
    <d v="2026-04-07T00:00:00"/>
    <n v="27"/>
    <s v=""/>
    <s v=""/>
    <s v=""/>
    <s v=""/>
    <n v="1"/>
  </r>
  <r>
    <x v="1"/>
    <n v="1075"/>
    <m/>
    <n v="3480"/>
    <s v="(06/04/2026) em contato com Thamires _x000a_(06/04/2026) Thamires não responde a ligação e e mensagens ! estou descartando o lead , falta muita informação como a razão social do cliente, endereço , CNPJ ! impossível fazer  uma pesquisa sobre o cliente"/>
    <s v=""/>
    <x v="561"/>
    <m/>
    <s v=""/>
    <s v="Eletro+"/>
    <s v="22997047181"/>
    <s v=""/>
    <s v="thamirestelleseriscado@hotmail.com"/>
    <s v=""/>
    <s v=""/>
    <s v=""/>
    <s v=""/>
    <s v=""/>
    <s v="Campanha"/>
    <s v=""/>
    <s v=""/>
    <s v="Fora Perfil;Instagram"/>
    <s v="Pipeline de Vendas"/>
    <s v="Agendamento (0%)"/>
    <s v=""/>
    <m/>
    <m/>
    <m/>
    <n v="0"/>
    <s v="Paulo Souza"/>
    <d v="2026-04-06T00:00:00"/>
    <d v="1899-12-30T11:23:42"/>
    <s v=""/>
    <s v="Perdido"/>
    <d v="2026-04-06T00:00:00"/>
    <d v="1899-12-30T17:17:27"/>
    <s v="Fora do porte mínimo (sem fit estrutural)"/>
    <s v="(06/04/2026) Thamires não responde a ligação e e mensagens ! estou descartando o lead , falta muita informação como a razão social do cliente, endereço , CNPJ ! impossível fazer  uma pesquisa sobre o cliente"/>
    <s v=""/>
    <x v="0"/>
    <s v="Junior Lopes"/>
    <x v="0"/>
    <s v=""/>
    <m/>
    <n v="30"/>
    <s v=""/>
    <s v=""/>
    <s v=""/>
    <s v=""/>
    <n v="1"/>
  </r>
  <r>
    <x v="2"/>
    <n v="1076"/>
    <m/>
    <n v="3482"/>
    <s v="06.04 - telefone errado"/>
    <s v=""/>
    <x v="562"/>
    <m/>
    <s v=""/>
    <s v="pra mim mesmo"/>
    <s v="4694441158"/>
    <s v=""/>
    <s v="t.marcio@hotmail.com"/>
    <s v=""/>
    <s v=""/>
    <s v=""/>
    <s v=""/>
    <s v=""/>
    <s v="Campanha"/>
    <s v=""/>
    <s v=""/>
    <s v="Fora Perfil;Instagram"/>
    <s v="Pipeline de Vendas"/>
    <s v="Agendamento (0%)"/>
    <s v=""/>
    <m/>
    <m/>
    <m/>
    <n v="1"/>
    <s v="Paulo Souza"/>
    <d v="2026-04-06T00:00:00"/>
    <d v="1899-12-30T11:25:26"/>
    <s v=""/>
    <s v="Perdido"/>
    <d v="2026-04-07T00:00:00"/>
    <d v="1899-12-30T09:07:58"/>
    <s v="Fora do porte mínimo (sem fit estrutural)"/>
    <s v=""/>
    <s v=""/>
    <x v="0"/>
    <s v="Rayssa Karapeticov"/>
    <x v="0"/>
    <s v=""/>
    <m/>
    <n v="30"/>
    <s v=""/>
    <s v=""/>
    <s v=""/>
    <s v=""/>
    <n v="1"/>
  </r>
  <r>
    <x v="1"/>
    <n v="1077"/>
    <m/>
    <n v="3483"/>
    <s v="(06/04/2026) Coelhos identificado como fora do perfil , executa trabalhos de automação de portaria e vendas de computadores para cliente pessoa física"/>
    <s v=""/>
    <x v="563"/>
    <n v="2861273000156"/>
    <s v=""/>
    <s v="Coelhos Automação"/>
    <s v="5330256162"/>
    <s v=""/>
    <s v="vilmar@coelhosautomacao.com.br"/>
    <s v=""/>
    <s v=""/>
    <s v=""/>
    <s v=""/>
    <s v=""/>
    <s v="Campanha"/>
    <s v=""/>
    <s v=""/>
    <s v="Fora Perfil;Instagram"/>
    <s v="Pipeline de Vendas"/>
    <s v="Agendamento (0%)"/>
    <s v=""/>
    <m/>
    <m/>
    <m/>
    <n v="0"/>
    <s v="Paulo Souza"/>
    <d v="2026-04-06T00:00:00"/>
    <d v="1899-12-30T11:27:43"/>
    <s v=""/>
    <s v="Perdido"/>
    <d v="2026-04-06T00:00:00"/>
    <d v="1899-12-30T16:59:44"/>
    <s v="Fora do porte mínimo (sem fit estrutural)"/>
    <s v="(06/04/2026) Coelhos identificado como fora do perfil , executa trabalhos de automação de portaria e vendas de computadores para cliente pessoa física"/>
    <s v=""/>
    <x v="0"/>
    <s v="Junior Lopes"/>
    <x v="0"/>
    <s v=""/>
    <m/>
    <n v="28"/>
    <s v=""/>
    <s v=""/>
    <s v=""/>
    <s v=""/>
    <n v="1"/>
  </r>
  <r>
    <x v="1"/>
    <n v="1078"/>
    <m/>
    <n v="3497"/>
    <s v="24/04/2026) Edson falou com diretoria e achou valor alto para o momento"/>
    <s v=""/>
    <x v="564"/>
    <m/>
    <s v=""/>
    <s v="Baag - BI"/>
    <s v="7530217768"/>
    <s v=""/>
    <s v="helpdesk@bahiagrafica.com.br"/>
    <s v=""/>
    <s v=""/>
    <s v=""/>
    <s v=""/>
    <s v=""/>
    <s v=""/>
    <s v=""/>
    <s v=""/>
    <s v=""/>
    <s v="Pipeline de Vendas"/>
    <s v="Apresentar Proposta (50%)"/>
    <s v=""/>
    <m/>
    <n v="8100"/>
    <n v="1080"/>
    <n v="16"/>
    <s v="Junior Lopes"/>
    <d v="2026-04-08T00:00:00"/>
    <d v="1899-12-30T16:50:57"/>
    <s v=""/>
    <s v="Perdido"/>
    <d v="2026-04-24T00:00:00"/>
    <d v="1899-12-30T09:54:24"/>
    <s v="Não houve aprovação financeira"/>
    <s v="24/04/2026) Edson falou com diretoria e achou valor alto para o momento"/>
    <s v=""/>
    <x v="205"/>
    <s v=""/>
    <x v="226"/>
    <s v=""/>
    <d v="2026-04-24T00:00:00"/>
    <n v="50"/>
    <s v=""/>
    <s v=""/>
    <s v=""/>
    <s v=""/>
    <n v="1"/>
  </r>
  <r>
    <x v="1"/>
    <n v="1079"/>
    <m/>
    <n v="3501"/>
    <s v="(09/04/2026) Prospecção , buscando contato para conexão e apresentação das soluções ERP e Força de vendas"/>
    <s v=""/>
    <x v="565"/>
    <n v="48260432000168"/>
    <s v=""/>
    <s v="EDUARDO MARINO COELHO"/>
    <s v=""/>
    <s v=""/>
    <s v=""/>
    <s v=""/>
    <s v=""/>
    <s v=""/>
    <s v=""/>
    <s v=""/>
    <s v="Base de empresas Leads2b"/>
    <s v=""/>
    <s v=""/>
    <s v=""/>
    <s v="Pipeline de Vendas"/>
    <s v="Qualificação de Vendas (SQL) (25%)"/>
    <s v=""/>
    <m/>
    <m/>
    <m/>
    <n v="41"/>
    <s v="Junior Lopes"/>
    <d v="2026-04-09T00:00:00"/>
    <d v="1899-12-30T09:22:10"/>
    <s v=""/>
    <s v="Ativo"/>
    <m/>
    <m/>
    <s v=""/>
    <s v=""/>
    <s v=""/>
    <x v="0"/>
    <s v=""/>
    <x v="0"/>
    <s v=""/>
    <d v="2026-05-06T00:00:00"/>
    <n v="30"/>
    <s v=""/>
    <s v=""/>
    <s v=""/>
    <s v=""/>
    <n v="1"/>
  </r>
  <r>
    <x v="1"/>
    <n v="1080"/>
    <m/>
    <n v="3502"/>
    <s v="(09/04/2026) Em contato com Jaison (TI) _x000a_09:49, 09/04/2026 Junior Lopes: Olá Jaison ! Bom dia meu amigo ! _x000a_Junior da Guarani sistemas por aqui_x000a_09:49, 09/04/2026 Junior Lopes: Há um tempo fizemos uma apresentação da solução de força de vendas para a Unitermi e fiquei curioso para saber como vocês estão hoje com esse tipo de solução._x000a_Estão utilizando alguma ferramenta atualmente?_x000a_Vejo que ainda podemos ajudar bastante na organização dos pedidos, acompanhamento da equipe de vendas em campo e melhoria dos resultados. Se fizer sentido, posso agendar uma conversa rápida para entendermos o momento de vocês e mostrar como podemos apoiar._x000a_Contato com Danieli (Comercial)_x000a_09:51, 09/04/2026 Junior Lopes: Olá Danieli , bom dia _x000a_Junior da Guarani sistemas por aqui ! Td bem ?_x000a_09:52, 09/04/2026 Junior Lopes: Alguns meses atrás apresentei nossa solução de força de vendas para a Unitermi e fiquei pensando em como está hoje o processo comercial de vocês: pedidos, roteiros, acompanhamento da equipe externa etc._x000a_Vocês já estão com alguma solução implantada ou ainda avaliam opções?_x000a_10:12, 09/04/2026 Unitermi Danieli: Jaison Unitermi TI_x000a_10:12, 09/04/2026 Unitermi Danieli: Bom dia_x000a_10:12, 09/04/2026 Unitermi Danieli: Favor contatar o responsável da Ti_x000a_10:12, 09/04/2026 Unitermi Danieli: Obrigada"/>
    <s v=""/>
    <x v="566"/>
    <n v="19398581000190"/>
    <s v=""/>
    <s v="Unitermi indústria"/>
    <s v="48988044437"/>
    <s v=""/>
    <s v="sup.comercial@unitermi.com.br"/>
    <s v=""/>
    <s v=""/>
    <s v=""/>
    <s v="PAULO LOPES"/>
    <s v="SC"/>
    <s v=""/>
    <s v=""/>
    <s v=""/>
    <s v=""/>
    <s v="Pipeline de Vendas"/>
    <s v="Qualificação de Vendas (SQL) (25%)"/>
    <s v=""/>
    <m/>
    <m/>
    <m/>
    <n v="41"/>
    <s v="Junior Lopes"/>
    <d v="2026-04-09T00:00:00"/>
    <d v="1899-12-30T10:11:00"/>
    <s v=""/>
    <s v="Ativo"/>
    <m/>
    <m/>
    <s v=""/>
    <s v=""/>
    <s v=""/>
    <x v="0"/>
    <s v=""/>
    <x v="0"/>
    <s v=""/>
    <d v="2026-05-06T00:00:00"/>
    <n v="30"/>
    <s v=""/>
    <s v=""/>
    <s v=""/>
    <s v=""/>
    <n v="1"/>
  </r>
  <r>
    <x v="1"/>
    <n v="1081"/>
    <m/>
    <n v="3504"/>
    <s v="(09/04/2026) em contato com Daniel _x000a_10:38, 09/04/2026 Junior Lopes: Olá Daniel ! Bom dia , Júnior Lopes da Guarani sistemas por aqui_x000a_10:38, 09/04/2026 Junior Lopes: Algum tempo atrás apresentei nossa solução de força de vendas para Martiplast e fiquei pensando em como está o processo comercial de vocês ?_x000a_10:38, 09/04/2026 Junior Lopes: Que tal rever nossas soluções?"/>
    <s v="Martiplast Industria E Comercio De Plasticos Ltda"/>
    <x v="567"/>
    <n v="73445454000654"/>
    <s v=""/>
    <s v="Martiplast Industria E Comercio De Plasticos Ltda"/>
    <s v="(54) 2101-9090"/>
    <s v=""/>
    <s v="diego.borges@martiplast.com.br"/>
    <s v=""/>
    <s v=""/>
    <s v=""/>
    <s v="SAO PAULO"/>
    <s v="SP"/>
    <s v="Base de empresas Leads2b"/>
    <s v=""/>
    <s v=""/>
    <s v=""/>
    <s v="Pipeline de Vendas"/>
    <s v="Qualificação de Vendas (SQL) (25%)"/>
    <s v=""/>
    <m/>
    <m/>
    <m/>
    <n v="41"/>
    <s v="Junior Lopes"/>
    <d v="2026-04-09T00:00:00"/>
    <d v="1899-12-30T10:44:36"/>
    <s v=""/>
    <s v="Ativo"/>
    <m/>
    <m/>
    <s v=""/>
    <s v=""/>
    <s v=""/>
    <x v="0"/>
    <s v=""/>
    <x v="0"/>
    <s v=""/>
    <d v="2026-05-06T00:00:00"/>
    <n v="30"/>
    <s v=""/>
    <s v=""/>
    <s v=""/>
    <s v=""/>
    <n v="1"/>
  </r>
  <r>
    <x v="2"/>
    <n v="1082"/>
    <m/>
    <n v="3488"/>
    <s v="10.04 Liguei ficou na caixa postal _x000a_Bom dia Vidal, tudo bem?_x000a_meu nome é Rayssa, sou da Guarani Sistemas. _x000a_Tentei contato com você para falarmos das soluções de software para sua empresa. _x000a_Qual melhor horario para te retornar?_x000a_23.04Bom dia Vidal, como vai?_x000a_Estou tentando contato com você para entender sua solicitação para conhecer nossos sistemas._x000a_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_x000a_Vou deixar uma apresentação de nossa empresa e quando tiver um tempo disponivel por retornar o contato"/>
    <s v=""/>
    <x v="568"/>
    <m/>
    <s v=""/>
    <s v="Vidal"/>
    <s v="51981230645"/>
    <s v=""/>
    <s v="g.vidal0220@gmail.com"/>
    <s v=""/>
    <s v=""/>
    <s v=""/>
    <s v=""/>
    <s v=""/>
    <s v="Campanha"/>
    <s v=""/>
    <s v=""/>
    <s v="Fora Perfil;Instagram"/>
    <s v="Pipeline de Vendas"/>
    <s v="Agendamento (0%)"/>
    <s v=""/>
    <d v="2026-04-30T00:00:00"/>
    <m/>
    <m/>
    <n v="29"/>
    <s v="Paulo Souza"/>
    <d v="2026-04-10T00:00:00"/>
    <d v="1899-12-30T08:45:52"/>
    <s v=""/>
    <s v="Perdido"/>
    <d v="2026-05-09T00:00:00"/>
    <d v="1899-12-30T08:38:47"/>
    <s v="Sem qualificação — contato não atende ligações nem responde msg"/>
    <s v=""/>
    <s v=""/>
    <x v="0"/>
    <s v="Rayssa Karapeticov"/>
    <x v="0"/>
    <s v=""/>
    <d v="2026-04-23T00:00:00"/>
    <n v="28"/>
    <s v=""/>
    <s v=""/>
    <s v=""/>
    <s v=""/>
    <n v="1"/>
  </r>
  <r>
    <x v="1"/>
    <n v="1083"/>
    <m/>
    <n v="3491"/>
    <s v="(10/04/2026) Buscando contato com Belmar"/>
    <s v=""/>
    <x v="569"/>
    <n v="91241034000123"/>
    <s v=""/>
    <s v="METALÚRGICA VALENTINI LTDA"/>
    <s v="(54) 3321-5204 / (54) 3321-5204"/>
    <s v=""/>
    <s v="metalvalentini@gmail.com"/>
    <s v=""/>
    <s v=""/>
    <s v=""/>
    <s v="ERECHIM"/>
    <s v="RS"/>
    <s v="Campanha"/>
    <s v=""/>
    <s v=""/>
    <s v="Fora Perfil;Instagram"/>
    <s v="Pipeline de Vendas"/>
    <s v="Agendamento (0%)"/>
    <s v=""/>
    <m/>
    <m/>
    <m/>
    <n v="29"/>
    <s v="Paulo Souza"/>
    <d v="2026-04-10T00:00:00"/>
    <d v="1899-12-30T08:47:32"/>
    <s v=""/>
    <s v="Perdido"/>
    <d v="2026-05-09T00:00:00"/>
    <d v="1899-12-30T08:40:51"/>
    <s v="Sem qualificação — contato não atende ligações nem responde msg"/>
    <s v=""/>
    <s v=""/>
    <x v="0"/>
    <s v="Junior Lopes"/>
    <x v="0"/>
    <s v=""/>
    <m/>
    <n v="30"/>
    <s v=""/>
    <s v=""/>
    <s v=""/>
    <s v=""/>
    <n v="1"/>
  </r>
  <r>
    <x v="1"/>
    <n v="1084"/>
    <m/>
    <n v="3492"/>
    <s v="(10/04/2026) em contato com Danyllo buscando agenda para um bate papo"/>
    <s v=""/>
    <x v="570"/>
    <m/>
    <s v=""/>
    <s v="Camelo distribuidora"/>
    <s v="62991773767"/>
    <s v=""/>
    <s v="danyllogac@hotmail.com"/>
    <s v=""/>
    <s v=""/>
    <s v=""/>
    <s v=""/>
    <s v=""/>
    <s v="Campanha"/>
    <s v=""/>
    <s v=""/>
    <s v="Dentro Perfil;Instagram"/>
    <s v="Pipeline de Vendas"/>
    <s v="Qualificação de Vendas (SQL) (25%)"/>
    <s v=""/>
    <m/>
    <m/>
    <m/>
    <n v="40"/>
    <s v="Paulo Souza"/>
    <d v="2026-04-10T00:00:00"/>
    <d v="1899-12-30T08:49:10"/>
    <s v=""/>
    <s v="Ativo"/>
    <m/>
    <m/>
    <s v=""/>
    <s v=""/>
    <s v=""/>
    <x v="0"/>
    <s v="Junior Lopes"/>
    <x v="0"/>
    <s v=""/>
    <m/>
    <n v="29"/>
    <s v=""/>
    <s v=""/>
    <s v=""/>
    <s v=""/>
    <n v="1"/>
  </r>
  <r>
    <x v="2"/>
    <n v="1085"/>
    <m/>
    <n v="3494"/>
    <s v=""/>
    <s v=""/>
    <x v="571"/>
    <n v="21233195000190"/>
    <s v=""/>
    <s v="Cleber vieira teles"/>
    <s v="(15) 9800-0087"/>
    <s v=""/>
    <s v="vieira_teles@hotmail.com"/>
    <s v=""/>
    <s v=""/>
    <s v=""/>
    <s v="PORTO FELIZ"/>
    <s v="SP"/>
    <s v="Campanha"/>
    <s v=""/>
    <s v=""/>
    <s v="Fora Perfil;Instagram"/>
    <s v="Pipeline de Vendas"/>
    <s v="Agendamento (0%)"/>
    <s v=""/>
    <d v="2026-04-30T00:00:00"/>
    <m/>
    <m/>
    <n v="13"/>
    <s v="Paulo Souza"/>
    <d v="2026-04-10T00:00:00"/>
    <d v="1899-12-30T08:50:25"/>
    <s v=""/>
    <s v="Perdido"/>
    <d v="2026-04-23T00:00:00"/>
    <d v="1899-12-30T11:03:07"/>
    <s v="Fora do porte mínimo (sem fit estrutural)"/>
    <s v=""/>
    <s v=""/>
    <x v="0"/>
    <s v="Rayssa Karapeticov"/>
    <x v="0"/>
    <s v=""/>
    <d v="2026-04-23T00:00:00"/>
    <n v="30"/>
    <s v=""/>
    <s v=""/>
    <s v=""/>
    <s v=""/>
    <n v="1"/>
  </r>
  <r>
    <x v="2"/>
    <n v="1086"/>
    <m/>
    <n v="3496"/>
    <s v="Todos os dados preenchidos:_x000a_empresa: Grupo Marcamix _x000a_name: Ismael Ramos _x000a_cargo: Analista de Sistemas _x000a_whatsapp: 11960590527 _x000a_email: suporte@marcamix.com.br"/>
    <s v=""/>
    <x v="572"/>
    <n v="3634113000137"/>
    <s v=""/>
    <s v="Ismael Ramos"/>
    <s v=""/>
    <s v=""/>
    <s v="suporte@marcamix.com.br"/>
    <s v=""/>
    <s v=""/>
    <s v=""/>
    <s v="Ribeirão Preto"/>
    <s v=""/>
    <s v="Inbound"/>
    <s v=""/>
    <s v=""/>
    <s v="comex"/>
    <s v="Pipeline de Vendas"/>
    <s v="Em negociação (75%)"/>
    <s v=""/>
    <d v="2026-04-10T00:00:00"/>
    <n v="6000"/>
    <n v="2000"/>
    <n v="40"/>
    <s v="Paulo Souza"/>
    <d v="2026-04-10T00:00:00"/>
    <d v="1899-12-30T08:52:00"/>
    <s v=""/>
    <s v="Ativo"/>
    <m/>
    <m/>
    <s v=""/>
    <s v=""/>
    <s v=""/>
    <x v="206"/>
    <s v="Rayssa Karapeticov"/>
    <x v="227"/>
    <s v=""/>
    <d v="2026-05-13T00:00:00"/>
    <n v="30"/>
    <s v=""/>
    <s v=""/>
    <s v=""/>
    <s v=""/>
    <n v="1"/>
  </r>
  <r>
    <x v="0"/>
    <n v="1087"/>
    <m/>
    <n v="3495"/>
    <s v=""/>
    <s v=""/>
    <x v="573"/>
    <m/>
    <s v=""/>
    <s v="Romulo"/>
    <s v="8191451469"/>
    <s v=""/>
    <s v="romulomelo2009@gmai.com"/>
    <s v=""/>
    <s v=""/>
    <s v=""/>
    <s v=""/>
    <s v=""/>
    <s v="Campanha"/>
    <s v=""/>
    <s v=""/>
    <s v="Fora Perfil;Instagram"/>
    <s v="Pipeline de Vendas"/>
    <s v="Agendamento (0%)"/>
    <s v=""/>
    <d v="2026-04-30T00:00:00"/>
    <m/>
    <m/>
    <n v="0"/>
    <s v="Paulo Souza"/>
    <d v="2026-04-10T00:00:00"/>
    <d v="1899-12-30T08:53:42"/>
    <s v=""/>
    <s v="Perdido"/>
    <d v="2026-04-10T00:00:00"/>
    <d v="1899-12-30T14:08:40"/>
    <s v="Preço muito alto - fora do budget de investimento"/>
    <s v=""/>
    <s v=""/>
    <x v="0"/>
    <s v="Paulo Souza"/>
    <x v="0"/>
    <s v=""/>
    <m/>
    <n v="30"/>
    <s v=""/>
    <s v=""/>
    <s v=""/>
    <s v=""/>
    <n v="1"/>
  </r>
  <r>
    <x v="0"/>
    <n v="1088"/>
    <m/>
    <n v="3498"/>
    <s v=""/>
    <s v=""/>
    <x v="574"/>
    <m/>
    <s v=""/>
    <s v="JH Navegação e Logística Ltda"/>
    <s v="92991313828"/>
    <s v=""/>
    <s v="hayliebarbosa1@gmail.com"/>
    <s v=""/>
    <s v=""/>
    <s v=""/>
    <s v=""/>
    <s v=""/>
    <s v="Campanha"/>
    <s v=""/>
    <s v=""/>
    <s v="Fora Perfil;Instagram"/>
    <s v="Pipeline de Vendas"/>
    <s v="Agendamento (0%)"/>
    <s v=""/>
    <m/>
    <m/>
    <m/>
    <n v="29"/>
    <s v="Paulo Souza"/>
    <d v="2026-04-10T00:00:00"/>
    <d v="1899-12-30T08:54:24"/>
    <s v=""/>
    <s v="Perdido"/>
    <d v="2026-05-09T00:00:00"/>
    <d v="1899-12-30T08:41:27"/>
    <s v="Fora do segmento atendido"/>
    <s v=""/>
    <s v=""/>
    <x v="0"/>
    <s v="Paulo Souza"/>
    <x v="0"/>
    <s v=""/>
    <m/>
    <n v="30"/>
    <s v=""/>
    <s v=""/>
    <s v=""/>
    <s v=""/>
    <n v="1"/>
  </r>
  <r>
    <x v="1"/>
    <n v="1089"/>
    <m/>
    <n v="3509"/>
    <s v=""/>
    <s v=""/>
    <x v="575"/>
    <n v="3654966000130"/>
    <s v=""/>
    <s v="Marlim Azul Turismo"/>
    <s v="27999346494"/>
    <s v=""/>
    <s v="heber@marlimazulturismo.com.br"/>
    <s v=""/>
    <s v=""/>
    <s v=""/>
    <s v=""/>
    <s v="Serra ES"/>
    <s v="Inbound"/>
    <s v=""/>
    <s v=""/>
    <s v="Fora Perfil;Instagram"/>
    <s v="Pipeline de Vendas"/>
    <s v="Agendamento (0%)"/>
    <s v=""/>
    <m/>
    <m/>
    <m/>
    <n v="0"/>
    <s v="Paulo Souza"/>
    <d v="2026-04-10T00:00:00"/>
    <d v="1899-12-30T08:55:19"/>
    <s v=""/>
    <s v="Perdido"/>
    <d v="2026-04-10T00:00:00"/>
    <d v="1899-12-30T10:24:21"/>
    <s v="Fora do porte mínimo (sem fit estrutural)"/>
    <s v="empresa fora do perfil"/>
    <s v=""/>
    <x v="0"/>
    <s v="Junior Lopes"/>
    <x v="0"/>
    <s v=""/>
    <m/>
    <n v="30"/>
    <s v=""/>
    <s v=""/>
    <s v=""/>
    <s v=""/>
    <n v="1"/>
  </r>
  <r>
    <x v="2"/>
    <n v="1090"/>
    <m/>
    <n v="3508"/>
    <s v="10.04 - Caixa postal _x000a_Bom dia Claudio , como vai?_x000a_Meu nome é Rayssa, sou da Guarani Sistemas. _x000a_Tentei contato com você para falarmos de sua necessidade de implantação de um novo software para sua empresa._x000a_Qual melhor horario para te retornar?"/>
    <s v=""/>
    <x v="576"/>
    <m/>
    <s v=""/>
    <s v="Mercado do bairro"/>
    <s v="11949454465"/>
    <s v=""/>
    <s v="mercadobairro11@gmail.com"/>
    <s v=""/>
    <s v=""/>
    <s v=""/>
    <s v=""/>
    <s v=""/>
    <s v="Campanha"/>
    <s v=""/>
    <s v=""/>
    <s v="Fora Perfil;Instagram"/>
    <s v="Pipeline de Vendas"/>
    <s v="Agendamento (0%)"/>
    <s v=""/>
    <d v="2026-04-30T00:00:00"/>
    <m/>
    <m/>
    <n v="0"/>
    <s v="Paulo Souza"/>
    <d v="2026-04-10T00:00:00"/>
    <d v="1899-12-30T08:56:18"/>
    <s v=""/>
    <s v="Perdido"/>
    <d v="2026-04-10T00:00:00"/>
    <d v="1899-12-30T10:43:18"/>
    <s v="Fora do porte mínimo (sem fit estrutural)"/>
    <s v="mercado"/>
    <s v=""/>
    <x v="0"/>
    <s v="Rayssa Karapeticov"/>
    <x v="0"/>
    <s v=""/>
    <m/>
    <n v="30"/>
    <s v=""/>
    <s v=""/>
    <s v=""/>
    <s v=""/>
    <n v="1"/>
  </r>
  <r>
    <x v="1"/>
    <n v="1091"/>
    <m/>
    <n v="3507"/>
    <s v="(10/04/2026) em contato com Guri a fim de entender melhor suas necessidades"/>
    <s v=""/>
    <x v="577"/>
    <m/>
    <s v=""/>
    <s v="Guri cervejaria"/>
    <s v="54996551297"/>
    <s v=""/>
    <s v="cervejariaguri@hotmail.com"/>
    <s v=""/>
    <s v=""/>
    <s v=""/>
    <s v=""/>
    <s v=""/>
    <s v="Campanha"/>
    <s v=""/>
    <s v=""/>
    <s v="Fora Perfil;Instagram"/>
    <s v="Pipeline de Vendas"/>
    <s v="Qualificação de Vendas (SQL) (25%)"/>
    <s v=""/>
    <d v="2026-04-30T00:00:00"/>
    <m/>
    <m/>
    <n v="0"/>
    <s v="Paulo Souza"/>
    <d v="2026-04-10T00:00:00"/>
    <d v="1899-12-30T08:57:15"/>
    <s v=""/>
    <s v="Perdido"/>
    <d v="2026-04-10T00:00:00"/>
    <d v="1899-12-30T10:26:02"/>
    <s v="Fora do porte mínimo (sem fit estrutural)"/>
    <s v="Guri cervejaria é basicamente um bar e entretenimento com quadras de futebol, fora do perfil"/>
    <s v=""/>
    <x v="0"/>
    <s v="Junior Lopes"/>
    <x v="0"/>
    <s v=""/>
    <m/>
    <n v="30"/>
    <s v=""/>
    <s v=""/>
    <s v=""/>
    <s v=""/>
    <n v="1"/>
  </r>
  <r>
    <x v="2"/>
    <n v="1092"/>
    <m/>
    <n v="3506"/>
    <s v="28.04 Boa tarde Paulo, como vai?_x000a_Meu nome é Rayssa, sou da Guarani Sistemas, e falei com você uns dias atrás para entender sua necessidade de implantação de um novo software, porém, não consegui mais falar com você._x000a_Ainda está em busca de uma solução tecnologica para a empresa?"/>
    <s v=""/>
    <x v="578"/>
    <n v="34731194000117"/>
    <s v=""/>
    <s v="UP"/>
    <s v="(11) 4199-5100"/>
    <s v=""/>
    <s v="financeiro@up-ib.com.br"/>
    <s v=""/>
    <s v=""/>
    <s v=""/>
    <s v="ARACARIGUAMA"/>
    <s v="SP"/>
    <s v="Inbound"/>
    <s v=""/>
    <s v=""/>
    <s v="Dentro Perfil;Instagram"/>
    <s v="Pipeline de Vendas"/>
    <s v="Apresentar Solução (35%)"/>
    <s v=""/>
    <d v="2026-06-30T00:00:00"/>
    <m/>
    <m/>
    <n v="39"/>
    <s v="Paulo Souza"/>
    <d v="2026-04-10T00:00:00"/>
    <d v="1899-12-30T08:58:12"/>
    <s v=""/>
    <s v="Perdido"/>
    <d v="2026-05-19T00:00:00"/>
    <d v="1899-12-30T11:26:52"/>
    <s v="Projeto adiado / sem prazo definido"/>
    <s v=""/>
    <s v=""/>
    <x v="0"/>
    <s v="Rayssa Karapeticov"/>
    <x v="0"/>
    <s v=""/>
    <d v="2026-05-19T00:00:00"/>
    <n v="30"/>
    <s v=""/>
    <s v=""/>
    <s v=""/>
    <s v=""/>
    <n v="1"/>
  </r>
  <r>
    <x v="2"/>
    <n v="1093"/>
    <m/>
    <n v="3487"/>
    <s v=""/>
    <s v=""/>
    <x v="579"/>
    <n v="9313543000133"/>
    <s v=""/>
    <s v="Aucione Lima da Silva"/>
    <s v="(11) 94035-6615"/>
    <s v=""/>
    <s v="contato@raryplast.com.br"/>
    <s v=""/>
    <s v=""/>
    <s v=""/>
    <s v="Tatuí"/>
    <s v=""/>
    <s v="Site"/>
    <s v=""/>
    <s v=""/>
    <s v="Contato"/>
    <s v="Pipeline de Vendas"/>
    <s v="Agendamento (0%)"/>
    <s v=""/>
    <d v="2026-08-31T00:00:00"/>
    <m/>
    <m/>
    <n v="12"/>
    <s v="Paulo Souza"/>
    <d v="2026-04-10T00:00:00"/>
    <d v="1899-12-30T09:00:23"/>
    <s v=""/>
    <s v="Perdido"/>
    <d v="2026-04-22T00:00:00"/>
    <d v="1899-12-30T17:04:29"/>
    <s v="Não quer mudar a solução atual"/>
    <s v=""/>
    <s v=""/>
    <x v="0"/>
    <s v="Rayssa Karapeticov"/>
    <x v="0"/>
    <s v=""/>
    <d v="2026-04-22T00:00:00"/>
    <n v="30"/>
    <s v=""/>
    <s v=""/>
    <s v=""/>
    <s v=""/>
    <n v="1"/>
  </r>
  <r>
    <x v="0"/>
    <n v="1094"/>
    <m/>
    <n v="3499"/>
    <s v=""/>
    <s v=""/>
    <x v="580"/>
    <m/>
    <s v=""/>
    <s v="Adovanio"/>
    <s v="11947878080"/>
    <s v=""/>
    <s v="cptavaresrepresenta@gmail.com"/>
    <s v=""/>
    <s v=""/>
    <s v=""/>
    <s v=""/>
    <s v=""/>
    <s v="Campanha"/>
    <s v=""/>
    <s v=""/>
    <s v="Dentro Perfil;Instagram"/>
    <s v="Pipeline de Vendas"/>
    <s v="Agendamento (0%)"/>
    <s v=""/>
    <d v="2026-04-30T00:00:00"/>
    <m/>
    <m/>
    <n v="29"/>
    <s v="Paulo Souza"/>
    <d v="2026-04-10T00:00:00"/>
    <d v="1899-12-30T09:01:47"/>
    <s v=""/>
    <s v="Perdido"/>
    <d v="2026-05-09T00:00:00"/>
    <d v="1899-12-30T08:42:12"/>
    <s v="Sem qualificação — contato não atende ligações nem responde msg"/>
    <s v=""/>
    <s v=""/>
    <x v="0"/>
    <s v="Paulo Souza"/>
    <x v="0"/>
    <s v=""/>
    <m/>
    <n v="30"/>
    <s v=""/>
    <s v=""/>
    <s v=""/>
    <s v=""/>
    <n v="1"/>
  </r>
  <r>
    <x v="1"/>
    <n v="1095"/>
    <m/>
    <n v="3489"/>
    <s v="(10/04/2026) Buscando contato com Andrea"/>
    <s v=""/>
    <x v="581"/>
    <n v="18564850000188"/>
    <s v=""/>
    <s v="Gerente Produção"/>
    <s v="(47) 99633-0990"/>
    <s v=""/>
    <s v="gerenteproducaosimas@gmail.com"/>
    <s v=""/>
    <s v=""/>
    <s v=""/>
    <s v="ITAJAI"/>
    <s v="SC"/>
    <s v="Site"/>
    <s v=""/>
    <s v=""/>
    <s v="Solicita demo"/>
    <s v="Pipeline de Vendas"/>
    <s v="Em negociação (75%)"/>
    <s v=""/>
    <d v="2026-04-30T00:00:00"/>
    <n v="16960"/>
    <n v="1150"/>
    <n v="40"/>
    <s v="Paulo Souza"/>
    <d v="2026-04-10T00:00:00"/>
    <d v="1899-12-30T09:02:55"/>
    <s v=""/>
    <s v="Ativo"/>
    <m/>
    <m/>
    <s v=""/>
    <s v=""/>
    <s v=""/>
    <x v="207"/>
    <s v="Junior Lopes"/>
    <x v="228"/>
    <s v="06/05/2026"/>
    <m/>
    <n v="30"/>
    <s v=""/>
    <s v=""/>
    <s v=""/>
    <s v=""/>
    <n v="1"/>
  </r>
  <r>
    <x v="0"/>
    <n v="1096"/>
    <m/>
    <n v="3513"/>
    <s v=""/>
    <s v=""/>
    <x v="582"/>
    <m/>
    <s v=""/>
    <s v="Silvia"/>
    <s v="11996146290"/>
    <s v=""/>
    <s v="null"/>
    <s v=""/>
    <s v=""/>
    <s v=""/>
    <s v=""/>
    <s v=""/>
    <s v=""/>
    <s v=""/>
    <s v=""/>
    <s v=""/>
    <s v="Pipeline de Vendas"/>
    <s v="Em negociação (75%)"/>
    <s v=""/>
    <m/>
    <n v="26350"/>
    <n v="3450"/>
    <n v="38"/>
    <s v="Paulo Souza"/>
    <d v="2026-04-10T00:00:00"/>
    <d v="1899-12-30T09:15:28"/>
    <s v=""/>
    <s v="Perdido"/>
    <d v="2026-05-18T00:00:00"/>
    <d v="1899-12-30T17:01:15"/>
    <s v="Preço muito alto - fora do budget de investimento"/>
    <s v=""/>
    <s v=""/>
    <x v="0"/>
    <s v="Paulo Souza"/>
    <x v="0"/>
    <s v=""/>
    <d v="2026-04-20T00:00:00"/>
    <n v="30"/>
    <s v=""/>
    <s v=""/>
    <s v=""/>
    <s v=""/>
    <n v="1"/>
  </r>
  <r>
    <x v="2"/>
    <n v="1097"/>
    <m/>
    <n v="3514"/>
    <s v=""/>
    <s v="Green Flower Comercio, Importacao E Exportacao Ltda"/>
    <x v="583"/>
    <n v="7382350000109"/>
    <s v=""/>
    <s v="Green Flower Comercio, Importacao E Exportacao Ltda"/>
    <s v="(11) 4395-7650"/>
    <s v=""/>
    <s v="contato@acrosscontabil.com.br"/>
    <s v=""/>
    <s v=""/>
    <s v=""/>
    <s v="SAO PAULO"/>
    <s v="SP"/>
    <s v="Base de empresas Leads2b"/>
    <s v=""/>
    <s v=""/>
    <s v=""/>
    <s v="Pipeline de Vendas"/>
    <s v="Qualificação de Vendas (SQL) (25%)"/>
    <s v=""/>
    <m/>
    <m/>
    <m/>
    <n v="40"/>
    <s v="Rayssa Karapeticov"/>
    <d v="2026-04-10T00:00:00"/>
    <d v="1899-12-30T15:04:34"/>
    <s v=""/>
    <s v="Ativo"/>
    <m/>
    <m/>
    <s v=""/>
    <s v=""/>
    <s v=""/>
    <x v="0"/>
    <s v="Rayssa Karapeticov"/>
    <x v="0"/>
    <s v=""/>
    <d v="2026-05-07T00:00:00"/>
    <n v="30"/>
    <s v=""/>
    <s v=""/>
    <s v=""/>
    <s v=""/>
    <n v="1"/>
  </r>
  <r>
    <x v="2"/>
    <n v="1098"/>
    <m/>
    <n v="3516"/>
    <s v=""/>
    <s v="Santorini Atacadista Ltda"/>
    <x v="584"/>
    <n v="34355470000190"/>
    <s v=""/>
    <s v="Santorini Atacadista Ltda"/>
    <s v="(11) 8284-9672"/>
    <s v=""/>
    <s v="maluciarezende@gmail.com"/>
    <s v=""/>
    <s v=""/>
    <s v=""/>
    <s v="SAO PAULO"/>
    <s v="SP"/>
    <s v="Base de empresas Leads2b"/>
    <s v=""/>
    <s v=""/>
    <s v=""/>
    <s v="Pipeline de Vendas"/>
    <s v="Agendamento (0%)"/>
    <s v=""/>
    <m/>
    <m/>
    <m/>
    <n v="0"/>
    <s v="Rayssa Karapeticov"/>
    <d v="2026-04-10T00:00:00"/>
    <d v="1899-12-30T15:47:11"/>
    <s v=""/>
    <s v="Perdido"/>
    <d v="2026-04-10T00:00:00"/>
    <d v="1899-12-30T15:48:31"/>
    <s v="Fora do porte mínimo (sem fit estrutural)"/>
    <s v=""/>
    <s v=""/>
    <x v="0"/>
    <s v="Rayssa Karapeticov"/>
    <x v="0"/>
    <s v=""/>
    <m/>
    <n v="30"/>
    <s v=""/>
    <s v=""/>
    <s v=""/>
    <s v=""/>
    <n v="1"/>
  </r>
  <r>
    <x v="2"/>
    <n v="1099"/>
    <m/>
    <n v="3518"/>
    <s v=""/>
    <s v="Mabel Comercio De Importados Ltda"/>
    <x v="585"/>
    <n v="527682000195"/>
    <s v=""/>
    <s v="Mabel Comercio De Importados Ltda"/>
    <s v="(11) 3315-0052"/>
    <s v=""/>
    <s v="deptofiscal@mabelimport.com.br"/>
    <s v=""/>
    <s v=""/>
    <s v=""/>
    <s v="SOROCABA"/>
    <s v="SP"/>
    <s v="Base de empresas Leads2b"/>
    <s v=""/>
    <s v=""/>
    <s v=""/>
    <s v="Pipeline de Vendas"/>
    <s v="Qualificação de Vendas (SQL) (25%)"/>
    <s v=""/>
    <m/>
    <m/>
    <m/>
    <n v="27"/>
    <s v="Rayssa Karapeticov"/>
    <d v="2026-04-10T00:00:00"/>
    <d v="1899-12-30T17:12:21"/>
    <s v=""/>
    <s v="Perdido"/>
    <d v="2026-05-07T00:00:00"/>
    <d v="1899-12-30T10:09:44"/>
    <s v="Projeto adiado / sem prazo definido"/>
    <s v=""/>
    <s v=""/>
    <x v="0"/>
    <s v="Rayssa Karapeticov"/>
    <x v="0"/>
    <s v=""/>
    <m/>
    <n v="28"/>
    <s v=""/>
    <s v=""/>
    <s v=""/>
    <s v=""/>
    <n v="1"/>
  </r>
  <r>
    <x v="2"/>
    <n v="1100"/>
    <m/>
    <n v="3522"/>
    <s v=""/>
    <s v="U4 Home Artigos Domesticos Ltda"/>
    <x v="586"/>
    <n v="28516601000170"/>
    <s v=""/>
    <s v="U4 Home Artigos Domesticos Ltda"/>
    <s v="(13) 3303-9200"/>
    <s v=""/>
    <s v="financeiro@u4home.com.br"/>
    <s v=""/>
    <s v=""/>
    <s v=""/>
    <s v="ITANHAEM"/>
    <s v="SP"/>
    <s v="Base de empresas Leads2b"/>
    <s v=""/>
    <s v=""/>
    <s v=""/>
    <s v="Pipeline de Vendas"/>
    <s v="Qualificação de Vendas (SQL) (25%)"/>
    <s v=""/>
    <m/>
    <m/>
    <m/>
    <n v="40"/>
    <s v="Rayssa Karapeticov"/>
    <d v="2026-04-10T00:00:00"/>
    <d v="1899-12-30T17:23:16"/>
    <s v=""/>
    <s v="Ativo"/>
    <m/>
    <m/>
    <s v=""/>
    <s v=""/>
    <s v=""/>
    <x v="0"/>
    <s v="Rayssa Karapeticov"/>
    <x v="0"/>
    <s v=""/>
    <m/>
    <n v="30"/>
    <s v=""/>
    <s v=""/>
    <s v=""/>
    <s v=""/>
    <n v="1"/>
  </r>
  <r>
    <x v="2"/>
    <n v="1101"/>
    <m/>
    <n v="3530"/>
    <s v="16.14 - apresentação realizada"/>
    <s v="Ns Iguacu Eletronicos Ltda"/>
    <x v="587"/>
    <n v="12259254000108"/>
    <s v=""/>
    <s v="Leticia"/>
    <s v="(11) 96978-9804"/>
    <s v=""/>
    <s v="weisc@uol.com.br"/>
    <s v=""/>
    <s v=""/>
    <s v=""/>
    <s v="SAO PAULO"/>
    <s v="SP"/>
    <s v="Base de empresas Leads2b"/>
    <s v=""/>
    <s v=""/>
    <s v=""/>
    <s v="Pipeline de Vendas"/>
    <s v="Apresentar Proposta (50%)"/>
    <s v=""/>
    <d v="2026-07-31T00:00:00"/>
    <m/>
    <m/>
    <n v="37"/>
    <s v="Rayssa Karapeticov"/>
    <d v="2026-04-13T00:00:00"/>
    <d v="1899-12-30T12:31:55"/>
    <s v=""/>
    <s v="Ativo"/>
    <m/>
    <m/>
    <s v=""/>
    <s v=""/>
    <s v=""/>
    <x v="208"/>
    <s v="Rayssa Karapeticov"/>
    <x v="229"/>
    <s v="04/05/2026"/>
    <d v="2026-05-13T00:00:00"/>
    <n v="30"/>
    <s v=""/>
    <s v=""/>
    <s v=""/>
    <s v=""/>
    <n v="1"/>
  </r>
  <r>
    <x v="1"/>
    <n v="1102"/>
    <m/>
    <n v="3533"/>
    <s v="(23/04/2026) em ligação _x000a_adicionou meu numero de WhatsApp para enviar ao gerente comercial _x000a_10:49, 23/04/2026 Amanda Etilux Oliveira: Bom dia, tudo bem ?_x000a_10:50, 23/04/2026 Amanda Etilux Oliveira: Amanda da Etilux_x000a_10:50, 23/04/2026 Junior Lopes: Olá Amanda, bom dia! Tudo bem por aqui. Como posso te ajudar hoje?_x000a_10:57, 23/04/2026 Junior Lopes: Olá ! Muito obrigado_x000a_10:58, 23/04/2026 Amanda Etilux Oliveira: poderia me explicar de novo, para te encaminhar para o setor responsavel_x000a_10:58, 23/04/2026 Junior Lopes: Td bem Amanda ?_x000a_10:59, 23/04/2026 Amanda Etilux Oliveira: sim_x000a_11:01, 23/04/2026 Junior Lopes: Sou Junior Lopes da Guarani sistemas _x000a_A ideia é apresentar nossa soluções para automação da força de vendas _x000a_Nossa solução pode ajudar seu representante a vender mais com recursos de IA acoplado ao aplicativo, vendas B2B feitas pelo próprio representante/vendedor_x000a_11:01, 23/04/2026 Junior Lopes: A ideia é apresentar essa solução para seu gestor comercial_x000a_11:01, 23/04/2026 Junior Lopes: Acredito que seja o Rodrigo Fritoli_x000a_11:03, 23/04/2026 Amanda Etilux Oliveira: Sobre sistemas pode mandar e-mail ewerton.dias@etilux.com.br_x000a_11:04, 23/04/2026 Junior Lopes: Ta joia ! Vou enviar para Ewerton_x000a_11:04, 23/04/2026 Junior Lopes: Acredito que seja o Rodrigo Fritoli_x000a_Vc consegue me enviar o telefone do Rodrigo?_x000a_11:05, 23/04/2026 Amanda Etilux Oliveira: Consigo te enviar o e-mail _x000a_rodrigo.fritoli@etilux.com.br"/>
    <s v="Etilux Importacao E Distribuicao De Artigos De Cutelaria Ltda"/>
    <x v="588"/>
    <n v="50306471000524"/>
    <s v=""/>
    <s v="Etilux Importacao E Distribuicao De Artigos De Cutelaria Ltda"/>
    <s v="(11) 3227-3263"/>
    <s v=""/>
    <s v="askfiscal@askcontabil.com.br"/>
    <s v=""/>
    <s v=""/>
    <s v=""/>
    <s v="GUARULHOS"/>
    <s v="SP"/>
    <s v="Base de empresas Leads2b"/>
    <s v=""/>
    <s v=""/>
    <s v=""/>
    <s v="Pipeline de Vendas"/>
    <s v="Qualificação de Vendas (SQL) (25%)"/>
    <s v=""/>
    <m/>
    <m/>
    <m/>
    <n v="37"/>
    <s v="Junior Lopes"/>
    <d v="2026-04-13T00:00:00"/>
    <d v="1899-12-30T15:14:42"/>
    <s v=""/>
    <s v="Ativo"/>
    <m/>
    <m/>
    <s v=""/>
    <s v=""/>
    <s v=""/>
    <x v="0"/>
    <s v=""/>
    <x v="0"/>
    <s v=""/>
    <d v="2026-04-23T00:00:00"/>
    <n v="30"/>
    <s v=""/>
    <s v=""/>
    <s v="R$ 0,00"/>
    <s v=""/>
    <n v="1"/>
  </r>
  <r>
    <x v="2"/>
    <n v="1103"/>
    <m/>
    <n v="3534"/>
    <s v="14.04 - em ligação com o cliente, já conhecem o Guarani devido a clientes do mesmo segmento, e já tiveram uma conversa conosco a uns 15 anos atrás e não avançaram devido o valor. Retornou o contato pedindo uma apreentação do sistemas para os funcionários da empresa ainda essa semana, porque o diretor que estara presente viaja na proxima semana"/>
    <s v=""/>
    <x v="589"/>
    <n v="8822792000191"/>
    <s v=""/>
    <s v="Ana Cristina"/>
    <s v="(11) 95126-4832"/>
    <s v=""/>
    <s v="financeiro.sqcomercio@gmail.com"/>
    <s v=""/>
    <s v=""/>
    <s v=""/>
    <s v="SAO PAULO"/>
    <s v="SP"/>
    <s v="Site"/>
    <s v=""/>
    <s v=""/>
    <s v="Dentro Perfil;Solicita demo"/>
    <s v="Pipeline de Vendas"/>
    <s v="Em negociação (75%)"/>
    <s v=""/>
    <d v="2026-09-30T00:00:00"/>
    <n v="85600"/>
    <n v="66847"/>
    <n v="29"/>
    <s v="Paulo Souza"/>
    <d v="2026-04-14T00:00:00"/>
    <d v="1899-12-30T10:03:18"/>
    <s v=""/>
    <s v="Perdido"/>
    <d v="2026-05-13T00:00:00"/>
    <d v="1899-12-30T11:16:02"/>
    <s v="Fechou com o concorrente - funcionaliadade"/>
    <s v=""/>
    <s v=""/>
    <x v="208"/>
    <s v="Rayssa Karapeticov"/>
    <x v="230"/>
    <s v=""/>
    <d v="2026-05-13T00:00:00"/>
    <n v="30"/>
    <s v=""/>
    <s v="ERP, AFV, WMS, COMEX, CLOUD"/>
    <s v=""/>
    <s v=""/>
    <n v="1"/>
  </r>
  <r>
    <x v="2"/>
    <n v="1104"/>
    <m/>
    <n v="3527"/>
    <s v="14.04 Cliente vende auto peças, material de construção e ainda presta serviço. é um logista. _x000a_Fora do perfil"/>
    <s v=""/>
    <x v="590"/>
    <m/>
    <s v=""/>
    <s v="Comblocos Materiais de Construção"/>
    <s v="33988611992"/>
    <s v=""/>
    <s v="ittalo.tim@hotmail.com"/>
    <s v=""/>
    <s v=""/>
    <s v=""/>
    <s v=""/>
    <s v="Vvv"/>
    <s v="Inbound"/>
    <s v=""/>
    <s v=""/>
    <s v="Fora Perfil;Instagram"/>
    <s v="Pipeline de Vendas"/>
    <s v="Agendamento (0%)"/>
    <s v=""/>
    <d v="2026-04-30T00:00:00"/>
    <m/>
    <m/>
    <n v="0"/>
    <s v="Paulo Souza"/>
    <d v="2026-04-14T00:00:00"/>
    <d v="1899-12-30T10:05:58"/>
    <s v=""/>
    <s v="Perdido"/>
    <d v="2026-04-14T00:00:00"/>
    <d v="1899-12-30T10:31:19"/>
    <s v="Fora do porte mínimo (sem fit estrutural)"/>
    <s v=""/>
    <s v=""/>
    <x v="0"/>
    <s v="Rayssa Karapeticov"/>
    <x v="0"/>
    <s v=""/>
    <m/>
    <n v="30"/>
    <s v=""/>
    <s v=""/>
    <s v=""/>
    <s v=""/>
    <n v="1"/>
  </r>
  <r>
    <x v="1"/>
    <n v="1105"/>
    <m/>
    <n v="3524"/>
    <s v="(14/04/2026) em contato com Renan _x000a_10:42, 14/04/2026 Junior Lopes: Olá Renan, bom dia ! tudo bem ?_x000a_10:42, 14/04/2026 Junior Lopes: sou Junior Lopes da Guarani sistemas td bem ?_x000a_10:44, 14/04/2026 +55 66 9647-2785: Bom dia Junior_x000a_10:44, 14/04/2026 +55 66 9647-2785: Tudo bem e contigo?_x000a_10:45, 14/04/2026 Junior Lopes: Opa Td joia ! _x000a_Estou retornando para vc um contato que fez conosco sobre nosso software_x000a_11:03, 14/04/2026 +55 66 9647-2785: Vc tem sistema para materiais para construção_x000a_11:03, 14/04/2026 +55 66 9647-2785: ?_x000a_11:27, 14/04/2026 +55 66 9647-2785: A venda somente interna mesmo_x000a_11:27, 14/04/2026 +55 66 9647-2785: Não tem vendedores externos_x000a_11:36, 14/04/2026 Junior Lopes: Fiz uma análise rápida aqui Renan devido alguns pontos não consigo te atender! Ate pq nossa solução é mais focada em distribuição"/>
    <s v=""/>
    <x v="591"/>
    <m/>
    <s v=""/>
    <s v="Araguaia Materiais Para Construcao"/>
    <s v="66996472785"/>
    <s v=""/>
    <s v="renansimon@gmail.com"/>
    <s v=""/>
    <s v=""/>
    <s v=""/>
    <s v=""/>
    <s v=""/>
    <s v="Campanha"/>
    <s v=""/>
    <s v=""/>
    <s v="Fora Perfil;Instagram"/>
    <s v="Pipeline de Vendas"/>
    <s v="Qualificação de Vendas (SQL) (25%)"/>
    <s v=""/>
    <d v="2026-04-14T00:00:00"/>
    <m/>
    <m/>
    <n v="0"/>
    <s v="Paulo Souza"/>
    <d v="2026-04-14T00:00:00"/>
    <d v="1899-12-30T10:08:51"/>
    <s v=""/>
    <s v="Perdido"/>
    <d v="2026-04-14T00:00:00"/>
    <d v="1899-12-30T11:58:52"/>
    <s v="Fora do porte mínimo (sem fit estrutural)"/>
    <s v="em contato com Renan, precisa de um PDV para loja de material de construção com particularidades de entrega parcial e controle de medidas das para venda de terras e pedras"/>
    <s v=""/>
    <x v="0"/>
    <s v="Junior Lopes"/>
    <x v="0"/>
    <s v=""/>
    <m/>
    <n v="30"/>
    <s v=""/>
    <s v=""/>
    <s v=""/>
    <s v=""/>
    <n v="1"/>
  </r>
  <r>
    <x v="1"/>
    <n v="1106"/>
    <m/>
    <n v="3525"/>
    <s v=""/>
    <s v=""/>
    <x v="592"/>
    <m/>
    <s v=""/>
    <s v="Teodoro cosméticos"/>
    <s v="64999291080"/>
    <s v=""/>
    <s v="rogeriojtigo@hotmail.com"/>
    <s v=""/>
    <s v=""/>
    <s v=""/>
    <s v=""/>
    <s v="Jatai goais"/>
    <s v="Inbound"/>
    <s v=""/>
    <s v=""/>
    <s v="Dentro Perfil;Instagram"/>
    <s v="Pipeline de Vendas"/>
    <s v="Qualificação de Vendas (SQL) (25%)"/>
    <s v=""/>
    <d v="2026-04-14T00:00:00"/>
    <m/>
    <m/>
    <n v="36"/>
    <s v="Paulo Souza"/>
    <d v="2026-04-14T00:00:00"/>
    <d v="1899-12-30T10:09:44"/>
    <s v=""/>
    <s v="Ativo"/>
    <m/>
    <m/>
    <s v=""/>
    <s v=""/>
    <s v=""/>
    <x v="0"/>
    <s v="Junior Lopes"/>
    <x v="0"/>
    <s v=""/>
    <m/>
    <n v="30"/>
    <s v=""/>
    <s v=""/>
    <s v=""/>
    <s v=""/>
    <n v="1"/>
  </r>
  <r>
    <x v="1"/>
    <n v="1107"/>
    <m/>
    <n v="3526"/>
    <s v=""/>
    <s v=""/>
    <x v="593"/>
    <n v="52975803000165"/>
    <s v=""/>
    <s v="Dsg"/>
    <s v="85994341515"/>
    <s v=""/>
    <s v="euderi@hotmail.com"/>
    <s v=""/>
    <s v=""/>
    <s v=""/>
    <s v="MARACANAU"/>
    <s v="CE"/>
    <s v="Campanha"/>
    <s v=""/>
    <s v=""/>
    <s v="Fora Perfil;Instagram"/>
    <s v="Pipeline de Vendas"/>
    <s v="Agendamento (0%)"/>
    <s v=""/>
    <d v="2026-04-14T00:00:00"/>
    <m/>
    <m/>
    <n v="25"/>
    <s v="Paulo Souza"/>
    <d v="2026-04-14T00:00:00"/>
    <d v="1899-12-30T10:11:37"/>
    <s v=""/>
    <s v="Perdido"/>
    <d v="2026-05-09T00:00:00"/>
    <d v="1899-12-30T08:42:58"/>
    <s v="Fora do segmento atendido"/>
    <s v=""/>
    <s v=""/>
    <x v="0"/>
    <s v="Junior Lopes"/>
    <x v="0"/>
    <s v=""/>
    <m/>
    <n v="30"/>
    <s v=""/>
    <s v=""/>
    <s v=""/>
    <s v=""/>
    <n v="1"/>
  </r>
  <r>
    <x v="1"/>
    <n v="1113"/>
    <m/>
    <n v="3542"/>
    <s v=""/>
    <s v="Logrosoft Comercio, Importacao, Exportacao E Prestacao De Servicos Ltda"/>
    <x v="594"/>
    <n v="38116840000197"/>
    <s v=""/>
    <s v="Logrosoft Comercio, Importacao, Exportacao E Prestacao De Servicos Ltda"/>
    <s v="(31) 3378-0033"/>
    <s v=""/>
    <s v="supervisoroperacional@logrosoft.com.br"/>
    <s v=""/>
    <s v=""/>
    <s v=""/>
    <s v="BELO HORIZONTE"/>
    <s v="MG"/>
    <s v="Base de empresas Leads2b"/>
    <s v=""/>
    <s v=""/>
    <s v=""/>
    <s v="Pipeline de Vendas"/>
    <s v="Apresentar Solução (35%)"/>
    <s v=""/>
    <m/>
    <n v="13509779"/>
    <n v="899628"/>
    <n v="16"/>
    <s v="Junior Lopes"/>
    <d v="2026-04-14T00:00:00"/>
    <d v="1899-12-30T16:43:47"/>
    <s v=""/>
    <s v="Perdido"/>
    <d v="2026-04-30T00:00:00"/>
    <d v="1899-12-30T15:42:59"/>
    <s v="Não houve aprovação financeira"/>
    <s v="dois pontos que o cliente usou para não seguir ! busca um ERP Mais simples e com valor ,ais em conta"/>
    <s v=""/>
    <x v="209"/>
    <s v=""/>
    <x v="231"/>
    <s v=""/>
    <m/>
    <n v="50"/>
    <s v=""/>
    <s v=""/>
    <s v=""/>
    <s v=""/>
    <n v="1"/>
  </r>
  <r>
    <x v="1"/>
    <n v="1114"/>
    <m/>
    <n v="3544"/>
    <s v=""/>
    <s v=""/>
    <x v="595"/>
    <n v="38116840000197"/>
    <s v=""/>
    <s v="Logrosoft comercio CLOUD"/>
    <s v="3133780033"/>
    <s v=""/>
    <s v="supervisoroperacional@logrosoft.com.br"/>
    <s v=""/>
    <s v=""/>
    <s v=""/>
    <s v="BELO HORIZONTE"/>
    <s v="MG"/>
    <s v=""/>
    <s v=""/>
    <s v=""/>
    <s v=""/>
    <s v="Pipeline de Vendas"/>
    <s v="Em negociação (75%)"/>
    <s v=""/>
    <m/>
    <m/>
    <m/>
    <n v="16"/>
    <s v="Junior Lopes"/>
    <d v="2026-04-14T00:00:00"/>
    <d v="1899-12-30T16:46:18"/>
    <s v=""/>
    <s v="Perdido"/>
    <d v="2026-04-30T00:00:00"/>
    <d v="1899-12-30T15:42:07"/>
    <s v="Não houve aprovação financeira"/>
    <s v="dois pontos que o cliente usou para não seguir ! busca um ERP Mais simples e com valor ,ais em conta"/>
    <s v=""/>
    <x v="209"/>
    <s v=""/>
    <x v="232"/>
    <s v=""/>
    <m/>
    <n v="50"/>
    <s v=""/>
    <s v=""/>
    <s v=""/>
    <s v=""/>
    <n v="1"/>
  </r>
  <r>
    <x v="2"/>
    <n v="1116"/>
    <m/>
    <n v="3545"/>
    <s v="28.04"/>
    <s v=""/>
    <x v="596"/>
    <m/>
    <s v=""/>
    <s v="RK Assessoria Contábil"/>
    <s v="92981527777"/>
    <s v=""/>
    <s v="rcustodio777@gmail.com"/>
    <s v=""/>
    <s v=""/>
    <s v=""/>
    <s v=""/>
    <s v="Amazonas"/>
    <s v="Inbound"/>
    <s v=""/>
    <s v=""/>
    <s v="Dentro Perfil;Instagram"/>
    <s v="Pipeline de Vendas"/>
    <s v="Agendamento (0%)"/>
    <s v=""/>
    <d v="2026-04-15T00:00:00"/>
    <m/>
    <m/>
    <n v="24"/>
    <s v="Paulo Souza"/>
    <d v="2026-04-15T00:00:00"/>
    <d v="1899-12-30T12:27:42"/>
    <s v=""/>
    <s v="Perdido"/>
    <d v="2026-05-09T00:00:00"/>
    <d v="1899-12-30T08:29:42"/>
    <s v="Fora do segmento atendido"/>
    <s v=""/>
    <s v=""/>
    <x v="0"/>
    <s v="Rayssa Karapeticov"/>
    <x v="0"/>
    <s v=""/>
    <d v="2026-04-28T00:00:00"/>
    <n v="30"/>
    <s v=""/>
    <s v=""/>
    <s v=""/>
    <s v=""/>
    <n v="1"/>
  </r>
  <r>
    <x v="1"/>
    <n v="1117"/>
    <m/>
    <n v="3546"/>
    <s v="11:25, 16/04/2026 Junior Lopes: Olá bom dia !_x000a_11:25, 16/04/2026 Junior Lopes: Sou Junior Lopes da Guarani sistemas, Td bem ?_x000a_11:28, 16/04/2026 Junior Lopes: Estou retornando um contato que vc fez conosco_x000a_11:38, 16/04/2026 Big Alimentos: BIG Alimentos  agradece seu contato. Como podemos ajudar?_x000a_14:48, 16/04/2026 Big Alimentos: Olá_x000a_14:49, 16/04/2026 Big Alimentos: Júnior estou na estrada _x000a_Retorno na quarta_x000a_14:49, 16/04/2026 Big Alimentos: Aí falamos_x000a_14:49, 16/04/2026 Big Alimentos: Blz_x000a_14:54, 16/04/2026 Junior Lopes: Boa viagem 👊_x000a_🙏_x000a_(18/05/2026) cliente não responde aos contatos"/>
    <s v=""/>
    <x v="597"/>
    <m/>
    <s v=""/>
    <s v="AutoFoz"/>
    <s v="41991237979"/>
    <s v=""/>
    <s v="b8alimentos@gmail.com"/>
    <s v=""/>
    <s v=""/>
    <s v=""/>
    <s v=""/>
    <s v="Brasil"/>
    <s v="Inbound"/>
    <s v=""/>
    <s v=""/>
    <s v="Dentro Perfil;Instagram"/>
    <s v="Pipeline de Vendas"/>
    <s v="Qualificação de Vendas (SQL) (25%)"/>
    <s v=""/>
    <d v="2026-04-30T00:00:00"/>
    <m/>
    <m/>
    <n v="33"/>
    <s v="Paulo Souza"/>
    <d v="2026-04-15T00:00:00"/>
    <d v="1899-12-30T12:28:31"/>
    <s v=""/>
    <s v="Perdido"/>
    <d v="2026-05-18T00:00:00"/>
    <d v="1899-12-30T15:03:56"/>
    <s v="Sem qualificação — contato não atende ligações nem responde msg"/>
    <s v="inicialmente cliente chegou a responder , logo sumiu e não retorna mais"/>
    <s v=""/>
    <x v="0"/>
    <s v="Junior Lopes"/>
    <x v="0"/>
    <s v=""/>
    <d v="2026-05-18T00:00:00"/>
    <n v="30"/>
    <s v=""/>
    <s v=""/>
    <s v=""/>
    <s v=""/>
    <n v="1"/>
  </r>
  <r>
    <x v="1"/>
    <n v="1120"/>
    <m/>
    <n v="3556"/>
    <s v="14:26, 17/04/2026 Junior Lopes: Olá Danilo ,_x000a_Boa tarde _x000a_Sou Junior Lopes da Guarani sistemas! Td bem ? _x000a_Quem me passou seu contato foi o Jonas_x000a_14:26, 17/04/2026 Danillo Negrao Atac: ola tudo bem??_x000a_14:33, 17/04/2026 Junior Lopes: Imagine que o próprio representante/vendedor pode enviar loja B2B para o cliente dele e administrar essas lojas no dispositivo"/>
    <s v="Ferragens Negrao Comercial Ltda"/>
    <x v="598"/>
    <n v="76639285000339"/>
    <s v=""/>
    <s v="Ferragens Negrao Comercial Ltda"/>
    <s v="(41) 2109-8000"/>
    <s v=""/>
    <s v="fiscal@grupofn.com.br"/>
    <s v=""/>
    <s v=""/>
    <s v=""/>
    <s v="CURITIBA"/>
    <s v="PR"/>
    <s v="Base de empresas Leads2b"/>
    <s v=""/>
    <s v=""/>
    <s v=""/>
    <s v="Pipeline de Vendas"/>
    <s v="Qualificação de Vendas (SQL) (25%)"/>
    <s v=""/>
    <m/>
    <m/>
    <m/>
    <n v="33"/>
    <s v="Junior Lopes"/>
    <d v="2026-04-17T00:00:00"/>
    <d v="1899-12-30T14:41:48"/>
    <s v=""/>
    <s v="Ativo"/>
    <m/>
    <m/>
    <s v=""/>
    <s v=""/>
    <s v=""/>
    <x v="0"/>
    <s v=""/>
    <x v="0"/>
    <s v=""/>
    <m/>
    <n v="30"/>
    <s v=""/>
    <s v=""/>
    <s v=""/>
    <s v=""/>
    <n v="1"/>
  </r>
  <r>
    <x v="1"/>
    <n v="1121"/>
    <m/>
    <n v="3558"/>
    <s v="(23/04/2026 E mail enviado buscando agenda : _x000a_Olá Tito, Tudo bem ? _x000a_ _x000a_Meu nome é Junior Lopes , da Guarani Sistemas. Escrevo para apresentar uma solução que pode transformar a eficiência da equipe de vendas da Bartofil: o Guarani AFV._x000a_ _x000a_Em anexo, envio um folder com todos os detalhes, mas gostaria de destacar três pilares que fazem toda a diferença:_x000a_ _x000a_IA Iara, sua assistente virtual de vendas: Ela atua dentro do app do representante, analisando histórico, ramo de atividade e comportamento de compra para fazer predições e sugestões de venda inteligentes. A Iara aprende com cada cliente e ajuda a impulsionar o mix de produtos ativos, reduzindo rupturas no PDV._x000a_Integração nativa com qualquer ERP: O sistema se conecta perfeitamente ao seu software de gestão atual, seja qual for. Isso garante um fluxo de dados único (pedidos, estoque, clientes) sem retrabalho, duplicidade ou necessidade de mudar toda a operação._x000a_Loja B2B personalizada: Ofereça aos seus clientes um canal de compra 24/7, onde podem fazer pedidos de onde, quando e como quiserem. Isso amplia o ticket médio, libera a equipe de vendas para atividades mais estratégicas e garante que nenhuma oportunidade seja perdida fora do horário comercial._x000a_ _x000a_Além disso, a solução inclui catálogo digital, orçamento e proposta web, roteirização inteligente, controle de estoques em múltiplos locais e indicadores de desempenho em tempo real._x000a_ _x000a_Gostaria de agendar uma apresentação rápida (30–45 minutos) para mostrar, na prática, como o Guarani AFV pode apoiar a equipe da Bartofil e reduzir rupturas no ponto de venda, além de ampliar o mix de produtos ativos em cada cliente._x000a_ _x000a_Você teria disponibilidade na próxima semana, em algum desses horários?_x000a_ _x000a_Segunda-feira dia 27/04 às 10 horas _x000a_Terça-feira dia 28/04 às 14 horas _x000a_ _x000a_Se preferir, posso me adequar ao melhor dia e horário para você._x000a_ _x000a_Fico à disposição e agradeço desde já pela atenção."/>
    <s v="Nova Casa Distribuidora De Materiais Para Construcao S/a"/>
    <x v="599"/>
    <n v="74200403001605"/>
    <s v=""/>
    <s v="Nova Casa Distribuidora De Materiais Para Construcao S/a"/>
    <s v="(61) 3025-9500"/>
    <s v=""/>
    <s v="fiscal@ncdistribuidora.com.br"/>
    <s v=""/>
    <s v=""/>
    <s v=""/>
    <s v="SAO LUIS"/>
    <s v="MA"/>
    <s v="Base de empresas Leads2b"/>
    <s v=""/>
    <s v=""/>
    <s v=""/>
    <s v="Pipeline de Vendas"/>
    <s v="Qualificação de Vendas (SQL) (25%)"/>
    <s v=""/>
    <m/>
    <m/>
    <m/>
    <n v="33"/>
    <s v="Junior Lopes"/>
    <d v="2026-04-17T00:00:00"/>
    <d v="1899-12-30T14:51:26"/>
    <s v=""/>
    <s v="Ativo"/>
    <m/>
    <m/>
    <s v=""/>
    <s v=""/>
    <s v=""/>
    <x v="0"/>
    <s v=""/>
    <x v="0"/>
    <s v=""/>
    <d v="2026-04-23T00:00:00"/>
    <n v="30"/>
    <s v=""/>
    <s v=""/>
    <s v=""/>
    <s v=""/>
    <n v="1"/>
  </r>
  <r>
    <x v="1"/>
    <n v="1122"/>
    <m/>
    <n v="3560"/>
    <s v=""/>
    <s v="Bartofil Distribuidora Sa"/>
    <x v="600"/>
    <n v="23797376005567"/>
    <s v=""/>
    <s v="Bartofil Distribuidora Sa"/>
    <s v="(31) 3819-2000"/>
    <s v=""/>
    <s v="contabilidade@bartofil.com.br"/>
    <s v=""/>
    <s v=""/>
    <s v=""/>
    <s v="NOVA FRIBURGO"/>
    <s v="RJ"/>
    <s v="Base de empresas Leads2b"/>
    <s v=""/>
    <s v=""/>
    <s v=""/>
    <s v="Pipeline de Vendas"/>
    <s v="Qualificação de Vendas (SQL) (25%)"/>
    <s v=""/>
    <m/>
    <m/>
    <m/>
    <n v="33"/>
    <s v="Junior Lopes"/>
    <d v="2026-04-17T00:00:00"/>
    <d v="1899-12-30T15:36:58"/>
    <s v=""/>
    <s v="Ativo"/>
    <m/>
    <m/>
    <s v=""/>
    <s v=""/>
    <s v=""/>
    <x v="0"/>
    <s v=""/>
    <x v="0"/>
    <s v=""/>
    <d v="2026-05-06T00:00:00"/>
    <n v="30"/>
    <s v=""/>
    <s v=""/>
    <s v=""/>
    <s v=""/>
    <n v="1"/>
  </r>
  <r>
    <x v="1"/>
    <n v="1123"/>
    <m/>
    <n v="3562"/>
    <s v=""/>
    <s v="L.l.e. Ferragens Ltda."/>
    <x v="601"/>
    <n v="5953543000147"/>
    <s v=""/>
    <s v="L.l.e. Ferragens Ltda."/>
    <s v="(21) 2131-8511"/>
    <s v=""/>
    <s v="fiscal@grupolle.com.br"/>
    <s v=""/>
    <s v=""/>
    <s v=""/>
    <s v="RIO DE JANEIRO"/>
    <s v="RJ"/>
    <s v="Base de empresas Leads2b"/>
    <s v=""/>
    <s v=""/>
    <s v=""/>
    <s v="Pipeline de Vendas"/>
    <s v="Qualificação de Vendas (SQL) (25%)"/>
    <s v=""/>
    <m/>
    <m/>
    <m/>
    <n v="33"/>
    <s v="Junior Lopes"/>
    <d v="2026-04-17T00:00:00"/>
    <d v="1899-12-30T16:48:26"/>
    <s v=""/>
    <s v="Ativo"/>
    <m/>
    <m/>
    <s v=""/>
    <s v=""/>
    <s v=""/>
    <x v="0"/>
    <s v=""/>
    <x v="0"/>
    <s v=""/>
    <d v="2026-05-06T00:00:00"/>
    <n v="30"/>
    <s v=""/>
    <s v=""/>
    <s v=""/>
    <s v=""/>
    <n v="1"/>
  </r>
  <r>
    <x v="2"/>
    <n v="1126"/>
    <m/>
    <n v="3553"/>
    <s v="22.04 caixa postal_x000a_10:19, 22/04/2026 Rayssa Karapeticov - Comercial - Guarani Sistemas: Bom dia Valéria, tudo bem?_x000a_Meu nome é Rayssa, sou executiva de vendas na Guarani Sistemas_x000a_Estou retornando seu contato com interesse em nossa soluções,_x000a_10:20, 22/04/2026 Rayssa Karapeticov - Comercial - Guarani Sistemas: Para seguirmos com seu atendimento, preciso entender seus processos e mais sobre sua empresa_x000a_Qual a melhor forma para retornar o contato, prefere falar por aqui ou prefere que te ligue?"/>
    <s v=""/>
    <x v="602"/>
    <m/>
    <s v=""/>
    <s v="Brasil Rural"/>
    <s v="17997762600"/>
    <s v=""/>
    <s v="valeria.rod312@gmail.com"/>
    <s v=""/>
    <s v=""/>
    <s v=""/>
    <s v=""/>
    <s v="Brasil"/>
    <s v="Inbound"/>
    <s v=""/>
    <s v=""/>
    <s v="Fora Perfil;Instagram"/>
    <s v="Pipeline de Vendas"/>
    <s v="Agendamento (0%)"/>
    <s v=""/>
    <m/>
    <m/>
    <m/>
    <n v="19"/>
    <s v="Paulo Souza"/>
    <d v="2026-04-20T00:00:00"/>
    <d v="1899-12-30T14:16:55"/>
    <s v=""/>
    <s v="Perdido"/>
    <d v="2026-05-09T00:00:00"/>
    <d v="1899-12-30T08:28:25"/>
    <s v="Sem qualificação — contato não atende ligações nem responde msg"/>
    <s v=""/>
    <s v=""/>
    <x v="0"/>
    <s v="Rayssa Karapeticov"/>
    <x v="0"/>
    <s v=""/>
    <d v="2026-04-30T00:00:00"/>
    <n v="30"/>
    <s v=""/>
    <s v=""/>
    <s v=""/>
    <s v=""/>
    <n v="1"/>
  </r>
  <r>
    <x v="1"/>
    <n v="1127"/>
    <m/>
    <n v="3555"/>
    <s v="e mail enviado _x000a_(30/04/2026) em contato com Manoel vendo melhor data para apresentação _x000a_Olá Manoel ! _x000a_Meu nome é Junior Lopes, sou Executivo de Contas Corporativas na Guarani Sistemas, empresa especializada em soluções de gestão empresarial e comercial para toda a cadeia de abastecimento de artigos para o lar._x000a_ _x000a_Desde 2006, desenvolvemos e implementamos ferramentas que fomentam o crescimento dos nossos clientes. Hoje, contamos com mais de 900 clientes ativos, 40 mil usuários e cerca de 65 mil notas fiscais geradas diariamente em nossa plataforma, mantendo um crescimento médio anual de 20%. Nosso propósito é transformar nossos clientes em referência comercial e operacional em seus mercados, criando em conjunto soluções flexíveis que promovam diretamente o crescimento do negócio._x000a_ _x000a_Atendemos indústrias, importadores, distribuidores, atacadistas e varejistas dos segmentos de utilidades domésticas, brinquedos, presentes, decoração, metalúrgica, química, alimentos, têxtil, agro e outros generalistas. Entre nossos clientes, temos casos de sucesso como Plasútil, Paramount, Ingá Import, Alumínio Nacional e Dolce Home, que ampliaram sua eficiência e cresceram fortemente com o apoio de nossas soluções._x000a_ _x000a_Para a Home Market 24h, enxergamos grande potencial de apoio principalmente em três frentes:_x000a_Gestão integrada da operação, com nosso ERP (on-premise ou em nuvem), módulos de PCP e WMS, garantindo controle de estoques, compras, vendas, faturamento, financeiro e logística em um único ambiente._x000a_Automação da força de vendas, com o Guarani AFV, levando mais produtividade, controle e inteligência comercial para a equipe, com informações em tempo real e apoio à expansão da carteira de clientes._x000a_E-commerce B2B integrado, com o Power B2B, permitindo que seus clientes realizem pedidos de maneira simples, rápida e totalmente integrada ao ERP, ampliando o alcance da Home Market 24h no mercado corporativo._x000a_ _x000a_ _x000a_Gostaria de agendar uma breve conversa para entender melhor o cenário atual da Home Market 24h e apresentar de forma objetiva como a Guarani Sistemas pode contribuir com a operação de vocês?_x000a_ _x000a_Fico à disposição para alinhar o melhor dia e horário._x000a_ _x000a_ _x000a_Atenciosamente,"/>
    <s v=""/>
    <x v="603"/>
    <m/>
    <s v=""/>
    <s v="Comercial O Manoel"/>
    <s v="85999874743"/>
    <s v=""/>
    <s v="comercialomanoel@gmail.com"/>
    <s v=""/>
    <s v=""/>
    <s v=""/>
    <s v=""/>
    <s v="Ceara"/>
    <s v="Inbound"/>
    <s v=""/>
    <s v=""/>
    <s v="Dentro Perfil;Instagram"/>
    <s v="Pipeline de Vendas"/>
    <s v="Qualificação de Vendas (SQL) (25%)"/>
    <s v=""/>
    <m/>
    <m/>
    <m/>
    <n v="30"/>
    <s v="Paulo Souza"/>
    <d v="2026-04-20T00:00:00"/>
    <d v="1899-12-30T14:26:57"/>
    <s v=""/>
    <s v="Ativo"/>
    <m/>
    <m/>
    <s v=""/>
    <s v=""/>
    <s v=""/>
    <x v="0"/>
    <s v="Junior Lopes"/>
    <x v="0"/>
    <s v=""/>
    <d v="2026-04-30T00:00:00"/>
    <n v="30"/>
    <s v=""/>
    <s v=""/>
    <s v=""/>
    <s v=""/>
    <n v="1"/>
  </r>
  <r>
    <x v="2"/>
    <n v="1128"/>
    <m/>
    <n v="3565"/>
    <s v="22.04 Não atendeu _x000a_Bom dia, Sergio. Como vai? _x000a_Meu nome é Rayssa, sou Executiva de Vendas na Guarani Sistemas, e estou retornando seu contato com nossa empresa para conhecer mais sobre nossas soluções_x000a_Para seguirmos preciso entender sua empresa e seus processos. _x000a_Você prefere seguir o atendimento por aqui ou prefere que te ligue?"/>
    <s v=""/>
    <x v="604"/>
    <m/>
    <s v=""/>
    <s v="Garrama com essência eirele"/>
    <s v="11986111998"/>
    <s v=""/>
    <s v="ss.sergiofaertes@gmail.com"/>
    <s v=""/>
    <s v=""/>
    <s v=""/>
    <s v=""/>
    <s v=""/>
    <s v="Campanha"/>
    <s v=""/>
    <s v=""/>
    <s v="Fora Perfil;Instagram"/>
    <s v="Pipeline de Vendas"/>
    <s v="Qualificação de Vendas (SQL) (25%)"/>
    <s v=""/>
    <d v="2026-04-30T00:00:00"/>
    <m/>
    <m/>
    <n v="19"/>
    <s v="Paulo Souza"/>
    <d v="2026-04-20T00:00:00"/>
    <d v="1899-12-30T15:22:35"/>
    <s v=""/>
    <s v="Perdido"/>
    <d v="2026-05-09T00:00:00"/>
    <d v="1899-12-30T08:36:06"/>
    <s v="Sem qualificação — contato não atende ligações nem responde msg"/>
    <s v=""/>
    <s v=""/>
    <x v="0"/>
    <s v="Rayssa Karapeticov"/>
    <x v="0"/>
    <s v=""/>
    <d v="2026-04-24T00:00:00"/>
    <n v="30"/>
    <s v=""/>
    <s v=""/>
    <s v=""/>
    <s v=""/>
    <n v="1"/>
  </r>
  <r>
    <x v="1"/>
    <n v="1129"/>
    <m/>
    <n v="3566"/>
    <s v=""/>
    <s v=""/>
    <x v="605"/>
    <m/>
    <s v=""/>
    <s v="Supermercado Mathur"/>
    <s v="11954971535"/>
    <s v=""/>
    <s v="renato@mathur.com.br"/>
    <s v=""/>
    <s v=""/>
    <s v=""/>
    <s v=""/>
    <s v="Sao paulo"/>
    <s v="Inbound"/>
    <s v=""/>
    <s v=""/>
    <s v="Fora Perfil;Instagram"/>
    <s v="Pipeline de Vendas"/>
    <s v="Agendamento (0%)"/>
    <s v=""/>
    <m/>
    <m/>
    <m/>
    <n v="0"/>
    <s v="Paulo Souza"/>
    <d v="2026-04-20T00:00:00"/>
    <d v="1899-12-30T15:23:29"/>
    <s v=""/>
    <s v="Perdido"/>
    <d v="2026-04-20T00:00:00"/>
    <d v="1899-12-30T16:43:51"/>
    <s v="Fora do porte mínimo (sem fit estrutural)"/>
    <s v="Supermercado, fora do perfil"/>
    <s v=""/>
    <x v="0"/>
    <s v="Junior Lopes"/>
    <x v="0"/>
    <s v=""/>
    <m/>
    <n v="30"/>
    <s v=""/>
    <s v=""/>
    <s v=""/>
    <s v=""/>
    <n v="1"/>
  </r>
  <r>
    <x v="2"/>
    <n v="1130"/>
    <m/>
    <n v="3567"/>
    <s v="Falei com o Arthur,. porem quem esta cuidando disso é o Rodrigo, vai passar meu contato para ele para seguir com o Atendimento"/>
    <s v=""/>
    <x v="606"/>
    <m/>
    <s v=""/>
    <s v="Cafe Santa Monica"/>
    <s v="11981430800"/>
    <s v=""/>
    <s v="arthurmosco@gmail.com"/>
    <s v=""/>
    <s v=""/>
    <s v=""/>
    <s v=""/>
    <s v=""/>
    <s v="Campanha"/>
    <s v=""/>
    <s v=""/>
    <s v="Dentro Perfil;Instagram"/>
    <s v="Pipeline de Vendas"/>
    <s v="Qualificação de Vendas (SQL) (25%)"/>
    <s v=""/>
    <m/>
    <m/>
    <m/>
    <n v="30"/>
    <s v="Paulo Souza"/>
    <d v="2026-04-20T00:00:00"/>
    <d v="1899-12-30T15:25:17"/>
    <s v=""/>
    <s v="Ativo"/>
    <m/>
    <m/>
    <s v=""/>
    <s v=""/>
    <s v=""/>
    <x v="0"/>
    <s v="Rayssa Karapeticov"/>
    <x v="0"/>
    <s v=""/>
    <d v="2026-05-07T00:00:00"/>
    <n v="30"/>
    <s v=""/>
    <s v=""/>
    <s v=""/>
    <s v=""/>
    <n v="1"/>
  </r>
  <r>
    <x v="1"/>
    <n v="1131"/>
    <m/>
    <n v="3568"/>
    <s v="(20/04/2026) em contato com Kamilla"/>
    <s v=""/>
    <x v="607"/>
    <n v="36955063000149"/>
    <s v=""/>
    <s v="NORTH EXPORTACAO"/>
    <s v="(91) 9343-5475"/>
    <s v=""/>
    <s v="northacaifoods@gmail.com"/>
    <s v=""/>
    <s v=""/>
    <s v=""/>
    <s v="BELEM"/>
    <s v="PA"/>
    <s v="Campanha"/>
    <s v=""/>
    <s v=""/>
    <s v="Dentro Perfil;Instagram"/>
    <s v="Pipeline de Vendas"/>
    <s v="Qualificação de Vendas (SQL) (25%)"/>
    <s v=""/>
    <m/>
    <m/>
    <m/>
    <n v="19"/>
    <s v="Paulo Souza"/>
    <d v="2026-04-20T00:00:00"/>
    <d v="1899-12-30T15:26:13"/>
    <s v=""/>
    <s v="Perdido"/>
    <d v="2026-05-09T00:00:00"/>
    <d v="1899-12-30T08:36:50"/>
    <s v="Sem qualificação — contato não atende ligações nem responde msg"/>
    <s v=""/>
    <s v=""/>
    <x v="0"/>
    <s v="Junior Lopes"/>
    <x v="0"/>
    <s v=""/>
    <d v="2026-04-28T00:00:00"/>
    <n v="30"/>
    <s v=""/>
    <s v=""/>
    <s v=""/>
    <s v=""/>
    <n v="1"/>
  </r>
  <r>
    <x v="2"/>
    <n v="1132"/>
    <m/>
    <n v="3569"/>
    <s v="22.04 liguei e deu caixa postal _x000a_Bom dia Rafael, tudo bem? _x000a_Meu nome e Rayssa, sou Executiva de Vendas na Guarani Sistemas, estou retornando seu contato para falar sobre seu interesse em um novo software. _x000a_Para seguirmos com esse contato preciso entender o processo de sua empresa e o que esta buscando _x000a_Como prefere seguir o atendimento, por aqui ou quer que eu te ligue?"/>
    <s v=""/>
    <x v="608"/>
    <m/>
    <s v=""/>
    <s v="Lpx"/>
    <s v="9282770000"/>
    <s v=""/>
    <s v="atakadaoeletrica@gmail.com"/>
    <s v=""/>
    <s v=""/>
    <s v=""/>
    <s v=""/>
    <s v="Brasil"/>
    <s v="Inbound"/>
    <s v=""/>
    <s v=""/>
    <s v="Fora Perfil;Instagram"/>
    <s v="Pipeline de Vendas"/>
    <s v="Agendamento (0%)"/>
    <s v=""/>
    <m/>
    <m/>
    <m/>
    <n v="19"/>
    <s v="Paulo Souza"/>
    <d v="2026-04-20T00:00:00"/>
    <d v="1899-12-30T15:27:43"/>
    <s v=""/>
    <s v="Perdido"/>
    <d v="2026-05-09T00:00:00"/>
    <d v="1899-12-30T08:43:51"/>
    <s v="Sem qualificação — contato não atende ligações nem responde msg"/>
    <s v=""/>
    <s v=""/>
    <x v="0"/>
    <s v="Rayssa Karapeticov"/>
    <x v="0"/>
    <s v=""/>
    <d v="2026-04-29T00:00:00"/>
    <n v="30"/>
    <s v=""/>
    <s v=""/>
    <s v=""/>
    <s v=""/>
    <n v="1"/>
  </r>
  <r>
    <x v="1"/>
    <n v="1133"/>
    <m/>
    <n v="3571"/>
    <s v="16:55, 20/04/2026 Junior Lopes: Olá Marcos , boa tarde_x000a_16:55, 20/04/2026 Junior Lopes: sou Junior lopes da Guarani sistemas, td bem ?_x000a_16:55, 20/04/2026 Junior Lopes: estou retornando contato que vc fez conosco_x000a_17:18, 20/04/2026 +55 18 99701-9440: Olá boa tarde."/>
    <s v=""/>
    <x v="609"/>
    <m/>
    <s v=""/>
    <s v="Governo do Estado de São Paulo"/>
    <s v="18997019440"/>
    <s v=""/>
    <s v="marcosleitao37@hotmail.com"/>
    <s v=""/>
    <s v=""/>
    <s v=""/>
    <s v=""/>
    <s v="Presidente Epitácio Sp"/>
    <s v="Inbound"/>
    <s v=""/>
    <s v=""/>
    <s v="Fora Perfil;Instagram"/>
    <s v="Pipeline de Vendas"/>
    <s v="Agendamento (0%)"/>
    <s v=""/>
    <m/>
    <m/>
    <m/>
    <n v="19"/>
    <s v="Paulo Souza"/>
    <d v="2026-04-20T00:00:00"/>
    <d v="1899-12-30T15:29:11"/>
    <s v=""/>
    <s v="Perdido"/>
    <d v="2026-05-09T00:00:00"/>
    <d v="1899-12-30T08:45:24"/>
    <s v="Fora do segmento atendido"/>
    <s v=""/>
    <s v=""/>
    <x v="0"/>
    <s v="Junior Lopes"/>
    <x v="0"/>
    <s v=""/>
    <m/>
    <n v="30"/>
    <s v=""/>
    <s v=""/>
    <s v=""/>
    <s v=""/>
    <n v="1"/>
  </r>
  <r>
    <x v="0"/>
    <n v="1134"/>
    <m/>
    <n v="3575"/>
    <s v=""/>
    <s v=""/>
    <x v="610"/>
    <n v="67846790000100"/>
    <s v=""/>
    <s v="Andrea"/>
    <s v="(11) 4526-2313"/>
    <s v=""/>
    <s v="financeiro@hoberplasticos.com.br"/>
    <s v=""/>
    <s v=""/>
    <s v=""/>
    <s v="JUNDIAI"/>
    <s v="SP"/>
    <s v=""/>
    <s v=""/>
    <s v=""/>
    <s v=""/>
    <s v="Pipeline de Vendas"/>
    <s v="Em negociação (75%)"/>
    <s v=""/>
    <d v="2026-05-31T00:00:00"/>
    <n v="1364029"/>
    <n v="563118"/>
    <n v="30"/>
    <s v="Paulo Souza"/>
    <d v="2026-04-20T00:00:00"/>
    <d v="1899-12-30T16:00:02"/>
    <s v=""/>
    <s v="Ativo"/>
    <m/>
    <m/>
    <s v=""/>
    <s v=""/>
    <s v=""/>
    <x v="210"/>
    <s v="Paulo Souza"/>
    <x v="233"/>
    <s v=""/>
    <d v="2026-05-18T00:00:00"/>
    <n v="30"/>
    <s v=""/>
    <s v=""/>
    <s v=""/>
    <s v=""/>
    <n v="1"/>
  </r>
  <r>
    <x v="0"/>
    <n v="1135"/>
    <m/>
    <n v="3578"/>
    <s v=""/>
    <s v=""/>
    <x v="490"/>
    <n v="7730144000142"/>
    <s v=""/>
    <s v="Alexandre"/>
    <s v="(11) 4151-2564/ (11) 4551-2554"/>
    <s v=""/>
    <s v="comercial@kopermax.com.br"/>
    <s v=""/>
    <s v=""/>
    <s v=""/>
    <s v="CARAPICUIBA"/>
    <s v="SP"/>
    <s v=""/>
    <s v=""/>
    <s v=""/>
    <s v=""/>
    <s v="Pipeline de Vendas"/>
    <s v="Apresentar Proposta (50%)"/>
    <s v=""/>
    <d v="2026-05-31T00:00:00"/>
    <m/>
    <m/>
    <n v="21"/>
    <s v="Paulo Souza"/>
    <d v="2026-04-20T00:00:00"/>
    <d v="1899-12-30T16:52:52"/>
    <s v=""/>
    <s v="Perdido"/>
    <d v="2026-05-11T00:00:00"/>
    <d v="1899-12-30T11:58:02"/>
    <s v="Projeto adiado / sem prazo definido"/>
    <s v=""/>
    <s v=""/>
    <x v="211"/>
    <s v="Paulo Souza"/>
    <x v="233"/>
    <s v=""/>
    <m/>
    <n v="30"/>
    <s v=""/>
    <s v=""/>
    <s v=""/>
    <s v=""/>
    <n v="1"/>
  </r>
  <r>
    <x v="1"/>
    <n v="1136"/>
    <m/>
    <n v="3582"/>
    <s v="(23/04/2026) em contato com João Netto via telefone _x000a_atualmente busca um software para automação da sua produção e controle de estoque que contempla a gestão financeira e fiscal , sua equipe de venda precisa de um aplicativo para estrada e controle de pedidos"/>
    <s v=""/>
    <x v="611"/>
    <n v="25356414000189"/>
    <s v=""/>
    <s v="Bia alimentos"/>
    <s v="75992608709"/>
    <s v=""/>
    <s v="jjneto28@gmail.com"/>
    <s v=""/>
    <s v=""/>
    <s v=""/>
    <s v="SAO GONCALO DOS CAMPOS"/>
    <s v="BA"/>
    <s v="Campanha"/>
    <s v=""/>
    <s v=""/>
    <s v="Dentro Perfil;Instagram"/>
    <s v="Pipeline de Vendas"/>
    <s v="Apresentar Solução (35%)"/>
    <s v=""/>
    <m/>
    <m/>
    <m/>
    <n v="27"/>
    <s v="Paulo Souza"/>
    <d v="2026-04-23T00:00:00"/>
    <d v="1899-12-30T14:05:58"/>
    <s v=""/>
    <s v="Ativo"/>
    <m/>
    <m/>
    <s v=""/>
    <s v=""/>
    <s v=""/>
    <x v="0"/>
    <s v="Junior Lopes"/>
    <x v="0"/>
    <s v=""/>
    <m/>
    <n v="30"/>
    <s v=""/>
    <s v=""/>
    <s v=""/>
    <s v=""/>
    <n v="1"/>
  </r>
  <r>
    <x v="2"/>
    <n v="1137"/>
    <m/>
    <n v="3581"/>
    <s v=""/>
    <s v=""/>
    <x v="612"/>
    <m/>
    <s v=""/>
    <s v="Quality medical"/>
    <s v="6592542913"/>
    <s v=""/>
    <s v="marcosrobertosilvestre@hotmail.com"/>
    <s v=""/>
    <s v=""/>
    <s v=""/>
    <s v=""/>
    <s v=""/>
    <s v="Campanha"/>
    <s v=""/>
    <s v=""/>
    <s v="Dentro Perfil;Instagram"/>
    <s v="Pipeline de Vendas"/>
    <s v="Qualificação de Vendas (SQL) (25%)"/>
    <s v=""/>
    <m/>
    <m/>
    <m/>
    <n v="27"/>
    <s v="Paulo Souza"/>
    <d v="2026-04-23T00:00:00"/>
    <d v="1899-12-30T14:08:08"/>
    <s v=""/>
    <s v="Ativo"/>
    <m/>
    <m/>
    <s v=""/>
    <s v=""/>
    <s v=""/>
    <x v="0"/>
    <s v="Rayssa Karapeticov"/>
    <x v="0"/>
    <s v=""/>
    <d v="2026-05-07T00:00:00"/>
    <n v="30"/>
    <s v=""/>
    <s v=""/>
    <s v=""/>
    <s v=""/>
    <n v="1"/>
  </r>
  <r>
    <x v="2"/>
    <n v="1138"/>
    <m/>
    <n v="3586"/>
    <s v=""/>
    <s v=""/>
    <x v="613"/>
    <m/>
    <s v=""/>
    <s v="Autônomo"/>
    <s v="94991836683"/>
    <s v=""/>
    <s v="gersondsvasconcelos@gmail.com"/>
    <s v=""/>
    <s v=""/>
    <s v=""/>
    <s v=""/>
    <s v=""/>
    <s v="Campanha"/>
    <s v=""/>
    <s v=""/>
    <s v="Fora Perfil;Instagram"/>
    <s v="Pipeline de Vendas"/>
    <s v="Agendamento (0%)"/>
    <s v=""/>
    <m/>
    <m/>
    <m/>
    <n v="15"/>
    <s v="Paulo Souza"/>
    <d v="2026-04-24T00:00:00"/>
    <d v="1899-12-30T10:11:26"/>
    <s v=""/>
    <s v="Perdido"/>
    <d v="2026-05-09T00:00:00"/>
    <d v="1899-12-30T08:45:54"/>
    <s v="Sem qualificação — contato não atende ligações nem responde msg"/>
    <s v=""/>
    <s v=""/>
    <x v="0"/>
    <s v="Rayssa Karapeticov"/>
    <x v="0"/>
    <s v=""/>
    <m/>
    <n v="30"/>
    <s v=""/>
    <s v=""/>
    <s v=""/>
    <s v=""/>
    <n v="1"/>
  </r>
  <r>
    <x v="1"/>
    <n v="1139"/>
    <m/>
    <n v="3603"/>
    <s v="(27/04/2026) em contato com Carol, Sr. Paulo não estava na empresa ! Carol anotou meu WhatsApp para retorno"/>
    <s v=""/>
    <x v="614"/>
    <n v="7598229000119"/>
    <s v=""/>
    <s v="plaslumy"/>
    <s v="(35) 3232-2223 / (35) 3234-1578 / (35) 3232-2223"/>
    <s v=""/>
    <s v="fiscal@plaslumy.com.br"/>
    <s v=""/>
    <s v=""/>
    <s v=""/>
    <s v="TRES CORACOES"/>
    <s v="MG"/>
    <s v="Inbound"/>
    <s v=""/>
    <s v=""/>
    <s v="Dentro Perfil;Instagram"/>
    <s v="Pipeline de Vendas"/>
    <s v="Qualificação de Vendas (SQL) (25%)"/>
    <s v=""/>
    <m/>
    <m/>
    <m/>
    <n v="23"/>
    <s v="Paulo Souza"/>
    <d v="2026-04-27T00:00:00"/>
    <d v="1899-12-30T15:32:48"/>
    <s v=""/>
    <s v="Ativo"/>
    <m/>
    <m/>
    <s v=""/>
    <s v=""/>
    <s v=""/>
    <x v="0"/>
    <s v="Junior Lopes"/>
    <x v="0"/>
    <s v=""/>
    <m/>
    <n v="30"/>
    <s v=""/>
    <s v=""/>
    <s v=""/>
    <s v=""/>
    <n v="1"/>
  </r>
  <r>
    <x v="2"/>
    <n v="1140"/>
    <m/>
    <n v="3588"/>
    <s v=""/>
    <s v=""/>
    <x v="615"/>
    <n v="7403402000186"/>
    <s v=""/>
    <s v="Shopping do Parafuso"/>
    <s v="31996583027"/>
    <s v=""/>
    <s v="comercial@shoppingdoparafuso.com.br"/>
    <s v=""/>
    <s v=""/>
    <s v=""/>
    <s v=""/>
    <s v=""/>
    <s v="Campanha"/>
    <s v=""/>
    <s v=""/>
    <s v="Fora Perfil;Instagram;Perfil Indefinido"/>
    <s v="Pipeline de Vendas"/>
    <s v="Qualificação de Vendas (SQL) (25%)"/>
    <s v=""/>
    <m/>
    <m/>
    <m/>
    <n v="10"/>
    <s v="Paulo Souza"/>
    <d v="2026-04-27T00:00:00"/>
    <d v="1899-12-30T15:48:50"/>
    <s v=""/>
    <s v="Perdido"/>
    <d v="2026-05-07T00:00:00"/>
    <d v="1899-12-30T10:40:49"/>
    <s v="Fora do porte mínimo (sem fit estrutural)"/>
    <s v=""/>
    <s v=""/>
    <x v="0"/>
    <s v="Rayssa Karapeticov"/>
    <x v="0"/>
    <s v=""/>
    <d v="2026-04-29T00:00:00"/>
    <n v="30"/>
    <s v=""/>
    <s v=""/>
    <s v=""/>
    <s v=""/>
    <n v="1"/>
  </r>
  <r>
    <x v="2"/>
    <n v="1141"/>
    <m/>
    <n v="3589"/>
    <s v=""/>
    <s v=""/>
    <x v="616"/>
    <n v="24094663000180"/>
    <s v=""/>
    <s v="Max LED"/>
    <s v="(11) 2181-1005 / (11) 6735-4750 / (11) 2181-1005"/>
    <s v=""/>
    <s v="alexfelixsantos@hotmail.com"/>
    <s v=""/>
    <s v=""/>
    <s v=""/>
    <s v="SAO PAULO"/>
    <s v="SP"/>
    <s v="Campanha"/>
    <s v=""/>
    <s v=""/>
    <s v="Dentro Perfil;Instagram"/>
    <s v="Pipeline de Vendas"/>
    <s v="Apresentar Solução (35%)"/>
    <s v=""/>
    <m/>
    <m/>
    <m/>
    <n v="23"/>
    <s v="Paulo Souza"/>
    <d v="2026-04-27T00:00:00"/>
    <d v="1899-12-30T15:49:56"/>
    <s v=""/>
    <s v="Ativo"/>
    <m/>
    <m/>
    <s v=""/>
    <s v=""/>
    <s v=""/>
    <x v="0"/>
    <s v="Rayssa Karapeticov"/>
    <x v="234"/>
    <s v=""/>
    <d v="2026-05-18T00:00:00"/>
    <n v="30"/>
    <s v=""/>
    <s v=""/>
    <s v=""/>
    <s v=""/>
    <n v="1"/>
  </r>
  <r>
    <x v="1"/>
    <n v="1142"/>
    <m/>
    <n v="3590"/>
    <s v=""/>
    <s v=""/>
    <x v="617"/>
    <m/>
    <s v=""/>
    <s v="Tres americas alimentos"/>
    <s v="65992888768"/>
    <s v=""/>
    <s v="jctransportess.mt@gmail.com"/>
    <s v=""/>
    <s v=""/>
    <s v=""/>
    <s v=""/>
    <s v=""/>
    <s v="Campanha"/>
    <s v=""/>
    <s v=""/>
    <s v="Dentro Perfil;Instagram"/>
    <s v="Pipeline de Vendas"/>
    <s v="Qualificação de Vendas (SQL) (25%)"/>
    <s v=""/>
    <m/>
    <m/>
    <m/>
    <n v="23"/>
    <s v="Paulo Souza"/>
    <d v="2026-04-27T00:00:00"/>
    <d v="1899-12-30T15:52:31"/>
    <s v=""/>
    <s v="Ativo"/>
    <m/>
    <m/>
    <s v=""/>
    <s v=""/>
    <s v=""/>
    <x v="0"/>
    <s v="Junior Lopes"/>
    <x v="0"/>
    <s v=""/>
    <d v="2026-05-06T00:00:00"/>
    <n v="30"/>
    <s v=""/>
    <s v=""/>
    <s v=""/>
    <s v=""/>
    <n v="1"/>
  </r>
  <r>
    <x v="2"/>
    <n v="1143"/>
    <m/>
    <n v="3591"/>
    <s v="Todos os dados preenchidos:_x000a_empresa: Alexdan _x000a_name: Alexandre Biassio _x000a_cargo: Diretor _x000a_whatsapp: 11982599832 _x000a_email: alexandre@alexdan.com.br _x000a_referrer: https://www.guaranisistemas.com.br/"/>
    <s v=""/>
    <x v="618"/>
    <n v="3098281000155"/>
    <s v=""/>
    <s v="Alexandre Biassio"/>
    <s v=""/>
    <s v=""/>
    <s v="alexandre@alexdan.com.br"/>
    <s v=""/>
    <s v=""/>
    <s v=""/>
    <s v="Santo André"/>
    <s v=""/>
    <s v="Inbound"/>
    <s v=""/>
    <s v=""/>
    <s v=""/>
    <s v="Pipeline de Vendas"/>
    <s v="Apresentar Solução (35%)"/>
    <s v=""/>
    <m/>
    <m/>
    <m/>
    <n v="23"/>
    <s v="Paulo Souza"/>
    <d v="2026-04-27T00:00:00"/>
    <d v="1899-12-30T15:53:51"/>
    <s v=""/>
    <s v="Ativo"/>
    <m/>
    <m/>
    <s v=""/>
    <s v=""/>
    <s v=""/>
    <x v="0"/>
    <s v="Rayssa Karapeticov"/>
    <x v="0"/>
    <s v=""/>
    <d v="2026-05-19T00:00:00"/>
    <n v="30"/>
    <s v=""/>
    <s v=""/>
    <s v=""/>
    <s v=""/>
    <n v="1"/>
  </r>
  <r>
    <x v="1"/>
    <n v="1144"/>
    <m/>
    <n v="3592"/>
    <s v="(28/04/2026) em contato com Janayna"/>
    <s v=""/>
    <x v="619"/>
    <m/>
    <s v=""/>
    <s v="Bitilila Nails"/>
    <s v="17997180789"/>
    <s v=""/>
    <s v="janaynamundial@hotmail.com"/>
    <s v=""/>
    <s v=""/>
    <s v=""/>
    <s v=""/>
    <s v=""/>
    <s v="Campanha"/>
    <s v=""/>
    <s v=""/>
    <s v="Dentro Perfil;Instagram"/>
    <s v="Pipeline de Vendas"/>
    <s v="Agendamento (0%)"/>
    <s v=""/>
    <m/>
    <m/>
    <m/>
    <n v="12"/>
    <s v="Paulo Souza"/>
    <d v="2026-04-27T00:00:00"/>
    <d v="1899-12-30T15:54:58"/>
    <s v=""/>
    <s v="Perdido"/>
    <d v="2026-05-09T00:00:00"/>
    <d v="1899-12-30T08:46:25"/>
    <s v="Sem qualificação — contato não atende ligações nem responde msg"/>
    <s v=""/>
    <s v=""/>
    <x v="0"/>
    <s v="Junior Lopes"/>
    <x v="0"/>
    <s v=""/>
    <d v="2026-05-06T00:00:00"/>
    <n v="32"/>
    <s v=""/>
    <s v=""/>
    <s v=""/>
    <s v=""/>
    <n v="1"/>
  </r>
  <r>
    <x v="2"/>
    <n v="1145"/>
    <m/>
    <n v="3599"/>
    <s v=""/>
    <s v="Abc Internacional Comercio Importacao E Exportacao Ltda"/>
    <x v="620"/>
    <n v="58846435000131"/>
    <s v=""/>
    <s v="Abc Internacional Comercio Importacao E Exportacao Ltda"/>
    <s v="(47) 3021-7932"/>
    <s v=""/>
    <s v="contato@contabilidadestacatarina.com.br"/>
    <s v=""/>
    <s v=""/>
    <s v=""/>
    <s v="SAO PAULO"/>
    <s v="SP"/>
    <s v="Base de empresas Leads2b"/>
    <s v=""/>
    <s v=""/>
    <s v=""/>
    <s v="Pipeline de Vendas"/>
    <s v="Qualificação de Vendas (SQL) (25%)"/>
    <s v=""/>
    <m/>
    <m/>
    <m/>
    <n v="23"/>
    <s v="Rayssa Karapeticov"/>
    <d v="2026-04-27T00:00:00"/>
    <d v="1899-12-30T15:55:21"/>
    <s v=""/>
    <s v="Ativo"/>
    <m/>
    <m/>
    <s v=""/>
    <s v=""/>
    <s v=""/>
    <x v="0"/>
    <s v="Rayssa Karapeticov"/>
    <x v="0"/>
    <s v=""/>
    <d v="2026-05-13T00:00:00"/>
    <n v="30"/>
    <s v=""/>
    <s v="ERP"/>
    <s v=""/>
    <s v=""/>
    <n v="1"/>
  </r>
  <r>
    <x v="2"/>
    <n v="1146"/>
    <m/>
    <n v="3593"/>
    <s v=""/>
    <s v=""/>
    <x v="621"/>
    <m/>
    <s v=""/>
    <s v="Oneclick"/>
    <s v="31999499091"/>
    <s v=""/>
    <s v="hm2matoa@gmail.com"/>
    <s v=""/>
    <s v=""/>
    <s v=""/>
    <s v=""/>
    <s v=""/>
    <s v="Campanha"/>
    <s v=""/>
    <s v=""/>
    <s v="Dentro Perfil;Instagram"/>
    <s v="Pipeline de Vendas"/>
    <s v="Qualificação de Vendas (SQL) (25%)"/>
    <s v=""/>
    <m/>
    <m/>
    <m/>
    <n v="16"/>
    <s v="Paulo Souza"/>
    <d v="2026-04-27T00:00:00"/>
    <d v="1899-12-30T15:56:24"/>
    <s v=""/>
    <s v="Perdido"/>
    <d v="2026-05-13T00:00:00"/>
    <d v="1899-12-30T12:58:25"/>
    <s v="Sem qualificação — contato não atende ligações nem responde msg"/>
    <s v=""/>
    <s v=""/>
    <x v="0"/>
    <s v="Rayssa Karapeticov"/>
    <x v="0"/>
    <s v=""/>
    <d v="2026-05-13T00:00:00"/>
    <n v="30"/>
    <s v=""/>
    <s v=""/>
    <s v=""/>
    <s v=""/>
    <n v="1"/>
  </r>
  <r>
    <x v="1"/>
    <n v="1147"/>
    <m/>
    <n v="3594"/>
    <s v="16:13, 27/04/2026 Junior Lopes: Olá Manuel , boa tarde_x000a_16:14, 27/04/2026 Junior Lopes: Junior da Guarani sistemas por aqui_x000a_(28/04/2026) em contato com Manuel, empresa de construção civil , fora do perfil"/>
    <s v=""/>
    <x v="622"/>
    <m/>
    <s v=""/>
    <s v="JJ SOLUÇÕES INDUSTRIAIS"/>
    <s v="9294614731"/>
    <s v=""/>
    <s v="manuel.rivero@jjsoluempresa.com"/>
    <s v=""/>
    <s v=""/>
    <s v=""/>
    <s v=""/>
    <s v=""/>
    <s v="Campanha"/>
    <s v=""/>
    <s v=""/>
    <s v="Fora Perfil;Instagram"/>
    <s v="Pipeline de Vendas"/>
    <s v="Agendamento (0%)"/>
    <s v=""/>
    <m/>
    <m/>
    <m/>
    <n v="1"/>
    <s v="Paulo Souza"/>
    <d v="2026-04-27T00:00:00"/>
    <d v="1899-12-30T15:57:32"/>
    <s v=""/>
    <s v="Perdido"/>
    <d v="2026-04-28T00:00:00"/>
    <d v="1899-12-30T11:42:44"/>
    <s v="Fora do porte mínimo (sem fit estrutural)"/>
    <s v="construção civil"/>
    <s v=""/>
    <x v="0"/>
    <s v="Junior Lopes"/>
    <x v="0"/>
    <s v=""/>
    <m/>
    <n v="30"/>
    <s v=""/>
    <s v=""/>
    <s v=""/>
    <s v=""/>
    <n v="1"/>
  </r>
  <r>
    <x v="2"/>
    <n v="1148"/>
    <m/>
    <n v="3595"/>
    <s v=""/>
    <s v=""/>
    <x v="623"/>
    <n v="10255338000148"/>
    <s v=""/>
    <s v="JA ind plástica"/>
    <s v="62981282665"/>
    <s v=""/>
    <s v="big@biglixos.com.br"/>
    <s v=""/>
    <s v=""/>
    <s v=""/>
    <s v=""/>
    <s v=""/>
    <s v="Campanha"/>
    <s v=""/>
    <s v=""/>
    <s v="Dentro Perfil;Instagram"/>
    <s v="Pipeline de Vendas"/>
    <s v="Qualificação de Vendas (SQL) (25%)"/>
    <s v=""/>
    <m/>
    <m/>
    <m/>
    <n v="23"/>
    <s v="Paulo Souza"/>
    <d v="2026-04-27T00:00:00"/>
    <d v="1899-12-30T15:58:51"/>
    <s v=""/>
    <s v="Ativo"/>
    <m/>
    <m/>
    <s v=""/>
    <s v=""/>
    <s v=""/>
    <x v="0"/>
    <s v="Rayssa Karapeticov"/>
    <x v="0"/>
    <s v=""/>
    <d v="2026-05-13T00:00:00"/>
    <n v="30"/>
    <s v=""/>
    <s v=""/>
    <s v=""/>
    <s v=""/>
    <n v="1"/>
  </r>
  <r>
    <x v="2"/>
    <n v="1149"/>
    <m/>
    <n v="3596"/>
    <s v=""/>
    <s v=""/>
    <x v="624"/>
    <n v="44922087000120"/>
    <s v=""/>
    <s v="Invictus Soluções Integradas Ltda"/>
    <s v="(34) 3817-8240"/>
    <s v=""/>
    <s v="licitacao.invictus@gmail.com"/>
    <s v=""/>
    <s v=""/>
    <s v=""/>
    <s v="COROMANDEL"/>
    <s v="MG"/>
    <s v="Campanha"/>
    <s v=""/>
    <s v=""/>
    <s v="Fora Perfil;Instagram"/>
    <s v="Pipeline de Vendas"/>
    <s v="Agendamento (0%)"/>
    <s v=""/>
    <m/>
    <m/>
    <m/>
    <n v="12"/>
    <s v="Paulo Souza"/>
    <d v="2026-04-27T00:00:00"/>
    <d v="1899-12-30T16:00:22"/>
    <s v=""/>
    <s v="Perdido"/>
    <d v="2026-05-09T00:00:00"/>
    <d v="1899-12-30T08:50:26"/>
    <s v="Fora do segmento atendido"/>
    <s v=""/>
    <s v=""/>
    <x v="0"/>
    <s v="Rayssa Karapeticov"/>
    <x v="0"/>
    <s v=""/>
    <m/>
    <n v="30"/>
    <s v=""/>
    <s v=""/>
    <s v=""/>
    <s v=""/>
    <n v="1"/>
  </r>
  <r>
    <x v="1"/>
    <n v="1150"/>
    <m/>
    <n v="3597"/>
    <s v="16:36, 27/04/2026 Junior Lopes: Olá Paulo , boa tarde_x000a_16:37, 27/04/2026 Junior Lopes: Junior da Guarani sistemas por aqui_x000a_16:37, 27/04/2026 Junior Lopes: Td bem ?_x000a_11:46, 28/04/2026 Junior Lopes: Paulo , tudo bem ? _x000a_Não tive seu retorno _x000a_De qualquer forma pode me chamar caso queira dar continuidade _x000a_Um abraço"/>
    <s v=""/>
    <x v="625"/>
    <m/>
    <s v=""/>
    <s v="Paulo Sergio"/>
    <s v="(67) 99341-4113"/>
    <s v=""/>
    <s v="paulopedradagua@gmail.com"/>
    <s v=""/>
    <s v=""/>
    <s v=""/>
    <s v="Campo Grande"/>
    <s v=""/>
    <s v="Site"/>
    <s v=""/>
    <s v=""/>
    <s v="Solicita demo"/>
    <s v="Pipeline de Vendas"/>
    <s v="Agendamento (0%)"/>
    <s v=""/>
    <m/>
    <m/>
    <m/>
    <n v="1"/>
    <s v="Paulo Souza"/>
    <d v="2026-04-27T00:00:00"/>
    <d v="1899-12-30T16:01:20"/>
    <s v=""/>
    <s v="Perdido"/>
    <d v="2026-04-28T00:00:00"/>
    <d v="1899-12-30T11:47:45"/>
    <s v="Nossa solução não atende - falta funcionalidade"/>
    <s v="16:36, 27/04/2026 Junior Lopes: Olá Paulo , boa tarde_x000a_16:37, 27/04/2026 Junior Lopes: Junior da Guarani sistemas por aqui_x000a_16:37, 27/04/2026 Junior Lopes: Td bem ?_x000a_11:46, 28/04/2026 Junior Lopes: Paulo , tudo bem ? _x000a_Não tive seu retorno _x000a_De qualquer forma pode me chamar caso queira dar continuidade _x000a_Um abraço"/>
    <s v=""/>
    <x v="0"/>
    <s v="Junior Lopes"/>
    <x v="0"/>
    <s v=""/>
    <m/>
    <n v="30"/>
    <s v=""/>
    <s v=""/>
    <s v=""/>
    <s v=""/>
    <n v="1"/>
  </r>
  <r>
    <x v="1"/>
    <n v="1151"/>
    <m/>
    <n v="3602"/>
    <s v="28/04/2026) tentativa de contato não atendida , em uma busca sobre o lead, percebi que esta fora do perfil , revendedor de têni"/>
    <s v=""/>
    <x v="626"/>
    <m/>
    <s v=""/>
    <s v="GRIJALBA AGUIAR LINHARES"/>
    <s v="85985507327"/>
    <s v=""/>
    <s v="grijalbalinhares@gmail.com"/>
    <s v=""/>
    <s v=""/>
    <s v=""/>
    <s v=""/>
    <s v=""/>
    <s v="Campanha"/>
    <s v=""/>
    <s v=""/>
    <s v="Fora Perfil;Instagram"/>
    <s v="Pipeline de Vendas"/>
    <s v="Agendamento (0%)"/>
    <s v=""/>
    <m/>
    <m/>
    <m/>
    <n v="1"/>
    <s v="Paulo Souza"/>
    <d v="2026-04-27T00:00:00"/>
    <d v="1899-12-30T16:02:02"/>
    <s v=""/>
    <s v="Perdido"/>
    <d v="2026-04-28T00:00:00"/>
    <d v="1899-12-30T11:21:54"/>
    <s v="Fora do porte mínimo (sem fit estrutural)"/>
    <s v="fora do perfil, revendedor de tenis"/>
    <s v=""/>
    <x v="0"/>
    <s v="Junior Lopes"/>
    <x v="0"/>
    <s v=""/>
    <m/>
    <n v="30"/>
    <s v=""/>
    <s v=""/>
    <s v=""/>
    <s v=""/>
    <n v="1"/>
  </r>
  <r>
    <x v="2"/>
    <n v="1152"/>
    <m/>
    <n v="3608"/>
    <s v=""/>
    <s v=""/>
    <x v="627"/>
    <n v="9073191000196"/>
    <s v=""/>
    <s v="Megacenter trading"/>
    <s v="45999334900"/>
    <s v=""/>
    <s v="eduardo@megacenteratacado.com.br"/>
    <s v=""/>
    <s v=""/>
    <s v=""/>
    <s v=""/>
    <s v="Foz do iguaçu"/>
    <s v="Inbound"/>
    <s v=""/>
    <s v=""/>
    <s v="Dentro Perfil;Instagram"/>
    <s v="Pipeline de Vendas"/>
    <s v="Qualificação de Vendas (SQL) (25%)"/>
    <s v=""/>
    <m/>
    <m/>
    <m/>
    <n v="21"/>
    <s v="Paulo Souza"/>
    <d v="2026-04-29T00:00:00"/>
    <d v="1899-12-30T07:28:01"/>
    <s v=""/>
    <s v="Ativo"/>
    <m/>
    <m/>
    <s v=""/>
    <s v=""/>
    <s v=""/>
    <x v="0"/>
    <s v="Rayssa Karapeticov"/>
    <x v="0"/>
    <s v=""/>
    <d v="2026-05-13T00:00:00"/>
    <n v="30"/>
    <s v=""/>
    <s v=""/>
    <s v=""/>
    <s v=""/>
    <n v="1"/>
  </r>
  <r>
    <x v="1"/>
    <n v="1153"/>
    <m/>
    <n v="3609"/>
    <s v=""/>
    <s v=""/>
    <x v="628"/>
    <m/>
    <s v=""/>
    <s v="Distribuidora Robaski"/>
    <s v="51998484595"/>
    <s v=""/>
    <s v="edson@robaski.com.br"/>
    <s v=""/>
    <s v=""/>
    <s v=""/>
    <s v=""/>
    <s v=""/>
    <s v="Campanha"/>
    <s v=""/>
    <s v=""/>
    <s v="Dentro Perfil;Instagram"/>
    <s v="Pipeline de Vendas"/>
    <s v="Qualificação de Vendas (SQL) (25%)"/>
    <s v=""/>
    <m/>
    <m/>
    <m/>
    <n v="21"/>
    <s v="Paulo Souza"/>
    <d v="2026-04-29T00:00:00"/>
    <d v="1899-12-30T07:29:14"/>
    <s v=""/>
    <s v="Ativo"/>
    <m/>
    <m/>
    <s v=""/>
    <s v=""/>
    <s v=""/>
    <x v="0"/>
    <s v="Junior Lopes"/>
    <x v="0"/>
    <s v=""/>
    <d v="2026-05-06T00:00:00"/>
    <n v="30"/>
    <s v=""/>
    <s v=""/>
    <s v=""/>
    <s v=""/>
    <n v="1"/>
  </r>
  <r>
    <x v="2"/>
    <n v="1154"/>
    <m/>
    <n v="3610"/>
    <s v=""/>
    <s v=""/>
    <x v="629"/>
    <n v="8051809000154"/>
    <s v=""/>
    <s v="Rc distribuidora"/>
    <s v="93991455102"/>
    <s v=""/>
    <s v="dis.aliaca@gemai.com"/>
    <s v=""/>
    <s v=""/>
    <s v=""/>
    <s v=""/>
    <s v=""/>
    <s v="Campanha"/>
    <s v=""/>
    <s v=""/>
    <s v="Dentro Perfil;Instagram"/>
    <s v="Pipeline de Vendas"/>
    <s v="Qualificação de Vendas (SQL) (25%)"/>
    <s v=""/>
    <m/>
    <m/>
    <m/>
    <n v="14"/>
    <s v="Paulo Souza"/>
    <d v="2026-04-29T00:00:00"/>
    <d v="1899-12-30T07:30:18"/>
    <s v=""/>
    <s v="Perdido"/>
    <d v="2026-05-13T00:00:00"/>
    <d v="1899-12-30T12:45:34"/>
    <s v="Sem qualificação — contato não atende ligações nem responde msg"/>
    <s v=""/>
    <s v=""/>
    <x v="0"/>
    <s v="Rayssa Karapeticov"/>
    <x v="0"/>
    <s v=""/>
    <d v="2026-05-04T00:00:00"/>
    <n v="30"/>
    <s v=""/>
    <s v=""/>
    <s v=""/>
    <s v=""/>
    <n v="1"/>
  </r>
  <r>
    <x v="1"/>
    <n v="1155"/>
    <m/>
    <n v="3611"/>
    <s v="08:59, 29/04/2026 Junior Lopes: Olá Antonio , bom dia_x000a_09:00, 29/04/2026 Junior Lopes: Junior da Guarani sistemas por aqui_x000a_16:55, 04/05/2026 Junior Lopes: Olá Antonio ! Boa tarde"/>
    <s v=""/>
    <x v="630"/>
    <n v="8962163000167"/>
    <s v=""/>
    <s v="Antonio Rodriguez"/>
    <s v="31992924902"/>
    <s v=""/>
    <s v="ar@linexgel.com.br"/>
    <s v=""/>
    <s v=""/>
    <s v=""/>
    <s v=""/>
    <s v="Contagem"/>
    <s v="Inbound"/>
    <s v=""/>
    <s v=""/>
    <s v="Dentro Perfil;Instagram"/>
    <s v="Pipeline de Vendas"/>
    <s v="Qualificação de Vendas (SQL) (25%)"/>
    <s v=""/>
    <m/>
    <m/>
    <m/>
    <n v="21"/>
    <s v="Paulo Souza"/>
    <d v="2026-04-29T00:00:00"/>
    <d v="1899-12-30T07:31:11"/>
    <s v=""/>
    <s v="Ativo"/>
    <m/>
    <m/>
    <s v=""/>
    <s v=""/>
    <s v=""/>
    <x v="0"/>
    <s v="Junior Lopes"/>
    <x v="0"/>
    <s v=""/>
    <d v="2026-05-04T00:00:00"/>
    <n v="30"/>
    <s v=""/>
    <s v=""/>
    <s v=""/>
    <s v=""/>
    <n v="1"/>
  </r>
  <r>
    <x v="2"/>
    <n v="1156"/>
    <m/>
    <n v="3612"/>
    <s v=""/>
    <s v=""/>
    <x v="631"/>
    <n v="11513572000190"/>
    <s v=""/>
    <s v="Brsafe Comércio de Epis Ltda"/>
    <s v="43999150512"/>
    <s v=""/>
    <s v="comercial@brsafeepi.com.br"/>
    <s v=""/>
    <s v=""/>
    <s v=""/>
    <s v=""/>
    <s v="Arapongas"/>
    <s v="Inbound"/>
    <s v=""/>
    <s v=""/>
    <s v="Dentro Perfil;Instagram"/>
    <s v="Pipeline de Vendas"/>
    <s v="Qualificação de Vendas (SQL) (25%)"/>
    <s v=""/>
    <d v="2026-05-13T00:00:00"/>
    <m/>
    <m/>
    <n v="14"/>
    <s v="Paulo Souza"/>
    <d v="2026-04-29T00:00:00"/>
    <d v="1899-12-30T07:32:06"/>
    <s v=""/>
    <s v="Perdido"/>
    <d v="2026-05-13T00:00:00"/>
    <d v="1899-12-30T12:42:56"/>
    <s v="Sem qualificação — contato não atende ligações nem responde msg"/>
    <s v=""/>
    <s v=""/>
    <x v="0"/>
    <s v="Rayssa Karapeticov"/>
    <x v="0"/>
    <s v=""/>
    <d v="2026-05-04T00:00:00"/>
    <n v="30"/>
    <s v=""/>
    <s v=""/>
    <s v=""/>
    <s v=""/>
    <n v="1"/>
  </r>
  <r>
    <x v="1"/>
    <n v="1159"/>
    <m/>
    <n v="3692"/>
    <s v=""/>
    <s v=""/>
    <x v="632"/>
    <m/>
    <s v=""/>
    <s v="MDL (HOras)"/>
    <s v="11910695515"/>
    <s v=""/>
    <s v="janaina@mdlimport.com.br"/>
    <s v=""/>
    <s v=""/>
    <s v=""/>
    <s v=""/>
    <s v=""/>
    <s v=""/>
    <s v=""/>
    <s v=""/>
    <s v=""/>
    <s v="Pipeline de Vendas"/>
    <s v="Em Fechamento (100%)"/>
    <s v=""/>
    <m/>
    <n v="1485378"/>
    <n v="0"/>
    <n v="14"/>
    <s v="Junior Lopes"/>
    <d v="2026-04-30T00:00:00"/>
    <d v="1899-12-30T14:26:58"/>
    <s v=""/>
    <s v="Ganho"/>
    <d v="2026-05-14T00:00:00"/>
    <d v="1899-12-30T09:17:07"/>
    <s v=""/>
    <s v=""/>
    <s v=""/>
    <x v="212"/>
    <s v=""/>
    <x v="0"/>
    <s v=""/>
    <d v="2026-05-14T00:00:00"/>
    <n v="90"/>
    <s v=""/>
    <s v=""/>
    <s v=""/>
    <s v=""/>
    <n v="1"/>
  </r>
  <r>
    <x v="1"/>
    <n v="1160"/>
    <m/>
    <n v="3693"/>
    <s v="em contato com Dayane, vamos nos reunir na segunda feira dia 18/05"/>
    <s v=""/>
    <x v="633"/>
    <m/>
    <s v=""/>
    <s v="Tecelagem Castilho (E-commerce)"/>
    <s v="62993609476"/>
    <s v=""/>
    <s v="null"/>
    <s v=""/>
    <s v=""/>
    <s v=""/>
    <s v=""/>
    <s v=""/>
    <s v=""/>
    <s v=""/>
    <s v=""/>
    <s v=""/>
    <s v="Pipeline de Vendas"/>
    <s v="Em negociação (75%)"/>
    <s v=""/>
    <m/>
    <n v="4240"/>
    <n v="7128"/>
    <n v="20"/>
    <s v="Junior Lopes"/>
    <d v="2026-04-30T00:00:00"/>
    <d v="1899-12-30T14:36:01"/>
    <s v=""/>
    <s v="Ativo"/>
    <m/>
    <m/>
    <s v=""/>
    <s v=""/>
    <s v=""/>
    <x v="213"/>
    <s v=""/>
    <x v="234"/>
    <s v=""/>
    <d v="2026-05-18T00:00:00"/>
    <n v="50"/>
    <s v=""/>
    <s v=""/>
    <s v=""/>
    <s v=""/>
    <n v="1"/>
  </r>
  <r>
    <x v="1"/>
    <n v="1161"/>
    <m/>
    <n v="3694"/>
    <s v=""/>
    <s v=""/>
    <x v="634"/>
    <m/>
    <s v=""/>
    <s v="Logro Soft - Comex"/>
    <s v="3133780033"/>
    <s v=""/>
    <s v="supervisoroperacional@logrosoft.com.br"/>
    <s v=""/>
    <s v=""/>
    <s v=""/>
    <s v=""/>
    <s v=""/>
    <s v=""/>
    <s v=""/>
    <s v=""/>
    <s v=""/>
    <s v="Pipeline de Vendas"/>
    <s v="Em negociação (75%)"/>
    <s v=""/>
    <m/>
    <n v="6000"/>
    <n v="2000"/>
    <n v="0"/>
    <s v="Junior Lopes"/>
    <d v="2026-04-30T00:00:00"/>
    <d v="1899-12-30T14:59:00"/>
    <s v=""/>
    <s v="Perdido"/>
    <d v="2026-04-30T00:00:00"/>
    <d v="1899-12-30T15:41:47"/>
    <s v="Não houve aprovação financeira"/>
    <s v="dois pontos que o cliente usou para não seguir ! busca um ERP Mais simples e com valor ,ais em conta"/>
    <s v=""/>
    <x v="214"/>
    <s v=""/>
    <x v="231"/>
    <s v=""/>
    <m/>
    <n v="50"/>
    <s v=""/>
    <s v=""/>
    <s v=""/>
    <s v=""/>
    <n v="1"/>
  </r>
  <r>
    <x v="1"/>
    <n v="1162"/>
    <m/>
    <n v="3637"/>
    <s v="Todos os dados preenchidos:empresa: InfinitTec  name: Pedro Paulo cargo: Proprietário  whatsapp: 69981362005 email: adm@infinittec.com.br referrer: https://www.guaranisistemas.com.br/ _x000a_(04/05/2026) em busca sobre o lead ! _x000a_Infinitec é uma casa de software e controladoria financeira"/>
    <s v=""/>
    <x v="635"/>
    <m/>
    <s v=""/>
    <s v="Pedro Paulo"/>
    <s v=""/>
    <s v=""/>
    <s v="adm@infinittec.com.br"/>
    <s v=""/>
    <s v=""/>
    <s v=""/>
    <s v="Cacoal"/>
    <s v=""/>
    <s v="Inbound"/>
    <s v=""/>
    <s v=""/>
    <s v="Fora Perfil"/>
    <s v="Pipeline de Vendas"/>
    <s v="Agendamento (0%)"/>
    <s v=""/>
    <m/>
    <m/>
    <m/>
    <n v="0"/>
    <s v="Paulo Souza"/>
    <d v="2026-05-04T00:00:00"/>
    <d v="1899-12-30T08:07:13"/>
    <s v=""/>
    <s v="Perdido"/>
    <d v="2026-05-04T00:00:00"/>
    <d v="1899-12-30T09:31:01"/>
    <s v="Fora do porte mínimo (sem fit estrutural)"/>
    <s v="casa de software"/>
    <s v=""/>
    <x v="0"/>
    <s v="Junior Lopes"/>
    <x v="0"/>
    <s v=""/>
    <m/>
    <n v="30"/>
    <s v=""/>
    <s v=""/>
    <s v=""/>
    <s v=""/>
    <n v="1"/>
  </r>
  <r>
    <x v="3"/>
    <n v="1163"/>
    <m/>
    <n v="3638"/>
    <s v="Falei com o Chico: a empresa (atacado) possui 4 lojas e está prestes a inaugurar uma nova filial. Conta com 110 colaboradores (incluindo a equipe interna de vendas/televendas) e 6 representantes comerciais. Atualmente utiliza o sistema RP ERP e demonstrou interesse em conhecer novas opções. Também solicitou referências de clientes da região._x000a_Apresentação agendada para 11/05 às 10h._x000a_(18/05) Enviado msg para Chico a fim de agendar um bate-papo."/>
    <s v=""/>
    <x v="636"/>
    <n v="42263870000101"/>
    <s v=""/>
    <s v="eficaz atacadao da limpeza"/>
    <s v="(67) 9895-2961"/>
    <s v=""/>
    <s v="gerentedevendas@eficazatacadaodalimpeza.com.br"/>
    <s v=""/>
    <s v=""/>
    <s v=""/>
    <s v="CAMPO GRANDE"/>
    <s v="MS"/>
    <s v="Campanha"/>
    <s v=""/>
    <s v=""/>
    <s v="Dentro Perfil;Instagram"/>
    <s v="Pipeline de Vendas"/>
    <s v="Qualificação de Vendas (SQL) (25%)"/>
    <s v=""/>
    <m/>
    <m/>
    <m/>
    <n v="16"/>
    <s v="Paulo Souza"/>
    <d v="2026-05-04T00:00:00"/>
    <d v="1899-12-30T08:10:13"/>
    <s v=""/>
    <s v="Ativo"/>
    <m/>
    <m/>
    <s v=""/>
    <s v=""/>
    <s v=""/>
    <x v="0"/>
    <s v="Ronaldo Nascimento"/>
    <x v="0"/>
    <s v=""/>
    <m/>
    <n v="30"/>
    <s v=""/>
    <s v="AFV, ERP"/>
    <s v=""/>
    <s v=""/>
    <n v="1"/>
  </r>
  <r>
    <x v="2"/>
    <n v="1164"/>
    <m/>
    <n v="3695"/>
    <s v=""/>
    <s v=""/>
    <x v="637"/>
    <n v="64508464000196"/>
    <s v=""/>
    <s v="Shirley"/>
    <s v="41998464626"/>
    <s v=""/>
    <s v="zahrahcezar@gmail.com"/>
    <s v=""/>
    <s v=""/>
    <s v=""/>
    <s v="PIRAQUARA"/>
    <s v="PR"/>
    <s v="Campanha"/>
    <s v=""/>
    <s v=""/>
    <s v="Fora Perfil;Instagram"/>
    <s v="Pipeline de Vendas"/>
    <s v="Qualificação de Vendas (SQL) (25%)"/>
    <s v=""/>
    <m/>
    <m/>
    <m/>
    <n v="4"/>
    <s v="Paulo Souza"/>
    <d v="2026-05-04T00:00:00"/>
    <d v="1899-12-30T08:11:30"/>
    <s v=""/>
    <s v="Perdido"/>
    <d v="2026-05-08T00:00:00"/>
    <d v="1899-12-30T10:31:28"/>
    <s v="Fora do porte mínimo (sem fit estrutural)"/>
    <s v=""/>
    <s v=""/>
    <x v="0"/>
    <s v="Rayssa Karapeticov"/>
    <x v="0"/>
    <s v=""/>
    <d v="2026-05-08T00:00:00"/>
    <n v="31"/>
    <s v=""/>
    <s v=""/>
    <s v=""/>
    <s v=""/>
    <n v="1"/>
  </r>
  <r>
    <x v="1"/>
    <n v="1165"/>
    <m/>
    <n v="3698"/>
    <s v=""/>
    <s v=""/>
    <x v="638"/>
    <n v="15725079000195"/>
    <s v=""/>
    <s v="Edu Autoparts"/>
    <s v="8196028924"/>
    <s v=""/>
    <s v="eduardo@edusomautoparts.com.br"/>
    <s v=""/>
    <s v=""/>
    <s v=""/>
    <s v=""/>
    <s v=""/>
    <s v="Campanha"/>
    <s v=""/>
    <s v=""/>
    <s v="Dentro Perfil;Instagram"/>
    <s v="Pipeline de Vendas"/>
    <s v="Qualificação de Vendas (SQL) (25%)"/>
    <s v=""/>
    <m/>
    <m/>
    <m/>
    <n v="10"/>
    <s v="Paulo Souza"/>
    <d v="2026-05-04T00:00:00"/>
    <d v="1899-12-30T08:13:17"/>
    <s v=""/>
    <s v="Perdido"/>
    <d v="2026-05-14T00:00:00"/>
    <d v="1899-12-30T11:31:32"/>
    <s v="Sem qualificação — contato não atende ligações nem responde msg"/>
    <s v="(14/05/2026) cliente não responde aos contatos"/>
    <s v=""/>
    <x v="0"/>
    <s v="Junior Lopes"/>
    <x v="0"/>
    <s v=""/>
    <d v="2026-05-14T00:00:00"/>
    <n v="28"/>
    <s v=""/>
    <s v=""/>
    <s v=""/>
    <s v=""/>
    <n v="1"/>
  </r>
  <r>
    <x v="3"/>
    <n v="1166"/>
    <m/>
    <n v="3699"/>
    <s v="(04/05) Falei com o Leandro. A empresa utiliza o ERP Excellent Sistemas, mas ele relatou insatisfação principalmente nos módulos de compras e controle de estoque. Está em busca de um sistema mais completo._x000a_Solicitou que eu envie mais informações pelo WhatsApp para, em seguida, agendarmos uma reunião._x000a_Atualmente, a equipe conta com 3 representantes e 3 vendedores internos._x000a_(11/05) Enviado e-mail ao Leandro com informações sobre nossas soluções e possíveis ganhos operacionais nas áreas de compras e controle de estoque. Aguardando retorno para agendamento da apresentação._x000a_(18/05) Enviado WhatsApp para Leandro a fim de agendarmos uma apresentação."/>
    <s v=""/>
    <x v="639"/>
    <m/>
    <s v=""/>
    <s v="Bornia Metais Ltda."/>
    <s v="44991022838"/>
    <s v=""/>
    <s v="gallo.bornia@hotmail.com"/>
    <s v=""/>
    <s v=""/>
    <s v=""/>
    <s v=""/>
    <s v=""/>
    <s v="Campanha"/>
    <s v=""/>
    <s v=""/>
    <s v="Dentro Perfil;Instagram"/>
    <s v="Pipeline de Vendas"/>
    <s v="Qualificação de Vendas (SQL) (25%)"/>
    <s v=""/>
    <m/>
    <m/>
    <m/>
    <n v="16"/>
    <s v="Paulo Souza"/>
    <d v="2026-05-04T00:00:00"/>
    <d v="1899-12-30T08:14:23"/>
    <s v=""/>
    <s v="Ativo"/>
    <m/>
    <m/>
    <s v=""/>
    <s v=""/>
    <s v=""/>
    <x v="0"/>
    <s v="Ronaldo Nascimento"/>
    <x v="0"/>
    <s v=""/>
    <d v="2026-05-11T00:00:00"/>
    <n v="30"/>
    <s v=""/>
    <s v=""/>
    <s v=""/>
    <s v=""/>
    <n v="1"/>
  </r>
  <r>
    <x v="2"/>
    <n v="1167"/>
    <m/>
    <n v="3700"/>
    <s v=""/>
    <s v=""/>
    <x v="640"/>
    <m/>
    <s v=""/>
    <s v="Proprietario"/>
    <s v="5591420014"/>
    <s v=""/>
    <s v="lucasmaslonik@hotmail.com"/>
    <s v=""/>
    <s v=""/>
    <s v=""/>
    <s v=""/>
    <s v=""/>
    <s v="Campanha"/>
    <s v=""/>
    <s v=""/>
    <s v="Fora Perfil;Instagram"/>
    <s v="Pipeline de Vendas"/>
    <s v="Qualificação de Vendas (SQL) (25%)"/>
    <s v=""/>
    <m/>
    <m/>
    <m/>
    <n v="4"/>
    <s v="Paulo Souza"/>
    <d v="2026-05-04T00:00:00"/>
    <d v="1899-12-30T08:15:36"/>
    <s v=""/>
    <s v="Perdido"/>
    <d v="2026-05-08T00:00:00"/>
    <d v="1899-12-30T10:29:39"/>
    <s v="Fora do porte mínimo (sem fit estrutural)"/>
    <s v=""/>
    <s v=""/>
    <x v="0"/>
    <s v="Rayssa Karapeticov"/>
    <x v="0"/>
    <s v=""/>
    <d v="2026-05-08T00:00:00"/>
    <n v="30"/>
    <s v=""/>
    <s v=""/>
    <s v=""/>
    <s v=""/>
    <n v="1"/>
  </r>
  <r>
    <x v="2"/>
    <n v="1168"/>
    <m/>
    <n v="3701"/>
    <s v=""/>
    <s v=""/>
    <x v="641"/>
    <m/>
    <s v=""/>
    <s v="BC"/>
    <s v="14999125373"/>
    <s v=""/>
    <s v="jeruzamocluciano@gmail.com"/>
    <s v=""/>
    <s v=""/>
    <s v=""/>
    <s v=""/>
    <s v=""/>
    <s v="Campanha"/>
    <s v=""/>
    <s v=""/>
    <s v="Dentro Perfil;Instagram"/>
    <s v="Pipeline de Vendas"/>
    <s v="Agendamento (0%)"/>
    <s v=""/>
    <m/>
    <m/>
    <m/>
    <n v="5"/>
    <s v="Paulo Souza"/>
    <d v="2026-05-04T00:00:00"/>
    <d v="1899-12-30T08:16:29"/>
    <s v=""/>
    <s v="Perdido"/>
    <d v="2026-05-09T00:00:00"/>
    <d v="1899-12-30T08:46:59"/>
    <s v="Inválido - empresa não existe / dados errados"/>
    <s v=""/>
    <s v=""/>
    <x v="0"/>
    <s v="Rayssa Karapeticov"/>
    <x v="0"/>
    <s v=""/>
    <m/>
    <n v="30"/>
    <s v=""/>
    <s v=""/>
    <s v=""/>
    <s v=""/>
    <n v="1"/>
  </r>
  <r>
    <x v="1"/>
    <n v="1169"/>
    <m/>
    <n v="3702"/>
    <s v="(04/05/2026) em ligação com Paulo Rosa , _x000a_atualmente usa ERP https://www.etoerp.com.br/_x000a_atualmente esta com dificuldade com PCP em controlar insumos para produção ! esto8u enviando material via e -mail para logo seguirmos com apresentação _x000a_(15/05/2026) após envio de material não obtive mais retorno do Paulo"/>
    <s v=""/>
    <x v="642"/>
    <n v="29795322000156"/>
    <s v=""/>
    <s v="Presystem Projetos e Sistemas Eletrônicos"/>
    <s v="(11) 2031-1273"/>
    <s v=""/>
    <s v="contato@bepcontabilidade.com"/>
    <s v=""/>
    <s v=""/>
    <s v=""/>
    <s v="SAO PAULO"/>
    <s v="SP"/>
    <s v="Campanha"/>
    <s v=""/>
    <s v=""/>
    <s v="Dentro Perfil;Instagram"/>
    <s v="Pipeline de Vendas"/>
    <s v="Qualificação de Vendas (SQL) (25%)"/>
    <s v=""/>
    <m/>
    <m/>
    <m/>
    <n v="11"/>
    <s v="Paulo Souza"/>
    <d v="2026-05-04T00:00:00"/>
    <d v="1899-12-30T08:18:58"/>
    <s v=""/>
    <s v="Perdido"/>
    <d v="2026-05-15T00:00:00"/>
    <d v="1899-12-30T16:29:44"/>
    <s v="Sem qualificação — contato não atende ligações nem responde msg"/>
    <s v="no dia 05/05 cheguei a falar com Paulo, porem após envio do material e esboço de investimento  nao tive mais retorno"/>
    <s v=""/>
    <x v="0"/>
    <s v="Junior Lopes"/>
    <x v="0"/>
    <s v=""/>
    <d v="2026-05-15T00:00:00"/>
    <n v="31"/>
    <s v=""/>
    <s v=""/>
    <s v=""/>
    <s v=""/>
    <n v="1"/>
  </r>
  <r>
    <x v="1"/>
    <n v="1170"/>
    <m/>
    <n v="3704"/>
    <s v="Oi_x000a_hj sou socio na magnus transformadores_x000a_cnpj 27.569.814/0001-06_x000a_utilizamos um erp da empresa unicode_x000a_vou iniciar uma nova empresa de forma individual com a mesma atividade fabricação de transformadores_x000a_preciso de um sistema para gerir todas as estapas do processo da empresa_x000a_vendas, compras, produção, financeiro_x000a_(15/05/2026) depois da ultima conversa com Raul , dei um esboço do investimento logo não tivemos mais retorno"/>
    <s v=""/>
    <x v="643"/>
    <m/>
    <s v=""/>
    <s v="Ivan Edson Dias"/>
    <s v="(11) 95811-0104"/>
    <s v=""/>
    <s v="ivanedson77@gmail.com"/>
    <s v=""/>
    <s v=""/>
    <s v=""/>
    <s v="São Paulo"/>
    <s v=""/>
    <s v="Site"/>
    <s v=""/>
    <s v=""/>
    <s v="Dentro Perfil;Solicita demo"/>
    <s v="Pipeline de Vendas"/>
    <s v="Qualificação de Vendas (SQL) (25%)"/>
    <s v=""/>
    <m/>
    <m/>
    <m/>
    <n v="11"/>
    <s v="Paulo Souza"/>
    <d v="2026-05-04T00:00:00"/>
    <d v="1899-12-30T08:20:31"/>
    <s v=""/>
    <s v="Perdido"/>
    <d v="2026-05-15T00:00:00"/>
    <d v="1899-12-30T16:22:29"/>
    <s v="Não houve aprovação financeira"/>
    <s v="(15/05/2026) depois da ultima conversa com Ivan , dei um esboço do investimento logo não tivemos mais retorno"/>
    <s v=""/>
    <x v="0"/>
    <s v="Junior Lopes"/>
    <x v="0"/>
    <s v=""/>
    <d v="2026-05-15T00:00:00"/>
    <n v="30"/>
    <s v=""/>
    <s v=""/>
    <s v=""/>
    <s v=""/>
    <n v="1"/>
  </r>
  <r>
    <x v="3"/>
    <n v="1171"/>
    <m/>
    <n v="3705"/>
    <s v="(04/05) Realizado ligação, porém, caiu na caixa postal. Enviado msg por WhatsApp._x000a_(11/05) Enviado WhatsApp para Raimundo com o objetivo de verificar o melhor horário para realizar contato telefônico."/>
    <s v=""/>
    <x v="644"/>
    <m/>
    <s v=""/>
    <s v="Ellform"/>
    <s v="7187881309"/>
    <s v=""/>
    <s v="racoelhoneto@hotmail.com"/>
    <s v=""/>
    <s v=""/>
    <s v=""/>
    <s v=""/>
    <s v=""/>
    <s v="Campanha"/>
    <s v=""/>
    <s v=""/>
    <s v="Dentro Perfil;Instagram"/>
    <s v="Pipeline de Vendas"/>
    <s v="Qualificação de Vendas (SQL) (25%)"/>
    <s v=""/>
    <m/>
    <m/>
    <m/>
    <n v="14"/>
    <s v="Paulo Souza"/>
    <d v="2026-05-04T00:00:00"/>
    <d v="1899-12-30T08:21:13"/>
    <s v=""/>
    <s v="Perdido"/>
    <d v="2026-05-18T00:00:00"/>
    <d v="1899-12-30T09:31:54"/>
    <s v="Sem qualificação — contato não atende ligações nem responde msg"/>
    <s v="(18/05) Raimundo não retornou meus contatos. Enviei uma mensagem encerrando o atendimento no momento, mas deixei meu contato à disposição para um possível retorno futuro."/>
    <s v=""/>
    <x v="0"/>
    <s v="Ronaldo Nascimento"/>
    <x v="0"/>
    <s v=""/>
    <d v="2026-05-11T00:00:00"/>
    <n v="30"/>
    <s v=""/>
    <s v=""/>
    <s v=""/>
    <s v=""/>
    <n v="1"/>
  </r>
  <r>
    <x v="3"/>
    <n v="1172"/>
    <m/>
    <n v="3706"/>
    <s v="(04/05) Realizado ligação, porém, caiu na caixa postal. Enviado msg por WhatsApp._x000a_(11/05) Enviado WhatsApp para Márcio com o objetivo de verificar o melhor horário para realizar contato telefônico._x000a_(18/05) Tentei contato novamente com Márcio, porém, sem sucesso (Ligação e WhatsApp). Enviado e-mail antes de perder o negócio."/>
    <s v=""/>
    <x v="645"/>
    <n v="32268865000391"/>
    <s v=""/>
    <s v="Morefix"/>
    <s v="19991043105"/>
    <s v=""/>
    <s v="marcio.soares@morefix.com.br"/>
    <s v=""/>
    <s v=""/>
    <s v=""/>
    <s v=""/>
    <s v=""/>
    <s v="Campanha"/>
    <s v=""/>
    <s v=""/>
    <s v="Dentro Perfil;Instagram"/>
    <s v="Pipeline de Vendas"/>
    <s v="Qualificação de Vendas (SQL) (25%)"/>
    <s v=""/>
    <m/>
    <m/>
    <m/>
    <n v="16"/>
    <s v="Paulo Souza"/>
    <d v="2026-05-04T00:00:00"/>
    <d v="1899-12-30T08:22:02"/>
    <s v=""/>
    <s v="Ativo"/>
    <m/>
    <m/>
    <s v=""/>
    <s v=""/>
    <s v=""/>
    <x v="0"/>
    <s v="Ronaldo Nascimento"/>
    <x v="0"/>
    <s v=""/>
    <d v="2026-05-11T00:00:00"/>
    <n v="30"/>
    <s v=""/>
    <s v=""/>
    <s v=""/>
    <s v=""/>
    <n v="1"/>
  </r>
  <r>
    <x v="1"/>
    <n v="1173"/>
    <m/>
    <n v="3707"/>
    <s v="(04/05/2026) tentativa de ligação ! porem numero somente WhatsApp_x000a_(04/05/2026) em contato com Sérgio ! _x000a_em ligação se identificou e já foi cliente Guarani na oportunidade migrou para Winthor ! _x000a_pediu uma ideia de investimento para entender sobre uma eventual mudança ! estou batalhando para nos reunirmos para uma breve apresentação _x000a_Tentativa de contato : _x000a_ 14:51, 04/05/2026 Junior Lopes: Olá Sérgio ! Boa tarde_x000a_14:51, 04/05/2026 Junior Lopes: Junior da Guarani sistemas por aqui ! Td bem ?_x000a_(15/05/2026) tentaiva de ligação não atendia com Sérgio, a ideia é fazer apresentação"/>
    <s v=""/>
    <x v="646"/>
    <n v="1784943000115"/>
    <s v=""/>
    <s v="Astrum Distribuidora"/>
    <s v="38988234018"/>
    <s v=""/>
    <s v="sergio@resendesantos.com.br"/>
    <s v=""/>
    <s v=""/>
    <s v=""/>
    <s v=""/>
    <s v="Montes Claros"/>
    <s v="Inbound"/>
    <s v=""/>
    <s v=""/>
    <s v="Dentro Perfil;Instagram"/>
    <s v="Pipeline de Vendas"/>
    <s v="Qualificação de Vendas (SQL) (25%)"/>
    <s v=""/>
    <m/>
    <m/>
    <m/>
    <n v="16"/>
    <s v="Paulo Souza"/>
    <d v="2026-05-04T00:00:00"/>
    <d v="1899-12-30T08:23:02"/>
    <s v=""/>
    <s v="Ativo"/>
    <m/>
    <m/>
    <s v=""/>
    <s v=""/>
    <s v=""/>
    <x v="0"/>
    <s v="Junior Lopes"/>
    <x v="0"/>
    <s v=""/>
    <d v="2026-05-15T00:00:00"/>
    <n v="30"/>
    <s v=""/>
    <s v=""/>
    <s v=""/>
    <s v=""/>
    <n v="1"/>
  </r>
  <r>
    <x v="3"/>
    <n v="1174"/>
    <m/>
    <n v="3708"/>
    <s v="(04/05) Entrei em contato e falei com Luis. Informou que João estará na empresa à partir das 16h, pediu para retornar neste horário._x000a_(06/05) Entrei em contato com o Luis, que solicitou o envio das informações por e-mail ao João. Ficou combinado retorno amanhã às 11h30._x000a_(11/05) Realizada nova tentativa de contato com João, porém sem sucesso. Enviado e-mail com o objetivo de agendar um bate-papo para apresentação das soluções._x000a_(18/05) Como não tive retorno (ligação), enviado e-mail para João antes de perder o negócio."/>
    <s v=""/>
    <x v="647"/>
    <n v="10667844000144"/>
    <s v=""/>
    <s v="ferragens renova"/>
    <s v="5134904475"/>
    <s v=""/>
    <s v="diretoria@ferragensrenova.com.br"/>
    <s v=""/>
    <s v=""/>
    <s v=""/>
    <s v=""/>
    <s v=""/>
    <s v="Campanha"/>
    <s v=""/>
    <s v=""/>
    <s v="Dentro Perfil;Instagram"/>
    <s v="Pipeline de Vendas"/>
    <s v="Qualificação de Vendas (SQL) (25%)"/>
    <s v=""/>
    <m/>
    <m/>
    <m/>
    <n v="16"/>
    <s v="Paulo Souza"/>
    <d v="2026-05-04T00:00:00"/>
    <d v="1899-12-30T08:23:51"/>
    <s v=""/>
    <s v="Ativo"/>
    <m/>
    <m/>
    <s v=""/>
    <s v=""/>
    <s v=""/>
    <x v="0"/>
    <s v="Ronaldo Nascimento"/>
    <x v="0"/>
    <s v=""/>
    <d v="2026-05-11T00:00:00"/>
    <n v="30"/>
    <s v=""/>
    <s v=""/>
    <s v=""/>
    <s v=""/>
    <n v="1"/>
  </r>
  <r>
    <x v="3"/>
    <n v="1175"/>
    <n v="213"/>
    <n v="3714"/>
    <s v="(04/05) Falei com o Thiago: ele está em fechamento e com dois colaboradores do administrativo em férias. Após essa semana, irá verificar uma agenda para conversarmos. Retornar na segunda-feira._x000a_(11/05) Enviado msg para Thiago a fim de agendar um bate-papo."/>
    <s v=""/>
    <x v="648"/>
    <n v="3670607000177"/>
    <s v="RV DISTRIBUIDORA DE GENEROS ALIMENTICIOS LTDA"/>
    <s v="Thiago Barbosa"/>
    <s v="(16) 98127-4870"/>
    <s v="16981274870"/>
    <s v="rvdistribuidora123@gmail.com"/>
    <s v="Matriz"/>
    <s v=""/>
    <s v="AV LUIZ ALFREDO DE MELO ROSA 460"/>
    <s v="IBATE"/>
    <s v="SP"/>
    <s v="Outbound"/>
    <s v="Outbound"/>
    <s v=""/>
    <s v="Dentro Perfil"/>
    <s v="Pipeline de Vendas"/>
    <s v="Qualificação de Vendas (SQL) (25%)"/>
    <s v=""/>
    <m/>
    <m/>
    <m/>
    <n v="16"/>
    <s v="Paulo Souza"/>
    <d v="2026-05-04T00:00:00"/>
    <d v="1899-12-30T08:43:59"/>
    <s v=""/>
    <s v="Ativo"/>
    <m/>
    <m/>
    <s v=""/>
    <s v=""/>
    <s v=""/>
    <x v="0"/>
    <s v="Ronaldo Nascimento"/>
    <x v="0"/>
    <s v=""/>
    <d v="2026-05-11T00:00:00"/>
    <n v="30"/>
    <s v=""/>
    <s v=""/>
    <s v=""/>
    <s v=""/>
    <n v="1"/>
  </r>
  <r>
    <x v="2"/>
    <n v="1176"/>
    <m/>
    <n v="3716"/>
    <s v=""/>
    <s v=""/>
    <x v="649"/>
    <n v="52696640000181"/>
    <s v=""/>
    <s v="Aparecido Ribeiro Molina Junior"/>
    <s v="(19) 99788-2241"/>
    <s v=""/>
    <s v="gerencia@grupogadulog.com.br"/>
    <s v=""/>
    <s v=""/>
    <s v=""/>
    <s v="DESCALVADO"/>
    <s v="SP"/>
    <s v="Site"/>
    <s v=""/>
    <s v=""/>
    <s v="Fora Perfil;Solicita demo"/>
    <s v="Pipeline de Vendas"/>
    <s v="Qualificação de Vendas (SQL) (25%)"/>
    <s v=""/>
    <m/>
    <m/>
    <m/>
    <n v="4"/>
    <s v="Paulo Souza"/>
    <d v="2026-05-04T00:00:00"/>
    <d v="1899-12-30T15:45:58"/>
    <s v=""/>
    <s v="Perdido"/>
    <d v="2026-05-08T00:00:00"/>
    <d v="1899-12-30T12:09:14"/>
    <s v="Fora do porte mínimo (sem fit estrutural)"/>
    <s v=""/>
    <s v=""/>
    <x v="0"/>
    <s v="Rayssa Karapeticov"/>
    <x v="0"/>
    <s v=""/>
    <d v="2026-05-05T00:00:00"/>
    <n v="30"/>
    <s v=""/>
    <s v=""/>
    <s v=""/>
    <s v=""/>
    <n v="1"/>
  </r>
  <r>
    <x v="1"/>
    <n v="1177"/>
    <m/>
    <n v="3732"/>
    <s v=""/>
    <s v=""/>
    <x v="650"/>
    <n v="36356922000183"/>
    <s v=""/>
    <s v="Istok comércio"/>
    <s v="(11) 2361-7746"/>
    <s v=""/>
    <s v="diogo.contabilidade@yahoo.com.br"/>
    <s v=""/>
    <s v=""/>
    <s v=""/>
    <s v="SAO PAULO"/>
    <s v="SP"/>
    <s v=""/>
    <s v=""/>
    <s v=""/>
    <s v=""/>
    <s v="Pipeline de Vendas"/>
    <s v="Em Fechamento (100%)"/>
    <s v=""/>
    <m/>
    <n v="694512"/>
    <n v="201348"/>
    <n v="14"/>
    <s v="Junior Lopes"/>
    <d v="2026-05-05T00:00:00"/>
    <d v="1899-12-30T16:57:12"/>
    <s v=""/>
    <s v="Ganho"/>
    <d v="2026-05-19T00:00:00"/>
    <d v="1899-12-30T14:28:32"/>
    <s v=""/>
    <s v=""/>
    <s v=""/>
    <x v="215"/>
    <s v=""/>
    <x v="235"/>
    <s v="12/05/2026"/>
    <m/>
    <n v="50"/>
    <s v=""/>
    <s v=""/>
    <s v=""/>
    <s v=""/>
    <n v="1"/>
  </r>
  <r>
    <x v="3"/>
    <n v="1178"/>
    <n v="263"/>
    <n v="3734"/>
    <s v="(11/05) Enviada nova mensagem via LinkedIn para Rodrigo Buzinari. Em 05/05, também foi encaminhado e-mail para Rodrigo Furtado (diretor)._x000a_(18/05) Enviado e-mail para Rodrigo, antes de perder o negócio."/>
    <s v=""/>
    <x v="651"/>
    <n v="20718183000192"/>
    <s v="PETIKO COMERCIO E DISTRIBUICAO DE PRODUTOS PET S.A"/>
    <s v="Rodrigo José Buzinari"/>
    <s v="(16) 33712-3681"/>
    <s v=""/>
    <s v="eucuidoparavoce@doutorcontabil.com.br"/>
    <s v="Matriz"/>
    <s v=""/>
    <s v="R FRANCISCO MARICONDI 254"/>
    <s v="SAO CARLOS"/>
    <s v="SP"/>
    <s v=""/>
    <s v=""/>
    <s v=""/>
    <s v="Dentro Perfil"/>
    <s v="Pipeline de Vendas"/>
    <s v="Qualificação de Vendas (SQL) (25%)"/>
    <s v=""/>
    <m/>
    <m/>
    <m/>
    <n v="15"/>
    <s v="Ronaldo Nascimento"/>
    <d v="2026-05-05T00:00:00"/>
    <d v="1899-12-30T17:25:14"/>
    <s v=""/>
    <s v="Ativo"/>
    <m/>
    <m/>
    <s v=""/>
    <s v=""/>
    <s v=""/>
    <x v="0"/>
    <s v=""/>
    <x v="0"/>
    <s v=""/>
    <d v="2026-05-11T00:00:00"/>
    <n v="30"/>
    <s v=""/>
    <s v=""/>
    <s v=""/>
    <s v=""/>
    <n v="1"/>
  </r>
  <r>
    <x v="3"/>
    <n v="1179"/>
    <m/>
    <n v="3735"/>
    <s v="(06/05) Realizei contato telefônico com Lucianei, que informou não poder falar no momento e que retornaria assim que possível. Também enviei mensagem via WhatsApp para acompanhamento._x000a_(07/05) Realizo novo contato por WhatsApp. (Telefone deu caixa portal)_x000a_(11/05) Realizada nova tentativa de contato com Luciane, porém sem sucesso. Enviada nova mensagem via WhatsApp._x000a_(18/05) Luciane não retornou meus contatos. Enviei uma mensagem encerrando o atendimento no momento, mas deixei meu contato à disposição para um possível retorno futuro."/>
    <s v=""/>
    <x v="652"/>
    <m/>
    <s v=""/>
    <s v="Querosmais"/>
    <s v="41988659245"/>
    <s v=""/>
    <s v="querosmais@ig.com.br"/>
    <s v=""/>
    <s v=""/>
    <s v=""/>
    <s v=""/>
    <s v=""/>
    <s v="Campanha"/>
    <s v=""/>
    <s v=""/>
    <s v="Dentro Perfil;Instagram"/>
    <s v="Pipeline de Vendas"/>
    <s v="Qualificação de Vendas (SQL) (25%)"/>
    <s v=""/>
    <m/>
    <m/>
    <m/>
    <n v="12"/>
    <s v="Paulo Souza"/>
    <d v="2026-05-06T00:00:00"/>
    <d v="1899-12-30T03:15:00"/>
    <s v=""/>
    <s v="Perdido"/>
    <d v="2026-05-18T00:00:00"/>
    <d v="1899-12-30T10:08:21"/>
    <s v="Sem qualificação — contato não atende ligações nem responde msg"/>
    <s v="(18/05) Luciane não retornou meus contatos. Enviei uma mensagem encerrando o atendimento no momento, mas deixei meu contato à disposição para um possível retorno futuro."/>
    <s v=""/>
    <x v="0"/>
    <s v="Ronaldo Nascimento"/>
    <x v="0"/>
    <s v=""/>
    <d v="2026-05-11T00:00:00"/>
    <n v="30"/>
    <s v=""/>
    <s v=""/>
    <s v=""/>
    <s v=""/>
    <n v="1"/>
  </r>
  <r>
    <x v="3"/>
    <n v="1180"/>
    <m/>
    <n v="3718"/>
    <s v="(06/05) Realizei contato telefônico com Marcelo. A empresa utiliza o sistema Sankhya e demonstrou insatisfação. Possuem vendedores internos e representantes comerciais. Apresentação agendada para quinta-feira (07/05), às 15h._x000a_(07/05) Realizada apresentação para o Marcelo. A reunião foi conduzida pelo Paulo, eu acompanhei._x000a_O projeto contempla aproximadamente 13 usuários entre ERP e AFV. Foi enviado o formulário para preenchimento e, posteriormente, será realizada a emissão da proposta._x000a_Obs.: Marcelo está ciente das horas de implantação._x000a_(14/05) Enviado WhatsApp para Marcelo solicitando um retorno sobre a proposta apresentada."/>
    <s v=""/>
    <x v="653"/>
    <n v="4184739000151"/>
    <s v=""/>
    <s v="Fikssar distribuidora LTDA"/>
    <s v="34996787403"/>
    <s v=""/>
    <s v="marcelojsilva@fikssar.com.br"/>
    <s v=""/>
    <s v=""/>
    <s v=""/>
    <s v=""/>
    <s v="Patos  de Minas"/>
    <s v="Inbound"/>
    <s v=""/>
    <s v=""/>
    <s v="Dentro Perfil;Instagram"/>
    <s v="Pipeline de Vendas"/>
    <s v="Em negociação (75%)"/>
    <s v=""/>
    <m/>
    <n v="8585802"/>
    <m/>
    <n v="14"/>
    <s v="Paulo Souza"/>
    <d v="2026-05-06T00:00:00"/>
    <d v="1899-12-30T03:16:48"/>
    <s v=""/>
    <s v="Ativo"/>
    <m/>
    <m/>
    <s v=""/>
    <s v=""/>
    <s v=""/>
    <x v="215"/>
    <s v="Ronaldo Nascimento"/>
    <x v="236"/>
    <s v=""/>
    <d v="2026-05-12T00:00:00"/>
    <n v="50"/>
    <s v=""/>
    <s v="AFV, ERP"/>
    <s v=""/>
    <s v=""/>
    <n v="1"/>
  </r>
  <r>
    <x v="3"/>
    <n v="1181"/>
    <m/>
    <n v="3720"/>
    <s v="(06/05) Tentei contato telefônico, porém a chamada foi direcionada para a caixa postal. Enviei mensagem via WhatsApp para identificar o melhor horário para retorno da ligação._x000a_(07/05) Johnny retornou a mensagem informando que estava em viagem, cuidando da saúde do pai, e que nesta semana não seria possível falarmos. Disse que na próxima semana entrará em contato. Caso isso não ocorra, realizar novo contato._x000a_(18/05) Enviado nova msg para Johnny a fim de verificar melhor horário para ligação."/>
    <s v=""/>
    <x v="654"/>
    <m/>
    <s v=""/>
    <s v="Krieger ind e com fé madeiras"/>
    <s v="66984172640"/>
    <s v=""/>
    <s v="kriegermadeiraspga@gmail.com"/>
    <s v=""/>
    <s v=""/>
    <s v=""/>
    <s v=""/>
    <s v="Porto dos Gaúchos MT"/>
    <s v="Inbound"/>
    <s v=""/>
    <s v=""/>
    <s v="Dentro Perfil;Instagram"/>
    <s v="Pipeline de Vendas"/>
    <s v="Qualificação de Vendas (SQL) (25%)"/>
    <s v=""/>
    <m/>
    <m/>
    <m/>
    <n v="14"/>
    <s v="Paulo Souza"/>
    <d v="2026-05-06T00:00:00"/>
    <d v="1899-12-30T03:17:57"/>
    <s v=""/>
    <s v="Ativo"/>
    <m/>
    <m/>
    <s v=""/>
    <s v=""/>
    <s v=""/>
    <x v="0"/>
    <s v="Ronaldo Nascimento"/>
    <x v="0"/>
    <s v=""/>
    <m/>
    <n v="30"/>
    <s v=""/>
    <s v=""/>
    <s v=""/>
    <s v=""/>
    <n v="1"/>
  </r>
  <r>
    <x v="3"/>
    <n v="1184"/>
    <m/>
    <n v="3737"/>
    <s v="(07/05) Tentei contato telefônico, porém sem sucesso. Foi enviado WhatsApp para Tiago, com o objetivo de verificar o melhor horário para conversarmos."/>
    <s v=""/>
    <x v="655"/>
    <m/>
    <s v=""/>
    <s v="Tiago sandavid"/>
    <s v="93991009174"/>
    <s v=""/>
    <s v="souzamaia2010@hotmail.com"/>
    <s v=""/>
    <s v=""/>
    <s v=""/>
    <s v=""/>
    <s v=""/>
    <s v="Campanha"/>
    <s v=""/>
    <s v=""/>
    <s v="Fora Perfil;Instagram"/>
    <s v="Pipeline de Vendas"/>
    <s v="Qualificação de Vendas (SQL) (25%)"/>
    <s v=""/>
    <m/>
    <m/>
    <m/>
    <n v="0"/>
    <s v="Paulo Souza"/>
    <d v="2026-05-07T00:00:00"/>
    <d v="1899-12-30T08:39:53"/>
    <s v=""/>
    <s v="Perdido"/>
    <d v="2026-05-07T00:00:00"/>
    <d v="1899-12-30T14:21:16"/>
    <s v="Fora do porte mínimo (sem fit estrutural)"/>
    <s v="Empresa de pequeno porte, com 3 vendedores internos._x000a_Atualmente utilizam o sistema Vendr, do Grupo IOB."/>
    <s v=""/>
    <x v="0"/>
    <s v="Ronaldo Nascimento"/>
    <x v="0"/>
    <s v=""/>
    <m/>
    <n v="30"/>
    <s v=""/>
    <s v=""/>
    <s v=""/>
    <s v=""/>
    <n v="1"/>
  </r>
  <r>
    <x v="1"/>
    <n v="1185"/>
    <m/>
    <n v="3741"/>
    <s v="(07/05/2026) tentativa de ligação _x000a_08:45, 07/05/2026 Junior Lopes: Olá Fran , bom dia_x000a_08:45, 07/05/2026 Fran dantas Cafe Espressiata: Espressiata agradece seu contato. Como podemos ajudar?_x000a_08:45, 07/05/2026 Junior Lopes: Sou Junior Lopes da Guarani sistemas! Td bem ?"/>
    <s v=""/>
    <x v="656"/>
    <n v="40904398000105"/>
    <s v=""/>
    <s v="Espressiata Cafés Especiais"/>
    <s v="34999008780"/>
    <s v=""/>
    <s v="franciele@espressiata.com.br"/>
    <s v=""/>
    <s v=""/>
    <s v=""/>
    <s v=""/>
    <s v="Frutal MG"/>
    <s v="Inbound"/>
    <s v=""/>
    <s v=""/>
    <s v="Dentro Perfil;Instagram"/>
    <s v="Pipeline de Vendas"/>
    <s v="Qualificação de Vendas (SQL) (25%)"/>
    <s v=""/>
    <m/>
    <m/>
    <m/>
    <n v="7"/>
    <s v="Paulo Souza"/>
    <d v="2026-05-07T00:00:00"/>
    <d v="1899-12-30T08:41:59"/>
    <s v=""/>
    <s v="Perdido"/>
    <d v="2026-05-14T00:00:00"/>
    <d v="1899-12-30T15:40:42"/>
    <s v="Sem qualificação — contato não atende ligações nem responde msg"/>
    <s v="Olá boa tarde ! Junior da Guarani sistemas por aqui _x000a_Logo que nós tivemos retorno ao contato estou finalizando por aqui ! _x000a_Caso mude de ideia por favor só me chamar _x000a_Sucesso por aí"/>
    <s v=""/>
    <x v="0"/>
    <s v="Junior Lopes"/>
    <x v="0"/>
    <s v=""/>
    <d v="2026-05-14T00:00:00"/>
    <n v="30"/>
    <s v=""/>
    <s v=""/>
    <s v=""/>
    <s v=""/>
    <n v="1"/>
  </r>
  <r>
    <x v="0"/>
    <n v="1186"/>
    <m/>
    <n v="3745"/>
    <s v=""/>
    <s v=""/>
    <x v="657"/>
    <n v="62956379000165"/>
    <s v=""/>
    <s v="Mirian"/>
    <s v="(16) 99705-1588"/>
    <s v=""/>
    <s v="mirian@jcsperfis.com.br"/>
    <s v=""/>
    <s v=""/>
    <s v=""/>
    <s v="SAO CARLOS"/>
    <s v="SP"/>
    <s v="Inbound"/>
    <s v=""/>
    <s v=""/>
    <s v="Dentro Perfil;Instagram"/>
    <s v="Pipeline de Vendas"/>
    <s v="Apresentar Solução (35%)"/>
    <s v=""/>
    <d v="2026-05-31T00:00:00"/>
    <m/>
    <m/>
    <n v="13"/>
    <s v="Paulo Souza"/>
    <d v="2026-05-07T00:00:00"/>
    <d v="1899-12-30T08:43:39"/>
    <s v=""/>
    <s v="Ativo"/>
    <m/>
    <m/>
    <s v=""/>
    <s v=""/>
    <s v=""/>
    <x v="0"/>
    <s v="Paulo Souza"/>
    <x v="0"/>
    <s v=""/>
    <d v="2026-05-18T00:00:00"/>
    <n v="30"/>
    <s v="-1"/>
    <s v=""/>
    <s v=""/>
    <s v=""/>
    <n v="1"/>
  </r>
  <r>
    <x v="2"/>
    <n v="1187"/>
    <m/>
    <n v="3744"/>
    <s v="Todos os dados preenchidos:_x000a_empresa: andreingrati@gmail.com _x000a_name: Andre  _x000a_cargo: andreingrati@gmail.com _x000a_whatsapp: 18997028677 _x000a_email: andreingrati@gmail.com _x000a_referrer: https://www.guaranisistemas.com.br/"/>
    <s v=""/>
    <x v="658"/>
    <m/>
    <s v=""/>
    <s v="Andre"/>
    <s v=""/>
    <s v=""/>
    <s v="andreingrati@gmail.com"/>
    <s v=""/>
    <s v=""/>
    <s v=""/>
    <s v="Andradina"/>
    <s v=""/>
    <s v="Inbound"/>
    <s v=""/>
    <s v=""/>
    <s v="Fora Perfil"/>
    <s v="Pipeline de Vendas"/>
    <s v="Agendamento (0%)"/>
    <s v=""/>
    <m/>
    <m/>
    <m/>
    <n v="0"/>
    <s v="Paulo Souza"/>
    <d v="2026-05-07T00:00:00"/>
    <d v="1899-12-30T08:45:42"/>
    <s v=""/>
    <s v="Perdido"/>
    <d v="2026-05-07T00:00:00"/>
    <d v="1899-12-30T09:53:22"/>
    <s v="Fora do porte mínimo (sem fit estrutural)"/>
    <s v=""/>
    <s v=""/>
    <x v="0"/>
    <s v="Rayssa Karapeticov"/>
    <x v="0"/>
    <s v=""/>
    <m/>
    <n v="30"/>
    <s v=""/>
    <s v=""/>
    <s v=""/>
    <s v=""/>
    <n v="1"/>
  </r>
  <r>
    <x v="2"/>
    <n v="1188"/>
    <m/>
    <n v="3743"/>
    <s v=""/>
    <s v=""/>
    <x v="659"/>
    <m/>
    <s v=""/>
    <s v="GSH Marketing Solutions"/>
    <s v="8496757596"/>
    <s v=""/>
    <s v="gleydson.silva@live.com"/>
    <s v=""/>
    <s v=""/>
    <s v=""/>
    <s v=""/>
    <s v=""/>
    <s v="Campanha"/>
    <s v=""/>
    <s v=""/>
    <s v="Dentro Perfil;Instagram"/>
    <s v="Pipeline de Vendas"/>
    <s v="Agendamento (0%)"/>
    <s v=""/>
    <d v="2026-05-31T00:00:00"/>
    <m/>
    <m/>
    <n v="2"/>
    <s v="Paulo Souza"/>
    <d v="2026-05-07T00:00:00"/>
    <d v="1899-12-30T08:47:19"/>
    <s v=""/>
    <s v="Perdido"/>
    <d v="2026-05-09T00:00:00"/>
    <d v="1899-12-30T08:54:10"/>
    <s v="Nossa solução não atende - falta funcionalidade"/>
    <s v=""/>
    <s v=""/>
    <x v="0"/>
    <s v="Rayssa Karapeticov"/>
    <x v="0"/>
    <s v=""/>
    <m/>
    <n v="30"/>
    <s v=""/>
    <s v=""/>
    <s v=""/>
    <s v=""/>
    <n v="1"/>
  </r>
  <r>
    <x v="1"/>
    <n v="1189"/>
    <m/>
    <n v="3742"/>
    <s v="08:52, 07/05/2026 Junior Lopes: Olá bom dia !_x000a_08:52, 07/05/2026 Junior Lopes: Sou Junior Lopes da Guarani sistemas! Td bem ?_x000a_11:51, 07/05/2026 Junior Lopes: qual o melhor horario para falarmos"/>
    <s v=""/>
    <x v="660"/>
    <m/>
    <s v=""/>
    <s v="Contade"/>
    <s v="4399777609"/>
    <s v=""/>
    <s v="arianagrandepequenasim@gmail.com"/>
    <s v=""/>
    <s v=""/>
    <s v=""/>
    <s v=""/>
    <s v="N sei"/>
    <s v="Inbound"/>
    <s v=""/>
    <s v=""/>
    <s v="Fora Perfil;Instagram"/>
    <s v="Pipeline de Vendas"/>
    <s v="Qualificação de Vendas (SQL) (25%)"/>
    <s v=""/>
    <m/>
    <m/>
    <m/>
    <n v="7"/>
    <s v="Paulo Souza"/>
    <d v="2026-05-07T00:00:00"/>
    <d v="1899-12-30T08:48:50"/>
    <s v=""/>
    <s v="Perdido"/>
    <d v="2026-05-14T00:00:00"/>
    <d v="1899-12-30T15:37:01"/>
    <s v="Inválido - empresa não existe / dados errados"/>
    <s v="(14/05/2026) _x000a_contato não responde _x000a_as informações inseridas não encontram dados da empresa ! ideal exigir CNPJ para uma melhor busca"/>
    <s v=""/>
    <x v="0"/>
    <s v="Junior Lopes"/>
    <x v="0"/>
    <s v=""/>
    <d v="2026-05-14T00:00:00"/>
    <n v="30"/>
    <s v=""/>
    <s v=""/>
    <s v=""/>
    <s v=""/>
    <n v="1"/>
  </r>
  <r>
    <x v="3"/>
    <n v="1190"/>
    <n v="276"/>
    <n v="3748"/>
    <s v="(07/05) Falei com Leila. Eles realizaram recentemente a troca de ERP e estão em busca de um novo CRM. Apresentei as soluções que oferecemos, com foco no AFV._x000a_No momento, estamos aguardando o retorno do Gestor Comercial para avançarmos com o agendamento de uma reunião._x000a_(12/05): Leila gostaria de uma reunião para entender melhor as nossa soluções. Como mudaram recentemente de ERP, a idéia é conhecer o nosso força de vendas e o BI para companhamento das vendas/metas._x000a_A Estilo Ar atua como distribuidora de peças e soluções para ar-condicionado automotivo. Filiais em: Uberlândia/MG (matriz), Belo Horizonte/MG, Juiz de Fora/MG, Montes Claros/MG, Goiânia/GO, Itumbiara/GO, Duque de Caxias/RJ e Cuiabá/MT. Então abrindo a nova filial Cuiabá._x000a_Produros que trabalham: Produtos que trabalham: Peças para ar-condicionado automotivo, Componentes Denso e Delphi, Produtos da marca própria Estilo Ar,  Filtros de cabine, Óleos, Higienizadores, Ferramentas e itens para manutenção automotiva. ERP atual: Sankhya e CRM Kommo integrado._x000a_Paulo: o foco é no AFV e BI, pois estão insatisfeito com o CRM atual. _x000a_(12/05) Reunião agendada para 12/05, as 14h30._x000a_(13/05) Reunião realizada. Leila informou que utilizam o CRM da Sankhya há aproximadamente 3 anos, porém estão insatisfeitos com a usabilidade da ferramenta. Atualmente, contam apenas com vendedores internos, mas a intenção é também trabalhar com representantes comerciais a partir do segundo semestre._x000a_Durante a reunião, foram apresentadas a Guarani Sistemas, as soluções AFV, Loja B2B e BI. Também foi enviado, via WhatsApp, o link do CRM Leads2b , juntamente com nossa apresentação institucional."/>
    <s v=""/>
    <x v="661"/>
    <n v="15338344000182"/>
    <s v="ESTILO AR COMERCIO DE PECAS LTDA"/>
    <s v="Leila Oliveira"/>
    <s v="(34) 3291-9100"/>
    <s v=""/>
    <s v="irpf@aserco.com.br"/>
    <s v="Matriz"/>
    <s v=""/>
    <s v="AV ENGENHEIRO DINIZ 848"/>
    <s v="UBERLANDIA"/>
    <s v="MG"/>
    <s v=""/>
    <s v=""/>
    <s v=""/>
    <s v="Dentro Perfil"/>
    <s v="Pipeline de Vendas"/>
    <s v="Apresentar Solução (35%)"/>
    <s v=""/>
    <m/>
    <m/>
    <m/>
    <n v="7"/>
    <s v="Ronaldo Nascimento"/>
    <d v="2026-05-07T00:00:00"/>
    <d v="1899-12-30T12:06:01"/>
    <s v=""/>
    <s v="Perdido"/>
    <d v="2026-05-14T00:00:00"/>
    <d v="1899-12-30T08:08:53"/>
    <s v="Projeto adiado / sem prazo definido"/>
    <s v="(14/05) Conforme Leila, a ideia é trabalhar com vendedor externo no segundo semestre. Criado atividade para contatar cliente em ago/26."/>
    <s v=""/>
    <x v="0"/>
    <s v=""/>
    <x v="237"/>
    <s v=""/>
    <m/>
    <n v="30"/>
    <s v=""/>
    <s v=""/>
    <s v=""/>
    <s v=""/>
    <n v="1"/>
  </r>
  <r>
    <x v="2"/>
    <n v="1191"/>
    <m/>
    <n v="3749"/>
    <s v=""/>
    <s v=""/>
    <x v="662"/>
    <n v="8333878000150"/>
    <s v=""/>
    <s v="Danielle"/>
    <s v="(74) 8124-8767"/>
    <s v=""/>
    <s v="maristela@kisolpiscinas.com"/>
    <s v=""/>
    <s v=""/>
    <s v=""/>
    <s v="FERNANDOPOLIS"/>
    <s v="SP"/>
    <s v=""/>
    <s v=""/>
    <s v=""/>
    <s v=""/>
    <s v="Pipeline de Vendas"/>
    <s v="Apresentar Solução (35%)"/>
    <s v=""/>
    <m/>
    <m/>
    <m/>
    <n v="13"/>
    <s v="Rayssa Karapeticov"/>
    <d v="2026-05-07T00:00:00"/>
    <d v="1899-12-30T16:38:45"/>
    <s v=""/>
    <s v="Ativo"/>
    <m/>
    <m/>
    <s v=""/>
    <s v=""/>
    <s v=""/>
    <x v="216"/>
    <s v="Rayssa Karapeticov"/>
    <x v="0"/>
    <s v=""/>
    <d v="2026-05-13T00:00:00"/>
    <n v="30"/>
    <s v=""/>
    <s v="ERP"/>
    <s v=""/>
    <s v=""/>
    <n v="1"/>
  </r>
  <r>
    <x v="3"/>
    <n v="1192"/>
    <n v="273"/>
    <n v="3754"/>
    <s v="(08/05) Apresentação agendada para 13/08 às 10h. Conforme informado pelo Milton, a empresa está em busca de um novo sistema de gestão e atualmente não possui uma ferramenta de força de vendas."/>
    <s v=""/>
    <x v="663"/>
    <n v="40220751000138"/>
    <s v="MARDEN MEDICAL LTDA."/>
    <s v="Milton Cavalieri"/>
    <s v="(16) 2121-0858"/>
    <s v=""/>
    <s v="administracao@mardenmedical.com.br"/>
    <s v="Matriz"/>
    <s v=""/>
    <s v="R GASTAO VIEIRA 229"/>
    <s v="SAO CARLOS"/>
    <s v="SP"/>
    <s v=""/>
    <s v=""/>
    <s v=""/>
    <s v="Dentro Perfil"/>
    <s v="Pipeline de Vendas"/>
    <s v="Apresentar Solução (35%)"/>
    <s v=""/>
    <m/>
    <m/>
    <m/>
    <n v="13"/>
    <s v="Ronaldo Nascimento"/>
    <d v="2026-05-07T00:00:00"/>
    <d v="1899-12-30T16:57:47"/>
    <s v=""/>
    <s v="Ativo"/>
    <m/>
    <m/>
    <s v=""/>
    <s v=""/>
    <s v=""/>
    <x v="0"/>
    <s v=""/>
    <x v="238"/>
    <s v=""/>
    <d v="2026-05-13T00:00:00"/>
    <n v="30"/>
    <s v=""/>
    <s v="ERP, AFV"/>
    <s v=""/>
    <s v=""/>
    <n v="1"/>
  </r>
  <r>
    <x v="3"/>
    <n v="1193"/>
    <n v="279"/>
    <m/>
    <s v="(08/05) Enviada mensagem via LinkedIn para Hugo Oliveira (gestor comercial), com o objetivo de apresentar as soluções da Guarani Sistemas e alinhar um possível bate-papo comercial."/>
    <s v=""/>
    <x v="221"/>
    <n v="89738173000115"/>
    <s v="SANREMO S/A"/>
    <s v=""/>
    <s v=""/>
    <s v=""/>
    <s v="bt_contabilidade@bettanin.com.br"/>
    <s v="Matriz"/>
    <s v=""/>
    <s v="AV INDEPENDENCIA 8885"/>
    <s v="ESTEIO"/>
    <s v="RS"/>
    <s v=""/>
    <s v=""/>
    <s v=""/>
    <s v="Dentro Perfil"/>
    <s v="Pipeline de Vendas"/>
    <s v="Agendamento (0%)"/>
    <s v=""/>
    <m/>
    <m/>
    <m/>
    <n v="12"/>
    <s v="Ronaldo Nascimento"/>
    <d v="2026-05-08T00:00:00"/>
    <d v="1899-12-30T10:00:51"/>
    <s v=""/>
    <s v="Ativo"/>
    <m/>
    <m/>
    <s v=""/>
    <s v=""/>
    <s v=""/>
    <x v="0"/>
    <s v=""/>
    <x v="0"/>
    <s v=""/>
    <m/>
    <n v="30"/>
    <s v=""/>
    <s v=""/>
    <s v=""/>
    <s v=""/>
    <n v="1"/>
  </r>
  <r>
    <x v="3"/>
    <n v="1194"/>
    <n v="281"/>
    <m/>
    <s v="(08/05) Enviada mensagem via LinkedIn para Vagner (gestor comercial), com o objetivo de apresentar as soluções da Guarani Sistemas e alinhar um possível bate-papo comercial._x000a_(18/05) Gestor comercial: Paulo Pimentel. Enviado msg a fim de agendar uma apresentação."/>
    <s v=""/>
    <x v="664"/>
    <n v="4381287000106"/>
    <s v="ORDENE S/A"/>
    <s v=""/>
    <s v=""/>
    <s v=""/>
    <s v="bt_contabilidade@bettanin.com.br"/>
    <s v="Matriz"/>
    <s v=""/>
    <s v="RUA GILBERTO TADEU MORAIS S/N"/>
    <s v="ESTEIO"/>
    <s v="RS"/>
    <s v=""/>
    <s v=""/>
    <s v=""/>
    <s v="Dentro Perfil"/>
    <s v="Pipeline de Vendas"/>
    <s v="Qualificação de Vendas (SQL) (25%)"/>
    <s v=""/>
    <m/>
    <m/>
    <m/>
    <n v="12"/>
    <s v="Ronaldo Nascimento"/>
    <d v="2026-05-08T00:00:00"/>
    <d v="1899-12-30T10:07:26"/>
    <s v=""/>
    <s v="Ativo"/>
    <m/>
    <m/>
    <s v=""/>
    <s v=""/>
    <s v=""/>
    <x v="0"/>
    <s v=""/>
    <x v="0"/>
    <s v=""/>
    <m/>
    <n v="30"/>
    <s v=""/>
    <s v=""/>
    <s v=""/>
    <s v=""/>
    <n v="1"/>
  </r>
  <r>
    <x v="3"/>
    <n v="1195"/>
    <n v="282"/>
    <n v="3760"/>
    <s v="(08/05) Enviada mensagem via LinkedIn para Lucimara (gestora comercial), com o objetivo de apresentar as soluções da Guarani Sistemas e alinhar um possível bate-papo comercial._x000a_(11/05) Consegui o contato de WhatsApp do Adm. Felix Carvalho. Enviei mensagem com o objetivo de verificar um melhor horário para realizarmos um bate-papo."/>
    <s v=""/>
    <x v="665"/>
    <n v="43948561000120"/>
    <s v="NIGRO ALUMINIO LTDA"/>
    <s v="Lucimara Zenatti"/>
    <s v="16210844221"/>
    <s v=""/>
    <s v="contabil@nigro.com.br"/>
    <s v="Matriz"/>
    <s v=""/>
    <s v="AV ARCANGELO NIGRO 166"/>
    <s v="ARARAQUARA"/>
    <s v="SP"/>
    <s v=""/>
    <s v=""/>
    <s v=""/>
    <s v="Dentro Perfil"/>
    <s v="Pipeline de Vendas"/>
    <s v="Qualificação de Vendas (SQL) (25%)"/>
    <s v=""/>
    <m/>
    <m/>
    <m/>
    <n v="12"/>
    <s v="Ronaldo Nascimento"/>
    <d v="2026-05-08T00:00:00"/>
    <d v="1899-12-30T10:30:00"/>
    <s v=""/>
    <s v="Ativo"/>
    <m/>
    <m/>
    <s v=""/>
    <s v=""/>
    <s v=""/>
    <x v="0"/>
    <s v=""/>
    <x v="0"/>
    <s v=""/>
    <m/>
    <n v="30"/>
    <s v=""/>
    <s v=""/>
    <s v=""/>
    <s v=""/>
    <n v="1"/>
  </r>
  <r>
    <x v="0"/>
    <n v="1196"/>
    <m/>
    <n v="3746"/>
    <s v=""/>
    <s v=""/>
    <x v="666"/>
    <n v="5659821000239"/>
    <s v=""/>
    <s v="Alexandre"/>
    <s v="11988734899"/>
    <s v=""/>
    <s v="alexandre@emblemax.com.br"/>
    <s v=""/>
    <s v=""/>
    <s v=""/>
    <s v=""/>
    <s v="SP"/>
    <s v="Inbound"/>
    <s v=""/>
    <s v=""/>
    <s v="Dentro Perfil;Instagram"/>
    <s v="Pipeline de Vendas"/>
    <s v="Qualificação de Vendas (SQL) (25%)"/>
    <s v=""/>
    <m/>
    <m/>
    <m/>
    <n v="12"/>
    <s v="Paulo Souza"/>
    <d v="2026-05-08T00:00:00"/>
    <d v="1899-12-30T11:46:39"/>
    <s v=""/>
    <s v="Ativo"/>
    <m/>
    <m/>
    <s v=""/>
    <s v=""/>
    <s v=""/>
    <x v="0"/>
    <s v="Paulo Souza"/>
    <x v="0"/>
    <s v=""/>
    <d v="2026-05-18T00:00:00"/>
    <n v="30"/>
    <s v=""/>
    <s v=""/>
    <s v=""/>
    <s v=""/>
    <n v="1"/>
  </r>
  <r>
    <x v="3"/>
    <n v="1197"/>
    <n v="270"/>
    <m/>
    <s v="(08/05) Enviado WhatsApp para Luiz (amigo pessoal) para entender melhor a estrutura comercial da MMO, incluindo modelo de equipe de vendas (interna e/ou externa) e sistemas utilizados atualmente para gestão e vendas._x000a_(11/05) Enviado msg para Gabriela (filha do Luis e amiga pessoal)."/>
    <s v=""/>
    <x v="667"/>
    <n v="2466212000194"/>
    <s v="MM OPTICS LTDA"/>
    <s v=""/>
    <s v=""/>
    <s v=""/>
    <s v="mmo@com.br"/>
    <s v="Matriz"/>
    <s v=""/>
    <s v="RUA GEMINIANO COSTA 143"/>
    <s v="SAO CARLOS"/>
    <s v="SP"/>
    <s v=""/>
    <s v=""/>
    <s v=""/>
    <s v="Dentro Perfil"/>
    <s v="Pipeline de Vendas"/>
    <s v="Qualificação de Vendas (SQL) (25%)"/>
    <s v=""/>
    <m/>
    <m/>
    <m/>
    <n v="12"/>
    <s v="Ronaldo Nascimento"/>
    <d v="2026-05-08T00:00:00"/>
    <d v="1899-12-30T12:05:35"/>
    <s v=""/>
    <s v="Ativo"/>
    <m/>
    <m/>
    <s v=""/>
    <s v=""/>
    <s v=""/>
    <x v="0"/>
    <s v=""/>
    <x v="0"/>
    <s v=""/>
    <d v="2026-05-11T00:00:00"/>
    <n v="30"/>
    <s v=""/>
    <s v=""/>
    <s v=""/>
    <s v=""/>
    <n v="1"/>
  </r>
  <r>
    <x v="3"/>
    <n v="1198"/>
    <n v="256"/>
    <n v="3773"/>
    <s v="(08/05) Enviado WhatsApp para Fabiana (amiga pessoal) com o objetivo de alinhar e agendar uma apresentação das nossas soluções."/>
    <s v=""/>
    <x v="668"/>
    <n v="20137275000189"/>
    <s v="VOLMED BRASIL EQUIPAMENTOS LTDA"/>
    <s v="Fabiana Voltatódio"/>
    <s v="(16) 3419-1794"/>
    <s v=""/>
    <s v="financeiro@volmed.com.br"/>
    <s v="Matriz"/>
    <s v=""/>
    <s v="RUA FRANCISCO CORREA BUENO 435"/>
    <s v="SAO CARLOS"/>
    <s v="SP"/>
    <s v=""/>
    <s v=""/>
    <s v=""/>
    <s v="TAG1SEM"/>
    <s v="Pipeline de Vendas"/>
    <s v="Agendamento (0%)"/>
    <s v=""/>
    <m/>
    <m/>
    <m/>
    <n v="0"/>
    <s v="Ronaldo Nascimento"/>
    <d v="2026-05-11T00:00:00"/>
    <d v="1899-12-30T09:33:58"/>
    <s v=""/>
    <s v="Perdido"/>
    <d v="2026-05-11T00:00:00"/>
    <d v="1899-12-30T09:35:54"/>
    <s v="Nossa solução não atende - falta funcionalidade"/>
    <s v="Em contato com Fabiana, foi informado que a empresa utiliza ferramentas específicas para o segmento (ERP e Força de Vendas), incluindo validações e exigências da Anvisa."/>
    <s v=""/>
    <x v="0"/>
    <s v=""/>
    <x v="0"/>
    <s v=""/>
    <m/>
    <n v="30"/>
    <s v=""/>
    <s v=""/>
    <s v=""/>
    <s v=""/>
    <n v="1"/>
  </r>
  <r>
    <x v="3"/>
    <n v="1199"/>
    <n v="283"/>
    <n v="3776"/>
    <s v="(08/05) Enviada mensagem via LinkedIn para Nádia (gestora comercial), com o objetivo de apresentar as soluções da Guarani Sistemas e alinhar um possível bate-papo comercial._x000a_(11/05) Nádia aceitou a conexão no LinkedIn. Enviada mensagem inicial apresentando as soluções da Guarani Sistemas."/>
    <s v=""/>
    <x v="669"/>
    <n v="88610191000154"/>
    <s v="MUNDIAL S.A. - PRODUTOS DE CONSUMO"/>
    <s v="Nádia C. da Silva"/>
    <s v="(51) 3358-5000"/>
    <s v=""/>
    <s v="lara.nunes@mundial.com"/>
    <s v="Matriz"/>
    <s v=""/>
    <s v="R DO PARAISO 148"/>
    <s v="SAO JOAO DE MERITI"/>
    <s v="RJ"/>
    <s v=""/>
    <s v=""/>
    <s v=""/>
    <s v="Dentro Perfil"/>
    <s v="Pipeline de Vendas"/>
    <s v="Qualificação de Vendas (SQL) (25%)"/>
    <s v=""/>
    <m/>
    <m/>
    <m/>
    <n v="9"/>
    <s v="Ronaldo Nascimento"/>
    <d v="2026-05-11T00:00:00"/>
    <d v="1899-12-30T10:28:33"/>
    <s v=""/>
    <s v="Ativo"/>
    <m/>
    <m/>
    <s v=""/>
    <s v=""/>
    <s v=""/>
    <x v="0"/>
    <s v=""/>
    <x v="0"/>
    <s v=""/>
    <m/>
    <n v="30"/>
    <s v=""/>
    <s v=""/>
    <s v=""/>
    <s v=""/>
    <n v="1"/>
  </r>
  <r>
    <x v="2"/>
    <n v="1200"/>
    <m/>
    <n v="3777"/>
    <s v=""/>
    <s v=""/>
    <x v="670"/>
    <n v="8821632000128"/>
    <s v=""/>
    <s v="LUCIANO CARBONARO DE OLIVEIRA"/>
    <s v=""/>
    <s v=""/>
    <s v=""/>
    <s v=""/>
    <s v=""/>
    <s v=""/>
    <s v=""/>
    <s v=""/>
    <s v="Campanha"/>
    <s v=""/>
    <s v=""/>
    <s v="Dentro Perfil;Instagram"/>
    <s v="Pipeline de Vendas"/>
    <s v="Qualificação de Vendas (SQL) (25%)"/>
    <s v=""/>
    <d v="2026-05-31T00:00:00"/>
    <m/>
    <m/>
    <n v="9"/>
    <s v="Paulo Souza"/>
    <d v="2026-05-11T00:00:00"/>
    <d v="1899-12-30T11:03:53"/>
    <s v=""/>
    <s v="Ativo"/>
    <m/>
    <m/>
    <s v=""/>
    <s v=""/>
    <s v=""/>
    <x v="0"/>
    <s v="Rayssa Karapeticov"/>
    <x v="0"/>
    <s v=""/>
    <d v="2026-05-13T00:00:00"/>
    <n v="30"/>
    <s v=""/>
    <s v=""/>
    <s v=""/>
    <s v=""/>
    <n v="1"/>
  </r>
  <r>
    <x v="1"/>
    <n v="1201"/>
    <m/>
    <n v="3771"/>
    <s v="(11/05/2026) tentativa de ligação porem o telefone esta bloqueado para chamadas _x000a_contato via WhatsApp_x000a_12:02, 11/05/2026 Junior Lopes: Olá Tone Oliveira, bom dia_x000a_12:02, 11/05/2026 Junior Lopes: sou Junior Lopes da Guarani sistemas_x000a_12:02, 11/05/2026 Junior Lopes: td bem ?_x000a_(14/05/2026) avançando com informações da solução ! direcionando para uma apresentação"/>
    <s v="N. K. Distribuidora Ltda"/>
    <x v="671"/>
    <n v="12084237000187"/>
    <s v=""/>
    <s v="NK Distribuidora De Cosmeticos"/>
    <s v="6699942807"/>
    <s v=""/>
    <s v="toneoliveira@hotmail.com"/>
    <s v=""/>
    <s v=""/>
    <s v=""/>
    <s v="RONDONOPOLIS"/>
    <s v="MT"/>
    <s v="Campanha"/>
    <s v=""/>
    <s v=""/>
    <s v="Dentro Perfil;Instagram"/>
    <s v="Pipeline de Vendas"/>
    <s v="Qualificação de Vendas (SQL) (25%)"/>
    <s v=""/>
    <d v="2026-05-31T00:00:00"/>
    <m/>
    <m/>
    <n v="9"/>
    <s v="Paulo Souza"/>
    <d v="2026-05-11T00:00:00"/>
    <d v="1899-12-30T11:18:41"/>
    <s v=""/>
    <s v="Ativo"/>
    <m/>
    <m/>
    <s v=""/>
    <s v=""/>
    <s v=""/>
    <x v="0"/>
    <s v="Junior Lopes"/>
    <x v="0"/>
    <s v=""/>
    <m/>
    <n v="30"/>
    <s v=""/>
    <s v=""/>
    <s v=""/>
    <s v=""/>
    <n v="1"/>
  </r>
  <r>
    <x v="3"/>
    <n v="1202"/>
    <n v="241"/>
    <n v="3779"/>
    <s v="(11/05) Em contato com Paula, foi informado que a empresa utiliza diferentes sistemas separados por departamento. Solicitou o envio de uma apresentação por e-mail para encaminhamento ao João. Atualmente, a empresa possui equipe de vendas interna e apenas um vendedor externo (João)."/>
    <s v=""/>
    <x v="672"/>
    <n v="6269527000100"/>
    <s v="LA ROCHA INDUSTRIA E COMERCIO DE FIBRAS MINERAIS LTDA"/>
    <s v="Paula Franzin"/>
    <s v="(01) 63911-7784"/>
    <s v=""/>
    <s v=""/>
    <s v="Matriz"/>
    <s v=""/>
    <s v="EST VICINAL VITO GAIA PUOLI, KM 2 + S/N"/>
    <s v="DESCALVADO"/>
    <s v="SP"/>
    <s v=""/>
    <s v=""/>
    <s v=""/>
    <s v="Dentro Perfil"/>
    <s v="Pipeline de Vendas"/>
    <s v="Qualificação de Vendas (SQL) (25%)"/>
    <s v=""/>
    <m/>
    <m/>
    <m/>
    <n v="9"/>
    <s v="Ronaldo Nascimento"/>
    <d v="2026-05-11T00:00:00"/>
    <d v="1899-12-30T11:23:29"/>
    <s v=""/>
    <s v="Ativo"/>
    <m/>
    <m/>
    <s v=""/>
    <s v=""/>
    <s v=""/>
    <x v="0"/>
    <s v=""/>
    <x v="0"/>
    <s v=""/>
    <m/>
    <n v="30"/>
    <s v=""/>
    <s v=""/>
    <s v=""/>
    <s v=""/>
    <n v="1"/>
  </r>
  <r>
    <x v="0"/>
    <n v="1203"/>
    <m/>
    <n v="3770"/>
    <s v=""/>
    <s v=""/>
    <x v="673"/>
    <n v="48579170000107"/>
    <s v=""/>
    <s v="Belapin ind com"/>
    <s v="11970330999"/>
    <s v=""/>
    <s v="junior@arcobello.com.br"/>
    <s v=""/>
    <s v=""/>
    <s v=""/>
    <s v=""/>
    <s v=""/>
    <s v="Campanha"/>
    <s v=""/>
    <s v=""/>
    <s v="Dentro Perfil;Instagram"/>
    <s v="Pipeline de Vendas"/>
    <s v="Qualificação de Vendas (SQL) (25%)"/>
    <s v=""/>
    <d v="2026-05-31T00:00:00"/>
    <m/>
    <m/>
    <n v="9"/>
    <s v="Paulo Souza"/>
    <d v="2026-05-11T00:00:00"/>
    <d v="1899-12-30T11:24:21"/>
    <s v=""/>
    <s v="Ativo"/>
    <m/>
    <m/>
    <s v=""/>
    <s v=""/>
    <s v=""/>
    <x v="0"/>
    <s v="Paulo Souza"/>
    <x v="0"/>
    <s v=""/>
    <m/>
    <n v="30"/>
    <s v=""/>
    <s v=""/>
    <s v=""/>
    <s v=""/>
    <n v="1"/>
  </r>
  <r>
    <x v="3"/>
    <n v="1204"/>
    <n v="231"/>
    <n v="3780"/>
    <s v="(11/05) Falei com Orlei (Compras), que indicou o Rodrigo, da área Comercial, como responsável para continuidade da conversa. Atualmente a empresa utiliza o sistema WBC, desenvolvido para o segmento, porém cada departamento trabalha com um sistema diferente._x000a_Comentou também que, há algum tempo, chegaram a conversar com a TOTVS sobre implantação de ERP, mas o projeto acabou não avançando devido à dificuldade relacionada à migração/estruturação dos dados._x000a_Realizei contato com o Rodrigo, porém a ligação caiu na caixa postal. Enviei mensagem via WhatsApp para tentar agendar um bate-papo."/>
    <s v=""/>
    <x v="674"/>
    <n v="490414000146"/>
    <s v="N S F INDUSTRIA E COMERCIO DE EQUIPAMENTOS PARA INSTALACOES COMERCIAIS LTDA"/>
    <s v="Antonio Marcos Real"/>
    <s v="(16) 3377-9700"/>
    <s v=""/>
    <s v="financeiro@nsf.ind.br"/>
    <s v="Matriz"/>
    <s v=""/>
    <s v="ROD WASHINGTON LUIZ S/N"/>
    <s v="SAO CARLOS"/>
    <s v="SP"/>
    <s v=""/>
    <s v=""/>
    <s v=""/>
    <s v="Dentro Perfil"/>
    <s v="Pipeline de Vendas"/>
    <s v="Qualificação de Vendas (SQL) (25%)"/>
    <s v=""/>
    <m/>
    <m/>
    <m/>
    <n v="9"/>
    <s v="Ronaldo Nascimento"/>
    <d v="2026-05-11T00:00:00"/>
    <d v="1899-12-30T14:29:08"/>
    <s v=""/>
    <s v="Ativo"/>
    <m/>
    <m/>
    <s v=""/>
    <s v=""/>
    <s v=""/>
    <x v="0"/>
    <s v=""/>
    <x v="0"/>
    <s v=""/>
    <m/>
    <n v="30"/>
    <s v=""/>
    <s v=""/>
    <s v=""/>
    <s v=""/>
    <n v="1"/>
  </r>
  <r>
    <x v="3"/>
    <n v="1205"/>
    <n v="252"/>
    <n v="3781"/>
    <s v="(08/05) Enviado WhatsApp para Lana (amiga pessoal), atualmente representante comercial da empresa, solicitando o contato do gestor comercial para possível apresentação das soluções._x000a_(11/05) Falei com a Lana. No momento, a empresa está concentrada na preparação para a Feira Hospitalar, que acontecerá entre os dias 19 e 22 de maio._x000a_Comentou que atualmente utilizam as soluções da Sectra para a área comercial (possivelmente ERP também). Sugeriu retomarmos o contato durante a feira ou após o evento para conversarmos com mais tranquilidade."/>
    <s v=""/>
    <x v="675"/>
    <n v="13459890000146"/>
    <s v="HORTRON INDUSTRIA E COMERCIO DE PRODUTOS ELETRONICOS LTDA"/>
    <s v="Willian Zanon"/>
    <s v="(16) 3419-0892"/>
    <s v=""/>
    <s v="hortron@hortron.com.br"/>
    <s v="Matriz"/>
    <s v=""/>
    <s v="AV GETULIO VARGAS 2831"/>
    <s v="SAO CARLOS"/>
    <s v="SP"/>
    <s v=""/>
    <s v=""/>
    <s v=""/>
    <s v="Dentro Perfil"/>
    <s v="Pipeline de Vendas"/>
    <s v="Qualificação de Vendas (SQL) (25%)"/>
    <s v=""/>
    <m/>
    <m/>
    <m/>
    <n v="9"/>
    <s v="Ronaldo Nascimento"/>
    <d v="2026-05-11T00:00:00"/>
    <d v="1899-12-30T14:44:21"/>
    <s v=""/>
    <s v="Ativo"/>
    <m/>
    <m/>
    <s v=""/>
    <s v=""/>
    <s v=""/>
    <x v="0"/>
    <s v=""/>
    <x v="0"/>
    <s v=""/>
    <m/>
    <n v="30"/>
    <s v=""/>
    <s v=""/>
    <s v=""/>
    <s v=""/>
    <n v="1"/>
  </r>
  <r>
    <x v="3"/>
    <n v="1206"/>
    <n v="226"/>
    <n v="3782"/>
    <s v="(11/05) Falei com Denise (contato pessoal da área de RH). Apresentei brevemente a Guarani Sistemas e algumas das soluções que oferecemos, principalmente na área comercial. Solicitei o contato do gestor/com responsável pela área comercial para apresentar nossa solução de vendas. Aguardando retorno._x000a_(12/05) Falei com a Denise, que me passou o contato (e-mail) do Farid, Gestor Comercial da Hece Máquinas. Denise comentou que a empresa atualmente trabalha com um ERP próprio. Enviado e-mail a fim de agendarmos um bate-papo."/>
    <s v=""/>
    <x v="676"/>
    <n v="59602144000160"/>
    <s v="HECE MAQUINAS LTDA"/>
    <s v="Denise Rodrigues Ferreira"/>
    <s v="(16) 98198-8289"/>
    <s v="16981988289"/>
    <s v="rh@hece.com.br"/>
    <s v="Matriz"/>
    <s v=""/>
    <s v="R JOAO ABDELNUR 99"/>
    <s v="SAO CARLOS"/>
    <s v="SP"/>
    <s v=""/>
    <s v=""/>
    <s v=""/>
    <s v="Dentro Perfil"/>
    <s v="Pipeline de Vendas"/>
    <s v="Qualificação de Vendas (SQL) (25%)"/>
    <s v=""/>
    <m/>
    <m/>
    <m/>
    <n v="9"/>
    <s v="Ronaldo Nascimento"/>
    <d v="2026-05-11T00:00:00"/>
    <d v="1899-12-30T14:54:52"/>
    <s v=""/>
    <s v="Ativo"/>
    <m/>
    <m/>
    <s v=""/>
    <s v=""/>
    <s v=""/>
    <x v="0"/>
    <s v=""/>
    <x v="0"/>
    <s v=""/>
    <d v="2026-05-12T00:00:00"/>
    <n v="30"/>
    <s v=""/>
    <s v=""/>
    <s v=""/>
    <s v=""/>
    <n v="1"/>
  </r>
  <r>
    <x v="3"/>
    <n v="1208"/>
    <n v="255"/>
    <n v="3788"/>
    <s v="(11/05) Enviado msg para Nathalia a fim de agendarmos um bate-papo._x000a_(12/05) Falei com a Nathalia, que me passou o contato (e-mail) da Vanessa, Gerente Comercial da Setormed. Enviado e-mail a fim de agendarmos um bate-papo."/>
    <s v=""/>
    <x v="677"/>
    <n v="13533397000129"/>
    <s v="SETORMED INDUSTRIA E COMERCIO DE EQUIPAMENTOS MEDICOS E ODONTOLOGICOS S.A."/>
    <s v="Nathalia C. S. Santos"/>
    <s v="(16) 34165-3681"/>
    <s v=""/>
    <s v="setormed@setormed.com.br"/>
    <s v="Matriz"/>
    <s v=""/>
    <s v="RUA ARTHUR RODRIGUES DE CASTRO 150"/>
    <s v="SAO CARLOS"/>
    <s v="SP"/>
    <s v=""/>
    <s v=""/>
    <s v=""/>
    <s v="Dentro Perfil"/>
    <s v="Pipeline de Vendas"/>
    <s v="Qualificação de Vendas (SQL) (25%)"/>
    <s v=""/>
    <m/>
    <m/>
    <m/>
    <n v="8"/>
    <s v="Ronaldo Nascimento"/>
    <d v="2026-05-12T00:00:00"/>
    <d v="1899-12-30T11:50:46"/>
    <s v=""/>
    <s v="Ativo"/>
    <m/>
    <m/>
    <s v=""/>
    <s v=""/>
    <s v=""/>
    <x v="0"/>
    <s v=""/>
    <x v="0"/>
    <s v=""/>
    <m/>
    <n v="30"/>
    <s v=""/>
    <s v=""/>
    <s v=""/>
    <s v=""/>
    <n v="1"/>
  </r>
  <r>
    <x v="2"/>
    <n v="1209"/>
    <m/>
    <n v="3786"/>
    <s v="Todos os dados preenchidos:_x000a_empresa: Casa Bonitta _x000a_name: NATALIA GABRIELA DAMACENO MOTA _x000a_cargo: Proprietária _x000a_whatsapp: 11996672094 _x000a_email: naty-gabriela@hotmail.com _x000a_referrer: https://www.guaranisistemas.com.br/"/>
    <s v=""/>
    <x v="678"/>
    <n v="36621794000158"/>
    <s v=""/>
    <s v="NATALIA GABRIELA DAMACENO MOTA"/>
    <s v="(11) 4292-3358"/>
    <s v=""/>
    <s v="naty-gabriela@hotmail.com"/>
    <s v=""/>
    <s v=""/>
    <s v=""/>
    <s v="SUZANO"/>
    <s v="SP"/>
    <s v="Inbound"/>
    <s v=""/>
    <s v=""/>
    <s v="Perfil Indefinido"/>
    <s v="Pipeline de Vendas"/>
    <s v="Apresentar Solução (35%)"/>
    <s v=""/>
    <d v="2026-05-31T00:00:00"/>
    <m/>
    <m/>
    <n v="8"/>
    <s v="Paulo Souza"/>
    <d v="2026-05-12T00:00:00"/>
    <d v="1899-12-30T15:18:03"/>
    <s v=""/>
    <s v="Ativo"/>
    <m/>
    <m/>
    <s v=""/>
    <s v=""/>
    <s v=""/>
    <x v="0"/>
    <s v="Rayssa Karapeticov"/>
    <x v="0"/>
    <s v=""/>
    <d v="2026-05-19T00:00:00"/>
    <n v="30"/>
    <s v=""/>
    <s v=""/>
    <s v=""/>
    <s v=""/>
    <n v="1"/>
  </r>
  <r>
    <x v="3"/>
    <n v="1212"/>
    <n v="291"/>
    <n v="3801"/>
    <s v=""/>
    <s v=""/>
    <x v="679"/>
    <n v="17188274000159"/>
    <s v="UTILIMIX INDUSTRIA E COMERCIO LTDA"/>
    <s v="Bruno"/>
    <s v="(11) 91010-4191"/>
    <s v=""/>
    <s v="utilimix@bol.com.br"/>
    <s v="Matriz"/>
    <s v=""/>
    <s v="RUA ESTADO DE PERNAMBUCO 93"/>
    <s v="SAO PAULO"/>
    <s v="SP"/>
    <s v=""/>
    <s v=""/>
    <s v=""/>
    <s v="Dentro Perfil"/>
    <s v="Pipeline de Vendas"/>
    <s v="Apresentar Solução (35%)"/>
    <s v=""/>
    <m/>
    <m/>
    <m/>
    <n v="5"/>
    <s v="Ronaldo Nascimento"/>
    <d v="2026-05-13T00:00:00"/>
    <d v="1899-12-30T14:07:38"/>
    <s v=""/>
    <s v="Perdido"/>
    <d v="2026-05-18T00:00:00"/>
    <d v="1899-12-30T09:10:54"/>
    <s v="Fora do porte mínimo (sem fit estrutural)"/>
    <s v="Bruno gostou bastante da solução, porém, no momento a estrutura da empresa ainda é pequena para utilização das nossas ferramentas. Deixei meu contato à disposição para, futuramente, caso a empresa cresça ou o perfil da operação mude, avaliarmos uma solução mais robusta."/>
    <s v=""/>
    <x v="0"/>
    <s v=""/>
    <x v="0"/>
    <s v=""/>
    <d v="2026-05-15T00:00:00"/>
    <n v="40"/>
    <s v=""/>
    <s v=""/>
    <s v=""/>
    <s v=""/>
    <n v="1"/>
  </r>
  <r>
    <x v="1"/>
    <n v="1213"/>
    <m/>
    <n v="3802"/>
    <s v="Olá Alexandre boa tarde ! Aqui é Junior Lopes da Guarani sistemas, Td bem ?_x000a_Estou retornando contato que vc fez conosco referente as nossas soluções de ERP e soluções de força de vendas_x000a_Olá Alexandre, bom dia_x000a_Bom dia_x000a_Mandei mensagem para saber sobre valor do sistema e como funciona_x000a_Ok_x000a_Pode deixar_x000a_Não tenho interesse"/>
    <s v="Analu Parafusos Ltda"/>
    <x v="680"/>
    <n v="26991643000138"/>
    <s v=""/>
    <s v="Alexandre"/>
    <s v="17981238345"/>
    <s v=""/>
    <s v="analuparafusos@gmail.com"/>
    <s v=""/>
    <s v=""/>
    <s v=""/>
    <s v="CAMPO GRANDE"/>
    <s v="MS"/>
    <s v="Campanha"/>
    <s v=""/>
    <s v=""/>
    <s v="Dentro Perfil;Instagram"/>
    <s v="Pipeline de Vendas"/>
    <s v="Qualificação de Vendas (SQL) (25%)"/>
    <s v=""/>
    <d v="2026-05-31T00:00:00"/>
    <m/>
    <m/>
    <n v="1"/>
    <s v="Paulo Souza"/>
    <d v="2026-05-13T00:00:00"/>
    <d v="1899-12-30T17:48:05"/>
    <s v=""/>
    <s v="Perdido"/>
    <d v="2026-05-14T00:00:00"/>
    <d v="1899-12-30T11:26:14"/>
    <s v="Cliente não quer contato LGPD"/>
    <s v="Olá Alexandre boa tarde ! Aqui é Junior Lopes da Guarani sistemas, Td bem ?_x000a_Estou retornando contato que vc fez conosco referente as nossas soluções de ERP e soluções de força de vendas_x000a_Olá Alexandre, bom dia_x000a_Bom dia_x000a_Mandei mensagem para saber sobre valor do sistema e como funciona_x000a_Ok_x000a_Pode deixar_x000a_Não tenho interesse"/>
    <s v=""/>
    <x v="0"/>
    <s v="Junior Lopes"/>
    <x v="0"/>
    <s v=""/>
    <d v="2026-05-14T00:00:00"/>
    <n v="30"/>
    <s v=""/>
    <s v=""/>
    <s v=""/>
    <s v=""/>
    <n v="1"/>
  </r>
  <r>
    <x v="2"/>
    <n v="1214"/>
    <m/>
    <n v="3804"/>
    <s v=""/>
    <s v=""/>
    <x v="681"/>
    <n v="68044700000111"/>
    <s v=""/>
    <s v="Belapin Industria E Comercio De Alimenticios Ltda"/>
    <s v="(011) 2726-761"/>
    <s v=""/>
    <s v="null"/>
    <s v=""/>
    <s v=""/>
    <s v=""/>
    <s v="SAO PAULO"/>
    <s v="SP"/>
    <s v="Base de empresas Leads2b"/>
    <s v=""/>
    <s v=""/>
    <s v=""/>
    <s v="Pipeline de Vendas"/>
    <s v="Qualificação de Vendas (SQL) (25%)"/>
    <s v=""/>
    <m/>
    <m/>
    <m/>
    <n v="7"/>
    <s v="Rayssa Karapeticov"/>
    <d v="2026-05-13T00:00:00"/>
    <d v="1899-12-30T18:21:57"/>
    <s v=""/>
    <s v="Ativo"/>
    <m/>
    <m/>
    <s v=""/>
    <s v=""/>
    <s v=""/>
    <x v="0"/>
    <s v=""/>
    <x v="0"/>
    <s v=""/>
    <m/>
    <m/>
    <s v=""/>
    <s v=""/>
    <s v=""/>
    <s v=""/>
    <n v="1"/>
  </r>
  <r>
    <x v="1"/>
    <n v="1215"/>
    <m/>
    <n v="3807"/>
    <s v=""/>
    <s v=""/>
    <x v="682"/>
    <m/>
    <s v=""/>
    <s v="Istok comercio importação (Cloud)"/>
    <s v="1123617746"/>
    <s v=""/>
    <s v="diogo.contabilidade@yahoo.com.br"/>
    <s v=""/>
    <s v=""/>
    <s v=""/>
    <s v=""/>
    <s v=""/>
    <s v=""/>
    <s v=""/>
    <s v=""/>
    <s v=""/>
    <s v="Pipeline de Vendas"/>
    <s v="Em Fechamento (100%)"/>
    <s v=""/>
    <m/>
    <n v="0"/>
    <n v="2400"/>
    <n v="5"/>
    <s v="Junior Lopes"/>
    <d v="2026-05-14T00:00:00"/>
    <d v="1899-12-30T08:46:38"/>
    <s v=""/>
    <s v="Ganho"/>
    <d v="2026-05-19T00:00:00"/>
    <d v="1899-12-30T14:27:54"/>
    <s v=""/>
    <s v=""/>
    <s v=""/>
    <x v="215"/>
    <s v=""/>
    <x v="235"/>
    <s v="12/05/2026"/>
    <m/>
    <n v="90"/>
    <s v=""/>
    <s v=""/>
    <s v=""/>
    <s v=""/>
    <n v="1"/>
  </r>
  <r>
    <x v="3"/>
    <n v="1216"/>
    <n v="289"/>
    <n v="3812"/>
    <s v="(13/05) Conversei com Joel, vendedor da Newlar. Atualmente, eles não possuem sistema de força de vendas via celular, realizando os pedidos de forma online._x000a_Joel me passou o contato do Edinho, gestor comercial. Enviei mensagem com o objetivo de agendarmos uma apresentação da solução._x000a_(14/05) Em ligação, Tatiana (financeiro) informou que a empresa utiliza o ERP Sankhya há cerca de 4 anos. Atualmente não possuem equipe de vendas externa, e o site é utilizado apenas para demonstração dos produtos/pedidos._x000a_Solicitou uma apresentação inicial por e-mail e também deixou o WhatsApp (11 97334-5254) para um novo contato, a fim de apresentarmos nossas soluções._x000a_Comentou ainda que considera a mensalidade atual do ERP elevada."/>
    <s v=""/>
    <x v="683"/>
    <n v="3717565000182"/>
    <s v="NEWLAR DISTRIBUIDORA DE UTILIDADES DOMESTICAS LTDA"/>
    <s v="Edinho"/>
    <s v="(11) 96123-5967"/>
    <s v="11961235967"/>
    <s v="newlar@newlar.com.br"/>
    <s v="Matriz"/>
    <s v=""/>
    <s v="AV VAUTIER 649"/>
    <s v="SAO PAULO"/>
    <s v="SP"/>
    <s v=""/>
    <s v=""/>
    <s v=""/>
    <s v="Dentro Perfil"/>
    <s v="Pipeline de Vendas"/>
    <s v="Qualificação de Vendas (SQL) (25%)"/>
    <s v=""/>
    <m/>
    <m/>
    <m/>
    <n v="6"/>
    <s v="Ronaldo Nascimento"/>
    <d v="2026-05-14T00:00:00"/>
    <d v="1899-12-30T11:56:50"/>
    <s v=""/>
    <s v="Ativo"/>
    <m/>
    <m/>
    <s v=""/>
    <s v=""/>
    <s v=""/>
    <x v="0"/>
    <s v=""/>
    <x v="0"/>
    <s v=""/>
    <m/>
    <n v="30"/>
    <s v=""/>
    <s v=""/>
    <s v=""/>
    <s v=""/>
    <n v="1"/>
  </r>
  <r>
    <x v="2"/>
    <n v="1217"/>
    <m/>
    <n v="3814"/>
    <s v=""/>
    <s v=""/>
    <x v="684"/>
    <n v="11587676000140"/>
    <s v=""/>
    <s v="Gifran Industria De Artigos Texteis Ltda"/>
    <s v="(24) 2255-5069"/>
    <s v=""/>
    <s v="comercial@gifran.com.br"/>
    <s v=""/>
    <s v=""/>
    <s v=""/>
    <s v="TRES RIOS"/>
    <s v="RJ"/>
    <s v="Base de empresas Leads2b"/>
    <s v=""/>
    <s v=""/>
    <s v=""/>
    <s v="Pipeline de Vendas"/>
    <s v="Qualificação de Vendas (SQL) (25%)"/>
    <s v=""/>
    <m/>
    <m/>
    <m/>
    <n v="6"/>
    <s v="Rayssa Karapeticov"/>
    <d v="2026-05-14T00:00:00"/>
    <d v="1899-12-30T14:46:19"/>
    <s v=""/>
    <s v="Ativo"/>
    <m/>
    <m/>
    <s v=""/>
    <s v=""/>
    <s v=""/>
    <x v="0"/>
    <s v=""/>
    <x v="0"/>
    <s v=""/>
    <d v="2026-05-14T00:00:00"/>
    <n v="30"/>
    <s v=""/>
    <s v=""/>
    <s v=""/>
    <s v=""/>
    <n v="1"/>
  </r>
  <r>
    <x v="2"/>
    <n v="1218"/>
    <m/>
    <n v="3817"/>
    <s v=""/>
    <s v=""/>
    <x v="685"/>
    <n v="3640671000105"/>
    <s v=""/>
    <s v="Plasnew Utilidades Domesticas Ltda."/>
    <s v="(19) 3852-9000"/>
    <s v=""/>
    <s v="plasnew@plasnew.ind.br"/>
    <s v=""/>
    <s v=""/>
    <s v=""/>
    <s v="PEDREIRA"/>
    <s v="SP"/>
    <s v="Base de empresas Leads2b"/>
    <s v=""/>
    <s v=""/>
    <s v=""/>
    <s v="Pipeline de Vendas"/>
    <s v="Qualificação de Vendas (SQL) (25%)"/>
    <s v=""/>
    <m/>
    <m/>
    <m/>
    <n v="6"/>
    <s v="Rayssa Karapeticov"/>
    <d v="2026-05-14T00:00:00"/>
    <d v="1899-12-30T14:49:03"/>
    <s v=""/>
    <s v="Ativo"/>
    <m/>
    <m/>
    <s v=""/>
    <s v=""/>
    <s v=""/>
    <x v="0"/>
    <s v=""/>
    <x v="0"/>
    <s v=""/>
    <m/>
    <m/>
    <s v=""/>
    <s v=""/>
    <s v=""/>
    <s v=""/>
    <n v="1"/>
  </r>
  <r>
    <x v="2"/>
    <n v="1219"/>
    <m/>
    <n v="3820"/>
    <s v=""/>
    <s v=""/>
    <x v="686"/>
    <n v="14892407000185"/>
    <s v=""/>
    <s v="Ambiente Verde Industria Ltda"/>
    <s v="(51) 3541-7491"/>
    <s v=""/>
    <s v="ambienteverde@ambienteverde.ind.br"/>
    <s v=""/>
    <s v=""/>
    <s v=""/>
    <s v="IGREJINHA"/>
    <s v="RS"/>
    <s v="Base de empresas Leads2b"/>
    <s v=""/>
    <s v=""/>
    <s v=""/>
    <s v="Pipeline de Vendas"/>
    <s v="Qualificação de Vendas (SQL) (25%)"/>
    <s v=""/>
    <m/>
    <m/>
    <m/>
    <n v="6"/>
    <s v="Rayssa Karapeticov"/>
    <d v="2026-05-14T00:00:00"/>
    <d v="1899-12-30T14:49:45"/>
    <s v=""/>
    <s v="Ativo"/>
    <m/>
    <m/>
    <s v=""/>
    <s v=""/>
    <s v=""/>
    <x v="0"/>
    <s v=""/>
    <x v="0"/>
    <s v=""/>
    <m/>
    <m/>
    <s v=""/>
    <s v=""/>
    <s v=""/>
    <s v=""/>
    <n v="1"/>
  </r>
  <r>
    <x v="1"/>
    <n v="1220"/>
    <m/>
    <n v="3824"/>
    <s v=""/>
    <s v=""/>
    <x v="687"/>
    <m/>
    <s v=""/>
    <s v="Baag - Horas"/>
    <s v="75981337574"/>
    <s v=""/>
    <s v="cleber@baag.com.br"/>
    <s v=""/>
    <s v=""/>
    <s v=""/>
    <s v=""/>
    <s v=""/>
    <s v=""/>
    <s v=""/>
    <s v=""/>
    <s v=""/>
    <s v="Pipeline de Vendas"/>
    <s v="Em negociação (75%)"/>
    <s v=""/>
    <m/>
    <n v="25228"/>
    <n v="0"/>
    <n v="6"/>
    <s v="Junior Lopes"/>
    <d v="2026-05-14T00:00:00"/>
    <d v="1899-12-30T14:51:10"/>
    <s v=""/>
    <s v="Ativo"/>
    <m/>
    <m/>
    <s v=""/>
    <s v=""/>
    <s v=""/>
    <x v="212"/>
    <s v=""/>
    <x v="0"/>
    <s v=""/>
    <m/>
    <n v="50"/>
    <s v=""/>
    <s v=""/>
    <s v=""/>
    <s v=""/>
    <n v="1"/>
  </r>
  <r>
    <x v="2"/>
    <n v="1221"/>
    <m/>
    <n v="3826"/>
    <s v=""/>
    <s v=""/>
    <x v="688"/>
    <n v="79846465000207"/>
    <s v=""/>
    <s v="Goedert Ltda"/>
    <s v="(48) 3205-2140"/>
    <s v=""/>
    <s v="administracao@goedert.com.br"/>
    <s v=""/>
    <s v=""/>
    <s v=""/>
    <s v="PALHOCA"/>
    <s v="SC"/>
    <s v="Base de empresas Leads2b"/>
    <s v=""/>
    <s v=""/>
    <s v=""/>
    <s v="Pipeline de Vendas"/>
    <s v="Qualificação de Vendas (SQL) (25%)"/>
    <s v=""/>
    <m/>
    <m/>
    <m/>
    <n v="6"/>
    <s v="Rayssa Karapeticov"/>
    <d v="2026-05-14T00:00:00"/>
    <d v="1899-12-30T15:23:21"/>
    <s v=""/>
    <s v="Ativo"/>
    <m/>
    <m/>
    <s v=""/>
    <s v=""/>
    <s v=""/>
    <x v="0"/>
    <s v=""/>
    <x v="0"/>
    <s v=""/>
    <m/>
    <m/>
    <s v=""/>
    <s v=""/>
    <s v=""/>
    <s v=""/>
    <n v="1"/>
  </r>
  <r>
    <x v="2"/>
    <n v="1222"/>
    <m/>
    <n v="3827"/>
    <s v=""/>
    <s v=""/>
    <x v="89"/>
    <n v="5670513000123"/>
    <s v=""/>
    <s v="Jlk Industria E Comercio De Plasticos Ltda"/>
    <s v="(11) 2243-0117"/>
    <s v=""/>
    <s v="jlk@jlkplasticos.com.br"/>
    <s v=""/>
    <s v=""/>
    <s v=""/>
    <s v="SAO PAULO"/>
    <s v="SP"/>
    <s v="Base de empresas Leads2b"/>
    <s v=""/>
    <s v=""/>
    <s v=""/>
    <s v="Pipeline de Vendas"/>
    <s v="Agendamento (0%)"/>
    <s v=""/>
    <m/>
    <m/>
    <m/>
    <n v="6"/>
    <s v="Rayssa Karapeticov"/>
    <d v="2026-05-14T00:00:00"/>
    <d v="1899-12-30T15:24:59"/>
    <s v=""/>
    <s v="Ativo"/>
    <m/>
    <m/>
    <s v=""/>
    <s v=""/>
    <s v=""/>
    <x v="0"/>
    <s v=""/>
    <x v="0"/>
    <s v=""/>
    <m/>
    <m/>
    <s v=""/>
    <s v=""/>
    <s v=""/>
    <s v=""/>
    <n v="1"/>
  </r>
  <r>
    <x v="2"/>
    <n v="1223"/>
    <m/>
    <n v="3830"/>
    <s v=""/>
    <s v=""/>
    <x v="689"/>
    <n v="29946937000136"/>
    <s v=""/>
    <s v="Mercapet Comercio De Acessorios Para Animais Ltda"/>
    <s v="(11) 7162-4141"/>
    <s v=""/>
    <s v="marcosmercapet@gmail.com"/>
    <s v=""/>
    <s v=""/>
    <s v=""/>
    <s v="ITAQUAQUECETUBA"/>
    <s v="SP"/>
    <s v="Base de empresas Leads2b"/>
    <s v=""/>
    <s v=""/>
    <s v=""/>
    <s v="Pipeline de Vendas"/>
    <s v="Agendamento (0%)"/>
    <s v=""/>
    <m/>
    <m/>
    <m/>
    <n v="6"/>
    <s v="Rayssa Karapeticov"/>
    <d v="2026-05-14T00:00:00"/>
    <d v="1899-12-30T15:29:49"/>
    <s v=""/>
    <s v="Ativo"/>
    <m/>
    <m/>
    <s v=""/>
    <s v=""/>
    <s v=""/>
    <x v="0"/>
    <s v=""/>
    <x v="0"/>
    <s v=""/>
    <m/>
    <m/>
    <s v=""/>
    <s v=""/>
    <s v=""/>
    <s v=""/>
    <n v="1"/>
  </r>
  <r>
    <x v="2"/>
    <n v="1224"/>
    <m/>
    <n v="3832"/>
    <s v=""/>
    <s v=""/>
    <x v="690"/>
    <n v="90406117000162"/>
    <s v=""/>
    <s v="Future Industria Metalurgica Ltda"/>
    <s v="(54) 3535-8700"/>
    <s v=""/>
    <s v="future@futureutilidades.com.br"/>
    <s v=""/>
    <s v=""/>
    <s v=""/>
    <s v="CAXIAS DO SUL"/>
    <s v="RS"/>
    <s v="Base de empresas Leads2b"/>
    <s v=""/>
    <s v=""/>
    <s v=""/>
    <s v="Pipeline de Vendas"/>
    <s v="Agendamento (0%)"/>
    <s v=""/>
    <m/>
    <m/>
    <m/>
    <n v="6"/>
    <s v="Rayssa Karapeticov"/>
    <d v="2026-05-14T00:00:00"/>
    <d v="1899-12-30T15:31:13"/>
    <s v=""/>
    <s v="Ativo"/>
    <m/>
    <m/>
    <s v=""/>
    <s v=""/>
    <s v=""/>
    <x v="0"/>
    <s v=""/>
    <x v="0"/>
    <s v=""/>
    <m/>
    <m/>
    <s v=""/>
    <s v=""/>
    <s v=""/>
    <s v=""/>
    <n v="1"/>
  </r>
  <r>
    <x v="2"/>
    <n v="1225"/>
    <m/>
    <n v="3835"/>
    <s v=""/>
    <s v=""/>
    <x v="691"/>
    <n v="5020996000110"/>
    <s v=""/>
    <s v="Primavera Industria De Vassouras E Escovas Ltda"/>
    <s v="(54) 3344-1438"/>
    <s v=""/>
    <s v="primavera@primavera.ind.br"/>
    <s v=""/>
    <s v=""/>
    <s v=""/>
    <s v="TAPEJARA"/>
    <s v="RS"/>
    <s v="Base de empresas Leads2b"/>
    <s v=""/>
    <s v=""/>
    <s v=""/>
    <s v="Pipeline de Vendas"/>
    <s v="Agendamento (0%)"/>
    <s v=""/>
    <m/>
    <m/>
    <m/>
    <n v="6"/>
    <s v="Rayssa Karapeticov"/>
    <d v="2026-05-14T00:00:00"/>
    <d v="1899-12-30T15:32:28"/>
    <s v=""/>
    <s v="Ativo"/>
    <m/>
    <m/>
    <s v=""/>
    <s v=""/>
    <s v=""/>
    <x v="0"/>
    <s v=""/>
    <x v="0"/>
    <s v=""/>
    <m/>
    <m/>
    <s v=""/>
    <s v=""/>
    <s v=""/>
    <s v=""/>
    <n v="1"/>
  </r>
  <r>
    <x v="2"/>
    <n v="1226"/>
    <m/>
    <n v="3838"/>
    <s v=""/>
    <s v=""/>
    <x v="692"/>
    <n v="30365926000141"/>
    <s v=""/>
    <s v="Esponjas Evol Clean Ltda"/>
    <s v="(44) 3629-5720"/>
    <s v=""/>
    <s v="esponjasevolclean@gmail.com"/>
    <s v=""/>
    <s v=""/>
    <s v=""/>
    <s v="CIANORTE"/>
    <s v="PR"/>
    <s v="Base de empresas Leads2b"/>
    <s v=""/>
    <s v=""/>
    <s v=""/>
    <s v="Pipeline de Vendas"/>
    <s v="Agendamento (0%)"/>
    <s v=""/>
    <m/>
    <m/>
    <m/>
    <n v="6"/>
    <s v="Rayssa Karapeticov"/>
    <d v="2026-05-14T00:00:00"/>
    <d v="1899-12-30T15:33:49"/>
    <s v=""/>
    <s v="Ativo"/>
    <m/>
    <m/>
    <s v=""/>
    <s v=""/>
    <s v=""/>
    <x v="0"/>
    <s v=""/>
    <x v="0"/>
    <s v=""/>
    <m/>
    <m/>
    <s v=""/>
    <s v=""/>
    <s v=""/>
    <s v=""/>
    <n v="1"/>
  </r>
  <r>
    <x v="2"/>
    <n v="1227"/>
    <m/>
    <n v="3840"/>
    <s v=""/>
    <s v=""/>
    <x v="693"/>
    <n v="1355480000176"/>
    <s v=""/>
    <s v="Uninjet Industria E Comercio De Plasticos Ltda"/>
    <s v="(11) 2521-3011"/>
    <s v=""/>
    <s v="a.garcia@uninjet.com.br"/>
    <s v=""/>
    <s v=""/>
    <s v=""/>
    <s v="SAO PAULO"/>
    <s v="SP"/>
    <s v="Base de empresas Leads2b"/>
    <s v=""/>
    <s v=""/>
    <s v=""/>
    <s v="Pipeline de Vendas"/>
    <s v="Agendamento (0%)"/>
    <s v=""/>
    <m/>
    <m/>
    <m/>
    <n v="6"/>
    <s v="Rayssa Karapeticov"/>
    <d v="2026-05-14T00:00:00"/>
    <d v="1899-12-30T15:34:25"/>
    <s v=""/>
    <s v="Ativo"/>
    <m/>
    <m/>
    <s v=""/>
    <s v=""/>
    <s v=""/>
    <x v="0"/>
    <s v=""/>
    <x v="0"/>
    <s v=""/>
    <m/>
    <m/>
    <s v=""/>
    <s v=""/>
    <s v=""/>
    <s v=""/>
    <n v="1"/>
  </r>
  <r>
    <x v="2"/>
    <n v="1228"/>
    <m/>
    <n v="3877"/>
    <s v=""/>
    <s v=""/>
    <x v="694"/>
    <n v="3959052000188"/>
    <s v=""/>
    <s v="Gioplast Industria E Comercio Ltda"/>
    <s v="(11) 3132-9192"/>
    <s v=""/>
    <s v="contato@produtosgiotto.com.br"/>
    <s v=""/>
    <s v=""/>
    <s v=""/>
    <s v="NAZARE PAULISTA"/>
    <s v="SP"/>
    <s v="Base de empresas Leads2b"/>
    <s v=""/>
    <s v=""/>
    <s v=""/>
    <s v="Pipeline de Vendas"/>
    <s v="Agendamento (0%)"/>
    <s v=""/>
    <m/>
    <m/>
    <m/>
    <n v="6"/>
    <s v="Rayssa Karapeticov"/>
    <d v="2026-05-14T00:00:00"/>
    <d v="1899-12-30T15:51:54"/>
    <s v=""/>
    <s v="Ativo"/>
    <m/>
    <m/>
    <s v=""/>
    <s v=""/>
    <s v=""/>
    <x v="0"/>
    <s v=""/>
    <x v="0"/>
    <s v=""/>
    <m/>
    <m/>
    <s v=""/>
    <s v=""/>
    <s v=""/>
    <s v=""/>
    <n v="1"/>
  </r>
  <r>
    <x v="2"/>
    <n v="1229"/>
    <m/>
    <n v="3881"/>
    <s v=""/>
    <s v=""/>
    <x v="695"/>
    <n v="9149833000193"/>
    <s v=""/>
    <s v="Neoplas Industria E Comercio De Plasticos Ltda"/>
    <s v="(47) 3438-6970"/>
    <s v=""/>
    <s v="neoplas@neoplas.com.br"/>
    <s v=""/>
    <s v=""/>
    <s v=""/>
    <s v="JOINVILLE"/>
    <s v="SC"/>
    <s v="Base de empresas Leads2b"/>
    <s v=""/>
    <s v=""/>
    <s v=""/>
    <s v="Pipeline de Vendas"/>
    <s v="Agendamento (0%)"/>
    <s v=""/>
    <m/>
    <m/>
    <m/>
    <n v="6"/>
    <s v="Rayssa Karapeticov"/>
    <d v="2026-05-14T00:00:00"/>
    <d v="1899-12-30T15:52:32"/>
    <s v=""/>
    <s v="Ativo"/>
    <m/>
    <m/>
    <s v=""/>
    <s v=""/>
    <s v=""/>
    <x v="0"/>
    <s v=""/>
    <x v="0"/>
    <s v=""/>
    <m/>
    <m/>
    <s v=""/>
    <s v=""/>
    <s v=""/>
    <s v=""/>
    <n v="1"/>
  </r>
  <r>
    <x v="2"/>
    <n v="1230"/>
    <m/>
    <n v="3892"/>
    <s v=""/>
    <s v=""/>
    <x v="696"/>
    <n v="8696119000314"/>
    <s v=""/>
    <s v="Mix Sao Paulo Industria E Comercio Ltda"/>
    <s v="(11) 3013-1300"/>
    <s v=""/>
    <s v="contato@plastco.com.br"/>
    <s v=""/>
    <s v=""/>
    <s v=""/>
    <s v="SAO PAULO"/>
    <s v="SP"/>
    <s v="Base de empresas Leads2b"/>
    <s v=""/>
    <s v=""/>
    <s v=""/>
    <s v="Pipeline de Vendas"/>
    <s v="Agendamento (0%)"/>
    <s v=""/>
    <m/>
    <m/>
    <m/>
    <n v="6"/>
    <s v="Rayssa Karapeticov"/>
    <d v="2026-05-14T00:00:00"/>
    <d v="1899-12-30T16:06:06"/>
    <s v=""/>
    <s v="Ativo"/>
    <m/>
    <m/>
    <s v=""/>
    <s v=""/>
    <s v=""/>
    <x v="0"/>
    <s v=""/>
    <x v="0"/>
    <s v=""/>
    <m/>
    <m/>
    <s v=""/>
    <s v=""/>
    <s v=""/>
    <s v=""/>
    <n v="1"/>
  </r>
  <r>
    <x v="2"/>
    <n v="1231"/>
    <m/>
    <n v="3895"/>
    <s v=""/>
    <s v=""/>
    <x v="697"/>
    <n v="8266046000169"/>
    <s v=""/>
    <s v="Forfest Industria De Descartaveis Ltda"/>
    <s v="(48) 3466-2961"/>
    <s v=""/>
    <s v="atendimento@forfest.com.br"/>
    <s v=""/>
    <s v=""/>
    <s v=""/>
    <s v="ORLEANS"/>
    <s v="SC"/>
    <s v="Base de empresas Leads2b"/>
    <s v=""/>
    <s v=""/>
    <s v=""/>
    <s v="Pipeline de Vendas"/>
    <s v="Qualificação de Vendas (SQL) (25%)"/>
    <s v=""/>
    <m/>
    <m/>
    <m/>
    <n v="6"/>
    <s v="Rayssa Karapeticov"/>
    <d v="2026-05-14T00:00:00"/>
    <d v="1899-12-30T16:13:45"/>
    <s v=""/>
    <s v="Ativo"/>
    <m/>
    <m/>
    <s v=""/>
    <s v=""/>
    <s v=""/>
    <x v="0"/>
    <s v=""/>
    <x v="0"/>
    <s v=""/>
    <m/>
    <m/>
    <s v=""/>
    <s v=""/>
    <s v=""/>
    <s v=""/>
    <n v="1"/>
  </r>
  <r>
    <x v="2"/>
    <n v="1232"/>
    <m/>
    <n v="3898"/>
    <s v=""/>
    <s v=""/>
    <x v="698"/>
    <n v="18455453000178"/>
    <s v=""/>
    <s v="Comfort Door Importacao E Distribuicao De Utilidades Domesticas Ltda"/>
    <s v="(43) 3376-3000"/>
    <s v=""/>
    <s v="contato@comfortdoor.com.br"/>
    <s v=""/>
    <s v=""/>
    <s v=""/>
    <s v="LONDRINA"/>
    <s v="PR"/>
    <s v="Base de empresas Leads2b"/>
    <s v=""/>
    <s v=""/>
    <s v=""/>
    <s v="Pipeline de Vendas"/>
    <s v="Qualificação de Vendas (SQL) (25%)"/>
    <s v=""/>
    <m/>
    <m/>
    <m/>
    <n v="6"/>
    <s v="Rayssa Karapeticov"/>
    <d v="2026-05-14T00:00:00"/>
    <d v="1899-12-30T16:14:25"/>
    <s v=""/>
    <s v="Ativo"/>
    <m/>
    <m/>
    <s v=""/>
    <s v=""/>
    <s v=""/>
    <x v="0"/>
    <s v=""/>
    <x v="0"/>
    <s v=""/>
    <m/>
    <m/>
    <s v=""/>
    <s v=""/>
    <s v=""/>
    <s v=""/>
    <n v="1"/>
  </r>
  <r>
    <x v="1"/>
    <n v="1233"/>
    <m/>
    <n v="3918"/>
    <s v=""/>
    <s v=""/>
    <x v="699"/>
    <n v="35754976000215"/>
    <s v=""/>
    <s v="StarTools ferramaentas (Cloud)"/>
    <s v="1184724282"/>
    <s v=""/>
    <s v="controladoria@startoolsferramentas.com.br"/>
    <s v=""/>
    <s v=""/>
    <s v=""/>
    <s v="ARAQUARI"/>
    <s v="SC"/>
    <s v=""/>
    <s v=""/>
    <s v=""/>
    <s v=""/>
    <s v="Pipeline de Vendas"/>
    <s v="Apresentar Solução (35%)"/>
    <s v=""/>
    <m/>
    <m/>
    <m/>
    <n v="5"/>
    <s v="Junior Lopes"/>
    <d v="2026-05-15T00:00:00"/>
    <d v="1899-12-30T11:25:41"/>
    <s v=""/>
    <s v="Ativo"/>
    <m/>
    <m/>
    <s v=""/>
    <s v=""/>
    <s v=""/>
    <x v="0"/>
    <s v=""/>
    <x v="239"/>
    <s v=""/>
    <m/>
    <n v="50"/>
    <s v=""/>
    <s v=""/>
    <s v=""/>
    <s v=""/>
    <n v="1"/>
  </r>
  <r>
    <x v="3"/>
    <n v="1234"/>
    <m/>
    <n v="3917"/>
    <s v="Todos os dados preenchidos:name: William Zanini Brogni field_3: Diretor phone: 45988277667 email: william@abtec.eng.br nome_da_empresa: Abtec field_4: Sudeste site_ou_rede_social_da_empresa: https://abecommerce.com.br/ referrer: https://instagram.com/ _x000a_(15/05) Falei com William, que estava em reunião no momento. Solicitou novo contato na segunda-feira pela manhã."/>
    <s v=""/>
    <x v="700"/>
    <m/>
    <s v=""/>
    <s v="William Zanini Brogni"/>
    <s v="(45) 98827-7667"/>
    <s v=""/>
    <s v="william@abtec.eng.br"/>
    <s v=""/>
    <s v=""/>
    <s v=""/>
    <s v="Cascavel"/>
    <s v=""/>
    <s v="Inbound"/>
    <s v=""/>
    <s v=""/>
    <s v="Dentro Perfil;Instagram"/>
    <s v="Pipeline de Vendas"/>
    <s v="Qualificação de Vendas (SQL) (25%)"/>
    <s v=""/>
    <m/>
    <m/>
    <m/>
    <n v="5"/>
    <s v="Paulo Souza"/>
    <d v="2026-05-15T00:00:00"/>
    <d v="1899-12-30T12:17:45"/>
    <s v=""/>
    <s v="Ativo"/>
    <m/>
    <m/>
    <s v=""/>
    <s v=""/>
    <s v=""/>
    <x v="0"/>
    <s v="Ronaldo Nascimento"/>
    <x v="0"/>
    <s v=""/>
    <m/>
    <n v="30"/>
    <s v=""/>
    <s v=""/>
    <s v=""/>
    <s v=""/>
    <n v="1"/>
  </r>
  <r>
    <x v="1"/>
    <n v="1236"/>
    <m/>
    <n v="3921"/>
    <s v=""/>
    <s v=""/>
    <x v="701"/>
    <m/>
    <s v=""/>
    <s v="MDL - Comex"/>
    <s v="11910695515"/>
    <s v=""/>
    <s v="janaina@mdlimport.com.br"/>
    <s v=""/>
    <s v=""/>
    <s v=""/>
    <s v=""/>
    <s v=""/>
    <s v=""/>
    <s v=""/>
    <s v=""/>
    <s v=""/>
    <s v="Pipeline de Vendas"/>
    <s v="Apresentar Proposta (50%)"/>
    <s v=""/>
    <m/>
    <m/>
    <m/>
    <n v="2"/>
    <s v="Junior Lopes"/>
    <d v="2026-05-18T00:00:00"/>
    <d v="1899-12-30T08:19:14"/>
    <s v=""/>
    <s v="Ativo"/>
    <m/>
    <m/>
    <s v=""/>
    <s v=""/>
    <s v=""/>
    <x v="217"/>
    <s v=""/>
    <x v="0"/>
    <s v=""/>
    <m/>
    <n v="50"/>
    <s v=""/>
    <s v=""/>
    <s v=""/>
    <s v=""/>
    <n v="1"/>
  </r>
  <r>
    <x v="1"/>
    <n v="1237"/>
    <m/>
    <n v="3922"/>
    <s v=""/>
    <s v=""/>
    <x v="702"/>
    <m/>
    <s v=""/>
    <s v="MDL - Boleto Whats"/>
    <s v="11910695515"/>
    <s v=""/>
    <s v="janaina@mdlimport.com.br"/>
    <s v=""/>
    <s v=""/>
    <s v=""/>
    <s v=""/>
    <s v=""/>
    <s v=""/>
    <s v=""/>
    <s v=""/>
    <s v=""/>
    <s v="Pipeline de Vendas"/>
    <s v="Apresentar Proposta (50%)"/>
    <s v=""/>
    <m/>
    <m/>
    <m/>
    <n v="2"/>
    <s v="Junior Lopes"/>
    <d v="2026-05-18T00:00:00"/>
    <d v="1899-12-30T08:26:32"/>
    <s v=""/>
    <s v="Ativo"/>
    <m/>
    <m/>
    <s v=""/>
    <s v=""/>
    <s v=""/>
    <x v="217"/>
    <s v=""/>
    <x v="240"/>
    <s v=""/>
    <m/>
    <n v="50"/>
    <s v=""/>
    <s v=""/>
    <s v=""/>
    <s v=""/>
    <n v="1"/>
  </r>
  <r>
    <x v="1"/>
    <n v="1238"/>
    <m/>
    <n v="3923"/>
    <s v=""/>
    <s v=""/>
    <x v="703"/>
    <m/>
    <s v=""/>
    <s v="Star Distribuidora - Boleto Whats"/>
    <s v="17996266970"/>
    <s v=""/>
    <s v="administrativo@distribuidorastar.com.br"/>
    <s v=""/>
    <s v=""/>
    <s v=""/>
    <s v=""/>
    <s v=""/>
    <s v=""/>
    <s v=""/>
    <s v=""/>
    <s v=""/>
    <s v="Pipeline de Vendas"/>
    <s v="Apresentar Proposta (50%)"/>
    <s v=""/>
    <m/>
    <m/>
    <m/>
    <n v="2"/>
    <s v="Junior Lopes"/>
    <d v="2026-05-18T00:00:00"/>
    <d v="1899-12-30T08:39:29"/>
    <s v=""/>
    <s v="Ativo"/>
    <m/>
    <m/>
    <s v=""/>
    <s v=""/>
    <s v=""/>
    <x v="217"/>
    <s v=""/>
    <x v="240"/>
    <s v=""/>
    <m/>
    <n v="50"/>
    <s v=""/>
    <s v=""/>
    <s v=""/>
    <s v=""/>
    <n v="1"/>
  </r>
  <r>
    <x v="1"/>
    <n v="1240"/>
    <m/>
    <n v="3962"/>
    <s v=""/>
    <s v=""/>
    <x v="704"/>
    <m/>
    <s v=""/>
    <s v="fuzipar - ERP"/>
    <s v="54984185138"/>
    <s v=""/>
    <s v="null"/>
    <s v=""/>
    <s v=""/>
    <s v=""/>
    <s v=""/>
    <s v=""/>
    <s v=""/>
    <s v=""/>
    <s v=""/>
    <s v=""/>
    <s v="Pipeline de Vendas"/>
    <s v="Apresentar Solução (35%)"/>
    <s v=""/>
    <m/>
    <m/>
    <m/>
    <n v="1"/>
    <s v="Junior Lopes"/>
    <d v="2026-05-19T00:00:00"/>
    <d v="1899-12-30T17:02:34"/>
    <s v=""/>
    <s v="Ativo"/>
    <m/>
    <m/>
    <s v=""/>
    <s v=""/>
    <s v=""/>
    <x v="0"/>
    <s v=""/>
    <x v="0"/>
    <s v=""/>
    <m/>
    <n v="50"/>
    <s v=""/>
    <s v=""/>
    <s v=""/>
    <s v=""/>
    <n v="1"/>
  </r>
</pivotCacheRecords>
</file>

<file path=xl/pivotCache/pivotCacheRecords3.xml><?xml version="1.0" encoding="utf-8"?>
<pivotCacheRecords xmlns="http://schemas.openxmlformats.org/spreadsheetml/2006/main" count="716">
  <r>
    <x v="0"/>
    <n v="87"/>
    <m/>
    <n v="548"/>
    <s v=""/>
    <s v=""/>
    <x v="0"/>
    <m/>
    <s v=""/>
    <s v="Paulo Teste"/>
    <s v="16997181604"/>
    <s v=""/>
    <s v="paulo.souza@guaranisistemas.com.br"/>
    <s v=""/>
    <s v=""/>
    <s v=""/>
    <s v=""/>
    <s v=""/>
    <s v=""/>
    <s v=""/>
    <s v=""/>
    <s v="Guarani AFV;SDRPaulo"/>
    <s v="Pipeline de Vendas"/>
    <s v="Agendamento (0%)"/>
    <s v=""/>
    <m/>
    <n v="0"/>
    <n v="27562"/>
    <n v="540"/>
    <s v="Paulo Souza"/>
    <d v="2024-11-26T00:00:00"/>
    <d v="1899-12-30T17:25:50"/>
    <s v=""/>
    <s v="Ativo"/>
    <m/>
    <m/>
    <s v=""/>
    <s v=""/>
    <s v=""/>
    <x v="0"/>
    <s v="Paulo Souza"/>
    <x v="0"/>
    <s v=""/>
    <m/>
    <m/>
    <s v=""/>
    <s v=""/>
    <s v=""/>
    <s v=""/>
    <n v="1"/>
  </r>
  <r>
    <x v="1"/>
    <n v="88"/>
    <m/>
    <n v="269"/>
    <s v=""/>
    <s v="EDDI INDUSTRIA E COMERCIO DE ARTEFATOS PLASTICOS LTDA"/>
    <x v="1"/>
    <n v="24870219000100"/>
    <s v=""/>
    <s v="EDDI CASA"/>
    <s v="16997246190"/>
    <s v=""/>
    <s v="comercial@eddicasa.com"/>
    <s v=""/>
    <s v="EDDI CASA;Bruno"/>
    <s v=""/>
    <s v="Ibitinga - SP"/>
    <s v="SP"/>
    <s v="Outbound"/>
    <s v=""/>
    <s v=""/>
    <s v="Guarani AFV;Importado a partir de lista;SDRFernanda"/>
    <s v="Pipeline de Vendas"/>
    <s v="Apresentar Proposta (50%)"/>
    <s v=""/>
    <m/>
    <m/>
    <m/>
    <n v="55"/>
    <s v="Fernanda Santiago"/>
    <d v="2024-11-27T00:00:00"/>
    <d v="1899-12-30T14:28:37"/>
    <s v=""/>
    <s v="Perdido"/>
    <d v="2025-01-21T00:00:00"/>
    <d v="1899-12-30T11:55:50"/>
    <s v="Projeto adiado / sem prazo definido"/>
    <s v="sem retorno do cliente"/>
    <s v="27/11/2024"/>
    <x v="1"/>
    <s v="Fernanda Santiago"/>
    <x v="1"/>
    <s v=""/>
    <m/>
    <m/>
    <s v=""/>
    <s v=""/>
    <s v=""/>
    <s v=""/>
    <n v="1"/>
  </r>
  <r>
    <x v="0"/>
    <n v="89"/>
    <m/>
    <n v="439"/>
    <s v="APÓS PESQUISA ENCONTREI O TELEFONE 88 98114-7695 NO CATALAGO DIGITAL DA EMPRESA, MANDEI MSG PARA VALIDAR E CONVERSEI COM LUCAS, ELE DISSE QUE NO PASSADO JA NOS PROCUROU PARA CONHECER NOSSO ERP, POIS QUEREM MUDAR DE SISTEMA, O GERENTE DELES DE PRODUÇÃO JA TRABALHOU CONOSCO NA ARCA PLAST E INDICOU. ATUALMENTE USA SISTEMA CHAMADO WSHOP, MAS NÃO ATENDE ELES BEM. QUER VER TODA PARTE DE PRODUÇÃO, PRODUTOS, CUSTOS, FATURAMENTO... POSSUEM POUCOS REPRESENTANTES, FOCO NO MOMENTO É O ERP, APÓS ELE VE O FORÇA DE VENDAS._x000a_AGENDADO APRESENTAÇÃO COM O PAULO DIA 27/11 AS 15H"/>
    <s v=""/>
    <x v="2"/>
    <n v="51921277000198"/>
    <s v=""/>
    <s v="Lucas"/>
    <s v="(88) 98114-7695"/>
    <s v=""/>
    <s v="lucasnewway@gmail.com"/>
    <s v=""/>
    <s v=""/>
    <s v=""/>
    <s v=""/>
    <s v=""/>
    <s v="Base de empresas Leads2b"/>
    <s v=""/>
    <s v=""/>
    <s v="SDRDébora"/>
    <s v="Pipeline de Vendas"/>
    <s v="Em negociação (75%)"/>
    <s v=""/>
    <m/>
    <m/>
    <m/>
    <n v="63"/>
    <s v="Débora Duarte"/>
    <d v="2024-11-27T00:00:00"/>
    <d v="1899-12-30T14:29:05"/>
    <s v=""/>
    <s v="Perdido"/>
    <d v="2025-01-29T00:00:00"/>
    <d v="1899-12-30T01:04:01"/>
    <s v="Cliente não quer contato LGPD"/>
    <s v=""/>
    <s v="27/11/2024"/>
    <x v="0"/>
    <s v="Débora Duarte"/>
    <x v="0"/>
    <s v=""/>
    <m/>
    <m/>
    <s v=""/>
    <s v=""/>
    <s v=""/>
    <s v=""/>
    <n v="1"/>
  </r>
  <r>
    <x v="1"/>
    <n v="90"/>
    <m/>
    <n v="372"/>
    <s v="FALEI COM SILDÁCIO, ATUALMENTE USAM SISTEMA PROPRIO, MAS BUSCAM MELHORIAS E CONFORMA PLANEJAMENTO PARA 2025 ESTÁ COTANDO COM SOLUÇÕES DO MERCADO, OUVI DE OUTRAS IMPORTADORAS QUE USAM NOSSA SISTEMA PARA FORÇA DE VENDAS. HOJE SÃO 5 RCA, MAS ESTÃO EXPANDIDO O ATENDIMENTO PARA OUTROS ESTADOS E AUMENTANDO A EQUIPE. USAM ERP TOTVS. SÃO IMPORTADORA UD/BRINQUEDOS/DECOR_x000a_AGENDADO APRESENTAÇÃO DIA 21/11 AS 11H30_x000a_INCLUIR NO INVITE jacqueline.santos@casafreitas.com.br"/>
    <s v=""/>
    <x v="3"/>
    <n v="1740627000575"/>
    <s v=""/>
    <s v="Sildácio Amaral"/>
    <s v="(85) 99797-0405"/>
    <s v=""/>
    <s v="sildacio.amaral@casafreitas.com.br"/>
    <s v=""/>
    <s v=""/>
    <s v=""/>
    <s v=""/>
    <s v=""/>
    <s v="Site"/>
    <s v=""/>
    <s v=""/>
    <s v="90%;Guarani AFV;SDRDébora;SDRInbound"/>
    <s v="Pipeline de Vendas"/>
    <s v="Em Fechamento (100%)"/>
    <s v="6x sem juros (0/30/60/90/120/150...)"/>
    <m/>
    <n v="14416"/>
    <n v="18072"/>
    <n v="266"/>
    <s v="Débora Duarte"/>
    <d v="2024-11-27T00:00:00"/>
    <d v="1899-12-30T15:32:35"/>
    <s v=""/>
    <s v="Ganho"/>
    <d v="2025-08-20T00:00:00"/>
    <d v="1899-12-30T09:37:28"/>
    <s v=""/>
    <s v=""/>
    <s v="19/11/2024 00:00"/>
    <x v="2"/>
    <s v="Débora Duarte"/>
    <x v="2"/>
    <s v="07/03/2025"/>
    <m/>
    <m/>
    <s v=""/>
    <s v=""/>
    <s v=""/>
    <s v=""/>
    <n v="1"/>
  </r>
  <r>
    <x v="1"/>
    <n v="91"/>
    <m/>
    <n v="502"/>
    <s v="Então, eu conheci o sistema AFV por um fornecedor nosso e ficamos interessados pelo recursos que você possui em realizar vendas e consultar estoques pelo celular_x000a_Somos um grupo o KWI, que é composto por 3 empresas, 2 é varejista e não fazemos vendas externas e nem representantes. E 1 é Atacadista, no momento é uma empresa nova, mas estamos nos organizando para incorporar vendas externas_x000a_Varejista e Atacadista_x000a_Porque ficamos interessamos em por exemplo quando estamos na feira para expor ao invés de fazer pedido no papel, utilizar um celular que é mais pratico_x000a_Ultimamos o ERP Verup_x000a_Ah então pode ser quinta 10hrs? Sou Supervisora do T.I_x000a_Recebi. Muito obrigada!!"/>
    <s v=""/>
    <x v="4"/>
    <n v="8196258000117"/>
    <s v=""/>
    <s v="Giovanna Seguette"/>
    <s v="(11) 94444-8474"/>
    <s v=""/>
    <s v="suppliers@bongmoon.com"/>
    <s v=""/>
    <s v=""/>
    <s v=""/>
    <s v=""/>
    <s v=""/>
    <s v="Site"/>
    <s v=""/>
    <s v=""/>
    <s v="Guarani AFV;SDRDébora;SDRInbound"/>
    <s v="Pipeline de Vendas"/>
    <s v="Apresentar Proposta (50%)"/>
    <s v=""/>
    <m/>
    <m/>
    <m/>
    <n v="55"/>
    <s v="Débora Duarte"/>
    <d v="2024-11-27T00:00:00"/>
    <d v="1899-12-30T15:34:41"/>
    <s v=""/>
    <s v="Perdido"/>
    <d v="2025-01-21T00:00:00"/>
    <d v="1899-12-30T11:59:45"/>
    <s v="Projeto adiado / sem prazo definido"/>
    <s v="sem retorno do cliente"/>
    <s v="25/11/2024 00:00"/>
    <x v="3"/>
    <s v="Débora Duarte"/>
    <x v="3"/>
    <s v=""/>
    <m/>
    <m/>
    <s v=""/>
    <s v=""/>
    <s v=""/>
    <s v=""/>
    <n v="1"/>
  </r>
  <r>
    <x v="1"/>
    <n v="92"/>
    <m/>
    <n v="360"/>
    <s v="APÓS INDICAÇÃO DO TEL 16 99776-7635 CONTATO PASSOU O Nº DA JESSICA, FALEI COM ELA POR WHATS, ATUALMENTE USAM SISTEMA DA IDEIA, MAS ELA ACEITOU VER UMA DEMONSTRAÇÃO DO NOSSO FORÇA DE VENDAS._x000a_EMPRESA É DE ARARAQUARA, INDUSTRIA DE UD_x000a_AGENDADO APRESENTAÇÃO DIA 03/12 AS 10H COM O JUCA"/>
    <s v="Utiliplas Fabricacao E Comercio De Artefatos Plasticos Ltda"/>
    <x v="5"/>
    <n v="32364538000171"/>
    <s v=""/>
    <s v="Jessica Edevania"/>
    <s v="(16) 3332-7378"/>
    <s v=""/>
    <s v="comercialutiliplas@gmail.com"/>
    <s v=""/>
    <s v=""/>
    <s v=""/>
    <s v="ARARAQUARA"/>
    <s v="SP"/>
    <s v="Base de empresas Leads2b"/>
    <s v=""/>
    <s v=""/>
    <s v="Guarani AFV;SDRDébora"/>
    <s v="Pipeline de Vendas"/>
    <s v="Em negociação (75%)"/>
    <s v=""/>
    <m/>
    <n v="2496"/>
    <m/>
    <n v="62"/>
    <s v="Débora Duarte"/>
    <d v="2024-11-27T00:00:00"/>
    <d v="1899-12-30T15:37:15"/>
    <s v=""/>
    <s v="Perdido"/>
    <d v="2025-01-28T00:00:00"/>
    <d v="1899-12-30T15:33:32"/>
    <s v="Projeto adiado / sem prazo definido"/>
    <s v="cliente não da retorno"/>
    <s v="26/11/2024 00:00"/>
    <x v="4"/>
    <s v="Débora Duarte"/>
    <x v="2"/>
    <s v=""/>
    <m/>
    <m/>
    <s v=""/>
    <s v=""/>
    <s v=""/>
    <s v=""/>
    <n v="1"/>
  </r>
  <r>
    <x v="0"/>
    <n v="93"/>
    <m/>
    <n v="598"/>
    <s v="A Primu's Rio é uma rede de lojas especializada em Brinquedos, Cama, Mesa e Banho, Utensílios domésticos, Papelaria, Plástico, Vidro, Alumínio e muito mais._x000a_São mais de 25 anos no mercado, oferecendo os melhores produtos com os melhores preços, tanto para o consumidor varejista, quanto para o atacadista._x000a_Site: Loja online de Primu's Rio - Quem Somos_x000a_O Grupo primus é um grupo econômico com 7 empresas, e estão divididas da seguinte maneira:_x000a_Distribuidora/Importadora_x000a_ERP = 10_x000a_AFV = 2_x000a_PDV = 10_x000a_7 CNPJ_x000a_Produtos de Interesse (ERP, AFV, PDV, MDFE, MDE, B2B)_x000a_Atacado e Lojas_x000a_4 lojas com 28 PDV, sendo que uma dessa loja é atacado._x000a_ASSUNTOS A SER DETALHANDOS NA APRESENTAÇÃO:_x000a_Política de preço, eles fazer 3 tipos de preço T1 (9,90), T2 (8,90), T3 (7,90), a regra é que com determinado volume financeiro na compra o preço flute entre as tabelas;_x000a_Tem dois tipos de custo quando a mercadoria entra pela importadora é um e pela distribuidora é outro, entender melhor isso_x000a_A apresentação dever ser focada na distribuidora e seus processos diários. Seguir o fluxo apresentando a Estoque, Financeiro, Fiscal, Politicas de Preço, Faturamento e Gerenciamento da Operação."/>
    <s v=""/>
    <x v="6"/>
    <n v="3375396000492"/>
    <s v=""/>
    <s v="Celso"/>
    <s v="21964236193"/>
    <s v=""/>
    <s v="celsomsc@gmail.com"/>
    <s v=""/>
    <s v=""/>
    <s v=""/>
    <s v="RIO DE JANEIRO"/>
    <s v="RJ"/>
    <s v="Outbound"/>
    <s v=""/>
    <s v=""/>
    <s v="Guarani AFV;Guarani B2B;Guarani ERP;Guarani PDV;MORNO;SDRPaulo"/>
    <s v="Pipeline de Vendas"/>
    <s v="Em negociação (75%)"/>
    <s v=""/>
    <m/>
    <n v="0"/>
    <n v="0"/>
    <n v="61"/>
    <s v="Paulo Souza"/>
    <d v="2024-11-28T00:00:00"/>
    <d v="1899-12-30T08:47:53"/>
    <s v=""/>
    <s v="Perdido"/>
    <d v="2025-01-28T00:00:00"/>
    <d v="1899-12-30T16:47:21"/>
    <s v="Projeto adiado / sem prazo definido"/>
    <s v="cliente não tem mais interesse."/>
    <s v=""/>
    <x v="0"/>
    <s v="Paulo Souza"/>
    <x v="0"/>
    <s v=""/>
    <m/>
    <m/>
    <s v=""/>
    <s v=""/>
    <s v=""/>
    <s v=""/>
    <n v="1"/>
  </r>
  <r>
    <x v="1"/>
    <n v="94"/>
    <m/>
    <n v="378"/>
    <s v=""/>
    <s v="GA CERAMICA ARTISTICA"/>
    <x v="7"/>
    <n v="11650898000160"/>
    <s v=""/>
    <s v="GA CERAMICA"/>
    <s v="1935815351"/>
    <s v=""/>
    <s v="atendimento@gaceramica.com.br"/>
    <s v=""/>
    <s v="GA CERAMICA;GA CERAMICA, Jorge"/>
    <s v=""/>
    <s v=""/>
    <s v=""/>
    <s v="Outbound"/>
    <s v=""/>
    <s v=""/>
    <s v="Guarani AFV;Importado a partir de lista;SDRFernanda"/>
    <s v="Pipeline de Vendas"/>
    <s v="Apresentar Solução (35%)"/>
    <s v=""/>
    <m/>
    <n v="0"/>
    <n v="0"/>
    <n v="61"/>
    <s v="Fernanda Santiago"/>
    <d v="2024-11-28T00:00:00"/>
    <d v="1899-12-30T15:01:56"/>
    <s v=""/>
    <s v="Perdido"/>
    <d v="2025-01-28T00:00:00"/>
    <d v="1899-12-30T13:56:56"/>
    <s v="Não quer mudar a solução atual"/>
    <s v="Falei com o Jorge, ele disse que esta acontecendo umas mudanças administrativas um dos socios esta saindo, então toda previsao de alterar sistemas ficou em stand by, disse para falarmos em fevereiro. Até a feira ele falou que pode ser que ja tenha resolvido entao falamos depois."/>
    <s v="02/12/2024 10:00"/>
    <x v="0"/>
    <s v="Fernanda Santiago"/>
    <x v="0"/>
    <s v=""/>
    <m/>
    <m/>
    <s v=""/>
    <s v=""/>
    <s v=""/>
    <s v=""/>
    <n v="1"/>
  </r>
  <r>
    <x v="0"/>
    <n v="95"/>
    <m/>
    <n v="778"/>
    <s v="Resumo de envio do Formulário Web_x000a_Produtos:_x000a_Guarani ERP_x000a_Nome_x000a_Viviane Gomes_x000a_E-mail_x000a_fiscal@aloebaf.com.br_x000a_Telefone / Whatsapp_x000a_38 99127-5338_x000a_Nome da Empresa_x000a_ALOEBAF COMERCIO DE COSMETICOS_x000a_Segmento_x000a_Distribuidor_x000a_Descrição da necessidade_x000a_Precisamos do Força de vendas"/>
    <s v=""/>
    <x v="8"/>
    <n v="15211327000180"/>
    <s v=""/>
    <s v="Viviane Gomes"/>
    <s v="38991275338"/>
    <s v=""/>
    <s v="fiscal@aloebaf.com.br"/>
    <s v=""/>
    <s v=""/>
    <s v=""/>
    <s v=""/>
    <s v=""/>
    <s v="Outbound"/>
    <s v=""/>
    <s v=""/>
    <s v="Adicionais ERP;Guarani AFV;Guarani ERP;Pausado;SDRDébora"/>
    <s v="Pipeline de Vendas"/>
    <s v="Apresentar Proposta (50%)"/>
    <s v=""/>
    <m/>
    <m/>
    <m/>
    <n v="39"/>
    <s v="Paulo Souza"/>
    <d v="2024-11-29T00:00:00"/>
    <d v="1899-12-30T14:07:35"/>
    <s v=""/>
    <s v="Perdido"/>
    <d v="2025-01-07T00:00:00"/>
    <d v="1899-12-30T17:01:29"/>
    <s v="Preço muito alto - fora do budget de investimento"/>
    <s v=""/>
    <s v=""/>
    <x v="0"/>
    <s v="Débora Duarte"/>
    <x v="4"/>
    <s v=""/>
    <m/>
    <m/>
    <s v=""/>
    <s v=""/>
    <s v=""/>
    <s v=""/>
    <n v="1"/>
  </r>
  <r>
    <x v="1"/>
    <n v="96"/>
    <n v="155"/>
    <n v="812"/>
    <s v=""/>
    <s v=""/>
    <x v="9"/>
    <n v="13609763000186"/>
    <s v="BAAG (Bahia Artes Gráficas)"/>
    <s v="BAAG (Bahia Artes Gráficas)"/>
    <s v="7532217777"/>
    <s v=""/>
    <s v="cleber@bahiagrafica.com.br"/>
    <s v=""/>
    <s v=""/>
    <s v=""/>
    <s v="Feira de Santana"/>
    <s v="BA"/>
    <s v="Outbound"/>
    <s v=""/>
    <s v=""/>
    <s v="Guarani AFV;Guarani ERP;QUENTE"/>
    <s v="Pipeline de Vendas"/>
    <s v="Em Fechamento (100%)"/>
    <s v="6x sem juros (0/30/60/90/120/150...)"/>
    <d v="2025-01-31T00:00:00"/>
    <n v="8479884"/>
    <n v="630984"/>
    <n v="62"/>
    <s v="Paulo Souza"/>
    <d v="2024-12-01T00:00:00"/>
    <d v="1899-12-30T20:30:36"/>
    <s v=""/>
    <s v="Ganho"/>
    <d v="2025-02-01T00:00:00"/>
    <d v="1899-12-30T01:40:07"/>
    <s v=""/>
    <s v=""/>
    <s v=""/>
    <x v="5"/>
    <s v="Junior Lopes"/>
    <x v="5"/>
    <s v=""/>
    <m/>
    <m/>
    <s v=""/>
    <s v=""/>
    <s v=""/>
    <s v=""/>
    <n v="1"/>
  </r>
  <r>
    <x v="1"/>
    <n v="97"/>
    <n v="155"/>
    <n v="813"/>
    <s v=""/>
    <s v=""/>
    <x v="10"/>
    <n v="13609763000186"/>
    <s v="BAAG (Bahia Artes Gráficas)"/>
    <s v="Cleber Chagas"/>
    <s v="75981337574"/>
    <s v=""/>
    <s v="cleber@bahiagrafica.com.br"/>
    <s v=""/>
    <s v=""/>
    <s v=""/>
    <s v="Feira de Santana"/>
    <s v="BA"/>
    <s v=""/>
    <s v=""/>
    <s v=""/>
    <s v="Guarani CLOUD;QUENTE"/>
    <s v="Pipeline de Vendas"/>
    <s v="Em negociação (75%)"/>
    <s v=""/>
    <m/>
    <m/>
    <m/>
    <n v="82"/>
    <s v="Paulo Souza"/>
    <d v="2024-12-01T00:00:00"/>
    <d v="1899-12-30T20:30:37"/>
    <s v=""/>
    <s v="Perdido"/>
    <d v="2025-02-21T00:00:00"/>
    <d v="1899-12-30T12:13:20"/>
    <s v="Não quer mudar a solução atual"/>
    <s v="servidor local"/>
    <s v=""/>
    <x v="5"/>
    <s v=""/>
    <x v="5"/>
    <s v=""/>
    <m/>
    <m/>
    <s v=""/>
    <s v=""/>
    <s v=""/>
    <s v=""/>
    <n v="1"/>
  </r>
  <r>
    <x v="1"/>
    <n v="98"/>
    <n v="156"/>
    <n v="816"/>
    <s v=""/>
    <s v=""/>
    <x v="11"/>
    <n v="3921447000272"/>
    <s v="Vaso Forte"/>
    <s v="Clovis &amp; Heli"/>
    <s v="11912422620"/>
    <s v=""/>
    <s v="heli@vasoforte.com.br"/>
    <s v=""/>
    <s v=""/>
    <s v=""/>
    <s v="Vargem Grande Paulista"/>
    <s v="SP"/>
    <s v=""/>
    <s v=""/>
    <s v=""/>
    <s v="Guarani ERP"/>
    <s v="Pipeline de Vendas"/>
    <s v="Em Fechamento (100%)"/>
    <s v=""/>
    <m/>
    <n v="532332"/>
    <n v="292918"/>
    <n v="110"/>
    <s v="Paulo Souza"/>
    <d v="2024-12-01T00:00:00"/>
    <d v="1899-12-30T20:30:37"/>
    <s v=""/>
    <s v="Ganho"/>
    <d v="2025-03-21T00:00:00"/>
    <d v="1899-12-30T10:49:38"/>
    <s v=""/>
    <s v=""/>
    <s v=""/>
    <x v="6"/>
    <s v=""/>
    <x v="6"/>
    <s v="24/01/2025"/>
    <m/>
    <m/>
    <s v=""/>
    <s v=""/>
    <s v=""/>
    <s v=""/>
    <n v="1"/>
  </r>
  <r>
    <x v="1"/>
    <n v="99"/>
    <n v="157"/>
    <n v="818"/>
    <s v=""/>
    <s v=""/>
    <x v="12"/>
    <n v="55773964000164"/>
    <s v="Plásticos Santana Ltda"/>
    <s v="Celso"/>
    <s v="19974093075"/>
    <s v=""/>
    <s v="comercial1@plasticossantana.com.br"/>
    <s v=""/>
    <s v=""/>
    <s v=""/>
    <s v="Artur Nogueira"/>
    <s v="SP"/>
    <s v=""/>
    <s v=""/>
    <s v=""/>
    <s v="Guarani AFV;Guarani ERP"/>
    <s v="Pipeline de Vendas"/>
    <s v="Qualificação de Vendas (SQL) (25%)"/>
    <s v=""/>
    <m/>
    <m/>
    <m/>
    <n v="11"/>
    <s v="Paulo Souza"/>
    <d v="2024-12-01T00:00:00"/>
    <d v="1899-12-30T20:30:37"/>
    <s v=""/>
    <s v="Perdido"/>
    <d v="2024-12-12T00:00:00"/>
    <d v="1899-12-30T10:02:11"/>
    <s v="Não informou motivo da desistência"/>
    <s v="retornar contato em 2025"/>
    <s v=""/>
    <x v="0"/>
    <s v=""/>
    <x v="0"/>
    <s v=""/>
    <m/>
    <m/>
    <s v=""/>
    <s v=""/>
    <s v=""/>
    <s v=""/>
    <n v="1"/>
  </r>
  <r>
    <x v="1"/>
    <n v="100"/>
    <n v="156"/>
    <n v="816"/>
    <s v=""/>
    <s v=""/>
    <x v="13"/>
    <n v="3921447000272"/>
    <s v="Vaso Forte"/>
    <s v="Clovis &amp; Heli"/>
    <s v="11912422620"/>
    <s v=""/>
    <s v="heli@vasoforte.com.br"/>
    <s v=""/>
    <s v=""/>
    <s v=""/>
    <s v="Vargem Grande Paulista"/>
    <s v="SP"/>
    <s v=""/>
    <s v=""/>
    <s v=""/>
    <s v="Guarani CLOUD"/>
    <s v="Pipeline de Vendas"/>
    <s v="Em Fechamento (100%)"/>
    <s v=""/>
    <m/>
    <n v="1600"/>
    <n v="256119"/>
    <n v="110"/>
    <s v="Paulo Souza"/>
    <d v="2024-12-01T00:00:00"/>
    <d v="1899-12-30T20:30:37"/>
    <s v=""/>
    <s v="Perdido"/>
    <d v="2025-03-21T00:00:00"/>
    <d v="1899-12-30T10:21:47"/>
    <s v="Projeto adiado / sem prazo definido"/>
    <s v="atualmente tem muita instabilidade de internet"/>
    <s v=""/>
    <x v="6"/>
    <s v=""/>
    <x v="7"/>
    <s v="24/01/2025"/>
    <m/>
    <m/>
    <s v=""/>
    <s v=""/>
    <s v=""/>
    <s v=""/>
    <n v="1"/>
  </r>
  <r>
    <x v="1"/>
    <n v="101"/>
    <n v="158"/>
    <n v="821"/>
    <s v=""/>
    <s v=""/>
    <x v="14"/>
    <n v="4207648000194"/>
    <s v="EDITORA ONLINE"/>
    <s v="João Carlos Gomes Brasil"/>
    <s v="11993739551"/>
    <s v=""/>
    <s v="joao@editoraonline.com.br"/>
    <s v=""/>
    <s v=""/>
    <s v=""/>
    <s v="Barueri"/>
    <s v="SP"/>
    <s v=""/>
    <s v=""/>
    <s v=""/>
    <s v="Guarani AFV;SDRDébora"/>
    <s v="Pipeline de Vendas"/>
    <s v="Em negociação (75%)"/>
    <s v=""/>
    <d v="2025-01-31T00:00:00"/>
    <n v="3928"/>
    <m/>
    <n v="51"/>
    <s v="Paulo Souza"/>
    <d v="2024-12-01T00:00:00"/>
    <d v="1899-12-30T20:30:37"/>
    <s v=""/>
    <s v="Perdido"/>
    <d v="2025-01-21T00:00:00"/>
    <d v="1899-12-30T11:56:46"/>
    <s v="Projeto adiado / sem prazo definido"/>
    <s v="sem retorno do cliente"/>
    <s v="14/10/2024"/>
    <x v="7"/>
    <s v="Débora Duarte"/>
    <x v="8"/>
    <s v=""/>
    <m/>
    <m/>
    <s v=""/>
    <s v=""/>
    <s v=""/>
    <s v=""/>
    <n v="1"/>
  </r>
  <r>
    <x v="1"/>
    <n v="102"/>
    <n v="159"/>
    <n v="823"/>
    <s v=""/>
    <s v=""/>
    <x v="15"/>
    <n v="43526090000161"/>
    <s v="Precisa Import"/>
    <s v="Carlos"/>
    <s v="11972961489"/>
    <s v=""/>
    <s v="comercial@prorepresentacao.com.nr"/>
    <s v=""/>
    <s v=""/>
    <s v=""/>
    <s v="Barueri"/>
    <s v="SP"/>
    <s v=""/>
    <s v=""/>
    <s v=""/>
    <s v="Guarani AFV;Guarani ERP"/>
    <s v="Pipeline de Vendas"/>
    <s v="Em Fechamento (100%)"/>
    <s v=""/>
    <d v="2024-12-06T00:00:00"/>
    <n v="49012"/>
    <m/>
    <n v="18"/>
    <s v="Paulo Souza"/>
    <d v="2024-12-01T00:00:00"/>
    <d v="1899-12-30T20:30:37"/>
    <s v=""/>
    <s v="Ganho"/>
    <d v="2024-12-19T00:00:00"/>
    <d v="1899-12-30T14:38:30"/>
    <s v=""/>
    <s v=""/>
    <s v=""/>
    <x v="8"/>
    <s v=""/>
    <x v="9"/>
    <s v=""/>
    <m/>
    <m/>
    <s v=""/>
    <s v=""/>
    <s v=""/>
    <s v=""/>
    <n v="1"/>
  </r>
  <r>
    <x v="1"/>
    <n v="103"/>
    <n v="160"/>
    <n v="825"/>
    <s v=""/>
    <s v=""/>
    <x v="16"/>
    <n v="4949701000122"/>
    <s v="Polimax"/>
    <s v="Valen Lesinelli"/>
    <s v="11998367755"/>
    <s v=""/>
    <s v="comercial@polimaxpolimeros.com.br"/>
    <s v=""/>
    <s v=""/>
    <s v=""/>
    <s v="São Paulo"/>
    <s v="SP"/>
    <s v=""/>
    <s v=""/>
    <s v=""/>
    <s v="Guarani AFV;Guarani ERP;QUENTE"/>
    <s v="Pipeline de Vendas"/>
    <s v="Em Fechamento (100%)"/>
    <s v="6x sem juros (0/30/60/90/120/150...)"/>
    <d v="2025-01-31T00:00:00"/>
    <n v="46854"/>
    <n v="348312"/>
    <n v="54"/>
    <s v="Paulo Souza"/>
    <d v="2024-12-01T00:00:00"/>
    <d v="1899-12-30T20:30:37"/>
    <s v=""/>
    <s v="Ganho"/>
    <d v="2025-01-24T00:00:00"/>
    <d v="1899-12-30T12:08:20"/>
    <s v=""/>
    <s v=""/>
    <s v=""/>
    <x v="9"/>
    <s v=""/>
    <x v="10"/>
    <s v="15/01/2025"/>
    <m/>
    <m/>
    <s v=""/>
    <s v=""/>
    <s v=""/>
    <s v=""/>
    <n v="1"/>
  </r>
  <r>
    <x v="1"/>
    <n v="104"/>
    <n v="161"/>
    <n v="843"/>
    <s v=""/>
    <s v=""/>
    <x v="17"/>
    <n v="2609426000172"/>
    <s v="MD Importação"/>
    <s v="Juliana"/>
    <s v="47991450725"/>
    <s v=""/>
    <s v="mdimposrtacao@gmail.com"/>
    <s v=""/>
    <s v=""/>
    <s v=""/>
    <s v="Rio do Sul"/>
    <s v="SC"/>
    <s v="Indicação"/>
    <s v=""/>
    <s v=""/>
    <s v="Guarani AFV;Guarani ERP"/>
    <s v="Pipeline de Vendas"/>
    <s v="Em negociação (75%)"/>
    <s v=""/>
    <m/>
    <m/>
    <m/>
    <n v="120"/>
    <s v="Paulo Souza"/>
    <d v="2024-12-01T00:00:00"/>
    <d v="1899-12-30T20:30:37"/>
    <s v=""/>
    <s v="Perdido"/>
    <d v="2025-03-31T00:00:00"/>
    <d v="1899-12-30T15:45:45"/>
    <s v="Não houve aprovação financeira"/>
    <s v="cliente esfriou após proposta comercial"/>
    <s v=""/>
    <x v="10"/>
    <s v=""/>
    <x v="11"/>
    <s v=""/>
    <m/>
    <m/>
    <s v=""/>
    <s v=""/>
    <s v=""/>
    <s v=""/>
    <n v="1"/>
  </r>
  <r>
    <x v="1"/>
    <n v="105"/>
    <n v="162"/>
    <n v="829"/>
    <s v=""/>
    <s v=""/>
    <x v="18"/>
    <n v="17545517000169"/>
    <s v="DPOT PLASTICOS"/>
    <s v="Michel Stracci"/>
    <s v="19997264646"/>
    <s v=""/>
    <s v="dpot.plasticos@gmail.com"/>
    <s v=""/>
    <s v=""/>
    <s v=""/>
    <s v="Pedreira"/>
    <s v="SP"/>
    <s v=""/>
    <s v=""/>
    <s v=""/>
    <s v="Guarani AFV;Guarani ERP;SDRDébora"/>
    <s v="Pipeline de Vendas"/>
    <s v="Em negociação (75%)"/>
    <s v=""/>
    <m/>
    <m/>
    <m/>
    <n v="58"/>
    <s v="Paulo Souza"/>
    <d v="2024-12-01T00:00:00"/>
    <d v="1899-12-30T20:30:37"/>
    <s v=""/>
    <s v="Perdido"/>
    <d v="2025-01-28T00:00:00"/>
    <d v="1899-12-30T15:31:14"/>
    <s v="Projeto adiado / sem prazo definido"/>
    <s v="sem retorno do cliente"/>
    <s v="04/11/2024"/>
    <x v="11"/>
    <s v="Débora Duarte"/>
    <x v="12"/>
    <s v=""/>
    <m/>
    <m/>
    <s v=""/>
    <s v=""/>
    <s v=""/>
    <s v=""/>
    <n v="1"/>
  </r>
  <r>
    <x v="1"/>
    <n v="106"/>
    <n v="162"/>
    <n v="829"/>
    <s v=""/>
    <s v=""/>
    <x v="19"/>
    <n v="17545517000169"/>
    <s v="DPOT PLASTICOS"/>
    <s v="Michel Stracci"/>
    <s v="19997264646"/>
    <s v=""/>
    <s v="dpot.plasticos@gmail.com"/>
    <s v=""/>
    <s v=""/>
    <s v=""/>
    <s v="Pedreira"/>
    <s v="SP"/>
    <s v=""/>
    <s v=""/>
    <s v=""/>
    <s v="Guarani CLOUD;SDRDébora"/>
    <s v="Pipeline de Vendas"/>
    <s v="Em negociação (75%)"/>
    <s v=""/>
    <m/>
    <m/>
    <m/>
    <n v="58"/>
    <s v="Paulo Souza"/>
    <d v="2024-12-01T00:00:00"/>
    <d v="1899-12-30T20:30:37"/>
    <s v=""/>
    <s v="Perdido"/>
    <d v="2025-01-28T00:00:00"/>
    <d v="1899-12-30T15:31:50"/>
    <s v="Projeto adiado / sem prazo definido"/>
    <s v="sem retorno do cliente"/>
    <s v="04/11/2024"/>
    <x v="11"/>
    <s v="Débora Duarte"/>
    <x v="12"/>
    <s v=""/>
    <m/>
    <m/>
    <s v=""/>
    <s v=""/>
    <s v=""/>
    <s v=""/>
    <n v="1"/>
  </r>
  <r>
    <x v="1"/>
    <n v="107"/>
    <n v="163"/>
    <n v="832"/>
    <s v=""/>
    <s v=""/>
    <x v="20"/>
    <n v="5861238000125"/>
    <s v="GRUPO GALA"/>
    <s v="Diego"/>
    <s v="6735659555"/>
    <s v=""/>
    <s v="diego@gala.com.br"/>
    <s v=""/>
    <s v=""/>
    <s v=""/>
    <s v="Aparecida do Taboado"/>
    <s v="MS"/>
    <s v=""/>
    <s v=""/>
    <s v=""/>
    <s v="Guarani B2B"/>
    <s v="Pipeline de Vendas"/>
    <s v="Em negociação (75%)"/>
    <s v=""/>
    <m/>
    <m/>
    <m/>
    <n v="58"/>
    <s v="Paulo Souza"/>
    <d v="2024-12-01T00:00:00"/>
    <d v="1899-12-30T20:30:37"/>
    <s v=""/>
    <s v="Perdido"/>
    <d v="2025-01-28T00:00:00"/>
    <d v="1899-12-30T15:32:41"/>
    <s v="Não houve aprovação financeira"/>
    <s v=""/>
    <s v=""/>
    <x v="12"/>
    <s v=""/>
    <x v="13"/>
    <s v=""/>
    <m/>
    <m/>
    <s v=""/>
    <s v=""/>
    <s v=""/>
    <s v=""/>
    <n v="1"/>
  </r>
  <r>
    <x v="1"/>
    <n v="108"/>
    <n v="160"/>
    <n v="825"/>
    <s v=""/>
    <s v=""/>
    <x v="21"/>
    <n v="4949701000122"/>
    <s v="Polimax"/>
    <s v="Valen Lesinelli"/>
    <s v="11998367755"/>
    <s v=""/>
    <s v="comercial@polimaxpolimeros.com.br"/>
    <s v=""/>
    <s v=""/>
    <s v=""/>
    <s v="São Paulo"/>
    <s v="SP"/>
    <s v=""/>
    <s v=""/>
    <s v=""/>
    <s v="Guarani CLOUD;QUENTE"/>
    <s v="Pipeline de Vendas"/>
    <s v="Em Fechamento (100%)"/>
    <s v="8x sem juros (0/30/60/90/120/150...)"/>
    <d v="2025-01-31T00:00:00"/>
    <n v="1600"/>
    <n v="224819"/>
    <n v="60"/>
    <s v="Paulo Souza"/>
    <d v="2024-12-01T00:00:00"/>
    <d v="1899-12-30T20:30:37"/>
    <s v=""/>
    <s v="Ganho"/>
    <d v="2025-01-30T00:00:00"/>
    <d v="1899-12-30T09:31:52"/>
    <s v=""/>
    <s v=""/>
    <s v=""/>
    <x v="13"/>
    <s v=""/>
    <x v="14"/>
    <s v="15/01/2025"/>
    <m/>
    <m/>
    <s v=""/>
    <s v=""/>
    <s v=""/>
    <s v=""/>
    <n v="1"/>
  </r>
  <r>
    <x v="1"/>
    <n v="109"/>
    <n v="164"/>
    <n v="835"/>
    <s v=""/>
    <s v=""/>
    <x v="22"/>
    <n v="2531826000102"/>
    <s v="Fosboi da Bahia"/>
    <s v="Marcelo Luz"/>
    <s v="75991975073"/>
    <s v=""/>
    <s v="marceloluizlimafilho@outlook.com"/>
    <s v=""/>
    <s v=""/>
    <s v=""/>
    <s v="Feira de Santana"/>
    <s v="BA"/>
    <s v=""/>
    <s v=""/>
    <s v=""/>
    <s v="Guarani AFV;Guarani ERP"/>
    <s v="Pipeline de Vendas"/>
    <s v="Apresentar Solução (35%)"/>
    <s v=""/>
    <m/>
    <m/>
    <m/>
    <n v="18"/>
    <s v="Paulo Souza"/>
    <d v="2024-12-01T00:00:00"/>
    <d v="1899-12-30T20:30:37"/>
    <s v=""/>
    <s v="Perdido"/>
    <d v="2024-12-19T00:00:00"/>
    <d v="1899-12-30T15:08:41"/>
    <s v="Não informou motivo da desistência"/>
    <s v="sem retorno"/>
    <s v=""/>
    <x v="1"/>
    <s v=""/>
    <x v="1"/>
    <s v=""/>
    <m/>
    <m/>
    <s v=""/>
    <s v=""/>
    <s v=""/>
    <s v=""/>
    <n v="1"/>
  </r>
  <r>
    <x v="1"/>
    <n v="110"/>
    <n v="165"/>
    <n v="836"/>
    <s v=""/>
    <s v=""/>
    <x v="23"/>
    <n v="29341068000116"/>
    <s v="TEK MIX DISTRIBUICAO"/>
    <s v="TEK MIX DISTRIBUICAO"/>
    <s v="62991561717"/>
    <s v=""/>
    <s v="Wolneyaraujolino@gmail.com"/>
    <s v=""/>
    <s v=""/>
    <s v=""/>
    <s v="Anapólis"/>
    <s v="GO"/>
    <s v=""/>
    <s v=""/>
    <s v=""/>
    <s v="Guarani AFV;Guarani ERP"/>
    <s v="Pipeline de Vendas"/>
    <s v="Apresentar Proposta (50%)"/>
    <s v=""/>
    <m/>
    <m/>
    <m/>
    <n v="57"/>
    <s v="Paulo Souza"/>
    <d v="2024-12-01T00:00:00"/>
    <d v="1899-12-30T20:30:37"/>
    <s v=""/>
    <s v="Perdido"/>
    <d v="2025-01-27T00:00:00"/>
    <d v="1899-12-30T11:52:01"/>
    <s v="Fechou com o concorrente - preço"/>
    <s v="Devido a localização e proposta do concorrente (Target) perdemos a concorrência"/>
    <s v=""/>
    <x v="1"/>
    <s v=""/>
    <x v="1"/>
    <s v=""/>
    <m/>
    <m/>
    <s v=""/>
    <s v=""/>
    <s v=""/>
    <s v=""/>
    <n v="1"/>
  </r>
  <r>
    <x v="1"/>
    <n v="111"/>
    <n v="165"/>
    <n v="837"/>
    <s v=""/>
    <s v=""/>
    <x v="24"/>
    <n v="29341068000116"/>
    <s v="TEK MIX DISTRIBUICAO"/>
    <s v="Wolden"/>
    <s v="62991561717"/>
    <s v=""/>
    <s v="Wolneyaraujolino@gmail.com"/>
    <s v=""/>
    <s v=""/>
    <s v=""/>
    <s v="Anapólis"/>
    <s v="GO"/>
    <s v=""/>
    <s v=""/>
    <s v=""/>
    <s v="Guarani CLOUD"/>
    <s v="Pipeline de Vendas"/>
    <s v="Apresentar Proposta (50%)"/>
    <s v=""/>
    <m/>
    <m/>
    <m/>
    <n v="57"/>
    <s v="Paulo Souza"/>
    <d v="2024-12-01T00:00:00"/>
    <d v="1899-12-30T20:30:37"/>
    <s v=""/>
    <s v="Perdido"/>
    <d v="2025-01-27T00:00:00"/>
    <d v="1899-12-30T11:52:59"/>
    <s v="Fechou com o concorrente - preço"/>
    <s v="Devido a localização e proposta do concorrente (Target) perdemos a concorrência"/>
    <s v=""/>
    <x v="1"/>
    <s v=""/>
    <x v="1"/>
    <s v=""/>
    <m/>
    <m/>
    <s v=""/>
    <s v=""/>
    <s v=""/>
    <s v=""/>
    <n v="1"/>
  </r>
  <r>
    <x v="1"/>
    <n v="113"/>
    <n v="167"/>
    <n v="842"/>
    <s v=""/>
    <s v=""/>
    <x v="25"/>
    <n v="7973104000121"/>
    <s v="ELMO ATACADO"/>
    <s v="João Carlos Tasca"/>
    <s v="47999949301"/>
    <s v=""/>
    <s v="joao@atacadoelmo.com.br"/>
    <s v=""/>
    <s v=""/>
    <s v=""/>
    <s v="Joinville"/>
    <s v="SC"/>
    <s v=""/>
    <s v=""/>
    <s v=""/>
    <s v="Adicionais ERP"/>
    <s v="Pipeline de Vendas"/>
    <s v="Em negociação (75%)"/>
    <s v=""/>
    <m/>
    <m/>
    <m/>
    <n v="81"/>
    <s v="Paulo Souza"/>
    <d v="2024-12-01T00:00:00"/>
    <d v="1899-12-30T20:30:38"/>
    <s v=""/>
    <s v="Perdido"/>
    <d v="2025-02-20T00:00:00"/>
    <d v="1899-12-30T11:26:46"/>
    <s v="Projeto adiado / sem prazo definido"/>
    <s v="cliente ainda não decidiu"/>
    <s v=""/>
    <x v="14"/>
    <s v=""/>
    <x v="0"/>
    <s v=""/>
    <m/>
    <m/>
    <s v=""/>
    <s v=""/>
    <s v=""/>
    <s v=""/>
    <n v="1"/>
  </r>
  <r>
    <x v="1"/>
    <n v="114"/>
    <n v="161"/>
    <n v="827"/>
    <s v=""/>
    <s v=""/>
    <x v="26"/>
    <n v="2609426000172"/>
    <s v="MD Importação"/>
    <s v="Juliana"/>
    <s v="47991450725"/>
    <s v=""/>
    <s v="mdimposrtacao@gmail.com"/>
    <s v=""/>
    <s v=""/>
    <s v=""/>
    <s v="Rio do Sul"/>
    <s v="SC"/>
    <s v="Indicação"/>
    <s v=""/>
    <s v=""/>
    <s v="Guarani CLOUD"/>
    <s v="Pipeline de Vendas"/>
    <s v="Em negociação (75%)"/>
    <s v=""/>
    <m/>
    <m/>
    <m/>
    <n v="120"/>
    <s v="Paulo Souza"/>
    <d v="2024-12-01T00:00:00"/>
    <d v="1899-12-30T20:30:38"/>
    <s v=""/>
    <s v="Perdido"/>
    <d v="2025-03-31T00:00:00"/>
    <d v="1899-12-30T15:46:33"/>
    <s v="Não houve aprovação financeira"/>
    <s v="cliente esfriou após envio da proposta comercial"/>
    <s v=""/>
    <x v="10"/>
    <s v=""/>
    <x v="11"/>
    <s v=""/>
    <m/>
    <m/>
    <s v=""/>
    <s v=""/>
    <s v=""/>
    <s v=""/>
    <n v="1"/>
  </r>
  <r>
    <x v="1"/>
    <n v="116"/>
    <m/>
    <n v="847"/>
    <s v=""/>
    <s v=""/>
    <x v="27"/>
    <n v="58151616000143"/>
    <s v=""/>
    <s v="Pedro"/>
    <s v="19993040768"/>
    <s v=""/>
    <s v="pehpbroglio@gmail.com"/>
    <s v=""/>
    <s v=""/>
    <s v=""/>
    <s v="ITAJAI"/>
    <s v="SC"/>
    <s v=""/>
    <s v=""/>
    <s v=""/>
    <s v="QUENTE"/>
    <s v="Pipeline de Vendas"/>
    <s v="Em Fechamento (100%)"/>
    <s v="10x sem juros (0/30/60/90/120/150...)"/>
    <d v="2025-01-31T00:00:00"/>
    <n v="4736912"/>
    <n v="98326"/>
    <n v="53"/>
    <s v="Junior Lopes"/>
    <d v="2024-12-02T00:00:00"/>
    <d v="1899-12-30T09:35:49"/>
    <s v=""/>
    <s v="Ganho"/>
    <d v="2025-01-24T00:00:00"/>
    <d v="1899-12-30T11:23:35"/>
    <s v=""/>
    <s v=""/>
    <s v=""/>
    <x v="15"/>
    <s v="Junior Lopes"/>
    <x v="15"/>
    <s v=""/>
    <m/>
    <m/>
    <s v=""/>
    <s v=""/>
    <s v=""/>
    <s v=""/>
    <n v="1"/>
  </r>
  <r>
    <x v="1"/>
    <n v="118"/>
    <m/>
    <n v="851"/>
    <s v=""/>
    <s v=""/>
    <x v="28"/>
    <n v="64582232000188"/>
    <s v=""/>
    <s v="Edi"/>
    <s v="11981337574"/>
    <s v=""/>
    <s v="ggealdo@injeplastec.com.br"/>
    <s v=""/>
    <s v=""/>
    <s v=""/>
    <s v=""/>
    <s v=""/>
    <s v=""/>
    <s v=""/>
    <s v=""/>
    <s v=""/>
    <s v="Pipeline de Vendas"/>
    <s v="Em negociação (75%)"/>
    <s v=""/>
    <d v="2025-01-31T00:00:00"/>
    <n v="202945"/>
    <m/>
    <n v="64"/>
    <s v="Junior Lopes"/>
    <d v="2024-12-04T00:00:00"/>
    <d v="1899-12-30T11:49:15"/>
    <s v=""/>
    <s v="Perdido"/>
    <d v="2025-02-06T00:00:00"/>
    <d v="1899-12-30T15:53:07"/>
    <s v="Não quer mudar a solução atual"/>
    <s v="cliente não decidiu seguir"/>
    <s v="02/12/2024"/>
    <x v="16"/>
    <s v="Junior Lopes"/>
    <x v="16"/>
    <s v=""/>
    <m/>
    <m/>
    <s v=""/>
    <s v=""/>
    <s v=""/>
    <s v=""/>
    <n v="1"/>
  </r>
  <r>
    <x v="1"/>
    <n v="122"/>
    <m/>
    <n v="855"/>
    <s v="Após a visita realizada em 10/12/2025, foi agendada uma nova reunião para tratar de assuntos técnicos em 12/12/2025 às 14h._x000a_13:47, 27/01/2026 Fabio Porto Brasil: Boa tarde Junior_x000a_13:47, 27/01/2026 Fabio Porto Brasil: tudo certo ?_x000a_13:47, 27/01/2026 Junior Lopes: Olá ! Sou Junior Lopes, consultor comercial Guarani sistemas _x000a_Como posso te ajudar ?_x000a_13:47, 27/01/2026 Fabio Porto Brasil: Antes de mais nada (e ainda em tempo kkkk), obrigado pela mensagem. Desejo um ótimo 2026_x000a_13:47, 27/01/2026 Fabio Porto Brasil: somente alinhado o status, a PBC deve iniciar em março/26, porém vou revisitar o cronograma de aprovação com eles para podermos nos alinhar._x000a_13:53, 27/01/2026 Junior Lopes: Olá Fábio, boa tarde ! Obrigado pelo retorno _x000a_Ficamos no aguardo então ! Caso necessário pode me chamar _x000a_Abraços"/>
    <s v=""/>
    <x v="29"/>
    <n v="8520654000158"/>
    <s v=""/>
    <s v="Marina"/>
    <s v="19999128074"/>
    <s v=""/>
    <s v="marina@portobrasilceramica.com.br"/>
    <s v=""/>
    <s v=""/>
    <s v=""/>
    <s v=""/>
    <s v=""/>
    <s v="Outbound"/>
    <s v=""/>
    <s v=""/>
    <s v="80%;Fabio Indica;Guarani AFV"/>
    <s v="Pipeline de Vendas"/>
    <s v="Em Fechamento (100%)"/>
    <s v="6x sem juros (0/30/60/90/120/150...)"/>
    <d v="2026-03-31T00:00:00"/>
    <n v="4519984"/>
    <n v="522464"/>
    <n v="512"/>
    <s v="Débora Duarte"/>
    <d v="2024-12-04T00:00:00"/>
    <d v="1899-12-30T14:40:54"/>
    <s v=""/>
    <s v="Ganho"/>
    <d v="2026-04-30T00:00:00"/>
    <d v="1899-12-30T14:25:28"/>
    <s v=""/>
    <s v=""/>
    <s v="04/12/2024 00:00"/>
    <x v="17"/>
    <s v="Junior Lopes"/>
    <x v="17"/>
    <s v="30/01/2025"/>
    <d v="2026-01-27T00:00:00"/>
    <n v="80"/>
    <s v=""/>
    <s v=""/>
    <s v=""/>
    <s v=""/>
    <n v="1"/>
  </r>
  <r>
    <x v="1"/>
    <n v="125"/>
    <m/>
    <n v="860"/>
    <s v=""/>
    <s v=""/>
    <x v="30"/>
    <m/>
    <s v=""/>
    <s v="GB Importadora - Clou"/>
    <s v="19993040768"/>
    <s v=""/>
    <s v="pehpbroglio@gmail.com"/>
    <s v=""/>
    <s v=""/>
    <s v=""/>
    <s v=""/>
    <s v=""/>
    <s v=""/>
    <s v=""/>
    <s v=""/>
    <s v="QUENTE"/>
    <s v="Pipeline de Vendas"/>
    <s v="Em Fechamento (100%)"/>
    <s v=""/>
    <d v="2025-01-31T00:00:00"/>
    <n v="1600"/>
    <n v="157626"/>
    <n v="49"/>
    <s v="Junior Lopes"/>
    <d v="2024-12-06T00:00:00"/>
    <d v="1899-12-30T16:28:22"/>
    <s v=""/>
    <s v="Ganho"/>
    <d v="2025-01-24T00:00:00"/>
    <d v="1899-12-30T11:42:08"/>
    <s v=""/>
    <s v=""/>
    <s v=""/>
    <x v="15"/>
    <s v=""/>
    <x v="18"/>
    <s v=""/>
    <m/>
    <m/>
    <s v=""/>
    <s v=""/>
    <s v=""/>
    <s v=""/>
    <n v="1"/>
  </r>
  <r>
    <x v="1"/>
    <n v="127"/>
    <m/>
    <n v="981"/>
    <s v=""/>
    <s v=""/>
    <x v="31"/>
    <n v="48885921000105"/>
    <s v=""/>
    <s v="Helder"/>
    <s v="(11) 3098-7840"/>
    <s v=""/>
    <s v="helder@ssdistribuidora.com.br"/>
    <s v=""/>
    <s v=""/>
    <s v=""/>
    <s v=""/>
    <s v=""/>
    <s v="Outbound"/>
    <s v=""/>
    <s v=""/>
    <s v=""/>
    <s v="Pipeline de Vendas"/>
    <s v="Em Fechamento (100%)"/>
    <s v=""/>
    <d v="2024-12-31T00:00:00"/>
    <n v="450"/>
    <m/>
    <n v="2"/>
    <s v="Junior Lopes"/>
    <d v="2024-12-10T00:00:00"/>
    <d v="1899-12-30T10:37:47"/>
    <s v=""/>
    <s v="Ganho"/>
    <d v="2024-12-12T00:00:00"/>
    <d v="1899-12-30T16:15:01"/>
    <s v=""/>
    <s v=""/>
    <s v="03/12/2024"/>
    <x v="18"/>
    <s v="Junior Lopes"/>
    <x v="16"/>
    <s v="11/12/2024"/>
    <m/>
    <m/>
    <s v=""/>
    <s v=""/>
    <s v=""/>
    <s v=""/>
    <n v="1"/>
  </r>
  <r>
    <x v="1"/>
    <n v="130"/>
    <m/>
    <n v="987"/>
    <s v=""/>
    <s v=""/>
    <x v="32"/>
    <n v="5691820000190"/>
    <s v=""/>
    <s v="Culturama"/>
    <s v="54996596274"/>
    <s v=""/>
    <s v="vinicius.mathyas@culturama.com.br"/>
    <s v=""/>
    <s v=""/>
    <s v=""/>
    <s v="CAXIAS DO SUL"/>
    <s v="RS"/>
    <s v=""/>
    <s v=""/>
    <s v=""/>
    <s v="QUENTE"/>
    <s v="Pipeline de Vendas"/>
    <s v="Em Fechamento (100%)"/>
    <s v=""/>
    <d v="2025-01-31T00:00:00"/>
    <n v="0"/>
    <n v="3564"/>
    <n v="43"/>
    <s v="Junior Lopes"/>
    <d v="2024-12-12T00:00:00"/>
    <d v="1899-12-30T09:14:28"/>
    <s v=""/>
    <s v="Ganho"/>
    <d v="2025-01-24T00:00:00"/>
    <d v="1899-12-30T11:07:30"/>
    <s v=""/>
    <s v=""/>
    <s v="05/12/2024"/>
    <x v="19"/>
    <s v="Junior Lopes"/>
    <x v="2"/>
    <s v=""/>
    <m/>
    <m/>
    <s v=""/>
    <s v=""/>
    <s v=""/>
    <s v=""/>
    <n v="1"/>
  </r>
  <r>
    <x v="1"/>
    <n v="131"/>
    <m/>
    <n v="990"/>
    <s v=""/>
    <s v=""/>
    <x v="33"/>
    <m/>
    <s v=""/>
    <s v="Rigomal"/>
    <s v="16997486376"/>
    <s v=""/>
    <s v="junior@rigomel.com.br"/>
    <s v=""/>
    <s v=""/>
    <s v=""/>
    <s v=""/>
    <s v=""/>
    <s v=""/>
    <s v=""/>
    <s v=""/>
    <s v=""/>
    <s v="Pipeline de Vendas"/>
    <s v="Apresentar Solução (35%)"/>
    <s v=""/>
    <m/>
    <n v="37964"/>
    <m/>
    <n v="7"/>
    <s v="Junior Lopes"/>
    <d v="2024-12-12T00:00:00"/>
    <d v="1899-12-30T10:50:50"/>
    <s v=""/>
    <s v="Perdido"/>
    <d v="2024-12-19T00:00:00"/>
    <d v="1899-12-30T09:39:21"/>
    <s v="Fechou com o concorrente - preço"/>
    <s v="junior informou que vai seguir com Mercus ! indicaçãom do seu atual ERP Triplus"/>
    <s v=""/>
    <x v="20"/>
    <s v=""/>
    <x v="19"/>
    <s v="16/12/2024"/>
    <m/>
    <m/>
    <s v=""/>
    <s v=""/>
    <s v=""/>
    <s v=""/>
    <n v="1"/>
  </r>
  <r>
    <x v="1"/>
    <n v="135"/>
    <m/>
    <n v="996"/>
    <s v=""/>
    <s v=""/>
    <x v="34"/>
    <m/>
    <s v=""/>
    <s v="Viva Vidros"/>
    <s v="11988839646"/>
    <s v=""/>
    <s v="comercial@vivavidros.com.br"/>
    <s v=""/>
    <s v=""/>
    <s v=""/>
    <s v=""/>
    <s v=""/>
    <s v=""/>
    <s v=""/>
    <s v=""/>
    <s v="QUENTE"/>
    <s v="Pipeline de Vendas"/>
    <s v="Em Fechamento (100%)"/>
    <s v=""/>
    <m/>
    <n v="28832"/>
    <n v="110248"/>
    <n v="83"/>
    <s v="Junior Lopes"/>
    <d v="2024-12-12T00:00:00"/>
    <d v="1899-12-30T17:20:55"/>
    <s v=""/>
    <s v="Perdido"/>
    <d v="2025-03-05T00:00:00"/>
    <d v="1899-12-30T11:12:51"/>
    <s v="Projeto adiado / sem prazo definido"/>
    <s v="cliente com situação de pendencias financeiras"/>
    <s v=""/>
    <x v="21"/>
    <s v=""/>
    <x v="0"/>
    <s v=""/>
    <m/>
    <m/>
    <s v=""/>
    <s v=""/>
    <s v=""/>
    <s v=""/>
    <n v="1"/>
  </r>
  <r>
    <x v="1"/>
    <n v="138"/>
    <m/>
    <n v="1103"/>
    <s v=""/>
    <s v=""/>
    <x v="35"/>
    <n v="54734384000103"/>
    <s v=""/>
    <s v="Star Distribuidora"/>
    <s v="17997793113"/>
    <s v=""/>
    <s v="comercial@distribuidorastar.com.br"/>
    <s v=""/>
    <s v=""/>
    <s v=""/>
    <s v=""/>
    <s v=""/>
    <s v=""/>
    <s v=""/>
    <s v=""/>
    <s v="QUENTE"/>
    <s v="Pipeline de Vendas"/>
    <s v="Em negociação (75%)"/>
    <s v=""/>
    <m/>
    <n v="49588"/>
    <m/>
    <n v="23"/>
    <s v="Junior Lopes"/>
    <d v="2024-12-17T00:00:00"/>
    <d v="1899-12-30T12:22:38"/>
    <s v=""/>
    <s v="Perdido"/>
    <d v="2025-01-09T00:00:00"/>
    <d v="1899-12-30T15:57:21"/>
    <s v="Projeto adiado / sem prazo definido"/>
    <s v="estamos fechando solução completa"/>
    <s v=""/>
    <x v="22"/>
    <s v=""/>
    <x v="20"/>
    <s v=""/>
    <m/>
    <m/>
    <s v=""/>
    <s v=""/>
    <s v=""/>
    <s v=""/>
    <n v="1"/>
  </r>
  <r>
    <x v="1"/>
    <n v="139"/>
    <m/>
    <n v="1113"/>
    <s v=""/>
    <s v=""/>
    <x v="36"/>
    <m/>
    <s v=""/>
    <s v="DCL Editora"/>
    <s v="11991297401"/>
    <s v=""/>
    <s v="administrativo@editoradcl.com.br"/>
    <s v=""/>
    <s v=""/>
    <s v=""/>
    <s v=""/>
    <s v=""/>
    <s v=""/>
    <s v=""/>
    <s v=""/>
    <s v=""/>
    <s v="Pipeline de Vendas"/>
    <s v="Apresentar Proposta (50%)"/>
    <s v=""/>
    <d v="2025-01-31T00:00:00"/>
    <n v="168592"/>
    <n v="6426"/>
    <n v="40"/>
    <s v="Junior Lopes"/>
    <d v="2024-12-19T00:00:00"/>
    <d v="1899-12-30T09:42:19"/>
    <s v=""/>
    <s v="Perdido"/>
    <d v="2025-01-28T00:00:00"/>
    <d v="1899-12-30T14:28:25"/>
    <s v="Não houve aprovação financeira"/>
    <s v="cliente não deu sequencia em nossa negociação"/>
    <s v="12/12/2024"/>
    <x v="16"/>
    <s v=""/>
    <x v="21"/>
    <s v=""/>
    <m/>
    <m/>
    <s v=""/>
    <s v=""/>
    <s v=""/>
    <s v=""/>
    <n v="1"/>
  </r>
  <r>
    <x v="1"/>
    <n v="140"/>
    <m/>
    <n v="1114"/>
    <s v=""/>
    <s v=""/>
    <x v="37"/>
    <m/>
    <s v=""/>
    <s v="Everson"/>
    <s v="17997793113"/>
    <s v=""/>
    <s v="comercial@distribuidorastar.com.br"/>
    <s v=""/>
    <s v=""/>
    <s v=""/>
    <s v=""/>
    <s v=""/>
    <s v=""/>
    <s v=""/>
    <s v=""/>
    <s v=""/>
    <s v="Pipeline de Vendas"/>
    <s v="Em Fechamento (100%)"/>
    <s v="10x sem juros (0/30/60/90/120/150...)"/>
    <d v="2025-01-31T00:00:00"/>
    <n v="4587892"/>
    <n v="628168"/>
    <n v="36"/>
    <s v="Junior Lopes"/>
    <d v="2024-12-19T00:00:00"/>
    <d v="1899-12-30T10:01:34"/>
    <s v=""/>
    <s v="Ganho"/>
    <d v="2025-01-24T00:00:00"/>
    <d v="1899-12-30T12:26:37"/>
    <s v=""/>
    <s v=""/>
    <s v=""/>
    <x v="23"/>
    <s v=""/>
    <x v="22"/>
    <s v="09/01/2025"/>
    <m/>
    <m/>
    <s v=""/>
    <s v=""/>
    <s v=""/>
    <s v=""/>
    <n v="1"/>
  </r>
  <r>
    <x v="1"/>
    <n v="141"/>
    <n v="159"/>
    <n v="1115"/>
    <s v=""/>
    <s v=""/>
    <x v="38"/>
    <n v="43526090000161"/>
    <s v="Precisa Import"/>
    <s v="Tony"/>
    <s v="11972961489"/>
    <s v=""/>
    <s v="comercial@prorepresentacao.com.nr"/>
    <s v=""/>
    <s v=""/>
    <s v=""/>
    <s v="Barueri"/>
    <s v="SP"/>
    <s v=""/>
    <s v=""/>
    <s v=""/>
    <s v=""/>
    <s v="Pipeline de Vendas"/>
    <s v="Em Fechamento (100%)"/>
    <s v="8x sem juros (0/30/60/90/120/150...)"/>
    <d v="2025-01-31T00:00:00"/>
    <n v="1600"/>
    <n v="2500"/>
    <n v="42"/>
    <s v="Junior Lopes"/>
    <d v="2024-12-19T00:00:00"/>
    <d v="1899-12-30T14:40:15"/>
    <s v=""/>
    <s v="Ganho"/>
    <d v="2025-01-28T00:00:00"/>
    <d v="1899-12-30T16:21:11"/>
    <s v=""/>
    <s v="0"/>
    <s v="20/01/2025"/>
    <x v="24"/>
    <s v=""/>
    <x v="0"/>
    <s v=""/>
    <m/>
    <m/>
    <s v=""/>
    <s v=""/>
    <s v=""/>
    <s v=""/>
    <n v="1"/>
  </r>
  <r>
    <x v="1"/>
    <n v="142"/>
    <m/>
    <n v="1117"/>
    <s v=""/>
    <s v=""/>
    <x v="39"/>
    <m/>
    <s v=""/>
    <s v="Everson"/>
    <s v="17997793113"/>
    <s v=""/>
    <s v="comercial@distribuidorastar.com.br"/>
    <s v=""/>
    <s v=""/>
    <s v=""/>
    <s v=""/>
    <s v=""/>
    <s v=""/>
    <s v=""/>
    <s v=""/>
    <s v=""/>
    <s v="Pipeline de Vendas"/>
    <s v="Em Fechamento (100%)"/>
    <s v=""/>
    <d v="2025-01-31T00:00:00"/>
    <n v="1600"/>
    <n v="243721"/>
    <n v="35"/>
    <s v="Junior Lopes"/>
    <d v="2024-12-20T00:00:00"/>
    <d v="1899-12-30T14:30:10"/>
    <s v=""/>
    <s v="Ganho"/>
    <d v="2025-01-24T00:00:00"/>
    <d v="1899-12-30T14:02:50"/>
    <s v=""/>
    <s v=""/>
    <s v=""/>
    <x v="23"/>
    <s v=""/>
    <x v="22"/>
    <s v="09/01/2025"/>
    <m/>
    <m/>
    <s v=""/>
    <s v=""/>
    <s v=""/>
    <s v=""/>
    <n v="1"/>
  </r>
  <r>
    <x v="0"/>
    <n v="144"/>
    <m/>
    <n v="181"/>
    <s v="Me chamou no whatsapp, possível indicação."/>
    <s v=""/>
    <x v="40"/>
    <n v="27805256000122"/>
    <s v=""/>
    <s v="Jefeerson"/>
    <s v="(83) 3441-1738 / (83) 9882-5004"/>
    <s v=""/>
    <s v=""/>
    <s v=""/>
    <s v=""/>
    <s v=""/>
    <s v="CATOLE DO ROCHA"/>
    <s v="PB"/>
    <s v="Feiras"/>
    <s v=""/>
    <s v=""/>
    <s v="Abup2025Fevereiro;GELADO"/>
    <s v="Pipeline de Vendas"/>
    <s v="Em Fechamento (100%)"/>
    <s v="6x sem juros (0/30/60/90/120/150...)"/>
    <m/>
    <n v="146772"/>
    <n v="1102804"/>
    <n v="154"/>
    <s v="Paulo Souza"/>
    <d v="2025-01-07T00:00:00"/>
    <d v="1899-12-30T16:58:48"/>
    <s v=""/>
    <s v="Ganho"/>
    <d v="2025-01-29T00:00:00"/>
    <d v="1899-12-30T01:04:49"/>
    <s v=""/>
    <s v="0"/>
    <s v=""/>
    <x v="25"/>
    <s v="Paulo Souza"/>
    <x v="23"/>
    <s v=""/>
    <m/>
    <m/>
    <s v=""/>
    <s v=""/>
    <s v=""/>
    <s v=""/>
    <n v="1"/>
  </r>
  <r>
    <x v="0"/>
    <n v="145"/>
    <m/>
    <n v="12"/>
    <s v="Indústria de alumínio atualmente utiliza um ERP local, junto com o EPR do mesmo fornecedor. Porém a principal dificuldade esta no processo produtivo, que ainda não foi implantado. Por este motivo a empresa necessita de um módulo de PCP (Planejamento e controle da produção) e o AFV atual não atende as necessidades comerciais._x000a_MBA Alumínios_x000a_Com mais de 38 anos de atuação no setor de alumínios, a MBA Alumínios é uma fábrica consolidada que abrange toda a cadeia produtiva de panelas de alumínio, desde a compra de sucata, produção de discos, estamparia, pintura, montagem, até embalagem e armazenamento._x000a_A empresa adotará os seguintes produtos:_x000a_ERP + PCP: 10 usuários_x000a_Checkout (ERP): 4 usuários_x000a_AFV: 14 usuários_x000a_MDe_x000a_MDFe_x000a_Possui dois CNPJs enquadrados no Simples Nacional e está localizada na cidade de Itaúna - MG."/>
    <s v="MBA ALUMINIOS LTDA."/>
    <x v="41"/>
    <n v="22752240000185"/>
    <s v=""/>
    <s v="Selmo Fernandes"/>
    <s v="(37) 99856-9457"/>
    <s v=""/>
    <s v="selmofilho@mbaluminios.com.br"/>
    <s v=""/>
    <s v=""/>
    <s v=""/>
    <s v="ITAUNA"/>
    <s v=""/>
    <s v="Outbound"/>
    <s v=""/>
    <s v=""/>
    <s v="SDRDébora"/>
    <s v="Pipeline de Vendas"/>
    <s v="Em negociação (75%)"/>
    <s v=""/>
    <m/>
    <m/>
    <m/>
    <n v="38"/>
    <s v="Paulo Souza"/>
    <d v="2025-01-07T00:00:00"/>
    <d v="1899-12-30T17:36:41"/>
    <s v=""/>
    <s v="Perdido"/>
    <d v="2025-02-14T00:00:00"/>
    <d v="1899-12-30T15:35:32"/>
    <s v="Projeto adiado / sem prazo definido"/>
    <s v=""/>
    <s v=""/>
    <x v="0"/>
    <s v=""/>
    <x v="24"/>
    <s v=""/>
    <m/>
    <m/>
    <s v=""/>
    <s v=""/>
    <s v=""/>
    <s v=""/>
    <n v="1"/>
  </r>
  <r>
    <x v="1"/>
    <n v="148"/>
    <m/>
    <n v="270"/>
    <s v="Carlos informou que possui hoje 50 RCA, e utilizam o ERP Solides."/>
    <s v="ETRURIA INDUSTRIA DE FIBRAS E FIOS SINTETICOS LTDA"/>
    <x v="42"/>
    <n v="45723541000186"/>
    <s v=""/>
    <s v="ETRURIA"/>
    <s v="1147188700"/>
    <s v=""/>
    <s v="etruria@etruria.com.br"/>
    <s v=""/>
    <s v="ETRURIA;Carlos"/>
    <s v=""/>
    <s v="Mairinque - SP"/>
    <s v="SP"/>
    <s v="Outbound"/>
    <s v=""/>
    <s v=""/>
    <s v="Importado a partir de lista;SDRFernanda"/>
    <s v="Pipeline de Vendas"/>
    <s v="Em negociação (75%)"/>
    <s v=""/>
    <m/>
    <n v="16960"/>
    <n v="4714"/>
    <n v="72"/>
    <s v="Fernanda Santiago"/>
    <d v="2025-01-08T00:00:00"/>
    <d v="1899-12-30T11:08:30"/>
    <s v=""/>
    <s v="Perdido"/>
    <d v="2025-03-21T00:00:00"/>
    <d v="1899-12-30T10:20:05"/>
    <s v="Não quer mudar a solução atual"/>
    <s v="decidiu não mudar força de vendas nesse momento"/>
    <s v=""/>
    <x v="26"/>
    <s v="Fernanda Santiago"/>
    <x v="25"/>
    <s v="21/01/2025"/>
    <m/>
    <m/>
    <s v=""/>
    <s v=""/>
    <s v=""/>
    <s v=""/>
    <n v="1"/>
  </r>
  <r>
    <x v="1"/>
    <n v="151"/>
    <m/>
    <n v="1540"/>
    <s v=""/>
    <s v=""/>
    <x v="43"/>
    <n v="21733807000103"/>
    <s v=""/>
    <s v="News aviamentos"/>
    <s v="(11) 3229-6911"/>
    <s v=""/>
    <s v="caiotls@hotmail.com"/>
    <s v=""/>
    <s v=""/>
    <s v=""/>
    <s v="SAO PAULO"/>
    <s v="SP"/>
    <s v=""/>
    <s v=""/>
    <s v=""/>
    <s v=""/>
    <s v="Pipeline de Vendas"/>
    <s v="Em negociação (75%)"/>
    <s v=""/>
    <m/>
    <n v="4830624"/>
    <n v="384549"/>
    <n v="43"/>
    <s v="Junior Lopes"/>
    <d v="2025-01-09T00:00:00"/>
    <d v="1899-12-30T16:01:24"/>
    <s v=""/>
    <s v="Perdido"/>
    <d v="2025-02-21T00:00:00"/>
    <d v="1899-12-30T14:27:38"/>
    <s v="Não houve aprovação financeira"/>
    <s v="achou investimento fora para o momento"/>
    <s v=""/>
    <x v="26"/>
    <s v=""/>
    <x v="26"/>
    <s v="20/01/2025"/>
    <m/>
    <m/>
    <s v=""/>
    <s v=""/>
    <s v=""/>
    <s v=""/>
    <n v="1"/>
  </r>
  <r>
    <x v="0"/>
    <n v="154"/>
    <n v="177"/>
    <n v="1546"/>
    <s v=""/>
    <s v=""/>
    <x v="44"/>
    <n v="58636773000149"/>
    <s v="GLOBAL MIX ATACADISTA LTDA."/>
    <s v="Juan Charles Brandão Bastos"/>
    <s v="(32) 98458-5164"/>
    <s v=""/>
    <s v="afonso@assecon.net.br"/>
    <s v="Matriz"/>
    <s v=""/>
    <s v="R DOM LUIZ ORIONE 577"/>
    <s v="Juiz de Fora"/>
    <s v="MG"/>
    <s v="Site"/>
    <s v="Site"/>
    <s v=""/>
    <s v="GELADO;Pausado;Solicita demo"/>
    <s v="Pipeline de Vendas"/>
    <s v="Em negociação (75%)"/>
    <s v="6x sem juros (0/30/60/90/120/150...)"/>
    <m/>
    <n v="5689656"/>
    <n v="259936"/>
    <n v="151"/>
    <s v="Fernanda Santiago"/>
    <d v="2025-01-10T00:00:00"/>
    <d v="1899-12-30T12:12:42"/>
    <s v=""/>
    <s v="Perdido"/>
    <d v="2025-06-10T00:00:00"/>
    <d v="1899-12-30T14:40:29"/>
    <s v="Não quer mudar a solução atual"/>
    <s v=""/>
    <s v="10/01/2025 16:00"/>
    <x v="13"/>
    <s v="Paulo Souza"/>
    <x v="27"/>
    <s v=""/>
    <m/>
    <m/>
    <s v=""/>
    <s v=""/>
    <s v=""/>
    <s v=""/>
    <n v="1"/>
  </r>
  <r>
    <x v="0"/>
    <n v="155"/>
    <m/>
    <n v="1547"/>
    <s v=""/>
    <s v=""/>
    <x v="45"/>
    <m/>
    <s v=""/>
    <s v="Bruce"/>
    <s v="21995977179"/>
    <s v=""/>
    <s v="null"/>
    <s v=""/>
    <s v=""/>
    <s v=""/>
    <s v=""/>
    <s v=""/>
    <s v=""/>
    <s v=""/>
    <s v=""/>
    <s v=""/>
    <s v="Pipeline de Vendas"/>
    <s v="Apresentar Solução (35%)"/>
    <s v=""/>
    <m/>
    <m/>
    <m/>
    <n v="18"/>
    <s v="Paulo Souza"/>
    <d v="2025-01-10T00:00:00"/>
    <d v="1899-12-30T14:48:28"/>
    <s v=""/>
    <s v="Perdido"/>
    <d v="2025-01-28T00:00:00"/>
    <d v="1899-12-30T16:53:34"/>
    <s v="Projeto adiado / sem prazo definido"/>
    <s v="Rayssa, está tratando no funil de pós-venda"/>
    <s v=""/>
    <x v="27"/>
    <s v="Paulo Souza"/>
    <x v="28"/>
    <s v=""/>
    <m/>
    <m/>
    <s v=""/>
    <s v=""/>
    <s v=""/>
    <s v=""/>
    <n v="1"/>
  </r>
  <r>
    <x v="0"/>
    <n v="164"/>
    <m/>
    <n v="1582"/>
    <s v=""/>
    <s v=""/>
    <x v="46"/>
    <n v="2675142000184"/>
    <s v=""/>
    <s v="Thiago"/>
    <s v="(11) 98534-8231"/>
    <s v=""/>
    <s v="thiago.ramos@sltexpress.com.br"/>
    <s v=""/>
    <s v=""/>
    <s v=""/>
    <s v="São Paulo"/>
    <s v=""/>
    <s v="Site"/>
    <s v=""/>
    <s v=""/>
    <s v="Contato;QUENTE"/>
    <s v="Pipeline de Vendas"/>
    <s v="Em negociação (75%)"/>
    <s v=""/>
    <m/>
    <m/>
    <m/>
    <n v="65"/>
    <s v="Fernanda Santiago"/>
    <d v="2025-01-15T00:00:00"/>
    <d v="1899-12-30T17:35:14"/>
    <s v=""/>
    <s v="Perdido"/>
    <d v="2025-03-21T00:00:00"/>
    <d v="1899-12-30T14:37:57"/>
    <s v="Fora do segmento atendido"/>
    <s v=""/>
    <s v="15/01/2025 17:00"/>
    <x v="13"/>
    <s v="Fernanda Santiago"/>
    <x v="29"/>
    <s v=""/>
    <m/>
    <m/>
    <s v=""/>
    <s v=""/>
    <s v=""/>
    <s v=""/>
    <n v="1"/>
  </r>
  <r>
    <x v="1"/>
    <n v="166"/>
    <m/>
    <n v="745"/>
    <s v=""/>
    <s v="VERSIVA COMERCIAL VERSIVA DISTRIBUIDORA"/>
    <x v="47"/>
    <n v="48314771000180"/>
    <s v=""/>
    <s v="Gilberto"/>
    <s v="11984587496"/>
    <s v=""/>
    <s v="gilberto.brito@quantiva.com.br"/>
    <s v=""/>
    <s v="Gilberto;null"/>
    <s v=""/>
    <s v=""/>
    <s v=""/>
    <s v=""/>
    <s v=""/>
    <s v=""/>
    <s v="SDRFernanda;TAG1SEM"/>
    <s v="Pipeline de Vendas"/>
    <s v="Apresentar Solução (35%)"/>
    <s v=""/>
    <m/>
    <m/>
    <m/>
    <n v="36"/>
    <s v="Fernanda Santiago"/>
    <d v="2025-01-16T00:00:00"/>
    <d v="1899-12-30T11:04:39"/>
    <s v=""/>
    <s v="Perdido"/>
    <d v="2025-02-21T00:00:00"/>
    <d v="1899-12-30T12:11:57"/>
    <s v="Projeto adiado / sem prazo definido"/>
    <s v="cliente não tem tempo para apresentação"/>
    <s v="16/01/2025 11:00"/>
    <x v="0"/>
    <s v="Fernanda Santiago"/>
    <x v="30"/>
    <s v=""/>
    <m/>
    <m/>
    <s v=""/>
    <s v=""/>
    <s v=""/>
    <s v=""/>
    <n v="1"/>
  </r>
  <r>
    <x v="0"/>
    <n v="167"/>
    <m/>
    <n v="1599"/>
    <s v=""/>
    <s v=""/>
    <x v="48"/>
    <m/>
    <s v=""/>
    <s v="Felipe"/>
    <s v="11975126999"/>
    <s v=""/>
    <s v="null"/>
    <s v=""/>
    <s v=""/>
    <s v=""/>
    <s v=""/>
    <s v=""/>
    <s v="Indicação"/>
    <s v=""/>
    <s v=""/>
    <s v="GELADO"/>
    <s v="Pipeline de Vendas"/>
    <s v="Em negociação (75%)"/>
    <s v="6x sem juros (0/30/60/90/120/150...)"/>
    <d v="2025-05-31T00:00:00"/>
    <n v="46000"/>
    <n v="308546"/>
    <n v="82"/>
    <s v="Paulo Souza"/>
    <d v="2025-01-16T00:00:00"/>
    <d v="1899-12-30T14:02:22"/>
    <s v=""/>
    <s v="Perdido"/>
    <d v="2025-04-08T00:00:00"/>
    <d v="1899-12-30T09:30:31"/>
    <s v="Não quer mudar a solução atual"/>
    <s v=""/>
    <s v=""/>
    <x v="28"/>
    <s v="Paulo Souza"/>
    <x v="31"/>
    <s v=""/>
    <m/>
    <m/>
    <s v=""/>
    <s v=""/>
    <s v=""/>
    <s v=""/>
    <n v="1"/>
  </r>
  <r>
    <x v="1"/>
    <n v="169"/>
    <m/>
    <n v="735"/>
    <s v=""/>
    <s v="ECOLIMP DISTRIBUIDORA ATACADISTA DE PRODUTOS DE HIGIENE - EIRELI"/>
    <x v="49"/>
    <n v="16941656000149"/>
    <s v=""/>
    <s v="Ecolimp Distribuidora"/>
    <s v="11956368569"/>
    <s v=""/>
    <s v="adrianarosa@ecolimpatacadista.com.br"/>
    <s v=""/>
    <s v="Ecolimp Distribuidora;null, Adriana"/>
    <s v=""/>
    <s v=""/>
    <s v=""/>
    <s v=""/>
    <s v=""/>
    <s v=""/>
    <s v=""/>
    <s v="Pipeline de Vendas"/>
    <s v="Apresentar Proposta (50%)"/>
    <s v=""/>
    <m/>
    <n v="16700"/>
    <n v="18186"/>
    <n v="6"/>
    <s v="Fernanda Santiago"/>
    <d v="2025-01-16T00:00:00"/>
    <d v="1899-12-30T17:13:16"/>
    <s v=""/>
    <s v="Perdido"/>
    <d v="2025-01-22T00:00:00"/>
    <d v="1899-12-30T12:12:09"/>
    <s v="Projeto adiado / sem prazo definido"/>
    <s v="pediu para retornar no futuro"/>
    <s v="16/01/2025 17:00"/>
    <x v="29"/>
    <s v="Fernanda Santiago"/>
    <x v="32"/>
    <s v=""/>
    <m/>
    <m/>
    <s v=""/>
    <s v=""/>
    <s v=""/>
    <s v=""/>
    <n v="1"/>
  </r>
  <r>
    <x v="1"/>
    <n v="174"/>
    <m/>
    <n v="734"/>
    <s v=""/>
    <s v="DISTRIBUIDORA CHAMPION LIMITADA"/>
    <x v="50"/>
    <n v="66559436000123"/>
    <s v=""/>
    <s v="Distribuidora Champion"/>
    <s v="1155237947"/>
    <s v=""/>
    <s v="andre@distribuidorachampion.com.br"/>
    <s v=""/>
    <s v="Distribuidora Champion;null"/>
    <s v=""/>
    <s v=""/>
    <s v=""/>
    <s v=""/>
    <s v=""/>
    <s v=""/>
    <s v=""/>
    <s v="Pipeline de Vendas"/>
    <s v="Agendamento (0%)"/>
    <s v=""/>
    <m/>
    <m/>
    <m/>
    <n v="31"/>
    <s v="Fernanda Santiago"/>
    <d v="2025-01-21T00:00:00"/>
    <d v="1899-12-30T10:39:04"/>
    <s v=""/>
    <s v="Perdido"/>
    <d v="2025-02-21T00:00:00"/>
    <d v="1899-12-30T10:55:19"/>
    <s v="Projeto adiado / sem prazo definido"/>
    <s v="sem resposta do cliente"/>
    <s v="21/01/2025 10:37"/>
    <x v="0"/>
    <s v="Fernanda Santiago"/>
    <x v="33"/>
    <s v=""/>
    <m/>
    <m/>
    <s v=""/>
    <s v=""/>
    <s v=""/>
    <s v=""/>
    <n v="1"/>
  </r>
  <r>
    <x v="1"/>
    <n v="178"/>
    <m/>
    <n v="1619"/>
    <s v=""/>
    <s v=""/>
    <x v="51"/>
    <n v="2306559000331"/>
    <s v=""/>
    <s v="Royal Toys"/>
    <s v="44999065000"/>
    <s v=""/>
    <s v="ney@royaltoys.com.br"/>
    <s v=""/>
    <s v=""/>
    <s v=""/>
    <s v=""/>
    <s v=""/>
    <s v=""/>
    <s v=""/>
    <s v=""/>
    <s v=""/>
    <s v="Pipeline de Vendas"/>
    <s v="Em negociação (75%)"/>
    <s v="6x sem juros (0/30/60/90/120/150...)"/>
    <m/>
    <n v="11520"/>
    <n v="14114"/>
    <n v="30"/>
    <s v="Junior Lopes"/>
    <d v="2025-01-22T00:00:00"/>
    <d v="1899-12-30T12:15:34"/>
    <s v=""/>
    <s v="Perdido"/>
    <d v="2025-02-21T00:00:00"/>
    <d v="1899-12-30T12:14:01"/>
    <s v="Fechou com o concorrente - preço"/>
    <s v="fechou com Mercus"/>
    <s v=""/>
    <x v="29"/>
    <s v=""/>
    <x v="34"/>
    <s v=""/>
    <m/>
    <m/>
    <s v=""/>
    <s v=""/>
    <s v=""/>
    <s v=""/>
    <n v="1"/>
  </r>
  <r>
    <x v="1"/>
    <n v="179"/>
    <m/>
    <n v="1621"/>
    <s v=""/>
    <s v=""/>
    <x v="52"/>
    <m/>
    <s v=""/>
    <s v="Atacado Junior"/>
    <s v="65984636358"/>
    <s v=""/>
    <s v="atacadojunior@uol.com.br"/>
    <s v=""/>
    <s v=""/>
    <s v=""/>
    <s v=""/>
    <s v=""/>
    <s v=""/>
    <s v=""/>
    <s v=""/>
    <s v=""/>
    <s v="Pipeline de Vendas"/>
    <s v="Apresentar Proposta (50%)"/>
    <s v="6x sem juros (0/30/60/90/120/150...)"/>
    <m/>
    <n v="61056"/>
    <n v="625045"/>
    <n v="14"/>
    <s v="Junior Lopes"/>
    <d v="2025-01-23T00:00:00"/>
    <d v="1899-12-30T09:32:50"/>
    <s v=""/>
    <s v="Perdido"/>
    <d v="2025-02-06T00:00:00"/>
    <d v="1899-12-30T16:03:00"/>
    <s v="Preço muito alto - fora do budget de investimento"/>
    <s v="valor alto para investimento"/>
    <s v=""/>
    <x v="30"/>
    <s v=""/>
    <x v="35"/>
    <s v="27/01/2025"/>
    <m/>
    <m/>
    <s v=""/>
    <s v=""/>
    <s v=""/>
    <s v=""/>
    <n v="1"/>
  </r>
  <r>
    <x v="1"/>
    <n v="183"/>
    <m/>
    <n v="1631"/>
    <s v=""/>
    <s v=""/>
    <x v="53"/>
    <m/>
    <s v=""/>
    <s v="Multiflon"/>
    <s v="54981117994"/>
    <s v=""/>
    <s v="cesar@multiflon.com.br"/>
    <s v=""/>
    <s v=""/>
    <s v=""/>
    <s v=""/>
    <s v=""/>
    <s v="Feiras"/>
    <s v=""/>
    <s v=""/>
    <s v=""/>
    <s v="Pipeline de Vendas"/>
    <s v="Em Fechamento (100%)"/>
    <s v="6x sem juros (0/30/60/90/120/150...)"/>
    <m/>
    <n v="16960"/>
    <n v="863104"/>
    <n v="103"/>
    <s v="Junior Lopes"/>
    <d v="2025-01-24T00:00:00"/>
    <d v="1899-12-30T10:40:09"/>
    <s v=""/>
    <s v="Ganho"/>
    <d v="2025-05-07T00:00:00"/>
    <d v="1899-12-30T08:53:35"/>
    <s v=""/>
    <s v=""/>
    <s v=""/>
    <x v="31"/>
    <s v=""/>
    <x v="35"/>
    <s v=""/>
    <m/>
    <m/>
    <s v=""/>
    <s v=""/>
    <s v=""/>
    <s v=""/>
    <n v="1"/>
  </r>
  <r>
    <x v="1"/>
    <n v="187"/>
    <m/>
    <n v="1642"/>
    <s v=""/>
    <s v=""/>
    <x v="54"/>
    <m/>
    <s v=""/>
    <s v="Metalmix tanque"/>
    <s v="16997631389"/>
    <s v=""/>
    <s v="metalmix.ibate@hotmail.com"/>
    <s v=""/>
    <s v=""/>
    <s v=""/>
    <s v=""/>
    <s v=""/>
    <s v=""/>
    <s v=""/>
    <s v=""/>
    <s v=""/>
    <s v="Pipeline de Vendas"/>
    <s v="Apresentar Solução (35%)"/>
    <s v=""/>
    <m/>
    <m/>
    <m/>
    <n v="49"/>
    <s v="Junior Lopes"/>
    <d v="2025-01-27T00:00:00"/>
    <d v="1899-12-30T14:53:37"/>
    <s v=""/>
    <s v="Perdido"/>
    <d v="2025-03-17T00:00:00"/>
    <d v="1899-12-30T09:55:20"/>
    <s v="Projeto adiado / sem prazo definido"/>
    <s v="Cliente fora do segmento"/>
    <s v=""/>
    <x v="0"/>
    <s v=""/>
    <x v="36"/>
    <s v=""/>
    <m/>
    <m/>
    <s v=""/>
    <s v=""/>
    <s v=""/>
    <s v=""/>
    <n v="1"/>
  </r>
  <r>
    <x v="1"/>
    <n v="188"/>
    <m/>
    <n v="1643"/>
    <s v=""/>
    <s v=""/>
    <x v="55"/>
    <m/>
    <s v=""/>
    <s v="C.a Teles Armarinhos E Papelaria Ltda"/>
    <s v="11999279928"/>
    <s v=""/>
    <s v="caiotls@hotmail.com"/>
    <s v=""/>
    <s v=""/>
    <s v=""/>
    <s v=""/>
    <s v=""/>
    <s v=""/>
    <s v=""/>
    <s v=""/>
    <s v=""/>
    <s v="Pipeline de Vendas"/>
    <s v="Em negociação (75%)"/>
    <s v=""/>
    <m/>
    <n v="1600"/>
    <n v="314528"/>
    <n v="25"/>
    <s v="Junior Lopes"/>
    <d v="2025-01-27T00:00:00"/>
    <d v="1899-12-30T15:48:35"/>
    <s v=""/>
    <s v="Perdido"/>
    <d v="2025-02-21T00:00:00"/>
    <d v="1899-12-30T14:28:44"/>
    <s v="Não houve aprovação financeira"/>
    <s v=""/>
    <s v=""/>
    <x v="29"/>
    <s v=""/>
    <x v="26"/>
    <s v=""/>
    <m/>
    <m/>
    <s v=""/>
    <s v=""/>
    <s v=""/>
    <s v=""/>
    <n v="1"/>
  </r>
  <r>
    <x v="1"/>
    <n v="191"/>
    <m/>
    <n v="1651"/>
    <s v=""/>
    <s v=""/>
    <x v="56"/>
    <m/>
    <s v=""/>
    <s v="Atacado Junior"/>
    <s v="65984636358"/>
    <s v=""/>
    <s v="atacadojunior@uol.com.br"/>
    <s v=""/>
    <s v=""/>
    <s v=""/>
    <s v=""/>
    <s v=""/>
    <s v=""/>
    <s v=""/>
    <s v=""/>
    <s v=""/>
    <s v="Pipeline de Vendas"/>
    <s v="Apresentar Proposta (50%)"/>
    <s v=""/>
    <m/>
    <n v="1600"/>
    <n v="4063"/>
    <n v="9"/>
    <s v="Junior Lopes"/>
    <d v="2025-01-28T00:00:00"/>
    <d v="1899-12-30T15:02:42"/>
    <s v=""/>
    <s v="Perdido"/>
    <d v="2025-02-06T00:00:00"/>
    <d v="1899-12-30T16:04:47"/>
    <s v="Preço muito alto - fora do budget de investimento"/>
    <s v="valor alto para investimento"/>
    <s v=""/>
    <x v="0"/>
    <s v=""/>
    <x v="0"/>
    <s v=""/>
    <m/>
    <m/>
    <s v=""/>
    <s v=""/>
    <s v=""/>
    <s v=""/>
    <n v="1"/>
  </r>
  <r>
    <x v="0"/>
    <n v="193"/>
    <m/>
    <n v="1608"/>
    <s v=""/>
    <s v=""/>
    <x v="57"/>
    <n v="2142286000175"/>
    <s v=""/>
    <s v="giovanna sesso"/>
    <s v="(11) 3777-2416"/>
    <s v=""/>
    <s v="giovanna@bolplast.com.br"/>
    <s v=""/>
    <s v=""/>
    <s v=""/>
    <s v="São Paulo"/>
    <s v=""/>
    <s v="Site"/>
    <s v=""/>
    <s v=""/>
    <s v="Solicita demo"/>
    <s v="Pipeline de Vendas"/>
    <s v="Em negociação (75%)"/>
    <s v=""/>
    <m/>
    <m/>
    <m/>
    <n v="9"/>
    <s v="Paulo Souza"/>
    <d v="2025-01-28T00:00:00"/>
    <d v="1899-12-30T16:45:54"/>
    <s v=""/>
    <s v="Perdido"/>
    <d v="2025-02-06T00:00:00"/>
    <d v="1899-12-30T17:27:05"/>
    <s v="Preço muito alto - fora do budget de investimento"/>
    <s v=""/>
    <s v=""/>
    <x v="32"/>
    <s v=""/>
    <x v="37"/>
    <s v=""/>
    <m/>
    <m/>
    <s v=""/>
    <s v=""/>
    <s v=""/>
    <s v=""/>
    <n v="1"/>
  </r>
  <r>
    <x v="0"/>
    <n v="195"/>
    <m/>
    <n v="1603"/>
    <s v=""/>
    <s v=""/>
    <x v="58"/>
    <m/>
    <s v=""/>
    <s v="Stanley Neves"/>
    <s v="(16) 99788-8387"/>
    <s v=""/>
    <s v="null"/>
    <s v=""/>
    <s v=""/>
    <s v=""/>
    <s v=""/>
    <s v=""/>
    <s v="Inbound"/>
    <s v=""/>
    <s v=""/>
    <s v=""/>
    <s v="Pipeline de Vendas"/>
    <s v="Em negociação (75%)"/>
    <s v=""/>
    <m/>
    <m/>
    <m/>
    <n v="9"/>
    <s v="Paulo Souza"/>
    <d v="2025-01-28T00:00:00"/>
    <d v="1899-12-30T17:10:34"/>
    <s v=""/>
    <s v="Perdido"/>
    <d v="2025-02-06T00:00:00"/>
    <d v="1899-12-30T17:32:16"/>
    <s v="Não quer mudar a solução atual"/>
    <s v=""/>
    <s v=""/>
    <x v="32"/>
    <s v=""/>
    <x v="37"/>
    <s v=""/>
    <m/>
    <m/>
    <s v=""/>
    <s v=""/>
    <s v=""/>
    <s v=""/>
    <n v="1"/>
  </r>
  <r>
    <x v="0"/>
    <n v="196"/>
    <m/>
    <n v="1596"/>
    <s v=""/>
    <s v="Vigi Ltda"/>
    <x v="59"/>
    <n v="56884678000139"/>
    <s v=""/>
    <s v="Vinicius Oliveira"/>
    <s v="(19) 98275-0709"/>
    <s v=""/>
    <s v="societario@gmcontabil.com.br"/>
    <s v=""/>
    <s v=""/>
    <s v=""/>
    <s v="CAMPINAS"/>
    <s v="SP"/>
    <s v="Inbound"/>
    <s v=""/>
    <s v=""/>
    <s v="Contato"/>
    <s v="Pipeline de Vendas"/>
    <s v="Em negociação (75%)"/>
    <s v=""/>
    <m/>
    <m/>
    <m/>
    <n v="1"/>
    <s v="Paulo Souza"/>
    <d v="2025-01-28T00:00:00"/>
    <d v="1899-12-30T17:12:05"/>
    <s v=""/>
    <s v="Perdido"/>
    <d v="2025-01-29T00:00:00"/>
    <d v="1899-12-30T01:00:16"/>
    <s v="Preço muito alto - fora do budget de investimento"/>
    <s v=""/>
    <s v=""/>
    <x v="32"/>
    <s v="Paulo Souza"/>
    <x v="37"/>
    <s v=""/>
    <m/>
    <m/>
    <s v=""/>
    <s v=""/>
    <s v=""/>
    <s v=""/>
    <n v="1"/>
  </r>
  <r>
    <x v="0"/>
    <n v="197"/>
    <m/>
    <n v="1598"/>
    <s v=""/>
    <s v=""/>
    <x v="60"/>
    <m/>
    <s v=""/>
    <s v="Isaias"/>
    <s v="(15) 99747-1187"/>
    <s v=""/>
    <s v="null"/>
    <s v=""/>
    <s v=""/>
    <s v=""/>
    <s v=""/>
    <s v=""/>
    <s v="Inbound"/>
    <s v=""/>
    <s v=""/>
    <s v="Contato"/>
    <s v="Pipeline de Vendas"/>
    <s v="Em negociação (75%)"/>
    <s v=""/>
    <m/>
    <m/>
    <m/>
    <n v="1"/>
    <s v="Paulo Souza"/>
    <d v="2025-01-28T00:00:00"/>
    <d v="1899-12-30T17:12:39"/>
    <s v=""/>
    <s v="Perdido"/>
    <d v="2025-01-29T00:00:00"/>
    <d v="1899-12-30T01:02:09"/>
    <s v="Preço muito alto - fora do budget de investimento"/>
    <s v=""/>
    <s v=""/>
    <x v="32"/>
    <s v=""/>
    <x v="37"/>
    <s v=""/>
    <m/>
    <m/>
    <s v=""/>
    <s v=""/>
    <s v=""/>
    <s v=""/>
    <n v="1"/>
  </r>
  <r>
    <x v="0"/>
    <n v="198"/>
    <m/>
    <n v="1600"/>
    <s v=""/>
    <s v=""/>
    <x v="61"/>
    <m/>
    <s v=""/>
    <s v="pz presentes"/>
    <s v="(31) 99735-8058"/>
    <s v=""/>
    <s v="administrativo@tempori.com.br"/>
    <s v=""/>
    <s v=""/>
    <s v=""/>
    <s v="Belo Horizonte"/>
    <s v=""/>
    <s v="Site"/>
    <s v=""/>
    <s v=""/>
    <s v="Contato"/>
    <s v="Pipeline de Vendas"/>
    <s v="Em negociação (75%)"/>
    <s v=""/>
    <m/>
    <m/>
    <m/>
    <n v="1"/>
    <s v="Paulo Souza"/>
    <d v="2025-01-28T00:00:00"/>
    <d v="1899-12-30T17:13:17"/>
    <s v=""/>
    <s v="Perdido"/>
    <d v="2025-01-29T00:00:00"/>
    <d v="1899-12-30T01:05:46"/>
    <s v="Preço muito alto - fora do budget de investimento"/>
    <s v=""/>
    <s v=""/>
    <x v="32"/>
    <s v=""/>
    <x v="37"/>
    <s v=""/>
    <m/>
    <m/>
    <s v=""/>
    <s v=""/>
    <s v=""/>
    <s v=""/>
    <n v="1"/>
  </r>
  <r>
    <x v="0"/>
    <n v="199"/>
    <m/>
    <n v="1623"/>
    <s v="Todos os dados preenchidos:_x000a_name: Eliedson Alves _x000a_phone: 81988636626 _x000a_email: eliedsonrepresentante@gmail.com _x000a_referrer: https://www.guaranisistemas.com.br/"/>
    <s v=""/>
    <x v="62"/>
    <m/>
    <s v=""/>
    <s v="Eliedson Alves"/>
    <s v="81988636626"/>
    <s v=""/>
    <s v="eliedsonrepresentante@gmail.com"/>
    <s v=""/>
    <s v=""/>
    <s v=""/>
    <s v="Recife"/>
    <s v=""/>
    <s v="Feiras"/>
    <s v=""/>
    <s v=""/>
    <s v="Feiras"/>
    <s v="Pipeline de Vendas"/>
    <s v="Em negociação (75%)"/>
    <s v=""/>
    <m/>
    <m/>
    <m/>
    <n v="9"/>
    <s v="Paulo Souza"/>
    <d v="2025-01-28T00:00:00"/>
    <d v="1899-12-30T17:14:04"/>
    <s v=""/>
    <s v="Perdido"/>
    <d v="2025-02-06T00:00:00"/>
    <d v="1899-12-30T17:40:07"/>
    <s v="Preço muito alto - fora do budget de investimento"/>
    <s v=""/>
    <s v=""/>
    <x v="32"/>
    <s v=""/>
    <x v="0"/>
    <s v="28/01/2025 00:00"/>
    <m/>
    <m/>
    <s v=""/>
    <s v=""/>
    <s v=""/>
    <s v=""/>
    <n v="1"/>
  </r>
  <r>
    <x v="1"/>
    <n v="200"/>
    <m/>
    <n v="1660"/>
    <s v=""/>
    <s v=""/>
    <x v="63"/>
    <m/>
    <s v=""/>
    <s v="Alumínio Higsberg"/>
    <s v="1935513873"/>
    <s v=""/>
    <s v="adm@aluminiohigsberg.com.br"/>
    <s v=""/>
    <s v=""/>
    <s v=""/>
    <s v=""/>
    <s v=""/>
    <s v=""/>
    <s v=""/>
    <s v=""/>
    <s v=""/>
    <s v="Pipeline de Vendas"/>
    <s v="Qualificação de Vendas (SQL) (25%)"/>
    <s v=""/>
    <m/>
    <m/>
    <m/>
    <n v="51"/>
    <s v="Junior Lopes"/>
    <d v="2025-01-29T00:00:00"/>
    <d v="1899-12-30T09:30:56"/>
    <s v=""/>
    <s v="Perdido"/>
    <d v="2025-03-21T00:00:00"/>
    <d v="1899-12-30T14:43:11"/>
    <s v="Não quer mudar a solução atual"/>
    <s v="cliente não respondeu mais aos contatos"/>
    <s v=""/>
    <x v="0"/>
    <s v=""/>
    <x v="38"/>
    <s v=""/>
    <m/>
    <m/>
    <s v=""/>
    <s v=""/>
    <s v=""/>
    <s v=""/>
    <n v="1"/>
  </r>
  <r>
    <x v="0"/>
    <n v="201"/>
    <m/>
    <n v="198"/>
    <s v=""/>
    <s v="REGIS PECLAT BASTOS"/>
    <x v="64"/>
    <n v="13474916000125"/>
    <s v=""/>
    <s v="REGIS"/>
    <s v="13997252966"/>
    <s v=""/>
    <s v="VR_DISTRIBUIDORA@YAHOO.COM.BR"/>
    <s v=""/>
    <s v="REGIS;REGIS, Roni"/>
    <s v=""/>
    <s v="JACUPIRANGA"/>
    <s v="SP"/>
    <s v="Outbound"/>
    <s v=""/>
    <s v=""/>
    <s v="Importado a partir de lista;TAG1SEM"/>
    <s v="Pipeline de Vendas"/>
    <s v="Apresentar Solução (35%)"/>
    <s v=""/>
    <m/>
    <m/>
    <m/>
    <n v="8"/>
    <s v="Fernanda Santiago"/>
    <d v="2025-01-29T00:00:00"/>
    <d v="1899-12-30T11:59:53"/>
    <s v=""/>
    <s v="Perdido"/>
    <d v="2025-02-06T00:00:00"/>
    <d v="1899-12-30T13:53:38"/>
    <s v="Fora do porte mínimo (sem fit estrutural)"/>
    <s v=""/>
    <s v="29/01/2025 11:58"/>
    <x v="0"/>
    <s v="Fernanda Santiago"/>
    <x v="39"/>
    <s v=""/>
    <m/>
    <m/>
    <s v=""/>
    <s v=""/>
    <s v=""/>
    <s v=""/>
    <n v="1"/>
  </r>
  <r>
    <x v="1"/>
    <n v="202"/>
    <m/>
    <n v="1665"/>
    <s v=""/>
    <s v=""/>
    <x v="65"/>
    <m/>
    <s v=""/>
    <s v="Viva Vidros"/>
    <s v="11988839646"/>
    <s v=""/>
    <s v="comercial@vivavidros.com.br"/>
    <s v=""/>
    <s v=""/>
    <s v=""/>
    <s v=""/>
    <s v=""/>
    <s v=""/>
    <s v=""/>
    <s v=""/>
    <s v=""/>
    <s v="Pipeline de Vendas"/>
    <s v="Em Fechamento (100%)"/>
    <s v=""/>
    <m/>
    <n v="1600"/>
    <n v="1824"/>
    <n v="34"/>
    <s v="Junior Lopes"/>
    <d v="2025-01-30T00:00:00"/>
    <d v="1899-12-30T09:58:14"/>
    <s v=""/>
    <s v="Perdido"/>
    <d v="2025-03-05T00:00:00"/>
    <d v="1899-12-30T11:11:54"/>
    <s v="Projeto adiado / sem prazo definido"/>
    <s v="cliente com situação de pendencias financeiras"/>
    <s v=""/>
    <x v="21"/>
    <s v=""/>
    <x v="0"/>
    <s v=""/>
    <m/>
    <m/>
    <s v=""/>
    <s v=""/>
    <s v=""/>
    <s v=""/>
    <n v="1"/>
  </r>
  <r>
    <x v="1"/>
    <n v="203"/>
    <m/>
    <n v="1666"/>
    <s v=""/>
    <s v=""/>
    <x v="66"/>
    <m/>
    <s v=""/>
    <s v="Stamaco"/>
    <s v="11967327458"/>
    <s v=""/>
    <s v="felipe@stamaco.com.br"/>
    <s v=""/>
    <s v=""/>
    <s v=""/>
    <s v=""/>
    <s v=""/>
    <s v=""/>
    <s v=""/>
    <s v=""/>
    <s v=""/>
    <s v="Pipeline de Vendas"/>
    <s v="Apresentar Solução (35%)"/>
    <s v=""/>
    <m/>
    <m/>
    <m/>
    <n v="22"/>
    <s v="Junior Lopes"/>
    <d v="2025-01-30T00:00:00"/>
    <d v="1899-12-30T10:59:59"/>
    <s v=""/>
    <s v="Perdido"/>
    <d v="2025-02-21T00:00:00"/>
    <d v="1899-12-30T12:09:49"/>
    <s v="Não quer mudar a solução atual"/>
    <s v="Aguardará Retaguarda Web"/>
    <s v=""/>
    <x v="0"/>
    <s v=""/>
    <x v="40"/>
    <s v=""/>
    <m/>
    <m/>
    <s v=""/>
    <s v=""/>
    <s v=""/>
    <s v=""/>
    <n v="1"/>
  </r>
  <r>
    <x v="1"/>
    <n v="204"/>
    <m/>
    <n v="1669"/>
    <s v=""/>
    <s v=""/>
    <x v="67"/>
    <m/>
    <s v=""/>
    <s v="Fabio"/>
    <s v="47988469270"/>
    <s v=""/>
    <s v="Fabio@atacadoelmo.com.br"/>
    <s v=""/>
    <s v=""/>
    <s v=""/>
    <s v=""/>
    <s v=""/>
    <s v=""/>
    <s v=""/>
    <s v=""/>
    <s v=""/>
    <s v="Pipeline de Vendas"/>
    <s v="Agendamento (0%)"/>
    <s v=""/>
    <m/>
    <n v="837998"/>
    <n v="516364"/>
    <n v="0"/>
    <s v="Paulo Souza"/>
    <d v="2025-02-01T00:00:00"/>
    <d v="1899-12-30T01:46:53"/>
    <s v=""/>
    <s v="Ganho"/>
    <d v="2025-02-01T00:00:00"/>
    <d v="1899-12-30T03:23:37"/>
    <s v=""/>
    <s v=""/>
    <s v=""/>
    <x v="0"/>
    <s v=""/>
    <x v="0"/>
    <s v=""/>
    <m/>
    <m/>
    <s v=""/>
    <s v=""/>
    <s v=""/>
    <s v=""/>
    <n v="1"/>
  </r>
  <r>
    <x v="0"/>
    <n v="205"/>
    <m/>
    <n v="1670"/>
    <s v=""/>
    <s v=""/>
    <x v="68"/>
    <m/>
    <s v=""/>
    <s v="Alexandre"/>
    <s v="75999540838"/>
    <s v=""/>
    <s v="terraboaespeciarias@hotmail.com"/>
    <s v=""/>
    <s v=""/>
    <s v=""/>
    <s v=""/>
    <s v=""/>
    <s v=""/>
    <s v=""/>
    <s v=""/>
    <s v=""/>
    <s v="Pipeline de Vendas"/>
    <s v="Em Fechamento (100%)"/>
    <s v=""/>
    <m/>
    <n v="299984"/>
    <n v="0"/>
    <n v="0"/>
    <s v="Paulo Souza"/>
    <d v="2025-02-01T00:00:00"/>
    <d v="1899-12-30T02:11:10"/>
    <s v=""/>
    <s v="Ganho"/>
    <d v="2025-02-01T00:00:00"/>
    <d v="1899-12-30T02:22:51"/>
    <s v=""/>
    <s v=""/>
    <s v=""/>
    <x v="6"/>
    <s v="Paulo Souza"/>
    <x v="41"/>
    <s v=""/>
    <m/>
    <m/>
    <s v=""/>
    <s v=""/>
    <s v=""/>
    <s v=""/>
    <n v="1"/>
  </r>
  <r>
    <x v="0"/>
    <n v="206"/>
    <m/>
    <n v="1671"/>
    <s v=""/>
    <s v=""/>
    <x v="69"/>
    <m/>
    <s v=""/>
    <s v="Helvecio"/>
    <s v="55479993859"/>
    <s v=""/>
    <s v="Helvecio.Deitos@newellco.com"/>
    <s v=""/>
    <s v=""/>
    <s v=""/>
    <s v=""/>
    <s v=""/>
    <s v=""/>
    <s v=""/>
    <s v=""/>
    <s v=""/>
    <s v="Pipeline de Vendas"/>
    <s v="Em Fechamento (100%)"/>
    <s v=""/>
    <m/>
    <n v="1936"/>
    <n v="0"/>
    <n v="0"/>
    <s v="Paulo Souza"/>
    <d v="2025-02-01T00:00:00"/>
    <d v="1899-12-30T02:12:42"/>
    <s v=""/>
    <s v="Ganho"/>
    <d v="2025-02-01T00:00:00"/>
    <d v="1899-12-30T02:19:45"/>
    <s v=""/>
    <s v=""/>
    <s v=""/>
    <x v="33"/>
    <s v="Paulo Souza"/>
    <x v="42"/>
    <s v=""/>
    <m/>
    <m/>
    <s v=""/>
    <s v=""/>
    <s v=""/>
    <s v=""/>
    <n v="1"/>
  </r>
  <r>
    <x v="0"/>
    <n v="207"/>
    <m/>
    <n v="1672"/>
    <s v=""/>
    <s v=""/>
    <x v="70"/>
    <m/>
    <s v=""/>
    <s v="Marcelha"/>
    <s v=""/>
    <s v=""/>
    <s v="marcelha@paramountplasticos.com.br"/>
    <s v=""/>
    <s v=""/>
    <s v=""/>
    <s v=""/>
    <s v=""/>
    <s v=""/>
    <s v=""/>
    <s v=""/>
    <s v=""/>
    <s v="Pipeline de Vendas"/>
    <s v="Em Fechamento (100%)"/>
    <s v=""/>
    <m/>
    <n v="6160"/>
    <n v="0"/>
    <n v="0"/>
    <s v="Paulo Souza"/>
    <d v="2025-02-01T00:00:00"/>
    <d v="1899-12-30T02:13:12"/>
    <s v=""/>
    <s v="Ganho"/>
    <d v="2025-02-01T00:00:00"/>
    <d v="1899-12-30T02:20:51"/>
    <s v=""/>
    <s v=""/>
    <s v=""/>
    <x v="34"/>
    <s v="Paulo Souza"/>
    <x v="43"/>
    <s v=""/>
    <m/>
    <m/>
    <s v=""/>
    <s v=""/>
    <s v=""/>
    <s v=""/>
    <n v="1"/>
  </r>
  <r>
    <x v="0"/>
    <n v="208"/>
    <m/>
    <n v="1673"/>
    <s v=""/>
    <s v=""/>
    <x v="71"/>
    <m/>
    <s v=""/>
    <s v="Giftutil"/>
    <s v=""/>
    <s v=""/>
    <s v="eduardapaivapaula@hotmail.com"/>
    <s v=""/>
    <s v=""/>
    <s v=""/>
    <s v=""/>
    <s v=""/>
    <s v=""/>
    <s v=""/>
    <s v=""/>
    <s v=""/>
    <s v="Pipeline de Vendas"/>
    <s v="Em Fechamento (100%)"/>
    <s v=""/>
    <m/>
    <n v="486308"/>
    <n v="3564"/>
    <n v="0"/>
    <s v="Paulo Souza"/>
    <d v="2025-02-01T00:00:00"/>
    <d v="1899-12-30T02:14:22"/>
    <s v=""/>
    <s v="Ganho"/>
    <d v="2025-02-01T00:00:00"/>
    <d v="1899-12-30T02:18:18"/>
    <s v=""/>
    <s v=""/>
    <s v=""/>
    <x v="25"/>
    <s v="Paulo Souza"/>
    <x v="23"/>
    <s v=""/>
    <m/>
    <m/>
    <s v=""/>
    <s v=""/>
    <s v=""/>
    <s v=""/>
    <n v="1"/>
  </r>
  <r>
    <x v="1"/>
    <n v="209"/>
    <m/>
    <n v="1710"/>
    <s v=""/>
    <s v=""/>
    <x v="72"/>
    <m/>
    <s v=""/>
    <s v="Maxximo Utilidades"/>
    <s v="11999804489"/>
    <s v=""/>
    <s v="flavio@maxximo.com.br"/>
    <s v=""/>
    <s v=""/>
    <s v=""/>
    <s v=""/>
    <s v=""/>
    <s v="Feiras"/>
    <s v=""/>
    <s v=""/>
    <s v=""/>
    <s v="Pipeline de Vendas"/>
    <s v="Apresentar Solução (35%)"/>
    <s v="6x sem juros (0/30/60/90/120/150...)"/>
    <m/>
    <m/>
    <m/>
    <n v="68"/>
    <s v="Junior Lopes"/>
    <d v="2025-02-06T00:00:00"/>
    <d v="1899-12-30T10:24:33"/>
    <s v=""/>
    <s v="Perdido"/>
    <d v="2025-04-15T00:00:00"/>
    <d v="1899-12-30T16:38:15"/>
    <s v="Projeto adiado / sem prazo definido"/>
    <s v="cliente não responde as mensagens, continuarei a prospectar em paralelo"/>
    <s v=""/>
    <x v="0"/>
    <s v=""/>
    <x v="44"/>
    <s v=""/>
    <m/>
    <m/>
    <s v=""/>
    <s v=""/>
    <s v=""/>
    <s v=""/>
    <n v="1"/>
  </r>
  <r>
    <x v="1"/>
    <n v="210"/>
    <m/>
    <n v="1711"/>
    <s v=""/>
    <s v=""/>
    <x v="73"/>
    <n v="12792269000137"/>
    <s v=""/>
    <s v="Plastutti"/>
    <s v="11983334304"/>
    <s v=""/>
    <s v="Thiago@plastutti.com.br"/>
    <s v=""/>
    <s v=""/>
    <s v=""/>
    <s v=""/>
    <s v=""/>
    <s v=""/>
    <s v=""/>
    <s v=""/>
    <s v="Abup2025Fevereiro"/>
    <s v="Pipeline de Vendas"/>
    <s v="Em Fechamento (100%)"/>
    <s v="10x sem juros (0/30/60/90/120/150...)"/>
    <m/>
    <n v="65920"/>
    <n v="481924"/>
    <n v="25"/>
    <s v="Junior Lopes"/>
    <d v="2025-02-06T00:00:00"/>
    <d v="1899-12-30T10:53:24"/>
    <s v=""/>
    <s v="Ganho"/>
    <d v="2025-03-03T00:00:00"/>
    <d v="1899-12-30T11:32:48"/>
    <s v=""/>
    <s v=""/>
    <s v=""/>
    <x v="35"/>
    <s v=""/>
    <x v="44"/>
    <s v="18/02/2025"/>
    <m/>
    <m/>
    <s v=""/>
    <s v=""/>
    <s v=""/>
    <s v=""/>
    <n v="1"/>
  </r>
  <r>
    <x v="1"/>
    <n v="211"/>
    <m/>
    <n v="1712"/>
    <s v=""/>
    <s v=""/>
    <x v="74"/>
    <m/>
    <s v=""/>
    <s v="Plastutti - Clou"/>
    <s v="11983334304"/>
    <s v=""/>
    <s v="Thiago@plastutti.com.br"/>
    <s v=""/>
    <s v=""/>
    <s v=""/>
    <s v=""/>
    <s v=""/>
    <s v=""/>
    <s v=""/>
    <s v=""/>
    <s v="Abup2025Fevereiro"/>
    <s v="Pipeline de Vendas"/>
    <s v="Em Fechamento (100%)"/>
    <s v=""/>
    <m/>
    <n v="1600"/>
    <n v="25908"/>
    <n v="14"/>
    <s v="Junior Lopes"/>
    <d v="2025-02-06T00:00:00"/>
    <d v="1899-12-30T11:39:54"/>
    <s v=""/>
    <s v="Perdido"/>
    <d v="2025-02-20T00:00:00"/>
    <d v="1899-12-30T15:57:59"/>
    <s v="Não quer mudar a solução atual"/>
    <s v="atualmente tem servidor local"/>
    <s v=""/>
    <x v="35"/>
    <s v=""/>
    <x v="44"/>
    <s v="18/02/2025"/>
    <m/>
    <m/>
    <s v=""/>
    <s v=""/>
    <s v=""/>
    <s v=""/>
    <n v="1"/>
  </r>
  <r>
    <x v="1"/>
    <n v="212"/>
    <m/>
    <n v="1713"/>
    <s v=""/>
    <s v=""/>
    <x v="75"/>
    <m/>
    <s v=""/>
    <s v="Cozzillar"/>
    <s v="1935479372"/>
    <s v=""/>
    <s v="gilberto@cozzillar.com.br"/>
    <s v=""/>
    <s v=""/>
    <s v=""/>
    <s v=""/>
    <s v=""/>
    <s v="Feiras"/>
    <s v=""/>
    <s v=""/>
    <s v=""/>
    <s v="Pipeline de Vendas"/>
    <s v="Apresentar Solução (35%)"/>
    <s v="6x sem juros (0/30/60/90/120/150...)"/>
    <m/>
    <m/>
    <m/>
    <n v="60"/>
    <s v="Junior Lopes"/>
    <d v="2025-02-06T00:00:00"/>
    <d v="1899-12-30T12:23:29"/>
    <s v=""/>
    <s v="Perdido"/>
    <d v="2025-04-07T00:00:00"/>
    <d v="1899-12-30T11:50:11"/>
    <s v="Projeto adiado / sem prazo definido"/>
    <s v="10:07, 02/04/2025 Junior Lopes: Olá Gilberto, Junior da Guarani sistemas por aqui _x000a_Espero que esteja bem _x000a_Ficamos de organizar uma visita com vocês para apresentação da solução Guarani sistemas_x000a_10:07, 02/04/2025 Junior Lopes: Vamos avançar?_x000a_09:21, 07/04/2025 Junior Lopes: Olá Gilberto! Infelizmente não consigo seu retorno _x000a_Entendo que deve estar bem corrido para você _x000a_De qualquer forma fico a disposição no momento que vc puder _x000a_Forte abraço e ótimos negócios _x000a_Jr Guarani sistemas"/>
    <s v=""/>
    <x v="0"/>
    <s v=""/>
    <x v="44"/>
    <s v=""/>
    <m/>
    <m/>
    <s v=""/>
    <s v=""/>
    <s v=""/>
    <s v=""/>
    <n v="1"/>
  </r>
  <r>
    <x v="1"/>
    <n v="213"/>
    <m/>
    <n v="1714"/>
    <s v=""/>
    <s v=""/>
    <x v="76"/>
    <m/>
    <s v=""/>
    <s v="Marca Textil"/>
    <s v="1168296999"/>
    <s v=""/>
    <s v="atendimento@markatextil.com.br"/>
    <s v=""/>
    <s v=""/>
    <s v=""/>
    <s v=""/>
    <s v=""/>
    <s v=""/>
    <s v=""/>
    <s v=""/>
    <s v=""/>
    <s v="Pipeline de Vendas"/>
    <s v="Qualificação de Vendas (SQL) (25%)"/>
    <s v=""/>
    <m/>
    <n v="14400"/>
    <n v="18034"/>
    <n v="43"/>
    <s v="Junior Lopes"/>
    <d v="2025-02-06T00:00:00"/>
    <d v="1899-12-30T12:36:48"/>
    <s v=""/>
    <s v="Perdido"/>
    <d v="2025-03-21T00:00:00"/>
    <d v="1899-12-30T14:36:30"/>
    <s v="Não quer mudar a solução atual"/>
    <s v="não seguirá no momento"/>
    <s v=""/>
    <x v="36"/>
    <s v=""/>
    <x v="44"/>
    <s v=""/>
    <m/>
    <m/>
    <s v=""/>
    <s v=""/>
    <s v=""/>
    <s v=""/>
    <n v="1"/>
  </r>
  <r>
    <x v="0"/>
    <n v="214"/>
    <m/>
    <n v="1661"/>
    <s v=""/>
    <s v=""/>
    <x v="77"/>
    <m/>
    <s v=""/>
    <s v="Carlos"/>
    <s v="(13) 99770-3018"/>
    <s v=""/>
    <s v="opa.eskinao.compras@gmail.com"/>
    <s v=""/>
    <s v=""/>
    <s v=""/>
    <s v="São Vicente"/>
    <s v=""/>
    <s v="Site"/>
    <s v=""/>
    <s v=""/>
    <s v=""/>
    <s v="Pipeline de Vendas"/>
    <s v="Em negociação (75%)"/>
    <s v=""/>
    <m/>
    <m/>
    <m/>
    <n v="0"/>
    <s v="Paulo Souza"/>
    <d v="2025-02-06T00:00:00"/>
    <d v="1899-12-30T13:55:00"/>
    <s v=""/>
    <s v="Perdido"/>
    <d v="2025-02-06T00:00:00"/>
    <d v="1899-12-30T17:30:59"/>
    <s v="Preço muito alto - fora do budget de investimento"/>
    <s v=""/>
    <s v=""/>
    <x v="37"/>
    <s v=""/>
    <x v="45"/>
    <s v=""/>
    <m/>
    <m/>
    <s v=""/>
    <s v=""/>
    <s v=""/>
    <s v=""/>
    <n v="1"/>
  </r>
  <r>
    <x v="0"/>
    <n v="215"/>
    <m/>
    <n v="1715"/>
    <s v=""/>
    <s v=""/>
    <x v="78"/>
    <m/>
    <s v=""/>
    <s v="João"/>
    <s v="(11) 94793-3497"/>
    <s v=""/>
    <s v="jvprocacino@gmail.com"/>
    <s v=""/>
    <s v=""/>
    <s v=""/>
    <s v=""/>
    <s v=""/>
    <s v="Site"/>
    <s v=""/>
    <s v=""/>
    <s v="Abcasa2025fevereiro;Solicita demo"/>
    <s v="Pipeline de Vendas"/>
    <s v="Em negociação (75%)"/>
    <s v=""/>
    <m/>
    <n v="43740"/>
    <n v="158239"/>
    <n v="13"/>
    <s v="Paulo Souza"/>
    <d v="2025-02-06T00:00:00"/>
    <d v="1899-12-30T13:55:44"/>
    <s v=""/>
    <s v="Perdido"/>
    <d v="2025-02-19T00:00:00"/>
    <d v="1899-12-30T09:18:02"/>
    <s v="Preço muito alto - fora do budget de investimento"/>
    <s v=""/>
    <s v=""/>
    <x v="38"/>
    <s v=""/>
    <x v="46"/>
    <s v=""/>
    <m/>
    <m/>
    <s v=""/>
    <s v=""/>
    <s v=""/>
    <s v=""/>
    <n v="1"/>
  </r>
  <r>
    <x v="0"/>
    <n v="219"/>
    <m/>
    <n v="1720"/>
    <s v=""/>
    <s v=""/>
    <x v="79"/>
    <m/>
    <s v=""/>
    <s v="Nassib Saleh"/>
    <s v="11951945790"/>
    <s v=""/>
    <s v="nassib.saleh58@gmail.com"/>
    <s v=""/>
    <s v=""/>
    <s v=""/>
    <s v=""/>
    <s v=""/>
    <s v=""/>
    <s v=""/>
    <s v=""/>
    <s v=""/>
    <s v="Pipeline de Vendas"/>
    <s v="Em Fechamento (100%)"/>
    <s v=""/>
    <m/>
    <n v="14400"/>
    <n v="122984"/>
    <n v="8"/>
    <s v="Paulo Souza"/>
    <d v="2025-02-06T00:00:00"/>
    <d v="1899-12-30T17:42:46"/>
    <s v=""/>
    <s v="Ganho"/>
    <d v="2025-02-14T00:00:00"/>
    <d v="1899-12-30T11:16:20"/>
    <s v=""/>
    <s v=""/>
    <s v=""/>
    <x v="39"/>
    <s v="Paulo Souza"/>
    <x v="46"/>
    <s v=""/>
    <m/>
    <m/>
    <s v=""/>
    <s v=""/>
    <s v=""/>
    <s v=""/>
    <n v="1"/>
  </r>
  <r>
    <x v="1"/>
    <n v="230"/>
    <m/>
    <n v="1734"/>
    <s v=""/>
    <s v=""/>
    <x v="80"/>
    <m/>
    <s v=""/>
    <s v="Oikos"/>
    <s v="21968201725"/>
    <s v=""/>
    <s v="michele.pepalia@grupoecoa.com.br"/>
    <s v=""/>
    <s v=""/>
    <s v=""/>
    <s v=""/>
    <s v=""/>
    <s v="Feiras"/>
    <s v=""/>
    <s v=""/>
    <s v="90%;Abcasa2025fevereiro"/>
    <s v="Pipeline de Vendas"/>
    <s v="Em Fechamento (100%)"/>
    <s v="6x sem juros (0/30/60/90/120/150...)"/>
    <m/>
    <n v="56000"/>
    <n v="2101739"/>
    <n v="161"/>
    <s v="Junior Lopes"/>
    <d v="2025-02-10T00:00:00"/>
    <d v="1899-12-30T07:54:34"/>
    <s v=""/>
    <s v="Perdido"/>
    <d v="2025-07-21T00:00:00"/>
    <d v="1899-12-30T09:46:56"/>
    <s v="Projeto adiado / sem prazo definido"/>
    <s v="cliente não responde sobre a continuidade"/>
    <s v=""/>
    <x v="40"/>
    <s v=""/>
    <x v="47"/>
    <s v=""/>
    <m/>
    <m/>
    <s v=""/>
    <s v=""/>
    <s v=""/>
    <s v=""/>
    <n v="1"/>
  </r>
  <r>
    <x v="0"/>
    <n v="231"/>
    <m/>
    <n v="1733"/>
    <s v="Todos os dados preenchidos:_x000a_name: Ana Beatriz Costa dos Santos  _x000a_phone: 12997420947 _x000a_email: administrativo@camposdiaromas.com"/>
    <s v="Stefanie Forsterling"/>
    <x v="81"/>
    <n v="14936505000258"/>
    <s v=""/>
    <s v="Ana Beatriz Costa dos Santos"/>
    <s v="(12) 3662-5043"/>
    <s v=""/>
    <s v="administrativo@camposdiaromas.com"/>
    <s v=""/>
    <s v=""/>
    <s v=""/>
    <s v="CAMPOS DO JORDAO"/>
    <s v="SP"/>
    <s v="Feiras"/>
    <s v=""/>
    <s v=""/>
    <s v="Feiras"/>
    <s v="Pipeline de Vendas"/>
    <s v="Qualificação de Vendas (SQL) (25%)"/>
    <s v=""/>
    <m/>
    <m/>
    <m/>
    <n v="38"/>
    <s v="Fernanda Santiago"/>
    <d v="2025-02-11T00:00:00"/>
    <d v="1899-12-30T15:36:50"/>
    <s v=""/>
    <s v="Perdido"/>
    <d v="2025-03-21T00:00:00"/>
    <d v="1899-12-30T15:15:41"/>
    <s v="Fora do porte mínimo (sem fite estrutural)"/>
    <s v="Lojas muitos pequenas"/>
    <s v="11/02/2025 15:30"/>
    <x v="0"/>
    <s v="Fernanda Santiago"/>
    <x v="48"/>
    <s v=""/>
    <m/>
    <m/>
    <s v=""/>
    <s v=""/>
    <s v=""/>
    <s v=""/>
    <n v="1"/>
  </r>
  <r>
    <x v="0"/>
    <n v="232"/>
    <m/>
    <n v="1704"/>
    <s v=""/>
    <s v=""/>
    <x v="82"/>
    <n v="29432229000187"/>
    <s v=""/>
    <s v="Adriana"/>
    <s v="(41) 99861-1071"/>
    <s v=""/>
    <s v="contato@euromats.com.br"/>
    <s v=""/>
    <s v=""/>
    <s v=""/>
    <s v=""/>
    <s v=""/>
    <s v="Base de empresas Leads2b"/>
    <s v=""/>
    <s v=""/>
    <s v="msgabupfevereiro2025;REP+"/>
    <s v="Pipeline de Vendas"/>
    <s v="Qualificação de Vendas (SQL) (25%)"/>
    <s v=""/>
    <m/>
    <m/>
    <m/>
    <n v="42"/>
    <s v="Fernanda Santiago"/>
    <d v="2025-02-12T00:00:00"/>
    <d v="1899-12-30T10:51:17"/>
    <s v=""/>
    <s v="Perdido"/>
    <d v="2025-03-26T00:00:00"/>
    <d v="1899-12-30T17:34:58"/>
    <s v="Preço muito alto - fora do budget de investimento"/>
    <s v=""/>
    <s v="12/02/2025 08:00"/>
    <x v="0"/>
    <s v="Fernanda Santiago"/>
    <x v="49"/>
    <s v=""/>
    <m/>
    <m/>
    <s v=""/>
    <s v=""/>
    <s v=""/>
    <s v=""/>
    <n v="1"/>
  </r>
  <r>
    <x v="1"/>
    <n v="233"/>
    <m/>
    <n v="1747"/>
    <s v=""/>
    <s v=""/>
    <x v="83"/>
    <m/>
    <s v=""/>
    <s v="Ad &amp; Ad Comercio de Importacao"/>
    <s v="14996930353"/>
    <s v=""/>
    <s v="daniel@adimportacao.com.br"/>
    <s v=""/>
    <s v=""/>
    <s v=""/>
    <s v=""/>
    <s v=""/>
    <s v=""/>
    <s v=""/>
    <s v=""/>
    <s v="Abcasa2025fevereiro"/>
    <s v="Pipeline de Vendas"/>
    <s v="Em Fechamento (100%)"/>
    <s v=""/>
    <m/>
    <n v="60534"/>
    <n v="27562"/>
    <n v="18"/>
    <s v="Junior Lopes"/>
    <d v="2025-02-13T00:00:00"/>
    <d v="1899-12-30T10:18:19"/>
    <s v=""/>
    <s v="Ganho"/>
    <d v="2025-03-03T00:00:00"/>
    <d v="1899-12-30T11:33:34"/>
    <s v=""/>
    <s v=""/>
    <s v=""/>
    <x v="41"/>
    <s v=""/>
    <x v="47"/>
    <s v=""/>
    <m/>
    <m/>
    <s v=""/>
    <s v=""/>
    <s v=""/>
    <s v=""/>
    <n v="1"/>
  </r>
  <r>
    <x v="1"/>
    <n v="234"/>
    <m/>
    <n v="1748"/>
    <s v=""/>
    <s v=""/>
    <x v="84"/>
    <n v="26981837000152"/>
    <s v=""/>
    <s v="Chamma Festas (PDV)"/>
    <s v="(61) 9145-0480"/>
    <s v=""/>
    <s v="chammasuprimentos@hotmail.com"/>
    <s v=""/>
    <s v=""/>
    <s v=""/>
    <s v="BRASILIA"/>
    <s v="DF"/>
    <s v=""/>
    <s v=""/>
    <s v=""/>
    <s v="Abcasa2025fevereiro"/>
    <s v="Pipeline de Vendas"/>
    <s v="Apresentar Proposta (50%)"/>
    <s v=""/>
    <m/>
    <n v="40440"/>
    <n v="340574"/>
    <n v="11"/>
    <s v="Junior Lopes"/>
    <d v="2025-02-13T00:00:00"/>
    <d v="1899-12-30T10:49:31"/>
    <s v=""/>
    <s v="Perdido"/>
    <d v="2025-02-24T00:00:00"/>
    <d v="1899-12-30T16:44:24"/>
    <s v="Preço muito alto - fora do budget de investimento"/>
    <s v="14:59, 14/02/2025 Robson Chamma Festa: Obrigado júnior_x000a_14:59, 17/02/2025 Robson Chamma Festa: Oi Junior, ficou bem fora do nosso orçamento. No momento não vamos levar adiante. Fico grato pela sua atenção."/>
    <s v=""/>
    <x v="41"/>
    <s v=""/>
    <x v="50"/>
    <s v=""/>
    <m/>
    <m/>
    <s v=""/>
    <s v=""/>
    <s v=""/>
    <s v=""/>
    <n v="1"/>
  </r>
  <r>
    <x v="1"/>
    <n v="235"/>
    <m/>
    <n v="1750"/>
    <s v=""/>
    <s v=""/>
    <x v="85"/>
    <n v="43530585000164"/>
    <s v=""/>
    <s v="P10 Importadora"/>
    <s v="(49) 8817-6299"/>
    <s v=""/>
    <s v="prioridade10e20financeiro@hotmail.com"/>
    <s v=""/>
    <s v=""/>
    <s v=""/>
    <s v="CUNHA PORA"/>
    <s v="SC"/>
    <s v=""/>
    <s v=""/>
    <s v=""/>
    <s v="Abcasa2025fevereiro"/>
    <s v="Pipeline de Vendas"/>
    <s v="Apresentar Proposta (50%)"/>
    <s v=""/>
    <m/>
    <n v="4663152"/>
    <n v="15528"/>
    <n v="11"/>
    <s v="Junior Lopes"/>
    <d v="2025-02-13T00:00:00"/>
    <d v="1899-12-30T11:07:42"/>
    <s v=""/>
    <s v="Perdido"/>
    <d v="2025-02-24T00:00:00"/>
    <d v="1899-12-30T17:13:56"/>
    <s v="Preço muito alto - fora do budget de investimento"/>
    <s v="Bom dia_x000a_Junior, achei o sistema completo, não foge do que outras empresas proporcionam no mercado… no entanto, achei o valor de implantação muito elevado, da próximo de 80 mil reais pra fazer a implantação de um sistema"/>
    <s v=""/>
    <x v="42"/>
    <s v=""/>
    <x v="50"/>
    <s v=""/>
    <m/>
    <m/>
    <s v=""/>
    <s v=""/>
    <s v=""/>
    <s v=""/>
    <n v="1"/>
  </r>
  <r>
    <x v="1"/>
    <n v="236"/>
    <m/>
    <n v="1754"/>
    <s v=""/>
    <s v=""/>
    <x v="86"/>
    <n v="43530585000164"/>
    <s v=""/>
    <s v="P10 IMPORTADORA"/>
    <s v="(49) 8817-6299"/>
    <s v=""/>
    <s v="prioridade10e20financeiro@hotmail.com"/>
    <s v=""/>
    <s v=""/>
    <s v=""/>
    <s v="CUNHA PORA"/>
    <s v="SC"/>
    <s v=""/>
    <s v=""/>
    <s v=""/>
    <s v="Abcasa2025fevereiro"/>
    <s v="Pipeline de Vendas"/>
    <s v="Apresentar Proposta (50%)"/>
    <s v=""/>
    <m/>
    <n v="23580"/>
    <n v="3060"/>
    <n v="11"/>
    <s v="Junior Lopes"/>
    <d v="2025-02-13T00:00:00"/>
    <d v="1899-12-30T11:14:38"/>
    <s v=""/>
    <s v="Perdido"/>
    <d v="2025-02-24T00:00:00"/>
    <d v="1899-12-30T17:14:25"/>
    <s v="Preço muito alto - fora do budget de investimento"/>
    <s v="Bom dia_x000a_Junior, achei o sistema completo, não foge do que outras empresas proporcionam no mercado… no entanto, achei o valor de implantação muito elevado, da próximo de 80 mil reais pra fazer a implantação de um sistema"/>
    <s v=""/>
    <x v="42"/>
    <s v=""/>
    <x v="50"/>
    <s v=""/>
    <m/>
    <m/>
    <s v=""/>
    <s v=""/>
    <s v=""/>
    <s v=""/>
    <n v="1"/>
  </r>
  <r>
    <x v="1"/>
    <n v="237"/>
    <m/>
    <n v="1758"/>
    <s v=""/>
    <s v=""/>
    <x v="87"/>
    <n v="12182313000197"/>
    <s v=""/>
    <s v="PLASBERG INDUSTRIA E COMERCIO"/>
    <s v="(75) 2102-2102 / (75) 2101-2101"/>
    <s v=""/>
    <s v="cadastro@asseplan.cnt.br"/>
    <s v=""/>
    <s v=""/>
    <s v=""/>
    <s v="Feira de Santana"/>
    <s v="BA"/>
    <s v="Feiras"/>
    <s v=""/>
    <s v=""/>
    <s v="Abcasa2025fevereiro"/>
    <s v="Pipeline de Vendas"/>
    <s v="Apresentar Proposta (50%)"/>
    <s v="6x sem juros (0/30/60/90/120/150...)"/>
    <m/>
    <n v="85500"/>
    <n v="769354"/>
    <n v="62"/>
    <s v="Junior Lopes"/>
    <d v="2025-02-13T00:00:00"/>
    <d v="1899-12-30T11:27:23"/>
    <s v=""/>
    <s v="Perdido"/>
    <d v="2025-04-16T00:00:00"/>
    <d v="1899-12-30T09:27:55"/>
    <s v="Projeto adiado / sem prazo definido"/>
    <s v="Breno não responde as mensagens ! estou fechando oportunidade mas continuo em busca da oportunidade"/>
    <s v=""/>
    <x v="43"/>
    <s v=""/>
    <x v="47"/>
    <s v=""/>
    <m/>
    <m/>
    <s v=""/>
    <s v=""/>
    <s v=""/>
    <s v=""/>
    <n v="1"/>
  </r>
  <r>
    <x v="0"/>
    <n v="242"/>
    <m/>
    <n v="1746"/>
    <s v=""/>
    <s v=""/>
    <x v="88"/>
    <n v="865166000170"/>
    <s v=""/>
    <s v="Renor Preto"/>
    <s v="(19) 99188-1436"/>
    <s v=""/>
    <s v="renor.preto@adere.com"/>
    <s v=""/>
    <s v=""/>
    <s v=""/>
    <s v="Juiz de Fora"/>
    <s v=""/>
    <s v="Site"/>
    <s v=""/>
    <s v=""/>
    <s v="MORNO;Solicita demo"/>
    <s v="Pipeline de Vendas"/>
    <s v="Em negociação (75%)"/>
    <s v=""/>
    <m/>
    <m/>
    <m/>
    <n v="25"/>
    <s v="Paulo Souza"/>
    <d v="2025-02-13T00:00:00"/>
    <d v="1899-12-30T17:39:49"/>
    <s v=""/>
    <s v="Perdido"/>
    <d v="2025-03-10T00:00:00"/>
    <d v="1899-12-30T17:37:28"/>
    <s v="Nossa solução não atende - falta funcionalidade"/>
    <s v=""/>
    <s v=""/>
    <x v="0"/>
    <s v="Paulo Souza"/>
    <x v="51"/>
    <s v=""/>
    <m/>
    <m/>
    <s v=""/>
    <s v=""/>
    <s v=""/>
    <s v=""/>
    <n v="1"/>
  </r>
  <r>
    <x v="0"/>
    <n v="245"/>
    <m/>
    <n v="1763"/>
    <s v=""/>
    <s v=""/>
    <x v="89"/>
    <n v="30164963000191"/>
    <s v=""/>
    <s v="FERNANDA ALVES"/>
    <s v="(11) 99763-3759"/>
    <s v=""/>
    <s v="fernanda@jlkplasticos.com.br"/>
    <s v=""/>
    <s v=""/>
    <s v=""/>
    <s v="São Paulo"/>
    <s v=""/>
    <s v="Site"/>
    <s v=""/>
    <s v=""/>
    <s v="Abcasa2025fevereiro;Solicita demo"/>
    <s v="Pipeline de Vendas"/>
    <s v="Em Fechamento (100%)"/>
    <s v=""/>
    <m/>
    <n v="46332"/>
    <n v="257546"/>
    <n v="35"/>
    <s v="Paulo Souza"/>
    <d v="2025-02-14T00:00:00"/>
    <d v="1899-12-30T11:03:12"/>
    <s v=""/>
    <s v="Ganho"/>
    <d v="2025-03-21T00:00:00"/>
    <d v="1899-12-30T14:50:46"/>
    <s v=""/>
    <s v=""/>
    <s v=""/>
    <x v="44"/>
    <s v="Paulo Souza"/>
    <x v="51"/>
    <s v=""/>
    <m/>
    <m/>
    <s v=""/>
    <s v=""/>
    <s v=""/>
    <s v=""/>
    <n v="1"/>
  </r>
  <r>
    <x v="0"/>
    <n v="246"/>
    <m/>
    <n v="1768"/>
    <s v=""/>
    <s v=""/>
    <x v="90"/>
    <m/>
    <s v=""/>
    <s v="Nacib"/>
    <s v="11951945790"/>
    <s v=""/>
    <s v="nassib.saleh58@gmail.com"/>
    <s v=""/>
    <s v=""/>
    <s v=""/>
    <s v=""/>
    <s v=""/>
    <s v=""/>
    <s v=""/>
    <s v=""/>
    <s v=""/>
    <s v="Pipeline de Vendas"/>
    <s v="Em Fechamento (100%)"/>
    <s v=""/>
    <m/>
    <n v="0"/>
    <n v="3062"/>
    <n v="0"/>
    <s v="Paulo Souza"/>
    <d v="2025-02-14T00:00:00"/>
    <d v="1899-12-30T11:22:59"/>
    <s v=""/>
    <s v="Ganho"/>
    <d v="2025-02-14T00:00:00"/>
    <d v="1899-12-30T11:27:19"/>
    <s v=""/>
    <s v=""/>
    <s v=""/>
    <x v="41"/>
    <s v="Paulo Souza"/>
    <x v="52"/>
    <s v=""/>
    <m/>
    <m/>
    <s v=""/>
    <s v=""/>
    <s v=""/>
    <s v=""/>
    <n v="1"/>
  </r>
  <r>
    <x v="0"/>
    <n v="248"/>
    <m/>
    <n v="1770"/>
    <s v=""/>
    <s v=""/>
    <x v="91"/>
    <m/>
    <s v=""/>
    <s v="Caetano"/>
    <s v="11941743784"/>
    <s v=""/>
    <s v="aflordk@gmail.com"/>
    <s v=""/>
    <s v=""/>
    <s v=""/>
    <s v=""/>
    <s v=""/>
    <s v="Feiras"/>
    <s v=""/>
    <s v=""/>
    <s v="Abcasa2025fevereiro"/>
    <s v="Pipeline de Vendas"/>
    <s v="Em negociação (75%)"/>
    <s v="6x sem juros (0/30/60/90/120/150...)"/>
    <m/>
    <n v="64600"/>
    <n v="199064"/>
    <n v="53"/>
    <s v="Paulo Souza"/>
    <d v="2025-02-14T00:00:00"/>
    <d v="1899-12-30T16:18:04"/>
    <s v=""/>
    <s v="Perdido"/>
    <d v="2025-04-08T00:00:00"/>
    <d v="1899-12-30T09:04:24"/>
    <s v="Não quer mudar a solução atual"/>
    <s v=""/>
    <s v=""/>
    <x v="42"/>
    <s v=""/>
    <x v="52"/>
    <s v=""/>
    <m/>
    <m/>
    <s v=""/>
    <s v=""/>
    <s v=""/>
    <s v=""/>
    <n v="1"/>
  </r>
  <r>
    <x v="0"/>
    <n v="249"/>
    <m/>
    <n v="1771"/>
    <s v=""/>
    <s v=""/>
    <x v="92"/>
    <m/>
    <s v=""/>
    <s v="Keila"/>
    <s v="11996600206"/>
    <s v=""/>
    <s v="null"/>
    <s v=""/>
    <s v=""/>
    <s v=""/>
    <s v=""/>
    <s v=""/>
    <s v="Indicação"/>
    <s v=""/>
    <s v=""/>
    <s v="Abcasa2025fevereiro"/>
    <s v="Pipeline de Vendas"/>
    <s v="Em negociação (75%)"/>
    <s v="6x sem juros (0/30/60/90/120/150...)"/>
    <m/>
    <n v="16000"/>
    <n v="3724"/>
    <n v="116"/>
    <s v="Paulo Souza"/>
    <d v="2025-02-14T00:00:00"/>
    <d v="1899-12-30T16:24:00"/>
    <s v=""/>
    <s v="Perdido"/>
    <d v="2025-06-10T00:00:00"/>
    <d v="1899-12-30T14:49:46"/>
    <s v="Não quer mudar a solução atual"/>
    <s v=""/>
    <s v=""/>
    <x v="45"/>
    <s v="Paulo Souza"/>
    <x v="53"/>
    <s v=""/>
    <m/>
    <m/>
    <s v=""/>
    <s v=""/>
    <s v=""/>
    <s v=""/>
    <n v="1"/>
  </r>
  <r>
    <x v="0"/>
    <n v="250"/>
    <m/>
    <n v="1772"/>
    <s v=""/>
    <s v=""/>
    <x v="93"/>
    <m/>
    <s v=""/>
    <s v="Fabio"/>
    <s v="11981721166"/>
    <s v=""/>
    <s v="null"/>
    <s v=""/>
    <s v=""/>
    <s v=""/>
    <s v=""/>
    <s v=""/>
    <s v="Feiras"/>
    <s v=""/>
    <s v=""/>
    <s v="30%;Abcasa2025fevereiro;Pausado"/>
    <s v="Pipeline de Vendas"/>
    <s v="Apresentar Solução (35%)"/>
    <s v="6x sem juros (0/30/60/90/120/150...)"/>
    <d v="2028-07-01T00:00:00"/>
    <m/>
    <m/>
    <n v="208"/>
    <s v="Paulo Souza"/>
    <d v="2025-02-14T00:00:00"/>
    <d v="1899-12-30T16:27:14"/>
    <s v=""/>
    <s v="Perdido"/>
    <d v="2025-09-10T00:00:00"/>
    <d v="1899-12-30T16:11:00"/>
    <s v="Projeto adiado / sem prazo definido"/>
    <s v=""/>
    <s v=""/>
    <x v="0"/>
    <s v="Paulo Souza"/>
    <x v="54"/>
    <s v=""/>
    <m/>
    <m/>
    <s v=""/>
    <s v=""/>
    <s v=""/>
    <s v=""/>
    <n v="1"/>
  </r>
  <r>
    <x v="0"/>
    <n v="253"/>
    <m/>
    <n v="1776"/>
    <s v=""/>
    <s v=""/>
    <x v="94"/>
    <m/>
    <s v=""/>
    <s v="Guga"/>
    <s v="31984513164"/>
    <s v=""/>
    <s v="null"/>
    <s v=""/>
    <s v=""/>
    <s v=""/>
    <s v=""/>
    <s v=""/>
    <s v="Feiras"/>
    <s v=""/>
    <s v=""/>
    <s v="Abcasa2025fevereiro;Pausado"/>
    <s v="Pipeline de Vendas"/>
    <s v="Em negociação (75%)"/>
    <s v="6x sem juros (0/30/60/90/120/150...)"/>
    <d v="2026-01-15T00:00:00"/>
    <n v="48000"/>
    <n v="1690959"/>
    <n v="299"/>
    <s v="Paulo Souza"/>
    <d v="2025-02-14T00:00:00"/>
    <d v="1899-12-30T17:28:04"/>
    <s v=""/>
    <s v="Perdido"/>
    <d v="2025-12-10T00:00:00"/>
    <d v="1899-12-30T17:09:31"/>
    <s v="Não quer mudar a solução atual"/>
    <s v=""/>
    <s v=""/>
    <x v="46"/>
    <s v="Paulo Souza"/>
    <x v="51"/>
    <s v=""/>
    <m/>
    <m/>
    <s v=""/>
    <s v=""/>
    <s v=""/>
    <s v=""/>
    <n v="1"/>
  </r>
  <r>
    <x v="0"/>
    <n v="254"/>
    <m/>
    <n v="1777"/>
    <s v=""/>
    <s v=""/>
    <x v="95"/>
    <m/>
    <s v=""/>
    <s v="Emilio"/>
    <s v="11947392525"/>
    <s v=""/>
    <s v="null"/>
    <s v=""/>
    <s v=""/>
    <s v=""/>
    <s v=""/>
    <s v=""/>
    <s v="Feiras"/>
    <s v=""/>
    <s v=""/>
    <s v="Abcasa2025fevereiro"/>
    <s v="Pipeline de Vendas"/>
    <s v="Qualificação de Vendas (SQL) (25%)"/>
    <s v="6x sem juros (0/30/60/90/120/150...)"/>
    <m/>
    <m/>
    <m/>
    <n v="40"/>
    <s v="Paulo Souza"/>
    <d v="2025-02-14T00:00:00"/>
    <d v="1899-12-30T17:35:16"/>
    <s v=""/>
    <s v="Perdido"/>
    <d v="2025-03-26T00:00:00"/>
    <d v="1899-12-30T17:30:46"/>
    <s v="Fora do porte mínimo (sem fit estrutural)"/>
    <s v=""/>
    <s v=""/>
    <x v="0"/>
    <s v=""/>
    <x v="51"/>
    <s v=""/>
    <m/>
    <m/>
    <s v=""/>
    <s v=""/>
    <s v=""/>
    <s v=""/>
    <n v="1"/>
  </r>
  <r>
    <x v="0"/>
    <n v="255"/>
    <m/>
    <n v="1778"/>
    <s v=""/>
    <s v=""/>
    <x v="96"/>
    <m/>
    <s v=""/>
    <s v="Tiago - Diretor da Empresa"/>
    <s v="54981340574"/>
    <s v=""/>
    <s v="null"/>
    <s v=""/>
    <s v=""/>
    <s v=""/>
    <s v=""/>
    <s v=""/>
    <s v="Feiras"/>
    <s v=""/>
    <s v=""/>
    <s v="Abcasa2025fevereiro"/>
    <s v="Pipeline de Vendas"/>
    <s v="Qualificação de Vendas (SQL) (25%)"/>
    <s v="6x sem juros (0/30/60/90/120/150...)"/>
    <m/>
    <m/>
    <m/>
    <n v="116"/>
    <s v="Paulo Souza"/>
    <d v="2025-02-14T00:00:00"/>
    <d v="1899-12-30T17:37:06"/>
    <s v=""/>
    <s v="Perdido"/>
    <d v="2025-06-10T00:00:00"/>
    <d v="1899-12-30T14:50:38"/>
    <s v="Projeto adiado / sem prazo definido"/>
    <s v=""/>
    <s v=""/>
    <x v="0"/>
    <s v=""/>
    <x v="54"/>
    <s v=""/>
    <m/>
    <m/>
    <s v=""/>
    <s v=""/>
    <s v=""/>
    <s v=""/>
    <n v="1"/>
  </r>
  <r>
    <x v="0"/>
    <n v="256"/>
    <m/>
    <n v="1781"/>
    <s v=""/>
    <s v=""/>
    <x v="97"/>
    <m/>
    <s v=""/>
    <s v="Wanessa"/>
    <s v="38998346343"/>
    <s v=""/>
    <s v="rh@xododeminasmoc.com.br"/>
    <s v=""/>
    <s v=""/>
    <s v=""/>
    <s v=""/>
    <s v=""/>
    <s v="Indicação"/>
    <s v=""/>
    <s v=""/>
    <s v=""/>
    <s v="Pipeline de Vendas"/>
    <s v="Apresentar Solução (35%)"/>
    <s v="6x sem juros (0/30/60/90/120/150...)"/>
    <m/>
    <m/>
    <m/>
    <n v="37"/>
    <s v="Paulo Souza"/>
    <d v="2025-02-17T00:00:00"/>
    <d v="1899-12-30T12:20:30"/>
    <s v=""/>
    <s v="Perdido"/>
    <d v="2025-03-26T00:00:00"/>
    <d v="1899-12-30T17:36:27"/>
    <s v="Não quer mudar a solução atual"/>
    <s v=""/>
    <s v=""/>
    <x v="47"/>
    <s v="Paulo Souza"/>
    <x v="54"/>
    <s v=""/>
    <m/>
    <m/>
    <s v=""/>
    <s v=""/>
    <s v=""/>
    <s v=""/>
    <n v="1"/>
  </r>
  <r>
    <x v="0"/>
    <n v="257"/>
    <m/>
    <n v="1780"/>
    <s v=""/>
    <s v=""/>
    <x v="98"/>
    <m/>
    <s v=""/>
    <s v="Waldemar"/>
    <s v="(43) 99141-6611"/>
    <s v=""/>
    <s v="ti@gelonisorvetes.com.br"/>
    <s v=""/>
    <s v=""/>
    <s v=""/>
    <s v="Flórida"/>
    <s v=""/>
    <s v="Site"/>
    <s v=""/>
    <s v=""/>
    <s v="Abcasa2025fevereiro;Contato;GELADO"/>
    <s v="Pipeline de Vendas"/>
    <s v="Em negociação (75%)"/>
    <s v="6x sem juros (0/30/60/90/120/150...)"/>
    <m/>
    <n v="1234935"/>
    <n v="833725"/>
    <n v="113"/>
    <s v="Paulo Souza"/>
    <d v="2025-02-17T00:00:00"/>
    <d v="1899-12-30T12:55:36"/>
    <s v=""/>
    <s v="Perdido"/>
    <d v="2025-06-10T00:00:00"/>
    <d v="1899-12-30T14:38:18"/>
    <s v="Fechou com o concorrente - preço"/>
    <s v=""/>
    <s v=""/>
    <x v="47"/>
    <s v="Paulo Souza"/>
    <x v="54"/>
    <s v=""/>
    <m/>
    <m/>
    <s v=""/>
    <s v=""/>
    <s v=""/>
    <s v=""/>
    <n v="1"/>
  </r>
  <r>
    <x v="0"/>
    <n v="258"/>
    <m/>
    <n v="1782"/>
    <s v=""/>
    <s v=""/>
    <x v="99"/>
    <m/>
    <s v=""/>
    <s v="Elton"/>
    <s v="73999081706"/>
    <s v=""/>
    <s v="frutyba.rh@hotmail.com"/>
    <s v=""/>
    <s v=""/>
    <s v=""/>
    <s v=""/>
    <s v=""/>
    <s v=""/>
    <s v=""/>
    <s v=""/>
    <s v="Abcasa2025fevereiro"/>
    <s v="Pipeline de Vendas"/>
    <s v="Em negociação (75%)"/>
    <s v=""/>
    <m/>
    <m/>
    <m/>
    <n v="21"/>
    <s v="Paulo Souza"/>
    <d v="2025-02-17T00:00:00"/>
    <d v="1899-12-30T12:57:36"/>
    <s v=""/>
    <s v="Perdido"/>
    <d v="2025-03-10T00:00:00"/>
    <d v="1899-12-30T17:40:22"/>
    <s v="Preço muito alto - fora do budget de investimento"/>
    <s v=""/>
    <s v=""/>
    <x v="47"/>
    <s v="Paulo Souza"/>
    <x v="54"/>
    <s v=""/>
    <m/>
    <m/>
    <s v=""/>
    <s v=""/>
    <s v=""/>
    <s v=""/>
    <n v="1"/>
  </r>
  <r>
    <x v="0"/>
    <n v="259"/>
    <m/>
    <n v="1783"/>
    <s v=""/>
    <s v=""/>
    <x v="100"/>
    <m/>
    <s v=""/>
    <s v="Jose e Felipe"/>
    <s v="11997681796"/>
    <s v=""/>
    <s v="null"/>
    <s v=""/>
    <s v=""/>
    <s v=""/>
    <s v=""/>
    <s v=""/>
    <s v="Feiras"/>
    <s v=""/>
    <s v=""/>
    <s v="Abup2025Fevereiro;Pausado"/>
    <s v="Pipeline de Vendas"/>
    <s v="Qualificação de Vendas (SQL) (25%)"/>
    <s v="6x sem juros (0/30/60/90/120/150...)"/>
    <m/>
    <m/>
    <m/>
    <n v="75"/>
    <s v="Paulo Souza"/>
    <d v="2025-02-17T00:00:00"/>
    <d v="1899-12-30T13:19:01"/>
    <s v=""/>
    <s v="Perdido"/>
    <d v="2025-05-03T00:00:00"/>
    <d v="1899-12-30T11:01:03"/>
    <s v="Projeto adiado / sem prazo definido"/>
    <s v=""/>
    <s v=""/>
    <x v="0"/>
    <s v="Paulo Souza"/>
    <x v="55"/>
    <s v=""/>
    <m/>
    <m/>
    <s v=""/>
    <s v=""/>
    <s v=""/>
    <s v=""/>
    <n v="1"/>
  </r>
  <r>
    <x v="0"/>
    <n v="260"/>
    <m/>
    <n v="1785"/>
    <s v=""/>
    <s v=""/>
    <x v="101"/>
    <m/>
    <s v=""/>
    <s v="Luis Felips"/>
    <s v="11964237222"/>
    <s v=""/>
    <s v="null"/>
    <s v=""/>
    <s v=""/>
    <s v=""/>
    <s v=""/>
    <s v=""/>
    <s v="Feiras"/>
    <s v=""/>
    <s v=""/>
    <s v="Abup2025Fevereiro"/>
    <s v="Pipeline de Vendas"/>
    <s v="Qualificação de Vendas (SQL) (25%)"/>
    <s v="6x sem juros (0/30/60/90/120/150...)"/>
    <m/>
    <m/>
    <m/>
    <n v="37"/>
    <s v="Paulo Souza"/>
    <d v="2025-02-17T00:00:00"/>
    <d v="1899-12-30T13:24:02"/>
    <s v=""/>
    <s v="Perdido"/>
    <d v="2025-03-26T00:00:00"/>
    <d v="1899-12-30T17:33:35"/>
    <s v="Preço muito alto - fora do budget de investimento"/>
    <s v=""/>
    <s v=""/>
    <x v="0"/>
    <s v="Paulo Souza"/>
    <x v="55"/>
    <s v=""/>
    <m/>
    <m/>
    <s v=""/>
    <s v=""/>
    <s v=""/>
    <s v=""/>
    <n v="1"/>
  </r>
  <r>
    <x v="1"/>
    <n v="261"/>
    <m/>
    <n v="1786"/>
    <s v=""/>
    <s v=""/>
    <x v="102"/>
    <m/>
    <s v=""/>
    <s v="Prioridade 10"/>
    <s v="49991999161"/>
    <s v=""/>
    <s v="prioridade10e20financeiro@hotmail.com"/>
    <s v=""/>
    <s v=""/>
    <s v=""/>
    <s v=""/>
    <s v=""/>
    <s v=""/>
    <s v=""/>
    <s v=""/>
    <s v="Abcasa2025fevereiro"/>
    <s v="Pipeline de Vendas"/>
    <s v="Apresentar Proposta (50%)"/>
    <s v=""/>
    <m/>
    <n v="1600"/>
    <n v="2101"/>
    <n v="7"/>
    <s v="Junior Lopes"/>
    <d v="2025-02-17T00:00:00"/>
    <d v="1899-12-30T14:58:43"/>
    <s v=""/>
    <s v="Perdido"/>
    <d v="2025-02-24T00:00:00"/>
    <d v="1899-12-30T17:14:55"/>
    <s v="Preço muito alto - fora do budget de investimento"/>
    <s v="Bom dia_x000a_Junior, achei o sistema completo, não foge do que outras empresas proporcionam no mercado… no entanto, achei o valor de implantação muito elevado, da próximo de 80 mil reais pra fazer a implantação de um sistema"/>
    <s v=""/>
    <x v="42"/>
    <s v=""/>
    <x v="50"/>
    <s v=""/>
    <m/>
    <m/>
    <s v=""/>
    <s v=""/>
    <s v=""/>
    <s v=""/>
    <n v="1"/>
  </r>
  <r>
    <x v="0"/>
    <n v="263"/>
    <m/>
    <n v="1790"/>
    <s v="Falei com a Suzana sobre a sequencia do projeto. Ela esta de férias e retorna na semana do dia 12/01e vamos retomar. _x000a_Ligar para Susana no dia 14/01._x000a_23/01 Fiz FUP com a Susana que estava de férias e retornou hoje. Combinamos de eu Enviar para ela o form para ela preencher e após fazer a proposta ._x000a_17/02 Por falta de interação e interesse, estou declinando o lead."/>
    <s v=""/>
    <x v="103"/>
    <m/>
    <s v=""/>
    <s v="Suzana"/>
    <s v="11914779683"/>
    <s v=""/>
    <s v="null"/>
    <s v=""/>
    <s v=""/>
    <s v=""/>
    <s v=""/>
    <s v=""/>
    <s v="Outbound"/>
    <s v=""/>
    <s v=""/>
    <s v="50%"/>
    <s v="Pipeline de Vendas"/>
    <s v="Apresentar Proposta (50%)"/>
    <s v="6x sem juros (0/30/60/90/120/150...)"/>
    <d v="2026-01-31T00:00:00"/>
    <m/>
    <m/>
    <n v="364"/>
    <s v="Paulo Souza"/>
    <d v="2025-02-18T00:00:00"/>
    <d v="1899-12-30T10:00:38"/>
    <s v=""/>
    <s v="Perdido"/>
    <d v="2026-02-17T00:00:00"/>
    <d v="1899-12-30T14:29:08"/>
    <s v="Projeto adiado / sem prazo definido"/>
    <s v="17/02 Por falta de interação e interesse, estou declinando o lead."/>
    <s v=""/>
    <x v="48"/>
    <s v="Paulo Souza"/>
    <x v="56"/>
    <s v="21/11/2025"/>
    <d v="2026-01-23T00:00:00"/>
    <n v="50"/>
    <s v=""/>
    <s v=""/>
    <s v=""/>
    <s v=""/>
    <n v="1"/>
  </r>
  <r>
    <x v="1"/>
    <n v="266"/>
    <m/>
    <n v="1866"/>
    <s v=""/>
    <s v=""/>
    <x v="104"/>
    <n v="8652421000109"/>
    <s v=""/>
    <s v="Berenardi &amp; Bernardi"/>
    <s v="(55) 3744-6412 / (55) 3744-3600"/>
    <s v=""/>
    <s v="pedidos@suifarma.com.br"/>
    <s v=""/>
    <s v=""/>
    <s v=""/>
    <s v="FREDERICO WESTPHALEN"/>
    <s v="RS"/>
    <s v=""/>
    <s v=""/>
    <s v=""/>
    <s v=""/>
    <s v="Pipeline de Vendas"/>
    <s v="Qualificação de Vendas (SQL) (25%)"/>
    <s v=""/>
    <m/>
    <n v="14400"/>
    <n v="18034"/>
    <n v="30"/>
    <s v="Junior Lopes"/>
    <d v="2025-02-19T00:00:00"/>
    <d v="1899-12-30T17:02:21"/>
    <s v=""/>
    <s v="Perdido"/>
    <d v="2025-03-21T00:00:00"/>
    <d v="1899-12-30T14:43:49"/>
    <s v="Não quer mudar a solução atual"/>
    <s v="cliente esfriou após envio da proposta"/>
    <s v=""/>
    <x v="49"/>
    <s v=""/>
    <x v="57"/>
    <s v=""/>
    <m/>
    <m/>
    <s v=""/>
    <s v=""/>
    <s v=""/>
    <s v=""/>
    <n v="1"/>
  </r>
  <r>
    <x v="1"/>
    <n v="267"/>
    <m/>
    <n v="1871"/>
    <s v=""/>
    <s v=""/>
    <x v="105"/>
    <n v="21969045000149"/>
    <s v=""/>
    <s v="Açomix"/>
    <s v="(18) 3638-8000"/>
    <s v=""/>
    <s v="paulo@acomix.net"/>
    <s v=""/>
    <s v=""/>
    <s v=""/>
    <s v="COROADOS"/>
    <s v="SP"/>
    <s v="Feiras"/>
    <s v=""/>
    <s v=""/>
    <s v="Abup2025Fevereiro"/>
    <s v="Pipeline de Vendas"/>
    <s v="Em Fechamento (100%)"/>
    <s v="6x sem juros (0/30/60/90/120/150...)"/>
    <m/>
    <n v="88000"/>
    <n v="450432"/>
    <n v="64"/>
    <s v="Junior Lopes"/>
    <d v="2025-02-19T00:00:00"/>
    <d v="1899-12-30T17:06:03"/>
    <s v=""/>
    <s v="Ganho"/>
    <d v="2025-04-24T00:00:00"/>
    <d v="1899-12-30T12:10:45"/>
    <s v=""/>
    <s v=""/>
    <s v=""/>
    <x v="50"/>
    <s v=""/>
    <x v="0"/>
    <s v=""/>
    <m/>
    <m/>
    <s v=""/>
    <s v=""/>
    <s v=""/>
    <s v=""/>
    <n v="1"/>
  </r>
  <r>
    <x v="1"/>
    <n v="268"/>
    <m/>
    <n v="1874"/>
    <s v=""/>
    <s v=""/>
    <x v="106"/>
    <n v="52556578000122"/>
    <s v=""/>
    <s v="Elgin S/A"/>
    <s v="(11) 3411-2010"/>
    <s v=""/>
    <s v="rogerio.machado@elgin.com.br"/>
    <s v=""/>
    <s v=""/>
    <s v=""/>
    <s v="MOGI DAS CRUZES"/>
    <s v="SP"/>
    <s v="Feiras"/>
    <s v=""/>
    <s v=""/>
    <s v="Abup2025Fevereiro"/>
    <s v="Pipeline de Vendas"/>
    <s v="Qualificação de Vendas (SQL) (25%)"/>
    <s v="6x sem juros (0/30/60/90/120/150...)"/>
    <m/>
    <m/>
    <m/>
    <n v="54"/>
    <s v="Junior Lopes"/>
    <d v="2025-02-20T00:00:00"/>
    <d v="1899-12-30T10:37:30"/>
    <s v=""/>
    <s v="Perdido"/>
    <d v="2025-04-15T00:00:00"/>
    <d v="1899-12-30T16:39:42"/>
    <s v="Projeto adiado / sem prazo definido"/>
    <s v="cliente não responde as mensagens continuarei a prospectar em paralelo"/>
    <s v=""/>
    <x v="0"/>
    <s v=""/>
    <x v="0"/>
    <s v=""/>
    <m/>
    <m/>
    <s v=""/>
    <s v=""/>
    <s v=""/>
    <s v=""/>
    <n v="1"/>
  </r>
  <r>
    <x v="1"/>
    <n v="270"/>
    <n v="167"/>
    <n v="1880"/>
    <s v=""/>
    <s v=""/>
    <x v="107"/>
    <n v="7973104000121"/>
    <s v="ELMO ATACADO"/>
    <s v="Fabio"/>
    <s v="47999949301"/>
    <s v=""/>
    <s v="joao@atacadoelmo.com.br"/>
    <s v=""/>
    <s v=""/>
    <s v=""/>
    <s v="Joinville"/>
    <s v="SC"/>
    <s v=""/>
    <s v=""/>
    <s v=""/>
    <s v=""/>
    <s v="Pipeline de Vendas"/>
    <s v="Em Fechamento (100%)"/>
    <s v=""/>
    <m/>
    <n v="0"/>
    <n v="49896"/>
    <n v="11"/>
    <s v="Junior Lopes"/>
    <d v="2025-02-20T00:00:00"/>
    <d v="1899-12-30T11:43:19"/>
    <s v=""/>
    <s v="Ganho"/>
    <d v="2025-03-03T00:00:00"/>
    <d v="1899-12-30T11:34:05"/>
    <s v=""/>
    <s v=""/>
    <s v=""/>
    <x v="50"/>
    <s v=""/>
    <x v="0"/>
    <s v=""/>
    <m/>
    <m/>
    <s v=""/>
    <s v=""/>
    <s v=""/>
    <s v=""/>
    <n v="1"/>
  </r>
  <r>
    <x v="1"/>
    <n v="272"/>
    <m/>
    <n v="1882"/>
    <s v=""/>
    <s v=""/>
    <x v="108"/>
    <m/>
    <s v=""/>
    <s v="123 util"/>
    <s v="31987570994"/>
    <s v=""/>
    <s v="123util@maxximusimportadora.com.br"/>
    <s v=""/>
    <s v=""/>
    <s v=""/>
    <s v=""/>
    <s v=""/>
    <s v="Feiras"/>
    <s v=""/>
    <s v=""/>
    <s v="Abcasa2025fevereiro"/>
    <s v="Pipeline de Vendas"/>
    <s v="Qualificação de Vendas (SQL) (25%)"/>
    <s v="6x sem juros (0/30/60/90/120/150...)"/>
    <m/>
    <m/>
    <m/>
    <n v="50"/>
    <s v="Junior Lopes"/>
    <d v="2025-02-24T00:00:00"/>
    <d v="1899-12-30T09:24:09"/>
    <s v=""/>
    <s v="Perdido"/>
    <d v="2025-04-15T00:00:00"/>
    <d v="1899-12-30T16:37:27"/>
    <s v="Projeto adiado / sem prazo definido"/>
    <s v="cliente não responde as mensagens , continuarei a prospectar em paralelo"/>
    <s v=""/>
    <x v="0"/>
    <s v=""/>
    <x v="44"/>
    <s v=""/>
    <m/>
    <m/>
    <s v=""/>
    <s v=""/>
    <s v=""/>
    <s v=""/>
    <n v="1"/>
  </r>
  <r>
    <x v="2"/>
    <n v="273"/>
    <m/>
    <n v="1883"/>
    <s v=""/>
    <s v=""/>
    <x v="109"/>
    <m/>
    <s v=""/>
    <s v="Ilan Couselo"/>
    <s v="11991554630"/>
    <s v=""/>
    <s v="ilan@couselo.com.br"/>
    <s v=""/>
    <s v=""/>
    <s v=""/>
    <s v=""/>
    <s v=""/>
    <s v="Feiras"/>
    <s v=""/>
    <s v=""/>
    <s v=""/>
    <s v="Pipeline de Vendas"/>
    <s v="Em Fechamento (100%)"/>
    <s v="6x sem juros (0/30/60/90/120/150...)"/>
    <m/>
    <n v="55440"/>
    <n v="560465"/>
    <n v="39"/>
    <s v="Rayssa Karapeticov"/>
    <d v="2025-02-24T00:00:00"/>
    <d v="1899-12-30T15:53:45"/>
    <s v=""/>
    <s v="Perdido"/>
    <d v="2025-04-04T00:00:00"/>
    <d v="1899-12-30T15:28:34"/>
    <s v="Preço muito alto - fora do budget de investimento"/>
    <s v=""/>
    <s v=""/>
    <x v="51"/>
    <s v="Rayssa Karapeticov"/>
    <x v="58"/>
    <s v="24/02/2025 00:00"/>
    <m/>
    <m/>
    <s v=""/>
    <s v=""/>
    <s v=""/>
    <s v=""/>
    <n v="1"/>
  </r>
  <r>
    <x v="1"/>
    <n v="277"/>
    <m/>
    <n v="1887"/>
    <s v=""/>
    <s v=""/>
    <x v="110"/>
    <m/>
    <s v=""/>
    <s v="Erca Aluminio"/>
    <s v="19997023116"/>
    <s v=""/>
    <s v="rafael@ercaaluminio.com.br"/>
    <s v=""/>
    <s v=""/>
    <s v=""/>
    <s v=""/>
    <s v=""/>
    <s v=""/>
    <s v=""/>
    <s v=""/>
    <s v=""/>
    <s v="Pipeline de Vendas"/>
    <s v="Em Fechamento (100%)"/>
    <s v=""/>
    <m/>
    <n v="0"/>
    <n v="3564"/>
    <n v="5"/>
    <s v="Junior Lopes"/>
    <d v="2025-02-26T00:00:00"/>
    <d v="1899-12-30T09:12:09"/>
    <s v=""/>
    <s v="Ganho"/>
    <d v="2025-03-03T00:00:00"/>
    <d v="1899-12-30T11:34:23"/>
    <s v=""/>
    <s v=""/>
    <s v=""/>
    <x v="52"/>
    <s v=""/>
    <x v="0"/>
    <s v=""/>
    <m/>
    <m/>
    <s v=""/>
    <s v=""/>
    <s v=""/>
    <s v=""/>
    <n v="1"/>
  </r>
  <r>
    <x v="1"/>
    <n v="279"/>
    <m/>
    <n v="1890"/>
    <s v=""/>
    <s v=""/>
    <x v="111"/>
    <m/>
    <s v=""/>
    <s v="Claudio"/>
    <s v="14997530243"/>
    <s v=""/>
    <s v="null"/>
    <s v=""/>
    <s v=""/>
    <s v=""/>
    <s v=""/>
    <s v=""/>
    <s v=""/>
    <s v=""/>
    <s v=""/>
    <s v=""/>
    <s v="Pipeline de Vendas"/>
    <s v="Qualificação de Vendas (SQL) (25%)"/>
    <s v=""/>
    <m/>
    <m/>
    <m/>
    <n v="2"/>
    <s v="Paulo Souza"/>
    <d v="2025-02-26T00:00:00"/>
    <d v="1899-12-30T17:34:49"/>
    <s v=""/>
    <s v="Perdido"/>
    <d v="2025-02-28T00:00:00"/>
    <d v="1899-12-30T17:04:22"/>
    <s v="Fora do porte mínimo (sem fit estrutural)"/>
    <s v="Representante"/>
    <s v=""/>
    <x v="0"/>
    <s v="Junior Lopes"/>
    <x v="0"/>
    <s v=""/>
    <m/>
    <m/>
    <s v=""/>
    <s v=""/>
    <s v=""/>
    <s v=""/>
    <n v="1"/>
  </r>
  <r>
    <x v="1"/>
    <n v="281"/>
    <m/>
    <n v="1892"/>
    <s v=""/>
    <s v=""/>
    <x v="112"/>
    <m/>
    <s v=""/>
    <s v="açomix soluções para o lar"/>
    <s v="17996266839"/>
    <s v=""/>
    <s v="fernando@acomix.net"/>
    <s v=""/>
    <s v=""/>
    <s v=""/>
    <s v=""/>
    <s v=""/>
    <s v="Feiras"/>
    <s v=""/>
    <s v=""/>
    <s v=""/>
    <s v="Pipeline de Vendas"/>
    <s v="Em Fechamento (100%)"/>
    <s v="6x sem juros (0/30/60/90/120/150...)"/>
    <m/>
    <n v="0"/>
    <n v="449635"/>
    <n v="55"/>
    <s v="Junior Lopes"/>
    <d v="2025-02-28T00:00:00"/>
    <d v="1899-12-30T10:13:32"/>
    <s v=""/>
    <s v="Ganho"/>
    <d v="2025-04-24T00:00:00"/>
    <d v="1899-12-30T12:11:29"/>
    <s v=""/>
    <s v=""/>
    <s v=""/>
    <x v="46"/>
    <s v=""/>
    <x v="59"/>
    <s v=""/>
    <m/>
    <m/>
    <s v=""/>
    <s v=""/>
    <s v=""/>
    <s v=""/>
    <n v="1"/>
  </r>
  <r>
    <x v="1"/>
    <n v="282"/>
    <m/>
    <n v="1894"/>
    <s v=""/>
    <s v=""/>
    <x v="113"/>
    <m/>
    <s v=""/>
    <s v="Plasberg"/>
    <s v="75981412000"/>
    <s v=""/>
    <s v="breno@plasberg.com.br"/>
    <s v=""/>
    <s v=""/>
    <s v=""/>
    <s v=""/>
    <s v=""/>
    <s v="Feiras"/>
    <s v=""/>
    <s v=""/>
    <s v=""/>
    <s v="Pipeline de Vendas"/>
    <s v="Apresentar Proposta (50%)"/>
    <s v="6x sem juros (0/30/60/90/120/150...)"/>
    <m/>
    <n v="1600"/>
    <n v="5"/>
    <n v="47"/>
    <s v="Junior Lopes"/>
    <d v="2025-02-28T00:00:00"/>
    <d v="1899-12-30T16:52:57"/>
    <s v=""/>
    <s v="Perdido"/>
    <d v="2025-04-16T00:00:00"/>
    <d v="1899-12-30T09:28:18"/>
    <s v="Projeto adiado / sem prazo definido"/>
    <s v="Breno não responde as mensagens ! estou fechando oportunidade mas continuo em busca da oportunidade"/>
    <s v=""/>
    <x v="43"/>
    <s v=""/>
    <x v="47"/>
    <s v=""/>
    <m/>
    <m/>
    <s v=""/>
    <s v=""/>
    <s v=""/>
    <s v=""/>
    <n v="1"/>
  </r>
  <r>
    <x v="2"/>
    <n v="283"/>
    <m/>
    <n v="1895"/>
    <s v=""/>
    <s v=""/>
    <x v="114"/>
    <n v="37075503000136"/>
    <s v=""/>
    <s v="Rafael"/>
    <s v="(48) 3380-3374"/>
    <s v=""/>
    <s v="pupiimports@gmail.com"/>
    <s v=""/>
    <s v=""/>
    <s v=""/>
    <s v="TIJUCAS"/>
    <s v="SC"/>
    <s v=""/>
    <s v=""/>
    <s v=""/>
    <s v=""/>
    <s v="Pipeline de Vendas"/>
    <s v="Em Fechamento (100%)"/>
    <s v=""/>
    <m/>
    <n v="63000"/>
    <n v="211328"/>
    <n v="20"/>
    <s v="Rayssa Karapeticov"/>
    <d v="2025-03-04T00:00:00"/>
    <d v="1899-12-30T09:43:38"/>
    <s v=""/>
    <s v="Ganho"/>
    <d v="2025-03-24T00:00:00"/>
    <d v="1899-12-30T19:14:21"/>
    <s v=""/>
    <s v=""/>
    <s v=""/>
    <x v="53"/>
    <s v="Rayssa Karapeticov"/>
    <x v="0"/>
    <s v=""/>
    <m/>
    <m/>
    <s v=""/>
    <s v=""/>
    <s v=""/>
    <s v=""/>
    <n v="1"/>
  </r>
  <r>
    <x v="2"/>
    <n v="284"/>
    <m/>
    <n v="1897"/>
    <s v=""/>
    <s v=""/>
    <x v="115"/>
    <n v="37075503000136"/>
    <s v=""/>
    <s v="Rafael"/>
    <s v="(48) 3380-3374"/>
    <s v=""/>
    <s v="pupiimports@gmail.com"/>
    <s v=""/>
    <s v=""/>
    <s v=""/>
    <s v="TIJUCAS"/>
    <s v="SC"/>
    <s v="Feiras"/>
    <s v=""/>
    <s v=""/>
    <s v=""/>
    <s v="Pipeline de Vendas"/>
    <s v="Em Fechamento (100%)"/>
    <s v=""/>
    <m/>
    <n v="1600"/>
    <n v="287073"/>
    <n v="22"/>
    <s v="Rayssa Karapeticov"/>
    <d v="2025-03-04T00:00:00"/>
    <d v="1899-12-30T15:18:52"/>
    <s v=""/>
    <s v="Ganho"/>
    <d v="2025-03-26T00:00:00"/>
    <d v="1899-12-30T10:41:15"/>
    <s v=""/>
    <s v=""/>
    <s v=""/>
    <x v="53"/>
    <s v="Rayssa Karapeticov"/>
    <x v="60"/>
    <s v=""/>
    <m/>
    <m/>
    <s v=""/>
    <s v=""/>
    <s v=""/>
    <s v=""/>
    <n v="1"/>
  </r>
  <r>
    <x v="2"/>
    <n v="286"/>
    <m/>
    <n v="1900"/>
    <s v=""/>
    <s v=""/>
    <x v="116"/>
    <n v="37075503000136"/>
    <s v=""/>
    <s v="Rafael"/>
    <s v="5196199231"/>
    <s v=""/>
    <s v="pupiimports@gmail.com"/>
    <s v=""/>
    <s v=""/>
    <s v=""/>
    <s v="TIJUCAS"/>
    <s v="SC"/>
    <s v="Outbound"/>
    <s v=""/>
    <s v=""/>
    <s v=""/>
    <s v="Pipeline de Vendas"/>
    <s v="Em negociação (75%)"/>
    <s v="6x sem juros (0/30/60/90/120/150...)"/>
    <m/>
    <n v="23580"/>
    <n v="1800"/>
    <n v="65"/>
    <s v="Rayssa Karapeticov"/>
    <d v="2025-03-10T00:00:00"/>
    <d v="1899-12-30T15:20:29"/>
    <s v=""/>
    <s v="Perdido"/>
    <d v="2025-05-14T00:00:00"/>
    <d v="1899-12-30T11:32:41"/>
    <s v="Não houve aprovação financeira"/>
    <s v=""/>
    <s v=""/>
    <x v="54"/>
    <s v="Rayssa Karapeticov"/>
    <x v="61"/>
    <s v=""/>
    <m/>
    <m/>
    <s v=""/>
    <s v=""/>
    <s v=""/>
    <s v=""/>
    <n v="1"/>
  </r>
  <r>
    <x v="0"/>
    <n v="287"/>
    <m/>
    <n v="1902"/>
    <s v=""/>
    <s v=""/>
    <x v="117"/>
    <n v="7764744000202"/>
    <s v=""/>
    <s v="Xeryus"/>
    <s v="11997802621"/>
    <s v=""/>
    <s v="jesica@xeryus.com.br"/>
    <s v=""/>
    <s v=""/>
    <s v=""/>
    <s v=""/>
    <s v=""/>
    <s v="Outbound"/>
    <s v=""/>
    <s v=""/>
    <s v="MORNO"/>
    <s v="Pipeline de Vendas"/>
    <s v="Em negociação (75%)"/>
    <s v="6x sem juros (0/30/60/90/120/150...)"/>
    <m/>
    <n v="16000"/>
    <n v="68607"/>
    <n v="54"/>
    <s v="Paulo Souza"/>
    <d v="2025-03-10T00:00:00"/>
    <d v="1899-12-30T16:44:02"/>
    <s v=""/>
    <s v="Perdido"/>
    <d v="2025-05-03T00:00:00"/>
    <d v="1899-12-30T10:37:26"/>
    <s v="Fechou com o concorrente - preço"/>
    <s v=""/>
    <s v=""/>
    <x v="55"/>
    <s v="Paulo Souza"/>
    <x v="62"/>
    <s v="11/03/2025 00:00"/>
    <m/>
    <m/>
    <s v=""/>
    <s v=""/>
    <s v=""/>
    <s v=""/>
    <n v="1"/>
  </r>
  <r>
    <x v="1"/>
    <n v="291"/>
    <m/>
    <n v="1904"/>
    <s v=""/>
    <s v=""/>
    <x v="118"/>
    <m/>
    <s v=""/>
    <s v="Ponto 10"/>
    <s v="7199841895"/>
    <s v=""/>
    <s v="gabriel@grupoponto10.com.br"/>
    <s v=""/>
    <s v=""/>
    <s v=""/>
    <s v=""/>
    <s v=""/>
    <s v="Parceiros"/>
    <s v=""/>
    <s v=""/>
    <s v=""/>
    <s v="Pipeline de Vendas"/>
    <s v="Em Fechamento (100%)"/>
    <s v="6x sem juros (0/30/60/90/120/150...)"/>
    <m/>
    <n v="12720"/>
    <n v="1764"/>
    <n v="47"/>
    <s v="Junior Lopes"/>
    <d v="2025-03-13T00:00:00"/>
    <d v="1899-12-30T14:19:18"/>
    <s v=""/>
    <s v="Ganho"/>
    <d v="2025-04-29T00:00:00"/>
    <d v="1899-12-30T14:35:30"/>
    <s v=""/>
    <s v=""/>
    <s v=""/>
    <x v="56"/>
    <s v=""/>
    <x v="63"/>
    <s v=""/>
    <m/>
    <m/>
    <s v=""/>
    <s v=""/>
    <s v=""/>
    <s v=""/>
    <n v="1"/>
  </r>
  <r>
    <x v="0"/>
    <n v="293"/>
    <m/>
    <n v="1907"/>
    <s v=""/>
    <s v=""/>
    <x v="119"/>
    <m/>
    <s v=""/>
    <s v="Rodrigo"/>
    <s v="(17) 99734-7687"/>
    <s v=""/>
    <s v="rodrigovaquerosilva@gmail.com"/>
    <s v=""/>
    <s v=""/>
    <s v=""/>
    <s v="Jales"/>
    <s v=""/>
    <s v="Site"/>
    <s v=""/>
    <s v=""/>
    <s v="Contato"/>
    <s v="Pipeline de Vendas"/>
    <s v="Apresentar Solução (35%)"/>
    <s v="6x sem juros (0/30/60/90/120/150...)"/>
    <m/>
    <m/>
    <m/>
    <n v="21"/>
    <s v="Paulo Souza"/>
    <d v="2025-03-17T00:00:00"/>
    <d v="1899-12-30T08:53:12"/>
    <s v=""/>
    <s v="Perdido"/>
    <d v="2025-04-07T00:00:00"/>
    <d v="1899-12-30T14:00:24"/>
    <s v="Não quer mudar a solução atual"/>
    <s v=""/>
    <s v=""/>
    <x v="57"/>
    <s v=""/>
    <x v="64"/>
    <s v=""/>
    <m/>
    <m/>
    <s v=""/>
    <s v=""/>
    <s v=""/>
    <s v=""/>
    <n v="1"/>
  </r>
  <r>
    <x v="0"/>
    <n v="294"/>
    <m/>
    <n v="1908"/>
    <s v=""/>
    <s v=""/>
    <x v="120"/>
    <m/>
    <s v=""/>
    <s v="Anne"/>
    <s v="31995069963"/>
    <s v=""/>
    <s v="null"/>
    <s v=""/>
    <s v=""/>
    <s v=""/>
    <s v=""/>
    <s v=""/>
    <s v="Inbound"/>
    <s v=""/>
    <s v=""/>
    <s v=""/>
    <s v="Pipeline de Vendas"/>
    <s v="Apresentar Solução (35%)"/>
    <s v="6x sem juros (0/30/60/90/120/150...)"/>
    <m/>
    <m/>
    <m/>
    <n v="21"/>
    <s v="Paulo Souza"/>
    <d v="2025-03-17T00:00:00"/>
    <d v="1899-12-30T08:58:27"/>
    <s v=""/>
    <s v="Perdido"/>
    <d v="2025-04-07T00:00:00"/>
    <d v="1899-12-30T11:48:49"/>
    <s v="Não quer mudar a solução atual"/>
    <s v=""/>
    <s v=""/>
    <x v="57"/>
    <s v="Paulo Souza"/>
    <x v="64"/>
    <s v=""/>
    <m/>
    <m/>
    <s v=""/>
    <s v=""/>
    <s v=""/>
    <s v=""/>
    <n v="1"/>
  </r>
  <r>
    <x v="1"/>
    <n v="295"/>
    <m/>
    <n v="1909"/>
    <s v=""/>
    <s v=""/>
    <x v="121"/>
    <m/>
    <s v=""/>
    <s v="GBL Import"/>
    <s v="21996127685"/>
    <s v=""/>
    <s v="gilberto@gblimport.com.br"/>
    <s v=""/>
    <s v=""/>
    <s v=""/>
    <s v=""/>
    <s v=""/>
    <s v="Indicação"/>
    <s v=""/>
    <s v=""/>
    <s v=""/>
    <s v="Pipeline de Vendas"/>
    <s v="Em negociação (75%)"/>
    <s v="6x sem juros (0/30/60/90/120/150...)"/>
    <m/>
    <n v="79920"/>
    <n v="33813"/>
    <n v="59"/>
    <s v="Junior Lopes"/>
    <d v="2025-03-17T00:00:00"/>
    <d v="1899-12-30T12:35:35"/>
    <s v=""/>
    <s v="Perdido"/>
    <d v="2025-05-15T00:00:00"/>
    <d v="1899-12-30T16:21:33"/>
    <s v="Projeto adiado / sem prazo definido"/>
    <s v="sem retorno do cliente"/>
    <s v=""/>
    <x v="58"/>
    <s v=""/>
    <x v="65"/>
    <s v=""/>
    <m/>
    <m/>
    <s v=""/>
    <s v=""/>
    <s v=""/>
    <s v=""/>
    <n v="1"/>
  </r>
  <r>
    <x v="1"/>
    <n v="298"/>
    <m/>
    <n v="1913"/>
    <s v=""/>
    <s v=""/>
    <x v="122"/>
    <m/>
    <s v=""/>
    <s v="GBL Import - Cloud"/>
    <s v="21996127685"/>
    <s v=""/>
    <s v="geraldolima@gblimport.com.br"/>
    <s v=""/>
    <s v=""/>
    <s v=""/>
    <s v=""/>
    <s v=""/>
    <s v="Indicação"/>
    <s v=""/>
    <s v=""/>
    <s v=""/>
    <s v="Pipeline de Vendas"/>
    <s v="Em negociação (75%)"/>
    <s v="6x sem juros (0/30/60/90/120/150...)"/>
    <m/>
    <n v="1600"/>
    <n v="3196"/>
    <n v="58"/>
    <s v="Junior Lopes"/>
    <d v="2025-03-18T00:00:00"/>
    <d v="1899-12-30T15:00:29"/>
    <s v=""/>
    <s v="Perdido"/>
    <d v="2025-05-15T00:00:00"/>
    <d v="1899-12-30T16:22:10"/>
    <s v="Projeto adiado / sem prazo definido"/>
    <s v="sem retorno do cliente"/>
    <s v=""/>
    <x v="58"/>
    <s v=""/>
    <x v="65"/>
    <s v=""/>
    <m/>
    <m/>
    <s v=""/>
    <s v=""/>
    <s v=""/>
    <s v=""/>
    <n v="1"/>
  </r>
  <r>
    <x v="1"/>
    <n v="301"/>
    <m/>
    <n v="1916"/>
    <s v=""/>
    <s v=""/>
    <x v="123"/>
    <m/>
    <s v=""/>
    <s v="Erca alumínio"/>
    <s v="19997023116"/>
    <s v=""/>
    <s v="rafael@ercaaluminio.com.br"/>
    <s v=""/>
    <s v=""/>
    <s v=""/>
    <s v=""/>
    <s v=""/>
    <s v="Outbound"/>
    <s v=""/>
    <s v=""/>
    <s v=""/>
    <s v="Pipeline de Vendas"/>
    <s v="Em Fechamento (100%)"/>
    <s v=""/>
    <m/>
    <n v="2339208"/>
    <n v="0"/>
    <n v="13"/>
    <s v="Junior Lopes"/>
    <d v="2025-03-20T00:00:00"/>
    <d v="1899-12-30T14:50:12"/>
    <s v=""/>
    <s v="Ganho"/>
    <d v="2025-04-02T00:00:00"/>
    <d v="1899-12-30T10:04:50"/>
    <s v=""/>
    <s v=""/>
    <s v=""/>
    <x v="59"/>
    <s v=""/>
    <x v="0"/>
    <s v=""/>
    <m/>
    <m/>
    <s v=""/>
    <s v=""/>
    <s v=""/>
    <s v=""/>
    <n v="1"/>
  </r>
  <r>
    <x v="1"/>
    <n v="303"/>
    <m/>
    <n v="1919"/>
    <s v=""/>
    <s v=""/>
    <x v="124"/>
    <m/>
    <s v=""/>
    <s v="Dayane"/>
    <s v="(62) 99360-9476"/>
    <s v=""/>
    <s v="dayane.tecelagemcastilho@gmail.com"/>
    <s v=""/>
    <s v=""/>
    <s v=""/>
    <s v="Goiânia"/>
    <s v=""/>
    <s v="Site"/>
    <s v=""/>
    <s v=""/>
    <s v="Solicita demo"/>
    <s v="Pipeline de Vendas"/>
    <s v="Em Fechamento (100%)"/>
    <s v="6x sem juros (0/30/60/90/120/150...)"/>
    <m/>
    <n v="583848"/>
    <n v="229112"/>
    <n v="57"/>
    <s v="Paulo Souza"/>
    <d v="2025-03-25T00:00:00"/>
    <d v="1899-12-30T09:13:21"/>
    <s v=""/>
    <s v="Ganho"/>
    <d v="2025-05-21T00:00:00"/>
    <d v="1899-12-30T09:01:18"/>
    <s v=""/>
    <s v=""/>
    <s v=""/>
    <x v="60"/>
    <s v=""/>
    <x v="66"/>
    <s v="28/03/2025"/>
    <m/>
    <m/>
    <s v=""/>
    <s v=""/>
    <s v=""/>
    <s v=""/>
    <n v="1"/>
  </r>
  <r>
    <x v="1"/>
    <n v="304"/>
    <m/>
    <n v="1922"/>
    <s v=""/>
    <s v=""/>
    <x v="125"/>
    <m/>
    <s v=""/>
    <s v="Erca Alumínio"/>
    <s v="19997023116"/>
    <s v=""/>
    <s v="rafael@ercaaluminio.com.br"/>
    <s v=""/>
    <s v=""/>
    <s v=""/>
    <s v=""/>
    <s v=""/>
    <s v=""/>
    <s v=""/>
    <s v=""/>
    <s v=""/>
    <s v="Pipeline de Vendas"/>
    <s v="Em Fechamento (100%)"/>
    <s v=""/>
    <m/>
    <n v="0"/>
    <n v="14256"/>
    <n v="0"/>
    <s v="Junior Lopes"/>
    <d v="2025-03-26T00:00:00"/>
    <d v="1899-12-30T12:26:05"/>
    <s v=""/>
    <s v="Ganho"/>
    <d v="2025-03-26T00:00:00"/>
    <d v="1899-12-30T12:28:36"/>
    <s v=""/>
    <s v=""/>
    <s v=""/>
    <x v="61"/>
    <s v=""/>
    <x v="0"/>
    <s v=""/>
    <m/>
    <m/>
    <s v=""/>
    <s v=""/>
    <s v=""/>
    <s v=""/>
    <n v="1"/>
  </r>
  <r>
    <x v="1"/>
    <n v="305"/>
    <m/>
    <n v="1923"/>
    <s v=""/>
    <s v=""/>
    <x v="126"/>
    <n v="49695060000165"/>
    <s v=""/>
    <s v="Sk Importacao e Exportacao"/>
    <s v="(11) 2171-0800"/>
    <s v=""/>
    <s v="legal@vrscontabil.com.br"/>
    <s v=""/>
    <s v=""/>
    <s v=""/>
    <s v="SAO PAULO"/>
    <s v="SP"/>
    <s v="Inbound"/>
    <s v=""/>
    <s v=""/>
    <s v=""/>
    <s v="Pipeline de Vendas"/>
    <s v="Apresentar Proposta (50%)"/>
    <s v="6x sem juros (0/30/60/90/120/150...)"/>
    <m/>
    <n v="64448"/>
    <n v="159326"/>
    <n v="50"/>
    <s v="Junior Lopes"/>
    <d v="2025-03-26T00:00:00"/>
    <d v="1899-12-30T12:54:52"/>
    <s v=""/>
    <s v="Perdido"/>
    <d v="2025-05-15T00:00:00"/>
    <d v="1899-12-30T15:25:04"/>
    <s v="Projeto adiado / sem prazo definido"/>
    <s v="14:31, 06/05/2025 Jamal: Tudo bem_x000a_14:34, 06/05/2025 Junior Lopes: por aqui td bem Jamal_x000a_14:35, 06/05/2025 Junior Lopes: sobre o Software Guarani, vamos dar sequencia ?_x000a_15:02, 06/05/2025 Jamal: Meu amigo pra ser sincero estou em mudanças e esta muita correria por aqui_x000a_15:02, 06/05/2025 Jamal: Mas depois vou estudar melhor sobre"/>
    <s v=""/>
    <x v="62"/>
    <s v=""/>
    <x v="67"/>
    <s v=""/>
    <m/>
    <m/>
    <s v=""/>
    <s v=""/>
    <s v=""/>
    <s v=""/>
    <n v="1"/>
  </r>
  <r>
    <x v="1"/>
    <n v="311"/>
    <m/>
    <n v="1942"/>
    <s v=""/>
    <s v=""/>
    <x v="127"/>
    <m/>
    <s v=""/>
    <s v="Tritec"/>
    <s v="47991900625"/>
    <s v=""/>
    <s v="gisele.ehlert@tritec.ind.com"/>
    <s v=""/>
    <s v=""/>
    <s v=""/>
    <s v=""/>
    <s v=""/>
    <s v=""/>
    <s v=""/>
    <s v=""/>
    <s v=""/>
    <s v="Pipeline de Vendas"/>
    <s v="Em Fechamento (100%)"/>
    <s v="4x sem juros (0/30/60/90)"/>
    <m/>
    <n v="16960"/>
    <n v="10810"/>
    <n v="43"/>
    <s v="Junior Lopes"/>
    <d v="2025-03-27T00:00:00"/>
    <d v="1899-12-30T12:48:43"/>
    <s v=""/>
    <s v="Ganho"/>
    <d v="2025-05-09T00:00:00"/>
    <d v="1899-12-30T12:02:54"/>
    <s v=""/>
    <s v=""/>
    <s v=""/>
    <x v="60"/>
    <s v=""/>
    <x v="66"/>
    <s v="24/04/2025"/>
    <m/>
    <m/>
    <s v=""/>
    <s v=""/>
    <s v=""/>
    <s v=""/>
    <n v="1"/>
  </r>
  <r>
    <x v="0"/>
    <n v="313"/>
    <m/>
    <n v="1944"/>
    <s v=""/>
    <s v=""/>
    <x v="128"/>
    <n v="1787082000129"/>
    <s v=""/>
    <s v="Marcos"/>
    <s v="(11) 99755-7094"/>
    <s v=""/>
    <s v="contato@styroform.com.br"/>
    <s v=""/>
    <s v=""/>
    <s v=""/>
    <s v=""/>
    <s v=""/>
    <s v="Indicação"/>
    <s v=""/>
    <s v=""/>
    <s v="MORNO"/>
    <s v="Pipeline de Vendas"/>
    <s v="Em Fechamento (100%)"/>
    <s v="6x sem juros (0/30/60/90/120/150...)"/>
    <d v="2028-05-31T00:00:00"/>
    <n v="51200"/>
    <n v="42262"/>
    <n v="75"/>
    <s v="Paulo Souza"/>
    <d v="2025-03-27T00:00:00"/>
    <d v="1899-12-30T15:59:16"/>
    <s v=""/>
    <s v="Perdido"/>
    <d v="2025-06-10T00:00:00"/>
    <d v="1899-12-30T12:16:08"/>
    <s v="Preço muito alto - fora do budget de investimento"/>
    <s v=""/>
    <s v=""/>
    <x v="45"/>
    <s v="Paulo Souza"/>
    <x v="68"/>
    <s v=""/>
    <m/>
    <m/>
    <s v=""/>
    <s v=""/>
    <s v=""/>
    <s v=""/>
    <n v="1"/>
  </r>
  <r>
    <x v="0"/>
    <n v="314"/>
    <m/>
    <n v="1948"/>
    <s v=""/>
    <s v=""/>
    <x v="129"/>
    <m/>
    <s v=""/>
    <s v="Claudio"/>
    <s v="12991051939"/>
    <s v=""/>
    <s v="null"/>
    <s v=""/>
    <s v=""/>
    <s v=""/>
    <s v=""/>
    <s v=""/>
    <s v=""/>
    <s v=""/>
    <s v=""/>
    <s v=""/>
    <s v="Pipeline de Vendas"/>
    <s v="Qualificação de Vendas (SQL) (25%)"/>
    <s v=""/>
    <m/>
    <m/>
    <m/>
    <n v="10"/>
    <s v="Paulo Souza"/>
    <d v="2025-03-28T00:00:00"/>
    <d v="1899-12-30T11:11:42"/>
    <s v=""/>
    <s v="Perdido"/>
    <d v="2025-04-07T00:00:00"/>
    <d v="1899-12-30T14:36:03"/>
    <s v="Fora do porte mínimo (sem fit estrutural)"/>
    <s v=""/>
    <s v=""/>
    <x v="0"/>
    <s v="Paulo Souza"/>
    <x v="69"/>
    <s v=""/>
    <m/>
    <m/>
    <s v=""/>
    <s v=""/>
    <s v=""/>
    <s v=""/>
    <n v="1"/>
  </r>
  <r>
    <x v="1"/>
    <n v="315"/>
    <m/>
    <n v="1949"/>
    <s v=""/>
    <s v=""/>
    <x v="130"/>
    <m/>
    <s v=""/>
    <s v="Tecelagem Castitho - Cloud"/>
    <s v="62993609476"/>
    <s v=""/>
    <s v="dayane.tecelagemcastilho@gmail.com"/>
    <s v=""/>
    <s v=""/>
    <s v=""/>
    <s v=""/>
    <s v=""/>
    <s v=""/>
    <s v=""/>
    <s v=""/>
    <s v=""/>
    <s v="Pipeline de Vendas"/>
    <s v="Em Fechamento (100%)"/>
    <s v="10x sem juros (0/30/60/90/120/150...)"/>
    <m/>
    <n v="1600"/>
    <n v="180443"/>
    <n v="54"/>
    <s v="Junior Lopes"/>
    <d v="2025-03-28T00:00:00"/>
    <d v="1899-12-30T11:49:45"/>
    <s v=""/>
    <s v="Ganho"/>
    <d v="2025-05-21T00:00:00"/>
    <d v="1899-12-30T09:02:37"/>
    <s v=""/>
    <s v=""/>
    <s v=""/>
    <x v="60"/>
    <s v=""/>
    <x v="66"/>
    <s v=""/>
    <m/>
    <m/>
    <s v=""/>
    <s v=""/>
    <s v=""/>
    <s v=""/>
    <n v="1"/>
  </r>
  <r>
    <x v="1"/>
    <n v="316"/>
    <m/>
    <n v="1950"/>
    <s v=""/>
    <s v=""/>
    <x v="131"/>
    <n v="49695060000165"/>
    <s v=""/>
    <s v="SK Importação - Cloud"/>
    <s v="(11) 2171-0800"/>
    <s v=""/>
    <s v="legal@vrscontabil.com.br"/>
    <s v=""/>
    <s v=""/>
    <s v=""/>
    <s v="SAO PAULO"/>
    <s v="SP"/>
    <s v=""/>
    <s v=""/>
    <s v=""/>
    <s v=""/>
    <s v="Pipeline de Vendas"/>
    <s v="Apresentar Proposta (50%)"/>
    <s v=""/>
    <m/>
    <n v="1600"/>
    <n v="2178"/>
    <n v="48"/>
    <s v="Junior Lopes"/>
    <d v="2025-03-28T00:00:00"/>
    <d v="1899-12-30T15:06:00"/>
    <s v=""/>
    <s v="Perdido"/>
    <d v="2025-05-15T00:00:00"/>
    <d v="1899-12-30T15:26:40"/>
    <s v="Projeto adiado / sem prazo definido"/>
    <s v="14:31, 06/05/2025 Jamal: Tudo bem_x000a_14:34, 06/05/2025 Junior Lopes: por aqui td bem Jamal_x000a_14:35, 06/05/2025 Junior Lopes: sobre o Software Guarani, vamos dar sequencia ?_x000a_15:02, 06/05/2025 Jamal: Meu amigo pra ser sincero estou em mudanças e esta muita correria por aqui_x000a_15:02, 06/05/2025 Jamal: Mas depois vou estudar melhor sobre"/>
    <s v="26/03/2025"/>
    <x v="61"/>
    <s v=""/>
    <x v="67"/>
    <s v=""/>
    <m/>
    <m/>
    <s v=""/>
    <s v=""/>
    <s v=""/>
    <s v=""/>
    <n v="1"/>
  </r>
  <r>
    <x v="1"/>
    <n v="317"/>
    <m/>
    <n v="1952"/>
    <s v=""/>
    <s v=""/>
    <x v="132"/>
    <n v="8652421000109"/>
    <s v=""/>
    <s v="Comércio de prod. vet. bernardi e bernardi"/>
    <s v="(55) 3744-6412"/>
    <s v=""/>
    <s v="pedidos@suifarma.com.br"/>
    <s v=""/>
    <s v=""/>
    <s v=""/>
    <s v="FREDERICO WESTPHALEN"/>
    <s v="RS"/>
    <s v=""/>
    <s v=""/>
    <s v=""/>
    <s v=""/>
    <s v="Pipeline de Vendas"/>
    <s v="Em negociação (75%)"/>
    <s v=""/>
    <m/>
    <n v="74860"/>
    <n v="641932"/>
    <n v="48"/>
    <s v="Junior Lopes"/>
    <d v="2025-03-28T00:00:00"/>
    <d v="1899-12-30T15:37:47"/>
    <s v=""/>
    <s v="Perdido"/>
    <d v="2025-05-15T00:00:00"/>
    <d v="1899-12-30T11:35:21"/>
    <s v="Projeto adiado / sem prazo definido"/>
    <s v="cliente ainda não definiu _x000a_estou baixando oportunidade mas manterei contato via WhatsApp"/>
    <s v=""/>
    <x v="60"/>
    <s v=""/>
    <x v="70"/>
    <s v=""/>
    <m/>
    <m/>
    <s v=""/>
    <s v=""/>
    <s v=""/>
    <s v=""/>
    <n v="1"/>
  </r>
  <r>
    <x v="1"/>
    <n v="318"/>
    <m/>
    <n v="1957"/>
    <s v=""/>
    <s v=""/>
    <x v="133"/>
    <n v="8652421000109"/>
    <s v=""/>
    <s v="Comércio Bernardi e Bernardi - Cloud"/>
    <s v="43991395000"/>
    <s v=""/>
    <s v="pedidos@suifarma.com.br"/>
    <s v=""/>
    <s v=""/>
    <s v=""/>
    <s v=""/>
    <s v=""/>
    <s v=""/>
    <s v=""/>
    <s v=""/>
    <s v=""/>
    <s v="Pipeline de Vendas"/>
    <s v="Apresentar Proposta (50%)"/>
    <s v=""/>
    <m/>
    <m/>
    <m/>
    <n v="19"/>
    <s v="Junior Lopes"/>
    <d v="2025-03-28T00:00:00"/>
    <d v="1899-12-30T15:40:43"/>
    <s v=""/>
    <s v="Perdido"/>
    <d v="2025-04-16T00:00:00"/>
    <d v="1899-12-30T09:39:03"/>
    <s v="Projeto adiado / sem prazo definido"/>
    <s v="cadastro em duplicidade"/>
    <s v=""/>
    <x v="60"/>
    <s v=""/>
    <x v="70"/>
    <s v=""/>
    <m/>
    <m/>
    <s v=""/>
    <s v=""/>
    <s v=""/>
    <s v=""/>
    <n v="1"/>
  </r>
  <r>
    <x v="1"/>
    <n v="319"/>
    <m/>
    <n v="1958"/>
    <s v=""/>
    <s v=""/>
    <x v="134"/>
    <m/>
    <s v=""/>
    <s v="culturama - Horas"/>
    <s v="54996596274"/>
    <s v=""/>
    <s v="vinicius.mathyas@culturama.com.br"/>
    <s v=""/>
    <s v=""/>
    <s v=""/>
    <s v=""/>
    <s v=""/>
    <s v=""/>
    <s v=""/>
    <s v=""/>
    <s v=""/>
    <s v="Pipeline de Vendas"/>
    <s v="Em Fechamento (100%)"/>
    <s v=""/>
    <m/>
    <n v="1760013"/>
    <n v="0"/>
    <n v="0"/>
    <s v="Junior Lopes"/>
    <d v="2025-03-31T00:00:00"/>
    <d v="1899-12-30T11:20:59"/>
    <s v=""/>
    <s v="Ganho"/>
    <d v="2025-03-31T00:00:00"/>
    <d v="1899-12-30T11:36:21"/>
    <s v=""/>
    <s v=""/>
    <s v=""/>
    <x v="56"/>
    <s v=""/>
    <x v="0"/>
    <s v=""/>
    <m/>
    <m/>
    <s v=""/>
    <s v=""/>
    <s v=""/>
    <s v=""/>
    <n v="1"/>
  </r>
  <r>
    <x v="1"/>
    <n v="321"/>
    <m/>
    <n v="1961"/>
    <s v=""/>
    <s v=""/>
    <x v="133"/>
    <m/>
    <s v=""/>
    <s v="Comércio Bernardi e Bernardi - Cloud"/>
    <s v="5537446412"/>
    <s v=""/>
    <s v="pedidos@suifarma.com.br"/>
    <s v=""/>
    <s v=""/>
    <s v=""/>
    <s v=""/>
    <s v=""/>
    <s v=""/>
    <s v=""/>
    <s v=""/>
    <s v=""/>
    <s v="Pipeline de Vendas"/>
    <s v="Em negociação (75%)"/>
    <s v=""/>
    <m/>
    <n v="1600"/>
    <n v="462522"/>
    <n v="45"/>
    <s v="Junior Lopes"/>
    <d v="2025-03-31T00:00:00"/>
    <d v="1899-12-30T15:10:22"/>
    <s v=""/>
    <s v="Perdido"/>
    <d v="2025-05-15T00:00:00"/>
    <d v="1899-12-30T11:36:48"/>
    <s v="Projeto adiado / sem prazo definido"/>
    <s v="cliente ainda não definiu _x000a_estou baixando oportunidade mas manterei contato via WhatsApp"/>
    <s v=""/>
    <x v="60"/>
    <s v=""/>
    <x v="70"/>
    <s v=""/>
    <m/>
    <m/>
    <s v=""/>
    <s v=""/>
    <s v=""/>
    <s v=""/>
    <n v="1"/>
  </r>
  <r>
    <x v="1"/>
    <n v="322"/>
    <m/>
    <n v="1962"/>
    <s v=""/>
    <s v=""/>
    <x v="135"/>
    <m/>
    <s v=""/>
    <s v="GB . Importadora - XML"/>
    <s v="19993040768"/>
    <s v=""/>
    <s v="pehpbroglio@gmail.com"/>
    <s v=""/>
    <s v=""/>
    <s v=""/>
    <s v=""/>
    <s v=""/>
    <s v=""/>
    <s v=""/>
    <s v=""/>
    <s v=""/>
    <s v="Pipeline de Vendas"/>
    <s v="Em Fechamento (100%)"/>
    <s v=""/>
    <m/>
    <n v="0"/>
    <n v="30002"/>
    <n v="24"/>
    <s v="Junior Lopes"/>
    <d v="2025-03-31T00:00:00"/>
    <d v="1899-12-30T16:37:55"/>
    <s v=""/>
    <s v="Ganho"/>
    <d v="2025-04-24T00:00:00"/>
    <d v="1899-12-30T12:03:46"/>
    <s v=""/>
    <s v=""/>
    <s v=""/>
    <x v="60"/>
    <s v=""/>
    <x v="0"/>
    <s v=""/>
    <m/>
    <m/>
    <s v=""/>
    <s v=""/>
    <s v=""/>
    <s v=""/>
    <n v="1"/>
  </r>
  <r>
    <x v="1"/>
    <n v="323"/>
    <m/>
    <n v="1963"/>
    <s v=""/>
    <s v=""/>
    <x v="136"/>
    <m/>
    <s v=""/>
    <s v="ARK Brasil"/>
    <s v="21964397621"/>
    <s v=""/>
    <s v="luana.dale@arkbrasil.com.br"/>
    <s v=""/>
    <s v=""/>
    <s v=""/>
    <s v=""/>
    <s v=""/>
    <s v=""/>
    <s v=""/>
    <s v=""/>
    <s v=""/>
    <s v="Pipeline de Vendas"/>
    <s v="Apresentar Proposta (50%)"/>
    <s v=""/>
    <m/>
    <n v="16960"/>
    <n v="1980"/>
    <n v="64"/>
    <s v="Junior Lopes"/>
    <d v="2025-03-31T00:00:00"/>
    <d v="1899-12-30T16:49:47"/>
    <s v=""/>
    <s v="Perdido"/>
    <d v="2025-06-03T00:00:00"/>
    <d v="1899-12-30T11:06:14"/>
    <s v="Não quer mudar a solução atual"/>
    <s v="estou mantendo contato para força de vendas"/>
    <s v=""/>
    <x v="60"/>
    <s v=""/>
    <x v="71"/>
    <s v=""/>
    <m/>
    <m/>
    <s v=""/>
    <s v=""/>
    <s v=""/>
    <s v=""/>
    <n v="1"/>
  </r>
  <r>
    <x v="1"/>
    <n v="328"/>
    <m/>
    <n v="1970"/>
    <s v=""/>
    <s v=""/>
    <x v="137"/>
    <m/>
    <s v=""/>
    <s v="Casa Ambiente"/>
    <s v="11983264135"/>
    <s v=""/>
    <s v="contato@casaambienteud.com.br"/>
    <s v=""/>
    <s v=""/>
    <s v=""/>
    <s v=""/>
    <s v=""/>
    <s v=""/>
    <s v=""/>
    <s v=""/>
    <s v=""/>
    <s v="Pipeline de Vendas"/>
    <s v="Qualificação de Vendas (SQL) (25%)"/>
    <s v=""/>
    <m/>
    <m/>
    <m/>
    <n v="71"/>
    <s v="Junior Lopes"/>
    <d v="2025-04-01T00:00:00"/>
    <d v="1899-12-30T15:57:21"/>
    <s v=""/>
    <s v="Perdido"/>
    <d v="2025-06-11T00:00:00"/>
    <d v="1899-12-30T14:35:24"/>
    <s v="Projeto adiado / sem prazo definido"/>
    <s v="sem resposta ao contato"/>
    <s v="09/04/2025"/>
    <x v="0"/>
    <s v=""/>
    <x v="0"/>
    <s v=""/>
    <m/>
    <m/>
    <s v=""/>
    <s v=""/>
    <s v=""/>
    <s v=""/>
    <n v="1"/>
  </r>
  <r>
    <x v="1"/>
    <n v="333"/>
    <m/>
    <n v="1977"/>
    <s v=""/>
    <s v=""/>
    <x v="138"/>
    <n v="32921219000110"/>
    <s v=""/>
    <s v="MDL Import"/>
    <s v="11910695515"/>
    <s v=""/>
    <s v="janaina@mdlimport.com.br"/>
    <s v=""/>
    <s v=""/>
    <s v=""/>
    <s v=""/>
    <s v=""/>
    <s v=""/>
    <s v=""/>
    <s v=""/>
    <s v="80%"/>
    <s v="Pipeline de Vendas"/>
    <s v="Em negociação (75%)"/>
    <s v=""/>
    <m/>
    <n v="69112"/>
    <n v="318388"/>
    <n v="88"/>
    <s v="Junior Lopes"/>
    <d v="2025-04-03T00:00:00"/>
    <d v="1899-12-30T15:52:15"/>
    <s v=""/>
    <s v="Perdido"/>
    <d v="2025-06-30T00:00:00"/>
    <d v="1899-12-30T15:11:40"/>
    <s v="Não houve aprovação financeira"/>
    <s v="integração com WMS inviabilizou o projeto"/>
    <s v=""/>
    <x v="63"/>
    <s v="Junior Lopes"/>
    <x v="72"/>
    <s v="15/04/2025"/>
    <m/>
    <m/>
    <s v=""/>
    <s v=""/>
    <s v=""/>
    <s v=""/>
    <n v="1"/>
  </r>
  <r>
    <x v="2"/>
    <n v="334"/>
    <m/>
    <n v="1978"/>
    <s v=""/>
    <s v=""/>
    <x v="139"/>
    <n v="55940574000131"/>
    <s v=""/>
    <s v="Herbert Felipe Monteiro"/>
    <s v="16994380062"/>
    <s v=""/>
    <s v="felipe.monteiro@pimpinella.com.br"/>
    <s v=""/>
    <s v=""/>
    <s v=""/>
    <s v=""/>
    <s v=""/>
    <s v="Indicação"/>
    <s v=""/>
    <s v=""/>
    <s v="80%"/>
    <s v="Pipeline de Vendas"/>
    <s v="Em negociação (75%)"/>
    <s v="10x sem juros (0/30/60/90/120/150...)"/>
    <d v="2026-01-31T00:00:00"/>
    <m/>
    <m/>
    <n v="228"/>
    <s v="Rayssa Karapeticov"/>
    <d v="2025-04-04T00:00:00"/>
    <d v="1899-12-30T15:30:02"/>
    <s v=""/>
    <s v="Perdido"/>
    <d v="2025-11-18T00:00:00"/>
    <d v="1899-12-30T09:22:52"/>
    <s v="Projeto adiado / sem prazo definido"/>
    <s v=""/>
    <s v=""/>
    <x v="64"/>
    <s v="Rayssa Karapeticov"/>
    <x v="73"/>
    <s v="16/04/2025"/>
    <m/>
    <m/>
    <s v=""/>
    <s v=""/>
    <s v=""/>
    <s v=""/>
    <n v="1"/>
  </r>
  <r>
    <x v="1"/>
    <n v="336"/>
    <m/>
    <n v="1980"/>
    <s v=""/>
    <s v=""/>
    <x v="140"/>
    <n v="56262451000151"/>
    <s v=""/>
    <s v="Mais Barato Brinquedos"/>
    <s v="(11) 2492-2763"/>
    <s v=""/>
    <s v="fbastosauditores@terra.com.br"/>
    <s v=""/>
    <s v=""/>
    <s v=""/>
    <s v="GUARULHOS"/>
    <s v="SP"/>
    <s v=""/>
    <s v=""/>
    <s v=""/>
    <s v=""/>
    <s v="Pipeline de Vendas"/>
    <s v="Em negociação (75%)"/>
    <s v=""/>
    <m/>
    <n v="110486"/>
    <n v="704412"/>
    <n v="16"/>
    <s v="Junior Lopes"/>
    <d v="2025-04-07T00:00:00"/>
    <d v="1899-12-30T10:11:44"/>
    <s v=""/>
    <s v="Perdido"/>
    <d v="2025-04-23T00:00:00"/>
    <d v="1899-12-30T15:03:14"/>
    <s v="Não houve aprovação financeira"/>
    <s v="Após envio da proposta comercial, não obtive mais retorno do Kaique, estou declinando a oportunidade mas continuarei tentando contato"/>
    <s v="10/04/2025"/>
    <x v="65"/>
    <s v=""/>
    <x v="0"/>
    <s v=""/>
    <m/>
    <m/>
    <s v=""/>
    <s v=""/>
    <s v=""/>
    <s v=""/>
    <n v="1"/>
  </r>
  <r>
    <x v="0"/>
    <n v="338"/>
    <m/>
    <n v="1983"/>
    <s v=""/>
    <s v=""/>
    <x v="141"/>
    <n v="750764000102"/>
    <s v=""/>
    <s v="Adavilson"/>
    <s v="4834332503"/>
    <s v=""/>
    <s v="adavilson@bruver.com.br"/>
    <s v=""/>
    <s v=""/>
    <s v=""/>
    <s v=""/>
    <s v=""/>
    <s v=""/>
    <s v=""/>
    <s v=""/>
    <s v=""/>
    <s v="Pipeline de Vendas"/>
    <s v="Em negociação (75%)"/>
    <s v=""/>
    <m/>
    <n v="50000"/>
    <n v="30502"/>
    <n v="26"/>
    <s v="Paulo Souza"/>
    <d v="2025-04-07T00:00:00"/>
    <d v="1899-12-30T14:24:21"/>
    <s v=""/>
    <s v="Perdido"/>
    <d v="2025-05-03T00:00:00"/>
    <d v="1899-12-30T10:41:00"/>
    <s v="Preço muito alto - fora do budget de investimento"/>
    <s v=""/>
    <s v=""/>
    <x v="66"/>
    <s v="Paulo Souza"/>
    <x v="74"/>
    <s v=""/>
    <m/>
    <m/>
    <s v=""/>
    <s v=""/>
    <s v=""/>
    <s v=""/>
    <n v="1"/>
  </r>
  <r>
    <x v="1"/>
    <n v="343"/>
    <m/>
    <n v="1988"/>
    <s v=""/>
    <s v=""/>
    <x v="142"/>
    <m/>
    <s v=""/>
    <s v="ALMAPY"/>
    <s v="11940062281"/>
    <s v=""/>
    <s v="projetos@almapy.com.br"/>
    <s v=""/>
    <s v=""/>
    <s v=""/>
    <s v=""/>
    <s v=""/>
    <s v=""/>
    <s v=""/>
    <s v=""/>
    <s v=""/>
    <s v="Pipeline de Vendas"/>
    <s v="Apresentar Proposta (50%)"/>
    <s v=""/>
    <m/>
    <n v="32400"/>
    <n v="104544"/>
    <n v="34"/>
    <s v="Junior Lopes"/>
    <d v="2025-04-11T00:00:00"/>
    <d v="1899-12-30T11:56:04"/>
    <s v=""/>
    <s v="Perdido"/>
    <d v="2025-05-15T00:00:00"/>
    <d v="1899-12-30T11:17:15"/>
    <s v="Projeto adiado / sem prazo definido"/>
    <s v="Não vai dar sequencia no momento"/>
    <s v=""/>
    <x v="67"/>
    <s v=""/>
    <x v="75"/>
    <s v=""/>
    <m/>
    <m/>
    <s v=""/>
    <s v=""/>
    <s v=""/>
    <s v=""/>
    <n v="1"/>
  </r>
  <r>
    <x v="1"/>
    <n v="346"/>
    <m/>
    <n v="1991"/>
    <s v=""/>
    <s v=""/>
    <x v="143"/>
    <m/>
    <s v=""/>
    <s v="Renovação Porcelanas"/>
    <s v="11965745182"/>
    <s v=""/>
    <s v="camila@rnporcelanas.com.br"/>
    <s v=""/>
    <s v=""/>
    <s v=""/>
    <s v=""/>
    <s v=""/>
    <s v=""/>
    <s v=""/>
    <s v=""/>
    <s v="30%;90%;Fabio Indica"/>
    <s v="Pipeline de Vendas"/>
    <s v="Em Fechamento (100%)"/>
    <s v=""/>
    <d v="2026-01-31T00:00:00"/>
    <n v="51306"/>
    <n v="2700"/>
    <n v="296"/>
    <s v="Junior Lopes"/>
    <d v="2025-04-15T00:00:00"/>
    <d v="1899-12-30T14:58:16"/>
    <s v=""/>
    <s v="Ganho"/>
    <d v="2025-05-06T00:00:00"/>
    <d v="1899-12-30T11:39:55"/>
    <s v=""/>
    <s v="0"/>
    <s v=""/>
    <x v="6"/>
    <s v=""/>
    <x v="41"/>
    <s v=""/>
    <d v="2026-01-06T00:00:00"/>
    <m/>
    <s v=""/>
    <s v=""/>
    <s v=""/>
    <s v=""/>
    <n v="1"/>
  </r>
  <r>
    <x v="1"/>
    <n v="347"/>
    <m/>
    <n v="1992"/>
    <s v=""/>
    <s v=""/>
    <x v="144"/>
    <m/>
    <s v=""/>
    <s v="Renovação Porcelanas - AFV"/>
    <s v="11965745182"/>
    <s v=""/>
    <s v="camila@rnporcelanas.com.br"/>
    <s v=""/>
    <s v=""/>
    <s v=""/>
    <s v=""/>
    <s v=""/>
    <s v=""/>
    <s v=""/>
    <s v=""/>
    <s v=""/>
    <s v="Pipeline de Vendas"/>
    <s v="Em negociação (75%)"/>
    <s v=""/>
    <m/>
    <n v="15216"/>
    <n v="37684"/>
    <n v="21"/>
    <s v="Junior Lopes"/>
    <d v="2025-04-15T00:00:00"/>
    <d v="1899-12-30T14:59:35"/>
    <s v=""/>
    <s v="Perdido"/>
    <d v="2025-05-06T00:00:00"/>
    <d v="1899-12-30T11:41:13"/>
    <s v="Preço muito alto - fora do budget de investimento"/>
    <s v="Camila ! Sobre o projeto, acredita que vamos dar sequência?_x000a_,_x000a_Camila ? Boa tarde ! Espero que esteja bem ._x000a_Acredita que vamos seguir !_x000a_Oi boa tarde_x000a_Olá Camila ! Bom dia _x000a_Sobre o software? Tem interesse em dar continuidade?_x000a_Oi Camila, acredito que não tenham interesse nesse momento e tudo bem ! fico a disposição caso queira voltar sobre o projeto em breve_x000a_Junior bom dia_x000a_estou te devendo um retorno_x000a_esse valor de investimento no momento não faz sentido pra nós_x000a_voces querem fazer uma contra proposta ? posso verificar com minha diretoria"/>
    <s v=""/>
    <x v="68"/>
    <s v=""/>
    <x v="76"/>
    <s v=""/>
    <m/>
    <m/>
    <s v=""/>
    <s v=""/>
    <s v=""/>
    <s v=""/>
    <n v="1"/>
  </r>
  <r>
    <x v="1"/>
    <n v="348"/>
    <m/>
    <n v="1993"/>
    <s v=""/>
    <s v=""/>
    <x v="145"/>
    <m/>
    <s v=""/>
    <s v="Unik"/>
    <s v="11997371774"/>
    <s v=""/>
    <s v="leonardo@unik.com.br"/>
    <s v=""/>
    <s v=""/>
    <s v=""/>
    <s v=""/>
    <s v=""/>
    <s v=""/>
    <s v=""/>
    <s v=""/>
    <s v=""/>
    <s v="Pipeline de Vendas"/>
    <s v="Em Fechamento (100%)"/>
    <s v="10x sem juros (0/30/60/90/120/150...)"/>
    <m/>
    <n v="15264"/>
    <n v="8210"/>
    <n v="22"/>
    <s v="Junior Lopes"/>
    <d v="2025-04-15T00:00:00"/>
    <d v="1899-12-30T17:21:27"/>
    <s v=""/>
    <s v="Ganho"/>
    <d v="2025-05-07T00:00:00"/>
    <d v="1899-12-30T08:54:54"/>
    <s v=""/>
    <s v=""/>
    <s v=""/>
    <x v="69"/>
    <s v=""/>
    <x v="0"/>
    <s v=""/>
    <m/>
    <m/>
    <s v=""/>
    <s v=""/>
    <s v=""/>
    <s v=""/>
    <n v="1"/>
  </r>
  <r>
    <x v="1"/>
    <n v="351"/>
    <m/>
    <n v="1997"/>
    <s v=""/>
    <s v=""/>
    <x v="146"/>
    <n v="56262451000151"/>
    <s v=""/>
    <s v="XieXie Com. de brinquedos - B2B"/>
    <s v="(11) 2492-2763"/>
    <s v=""/>
    <s v="fbastosauditores@terra.com.br"/>
    <s v=""/>
    <s v=""/>
    <s v=""/>
    <s v="GUARULHOS"/>
    <s v="SP"/>
    <s v=""/>
    <s v=""/>
    <s v=""/>
    <s v=""/>
    <s v="Pipeline de Vendas"/>
    <s v="Em negociação (75%)"/>
    <s v=""/>
    <m/>
    <n v="1620001"/>
    <n v="3400"/>
    <n v="6"/>
    <s v="Junior Lopes"/>
    <d v="2025-04-17T00:00:00"/>
    <d v="1899-12-30T10:20:26"/>
    <s v=""/>
    <s v="Perdido"/>
    <d v="2025-04-23T00:00:00"/>
    <d v="1899-12-30T15:04:23"/>
    <s v="Não houve aprovação financeira"/>
    <s v="Após envio da proposta comercial, não obtive mais retorno do Kaique, estou declinando a oportunidade mas continuarei tentando contato"/>
    <s v=""/>
    <x v="70"/>
    <s v=""/>
    <x v="77"/>
    <s v=""/>
    <m/>
    <m/>
    <s v=""/>
    <s v=""/>
    <s v=""/>
    <s v=""/>
    <n v="1"/>
  </r>
  <r>
    <x v="1"/>
    <n v="352"/>
    <m/>
    <n v="1999"/>
    <s v=""/>
    <s v=""/>
    <x v="147"/>
    <m/>
    <s v=""/>
    <s v="XieXie Com. de brinquedos - BI"/>
    <s v="11949590732"/>
    <s v=""/>
    <s v="fbastosauditores@terra.com.br"/>
    <s v=""/>
    <s v=""/>
    <s v=""/>
    <s v=""/>
    <s v=""/>
    <s v=""/>
    <s v=""/>
    <s v=""/>
    <s v=""/>
    <s v="Pipeline de Vendas"/>
    <s v="Em negociação (75%)"/>
    <s v=""/>
    <m/>
    <n v="16200"/>
    <n v="2160"/>
    <n v="6"/>
    <s v="Junior Lopes"/>
    <d v="2025-04-17T00:00:00"/>
    <d v="1899-12-30T11:11:07"/>
    <s v=""/>
    <s v="Perdido"/>
    <d v="2025-04-23T00:00:00"/>
    <d v="1899-12-30T15:05:19"/>
    <s v="Não houve aprovação financeira"/>
    <s v="Após envio da proposta comercial, não obtive mais retorno do Kaique, estou declinando a oportunidade mas continuarei tentando contato"/>
    <s v=""/>
    <x v="70"/>
    <s v=""/>
    <x v="77"/>
    <s v=""/>
    <m/>
    <m/>
    <s v=""/>
    <s v=""/>
    <s v=""/>
    <s v=""/>
    <n v="1"/>
  </r>
  <r>
    <x v="1"/>
    <n v="353"/>
    <m/>
    <n v="2000"/>
    <s v=""/>
    <s v=""/>
    <x v="148"/>
    <n v="8678467000105"/>
    <s v=""/>
    <s v="Y-888 - ERP"/>
    <s v="(21) 2784-2650"/>
    <s v=""/>
    <s v=""/>
    <s v=""/>
    <s v=""/>
    <s v=""/>
    <s v="DUQUE DE CAXIAS"/>
    <s v="RJ"/>
    <s v=""/>
    <s v=""/>
    <s v=""/>
    <s v="50%"/>
    <s v="Pipeline de Vendas"/>
    <s v="Em negociação (75%)"/>
    <s v=""/>
    <m/>
    <n v="5667184"/>
    <n v="539533"/>
    <n v="68"/>
    <s v="Junior Lopes"/>
    <d v="2025-04-17T00:00:00"/>
    <d v="1899-12-30T12:16:07"/>
    <s v=""/>
    <s v="Perdido"/>
    <d v="2025-06-24T00:00:00"/>
    <d v="1899-12-30T11:54:52"/>
    <s v="Não houve aprovação financeira"/>
    <s v="estou fechando oportunidade porem manterei contato com Victor"/>
    <s v=""/>
    <x v="63"/>
    <s v=""/>
    <x v="72"/>
    <s v=""/>
    <m/>
    <m/>
    <s v=""/>
    <s v=""/>
    <s v=""/>
    <s v=""/>
    <n v="1"/>
  </r>
  <r>
    <x v="1"/>
    <n v="354"/>
    <m/>
    <n v="2002"/>
    <s v=""/>
    <s v=""/>
    <x v="149"/>
    <n v="8678467000105"/>
    <s v=""/>
    <s v="Y 888 importação - AFV"/>
    <s v="(21) 2784-2650"/>
    <s v=""/>
    <s v=""/>
    <s v=""/>
    <s v=""/>
    <s v=""/>
    <s v="DUQUE DE CAXIAS"/>
    <s v="RJ"/>
    <s v=""/>
    <s v=""/>
    <s v=""/>
    <s v="50%"/>
    <s v="Pipeline de Vendas"/>
    <s v="Em negociação (75%)"/>
    <s v=""/>
    <m/>
    <n v="1600"/>
    <n v="28747"/>
    <n v="68"/>
    <s v="Junior Lopes"/>
    <d v="2025-04-17T00:00:00"/>
    <d v="1899-12-30T14:20:48"/>
    <s v=""/>
    <s v="Perdido"/>
    <d v="2025-06-24T00:00:00"/>
    <d v="1899-12-30T11:56:26"/>
    <s v="Não houve aprovação financeira"/>
    <s v="estou descartando oportunidade porem vou manter contato com Victor"/>
    <s v=""/>
    <x v="63"/>
    <s v=""/>
    <x v="72"/>
    <s v=""/>
    <m/>
    <m/>
    <s v=""/>
    <s v=""/>
    <s v=""/>
    <s v=""/>
    <n v="1"/>
  </r>
  <r>
    <x v="1"/>
    <n v="355"/>
    <m/>
    <n v="2004"/>
    <s v=""/>
    <s v=""/>
    <x v="150"/>
    <m/>
    <s v=""/>
    <s v="MDL Import - Cloud"/>
    <s v="11910695515"/>
    <s v=""/>
    <s v="janaina@mdlimpoort.com.br"/>
    <s v=""/>
    <s v=""/>
    <s v=""/>
    <s v=""/>
    <s v=""/>
    <s v=""/>
    <s v=""/>
    <s v=""/>
    <s v="80%"/>
    <s v="Pipeline de Vendas"/>
    <s v="Em negociação (75%)"/>
    <s v=""/>
    <m/>
    <n v="1600"/>
    <n v="32107"/>
    <n v="74"/>
    <s v="Junior Lopes"/>
    <d v="2025-04-17T00:00:00"/>
    <d v="1899-12-30T15:26:06"/>
    <s v=""/>
    <s v="Perdido"/>
    <d v="2025-06-30T00:00:00"/>
    <d v="1899-12-30T15:13:09"/>
    <s v="Não houve aprovação financeira"/>
    <s v="integração com WMS inviabilizou projeto"/>
    <s v=""/>
    <x v="63"/>
    <s v=""/>
    <x v="72"/>
    <s v="15/04/2025"/>
    <m/>
    <m/>
    <s v=""/>
    <s v=""/>
    <s v=""/>
    <s v=""/>
    <n v="1"/>
  </r>
  <r>
    <x v="1"/>
    <n v="358"/>
    <m/>
    <n v="2008"/>
    <s v=""/>
    <s v=""/>
    <x v="151"/>
    <m/>
    <s v=""/>
    <s v="Cassio"/>
    <s v="(22) 99967-1888"/>
    <s v=""/>
    <s v="ngcassio@gmail.com"/>
    <s v=""/>
    <s v=""/>
    <s v=""/>
    <s v="Nova Friburgo"/>
    <s v=""/>
    <s v="Site"/>
    <s v=""/>
    <s v=""/>
    <s v="Solicita demo"/>
    <s v="Pipeline de Vendas"/>
    <s v="Apresentar Proposta (50%)"/>
    <s v=""/>
    <m/>
    <n v="58088"/>
    <n v="112089"/>
    <n v="17"/>
    <s v="Paulo Souza"/>
    <d v="2025-04-28T00:00:00"/>
    <d v="1899-12-30T16:40:49"/>
    <s v=""/>
    <s v="Perdido"/>
    <d v="2025-05-15T00:00:00"/>
    <d v="1899-12-30T15:31:10"/>
    <s v="Projeto adiado / sem prazo definido"/>
    <s v="empresa ainda esta no zero ! cliente mentaliza algo fora da realidade !"/>
    <s v=""/>
    <x v="64"/>
    <s v="Junior Lopes"/>
    <x v="78"/>
    <s v=""/>
    <m/>
    <m/>
    <s v=""/>
    <s v=""/>
    <s v=""/>
    <s v=""/>
    <n v="1"/>
  </r>
  <r>
    <x v="0"/>
    <n v="359"/>
    <m/>
    <n v="2019"/>
    <s v=""/>
    <s v=""/>
    <x v="152"/>
    <m/>
    <s v=""/>
    <s v="Vagner"/>
    <s v="(16) 99126-8825"/>
    <s v=""/>
    <s v="flordesedaimportadora@outlook.com"/>
    <s v=""/>
    <s v=""/>
    <s v=""/>
    <s v=""/>
    <s v=""/>
    <s v=""/>
    <s v=""/>
    <s v=""/>
    <s v=""/>
    <s v="Pipeline de Vendas"/>
    <s v="Em Fechamento (100%)"/>
    <s v=""/>
    <m/>
    <n v="40000"/>
    <n v="23581"/>
    <n v="43"/>
    <s v="Paulo Souza"/>
    <d v="2025-04-28T00:00:00"/>
    <d v="1899-12-30T16:44:09"/>
    <s v=""/>
    <s v="Ganho"/>
    <d v="2025-06-10T00:00:00"/>
    <d v="1899-12-30T12:15:46"/>
    <s v=""/>
    <s v=""/>
    <s v=""/>
    <x v="71"/>
    <s v="Paulo Souza"/>
    <x v="79"/>
    <s v=""/>
    <m/>
    <m/>
    <s v=""/>
    <s v=""/>
    <s v=""/>
    <s v=""/>
    <n v="1"/>
  </r>
  <r>
    <x v="0"/>
    <n v="360"/>
    <m/>
    <n v="1986"/>
    <s v=""/>
    <s v=""/>
    <x v="153"/>
    <m/>
    <s v=""/>
    <s v="Gabrielle"/>
    <s v="(11) 93449-7333"/>
    <s v=""/>
    <s v="gabi.bertoni@outlook.com"/>
    <s v=""/>
    <s v=""/>
    <s v=""/>
    <s v="São Paulo"/>
    <s v=""/>
    <s v="Site"/>
    <s v=""/>
    <s v=""/>
    <s v="Solicita demo"/>
    <s v="Pipeline de Vendas"/>
    <s v="Em negociação (75%)"/>
    <s v=""/>
    <m/>
    <n v="68400"/>
    <n v="302046"/>
    <n v="43"/>
    <s v="Paulo Souza"/>
    <d v="2025-04-28T00:00:00"/>
    <d v="1899-12-30T16:51:09"/>
    <s v=""/>
    <s v="Perdido"/>
    <d v="2025-06-10T00:00:00"/>
    <d v="1899-12-30T14:43:33"/>
    <s v="Não quer mudar a solução atual"/>
    <s v=""/>
    <s v=""/>
    <x v="71"/>
    <s v="Paulo Souza"/>
    <x v="79"/>
    <s v=""/>
    <m/>
    <m/>
    <s v=""/>
    <s v=""/>
    <s v=""/>
    <s v=""/>
    <n v="1"/>
  </r>
  <r>
    <x v="1"/>
    <n v="361"/>
    <m/>
    <n v="2010"/>
    <s v=""/>
    <s v=""/>
    <x v="154"/>
    <m/>
    <s v=""/>
    <s v="Importadora Cassio - Cloud"/>
    <s v="22999671888"/>
    <s v=""/>
    <s v="ngcassio@gmail.com"/>
    <s v=""/>
    <s v=""/>
    <s v=""/>
    <s v=""/>
    <s v=""/>
    <s v=""/>
    <s v=""/>
    <s v=""/>
    <s v=""/>
    <s v="Pipeline de Vendas"/>
    <s v="Apresentar Proposta (50%)"/>
    <s v=""/>
    <m/>
    <n v="26200"/>
    <n v="3400"/>
    <n v="16"/>
    <s v="Junior Lopes"/>
    <d v="2025-04-29T00:00:00"/>
    <d v="1899-12-30T14:49:37"/>
    <s v=""/>
    <s v="Perdido"/>
    <d v="2025-05-15T00:00:00"/>
    <d v="1899-12-30T15:31:35"/>
    <s v="Projeto adiado / sem prazo definido"/>
    <s v="empresa ainda esta no zero ! cliente mentaliza algo fora da realidade !"/>
    <s v=""/>
    <x v="64"/>
    <s v=""/>
    <x v="78"/>
    <s v=""/>
    <m/>
    <m/>
    <s v=""/>
    <s v=""/>
    <s v=""/>
    <s v=""/>
    <n v="1"/>
  </r>
  <r>
    <x v="1"/>
    <n v="362"/>
    <m/>
    <n v="2011"/>
    <s v=""/>
    <s v=""/>
    <x v="155"/>
    <m/>
    <s v=""/>
    <s v="Renovação porcelanas - Cloud"/>
    <s v="11965745182"/>
    <s v=""/>
    <s v="camila@rnporcelanas.com.br"/>
    <s v=""/>
    <s v=""/>
    <s v=""/>
    <s v=""/>
    <s v=""/>
    <s v=""/>
    <s v=""/>
    <s v=""/>
    <s v=""/>
    <s v="Pipeline de Vendas"/>
    <s v="Em negociação (75%)"/>
    <s v=""/>
    <m/>
    <n v="1600"/>
    <n v="1026"/>
    <n v="7"/>
    <s v="Junior Lopes"/>
    <d v="2025-04-29T00:00:00"/>
    <d v="1899-12-30T16:51:32"/>
    <s v=""/>
    <s v="Perdido"/>
    <d v="2025-05-06T00:00:00"/>
    <d v="1899-12-30T15:02:15"/>
    <s v="Preço muito alto - fora do budget de investimento"/>
    <s v=""/>
    <s v=""/>
    <x v="68"/>
    <s v=""/>
    <x v="76"/>
    <s v=""/>
    <m/>
    <m/>
    <s v=""/>
    <s v=""/>
    <s v=""/>
    <s v=""/>
    <n v="1"/>
  </r>
  <r>
    <x v="2"/>
    <n v="366"/>
    <m/>
    <n v="2015"/>
    <s v=""/>
    <s v=""/>
    <x v="156"/>
    <m/>
    <s v=""/>
    <s v="Jose Roberto"/>
    <s v=""/>
    <s v=""/>
    <s v="diretoria@grupobeline.com.br"/>
    <s v=""/>
    <s v=""/>
    <s v=""/>
    <s v=""/>
    <s v=""/>
    <s v=""/>
    <s v=""/>
    <s v=""/>
    <s v=""/>
    <s v="Pipeline de Vendas"/>
    <s v="Em Fechamento (100%)"/>
    <s v=""/>
    <m/>
    <n v="3360"/>
    <n v="165372"/>
    <n v="19"/>
    <s v="Rayssa Karapeticov"/>
    <d v="2025-04-30T00:00:00"/>
    <d v="1899-12-30T15:10:38"/>
    <s v=""/>
    <s v="Ganho"/>
    <d v="2025-05-19T00:00:00"/>
    <d v="1899-12-30T09:02:32"/>
    <s v=""/>
    <s v=""/>
    <s v=""/>
    <x v="72"/>
    <s v=""/>
    <x v="80"/>
    <s v=""/>
    <m/>
    <m/>
    <s v=""/>
    <s v=""/>
    <s v=""/>
    <s v=""/>
    <n v="1"/>
  </r>
  <r>
    <x v="1"/>
    <n v="367"/>
    <m/>
    <n v="2016"/>
    <s v=""/>
    <s v=""/>
    <x v="157"/>
    <m/>
    <s v=""/>
    <s v="Cassio importadora - Cloud"/>
    <s v="22999671888"/>
    <s v=""/>
    <s v="ngcassio@gmail.com"/>
    <s v=""/>
    <s v=""/>
    <s v=""/>
    <s v=""/>
    <s v=""/>
    <s v=""/>
    <s v=""/>
    <s v=""/>
    <s v=""/>
    <s v="Pipeline de Vendas"/>
    <s v="Apresentar Proposta (50%)"/>
    <s v=""/>
    <m/>
    <n v="1600"/>
    <n v="210169"/>
    <n v="15"/>
    <s v="Junior Lopes"/>
    <d v="2025-04-30T00:00:00"/>
    <d v="1899-12-30T15:30:14"/>
    <s v=""/>
    <s v="Perdido"/>
    <d v="2025-05-15T00:00:00"/>
    <d v="1899-12-30T15:31:57"/>
    <s v="Projeto adiado / sem prazo definido"/>
    <s v="empresa ainda esta no zero ! cliente mentaliza algo fora da realidade !"/>
    <s v=""/>
    <x v="64"/>
    <s v=""/>
    <x v="78"/>
    <s v=""/>
    <m/>
    <m/>
    <s v=""/>
    <s v=""/>
    <s v=""/>
    <s v=""/>
    <n v="1"/>
  </r>
  <r>
    <x v="0"/>
    <n v="368"/>
    <m/>
    <n v="2017"/>
    <s v=""/>
    <s v=""/>
    <x v="158"/>
    <n v="18677964000134"/>
    <s v=""/>
    <s v="L&amp;T Importadora"/>
    <s v="1127696004"/>
    <s v=""/>
    <s v="financeiro@ltimportadora.com.br"/>
    <s v=""/>
    <s v=""/>
    <s v=""/>
    <s v=""/>
    <s v=""/>
    <s v=""/>
    <s v=""/>
    <s v=""/>
    <s v=""/>
    <s v="Pipeline de Vendas"/>
    <s v="Em Fechamento (100%)"/>
    <s v=""/>
    <m/>
    <n v="14000"/>
    <n v="886"/>
    <n v="0"/>
    <s v="Paulo Souza"/>
    <d v="2025-05-02T00:00:00"/>
    <d v="1899-12-30T13:58:07"/>
    <s v=""/>
    <s v="Ganho"/>
    <d v="2025-05-02T00:00:00"/>
    <d v="1899-12-30T14:04:33"/>
    <s v=""/>
    <s v=""/>
    <s v=""/>
    <x v="73"/>
    <s v="Paulo Souza"/>
    <x v="81"/>
    <s v=""/>
    <m/>
    <m/>
    <s v=""/>
    <s v=""/>
    <s v=""/>
    <s v=""/>
    <n v="1"/>
  </r>
  <r>
    <x v="0"/>
    <n v="369"/>
    <m/>
    <n v="2018"/>
    <s v=""/>
    <s v=""/>
    <x v="159"/>
    <n v="10906096000105"/>
    <s v=""/>
    <s v="Sakes"/>
    <s v="1133133243"/>
    <s v=""/>
    <s v="MARCIA@SAKES.COM.BR"/>
    <s v=""/>
    <s v=""/>
    <s v=""/>
    <s v=""/>
    <s v=""/>
    <s v=""/>
    <s v=""/>
    <s v=""/>
    <s v=""/>
    <s v="Pipeline de Vendas"/>
    <s v="Agendamento (0%)"/>
    <s v=""/>
    <m/>
    <n v="13600"/>
    <n v="886"/>
    <n v="0"/>
    <s v="Paulo Souza"/>
    <d v="2025-05-02T00:00:00"/>
    <d v="1899-12-30T14:06:04"/>
    <s v=""/>
    <s v="Ganho"/>
    <d v="2025-05-02T00:00:00"/>
    <d v="1899-12-30T14:08:29"/>
    <s v=""/>
    <s v=""/>
    <s v=""/>
    <x v="73"/>
    <s v="Paulo Souza"/>
    <x v="81"/>
    <s v=""/>
    <m/>
    <m/>
    <s v=""/>
    <s v=""/>
    <s v=""/>
    <s v=""/>
    <n v="1"/>
  </r>
  <r>
    <x v="0"/>
    <n v="370"/>
    <m/>
    <n v="2020"/>
    <s v=""/>
    <s v=""/>
    <x v="160"/>
    <m/>
    <s v=""/>
    <s v="Nathan"/>
    <s v="15998182143"/>
    <s v=""/>
    <s v="null"/>
    <s v=""/>
    <s v=""/>
    <s v=""/>
    <s v=""/>
    <s v=""/>
    <s v=""/>
    <s v=""/>
    <s v=""/>
    <s v="50%"/>
    <s v="Pipeline de Vendas"/>
    <s v="Em negociação (75%)"/>
    <s v=""/>
    <m/>
    <n v="51250"/>
    <n v="33381"/>
    <n v="114"/>
    <s v="Paulo Souza"/>
    <d v="2025-05-03T00:00:00"/>
    <d v="1899-12-30T11:03:22"/>
    <s v=""/>
    <s v="Perdido"/>
    <d v="2025-08-25T00:00:00"/>
    <d v="1899-12-30T14:34:31"/>
    <s v="Projeto adiado / sem prazo definido"/>
    <s v=""/>
    <s v=""/>
    <x v="0"/>
    <s v="Paulo Souza"/>
    <x v="82"/>
    <s v=""/>
    <m/>
    <m/>
    <s v=""/>
    <s v=""/>
    <s v=""/>
    <s v=""/>
    <n v="1"/>
  </r>
  <r>
    <x v="1"/>
    <n v="375"/>
    <m/>
    <n v="2024"/>
    <s v=""/>
    <s v=""/>
    <x v="161"/>
    <m/>
    <s v=""/>
    <s v="Mundial Log"/>
    <s v="11947482090"/>
    <s v=""/>
    <s v="rafael@mundiallog.com.br"/>
    <s v=""/>
    <s v=""/>
    <s v=""/>
    <s v=""/>
    <s v=""/>
    <s v=""/>
    <s v=""/>
    <s v=""/>
    <s v=""/>
    <s v="Pipeline de Vendas"/>
    <s v="Apresentar Proposta (50%)"/>
    <s v=""/>
    <m/>
    <n v="69112"/>
    <n v="508112"/>
    <n v="7"/>
    <s v="Junior Lopes"/>
    <d v="2025-05-08T00:00:00"/>
    <d v="1899-12-30T16:11:25"/>
    <s v=""/>
    <s v="Perdido"/>
    <d v="2025-05-15T00:00:00"/>
    <d v="1899-12-30T16:22:48"/>
    <s v="Não houve aprovação financeira"/>
    <s v=""/>
    <s v=""/>
    <x v="74"/>
    <s v=""/>
    <x v="83"/>
    <s v=""/>
    <m/>
    <m/>
    <s v=""/>
    <s v=""/>
    <s v=""/>
    <s v=""/>
    <n v="1"/>
  </r>
  <r>
    <x v="1"/>
    <n v="376"/>
    <m/>
    <n v="2025"/>
    <s v=""/>
    <s v=""/>
    <x v="162"/>
    <m/>
    <s v=""/>
    <s v="Mundial Log - Cloud"/>
    <s v="11947482090"/>
    <s v=""/>
    <s v="rafael@mundiallog.com.br"/>
    <s v=""/>
    <s v=""/>
    <s v=""/>
    <s v=""/>
    <s v=""/>
    <s v=""/>
    <s v=""/>
    <s v=""/>
    <s v=""/>
    <s v="Pipeline de Vendas"/>
    <s v="Apresentar Proposta (50%)"/>
    <s v=""/>
    <m/>
    <n v="1600"/>
    <n v="32107"/>
    <n v="7"/>
    <s v="Junior Lopes"/>
    <d v="2025-05-08T00:00:00"/>
    <d v="1899-12-30T16:29:40"/>
    <s v=""/>
    <s v="Perdido"/>
    <d v="2025-05-15T00:00:00"/>
    <d v="1899-12-30T16:23:14"/>
    <s v="Não houve aprovação financeira"/>
    <s v=""/>
    <s v=""/>
    <x v="74"/>
    <s v=""/>
    <x v="83"/>
    <s v=""/>
    <m/>
    <m/>
    <s v=""/>
    <s v=""/>
    <s v=""/>
    <s v=""/>
    <n v="1"/>
  </r>
  <r>
    <x v="0"/>
    <n v="379"/>
    <m/>
    <n v="2199"/>
    <s v=""/>
    <s v=""/>
    <x v="163"/>
    <m/>
    <s v=""/>
    <s v="Anderson"/>
    <s v="(16) 99707-0733"/>
    <s v=""/>
    <s v=""/>
    <s v=""/>
    <s v=""/>
    <s v=""/>
    <s v=""/>
    <s v=""/>
    <s v="Indicação"/>
    <s v=""/>
    <s v=""/>
    <s v="50%"/>
    <s v="Pipeline de Vendas"/>
    <s v="Em negociação (75%)"/>
    <s v=""/>
    <m/>
    <n v="68400"/>
    <n v="17345"/>
    <n v="108"/>
    <s v="Paulo Souza"/>
    <d v="2025-05-09T00:00:00"/>
    <d v="1899-12-30T16:01:00"/>
    <s v=""/>
    <s v="Perdido"/>
    <d v="2025-08-25T00:00:00"/>
    <d v="1899-12-30T14:28:20"/>
    <s v="Fechou com o concorrente - preço"/>
    <s v=""/>
    <s v=""/>
    <x v="0"/>
    <s v=""/>
    <x v="0"/>
    <s v=""/>
    <m/>
    <m/>
    <s v=""/>
    <s v=""/>
    <s v=""/>
    <s v=""/>
    <n v="1"/>
  </r>
  <r>
    <x v="1"/>
    <n v="382"/>
    <m/>
    <n v="2031"/>
    <s v=""/>
    <s v=""/>
    <x v="164"/>
    <n v="27173648000116"/>
    <s v=""/>
    <s v="Fest Buuble"/>
    <s v="(11) 9342-9915"/>
    <s v=""/>
    <s v="amandfast@gmail.com"/>
    <s v=""/>
    <s v=""/>
    <s v=""/>
    <s v="SAO PAULO"/>
    <s v="SP"/>
    <s v=""/>
    <s v=""/>
    <s v=""/>
    <s v=""/>
    <s v="Pipeline de Vendas"/>
    <s v="Agendamento (0%)"/>
    <s v=""/>
    <m/>
    <m/>
    <m/>
    <n v="50"/>
    <s v="Junior Lopes"/>
    <d v="2025-05-12T00:00:00"/>
    <d v="1899-12-30T15:21:57"/>
    <s v=""/>
    <s v="Perdido"/>
    <d v="2025-07-01T00:00:00"/>
    <d v="1899-12-30T09:46:00"/>
    <s v="Projeto adiado / sem prazo definido"/>
    <s v="Aguardar Rep Mais"/>
    <s v=""/>
    <x v="0"/>
    <s v=""/>
    <x v="84"/>
    <s v=""/>
    <m/>
    <m/>
    <s v=""/>
    <s v=""/>
    <s v=""/>
    <s v=""/>
    <n v="1"/>
  </r>
  <r>
    <x v="1"/>
    <n v="383"/>
    <m/>
    <n v="2033"/>
    <s v=""/>
    <s v=""/>
    <x v="165"/>
    <n v="86890639000105"/>
    <s v=""/>
    <s v="Arrtef Brasil - RMS"/>
    <s v=""/>
    <s v=""/>
    <s v=""/>
    <s v=""/>
    <s v=""/>
    <s v=""/>
    <s v="CURITIBA"/>
    <s v="PR"/>
    <s v=""/>
    <s v=""/>
    <s v=""/>
    <s v=""/>
    <s v="Pipeline de Vendas"/>
    <s v="Agendamento (0%)"/>
    <s v=""/>
    <m/>
    <m/>
    <m/>
    <n v="50"/>
    <s v="Junior Lopes"/>
    <d v="2025-05-12T00:00:00"/>
    <d v="1899-12-30T15:34:32"/>
    <s v=""/>
    <s v="Perdido"/>
    <d v="2025-07-01T00:00:00"/>
    <d v="1899-12-30T09:46:34"/>
    <s v="Projeto adiado / sem prazo definido"/>
    <s v="Aguardar Rep Mais"/>
    <s v=""/>
    <x v="0"/>
    <s v=""/>
    <x v="0"/>
    <s v=""/>
    <m/>
    <m/>
    <s v=""/>
    <s v=""/>
    <s v=""/>
    <s v=""/>
    <n v="1"/>
  </r>
  <r>
    <x v="1"/>
    <n v="384"/>
    <m/>
    <n v="2036"/>
    <s v=""/>
    <s v=""/>
    <x v="166"/>
    <m/>
    <s v=""/>
    <s v="Fa fa Import"/>
    <s v="21989290057"/>
    <s v=""/>
    <s v="lucianadsmoura@gmail.com"/>
    <s v=""/>
    <s v=""/>
    <s v=""/>
    <s v=""/>
    <s v=""/>
    <s v=""/>
    <s v=""/>
    <s v=""/>
    <s v="90%"/>
    <s v="Pipeline de Vendas"/>
    <s v="Em Fechamento (100%)"/>
    <s v=""/>
    <m/>
    <n v="3230634"/>
    <n v="17706"/>
    <n v="35"/>
    <s v="Junior Lopes"/>
    <d v="2025-05-13T00:00:00"/>
    <d v="1899-12-30T17:15:52"/>
    <s v=""/>
    <s v="Ganho"/>
    <d v="2025-06-17T00:00:00"/>
    <d v="1899-12-30T16:19:34"/>
    <s v=""/>
    <s v=""/>
    <s v=""/>
    <x v="75"/>
    <s v=""/>
    <x v="85"/>
    <s v=""/>
    <m/>
    <m/>
    <s v=""/>
    <s v=""/>
    <s v=""/>
    <s v=""/>
    <n v="1"/>
  </r>
  <r>
    <x v="1"/>
    <n v="385"/>
    <m/>
    <n v="2037"/>
    <s v=""/>
    <s v=""/>
    <x v="167"/>
    <m/>
    <s v=""/>
    <s v="Fa Fa Import - Cloud"/>
    <s v="21989290058"/>
    <s v=""/>
    <s v="lucianadsmoura@gmail.com"/>
    <s v=""/>
    <s v=""/>
    <s v=""/>
    <s v=""/>
    <s v=""/>
    <s v=""/>
    <s v=""/>
    <s v=""/>
    <s v="90%"/>
    <s v="Pipeline de Vendas"/>
    <s v="Em Fechamento (100%)"/>
    <s v=""/>
    <m/>
    <n v="0"/>
    <n v="208313"/>
    <n v="35"/>
    <s v="Junior Lopes"/>
    <d v="2025-05-13T00:00:00"/>
    <d v="1899-12-30T17:16:59"/>
    <s v=""/>
    <s v="Ganho"/>
    <d v="2025-06-17T00:00:00"/>
    <d v="1899-12-30T16:20:18"/>
    <s v=""/>
    <s v=""/>
    <s v=""/>
    <x v="75"/>
    <s v=""/>
    <x v="85"/>
    <s v=""/>
    <m/>
    <m/>
    <s v=""/>
    <s v=""/>
    <s v=""/>
    <s v=""/>
    <n v="1"/>
  </r>
  <r>
    <x v="1"/>
    <n v="405"/>
    <m/>
    <n v="2061"/>
    <s v=""/>
    <s v=""/>
    <x v="168"/>
    <m/>
    <s v=""/>
    <s v="Amazonia aromas"/>
    <s v="11991266405"/>
    <s v=""/>
    <s v="atendimento@amazoniaaromas.com.br"/>
    <s v=""/>
    <s v=""/>
    <s v=""/>
    <s v=""/>
    <s v=""/>
    <s v=""/>
    <s v=""/>
    <s v=""/>
    <s v="50%"/>
    <s v="Pipeline de Vendas"/>
    <s v="Em negociação (75%)"/>
    <s v=""/>
    <m/>
    <m/>
    <m/>
    <n v="20"/>
    <s v="Junior Lopes"/>
    <d v="2025-05-28T00:00:00"/>
    <d v="1899-12-30T09:32:20"/>
    <s v=""/>
    <s v="Perdido"/>
    <d v="2025-06-17T00:00:00"/>
    <d v="1899-12-30T16:21:42"/>
    <s v="Nossa solução não atende - falta funcionalidade"/>
    <s v="15:18, 3/6/2025 André Oliveira (Amazonia Aromas): Quanto?_x000a_15:21, 3/6/2025 Junior Lopes: acredito que uns 90 dias ! estamos em homologação em um cliente da nossa base_x000a_15:31, 3/6/2025 André Oliveira (Amazonia Aromas): Mobile Android e ios normal_x000a_15:34, 3/6/2025 Junior Lopes: Mobile Android Off-line _x000a_iOS e Windows on-line_x000a_15:37, 3/6/2025 André Oliveira (Amazonia Aromas): Hum ios ferra um pouco"/>
    <s v=""/>
    <x v="76"/>
    <s v=""/>
    <x v="86"/>
    <s v=""/>
    <m/>
    <m/>
    <s v=""/>
    <s v=""/>
    <s v=""/>
    <s v=""/>
    <n v="1"/>
  </r>
  <r>
    <x v="1"/>
    <n v="406"/>
    <m/>
    <n v="2062"/>
    <s v=""/>
    <s v=""/>
    <x v="169"/>
    <n v="5215210000110"/>
    <s v=""/>
    <s v="AZPR"/>
    <s v="(41) 3376-2439"/>
    <s v=""/>
    <s v=""/>
    <s v=""/>
    <s v=""/>
    <s v=""/>
    <s v="CURITIBA"/>
    <s v="PR"/>
    <s v=""/>
    <s v=""/>
    <s v=""/>
    <s v="30%"/>
    <s v="Pipeline de Vendas"/>
    <s v="Apresentar Solução (35%)"/>
    <s v=""/>
    <m/>
    <n v="622008"/>
    <n v="23661"/>
    <n v="26"/>
    <s v="Junior Lopes"/>
    <d v="2025-05-28T00:00:00"/>
    <d v="1899-12-30T09:50:40"/>
    <s v=""/>
    <s v="Perdido"/>
    <d v="2025-06-23T00:00:00"/>
    <d v="1899-12-30T08:51:59"/>
    <s v="Projeto adiado / sem prazo definido"/>
    <s v="voltar contato quando RepMais"/>
    <s v=""/>
    <x v="77"/>
    <s v=""/>
    <x v="87"/>
    <s v=""/>
    <m/>
    <m/>
    <s v=""/>
    <s v=""/>
    <s v=""/>
    <s v=""/>
    <n v="1"/>
  </r>
  <r>
    <x v="1"/>
    <n v="407"/>
    <m/>
    <n v="2065"/>
    <s v=""/>
    <s v=""/>
    <x v="170"/>
    <n v="5215210000110"/>
    <s v=""/>
    <s v="AZPR"/>
    <s v="(41) 3376-2439"/>
    <s v=""/>
    <s v=""/>
    <s v=""/>
    <s v=""/>
    <s v=""/>
    <s v="CURITIBA"/>
    <s v="PR"/>
    <s v=""/>
    <s v=""/>
    <s v=""/>
    <s v="30%"/>
    <s v="Pipeline de Vendas"/>
    <s v="Apresentar Solução (35%)"/>
    <s v=""/>
    <m/>
    <n v="1600"/>
    <n v="26507"/>
    <n v="26"/>
    <s v="Junior Lopes"/>
    <d v="2025-05-28T00:00:00"/>
    <d v="1899-12-30T09:54:27"/>
    <s v=""/>
    <s v="Perdido"/>
    <d v="2025-06-23T00:00:00"/>
    <d v="1899-12-30T08:53:19"/>
    <s v="Projeto adiado / sem prazo definido"/>
    <s v="Procurar quando RepMais"/>
    <s v=""/>
    <x v="77"/>
    <s v=""/>
    <x v="87"/>
    <s v=""/>
    <m/>
    <m/>
    <s v=""/>
    <s v=""/>
    <s v=""/>
    <s v=""/>
    <n v="1"/>
  </r>
  <r>
    <x v="1"/>
    <n v="408"/>
    <m/>
    <n v="2068"/>
    <s v=""/>
    <s v=""/>
    <x v="171"/>
    <m/>
    <s v=""/>
    <s v="Erca alumínio"/>
    <s v="19997023116"/>
    <s v=""/>
    <s v="rafael@ercaaluminio.com.br"/>
    <s v=""/>
    <s v=""/>
    <s v=""/>
    <s v=""/>
    <s v=""/>
    <s v=""/>
    <s v=""/>
    <s v=""/>
    <s v=""/>
    <s v="Pipeline de Vendas"/>
    <s v="Em Fechamento (100%)"/>
    <s v="10x sem juros (0/30/60/90/120/150...)"/>
    <m/>
    <n v="123066"/>
    <n v="0"/>
    <n v="0"/>
    <s v="Junior Lopes"/>
    <d v="2025-05-28T00:00:00"/>
    <d v="1899-12-30T10:09:38"/>
    <s v=""/>
    <s v="Ganho"/>
    <d v="2025-05-28T00:00:00"/>
    <d v="1899-12-30T10:22:07"/>
    <s v=""/>
    <s v=""/>
    <s v=""/>
    <x v="78"/>
    <s v=""/>
    <x v="0"/>
    <s v=""/>
    <m/>
    <m/>
    <s v=""/>
    <s v=""/>
    <s v=""/>
    <s v=""/>
    <n v="1"/>
  </r>
  <r>
    <x v="1"/>
    <n v="409"/>
    <m/>
    <n v="2069"/>
    <s v=""/>
    <s v=""/>
    <x v="172"/>
    <n v="56262451000151"/>
    <s v=""/>
    <s v="XieXie Mais barato"/>
    <s v="(11) 2492-2763"/>
    <s v=""/>
    <s v="fbastosauditores@terra.com.br"/>
    <s v=""/>
    <s v=""/>
    <s v=""/>
    <s v="GUARULHOS"/>
    <s v="SP"/>
    <s v=""/>
    <s v=""/>
    <s v=""/>
    <s v=""/>
    <s v="Pipeline de Vendas"/>
    <s v="Em negociação (75%)"/>
    <s v=""/>
    <m/>
    <n v="52258"/>
    <n v="606364"/>
    <n v="6"/>
    <s v="Junior Lopes"/>
    <d v="2025-05-28T00:00:00"/>
    <d v="1899-12-30T10:32:07"/>
    <s v=""/>
    <s v="Perdido"/>
    <d v="2025-06-03T00:00:00"/>
    <d v="1899-12-30T10:00:29"/>
    <s v="Preço muito alto - fora do budget de investimento"/>
    <s v="PROPOSTA RENOVCADA POREM CLIENTE NÃO DEU SEQUENCIA"/>
    <s v=""/>
    <x v="79"/>
    <s v=""/>
    <x v="0"/>
    <s v=""/>
    <m/>
    <m/>
    <s v=""/>
    <s v=""/>
    <s v=""/>
    <s v=""/>
    <n v="1"/>
  </r>
  <r>
    <x v="1"/>
    <n v="410"/>
    <m/>
    <n v="2071"/>
    <s v=""/>
    <s v=""/>
    <x v="173"/>
    <n v="56262451000151"/>
    <s v=""/>
    <s v="XieXie Mais Barato - BI B2B"/>
    <s v="(11) 2492-2763"/>
    <s v=""/>
    <s v="fbastosauditores@terra.com.br"/>
    <s v=""/>
    <s v=""/>
    <s v=""/>
    <s v="GUARULHOS"/>
    <s v="SP"/>
    <s v=""/>
    <s v=""/>
    <s v=""/>
    <s v=""/>
    <s v="Pipeline de Vendas"/>
    <s v="Em negociação (75%)"/>
    <s v=""/>
    <m/>
    <n v="42400"/>
    <n v="5560"/>
    <n v="6"/>
    <s v="Junior Lopes"/>
    <d v="2025-05-28T00:00:00"/>
    <d v="1899-12-30T10:38:48"/>
    <s v=""/>
    <s v="Perdido"/>
    <d v="2025-06-03T00:00:00"/>
    <d v="1899-12-30T10:01:26"/>
    <s v="Preço muito alto - fora do budget de investimento"/>
    <s v="PROPOSTA RENOVADA POREM CÇIENTE NÃO DEU SEQUENCIA"/>
    <s v=""/>
    <x v="79"/>
    <s v=""/>
    <x v="0"/>
    <s v=""/>
    <m/>
    <m/>
    <s v=""/>
    <s v=""/>
    <s v=""/>
    <s v=""/>
    <n v="1"/>
  </r>
  <r>
    <x v="1"/>
    <n v="412"/>
    <m/>
    <n v="2075"/>
    <s v=""/>
    <s v=""/>
    <x v="174"/>
    <m/>
    <s v=""/>
    <s v="Gala - B2B"/>
    <s v="67981004151"/>
    <s v=""/>
    <s v="diego@grupogala.com.br"/>
    <s v=""/>
    <s v=""/>
    <s v=""/>
    <s v=""/>
    <s v=""/>
    <s v=""/>
    <s v=""/>
    <s v=""/>
    <s v="50%"/>
    <s v="Pipeline de Vendas"/>
    <s v="Em negociação (75%)"/>
    <s v=""/>
    <m/>
    <n v="26200"/>
    <n v="3400"/>
    <n v="92"/>
    <s v="Junior Lopes"/>
    <d v="2025-05-28T00:00:00"/>
    <d v="1899-12-30T10:50:13"/>
    <s v=""/>
    <s v="Perdido"/>
    <d v="2025-08-28T00:00:00"/>
    <d v="1899-12-30T15:33:20"/>
    <s v="Não houve aprovação financeira"/>
    <s v=""/>
    <s v=""/>
    <x v="80"/>
    <s v=""/>
    <x v="87"/>
    <s v=""/>
    <m/>
    <m/>
    <s v=""/>
    <s v=""/>
    <s v=""/>
    <s v=""/>
    <n v="1"/>
  </r>
  <r>
    <x v="1"/>
    <n v="413"/>
    <m/>
    <n v="2076"/>
    <s v=""/>
    <s v=""/>
    <x v="175"/>
    <m/>
    <s v=""/>
    <s v="Flora Nectar - AFV"/>
    <s v="19971332893"/>
    <s v=""/>
    <s v="marina.dopekevicuz@v4company.com"/>
    <s v=""/>
    <s v=""/>
    <s v=""/>
    <s v=""/>
    <s v=""/>
    <s v=""/>
    <s v=""/>
    <s v=""/>
    <s v=""/>
    <s v="Pipeline de Vendas"/>
    <s v="Apresentar Solução (35%)"/>
    <s v=""/>
    <m/>
    <m/>
    <m/>
    <n v="12"/>
    <s v="Junior Lopes"/>
    <d v="2025-05-28T00:00:00"/>
    <d v="1899-12-30T11:12:16"/>
    <s v=""/>
    <s v="Perdido"/>
    <d v="2025-06-09T00:00:00"/>
    <d v="1899-12-30T15:53:56"/>
    <s v="Projeto adiado / sem prazo definido"/>
    <s v="Rayssa esta mantendo contato"/>
    <s v=""/>
    <x v="0"/>
    <s v=""/>
    <x v="88"/>
    <s v=""/>
    <m/>
    <m/>
    <s v=""/>
    <s v=""/>
    <s v=""/>
    <s v=""/>
    <n v="1"/>
  </r>
  <r>
    <x v="1"/>
    <n v="415"/>
    <m/>
    <n v="2127"/>
    <s v=""/>
    <s v=""/>
    <x v="176"/>
    <m/>
    <s v=""/>
    <s v="Xpert - ERP"/>
    <s v="11996219888"/>
    <s v=""/>
    <s v="manuela.xpert@gmail.com"/>
    <s v=""/>
    <s v=""/>
    <s v=""/>
    <s v=""/>
    <s v=""/>
    <s v=""/>
    <s v=""/>
    <s v=""/>
    <s v=""/>
    <s v="Pipeline de Vendas"/>
    <s v="Apresentar Solução (35%)"/>
    <s v=""/>
    <m/>
    <n v="622008"/>
    <n v="28481"/>
    <n v="12"/>
    <s v="Junior Lopes"/>
    <d v="2025-05-30T00:00:00"/>
    <d v="1899-12-30T09:10:03"/>
    <s v=""/>
    <s v="Perdido"/>
    <d v="2025-06-11T00:00:00"/>
    <d v="1899-12-30T14:24:50"/>
    <s v="Não houve aprovação financeira"/>
    <s v="informou que não tem verba de investimento"/>
    <s v=""/>
    <x v="76"/>
    <s v=""/>
    <x v="89"/>
    <s v=""/>
    <m/>
    <m/>
    <s v=""/>
    <s v=""/>
    <s v=""/>
    <s v=""/>
    <n v="1"/>
  </r>
  <r>
    <x v="1"/>
    <n v="416"/>
    <m/>
    <n v="2132"/>
    <s v=""/>
    <s v=""/>
    <x v="177"/>
    <m/>
    <s v=""/>
    <s v="Xpert - Cloud"/>
    <s v="11996219888"/>
    <s v=""/>
    <s v="manuela.xpert@gmail.com"/>
    <s v=""/>
    <s v=""/>
    <s v=""/>
    <s v=""/>
    <s v=""/>
    <s v=""/>
    <s v=""/>
    <s v=""/>
    <s v=""/>
    <s v="Pipeline de Vendas"/>
    <s v="Apresentar Proposta (50%)"/>
    <s v=""/>
    <m/>
    <n v="1600"/>
    <n v="28747"/>
    <n v="12"/>
    <s v="Junior Lopes"/>
    <d v="2025-05-30T00:00:00"/>
    <d v="1899-12-30T10:11:13"/>
    <s v=""/>
    <s v="Perdido"/>
    <d v="2025-06-11T00:00:00"/>
    <d v="1899-12-30T14:25:29"/>
    <s v="Não houve aprovação financeira"/>
    <s v="informou que não tem verba para investimento"/>
    <s v=""/>
    <x v="76"/>
    <s v=""/>
    <x v="89"/>
    <s v=""/>
    <m/>
    <m/>
    <s v=""/>
    <s v=""/>
    <s v=""/>
    <s v=""/>
    <n v="1"/>
  </r>
  <r>
    <x v="1"/>
    <n v="417"/>
    <m/>
    <n v="2133"/>
    <s v=""/>
    <s v=""/>
    <x v="178"/>
    <m/>
    <s v=""/>
    <s v="Ponto das festas"/>
    <s v="43988505997"/>
    <s v=""/>
    <s v="gerencia@pontodasfestas.com.br"/>
    <s v=""/>
    <s v=""/>
    <s v=""/>
    <s v=""/>
    <s v=""/>
    <s v=""/>
    <s v=""/>
    <s v=""/>
    <s v="30%"/>
    <s v="Pipeline de Vendas"/>
    <s v="Apresentar Proposta (50%)"/>
    <s v=""/>
    <m/>
    <n v="16960"/>
    <n v="40572"/>
    <n v="52"/>
    <s v="Junior Lopes"/>
    <d v="2025-05-30T00:00:00"/>
    <d v="1899-12-30T10:33:15"/>
    <s v=""/>
    <s v="Perdido"/>
    <d v="2025-07-21T00:00:00"/>
    <d v="1899-12-30T09:14:38"/>
    <s v="Projeto adiado / sem prazo definido"/>
    <s v="varias tentativas de contato sem retorno"/>
    <s v=""/>
    <x v="76"/>
    <s v=""/>
    <x v="89"/>
    <s v=""/>
    <m/>
    <m/>
    <s v=""/>
    <s v=""/>
    <s v=""/>
    <s v=""/>
    <n v="1"/>
  </r>
  <r>
    <x v="1"/>
    <n v="419"/>
    <m/>
    <n v="2144"/>
    <s v=""/>
    <s v=""/>
    <x v="179"/>
    <m/>
    <s v=""/>
    <s v="Oikos - Cloud"/>
    <s v="11987154112"/>
    <s v=""/>
    <s v="pedro@grupoecoa.com.br"/>
    <s v=""/>
    <s v=""/>
    <s v=""/>
    <s v=""/>
    <s v=""/>
    <s v=""/>
    <s v=""/>
    <s v=""/>
    <s v="90%"/>
    <s v="Pipeline de Vendas"/>
    <s v="Em Fechamento (100%)"/>
    <s v=""/>
    <m/>
    <n v="1600"/>
    <n v="1833334"/>
    <n v="52"/>
    <s v="Junior Lopes"/>
    <d v="2025-05-30T00:00:00"/>
    <d v="1899-12-30T14:05:15"/>
    <s v=""/>
    <s v="Perdido"/>
    <d v="2025-07-21T00:00:00"/>
    <d v="1899-12-30T09:47:38"/>
    <s v="Projeto adiado / sem prazo definido"/>
    <s v="cliente não responde sobre a continuidade"/>
    <s v=""/>
    <x v="80"/>
    <s v=""/>
    <x v="0"/>
    <s v=""/>
    <m/>
    <m/>
    <s v=""/>
    <s v=""/>
    <s v=""/>
    <s v=""/>
    <n v="1"/>
  </r>
  <r>
    <x v="1"/>
    <n v="422"/>
    <m/>
    <n v="2141"/>
    <s v=""/>
    <s v=""/>
    <x v="180"/>
    <n v="27898532000144"/>
    <s v=""/>
    <s v="Tainã"/>
    <s v="(14) 99811-7753"/>
    <s v=""/>
    <s v="atacadaodastripasfinanceiro@hotmail.com"/>
    <s v=""/>
    <s v=""/>
    <s v=""/>
    <s v="Tupã"/>
    <s v="SP"/>
    <s v="Inbound Opens"/>
    <s v=""/>
    <s v=""/>
    <s v=""/>
    <s v="Pipeline de Vendas"/>
    <s v="Apresentar Solução (35%)"/>
    <s v=""/>
    <m/>
    <n v="69592"/>
    <n v="23661"/>
    <n v="42"/>
    <s v="Débora Duarte"/>
    <d v="2025-06-02T00:00:00"/>
    <d v="1899-12-30T10:51:39"/>
    <s v=""/>
    <s v="Perdido"/>
    <d v="2025-07-14T00:00:00"/>
    <d v="1899-12-30T10:33:15"/>
    <s v="Projeto adiado / sem prazo definido"/>
    <s v="Descartando ! cliente não encontra tempo para seguir"/>
    <s v="30/05/2025 11:00"/>
    <x v="81"/>
    <s v="Débora Duarte"/>
    <x v="90"/>
    <s v="13/06/2025"/>
    <m/>
    <m/>
    <s v=""/>
    <s v=""/>
    <s v=""/>
    <s v=""/>
    <n v="1"/>
  </r>
  <r>
    <x v="2"/>
    <n v="423"/>
    <m/>
    <n v="2179"/>
    <s v=""/>
    <s v=""/>
    <x v="181"/>
    <n v="62182753000112"/>
    <s v=""/>
    <s v="Felipe"/>
    <s v="16994380062"/>
    <s v=""/>
    <s v="felipe.monteiro@pimpinella.com.br"/>
    <s v=""/>
    <s v=""/>
    <s v=""/>
    <s v=""/>
    <s v=""/>
    <s v="Indicação"/>
    <s v=""/>
    <s v=""/>
    <s v="80%"/>
    <s v="Pipeline de Vendas"/>
    <s v="Em negociação (75%)"/>
    <s v=""/>
    <m/>
    <n v="14280"/>
    <n v="127673"/>
    <n v="168"/>
    <s v="Rayssa Karapeticov"/>
    <d v="2025-06-03T00:00:00"/>
    <d v="1899-12-30T11:32:35"/>
    <s v=""/>
    <s v="Perdido"/>
    <d v="2025-11-18T00:00:00"/>
    <d v="1899-12-30T09:34:53"/>
    <s v="Projeto adiado / sem prazo definido"/>
    <s v=""/>
    <s v=""/>
    <x v="82"/>
    <s v="Rayssa Karapeticov"/>
    <x v="91"/>
    <s v=""/>
    <m/>
    <m/>
    <s v=""/>
    <s v=""/>
    <s v=""/>
    <s v=""/>
    <n v="1"/>
  </r>
  <r>
    <x v="1"/>
    <n v="425"/>
    <m/>
    <n v="2181"/>
    <s v=""/>
    <s v=""/>
    <x v="182"/>
    <n v="3971592000187"/>
    <s v=""/>
    <s v="Brinquedos Afv (RMS_AFV)"/>
    <s v="(51) 99840-3160"/>
    <s v=""/>
    <s v=""/>
    <s v=""/>
    <s v=""/>
    <s v=""/>
    <s v="PORTAO"/>
    <s v="RS"/>
    <s v=""/>
    <s v=""/>
    <s v=""/>
    <s v="30%"/>
    <s v="Pipeline de Vendas"/>
    <s v="Apresentar Solução (35%)"/>
    <s v=""/>
    <m/>
    <m/>
    <m/>
    <n v="26"/>
    <s v="Junior Lopes"/>
    <d v="2025-06-05T00:00:00"/>
    <d v="1899-12-30T10:52:19"/>
    <s v=""/>
    <s v="Perdido"/>
    <d v="2025-07-01T00:00:00"/>
    <d v="1899-12-30T09:56:25"/>
    <s v="Projeto adiado / sem prazo definido"/>
    <s v="Aguardar Rep Mais"/>
    <s v=""/>
    <x v="0"/>
    <s v=""/>
    <x v="0"/>
    <s v=""/>
    <m/>
    <m/>
    <s v=""/>
    <s v=""/>
    <s v=""/>
    <s v=""/>
    <n v="1"/>
  </r>
  <r>
    <x v="1"/>
    <n v="426"/>
    <m/>
    <n v="2186"/>
    <s v=""/>
    <s v=""/>
    <x v="183"/>
    <n v="480542000290"/>
    <s v=""/>
    <s v="Anjo brinquedos (RMS - AFV)"/>
    <s v="15997651713"/>
    <s v=""/>
    <s v="fat@brinquedosanjo.com.br"/>
    <s v=""/>
    <s v=""/>
    <s v=""/>
    <s v="LARANJAL PAULISTA"/>
    <s v="SP"/>
    <s v=""/>
    <s v=""/>
    <s v=""/>
    <s v=""/>
    <s v="Pipeline de Vendas"/>
    <s v="Agendamento (0%)"/>
    <s v=""/>
    <m/>
    <m/>
    <m/>
    <n v="26"/>
    <s v="Junior Lopes"/>
    <d v="2025-06-05T00:00:00"/>
    <d v="1899-12-30T11:03:34"/>
    <s v=""/>
    <s v="Perdido"/>
    <d v="2025-07-01T00:00:00"/>
    <d v="1899-12-30T09:47:14"/>
    <s v="Projeto adiado / sem prazo definido"/>
    <s v="Aguardar Rep Mais"/>
    <s v=""/>
    <x v="0"/>
    <s v=""/>
    <x v="0"/>
    <s v=""/>
    <m/>
    <m/>
    <s v=""/>
    <s v=""/>
    <s v=""/>
    <s v=""/>
    <n v="1"/>
  </r>
  <r>
    <x v="1"/>
    <n v="428"/>
    <m/>
    <n v="2189"/>
    <s v=""/>
    <s v=""/>
    <x v="184"/>
    <n v="10509268000107"/>
    <s v=""/>
    <s v="meio atacado"/>
    <s v="19997556622"/>
    <s v=""/>
    <s v="camila@meioatacado.com.br"/>
    <s v=""/>
    <s v=""/>
    <s v=""/>
    <s v="PIRACICABA"/>
    <s v="SP"/>
    <s v=""/>
    <s v=""/>
    <s v=""/>
    <s v="30%"/>
    <s v="Pipeline de Vendas"/>
    <s v="Apresentar Solução (35%)"/>
    <s v=""/>
    <m/>
    <n v="73430"/>
    <n v="37382"/>
    <n v="24"/>
    <s v="Junior Lopes"/>
    <d v="2025-06-06T00:00:00"/>
    <d v="1899-12-30T10:17:02"/>
    <s v=""/>
    <s v="Perdido"/>
    <d v="2025-06-30T00:00:00"/>
    <d v="1899-12-30T15:06:25"/>
    <s v="Projeto adiado / sem prazo definido"/>
    <s v="não responde mais aos contatos"/>
    <s v=""/>
    <x v="83"/>
    <s v=""/>
    <x v="92"/>
    <s v="16/06/2025"/>
    <m/>
    <m/>
    <s v=""/>
    <s v=""/>
    <s v=""/>
    <s v=""/>
    <n v="1"/>
  </r>
  <r>
    <x v="1"/>
    <n v="431"/>
    <m/>
    <n v="2194"/>
    <s v=""/>
    <s v=""/>
    <x v="185"/>
    <n v="28646036000166"/>
    <s v=""/>
    <s v="Goal comercial"/>
    <s v="11938010304"/>
    <s v=""/>
    <s v="juraci@goalcomercial.com.br"/>
    <s v=""/>
    <s v=""/>
    <s v=""/>
    <s v="SAO CAETANO DO SUL"/>
    <s v="SP"/>
    <s v=""/>
    <s v=""/>
    <s v=""/>
    <s v="30%"/>
    <s v="Pipeline de Vendas"/>
    <s v="Em negociação (75%)"/>
    <s v=""/>
    <m/>
    <n v="16960"/>
    <n v="70432"/>
    <n v="80"/>
    <s v="Junior Lopes"/>
    <d v="2025-06-09T00:00:00"/>
    <d v="1899-12-30T11:25:17"/>
    <s v=""/>
    <s v="Perdido"/>
    <d v="2025-08-28T00:00:00"/>
    <d v="1899-12-30T15:35:05"/>
    <s v="Projeto adiado / sem prazo definido"/>
    <s v="sem retorno do cliente"/>
    <s v=""/>
    <x v="84"/>
    <s v=""/>
    <x v="93"/>
    <s v="13/03/2026"/>
    <m/>
    <m/>
    <s v=""/>
    <s v=""/>
    <s v=""/>
    <s v=""/>
    <n v="1"/>
  </r>
  <r>
    <x v="1"/>
    <n v="433"/>
    <m/>
    <n v="2197"/>
    <s v=""/>
    <s v=""/>
    <x v="186"/>
    <m/>
    <s v=""/>
    <s v="Galpão importadora"/>
    <s v="81992522279"/>
    <s v=""/>
    <s v="null"/>
    <s v=""/>
    <s v=""/>
    <s v=""/>
    <s v=""/>
    <s v=""/>
    <s v=""/>
    <s v=""/>
    <s v=""/>
    <s v=""/>
    <s v="Pipeline de Vendas"/>
    <s v="Apresentar Solução (35%)"/>
    <s v=""/>
    <m/>
    <n v="16960"/>
    <n v="998"/>
    <n v="20"/>
    <s v="Junior Lopes"/>
    <d v="2025-06-11T00:00:00"/>
    <d v="1899-12-30T09:05:28"/>
    <s v=""/>
    <s v="Perdido"/>
    <d v="2025-07-01T00:00:00"/>
    <d v="1899-12-30T09:59:28"/>
    <s v="Projeto adiado / sem prazo definido"/>
    <s v="cliente não encontra tempo para apresentação"/>
    <s v=""/>
    <x v="85"/>
    <s v=""/>
    <x v="94"/>
    <s v=""/>
    <m/>
    <m/>
    <s v=""/>
    <s v=""/>
    <s v=""/>
    <s v=""/>
    <n v="1"/>
  </r>
  <r>
    <x v="0"/>
    <n v="434"/>
    <m/>
    <n v="2198"/>
    <s v=""/>
    <s v=""/>
    <x v="187"/>
    <m/>
    <s v=""/>
    <s v="Alexandre"/>
    <s v="11976806556"/>
    <s v=""/>
    <s v="vendas@finaideia.com.br"/>
    <s v=""/>
    <s v=""/>
    <s v=""/>
    <s v=""/>
    <s v=""/>
    <s v="Indicação"/>
    <s v=""/>
    <s v=""/>
    <s v="30%"/>
    <s v="Pipeline de Vendas"/>
    <s v="Apresentar Solução (35%)"/>
    <s v="6x sem juros (0/30/60/90/120/150...)"/>
    <m/>
    <m/>
    <m/>
    <n v="90"/>
    <s v="Paulo Souza"/>
    <d v="2025-06-12T00:00:00"/>
    <d v="1899-12-30T15:13:20"/>
    <s v=""/>
    <s v="Perdido"/>
    <d v="2025-09-10T00:00:00"/>
    <d v="1899-12-30T16:13:03"/>
    <s v="Projeto adiado / sem prazo definido"/>
    <s v=""/>
    <s v=""/>
    <x v="0"/>
    <s v="Paulo Souza"/>
    <x v="0"/>
    <s v=""/>
    <m/>
    <m/>
    <s v=""/>
    <s v=""/>
    <s v=""/>
    <s v=""/>
    <n v="1"/>
  </r>
  <r>
    <x v="0"/>
    <n v="435"/>
    <m/>
    <n v="2200"/>
    <s v=""/>
    <s v=""/>
    <x v="188"/>
    <m/>
    <s v=""/>
    <s v="Gustavo"/>
    <s v="16996352359"/>
    <s v=""/>
    <s v="null"/>
    <s v=""/>
    <s v=""/>
    <s v=""/>
    <s v=""/>
    <s v=""/>
    <s v="Indicação"/>
    <s v=""/>
    <s v=""/>
    <s v="50%"/>
    <s v="Pipeline de Vendas"/>
    <s v="Em Fechamento (100%)"/>
    <s v=""/>
    <m/>
    <n v="28800"/>
    <n v="201012"/>
    <n v="56"/>
    <s v="Paulo Souza"/>
    <d v="2025-06-12T00:00:00"/>
    <d v="1899-12-30T16:24:50"/>
    <s v=""/>
    <s v="Ganho"/>
    <d v="2025-08-07T00:00:00"/>
    <d v="1899-12-30T12:06:18"/>
    <s v=""/>
    <s v=""/>
    <s v=""/>
    <x v="0"/>
    <s v="Paulo Souza"/>
    <x v="0"/>
    <s v=""/>
    <m/>
    <m/>
    <s v=""/>
    <s v=""/>
    <s v=""/>
    <s v=""/>
    <n v="1"/>
  </r>
  <r>
    <x v="1"/>
    <n v="447"/>
    <m/>
    <n v="2213"/>
    <s v=""/>
    <s v=""/>
    <x v="189"/>
    <m/>
    <s v=""/>
    <s v="Vitoria cortinas"/>
    <s v="53999594657"/>
    <s v=""/>
    <s v="compras@vitoriacortinasdecoracoes.com.br"/>
    <s v=""/>
    <s v=""/>
    <s v=""/>
    <s v=""/>
    <s v=""/>
    <s v=""/>
    <s v=""/>
    <s v=""/>
    <s v=""/>
    <s v="Pipeline de Vendas"/>
    <s v="Em Fechamento (100%)"/>
    <s v=""/>
    <m/>
    <n v="1782"/>
    <n v="3564"/>
    <n v="2"/>
    <s v="Junior Lopes"/>
    <d v="2025-06-16T00:00:00"/>
    <d v="1899-12-30T15:57:47"/>
    <s v=""/>
    <s v="Ganho"/>
    <d v="2025-06-18T00:00:00"/>
    <d v="1899-12-30T14:49:21"/>
    <s v=""/>
    <s v=""/>
    <s v=""/>
    <x v="86"/>
    <s v=""/>
    <x v="93"/>
    <s v=""/>
    <m/>
    <m/>
    <s v=""/>
    <s v=""/>
    <s v=""/>
    <s v=""/>
    <n v="1"/>
  </r>
  <r>
    <x v="1"/>
    <n v="451"/>
    <m/>
    <n v="2217"/>
    <s v=""/>
    <s v=""/>
    <x v="190"/>
    <n v="27898532000144"/>
    <s v=""/>
    <s v="Atacadão das Tripas (cloud)"/>
    <s v="14998117753"/>
    <s v=""/>
    <s v="atacadaodastripasfinanceiro@hotmail.com"/>
    <s v=""/>
    <s v=""/>
    <s v=""/>
    <s v="TUPA"/>
    <s v="SP"/>
    <s v=""/>
    <s v=""/>
    <s v=""/>
    <s v=""/>
    <s v="Pipeline de Vendas"/>
    <s v="Apresentar Solução (35%)"/>
    <s v=""/>
    <m/>
    <n v="1600"/>
    <n v="26507"/>
    <n v="26"/>
    <s v="Junior Lopes"/>
    <d v="2025-06-18T00:00:00"/>
    <d v="1899-12-30T14:31:48"/>
    <s v=""/>
    <s v="Perdido"/>
    <d v="2025-07-14T00:00:00"/>
    <d v="1899-12-30T10:34:04"/>
    <s v="Projeto adiado / sem prazo definido"/>
    <s v="Descartando ! cliente não encontra tempo para seguir"/>
    <s v=""/>
    <x v="81"/>
    <s v=""/>
    <x v="93"/>
    <s v=""/>
    <m/>
    <m/>
    <s v=""/>
    <s v=""/>
    <s v=""/>
    <s v=""/>
    <n v="1"/>
  </r>
  <r>
    <x v="1"/>
    <n v="453"/>
    <m/>
    <n v="2219"/>
    <s v=""/>
    <s v=""/>
    <x v="191"/>
    <m/>
    <s v=""/>
    <s v="MDL Import - int.WMS"/>
    <s v="11910695515"/>
    <s v=""/>
    <s v="janaina@mdlimport.com.br"/>
    <s v=""/>
    <s v=""/>
    <s v=""/>
    <s v=""/>
    <s v=""/>
    <s v=""/>
    <s v=""/>
    <s v=""/>
    <s v="30%"/>
    <s v="Pipeline de Vendas"/>
    <s v="Em negociação (75%)"/>
    <s v=""/>
    <m/>
    <n v="29680"/>
    <n v="0"/>
    <n v="7"/>
    <s v="Junior Lopes"/>
    <d v="2025-06-23T00:00:00"/>
    <d v="1899-12-30T09:14:24"/>
    <s v=""/>
    <s v="Perdido"/>
    <d v="2025-06-30T00:00:00"/>
    <d v="1899-12-30T15:12:28"/>
    <s v="Não houve aprovação financeira"/>
    <s v="orçamento não foi aprovado"/>
    <s v=""/>
    <x v="83"/>
    <s v=""/>
    <x v="95"/>
    <s v=""/>
    <m/>
    <m/>
    <s v=""/>
    <s v=""/>
    <s v=""/>
    <s v=""/>
    <n v="1"/>
  </r>
  <r>
    <x v="1"/>
    <n v="455"/>
    <m/>
    <n v="2221"/>
    <s v=""/>
    <s v=""/>
    <x v="192"/>
    <n v="1537246000160"/>
    <s v=""/>
    <s v="BS Toys (RMS)"/>
    <s v="15997551770"/>
    <s v=""/>
    <s v="atendimento@bstoys.com.br"/>
    <s v=""/>
    <s v=""/>
    <s v=""/>
    <s v="BOITUVA"/>
    <s v="SP"/>
    <s v=""/>
    <s v=""/>
    <s v=""/>
    <s v=""/>
    <s v="Pipeline de Vendas"/>
    <s v="Agendamento (0%)"/>
    <s v=""/>
    <m/>
    <m/>
    <m/>
    <n v="7"/>
    <s v="Junior Lopes"/>
    <d v="2025-06-24T00:00:00"/>
    <d v="1899-12-30T11:14:18"/>
    <s v=""/>
    <s v="Perdido"/>
    <d v="2025-07-01T00:00:00"/>
    <d v="1899-12-30T09:49:52"/>
    <s v="Projeto adiado / sem prazo definido"/>
    <s v="Aguardar Rep Mais"/>
    <s v=""/>
    <x v="0"/>
    <s v=""/>
    <x v="0"/>
    <s v=""/>
    <m/>
    <m/>
    <s v=""/>
    <s v=""/>
    <s v=""/>
    <s v=""/>
    <n v="1"/>
  </r>
  <r>
    <x v="1"/>
    <n v="456"/>
    <m/>
    <n v="2226"/>
    <s v=""/>
    <s v=""/>
    <x v="193"/>
    <n v="1684187000152"/>
    <s v=""/>
    <s v="Dielu"/>
    <s v="11947837975"/>
    <s v=""/>
    <s v=""/>
    <s v=""/>
    <s v=""/>
    <s v=""/>
    <s v="SAO PAULO"/>
    <s v="SP"/>
    <s v=""/>
    <s v=""/>
    <s v=""/>
    <s v=""/>
    <s v="Pipeline de Vendas"/>
    <s v="Agendamento (0%)"/>
    <s v=""/>
    <m/>
    <m/>
    <m/>
    <n v="7"/>
    <s v="Junior Lopes"/>
    <d v="2025-06-24T00:00:00"/>
    <d v="1899-12-30T11:20:52"/>
    <s v=""/>
    <s v="Perdido"/>
    <d v="2025-07-01T00:00:00"/>
    <d v="1899-12-30T09:50:21"/>
    <s v="Projeto adiado / sem prazo definido"/>
    <s v="Aguardar Rep Mais"/>
    <s v=""/>
    <x v="0"/>
    <s v=""/>
    <x v="0"/>
    <s v=""/>
    <m/>
    <m/>
    <s v=""/>
    <s v=""/>
    <s v=""/>
    <s v=""/>
    <n v="1"/>
  </r>
  <r>
    <x v="1"/>
    <n v="457"/>
    <m/>
    <n v="2230"/>
    <s v=""/>
    <s v=""/>
    <x v="194"/>
    <n v="28895260000191"/>
    <s v=""/>
    <s v="ceramica salute"/>
    <s v="19999094519"/>
    <s v=""/>
    <s v="comercial@ceramicasalute.com.br"/>
    <s v=""/>
    <s v=""/>
    <s v=""/>
    <s v="JABOTICABAL"/>
    <s v="SP"/>
    <s v=""/>
    <s v=""/>
    <s v=""/>
    <s v=""/>
    <s v="Pipeline de Vendas"/>
    <s v="Agendamento (0%)"/>
    <s v=""/>
    <m/>
    <m/>
    <m/>
    <n v="7"/>
    <s v="Junior Lopes"/>
    <d v="2025-06-24T00:00:00"/>
    <d v="1899-12-30T11:28:08"/>
    <s v=""/>
    <s v="Perdido"/>
    <d v="2025-07-01T00:00:00"/>
    <d v="1899-12-30T09:50:51"/>
    <s v="Projeto adiado / sem prazo definido"/>
    <s v="Aguardar Rep Mais"/>
    <s v=""/>
    <x v="0"/>
    <s v=""/>
    <x v="0"/>
    <s v=""/>
    <m/>
    <m/>
    <s v=""/>
    <s v=""/>
    <s v=""/>
    <s v=""/>
    <n v="1"/>
  </r>
  <r>
    <x v="1"/>
    <n v="462"/>
    <m/>
    <n v="2237"/>
    <s v=""/>
    <s v=""/>
    <x v="195"/>
    <n v="61630786000115"/>
    <s v=""/>
    <s v="Palete Chiari"/>
    <s v="16993303692"/>
    <s v=""/>
    <s v=""/>
    <s v=""/>
    <s v=""/>
    <s v=""/>
    <s v="SAO CARLOS"/>
    <s v="SP"/>
    <s v=""/>
    <s v=""/>
    <s v=""/>
    <s v=""/>
    <s v="Pipeline de Vendas"/>
    <s v="Apresentar Solução (35%)"/>
    <s v=""/>
    <m/>
    <n v="80560"/>
    <n v="249008"/>
    <n v="1"/>
    <s v="Junior Lopes"/>
    <d v="2025-06-25T00:00:00"/>
    <d v="1899-12-30T10:30:51"/>
    <s v=""/>
    <s v="Perdido"/>
    <d v="2025-06-26T00:00:00"/>
    <d v="1899-12-30T10:45:55"/>
    <s v="Projeto adiado / sem prazo definido"/>
    <s v="cliente não respondeu mais aos contatos ! estou decertando e manterei contato"/>
    <s v=""/>
    <x v="86"/>
    <s v=""/>
    <x v="96"/>
    <s v=""/>
    <m/>
    <m/>
    <s v=""/>
    <s v=""/>
    <s v=""/>
    <s v=""/>
    <n v="1"/>
  </r>
  <r>
    <x v="1"/>
    <n v="463"/>
    <m/>
    <n v="2239"/>
    <s v=""/>
    <s v=""/>
    <x v="196"/>
    <n v="61630786000115"/>
    <s v=""/>
    <s v="Chiare Palete - Cloud"/>
    <s v="16993303692"/>
    <s v=""/>
    <s v=""/>
    <s v=""/>
    <s v=""/>
    <s v=""/>
    <s v="SAO CARLOS"/>
    <s v="SP"/>
    <s v=""/>
    <s v=""/>
    <s v=""/>
    <s v=""/>
    <s v="Pipeline de Vendas"/>
    <s v="Apresentar Solução (35%)"/>
    <s v=""/>
    <m/>
    <n v="1600"/>
    <n v="278556"/>
    <n v="1"/>
    <s v="Junior Lopes"/>
    <d v="2025-06-25T00:00:00"/>
    <d v="1899-12-30T10:37:01"/>
    <s v=""/>
    <s v="Perdido"/>
    <d v="2025-06-26T00:00:00"/>
    <d v="1899-12-30T10:46:25"/>
    <s v="Projeto adiado / sem prazo definido"/>
    <s v="cliente não respondeu mais aos contatos ! estou decertando e manterei contato"/>
    <s v=""/>
    <x v="86"/>
    <s v=""/>
    <x v="96"/>
    <s v=""/>
    <m/>
    <m/>
    <s v=""/>
    <s v=""/>
    <s v=""/>
    <s v=""/>
    <n v="1"/>
  </r>
  <r>
    <x v="1"/>
    <n v="466"/>
    <m/>
    <n v="2243"/>
    <s v=""/>
    <s v=""/>
    <x v="197"/>
    <m/>
    <s v=""/>
    <s v="vitoria cortinas - User AFV"/>
    <s v="3599959465"/>
    <s v=""/>
    <s v="comercial@vitoriacortninasdecoracoes.com.br"/>
    <s v=""/>
    <s v=""/>
    <s v=""/>
    <s v=""/>
    <s v=""/>
    <s v=""/>
    <s v=""/>
    <s v=""/>
    <s v=""/>
    <s v="Pipeline de Vendas"/>
    <s v="Em Fechamento (100%)"/>
    <s v=""/>
    <m/>
    <n v="0"/>
    <n v="54887"/>
    <n v="5"/>
    <s v="Junior Lopes"/>
    <d v="2025-06-25T00:00:00"/>
    <d v="1899-12-30T14:32:40"/>
    <s v=""/>
    <s v="Ganho"/>
    <d v="2025-06-30T00:00:00"/>
    <d v="1899-12-30T08:34:12"/>
    <s v=""/>
    <s v=""/>
    <s v=""/>
    <x v="87"/>
    <s v=""/>
    <x v="97"/>
    <s v=""/>
    <m/>
    <m/>
    <s v=""/>
    <s v=""/>
    <s v=""/>
    <s v=""/>
    <n v="1"/>
  </r>
  <r>
    <x v="1"/>
    <n v="467"/>
    <m/>
    <n v="2244"/>
    <s v=""/>
    <s v=""/>
    <x v="198"/>
    <m/>
    <s v=""/>
    <s v="Meio atacado - Cloud"/>
    <s v="19997556622"/>
    <s v=""/>
    <s v="camila@meioatacado.com.br"/>
    <s v=""/>
    <s v=""/>
    <s v=""/>
    <s v=""/>
    <s v=""/>
    <s v=""/>
    <s v=""/>
    <s v=""/>
    <s v=""/>
    <s v="Pipeline de Vendas"/>
    <s v="Apresentar Solução (35%)"/>
    <s v=""/>
    <m/>
    <n v="1600"/>
    <n v="309656"/>
    <n v="5"/>
    <s v="Junior Lopes"/>
    <d v="2025-06-25T00:00:00"/>
    <d v="1899-12-30T15:54:02"/>
    <s v=""/>
    <s v="Perdido"/>
    <d v="2025-06-30T00:00:00"/>
    <d v="1899-12-30T15:06:57"/>
    <s v="Projeto adiado / sem prazo definido"/>
    <s v="não responde mais aos contatos"/>
    <s v=""/>
    <x v="83"/>
    <s v=""/>
    <x v="98"/>
    <s v=""/>
    <m/>
    <m/>
    <s v=""/>
    <s v=""/>
    <s v=""/>
    <s v=""/>
    <n v="1"/>
  </r>
  <r>
    <x v="1"/>
    <n v="468"/>
    <m/>
    <n v="2245"/>
    <s v=""/>
    <s v=""/>
    <x v="199"/>
    <n v="9509581000166"/>
    <s v=""/>
    <s v="Emporio Villamarin"/>
    <s v="11999265872"/>
    <s v=""/>
    <s v="alfonso@emporiovillamarin.com.br"/>
    <s v=""/>
    <s v=""/>
    <s v=""/>
    <s v="SAO PAULO"/>
    <s v="SP"/>
    <s v=""/>
    <s v=""/>
    <s v=""/>
    <s v=""/>
    <s v="Pipeline de Vendas"/>
    <s v="Apresentar Proposta (50%)"/>
    <s v=""/>
    <m/>
    <n v="10800"/>
    <n v="450"/>
    <n v="5"/>
    <s v="Junior Lopes"/>
    <d v="2025-06-25T00:00:00"/>
    <d v="1899-12-30T16:08:55"/>
    <s v=""/>
    <s v="Perdido"/>
    <d v="2025-06-30T00:00:00"/>
    <d v="1899-12-30T15:05:29"/>
    <s v="Projeto adiado / sem prazo definido"/>
    <s v="não ira dar continuidade no momento"/>
    <s v=""/>
    <x v="88"/>
    <s v=""/>
    <x v="92"/>
    <s v=""/>
    <m/>
    <m/>
    <s v=""/>
    <s v=""/>
    <s v=""/>
    <s v=""/>
    <n v="1"/>
  </r>
  <r>
    <x v="1"/>
    <n v="469"/>
    <m/>
    <n v="2250"/>
    <s v=""/>
    <s v=""/>
    <x v="200"/>
    <m/>
    <s v=""/>
    <s v="Elmo atacado (horas exc)"/>
    <s v="47984366161"/>
    <s v=""/>
    <s v="fabio@elmoatacado.com.br"/>
    <s v=""/>
    <s v=""/>
    <s v=""/>
    <s v=""/>
    <s v=""/>
    <s v=""/>
    <s v=""/>
    <s v=""/>
    <s v=""/>
    <s v="Pipeline de Vendas"/>
    <s v="Em Fechamento (100%)"/>
    <s v=""/>
    <m/>
    <n v="607121"/>
    <n v="0"/>
    <n v="25"/>
    <s v="Junior Lopes"/>
    <d v="2025-06-26T00:00:00"/>
    <d v="1899-12-30T11:58:43"/>
    <s v=""/>
    <s v="Ganho"/>
    <d v="2025-07-21T00:00:00"/>
    <d v="1899-12-30T09:16:58"/>
    <s v=""/>
    <s v=""/>
    <s v=""/>
    <x v="89"/>
    <s v=""/>
    <x v="99"/>
    <s v=""/>
    <m/>
    <m/>
    <s v=""/>
    <s v=""/>
    <s v=""/>
    <s v=""/>
    <n v="1"/>
  </r>
  <r>
    <x v="1"/>
    <n v="470"/>
    <m/>
    <n v="2272"/>
    <s v=""/>
    <s v=""/>
    <x v="201"/>
    <n v="912882000161"/>
    <s v=""/>
    <s v="Grupo K1"/>
    <s v="51980225006"/>
    <s v=""/>
    <s v="angela@kappersberg.com.br"/>
    <s v=""/>
    <s v=""/>
    <s v=""/>
    <s v="TUPANDI"/>
    <s v="RS"/>
    <s v=""/>
    <s v=""/>
    <s v=""/>
    <s v="30%"/>
    <s v="Pipeline de Vendas"/>
    <s v="Em negociação (75%)"/>
    <s v=""/>
    <m/>
    <n v="16960"/>
    <n v="14034"/>
    <n v="84"/>
    <s v="Junior Lopes"/>
    <d v="2025-06-30T00:00:00"/>
    <d v="1899-12-30T11:52:50"/>
    <s v=""/>
    <s v="Perdido"/>
    <d v="2025-09-22T00:00:00"/>
    <d v="1899-12-30T11:28:00"/>
    <s v="Projeto adiado / sem prazo definido"/>
    <s v="em contato com Ângela, nao esta descartado porem não seguirá nesse momento"/>
    <s v=""/>
    <x v="90"/>
    <s v=""/>
    <x v="100"/>
    <s v=""/>
    <m/>
    <m/>
    <s v=""/>
    <s v=""/>
    <s v=""/>
    <s v=""/>
    <n v="1"/>
  </r>
  <r>
    <x v="2"/>
    <n v="475"/>
    <m/>
    <n v="2299"/>
    <s v=""/>
    <s v=""/>
    <x v="202"/>
    <n v="3436772000169"/>
    <s v=""/>
    <s v="Julia Soares"/>
    <s v="11983386298"/>
    <s v=""/>
    <s v="vendas@trilharty.com.br"/>
    <s v=""/>
    <s v=""/>
    <s v=""/>
    <s v="SAO PAULO"/>
    <s v="SP"/>
    <s v=""/>
    <s v=""/>
    <s v=""/>
    <s v=""/>
    <s v="Pipeline de Vendas"/>
    <s v="Apresentar Proposta (50%)"/>
    <s v=""/>
    <m/>
    <m/>
    <m/>
    <n v="60"/>
    <s v="Rayssa Karapeticov"/>
    <d v="2025-07-04T00:00:00"/>
    <d v="1899-12-30T09:23:22"/>
    <s v=""/>
    <s v="Perdido"/>
    <d v="2025-09-02T00:00:00"/>
    <d v="1899-12-30T09:58:39"/>
    <s v="Projeto adiado / sem prazo definido"/>
    <s v=""/>
    <s v=""/>
    <x v="91"/>
    <s v=""/>
    <x v="101"/>
    <s v=""/>
    <m/>
    <m/>
    <s v=""/>
    <s v=""/>
    <s v=""/>
    <s v=""/>
    <n v="1"/>
  </r>
  <r>
    <x v="1"/>
    <n v="485"/>
    <m/>
    <n v="2341"/>
    <s v=""/>
    <s v=""/>
    <x v="203"/>
    <n v="20750928000109"/>
    <s v=""/>
    <s v="Tiago eletrodomésticos"/>
    <s v="(48) 9960-6091"/>
    <s v=""/>
    <s v="financeiro@saeletronicos.com.br"/>
    <s v=""/>
    <s v=""/>
    <s v=""/>
    <s v="ICARA"/>
    <s v="SC"/>
    <s v=""/>
    <s v=""/>
    <s v=""/>
    <s v="50%"/>
    <s v="Pipeline de Vendas"/>
    <s v="Em Fechamento (100%)"/>
    <s v=""/>
    <m/>
    <n v="6429976"/>
    <n v="399322"/>
    <n v="73"/>
    <s v="Junior Lopes"/>
    <d v="2025-07-14T00:00:00"/>
    <d v="1899-12-30T10:10:19"/>
    <s v=""/>
    <s v="Ganho"/>
    <d v="2025-09-25T00:00:00"/>
    <d v="1899-12-30T15:08:43"/>
    <s v=""/>
    <s v=""/>
    <s v=""/>
    <x v="92"/>
    <s v=""/>
    <x v="102"/>
    <s v=""/>
    <m/>
    <m/>
    <s v=""/>
    <s v=""/>
    <s v=""/>
    <s v=""/>
    <n v="1"/>
  </r>
  <r>
    <x v="1"/>
    <n v="486"/>
    <m/>
    <n v="2343"/>
    <s v=""/>
    <s v=""/>
    <x v="204"/>
    <n v="20750928000109"/>
    <s v=""/>
    <s v="Tiago eleytonicos"/>
    <s v="(48) 9960-6091"/>
    <s v=""/>
    <s v="financeiro@saeletronicos.com.br"/>
    <s v=""/>
    <s v=""/>
    <s v=""/>
    <s v="ICARA"/>
    <s v="SC"/>
    <s v=""/>
    <s v=""/>
    <s v=""/>
    <s v=""/>
    <s v="Pipeline de Vendas"/>
    <s v="Em Fechamento (100%)"/>
    <s v=""/>
    <m/>
    <n v="1600"/>
    <n v="2325"/>
    <n v="73"/>
    <s v="Junior Lopes"/>
    <d v="2025-07-14T00:00:00"/>
    <d v="1899-12-30T10:59:03"/>
    <s v=""/>
    <s v="Perdido"/>
    <d v="2025-09-25T00:00:00"/>
    <d v="1899-12-30T14:59:17"/>
    <s v="Não quer mudar a solução atual"/>
    <s v="cliente decidiu manter o servidor local"/>
    <s v=""/>
    <x v="92"/>
    <s v=""/>
    <x v="102"/>
    <s v=""/>
    <m/>
    <m/>
    <s v=""/>
    <s v=""/>
    <s v=""/>
    <s v=""/>
    <n v="1"/>
  </r>
  <r>
    <x v="1"/>
    <n v="487"/>
    <m/>
    <n v="2345"/>
    <s v=""/>
    <s v=""/>
    <x v="205"/>
    <m/>
    <s v=""/>
    <s v="Star distribuidora - Expede"/>
    <s v="17997793113"/>
    <s v=""/>
    <s v="comercial@distribuidorastar.com.br"/>
    <s v=""/>
    <s v=""/>
    <s v=""/>
    <s v=""/>
    <s v=""/>
    <s v=""/>
    <s v=""/>
    <s v=""/>
    <s v=""/>
    <s v="Pipeline de Vendas"/>
    <s v="Em Fechamento (100%)"/>
    <s v=""/>
    <m/>
    <n v="0"/>
    <n v="14256"/>
    <n v="7"/>
    <s v="Junior Lopes"/>
    <d v="2025-07-14T00:00:00"/>
    <d v="1899-12-30T14:38:51"/>
    <s v=""/>
    <s v="Ganho"/>
    <d v="2025-07-21T00:00:00"/>
    <d v="1899-12-30T09:23:38"/>
    <s v=""/>
    <s v=""/>
    <s v=""/>
    <x v="93"/>
    <s v=""/>
    <x v="103"/>
    <s v=""/>
    <m/>
    <m/>
    <s v=""/>
    <s v=""/>
    <s v=""/>
    <s v=""/>
    <n v="1"/>
  </r>
  <r>
    <x v="1"/>
    <n v="488"/>
    <m/>
    <n v="2346"/>
    <s v="O projeto B2B já está fechado, porém a continuidade dependerá da finalização da carga de dados na implantação do ERP. Assim que essa etapa for concluída, Junior Lopes deve retomar o contato com o cliente, verificar pendências e alinhar os próximos passos com data definida."/>
    <s v=""/>
    <x v="206"/>
    <n v="20750928000109"/>
    <s v=""/>
    <s v="Tiago eletrônicos - B2B"/>
    <s v="4899606091"/>
    <s v=""/>
    <s v="financeiro@saeletronicos.com.br"/>
    <s v=""/>
    <s v=""/>
    <s v=""/>
    <s v=""/>
    <s v=""/>
    <s v=""/>
    <s v=""/>
    <s v=""/>
    <s v="90%"/>
    <s v="Pipeline de Vendas"/>
    <s v="Em Fechamento (100%)"/>
    <s v=""/>
    <d v="2026-02-02T00:00:00"/>
    <n v="26200"/>
    <n v="3400"/>
    <n v="206"/>
    <s v="Junior Lopes"/>
    <d v="2025-07-15T00:00:00"/>
    <d v="1899-12-30T17:26:45"/>
    <s v=""/>
    <s v="Ganho"/>
    <d v="2026-02-06T00:00:00"/>
    <d v="1899-12-30T12:10:05"/>
    <s v=""/>
    <s v=""/>
    <s v=""/>
    <x v="92"/>
    <s v="Junior Lopes"/>
    <x v="102"/>
    <s v=""/>
    <d v="2025-12-10T00:00:00"/>
    <m/>
    <s v=""/>
    <s v=""/>
    <s v=""/>
    <s v=""/>
    <n v="1"/>
  </r>
  <r>
    <x v="1"/>
    <n v="493"/>
    <m/>
    <n v="2352"/>
    <s v=""/>
    <s v=""/>
    <x v="207"/>
    <n v="39750889000160"/>
    <s v=""/>
    <s v="MDL Comércio importação (ERP+AFV"/>
    <s v="(11) 91069-5515"/>
    <s v=""/>
    <s v="janaina@mdlimport.com.br"/>
    <s v=""/>
    <s v=""/>
    <s v=""/>
    <s v="SAO CAETANO DO SUL"/>
    <s v="SP"/>
    <s v=""/>
    <s v=""/>
    <s v=""/>
    <s v=""/>
    <s v="Pipeline de Vendas"/>
    <s v="Em Fechamento (100%)"/>
    <s v="10x sem juros (0/30/60/90/120/150...)"/>
    <m/>
    <n v="4327344"/>
    <n v="37442"/>
    <n v="42"/>
    <s v="Junior Lopes"/>
    <d v="2025-07-17T00:00:00"/>
    <d v="1899-12-30T14:23:39"/>
    <s v=""/>
    <s v="Ganho"/>
    <d v="2025-08-28T00:00:00"/>
    <d v="1899-12-30T15:08:55"/>
    <s v=""/>
    <s v=""/>
    <s v=""/>
    <x v="94"/>
    <s v=""/>
    <x v="104"/>
    <s v=""/>
    <m/>
    <m/>
    <s v=""/>
    <s v=""/>
    <s v=""/>
    <s v=""/>
    <n v="1"/>
  </r>
  <r>
    <x v="1"/>
    <n v="494"/>
    <m/>
    <n v="2354"/>
    <s v=""/>
    <s v=""/>
    <x v="208"/>
    <m/>
    <s v=""/>
    <s v="MDL comércio de importação (Int.WMS)"/>
    <s v="11910695515"/>
    <s v=""/>
    <s v="janaina@mdlimport.com.br"/>
    <s v=""/>
    <s v=""/>
    <s v=""/>
    <s v=""/>
    <s v=""/>
    <s v=""/>
    <s v=""/>
    <s v=""/>
    <s v=""/>
    <s v="Pipeline de Vendas"/>
    <s v="Em Fechamento (100%)"/>
    <s v="10x sem juros (0/30/60/90/120/150...)"/>
    <m/>
    <n v="1167696"/>
    <n v="0"/>
    <n v="42"/>
    <s v="Junior Lopes"/>
    <d v="2025-07-17T00:00:00"/>
    <d v="1899-12-30T14:38:09"/>
    <s v=""/>
    <s v="Ganho"/>
    <d v="2025-08-28T00:00:00"/>
    <d v="1899-12-30T15:11:27"/>
    <s v=""/>
    <s v=""/>
    <s v=""/>
    <x v="94"/>
    <s v=""/>
    <x v="104"/>
    <s v=""/>
    <m/>
    <m/>
    <s v=""/>
    <s v=""/>
    <s v=""/>
    <s v=""/>
    <n v="1"/>
  </r>
  <r>
    <x v="1"/>
    <n v="495"/>
    <m/>
    <n v="2356"/>
    <s v=""/>
    <s v=""/>
    <x v="209"/>
    <m/>
    <s v=""/>
    <s v="Germer porcenalas"/>
    <s v="41984816685"/>
    <s v=""/>
    <s v="ti@germerporcelanas.com.br"/>
    <s v=""/>
    <s v=""/>
    <s v=""/>
    <s v=""/>
    <s v=""/>
    <s v=""/>
    <s v=""/>
    <s v=""/>
    <s v="30%"/>
    <s v="Pipeline de Vendas"/>
    <s v="Em negociação (75%)"/>
    <s v=""/>
    <m/>
    <n v="16960"/>
    <n v="10748"/>
    <n v="67"/>
    <s v="Junior Lopes"/>
    <d v="2025-07-17T00:00:00"/>
    <d v="1899-12-30T16:01:44"/>
    <s v=""/>
    <s v="Perdido"/>
    <d v="2025-09-22T00:00:00"/>
    <d v="1899-12-30T11:35:25"/>
    <s v="Não quer mudar a solução atual"/>
    <s v="em contato com Claudinei projeto está estagnado"/>
    <s v=""/>
    <x v="93"/>
    <s v=""/>
    <x v="103"/>
    <s v="10/07/2025"/>
    <m/>
    <m/>
    <s v=""/>
    <s v=""/>
    <s v=""/>
    <s v=""/>
    <n v="1"/>
  </r>
  <r>
    <x v="1"/>
    <n v="496"/>
    <m/>
    <n v="2361"/>
    <s v="O próximo passo é Junior Lopes alinhar com o cliente o objetivo final da oportunidade, considerando que o cliente ainda está negociando o desenvolvimento da integração técnica que o ERP deles precisa construir. Somente após essa definição e após os ajustes técnicos com a Marília será possível retomar as conversas em janeiro de 2026 e avançar para o fechamento, previsto para 31/01/2026."/>
    <s v="Editora Dcl - Difusao Cultural Do Livro Ltda"/>
    <x v="210"/>
    <n v="60444098000521"/>
    <s v=""/>
    <s v="Editora Dcl - Difusao Cultural Do Livro Ltda"/>
    <s v="(11) 3932-5222"/>
    <s v=""/>
    <s v="welington@editoradcl.com.br"/>
    <s v=""/>
    <s v=""/>
    <s v=""/>
    <s v="ITUPEVA"/>
    <s v="SP"/>
    <s v="Base de empresas Leads2b"/>
    <s v=""/>
    <s v=""/>
    <s v="80%"/>
    <s v="Pipeline de Vendas"/>
    <s v="Em Fechamento (100%)"/>
    <s v="4x sem juros (0/30/60/90)"/>
    <d v="2026-01-30T00:00:00"/>
    <n v="16960"/>
    <n v="37395"/>
    <n v="166"/>
    <s v="Junior Lopes"/>
    <d v="2025-07-23T00:00:00"/>
    <d v="1899-12-30T11:53:55"/>
    <s v=""/>
    <s v="Ganho"/>
    <d v="2026-01-05T00:00:00"/>
    <d v="1899-12-30T14:50:49"/>
    <s v=""/>
    <s v=""/>
    <s v=""/>
    <x v="93"/>
    <s v="Junior Lopes"/>
    <x v="105"/>
    <s v="11/07/2025"/>
    <d v="2025-12-12T00:00:00"/>
    <m/>
    <s v=""/>
    <s v=""/>
    <s v=""/>
    <s v=""/>
    <n v="1"/>
  </r>
  <r>
    <x v="1"/>
    <n v="497"/>
    <m/>
    <n v="2363"/>
    <s v=""/>
    <s v="Associacao Medianeira Fuzipar"/>
    <x v="211"/>
    <n v="8306975000154"/>
    <s v=""/>
    <s v="Associacao Medianeira Fuzipar"/>
    <s v="(54) 3321-5456"/>
    <s v=""/>
    <s v=""/>
    <s v=""/>
    <s v=""/>
    <s v=""/>
    <s v="ERECHIM"/>
    <s v="RS"/>
    <s v="Base de empresas Leads2b"/>
    <s v=""/>
    <s v=""/>
    <s v=""/>
    <s v="Pipeline de Vendas"/>
    <s v="Em Fechamento (100%)"/>
    <s v=""/>
    <m/>
    <n v="16960"/>
    <n v="2455"/>
    <n v="64"/>
    <s v="Junior Lopes"/>
    <d v="2025-07-23T00:00:00"/>
    <d v="1899-12-30T12:05:00"/>
    <s v=""/>
    <s v="Ganho"/>
    <d v="2025-09-25T00:00:00"/>
    <d v="1899-12-30T14:58:22"/>
    <s v=""/>
    <s v=""/>
    <s v=""/>
    <x v="95"/>
    <s v=""/>
    <x v="105"/>
    <s v="18/08/2025"/>
    <m/>
    <m/>
    <s v=""/>
    <s v=""/>
    <s v=""/>
    <s v=""/>
    <n v="1"/>
  </r>
  <r>
    <x v="1"/>
    <n v="503"/>
    <m/>
    <n v="2433"/>
    <s v=""/>
    <s v=""/>
    <x v="212"/>
    <n v="46083438000181"/>
    <s v=""/>
    <s v="Adelmo Jeronimo"/>
    <s v="(81) 99252-2279"/>
    <s v=""/>
    <s v="adelmoo.jeronimo@gmail.com"/>
    <s v=""/>
    <s v=""/>
    <s v=""/>
    <s v=""/>
    <s v=""/>
    <s v="Base de empresas Leads2b"/>
    <s v=""/>
    <s v=""/>
    <s v=""/>
    <s v="Pipeline de Vendas"/>
    <s v="Apresentar Solução (35%)"/>
    <s v=""/>
    <m/>
    <n v="16960"/>
    <n v="998"/>
    <n v="29"/>
    <s v="Junior Lopes"/>
    <d v="2025-07-30T00:00:00"/>
    <d v="1899-12-30T11:50:21"/>
    <s v=""/>
    <s v="Perdido"/>
    <d v="2025-08-28T00:00:00"/>
    <d v="1899-12-30T16:43:54"/>
    <s v="Projeto adiado / sem prazo definido"/>
    <s v="após vários contatos não obtivemos retorno"/>
    <s v=""/>
    <x v="96"/>
    <s v=""/>
    <x v="106"/>
    <s v=""/>
    <m/>
    <m/>
    <s v=""/>
    <s v=""/>
    <s v=""/>
    <s v=""/>
    <n v="1"/>
  </r>
  <r>
    <x v="1"/>
    <n v="504"/>
    <m/>
    <n v="2434"/>
    <s v=""/>
    <s v=""/>
    <x v="213"/>
    <n v="8306975000154"/>
    <s v=""/>
    <s v="Fuzipar (ERP)"/>
    <s v="5499823395"/>
    <s v=""/>
    <s v=""/>
    <s v=""/>
    <s v=""/>
    <s v=""/>
    <s v="ERECHIM"/>
    <s v="RS"/>
    <s v=""/>
    <s v=""/>
    <s v=""/>
    <s v="50%"/>
    <s v="Pipeline de Vendas"/>
    <s v="Em negociação (75%)"/>
    <s v=""/>
    <m/>
    <n v="87344"/>
    <n v="514788"/>
    <n v="41"/>
    <s v="Junior Lopes"/>
    <d v="2025-07-30T00:00:00"/>
    <d v="1899-12-30T15:13:04"/>
    <s v=""/>
    <s v="Perdido"/>
    <d v="2025-09-09T00:00:00"/>
    <d v="1899-12-30T15:35:44"/>
    <s v="Não quer mudar a solução atual"/>
    <s v="cliente vai seguir somente com força de vendas"/>
    <s v=""/>
    <x v="97"/>
    <s v=""/>
    <x v="0"/>
    <s v=""/>
    <m/>
    <m/>
    <s v=""/>
    <s v=""/>
    <s v=""/>
    <s v=""/>
    <n v="1"/>
  </r>
  <r>
    <x v="1"/>
    <n v="505"/>
    <m/>
    <n v="2436"/>
    <s v=""/>
    <s v=""/>
    <x v="214"/>
    <n v="8306975000154"/>
    <s v=""/>
    <s v="Fuzipar (Cloud)"/>
    <s v="5499823395"/>
    <s v=""/>
    <s v=""/>
    <s v=""/>
    <s v=""/>
    <s v=""/>
    <s v="ERECHIM"/>
    <s v="RS"/>
    <s v=""/>
    <s v=""/>
    <s v=""/>
    <s v=""/>
    <s v="Pipeline de Vendas"/>
    <s v="Apresentar Solução (35%)"/>
    <s v=""/>
    <m/>
    <n v="1600"/>
    <n v="334556"/>
    <n v="30"/>
    <s v="Junior Lopes"/>
    <d v="2025-07-30T00:00:00"/>
    <d v="1899-12-30T16:07:10"/>
    <s v=""/>
    <s v="Perdido"/>
    <d v="2025-08-29T00:00:00"/>
    <d v="1899-12-30T15:49:29"/>
    <s v="Não quer mudar a solução atual"/>
    <s v="vai seguir somente com força de vendas"/>
    <s v=""/>
    <x v="96"/>
    <s v=""/>
    <x v="0"/>
    <s v=""/>
    <m/>
    <m/>
    <s v=""/>
    <s v=""/>
    <s v=""/>
    <s v=""/>
    <n v="1"/>
  </r>
  <r>
    <x v="1"/>
    <n v="506"/>
    <m/>
    <n v="2439"/>
    <s v=""/>
    <s v=""/>
    <x v="215"/>
    <n v="30924882000142"/>
    <s v=""/>
    <s v="PEDRO DE ROZENDO PACO DA SILVEIRA"/>
    <s v=""/>
    <s v=""/>
    <s v="pedro@grupoecoa.com.br"/>
    <s v=""/>
    <s v=""/>
    <s v=""/>
    <s v=""/>
    <s v=""/>
    <s v="Base de empresas Leads2b"/>
    <s v=""/>
    <s v=""/>
    <s v="90%"/>
    <s v="Pipeline de Vendas"/>
    <s v="Em Fechamento (100%)"/>
    <s v=""/>
    <m/>
    <n v="72240"/>
    <n v="2167539"/>
    <n v="56"/>
    <s v="Junior Lopes"/>
    <d v="2025-07-30T00:00:00"/>
    <d v="1899-12-30T16:26:43"/>
    <s v=""/>
    <s v="Perdido"/>
    <d v="2025-09-24T00:00:00"/>
    <d v="1899-12-30T09:34:51"/>
    <s v="Não quer mudar a solução atual"/>
    <s v="Pedro não responde mais aos contatos"/>
    <s v=""/>
    <x v="96"/>
    <s v=""/>
    <x v="0"/>
    <s v=""/>
    <m/>
    <m/>
    <s v=""/>
    <s v=""/>
    <s v=""/>
    <s v=""/>
    <n v="1"/>
  </r>
  <r>
    <x v="1"/>
    <n v="507"/>
    <m/>
    <n v="2440"/>
    <s v=""/>
    <s v=""/>
    <x v="216"/>
    <n v="30924882000142"/>
    <s v=""/>
    <s v="Grupo Ecoa"/>
    <s v="11987154112"/>
    <s v=""/>
    <s v="pedro@grupoecoa.com"/>
    <s v=""/>
    <s v=""/>
    <s v=""/>
    <s v="DUQUE DE CAXIAS"/>
    <s v="RJ"/>
    <s v=""/>
    <s v=""/>
    <s v=""/>
    <s v="80%"/>
    <s v="Pipeline de Vendas"/>
    <s v="Em Fechamento (100%)"/>
    <s v=""/>
    <m/>
    <n v="1620001"/>
    <n v="2900"/>
    <n v="56"/>
    <s v="Junior Lopes"/>
    <d v="2025-07-30T00:00:00"/>
    <d v="1899-12-30T17:20:05"/>
    <s v=""/>
    <s v="Perdido"/>
    <d v="2025-09-24T00:00:00"/>
    <d v="1899-12-30T09:17:39"/>
    <s v="Não quer mudar a solução atual"/>
    <s v="Pedro não responde mais os contatos"/>
    <s v=""/>
    <x v="96"/>
    <s v=""/>
    <x v="0"/>
    <s v=""/>
    <m/>
    <m/>
    <s v=""/>
    <s v=""/>
    <s v=""/>
    <s v=""/>
    <n v="1"/>
  </r>
  <r>
    <x v="1"/>
    <n v="508"/>
    <m/>
    <n v="2442"/>
    <s v=""/>
    <s v=""/>
    <x v="217"/>
    <m/>
    <s v=""/>
    <s v="Vitoria cortinas"/>
    <s v="35993445286"/>
    <s v=""/>
    <s v="compras@vitoriacortinasdecoracoes.com.br"/>
    <s v=""/>
    <s v=""/>
    <s v=""/>
    <s v=""/>
    <s v=""/>
    <s v=""/>
    <s v=""/>
    <s v=""/>
    <s v=""/>
    <s v="Pipeline de Vendas"/>
    <s v="Em Fechamento (100%)"/>
    <s v=""/>
    <m/>
    <n v="62169"/>
    <n v="0"/>
    <n v="53"/>
    <s v="Junior Lopes"/>
    <d v="2025-07-31T00:00:00"/>
    <d v="1899-12-30T09:07:55"/>
    <s v=""/>
    <s v="Ganho"/>
    <d v="2025-09-22T00:00:00"/>
    <d v="1899-12-30T10:43:58"/>
    <s v=""/>
    <s v=""/>
    <s v=""/>
    <x v="98"/>
    <s v=""/>
    <x v="107"/>
    <s v=""/>
    <m/>
    <m/>
    <s v=""/>
    <s v=""/>
    <s v=""/>
    <s v=""/>
    <n v="1"/>
  </r>
  <r>
    <x v="1"/>
    <n v="509"/>
    <m/>
    <n v="2443"/>
    <s v=""/>
    <s v="Maxsoy Alimentos Ltda"/>
    <x v="218"/>
    <n v="6346005000157"/>
    <s v=""/>
    <s v="Maxsoy Alimentos Ltda"/>
    <s v="(19) 3809-5454"/>
    <s v=""/>
    <s v="vendas@maxsoy.com.br"/>
    <s v=""/>
    <s v=""/>
    <s v=""/>
    <s v="HORTOLANDIA"/>
    <s v="SP"/>
    <s v="Base de empresas Leads2b"/>
    <s v=""/>
    <s v=""/>
    <s v=""/>
    <s v="Pipeline de Vendas"/>
    <s v="Apresentar Solução (35%)"/>
    <s v=""/>
    <m/>
    <n v="16960"/>
    <n v="67275"/>
    <n v="28"/>
    <s v="Junior Lopes"/>
    <d v="2025-07-31T00:00:00"/>
    <d v="1899-12-30T11:57:17"/>
    <s v=""/>
    <s v="Perdido"/>
    <d v="2025-08-28T00:00:00"/>
    <d v="1899-12-30T16:25:26"/>
    <s v="Preço muito alto - fora do budget de investimento"/>
    <s v="cliente não quer dar sequencia no momento por conta do valor"/>
    <s v=""/>
    <x v="99"/>
    <s v=""/>
    <x v="108"/>
    <s v="01/08/2025"/>
    <m/>
    <m/>
    <s v=""/>
    <s v=""/>
    <s v=""/>
    <s v=""/>
    <n v="1"/>
  </r>
  <r>
    <x v="1"/>
    <n v="510"/>
    <m/>
    <n v="2446"/>
    <s v=""/>
    <s v="Brinquemix Industria E Comercio Ltda"/>
    <x v="219"/>
    <n v="60315995000101"/>
    <s v=""/>
    <s v="Brinquemix Industria E Comercio Ltda"/>
    <s v="(11) 4116-5272"/>
    <s v=""/>
    <s v="fiscal@codepcontabilidade.com.br"/>
    <s v=""/>
    <s v=""/>
    <s v=""/>
    <s v="ITAQUAQUECETUBA"/>
    <s v="SP"/>
    <s v="Base de empresas Leads2b"/>
    <s v=""/>
    <s v=""/>
    <s v=""/>
    <s v="Pipeline de Vendas"/>
    <s v="Apresentar Solução (35%)"/>
    <s v=""/>
    <m/>
    <n v="94976"/>
    <n v="566152"/>
    <n v="29"/>
    <s v="Junior Lopes"/>
    <d v="2025-07-31T00:00:00"/>
    <d v="1899-12-30T17:09:31"/>
    <s v=""/>
    <s v="Perdido"/>
    <d v="2025-08-29T00:00:00"/>
    <d v="1899-12-30T11:05:45"/>
    <s v="Projeto adiado / sem prazo definido"/>
    <s v="16:26, 28/8/2025 Junior Lopes: Olá Simone, boa tarde_x000a_17:06, 28/8/2025 Simone Brinquemix : Olá Dra_x000a_17:06, 28/8/2025 Simone Brinquemix : Olá_x000a_11:03, 29/8/2025 Junior Lopes: Olá Simone ! Como não tive retorno de sua parte, vou encerrar este atendimento! _x000a_Caso mude de ideia ou precise de algo no futuro pode me chamar por aqui _x000a_Estimo sucesso para vocês 🤝"/>
    <s v=""/>
    <x v="100"/>
    <s v=""/>
    <x v="109"/>
    <s v="05/08/2025"/>
    <m/>
    <m/>
    <s v=""/>
    <s v=""/>
    <s v=""/>
    <s v=""/>
    <n v="1"/>
  </r>
  <r>
    <x v="0"/>
    <n v="516"/>
    <m/>
    <n v="2454"/>
    <s v=""/>
    <s v=""/>
    <x v="220"/>
    <n v="72677693000162"/>
    <s v=""/>
    <s v="Milene Fonseca"/>
    <s v="(11) 2431-1432"/>
    <s v=""/>
    <s v="compras@tapetesoasis.com.br"/>
    <s v=""/>
    <s v=""/>
    <s v=""/>
    <s v="Campinas"/>
    <s v=""/>
    <s v="Site"/>
    <s v=""/>
    <s v=""/>
    <s v="Solicita demo"/>
    <s v="Pipeline de Vendas"/>
    <s v="Em negociação (75%)"/>
    <s v=""/>
    <m/>
    <m/>
    <m/>
    <n v="53"/>
    <s v="Paulo Souza"/>
    <d v="2025-08-07T00:00:00"/>
    <d v="1899-12-30T12:08:11"/>
    <s v=""/>
    <s v="Perdido"/>
    <d v="2025-09-29T00:00:00"/>
    <d v="1899-12-30T16:35:41"/>
    <s v="Projeto adiado / sem prazo definido"/>
    <s v=""/>
    <s v=""/>
    <x v="0"/>
    <s v="Paulo Souza"/>
    <x v="110"/>
    <s v=""/>
    <m/>
    <m/>
    <s v=""/>
    <s v=""/>
    <s v=""/>
    <s v=""/>
    <n v="1"/>
  </r>
  <r>
    <x v="0"/>
    <n v="517"/>
    <m/>
    <n v="2453"/>
    <s v=""/>
    <s v=""/>
    <x v="221"/>
    <n v="38470026000176"/>
    <s v=""/>
    <s v="Matheus Ambrosi"/>
    <s v="(51) 99658-9275"/>
    <s v=""/>
    <s v="matheus.ambrosi@sanremo.com.br"/>
    <s v=""/>
    <s v=""/>
    <s v=""/>
    <s v="São Paulo"/>
    <s v=""/>
    <s v="Site"/>
    <s v=""/>
    <s v=""/>
    <s v=""/>
    <s v="Pipeline de Vendas"/>
    <s v="Qualificação de Vendas (SQL) (25%)"/>
    <s v=""/>
    <m/>
    <m/>
    <m/>
    <n v="53"/>
    <s v="Paulo Souza"/>
    <d v="2025-08-07T00:00:00"/>
    <d v="1899-12-30T12:08:57"/>
    <s v=""/>
    <s v="Perdido"/>
    <d v="2025-09-29T00:00:00"/>
    <d v="1899-12-30T16:37:57"/>
    <s v="Projeto adiado / sem prazo definido"/>
    <s v=""/>
    <s v=""/>
    <x v="0"/>
    <s v="Paulo Souza"/>
    <x v="0"/>
    <s v=""/>
    <m/>
    <m/>
    <s v=""/>
    <s v=""/>
    <s v=""/>
    <s v=""/>
    <n v="1"/>
  </r>
  <r>
    <x v="0"/>
    <n v="518"/>
    <m/>
    <n v="2456"/>
    <s v="Falei hoje com o Gomes consultor Totvs da empresa Oyshi e o mesmo que agendar uma reunião técnica de alinhamento para integrar o AFV com Protheus._x000a_19-01; Após nossa reunião na sexta-feira para alinhar sobre a integração, o Gomes ficou de providências uma agenda com o Rodrigo para fechar a negociação._x000a_22/01 - Cobrei novamente o Evandro para ele me posicionar se conseguiu falar com o Rodrigo para avançar com o contrato e fechamento e assim dar sequencias no projeto. Ele falou que estava envolvido em tarefas adicionais e isso atrasou a conversa que vai ocorrer na próxima semana._x000a_26/02 Fiz FUP com o Evandro hoje perguntando uma posição, no aguardo. Já falei com a Isabella diretor comercial, e até agora nada de retorno._x000a_12/03 Fiz FUP com o Evandro e ele falou que a decisão para seguir ou não vai ser tomada na próxima sexta-feira 13/03._x000a_23/03 Falei com a Isabella a mesma me avisou que semana que vem vai"/>
    <s v=""/>
    <x v="222"/>
    <n v="30340720000167"/>
    <s v=""/>
    <s v="Rodrigo"/>
    <s v="4491813443"/>
    <s v=""/>
    <s v="rodrigo.fongari@oyshi.com.br"/>
    <s v=""/>
    <s v=""/>
    <s v=""/>
    <s v=""/>
    <s v=""/>
    <s v="Outbound"/>
    <s v=""/>
    <s v=""/>
    <s v="80%"/>
    <s v="Pipeline de Vendas"/>
    <s v="Em Fechamento (100%)"/>
    <s v=""/>
    <d v="2026-03-31T00:00:00"/>
    <n v="27340"/>
    <n v="32992"/>
    <n v="246"/>
    <s v="Paulo Souza"/>
    <d v="2025-08-07T00:00:00"/>
    <d v="1899-12-30T13:57:39"/>
    <s v=""/>
    <s v="Perdido"/>
    <d v="2026-04-10T00:00:00"/>
    <d v="1899-12-30T16:56:59"/>
    <s v="Projeto adiado / sem prazo definido"/>
    <s v=""/>
    <s v=""/>
    <x v="101"/>
    <s v="Paulo Souza"/>
    <x v="111"/>
    <s v=""/>
    <d v="2026-04-10T00:00:00"/>
    <n v="90"/>
    <s v="80"/>
    <s v="AFV, BI"/>
    <s v="R$ 16.000"/>
    <s v="R$ 1.558"/>
    <n v="1"/>
  </r>
  <r>
    <x v="0"/>
    <n v="519"/>
    <m/>
    <n v="2457"/>
    <s v=""/>
    <s v=""/>
    <x v="223"/>
    <m/>
    <s v=""/>
    <s v="Fernanda"/>
    <s v="11997633759"/>
    <s v=""/>
    <s v="fernanda@jlkplasticos.com"/>
    <s v=""/>
    <s v=""/>
    <s v=""/>
    <s v=""/>
    <s v=""/>
    <s v=""/>
    <s v=""/>
    <s v=""/>
    <s v=""/>
    <s v="Pipeline de Vendas"/>
    <s v="Em negociação (75%)"/>
    <s v=""/>
    <m/>
    <m/>
    <m/>
    <n v="34"/>
    <s v="Paulo Souza"/>
    <d v="2025-08-07T00:00:00"/>
    <d v="1899-12-30T14:05:56"/>
    <s v=""/>
    <s v="Perdido"/>
    <d v="2025-09-10T00:00:00"/>
    <d v="1899-12-30T16:14:07"/>
    <s v="Preço muito alto - fora do budget de investimento"/>
    <s v=""/>
    <s v=""/>
    <x v="99"/>
    <s v="Paulo Souza"/>
    <x v="110"/>
    <s v=""/>
    <m/>
    <m/>
    <s v=""/>
    <s v=""/>
    <s v=""/>
    <s v=""/>
    <n v="1"/>
  </r>
  <r>
    <x v="0"/>
    <n v="521"/>
    <m/>
    <n v="2459"/>
    <s v=""/>
    <s v=""/>
    <x v="224"/>
    <n v="7380599000428"/>
    <s v=""/>
    <s v="Raymond"/>
    <s v="11982685555"/>
    <s v=""/>
    <s v="raymond@deltaimport.com.br"/>
    <s v=""/>
    <s v=""/>
    <s v=""/>
    <s v=""/>
    <s v=""/>
    <s v=""/>
    <s v=""/>
    <s v=""/>
    <s v=""/>
    <s v="Pipeline de Vendas"/>
    <s v="Em Fechamento (100%)"/>
    <s v=""/>
    <m/>
    <n v="55500"/>
    <n v="53662"/>
    <n v="17"/>
    <s v="Paulo Souza"/>
    <d v="2025-08-08T00:00:00"/>
    <d v="1899-12-30T11:45:56"/>
    <s v=""/>
    <s v="Ganho"/>
    <d v="2025-08-25T00:00:00"/>
    <d v="1899-12-30T14:26:43"/>
    <s v=""/>
    <s v=""/>
    <s v=""/>
    <x v="102"/>
    <s v="Paulo Souza"/>
    <x v="112"/>
    <s v=""/>
    <m/>
    <m/>
    <s v=""/>
    <s v=""/>
    <s v=""/>
    <s v=""/>
    <n v="1"/>
  </r>
  <r>
    <x v="2"/>
    <n v="531"/>
    <m/>
    <n v="2475"/>
    <s v=""/>
    <s v=""/>
    <x v="225"/>
    <n v="19733550000148"/>
    <s v=""/>
    <s v="Naiara"/>
    <s v="(19) 3496-7474 / (19) 3885-1725"/>
    <s v=""/>
    <s v="renatapalace@impal.ind.br"/>
    <s v=""/>
    <s v=""/>
    <s v=""/>
    <s v="RAFARD"/>
    <s v="SP"/>
    <s v=""/>
    <s v=""/>
    <s v=""/>
    <s v=""/>
    <s v="Pipeline de Vendas"/>
    <s v="Em negociação (75%)"/>
    <s v=""/>
    <m/>
    <n v="84420"/>
    <n v="4137"/>
    <n v="34"/>
    <s v="Rayssa Karapeticov"/>
    <d v="2025-08-20T00:00:00"/>
    <d v="1899-12-30T09:16:59"/>
    <s v=""/>
    <s v="Perdido"/>
    <d v="2025-09-23T00:00:00"/>
    <d v="1899-12-30T11:10:15"/>
    <s v="Preço muito alto - fora do budget de investimento"/>
    <s v=""/>
    <s v=""/>
    <x v="103"/>
    <s v=""/>
    <x v="113"/>
    <s v=""/>
    <m/>
    <m/>
    <s v=""/>
    <s v=""/>
    <s v=""/>
    <s v=""/>
    <n v="1"/>
  </r>
  <r>
    <x v="1"/>
    <n v="532"/>
    <m/>
    <n v="2478"/>
    <s v=""/>
    <s v="Distribuidora Tropical Aromas Ltda"/>
    <x v="226"/>
    <n v="12902777000120"/>
    <s v=""/>
    <s v="Distribuidora Tropical Aromas Ltda"/>
    <s v="(13) 3329-5855"/>
    <s v=""/>
    <s v="contato@keurequimica.com.br"/>
    <s v=""/>
    <s v=""/>
    <s v=""/>
    <s v="ITAQUAQUECETUBA"/>
    <s v="SP"/>
    <s v="Base de empresas Leads2b"/>
    <s v=""/>
    <s v=""/>
    <s v=""/>
    <s v="Pipeline de Vendas"/>
    <s v="Apresentar Solução (35%)"/>
    <s v=""/>
    <m/>
    <n v="16960"/>
    <n v="4910"/>
    <n v="69"/>
    <s v="Junior Lopes"/>
    <d v="2025-08-20T00:00:00"/>
    <d v="1899-12-30T09:53:51"/>
    <s v=""/>
    <s v="Perdido"/>
    <d v="2025-10-28T00:00:00"/>
    <d v="1899-12-30T10:23:56"/>
    <s v="Projeto adiado / sem prazo definido"/>
    <s v="Voltar contato em Janeiro 2026"/>
    <s v=""/>
    <x v="95"/>
    <s v=""/>
    <x v="114"/>
    <s v=""/>
    <m/>
    <m/>
    <s v=""/>
    <s v=""/>
    <s v=""/>
    <s v=""/>
    <n v="1"/>
  </r>
  <r>
    <x v="1"/>
    <n v="534"/>
    <m/>
    <n v="2481"/>
    <s v=""/>
    <s v="Usual Plastic - Utilidade Domestica E Comercio Ltda"/>
    <x v="227"/>
    <n v="12589391000291"/>
    <s v=""/>
    <s v="Usual Plastic - Utilidade Domestica E Comercio Ltda"/>
    <s v="(15) 3283-3659"/>
    <s v=""/>
    <s v="adm@usualutilidades.com.br"/>
    <s v=""/>
    <s v=""/>
    <s v=""/>
    <s v="CESARIO LANGE"/>
    <s v="SP"/>
    <s v="Base de empresas Leads2b"/>
    <s v=""/>
    <s v=""/>
    <s v="30%;50%"/>
    <s v="Pipeline de Vendas"/>
    <s v="Apresentar Solução (35%)"/>
    <s v=""/>
    <m/>
    <n v="16960"/>
    <n v="56568"/>
    <n v="20"/>
    <s v="Junior Lopes"/>
    <d v="2025-08-20T00:00:00"/>
    <d v="1899-12-30T09:59:57"/>
    <s v=""/>
    <s v="Perdido"/>
    <d v="2025-09-09T00:00:00"/>
    <d v="1899-12-30T15:34:30"/>
    <s v="Não quer mudar a solução atual"/>
    <s v="Gustavo conversou com os sócios e decidiu por não trocar de software no momento"/>
    <s v=""/>
    <x v="104"/>
    <s v=""/>
    <x v="115"/>
    <s v=""/>
    <m/>
    <m/>
    <s v=""/>
    <s v=""/>
    <s v=""/>
    <s v=""/>
    <n v="1"/>
  </r>
  <r>
    <x v="1"/>
    <n v="537"/>
    <m/>
    <n v="2486"/>
    <s v="O projeto já está fechado; porém, devido ao fim de ano e à alta demanda interna do cliente, a assinatura do contrato foi adiada. O cliente preferiu formalizar tudo na primeira semana de janeiro, com assinatura prevista para 05/01/2026."/>
    <s v=""/>
    <x v="228"/>
    <n v="4049280000183"/>
    <s v=""/>
    <s v="AmilPlast indústria"/>
    <s v="11973107041"/>
    <s v=""/>
    <s v="amilplast@amilplastt.com.br"/>
    <s v=""/>
    <s v=""/>
    <s v=""/>
    <s v="GUARULHOS"/>
    <s v="SP"/>
    <s v=""/>
    <s v=""/>
    <s v=""/>
    <s v="90%"/>
    <s v="Pipeline de Vendas"/>
    <s v="Em Fechamento (100%)"/>
    <s v=""/>
    <d v="2026-01-16T00:00:00"/>
    <n v="51300"/>
    <n v="17345"/>
    <n v="160"/>
    <s v="Junior Lopes"/>
    <d v="2025-08-20T00:00:00"/>
    <d v="1899-12-30T10:42:44"/>
    <s v=""/>
    <s v="Ganho"/>
    <d v="2026-01-27T00:00:00"/>
    <d v="1899-12-30T17:02:07"/>
    <s v=""/>
    <s v=""/>
    <s v="21/10/2025"/>
    <x v="105"/>
    <s v="Junior Lopes"/>
    <x v="116"/>
    <s v=""/>
    <d v="2026-01-06T00:00:00"/>
    <m/>
    <s v=""/>
    <s v=""/>
    <s v=""/>
    <s v=""/>
    <n v="1"/>
  </r>
  <r>
    <x v="1"/>
    <n v="539"/>
    <m/>
    <n v="2490"/>
    <s v=""/>
    <s v="Pracaza Decor Comercio Importacao E Exportacao De Artigos Para Decoracao Ltda."/>
    <x v="229"/>
    <n v="39679781000128"/>
    <s v=""/>
    <s v="Pracaza Decor Comercio Importacao E Exportacao De Artigos Para Decoracao Ltda."/>
    <s v="(11) 4395-7650"/>
    <s v=""/>
    <s v="contato@acrosscontabil.com.br"/>
    <s v=""/>
    <s v=""/>
    <s v=""/>
    <s v="SAO PAULO"/>
    <s v="SP"/>
    <s v="Base de empresas Leads2b"/>
    <s v=""/>
    <s v=""/>
    <s v=""/>
    <s v="Pipeline de Vendas"/>
    <s v="Apresentar Solução (35%)"/>
    <s v=""/>
    <m/>
    <n v="67840"/>
    <n v="13781"/>
    <n v="69"/>
    <s v="Junior Lopes"/>
    <d v="2025-08-20T00:00:00"/>
    <d v="1899-12-30T11:16:16"/>
    <s v=""/>
    <s v="Perdido"/>
    <d v="2025-10-28T00:00:00"/>
    <d v="1899-12-30T10:24:21"/>
    <s v="Não quer mudar a solução atual"/>
    <s v="sem retorno"/>
    <s v=""/>
    <x v="106"/>
    <s v=""/>
    <x v="0"/>
    <s v=""/>
    <m/>
    <m/>
    <s v=""/>
    <s v=""/>
    <s v=""/>
    <s v=""/>
    <n v="1"/>
  </r>
  <r>
    <x v="1"/>
    <n v="540"/>
    <m/>
    <n v="2493"/>
    <s v=""/>
    <s v="Aluminio Marcolar Ltda"/>
    <x v="230"/>
    <n v="43066372000204"/>
    <s v=""/>
    <s v="Aluminio Marcolar Ltda"/>
    <s v="(11) 2067-1299"/>
    <s v=""/>
    <s v="sac@marcolar.com.br"/>
    <s v=""/>
    <s v=""/>
    <s v=""/>
    <s v="RIBEIRAO PIRES"/>
    <s v="SP"/>
    <s v="Base de empresas Leads2b"/>
    <s v=""/>
    <s v=""/>
    <s v=""/>
    <s v="Pipeline de Vendas"/>
    <s v="Apresentar Solução (35%)"/>
    <s v=""/>
    <m/>
    <n v="16960"/>
    <n v="37712"/>
    <n v="71"/>
    <s v="Junior Lopes"/>
    <d v="2025-08-20T00:00:00"/>
    <d v="1899-12-30T11:29:31"/>
    <s v=""/>
    <s v="Perdido"/>
    <d v="2025-10-30T00:00:00"/>
    <d v="1899-12-30T10:08:50"/>
    <s v="Projeto adiado / sem prazo definido"/>
    <s v="Rogerio pediu para aguardar um pouco mais"/>
    <s v=""/>
    <x v="107"/>
    <s v=""/>
    <x v="117"/>
    <s v=""/>
    <m/>
    <m/>
    <s v=""/>
    <s v=""/>
    <s v=""/>
    <s v=""/>
    <n v="1"/>
  </r>
  <r>
    <x v="1"/>
    <n v="542"/>
    <m/>
    <n v="2496"/>
    <s v=""/>
    <s v=""/>
    <x v="231"/>
    <n v="1715468000125"/>
    <s v=""/>
    <s v="Off Paper"/>
    <s v="35984074473"/>
    <s v=""/>
    <s v="jessica@papeisoffpaper.com.br"/>
    <s v=""/>
    <s v=""/>
    <s v=""/>
    <s v="LAMBARI"/>
    <s v="MG"/>
    <s v=""/>
    <s v=""/>
    <s v=""/>
    <s v="30%"/>
    <s v="Pipeline de Vendas"/>
    <s v="Apresentar Proposta (50%)"/>
    <s v=""/>
    <m/>
    <n v="212"/>
    <n v="69045"/>
    <n v="41"/>
    <s v="Junior Lopes"/>
    <d v="2025-08-21T00:00:00"/>
    <d v="1899-12-30T09:33:37"/>
    <s v=""/>
    <s v="Perdido"/>
    <d v="2025-10-01T00:00:00"/>
    <d v="1899-12-30T15:59:20"/>
    <s v="Fechou com o concorrente - preço"/>
    <s v="fechou sem mesmo falar com Guarani"/>
    <s v=""/>
    <x v="106"/>
    <s v=""/>
    <x v="115"/>
    <s v="22/08/2025"/>
    <m/>
    <m/>
    <s v=""/>
    <s v=""/>
    <s v=""/>
    <s v=""/>
    <n v="1"/>
  </r>
  <r>
    <x v="0"/>
    <n v="545"/>
    <m/>
    <n v="2464"/>
    <s v=""/>
    <s v=""/>
    <x v="232"/>
    <m/>
    <s v=""/>
    <s v="Carlos"/>
    <s v="(11) 91852-0852"/>
    <s v=""/>
    <s v="cpedro@shinyt.com.br"/>
    <s v=""/>
    <s v=""/>
    <s v=""/>
    <s v="São Paulo"/>
    <s v=""/>
    <s v="Site"/>
    <s v=""/>
    <s v=""/>
    <s v=""/>
    <s v="Pipeline de Vendas"/>
    <s v="Apresentar Proposta (50%)"/>
    <s v=""/>
    <m/>
    <n v="47500"/>
    <n v="28571"/>
    <n v="3"/>
    <s v="Paulo Souza"/>
    <d v="2025-08-22T00:00:00"/>
    <d v="1899-12-30T16:30:14"/>
    <s v=""/>
    <s v="Perdido"/>
    <d v="2025-08-25T00:00:00"/>
    <d v="1899-12-30T14:44:29"/>
    <s v="Preço muito alto - fora do budget de investimento"/>
    <s v=""/>
    <s v=""/>
    <x v="99"/>
    <s v="Paulo Souza"/>
    <x v="113"/>
    <s v=""/>
    <m/>
    <m/>
    <s v=""/>
    <s v=""/>
    <s v=""/>
    <s v=""/>
    <n v="1"/>
  </r>
  <r>
    <x v="0"/>
    <n v="546"/>
    <m/>
    <n v="2463"/>
    <s v=""/>
    <s v=""/>
    <x v="233"/>
    <n v="27616615000101"/>
    <s v=""/>
    <s v="Raquel"/>
    <s v="(47) 99227-7535"/>
    <s v=""/>
    <s v="comercial@dgbcomex.com.br"/>
    <s v=""/>
    <s v=""/>
    <s v=""/>
    <s v="Santa Bárbara d'Oeste"/>
    <s v=""/>
    <s v="Site"/>
    <s v=""/>
    <s v=""/>
    <s v="Contato"/>
    <s v="Pipeline de Vendas"/>
    <s v="Em negociação (75%)"/>
    <s v=""/>
    <m/>
    <n v="56000"/>
    <n v="340834"/>
    <n v="38"/>
    <s v="Paulo Souza"/>
    <d v="2025-08-22T00:00:00"/>
    <d v="1899-12-30T16:30:46"/>
    <s v=""/>
    <s v="Perdido"/>
    <d v="2025-09-29T00:00:00"/>
    <d v="1899-12-30T16:42:31"/>
    <s v="Projeto adiado / sem prazo definido"/>
    <s v=""/>
    <s v=""/>
    <x v="108"/>
    <s v="Paulo Souza"/>
    <x v="118"/>
    <s v=""/>
    <m/>
    <m/>
    <s v=""/>
    <s v=""/>
    <s v=""/>
    <s v=""/>
    <n v="1"/>
  </r>
  <r>
    <x v="0"/>
    <n v="550"/>
    <m/>
    <n v="2506"/>
    <s v=""/>
    <s v=""/>
    <x v="234"/>
    <n v="7225431000103"/>
    <s v=""/>
    <s v="Ezequiel"/>
    <s v="49999523158"/>
    <s v=""/>
    <s v="adm@duarteestofaria.com.br"/>
    <s v=""/>
    <s v=""/>
    <s v=""/>
    <s v=""/>
    <s v=""/>
    <s v=""/>
    <s v=""/>
    <s v=""/>
    <s v=""/>
    <s v="Pipeline de Vendas"/>
    <s v="Em negociação (75%)"/>
    <s v=""/>
    <m/>
    <n v="519984"/>
    <n v="15378"/>
    <n v="0"/>
    <s v="Paulo Souza"/>
    <d v="2025-08-25T00:00:00"/>
    <d v="1899-12-30T14:30:34"/>
    <s v=""/>
    <s v="Perdido"/>
    <d v="2025-08-25T00:00:00"/>
    <d v="1899-12-30T14:33:38"/>
    <s v="Preço muito alto - fora do budget de investimento"/>
    <s v=""/>
    <s v=""/>
    <x v="109"/>
    <s v="Paulo Souza"/>
    <x v="119"/>
    <s v=""/>
    <m/>
    <m/>
    <s v=""/>
    <s v=""/>
    <s v=""/>
    <s v=""/>
    <n v="1"/>
  </r>
  <r>
    <x v="0"/>
    <n v="552"/>
    <m/>
    <n v="2508"/>
    <s v="Falei hoje 09/01/2026 com Helton e questionei ele sobre a sequência ou não do projeto sistema._x000a_Esta oportunidade encontra-se pausado durante 2026._x000a_22/01 - Retorno do Helton:  Paulo, bom dia! Peço desculpas pelo atraso na resposta. Desejo um ótimo 2026 para você também! _x000a_Analisamos as opções para uma possível troca, mas infelizmente não obtivemos a adesão esperada. Portanto, por enquanto, vamos manter o ERP atual."/>
    <s v=""/>
    <x v="235"/>
    <n v="17739326000138"/>
    <s v=""/>
    <s v="Helton"/>
    <s v="1633347333"/>
    <s v=""/>
    <s v="helton@ramos.com.br"/>
    <s v=""/>
    <s v=""/>
    <s v=""/>
    <s v=""/>
    <s v=""/>
    <s v=""/>
    <s v=""/>
    <s v=""/>
    <s v="30%"/>
    <s v="Pipeline de Vendas"/>
    <s v="Em negociação (75%)"/>
    <s v=""/>
    <d v="2026-01-22T00:00:00"/>
    <n v="15359994"/>
    <n v="924744"/>
    <n v="151"/>
    <s v="Paulo Souza"/>
    <d v="2025-08-25T00:00:00"/>
    <d v="1899-12-30T14:49:40"/>
    <s v=""/>
    <s v="Perdido"/>
    <d v="2026-01-23T00:00:00"/>
    <d v="1899-12-30T11:11:59"/>
    <s v="Não quer mudar a solução atual"/>
    <s v=""/>
    <s v=""/>
    <x v="110"/>
    <s v="Paulo Souza"/>
    <x v="120"/>
    <s v=""/>
    <d v="2026-01-22T00:00:00"/>
    <m/>
    <s v=""/>
    <s v=""/>
    <s v=""/>
    <s v=""/>
    <n v="1"/>
  </r>
  <r>
    <x v="0"/>
    <n v="553"/>
    <m/>
    <n v="2509"/>
    <s v=""/>
    <s v=""/>
    <x v="236"/>
    <m/>
    <s v=""/>
    <s v="Fabiana e Gilson"/>
    <s v="11950946784"/>
    <s v=""/>
    <s v="null"/>
    <s v=""/>
    <s v=""/>
    <s v=""/>
    <s v=""/>
    <s v=""/>
    <s v=""/>
    <s v=""/>
    <s v=""/>
    <s v=""/>
    <s v="Pipeline de Vendas"/>
    <s v="Em Fechamento (100%)"/>
    <s v=""/>
    <m/>
    <n v="9600"/>
    <n v="412064"/>
    <n v="84"/>
    <s v="Paulo Souza"/>
    <d v="2025-08-25T00:00:00"/>
    <d v="1899-12-30T14:58:26"/>
    <s v=""/>
    <s v="Ganho"/>
    <d v="2025-11-17T00:00:00"/>
    <d v="1899-12-30T15:27:00"/>
    <s v=""/>
    <s v=""/>
    <s v=""/>
    <x v="110"/>
    <s v="Paulo Souza"/>
    <x v="120"/>
    <s v=""/>
    <m/>
    <m/>
    <s v=""/>
    <s v=""/>
    <s v=""/>
    <s v=""/>
    <n v="1"/>
  </r>
  <r>
    <x v="1"/>
    <n v="557"/>
    <m/>
    <n v="2516"/>
    <s v=""/>
    <s v=""/>
    <x v="237"/>
    <n v="59716480000134"/>
    <s v=""/>
    <s v="Plastutti - Cloud"/>
    <s v="1146311986"/>
    <s v=""/>
    <s v="thiago@plasstutti.com.br"/>
    <s v=""/>
    <s v=""/>
    <s v=""/>
    <s v="DIADEMA"/>
    <s v="SP"/>
    <s v=""/>
    <s v=""/>
    <s v=""/>
    <s v=""/>
    <s v="Pipeline de Vendas"/>
    <s v="Apresentar Proposta (50%)"/>
    <s v=""/>
    <m/>
    <m/>
    <m/>
    <n v="0"/>
    <s v="Junior Lopes"/>
    <d v="2025-08-28T00:00:00"/>
    <d v="1899-12-30T16:54:42"/>
    <s v=""/>
    <s v="Perdido"/>
    <d v="2025-08-28T00:00:00"/>
    <d v="1899-12-30T17:00:14"/>
    <s v="Preço muito alto - fora do budget de investimento"/>
    <s v="achou valores acima"/>
    <s v=""/>
    <x v="111"/>
    <s v=""/>
    <x v="121"/>
    <s v=""/>
    <m/>
    <m/>
    <s v=""/>
    <s v=""/>
    <s v=""/>
    <s v=""/>
    <n v="1"/>
  </r>
  <r>
    <x v="1"/>
    <n v="558"/>
    <m/>
    <n v="2518"/>
    <s v=""/>
    <s v=""/>
    <x v="238"/>
    <n v="60315995000101"/>
    <s v=""/>
    <s v="Brinquemix - Cloud"/>
    <s v="11996823494"/>
    <s v=""/>
    <s v="simonee@brinquemix.com.br"/>
    <s v=""/>
    <s v=""/>
    <s v=""/>
    <s v="ITAQUAQUECETUBA"/>
    <s v="SP"/>
    <s v=""/>
    <s v=""/>
    <s v=""/>
    <s v=""/>
    <s v="Pipeline de Vendas"/>
    <s v="Apresentar Solução (35%)"/>
    <s v=""/>
    <m/>
    <n v="1600"/>
    <n v="323356"/>
    <n v="0"/>
    <s v="Junior Lopes"/>
    <d v="2025-08-29T00:00:00"/>
    <d v="1899-12-30T10:43:20"/>
    <s v=""/>
    <s v="Perdido"/>
    <d v="2025-08-29T00:00:00"/>
    <d v="1899-12-30T11:06:35"/>
    <s v="Projeto adiado / sem prazo definido"/>
    <s v="16:26, 28/8/2025 Junior Lopes: Olá Simone, boa tarde_x000a_17:06, 28/8/2025 Simone Brinquemix : Olá Dra_x000a_17:06, 28/8/2025 Simone Brinquemix : Olá_x000a_11:03, 29/8/2025 Junior Lopes: Olá Simone ! Como não tive retorno de sua parte, vou encerrar este atendimento! _x000a_Caso mude de ideia ou precise de algo no futuro pode me chamar por aqui _x000a_Estimo sucesso para vocês 🤝"/>
    <s v=""/>
    <x v="112"/>
    <s v=""/>
    <x v="109"/>
    <s v=""/>
    <m/>
    <m/>
    <s v=""/>
    <s v=""/>
    <s v=""/>
    <s v=""/>
    <n v="1"/>
  </r>
  <r>
    <x v="1"/>
    <n v="559"/>
    <n v="155"/>
    <m/>
    <s v=""/>
    <s v=""/>
    <x v="239"/>
    <n v="13609763000186"/>
    <s v="BAAG (Bahia Artes Gráficas)"/>
    <s v=""/>
    <s v=""/>
    <s v=""/>
    <s v="cleber@bahiagrafica.com.br"/>
    <s v=""/>
    <s v=""/>
    <s v=""/>
    <s v="Feira de Santana"/>
    <s v="BA"/>
    <s v=""/>
    <s v=""/>
    <s v=""/>
    <s v=""/>
    <s v="Pipeline de Vendas"/>
    <s v="Apresentar Solução (35%)"/>
    <s v=""/>
    <m/>
    <n v="16960"/>
    <n v="14256"/>
    <n v="32"/>
    <s v="Junior Lopes"/>
    <d v="2025-08-29T00:00:00"/>
    <d v="1899-12-30T15:55:01"/>
    <s v=""/>
    <s v="Perdido"/>
    <d v="2025-09-30T00:00:00"/>
    <d v="1899-12-30T16:26:43"/>
    <s v="Projeto adiado / sem prazo definido"/>
    <s v="em analise do consultor Munhoz, cliente não esta no momento  certo"/>
    <s v=""/>
    <x v="113"/>
    <s v=""/>
    <x v="0"/>
    <s v=""/>
    <m/>
    <m/>
    <s v=""/>
    <s v=""/>
    <s v=""/>
    <s v=""/>
    <n v="1"/>
  </r>
  <r>
    <x v="1"/>
    <n v="561"/>
    <m/>
    <n v="2523"/>
    <s v=""/>
    <s v=""/>
    <x v="240"/>
    <n v="4049280000183"/>
    <s v=""/>
    <s v="Amilplast - Cloud"/>
    <s v="11973107041"/>
    <s v=""/>
    <s v="amilplast@amilplastt.com.br"/>
    <s v=""/>
    <s v=""/>
    <s v=""/>
    <s v="GUARULHOS"/>
    <s v="SP"/>
    <s v=""/>
    <s v=""/>
    <s v=""/>
    <s v=""/>
    <s v="Pipeline de Vendas"/>
    <s v="Em Fechamento (100%)"/>
    <s v=""/>
    <m/>
    <n v="1600"/>
    <n v="390556"/>
    <n v="61"/>
    <s v="Junior Lopes"/>
    <d v="2025-08-29T00:00:00"/>
    <d v="1899-12-30T16:40:34"/>
    <s v=""/>
    <s v="Perdido"/>
    <d v="2025-10-29T00:00:00"/>
    <d v="1899-12-30T10:37:03"/>
    <s v="Não quer mudar a solução atual"/>
    <s v="Amilplast continuará com servidor físico"/>
    <s v="21/10/2025"/>
    <x v="105"/>
    <s v=""/>
    <x v="116"/>
    <s v=""/>
    <m/>
    <m/>
    <s v=""/>
    <s v=""/>
    <s v=""/>
    <s v=""/>
    <n v="1"/>
  </r>
  <r>
    <x v="1"/>
    <n v="562"/>
    <m/>
    <n v="2526"/>
    <s v=""/>
    <s v=""/>
    <x v="241"/>
    <n v="1715468000125"/>
    <s v=""/>
    <s v="Off Paper (ERP)"/>
    <s v="35984074473"/>
    <s v=""/>
    <s v="jessica@papeisoffpaper.com.br"/>
    <s v=""/>
    <s v=""/>
    <s v=""/>
    <s v="LAMBARI"/>
    <s v="MG"/>
    <s v=""/>
    <s v=""/>
    <s v=""/>
    <s v=""/>
    <s v="Pipeline de Vendas"/>
    <s v="Apresentar Solução (35%)"/>
    <s v=""/>
    <m/>
    <n v="1600"/>
    <n v="480156"/>
    <n v="33"/>
    <s v="Junior Lopes"/>
    <d v="2025-08-29T00:00:00"/>
    <d v="1899-12-30T16:52:44"/>
    <s v=""/>
    <s v="Perdido"/>
    <d v="2025-10-01T00:00:00"/>
    <d v="1899-12-30T15:58:53"/>
    <s v="Fechou com o concorrente - preço"/>
    <s v="fechou sem mesmo falar com Guarani"/>
    <s v=""/>
    <x v="106"/>
    <s v=""/>
    <x v="0"/>
    <s v=""/>
    <m/>
    <m/>
    <s v=""/>
    <s v=""/>
    <s v=""/>
    <s v=""/>
    <n v="1"/>
  </r>
  <r>
    <x v="1"/>
    <n v="563"/>
    <m/>
    <n v="2530"/>
    <s v=""/>
    <s v=""/>
    <x v="242"/>
    <n v="1715468000125"/>
    <s v=""/>
    <s v="Off Paper (Cloud)"/>
    <s v="35984074473"/>
    <s v=""/>
    <s v="jessica@papeisoffpaper.com.br"/>
    <s v=""/>
    <s v=""/>
    <s v=""/>
    <s v="LAMBARI"/>
    <s v="MG"/>
    <s v=""/>
    <s v=""/>
    <s v=""/>
    <s v=""/>
    <s v="Pipeline de Vendas"/>
    <s v="Apresentar Solução (35%)"/>
    <s v=""/>
    <m/>
    <n v="93280"/>
    <n v="1163416"/>
    <n v="33"/>
    <s v="Junior Lopes"/>
    <d v="2025-08-29T00:00:00"/>
    <d v="1899-12-30T16:55:00"/>
    <s v=""/>
    <s v="Perdido"/>
    <d v="2025-10-01T00:00:00"/>
    <d v="1899-12-30T15:58:22"/>
    <s v="Fechou com o concorrente - preço"/>
    <s v="fechou sem mesmo falar com Guarani"/>
    <s v=""/>
    <x v="106"/>
    <s v=""/>
    <x v="0"/>
    <s v=""/>
    <m/>
    <m/>
    <s v=""/>
    <s v=""/>
    <s v=""/>
    <s v=""/>
    <n v="1"/>
  </r>
  <r>
    <x v="1"/>
    <n v="564"/>
    <m/>
    <n v="2534"/>
    <s v=""/>
    <s v=""/>
    <x v="243"/>
    <m/>
    <s v=""/>
    <s v="Usual plastic (BI)"/>
    <s v="1532833659"/>
    <s v=""/>
    <s v="adm@usualutilidades.com.br"/>
    <s v=""/>
    <s v=""/>
    <s v=""/>
    <s v=""/>
    <s v=""/>
    <s v=""/>
    <s v=""/>
    <s v=""/>
    <s v=""/>
    <s v="Pipeline de Vendas"/>
    <s v="Apresentar Solução (35%)"/>
    <s v=""/>
    <m/>
    <n v="16200"/>
    <n v="2160"/>
    <n v="11"/>
    <s v="Junior Lopes"/>
    <d v="2025-08-29T00:00:00"/>
    <d v="1899-12-30T17:43:06"/>
    <s v=""/>
    <s v="Perdido"/>
    <d v="2025-09-09T00:00:00"/>
    <d v="1899-12-30T15:32:46"/>
    <s v="Não quer mudar a solução atual"/>
    <s v="Gustavo conversou com os sócios e decidiu por não trocar de software no momento"/>
    <s v=""/>
    <x v="104"/>
    <s v=""/>
    <x v="0"/>
    <s v=""/>
    <m/>
    <m/>
    <s v=""/>
    <s v=""/>
    <s v=""/>
    <s v=""/>
    <n v="1"/>
  </r>
  <r>
    <x v="2"/>
    <n v="566"/>
    <m/>
    <n v="2538"/>
    <s v=""/>
    <s v="Jr Comercio De Motos E Pecas Ltda"/>
    <x v="244"/>
    <n v="46964028000140"/>
    <s v=""/>
    <s v="Jr Comercio De Motos E Pecas Ltda"/>
    <s v="(67) 9121-3638"/>
    <s v=""/>
    <s v="custodiojadi@gmail.com"/>
    <s v=""/>
    <s v=""/>
    <s v=""/>
    <s v="CAMPO GRANDE"/>
    <s v="MS"/>
    <s v="Base de empresas Leads2b"/>
    <s v=""/>
    <s v=""/>
    <s v=""/>
    <s v="Pipeline de Vendas"/>
    <s v="Apresentar Solução (35%)"/>
    <s v=""/>
    <m/>
    <m/>
    <m/>
    <n v="28"/>
    <s v="Rayssa Karapeticov"/>
    <d v="2025-09-02T00:00:00"/>
    <d v="1899-12-30T09:34:13"/>
    <s v=""/>
    <s v="Perdido"/>
    <d v="2025-09-30T00:00:00"/>
    <d v="1899-12-30T09:44:47"/>
    <s v="Preço muito alto - fora do budget de investimento"/>
    <s v=""/>
    <s v=""/>
    <x v="0"/>
    <s v=""/>
    <x v="0"/>
    <s v=""/>
    <m/>
    <m/>
    <s v=""/>
    <s v=""/>
    <s v=""/>
    <s v=""/>
    <n v="1"/>
  </r>
  <r>
    <x v="2"/>
    <n v="567"/>
    <m/>
    <n v="2541"/>
    <s v=""/>
    <s v="Jomafe Brasil - Comercio De Utensilios Domesticos E Cutelarias Ltda."/>
    <x v="245"/>
    <n v="13039863000203"/>
    <s v=""/>
    <s v="Jomafe Brasil - Comercio De Utensilios Domesticos E Cutelarias Ltda."/>
    <s v="(11) 3283-3767"/>
    <s v=""/>
    <s v="vendas.br@jomafe.pt"/>
    <s v=""/>
    <s v=""/>
    <s v=""/>
    <s v="SAO PAULO"/>
    <s v="SP"/>
    <s v="Base de empresas Leads2b"/>
    <s v=""/>
    <s v=""/>
    <s v="WhatsappRayssa"/>
    <s v="Pipeline de Vendas"/>
    <s v="Agendamento (0%)"/>
    <s v=""/>
    <m/>
    <m/>
    <m/>
    <n v="98"/>
    <s v="Rayssa Karapeticov"/>
    <d v="2025-09-02T00:00:00"/>
    <d v="1899-12-30T10:57:13"/>
    <s v=""/>
    <s v="Perdido"/>
    <d v="2025-12-09T00:00:00"/>
    <d v="1899-12-30T11:48:37"/>
    <s v="Projeto adiado / sem prazo definido"/>
    <s v=""/>
    <s v=""/>
    <x v="0"/>
    <s v=""/>
    <x v="0"/>
    <s v=""/>
    <m/>
    <m/>
    <s v=""/>
    <s v=""/>
    <s v=""/>
    <s v=""/>
    <n v="1"/>
  </r>
  <r>
    <x v="0"/>
    <n v="575"/>
    <m/>
    <n v="2547"/>
    <s v=""/>
    <s v=""/>
    <x v="246"/>
    <m/>
    <s v=""/>
    <s v="NATALIA GABRIELA DAMACENO MOTA"/>
    <s v="(11) 9667-2094"/>
    <s v=""/>
    <s v="naty-gabriela@hotmail.com"/>
    <s v=""/>
    <s v=""/>
    <s v=""/>
    <s v="São Paulo"/>
    <s v=""/>
    <s v="Site"/>
    <s v=""/>
    <s v=""/>
    <s v="Contato"/>
    <s v="Pipeline de Vendas"/>
    <s v="Apresentar Proposta (50%)"/>
    <s v=""/>
    <m/>
    <m/>
    <m/>
    <n v="19"/>
    <s v="Paulo Souza"/>
    <d v="2025-09-10T00:00:00"/>
    <d v="1899-12-30T15:39:28"/>
    <s v=""/>
    <s v="Perdido"/>
    <d v="2025-09-29T00:00:00"/>
    <d v="1899-12-30T16:41:35"/>
    <s v="Fora do porte mínimo (sem fit estrutural)"/>
    <s v=""/>
    <s v=""/>
    <x v="108"/>
    <s v="Paulo Souza"/>
    <x v="118"/>
    <s v=""/>
    <m/>
    <m/>
    <s v=""/>
    <s v=""/>
    <s v=""/>
    <s v=""/>
    <n v="1"/>
  </r>
  <r>
    <x v="1"/>
    <n v="576"/>
    <m/>
    <n v="2551"/>
    <s v=""/>
    <s v="Natalia Gabriela Damaceno Mota"/>
    <x v="247"/>
    <n v="36621794000158"/>
    <s v=""/>
    <s v="Natalia Gabriela Damaceno Mota"/>
    <s v="(11) 4292-3358"/>
    <s v=""/>
    <s v="catocontabilidade@gmail.com"/>
    <s v=""/>
    <s v=""/>
    <s v=""/>
    <s v="SUZANO"/>
    <s v="SP"/>
    <s v="Base de empresas Leads2b"/>
    <s v=""/>
    <s v=""/>
    <s v=""/>
    <s v="Pipeline de Vendas"/>
    <s v="Apresentar Solução (35%)"/>
    <s v=""/>
    <m/>
    <n v="10176"/>
    <n v="2060"/>
    <n v="23"/>
    <s v="Junior Lopes"/>
    <d v="2025-09-10T00:00:00"/>
    <d v="1899-12-30T15:53:14"/>
    <s v=""/>
    <s v="Perdido"/>
    <d v="2025-10-03T00:00:00"/>
    <d v="1899-12-30T09:59:47"/>
    <s v="Não houve aprovação financeira"/>
    <s v="Após proposta cliente não respondeu mais"/>
    <s v=""/>
    <x v="114"/>
    <s v=""/>
    <x v="122"/>
    <s v=""/>
    <m/>
    <m/>
    <s v=""/>
    <s v=""/>
    <s v=""/>
    <s v=""/>
    <n v="1"/>
  </r>
  <r>
    <x v="0"/>
    <n v="577"/>
    <m/>
    <n v="2502"/>
    <s v=""/>
    <s v=""/>
    <x v="248"/>
    <m/>
    <s v=""/>
    <s v="Lara"/>
    <s v="(19) 99985-2953"/>
    <s v=""/>
    <s v="lfabian.pereira@gmail.com"/>
    <s v=""/>
    <s v=""/>
    <s v=""/>
    <s v="Pedreira"/>
    <s v=""/>
    <s v="Site"/>
    <s v=""/>
    <s v=""/>
    <s v="Contato"/>
    <s v="Pipeline de Vendas"/>
    <s v="Em negociação (75%)"/>
    <s v=""/>
    <m/>
    <m/>
    <m/>
    <n v="0"/>
    <s v="Paulo Souza"/>
    <d v="2025-09-10T00:00:00"/>
    <d v="1899-12-30T15:54:51"/>
    <s v=""/>
    <s v="Perdido"/>
    <d v="2025-09-10T00:00:00"/>
    <d v="1899-12-30T15:56:27"/>
    <s v="Preço muito alto - fora do budget de investimento"/>
    <s v=""/>
    <s v=""/>
    <x v="115"/>
    <s v="Paulo Souza"/>
    <x v="123"/>
    <s v=""/>
    <m/>
    <m/>
    <s v=""/>
    <s v=""/>
    <s v=""/>
    <s v=""/>
    <n v="1"/>
  </r>
  <r>
    <x v="0"/>
    <n v="578"/>
    <m/>
    <n v="2515"/>
    <s v=""/>
    <s v=""/>
    <x v="249"/>
    <m/>
    <s v=""/>
    <s v="Sidney Stabile"/>
    <s v="(11) 98122-0797"/>
    <s v=""/>
    <s v="sidneysmr1@gmail.com"/>
    <s v=""/>
    <s v=""/>
    <s v=""/>
    <s v="São Paulo"/>
    <s v=""/>
    <s v="Site"/>
    <s v=""/>
    <s v=""/>
    <s v="Solicita demo"/>
    <s v="Pipeline de Vendas"/>
    <s v="Apresentar Proposta (50%)"/>
    <s v=""/>
    <m/>
    <m/>
    <m/>
    <n v="0"/>
    <s v="Paulo Souza"/>
    <d v="2025-09-11T00:00:00"/>
    <d v="1899-12-30T08:35:20"/>
    <s v=""/>
    <s v="Perdido"/>
    <d v="2025-09-11T00:00:00"/>
    <d v="1899-12-30T08:38:05"/>
    <s v="Preço muito alto - fora do budget de investimento"/>
    <s v=""/>
    <s v=""/>
    <x v="116"/>
    <s v=""/>
    <x v="124"/>
    <s v=""/>
    <m/>
    <m/>
    <s v=""/>
    <s v=""/>
    <s v=""/>
    <s v=""/>
    <n v="1"/>
  </r>
  <r>
    <x v="1"/>
    <n v="582"/>
    <m/>
    <n v="2555"/>
    <s v="O projeto só avançará após o ERP entrar em produção. É necessário alinhar com o Mário e o Fernando para confirmar a data exata de go-live, pois o projeto permanece aguardando essa etapa da implantação para seguir com as próximas fases."/>
    <s v=""/>
    <x v="150"/>
    <n v="32921219000110"/>
    <s v=""/>
    <s v="MDL Import - Cloud"/>
    <s v="1190695515"/>
    <s v=""/>
    <s v="janaina@mdlimport.com.br"/>
    <s v=""/>
    <s v=""/>
    <s v=""/>
    <s v=""/>
    <s v=""/>
    <s v=""/>
    <s v=""/>
    <s v=""/>
    <s v="80%"/>
    <s v="Pipeline de Vendas"/>
    <s v="Em Fechamento (100%)"/>
    <s v=""/>
    <d v="2026-02-02T00:00:00"/>
    <n v="1600"/>
    <n v="256856"/>
    <n v="231"/>
    <s v="Junior Lopes"/>
    <d v="2025-09-11T00:00:00"/>
    <d v="1899-12-30T13:00:08"/>
    <s v=""/>
    <s v="Perdido"/>
    <d v="2026-04-30T00:00:00"/>
    <d v="1899-12-30T14:30:32"/>
    <s v="Não quer mudar a solução atual"/>
    <s v="esta em uso de servidor próprio"/>
    <s v=""/>
    <x v="117"/>
    <s v="Junior Lopes"/>
    <x v="125"/>
    <s v=""/>
    <d v="2025-12-12T00:00:00"/>
    <n v="80"/>
    <s v=""/>
    <s v=""/>
    <s v=""/>
    <s v=""/>
    <n v="1"/>
  </r>
  <r>
    <x v="0"/>
    <n v="583"/>
    <m/>
    <n v="578"/>
    <s v="A empresa está enfrentando uma situação delicada com a Receita Federal e, por isso, decidiu aguardar antes de assinar o contrato, já que não sabe se manterá a operação de atacado. O plano é retomar o contato na primeira semana de janeiro de 2026._x000a_06/02 A Michele me ligou retomando o projeto, agora estamos na fase de negociação."/>
    <s v="Futuro Brasil Importacao E Exportacao Ltda"/>
    <x v="250"/>
    <n v="7664689000289"/>
    <s v=""/>
    <s v="Futuro Brasil Importacao E Exportacao Ltda"/>
    <s v="(11) 3312-3990"/>
    <s v=""/>
    <s v="financeiro.michele@futurobrasil.com"/>
    <s v=""/>
    <s v=""/>
    <s v=""/>
    <s v="EXTREMA"/>
    <s v="MG"/>
    <s v="Base de empresas Leads2b"/>
    <s v=""/>
    <s v=""/>
    <s v="30%;Pausado"/>
    <s v="Pipeline de Vendas"/>
    <s v="Em negociação (75%)"/>
    <s v=""/>
    <d v="2026-04-30T00:00:00"/>
    <n v="100800"/>
    <n v="5484"/>
    <n v="249"/>
    <s v="Paulo Souza"/>
    <d v="2025-09-11T00:00:00"/>
    <d v="1899-12-30T15:56:45"/>
    <s v=""/>
    <s v="Perdido"/>
    <d v="2026-05-18T00:00:00"/>
    <d v="1899-12-30T16:49:23"/>
    <s v="Projeto adiado / sem prazo definido"/>
    <s v=""/>
    <s v=""/>
    <x v="118"/>
    <s v="Paulo Souza"/>
    <x v="126"/>
    <s v=""/>
    <d v="2026-03-31T00:00:00"/>
    <n v="30"/>
    <s v="504"/>
    <s v="ERP, AFV, ADICIONAIS, CLOUD, WMS"/>
    <s v="R$ 100.800"/>
    <s v="R$ 5.484"/>
    <n v="1"/>
  </r>
  <r>
    <x v="1"/>
    <n v="585"/>
    <m/>
    <n v="2557"/>
    <s v=""/>
    <s v=""/>
    <x v="251"/>
    <m/>
    <s v=""/>
    <s v="Fantoys comércio de brinquedos ltda"/>
    <s v="44999841977"/>
    <s v=""/>
    <s v="Fantoyscomercial@gmail.com"/>
    <s v=""/>
    <s v=""/>
    <s v=""/>
    <s v=""/>
    <s v=""/>
    <s v=""/>
    <s v=""/>
    <s v=""/>
    <s v=""/>
    <s v="Pipeline de Vendas"/>
    <s v="Apresentar Proposta (50%)"/>
    <s v=""/>
    <m/>
    <n v="58088"/>
    <n v="645602"/>
    <n v="13"/>
    <s v="Junior Lopes"/>
    <d v="2025-09-12T00:00:00"/>
    <d v="1899-12-30T14:48:47"/>
    <s v=""/>
    <s v="Perdido"/>
    <d v="2025-09-25T00:00:00"/>
    <d v="1899-12-30T16:14:01"/>
    <s v="Não houve aprovação financeira"/>
    <s v="cliente achou investimento muito alto"/>
    <s v=""/>
    <x v="119"/>
    <s v=""/>
    <x v="127"/>
    <s v=""/>
    <m/>
    <m/>
    <s v=""/>
    <s v=""/>
    <s v=""/>
    <s v=""/>
    <n v="1"/>
  </r>
  <r>
    <x v="2"/>
    <n v="587"/>
    <m/>
    <n v="2559"/>
    <s v=""/>
    <s v=""/>
    <x v="252"/>
    <m/>
    <s v=""/>
    <s v="Junior"/>
    <s v="19987126669"/>
    <s v=""/>
    <s v="null"/>
    <s v=""/>
    <s v=""/>
    <s v=""/>
    <s v=""/>
    <s v=""/>
    <s v=""/>
    <s v=""/>
    <s v=""/>
    <s v=""/>
    <s v="Pipeline de Vendas"/>
    <s v="Em Fechamento (100%)"/>
    <s v=""/>
    <m/>
    <n v="64200"/>
    <n v="254344"/>
    <n v="78"/>
    <s v="Rayssa Karapeticov"/>
    <d v="2025-09-15T00:00:00"/>
    <d v="1899-12-30T10:48:08"/>
    <s v=""/>
    <s v="Ganho"/>
    <d v="2025-12-02T00:00:00"/>
    <d v="1899-12-30T11:19:47"/>
    <s v=""/>
    <s v=""/>
    <s v=""/>
    <x v="120"/>
    <s v=""/>
    <x v="128"/>
    <s v="17/09/2025 00:00"/>
    <m/>
    <m/>
    <s v=""/>
    <s v=""/>
    <s v=""/>
    <s v=""/>
    <n v="1"/>
  </r>
  <r>
    <x v="1"/>
    <n v="589"/>
    <m/>
    <n v="2561"/>
    <s v=""/>
    <s v=""/>
    <x v="253"/>
    <n v="7548592000120"/>
    <s v=""/>
    <s v="KAIQUE ARAUJO"/>
    <s v="(67) 99250-3056"/>
    <s v=""/>
    <s v="comercial.centralracoes@hotmail.com"/>
    <s v=""/>
    <s v=""/>
    <s v=""/>
    <s v="CAMPO GRANDE"/>
    <s v="MS"/>
    <s v="Site"/>
    <s v=""/>
    <s v=""/>
    <s v="Solicita demo"/>
    <s v="Pipeline de Vendas"/>
    <s v="Apresentar Proposta (50%)"/>
    <s v=""/>
    <m/>
    <n v="103032"/>
    <n v="696032"/>
    <n v="30"/>
    <s v="Paulo Souza"/>
    <d v="2025-09-16T00:00:00"/>
    <d v="1899-12-30T09:41:24"/>
    <s v=""/>
    <s v="Perdido"/>
    <d v="2025-10-16T00:00:00"/>
    <d v="1899-12-30T12:01:25"/>
    <s v="Projeto adiado / sem prazo definido"/>
    <s v="informações salvo em notas"/>
    <s v=""/>
    <x v="121"/>
    <s v="Junior Lopes"/>
    <x v="129"/>
    <s v="30/09/2025"/>
    <m/>
    <m/>
    <s v=""/>
    <s v=""/>
    <s v=""/>
    <s v=""/>
    <n v="1"/>
  </r>
  <r>
    <x v="1"/>
    <n v="590"/>
    <m/>
    <n v="2561"/>
    <s v=""/>
    <s v=""/>
    <x v="254"/>
    <n v="7548592000120"/>
    <s v=""/>
    <s v="KAIQUE ARAUJO"/>
    <s v="(67) 99250-3056"/>
    <s v=""/>
    <s v="comercial.centralracoes@hotmail.com"/>
    <s v=""/>
    <s v=""/>
    <s v=""/>
    <s v="CAMPO GRANDE"/>
    <s v="MS"/>
    <s v="Site"/>
    <s v=""/>
    <s v=""/>
    <s v="Solicita demo"/>
    <s v="Pipeline de Vendas"/>
    <s v="Agendamento (0%)"/>
    <s v=""/>
    <m/>
    <m/>
    <m/>
    <n v="0"/>
    <s v="Junior Lopes"/>
    <d v="2025-09-16T00:00:00"/>
    <d v="1899-12-30T09:45:26"/>
    <s v=""/>
    <s v="Perdido"/>
    <d v="2025-09-16T00:00:00"/>
    <d v="1899-12-30T09:58:11"/>
    <s v="Fora do porte mínimo (sem fit estrutural)"/>
    <s v="cadastro duplicado"/>
    <s v=""/>
    <x v="0"/>
    <s v=""/>
    <x v="0"/>
    <s v=""/>
    <m/>
    <m/>
    <s v=""/>
    <s v=""/>
    <s v=""/>
    <s v=""/>
    <n v="1"/>
  </r>
  <r>
    <x v="1"/>
    <n v="597"/>
    <m/>
    <n v="2571"/>
    <s v=""/>
    <s v="Ilumac Industria Comercio E Servicos Ltda"/>
    <x v="255"/>
    <n v="49872306000127"/>
    <s v=""/>
    <s v="Ilumac Industria Comercio E Servicos Ltda"/>
    <s v="(14) 3213-1100"/>
    <s v=""/>
    <s v="direcao@safeway.ind.br"/>
    <s v=""/>
    <s v=""/>
    <s v=""/>
    <s v="BAURU"/>
    <s v="SP"/>
    <s v="Base de empresas Leads2b"/>
    <s v=""/>
    <s v=""/>
    <s v=""/>
    <s v="Pipeline de Vendas"/>
    <s v="Apresentar Proposta (50%)"/>
    <s v=""/>
    <m/>
    <n v="7021439"/>
    <n v="37362"/>
    <n v="14"/>
    <s v="Junior Lopes"/>
    <d v="2025-09-19T00:00:00"/>
    <d v="1899-12-30T15:49:06"/>
    <s v=""/>
    <s v="Perdido"/>
    <d v="2025-10-03T00:00:00"/>
    <d v="1899-12-30T09:41:38"/>
    <s v="Não quer mudar a solução atual"/>
    <s v="cliente não responde as mensagens e ligações"/>
    <s v=""/>
    <x v="114"/>
    <s v=""/>
    <x v="130"/>
    <s v=""/>
    <m/>
    <m/>
    <s v=""/>
    <s v=""/>
    <s v=""/>
    <s v=""/>
    <n v="1"/>
  </r>
  <r>
    <x v="0"/>
    <n v="600"/>
    <m/>
    <n v="2477"/>
    <s v=""/>
    <s v=""/>
    <x v="256"/>
    <m/>
    <s v=""/>
    <s v="Lucas"/>
    <s v="(11) 98527-7256"/>
    <s v=""/>
    <s v="marketing@mewoof.com.br"/>
    <s v=""/>
    <s v=""/>
    <s v=""/>
    <s v="São Paulo"/>
    <s v=""/>
    <s v="Site"/>
    <s v=""/>
    <s v=""/>
    <s v="Solicita demo"/>
    <s v="Pipeline de Vendas"/>
    <s v="Em negociação (75%)"/>
    <s v=""/>
    <m/>
    <m/>
    <m/>
    <n v="43"/>
    <s v="Paulo Souza"/>
    <d v="2025-09-23T00:00:00"/>
    <d v="1899-12-30T16:50:25"/>
    <s v=""/>
    <s v="Perdido"/>
    <d v="2025-11-05T00:00:00"/>
    <d v="1899-12-30T09:56:42"/>
    <s v="Fora do porte mínimo (sem fit estrutural)"/>
    <s v=""/>
    <s v=""/>
    <x v="108"/>
    <s v="Paulo Souza"/>
    <x v="131"/>
    <s v=""/>
    <m/>
    <m/>
    <s v=""/>
    <s v=""/>
    <s v=""/>
    <s v=""/>
    <n v="1"/>
  </r>
  <r>
    <x v="1"/>
    <n v="601"/>
    <m/>
    <n v="2579"/>
    <s v=""/>
    <s v=""/>
    <x v="257"/>
    <m/>
    <s v=""/>
    <s v="Fantoys Brinquedos - Cloud"/>
    <s v="44999841977"/>
    <s v=""/>
    <s v="Fantoyscomercial@gmail.com"/>
    <s v=""/>
    <s v=""/>
    <s v=""/>
    <s v=""/>
    <s v=""/>
    <s v=""/>
    <s v=""/>
    <s v=""/>
    <s v=""/>
    <s v="Pipeline de Vendas"/>
    <s v="Apresentar Proposta (50%)"/>
    <s v=""/>
    <m/>
    <n v="1600"/>
    <n v="2396"/>
    <n v="1"/>
    <s v="Junior Lopes"/>
    <d v="2025-09-24T00:00:00"/>
    <d v="1899-12-30T09:48:02"/>
    <s v=""/>
    <s v="Perdido"/>
    <d v="2025-09-25T00:00:00"/>
    <d v="1899-12-30T16:14:54"/>
    <s v="Não houve aprovação financeira"/>
    <s v="cliente achou investimento muito  alto"/>
    <s v=""/>
    <x v="119"/>
    <s v=""/>
    <x v="127"/>
    <s v=""/>
    <m/>
    <m/>
    <s v=""/>
    <s v=""/>
    <s v=""/>
    <s v=""/>
    <n v="1"/>
  </r>
  <r>
    <x v="1"/>
    <n v="602"/>
    <m/>
    <n v="2582"/>
    <s v=""/>
    <s v="Principios Representacoes De Artigos De Uso Domestico Ltda"/>
    <x v="258"/>
    <n v="11392803000155"/>
    <s v=""/>
    <s v="Principios Representacoes De Artigos De Uso Domestico Ltda"/>
    <s v="(48) 9123-3777"/>
    <s v=""/>
    <s v="fabiane.principios@gmail.com"/>
    <s v=""/>
    <s v=""/>
    <s v=""/>
    <s v="ARARANGUA"/>
    <s v="SC"/>
    <s v="Base de empresas Leads2b"/>
    <s v=""/>
    <s v=""/>
    <s v=""/>
    <s v="Pipeline de Vendas"/>
    <s v="Apresentar Proposta (50%)"/>
    <s v=""/>
    <m/>
    <m/>
    <m/>
    <n v="42"/>
    <s v="Junior Lopes"/>
    <d v="2025-09-24T00:00:00"/>
    <d v="1899-12-30T14:10:49"/>
    <s v=""/>
    <s v="Perdido"/>
    <d v="2025-11-05T00:00:00"/>
    <d v="1899-12-30T09:29:11"/>
    <s v="Projeto adiado / sem prazo definido"/>
    <s v="cliente Rep Mais"/>
    <s v=""/>
    <x v="0"/>
    <s v=""/>
    <x v="118"/>
    <s v=""/>
    <m/>
    <m/>
    <s v=""/>
    <s v=""/>
    <s v=""/>
    <s v=""/>
    <n v="1"/>
  </r>
  <r>
    <x v="1"/>
    <n v="603"/>
    <m/>
    <n v="2581"/>
    <s v=""/>
    <s v=""/>
    <x v="259"/>
    <n v="8019257000105"/>
    <s v=""/>
    <s v="Ramão"/>
    <s v=""/>
    <s v=""/>
    <s v="diego.barcelli@guaranisistemas.com.br"/>
    <s v=""/>
    <s v=""/>
    <s v=""/>
    <s v="Brumadinho"/>
    <s v=""/>
    <s v="Indicação"/>
    <s v=""/>
    <s v=""/>
    <s v=""/>
    <s v="Pipeline de Vendas"/>
    <s v="Agendamento (0%)"/>
    <s v=""/>
    <m/>
    <m/>
    <m/>
    <n v="13"/>
    <s v="Paulo Souza"/>
    <d v="2025-09-24T00:00:00"/>
    <d v="1899-12-30T16:01:16"/>
    <s v=""/>
    <s v="Perdido"/>
    <d v="2025-10-07T00:00:00"/>
    <d v="1899-12-30T14:43:39"/>
    <s v="Não quer mudar a solução atual"/>
    <s v="Sem retorno dos contatos"/>
    <s v=""/>
    <x v="0"/>
    <s v="Junior Lopes"/>
    <x v="132"/>
    <s v=""/>
    <m/>
    <m/>
    <s v=""/>
    <s v=""/>
    <s v=""/>
    <s v=""/>
    <n v="1"/>
  </r>
  <r>
    <x v="1"/>
    <n v="604"/>
    <m/>
    <n v="2580"/>
    <s v="Todos os dados preenchidos:_x000a_name: Ramão _x000a_phone: 67 9 9169-7702 _x000a_email: ramaodlara@gmail.com _x000a_nome_da_empresa_indicada: LUZIA LARA GUILHEN- MEI _x000a_field_6: Guarani ERP, PDV _x000a_nome_de_quem_indica: Diego Luis Barcelli _x000a_e_mail_de_quem_indica: diego.barcelli@guaranisistemas.com.br _x000a_telefone_de_quem_indica: 16 9 9265-3506 _x000a_Quais_produtos_Guarani_você_indica_para_essa_empresa?: Guarani ERP, PDV _x000a_0: Guarani ERP, PDV"/>
    <s v=""/>
    <x v="260"/>
    <m/>
    <s v=""/>
    <s v="Ramão"/>
    <s v="67 9 9169-7702"/>
    <s v=""/>
    <s v="ramaodlara@gmail.com"/>
    <s v=""/>
    <s v=""/>
    <s v=""/>
    <s v=""/>
    <s v=""/>
    <s v="Indicação"/>
    <s v=""/>
    <s v=""/>
    <s v=""/>
    <s v="Pipeline de Vendas"/>
    <s v="Agendamento (0%)"/>
    <s v=""/>
    <m/>
    <m/>
    <m/>
    <n v="13"/>
    <s v="Paulo Souza"/>
    <d v="2025-09-24T00:00:00"/>
    <d v="1899-12-30T16:02:08"/>
    <s v=""/>
    <s v="Perdido"/>
    <d v="2025-10-07T00:00:00"/>
    <d v="1899-12-30T09:36:27"/>
    <s v="Não quer mudar a solução atual"/>
    <s v="não responde ao contato"/>
    <s v=""/>
    <x v="0"/>
    <s v="Junior Lopes"/>
    <x v="132"/>
    <s v=""/>
    <m/>
    <m/>
    <s v=""/>
    <s v=""/>
    <s v=""/>
    <s v=""/>
    <n v="1"/>
  </r>
  <r>
    <x v="1"/>
    <n v="607"/>
    <m/>
    <n v="2590"/>
    <s v=""/>
    <s v=""/>
    <x v="261"/>
    <n v="1099426000107"/>
    <s v=""/>
    <s v="Chame Rio (Cloud)"/>
    <s v="21996087296"/>
    <s v=""/>
    <s v="leon@chamerio.com.br"/>
    <s v=""/>
    <s v=""/>
    <s v=""/>
    <s v=""/>
    <s v=""/>
    <s v=""/>
    <s v=""/>
    <s v=""/>
    <s v=""/>
    <s v="Pipeline de Vendas"/>
    <s v="Em negociação (75%)"/>
    <s v=""/>
    <m/>
    <n v="1600"/>
    <n v="3360"/>
    <n v="62"/>
    <s v="Junior Lopes"/>
    <d v="2025-09-25T00:00:00"/>
    <d v="1899-12-30T15:54:00"/>
    <s v=""/>
    <s v="Perdido"/>
    <d v="2025-11-26T00:00:00"/>
    <d v="1899-12-30T14:16:02"/>
    <s v="Projeto adiado / sem prazo definido"/>
    <s v="Aguardar ativação das lojas"/>
    <s v=""/>
    <x v="122"/>
    <s v=""/>
    <x v="133"/>
    <s v=""/>
    <m/>
    <m/>
    <s v=""/>
    <s v=""/>
    <s v=""/>
    <s v=""/>
    <n v="1"/>
  </r>
  <r>
    <x v="1"/>
    <n v="608"/>
    <m/>
    <n v="2591"/>
    <s v=""/>
    <s v=""/>
    <x v="262"/>
    <n v="6302372000159"/>
    <s v=""/>
    <s v="DVidros (CNPJ)"/>
    <s v="31992324071"/>
    <s v=""/>
    <s v="comercial@dvidros.com.br"/>
    <s v=""/>
    <s v=""/>
    <s v=""/>
    <s v=""/>
    <s v=""/>
    <s v=""/>
    <s v=""/>
    <s v=""/>
    <s v=""/>
    <s v="Pipeline de Vendas"/>
    <s v="Em Fechamento (100%)"/>
    <s v=""/>
    <m/>
    <n v="260148"/>
    <n v="0"/>
    <n v="0"/>
    <s v="Junior Lopes"/>
    <d v="2025-09-25T00:00:00"/>
    <d v="1899-12-30T16:03:28"/>
    <s v=""/>
    <s v="Ganho"/>
    <d v="2025-09-25T00:00:00"/>
    <d v="1899-12-30T16:12:47"/>
    <s v=""/>
    <s v=""/>
    <s v=""/>
    <x v="115"/>
    <s v=""/>
    <x v="123"/>
    <s v=""/>
    <m/>
    <m/>
    <s v=""/>
    <s v=""/>
    <s v=""/>
    <s v=""/>
    <n v="1"/>
  </r>
  <r>
    <x v="1"/>
    <n v="609"/>
    <m/>
    <n v="2592"/>
    <s v=""/>
    <s v=""/>
    <x v="263"/>
    <n v="7548592000120"/>
    <s v=""/>
    <s v="Central Rações - BI"/>
    <s v="67992503056"/>
    <s v=""/>
    <s v="comercial.centralracoes@hotmail.com"/>
    <s v=""/>
    <s v=""/>
    <s v=""/>
    <s v="CAMPO GRANDE"/>
    <s v="MS"/>
    <s v=""/>
    <s v=""/>
    <s v=""/>
    <s v=""/>
    <s v="Pipeline de Vendas"/>
    <s v="Apresentar Proposta (50%)"/>
    <s v=""/>
    <m/>
    <n v="16200"/>
    <n v="2160"/>
    <n v="21"/>
    <s v="Junior Lopes"/>
    <d v="2025-09-25T00:00:00"/>
    <d v="1899-12-30T16:39:10"/>
    <s v=""/>
    <s v="Perdido"/>
    <d v="2025-10-16T00:00:00"/>
    <d v="1899-12-30T12:02:57"/>
    <s v="Projeto adiado / sem prazo definido"/>
    <s v="informações salvo em notas"/>
    <s v=""/>
    <x v="121"/>
    <s v=""/>
    <x v="134"/>
    <s v=""/>
    <m/>
    <m/>
    <s v=""/>
    <s v=""/>
    <s v=""/>
    <s v=""/>
    <n v="1"/>
  </r>
  <r>
    <x v="1"/>
    <n v="610"/>
    <m/>
    <n v="2595"/>
    <s v=""/>
    <s v=""/>
    <x v="264"/>
    <n v="7548592000120"/>
    <s v=""/>
    <s v="Central Rações - Cloud"/>
    <s v="67992503056"/>
    <s v=""/>
    <s v="comercial.centralracoes@hotmail.com"/>
    <s v=""/>
    <s v=""/>
    <s v=""/>
    <s v="CAMPO GRANDE"/>
    <s v="MS"/>
    <s v=""/>
    <s v=""/>
    <s v=""/>
    <s v=""/>
    <s v="Pipeline de Vendas"/>
    <s v="Apresentar Proposta (50%)"/>
    <s v=""/>
    <m/>
    <n v="1600"/>
    <n v="405552"/>
    <n v="21"/>
    <s v="Junior Lopes"/>
    <d v="2025-09-25T00:00:00"/>
    <d v="1899-12-30T16:41:53"/>
    <s v=""/>
    <s v="Perdido"/>
    <d v="2025-10-16T00:00:00"/>
    <d v="1899-12-30T12:02:06"/>
    <s v="Projeto adiado / sem prazo definido"/>
    <s v="informações salvo em notas"/>
    <s v=""/>
    <x v="121"/>
    <s v=""/>
    <x v="134"/>
    <s v=""/>
    <m/>
    <m/>
    <s v=""/>
    <s v=""/>
    <s v=""/>
    <s v=""/>
    <n v="1"/>
  </r>
  <r>
    <x v="2"/>
    <n v="611"/>
    <m/>
    <n v="2598"/>
    <s v=""/>
    <s v=""/>
    <x v="265"/>
    <n v="11861121000306"/>
    <s v=""/>
    <s v="Emerson Silva"/>
    <s v="(55) 11941-3524"/>
    <s v=""/>
    <s v="operacional@facinato.com.br"/>
    <s v=""/>
    <s v=""/>
    <s v=""/>
    <s v="São Paulo"/>
    <s v=""/>
    <s v="Site"/>
    <s v=""/>
    <s v=""/>
    <s v="Solicita demo"/>
    <s v="Pipeline de Vendas"/>
    <s v="Apresentar Proposta (50%)"/>
    <s v=""/>
    <m/>
    <m/>
    <m/>
    <n v="28"/>
    <s v="Paulo Souza"/>
    <d v="2025-09-26T00:00:00"/>
    <d v="1899-12-30T10:12:27"/>
    <s v=""/>
    <s v="Perdido"/>
    <d v="2025-10-24T00:00:00"/>
    <d v="1899-12-30T12:02:58"/>
    <s v="Preço muito alto - fora do budget de investimento"/>
    <s v=""/>
    <s v=""/>
    <x v="0"/>
    <s v="Rayssa Karapeticov"/>
    <x v="135"/>
    <s v=""/>
    <m/>
    <m/>
    <s v=""/>
    <s v=""/>
    <s v=""/>
    <s v=""/>
    <n v="1"/>
  </r>
  <r>
    <x v="1"/>
    <n v="613"/>
    <m/>
    <n v="2600"/>
    <s v="11:51, 06/01/2026 Junior Lopes: lá Wilkerson, bom dia_x000a_11:51, 06/01/2026 Junior Lopes: Um Feliz 2026 para vc e toda equipe 🙏🙏_x000a_11:51, 06/01/2026 Junior Lopes: Me recebe aí para discutirmos sobre a proposta comercial?_x000a_15:32, 23/01/2026 Junior Lopes: Olá Wilkerson, boa tarde_x000a_13:34, 27/01/2026 Wilkerson Plasbrin: Ola_x000a_13:34, 27/01/2026 Wilkerson Plasbrin: Estou analisando a proposta sina_x000a_13:34, 27/01/2026 Wilkerson Plasbrin: Ainda_x000a_13:35, 27/01/2026 Wilkerson Plasbrin: Creio que em fevereiro te contato sobre uma negociação_x000a_13:36, 27/01/2026 Junior Lopes: Olá meu amigo! Ótimo _x000a_Veja o que precisa para fecharmos! Nossa solução vai ajudar muito em seus processos _x000a_Te aguardo 👊_x000a_14:25, 27/01/2026 Wilkerson Plasbrin: Pode deixar_x000a_14:25, 27/01/2026 Wilkerson Plasbrin: Vamos avaliar_x000a_08:53, 24/02/2026 Junior Lopes: Olá Wilkerson, bom dia , Td bem ?_x000a_08:54, 24/02/2026 Junior Lopes: Vamos agendar um bate papo para próxima semana ? _x000a_Se sim vou até você !"/>
    <s v=""/>
    <x v="266"/>
    <n v="221294000181"/>
    <s v=""/>
    <s v="PlasBink"/>
    <s v="11997580006"/>
    <s v=""/>
    <s v="falgat@terra.com.br"/>
    <s v=""/>
    <s v=""/>
    <s v=""/>
    <s v="CABREUVA"/>
    <s v="SP"/>
    <s v=""/>
    <s v=""/>
    <s v=""/>
    <s v="50%"/>
    <s v="Pipeline de Vendas"/>
    <s v="Em negociação (75%)"/>
    <s v=""/>
    <d v="2026-03-31T00:00:00"/>
    <n v="81786"/>
    <n v="79654"/>
    <n v="233"/>
    <s v="Junior Lopes"/>
    <d v="2025-09-29T00:00:00"/>
    <d v="1899-12-30T11:41:56"/>
    <s v=""/>
    <s v="Ativo"/>
    <m/>
    <m/>
    <s v=""/>
    <s v=""/>
    <s v="08/10/2025"/>
    <x v="123"/>
    <s v="Junior Lopes"/>
    <x v="118"/>
    <s v=""/>
    <d v="2026-02-24T00:00:00"/>
    <n v="50"/>
    <s v=""/>
    <s v=""/>
    <s v=""/>
    <s v=""/>
    <n v="1"/>
  </r>
  <r>
    <x v="0"/>
    <n v="614"/>
    <m/>
    <n v="2603"/>
    <s v="Indefinido se vamos ou não seguir . O Wellington esta em analise se vamos evoluir!_x000a_Esta oportunidade encontra-se pausado durante 2026._x000a_07/02 Por motivo de gerenciamento do meu CRM, estou declinando a proposta e futuramente quando o cliente demonstrar interesse novamente retornamos com a proposta."/>
    <s v=""/>
    <x v="267"/>
    <n v="9517464000144"/>
    <s v=""/>
    <s v="Wellington"/>
    <s v=""/>
    <s v=""/>
    <s v="well@wellmix.com.br"/>
    <s v=""/>
    <s v=""/>
    <s v=""/>
    <s v=""/>
    <s v=""/>
    <s v=""/>
    <s v=""/>
    <s v=""/>
    <s v="30%;Pausado"/>
    <s v="Pipeline de Vendas"/>
    <s v="Em negociação (75%)"/>
    <s v=""/>
    <d v="2026-03-31T00:00:00"/>
    <n v="254760"/>
    <n v="1578632"/>
    <n v="131"/>
    <s v="Paulo Souza"/>
    <d v="2025-09-29T00:00:00"/>
    <d v="1899-12-30T17:19:09"/>
    <s v=""/>
    <s v="Perdido"/>
    <d v="2026-02-07T00:00:00"/>
    <d v="1899-12-30T08:47:53"/>
    <s v="Não quer mudar a solução atual"/>
    <s v="07/02 Por motivo de gerenciamento do meu CRM, estou declinando a proposta e futuramente quando o cliente demonstrar interesse novamente retornamos com a proposta."/>
    <s v=""/>
    <x v="124"/>
    <s v="Paulo Souza"/>
    <x v="136"/>
    <s v=""/>
    <d v="2026-02-07T00:00:00"/>
    <n v="30"/>
    <s v=""/>
    <s v=""/>
    <s v=""/>
    <s v=""/>
    <n v="1"/>
  </r>
  <r>
    <x v="0"/>
    <n v="615"/>
    <m/>
    <n v="2604"/>
    <s v=""/>
    <s v=""/>
    <x v="268"/>
    <n v="73114894000114"/>
    <s v=""/>
    <s v="Sidney"/>
    <s v=""/>
    <s v=""/>
    <s v="sidney@unikhome.com.br"/>
    <s v=""/>
    <s v=""/>
    <s v=""/>
    <s v=""/>
    <s v=""/>
    <s v=""/>
    <s v=""/>
    <s v=""/>
    <s v=""/>
    <s v="Pipeline de Vendas"/>
    <s v="Em negociação (75%)"/>
    <s v=""/>
    <m/>
    <m/>
    <m/>
    <n v="0"/>
    <s v="Paulo Souza"/>
    <d v="2025-09-29T00:00:00"/>
    <d v="1899-12-30T17:22:41"/>
    <s v=""/>
    <s v="Perdido"/>
    <d v="2025-09-29T00:00:00"/>
    <d v="1899-12-30T17:22:55"/>
    <s v="Preço muito alto - fora do budget de investimento"/>
    <s v=""/>
    <s v=""/>
    <x v="125"/>
    <s v="Paulo Souza"/>
    <x v="137"/>
    <s v=""/>
    <m/>
    <m/>
    <s v=""/>
    <s v=""/>
    <s v=""/>
    <s v=""/>
    <n v="1"/>
  </r>
  <r>
    <x v="0"/>
    <n v="616"/>
    <m/>
    <n v="2605"/>
    <s v=""/>
    <s v=""/>
    <x v="269"/>
    <n v="18628799000120"/>
    <s v=""/>
    <s v="Gabeirl"/>
    <s v="(11) 3567-5470"/>
    <s v=""/>
    <s v="atendimento@dolcehome.com.br"/>
    <s v=""/>
    <s v=""/>
    <s v=""/>
    <s v="SAO PAULO"/>
    <s v="SP"/>
    <s v=""/>
    <s v=""/>
    <s v=""/>
    <s v=""/>
    <s v="Pipeline de Vendas"/>
    <s v="Em negociação (75%)"/>
    <s v=""/>
    <m/>
    <m/>
    <m/>
    <n v="37"/>
    <s v="Paulo Souza"/>
    <d v="2025-09-29T00:00:00"/>
    <d v="1899-12-30T17:28:50"/>
    <s v=""/>
    <s v="Perdido"/>
    <d v="2025-11-05T00:00:00"/>
    <d v="1899-12-30T09:54:48"/>
    <s v="Fora do porte mínimo (sem fit estrutural)"/>
    <s v=""/>
    <s v=""/>
    <x v="126"/>
    <s v="Paulo Souza"/>
    <x v="136"/>
    <s v=""/>
    <m/>
    <m/>
    <s v=""/>
    <s v=""/>
    <s v=""/>
    <s v=""/>
    <n v="1"/>
  </r>
  <r>
    <x v="1"/>
    <n v="618"/>
    <m/>
    <n v="2609"/>
    <s v=""/>
    <s v=""/>
    <x v="270"/>
    <n v="49872306000127"/>
    <s v=""/>
    <s v="Illumac Industria - Cloud"/>
    <s v="1432131100"/>
    <s v=""/>
    <s v="direcao@safeway.ind.br"/>
    <s v=""/>
    <s v=""/>
    <s v=""/>
    <s v="BAURU"/>
    <s v="SP"/>
    <s v=""/>
    <s v=""/>
    <s v=""/>
    <s v=""/>
    <s v="Pipeline de Vendas"/>
    <s v="Apresentar Proposta (50%)"/>
    <s v=""/>
    <m/>
    <n v="1600"/>
    <n v="2468"/>
    <n v="3"/>
    <s v="Junior Lopes"/>
    <d v="2025-09-30T00:00:00"/>
    <d v="1899-12-30T14:38:16"/>
    <s v=""/>
    <s v="Perdido"/>
    <d v="2025-10-03T00:00:00"/>
    <d v="1899-12-30T09:42:31"/>
    <s v="Não quer mudar a solução atual"/>
    <s v="cliente não responde as mensagens e ligações"/>
    <s v=""/>
    <x v="114"/>
    <s v=""/>
    <x v="130"/>
    <s v=""/>
    <m/>
    <m/>
    <s v=""/>
    <s v=""/>
    <s v=""/>
    <s v=""/>
    <n v="1"/>
  </r>
  <r>
    <x v="1"/>
    <n v="619"/>
    <m/>
    <n v="2614"/>
    <s v=""/>
    <s v=""/>
    <x v="271"/>
    <n v="1099426000107"/>
    <s v=""/>
    <s v="Chame Rio - Horas"/>
    <s v="21996087296"/>
    <s v=""/>
    <s v="leon@chamerio.com.br"/>
    <s v=""/>
    <s v=""/>
    <s v=""/>
    <s v=""/>
    <s v=""/>
    <s v=""/>
    <s v=""/>
    <s v=""/>
    <s v=""/>
    <s v="Pipeline de Vendas"/>
    <s v="Em Fechamento (100%)"/>
    <s v=""/>
    <m/>
    <n v="2527318"/>
    <n v="0"/>
    <n v="29"/>
    <s v="Junior Lopes"/>
    <d v="2025-09-30T00:00:00"/>
    <d v="1899-12-30T15:58:34"/>
    <s v=""/>
    <s v="Ganho"/>
    <d v="2025-10-29T00:00:00"/>
    <d v="1899-12-30T10:50:59"/>
    <s v=""/>
    <s v=""/>
    <s v=""/>
    <x v="127"/>
    <s v=""/>
    <x v="0"/>
    <s v=""/>
    <m/>
    <m/>
    <s v=""/>
    <s v=""/>
    <s v=""/>
    <s v=""/>
    <n v="1"/>
  </r>
  <r>
    <x v="0"/>
    <n v="620"/>
    <m/>
    <n v="2615"/>
    <s v=""/>
    <s v=""/>
    <x v="272"/>
    <n v="5856090000130"/>
    <s v=""/>
    <s v="José Luiz Gomes Junior"/>
    <s v=""/>
    <s v=""/>
    <s v="controladoria@bionov.com.br"/>
    <s v=""/>
    <s v=""/>
    <s v=""/>
    <s v=""/>
    <s v=""/>
    <s v=""/>
    <s v=""/>
    <s v=""/>
    <s v=""/>
    <s v="Pipeline de Vendas"/>
    <s v="Em negociação (75%)"/>
    <s v=""/>
    <m/>
    <m/>
    <m/>
    <n v="36"/>
    <s v="Paulo Souza"/>
    <d v="2025-09-30T00:00:00"/>
    <d v="1899-12-30T16:04:40"/>
    <s v=""/>
    <s v="Perdido"/>
    <d v="2025-11-05T00:00:00"/>
    <d v="1899-12-30T09:53:42"/>
    <s v="Preço muito alto - fora do budget de investimento"/>
    <s v=""/>
    <s v=""/>
    <x v="128"/>
    <s v="Paulo Souza"/>
    <x v="138"/>
    <s v=""/>
    <m/>
    <m/>
    <s v=""/>
    <s v=""/>
    <s v=""/>
    <s v=""/>
    <n v="1"/>
  </r>
  <r>
    <x v="1"/>
    <n v="621"/>
    <m/>
    <n v="2616"/>
    <s v=""/>
    <s v=""/>
    <x v="273"/>
    <m/>
    <s v=""/>
    <s v="Vitoria cortinas - Horas"/>
    <s v="35999594857"/>
    <s v=""/>
    <s v="financeiro@vitoriacortinas.com.br"/>
    <s v=""/>
    <s v=""/>
    <s v=""/>
    <s v=""/>
    <s v=""/>
    <s v=""/>
    <s v=""/>
    <s v=""/>
    <s v=""/>
    <s v="Pipeline de Vendas"/>
    <s v="Em Fechamento (100%)"/>
    <s v=""/>
    <m/>
    <n v="5406"/>
    <n v="0"/>
    <n v="0"/>
    <s v="Junior Lopes"/>
    <d v="2025-09-30T00:00:00"/>
    <d v="1899-12-30T16:31:01"/>
    <s v=""/>
    <s v="Ganho"/>
    <d v="2025-09-30T00:00:00"/>
    <d v="1899-12-30T16:32:13"/>
    <s v=""/>
    <s v=""/>
    <s v=""/>
    <x v="121"/>
    <s v=""/>
    <x v="0"/>
    <s v=""/>
    <m/>
    <m/>
    <s v=""/>
    <s v=""/>
    <s v=""/>
    <s v=""/>
    <n v="1"/>
  </r>
  <r>
    <x v="1"/>
    <n v="622"/>
    <m/>
    <n v="2617"/>
    <s v=""/>
    <s v=""/>
    <x v="274"/>
    <m/>
    <s v=""/>
    <s v="Casa Bonitta - Cloud"/>
    <s v="1142923358"/>
    <s v=""/>
    <s v="catocontabilidade@gmail.com"/>
    <s v=""/>
    <s v=""/>
    <s v=""/>
    <s v=""/>
    <s v=""/>
    <s v=""/>
    <s v=""/>
    <s v=""/>
    <s v=""/>
    <s v="Pipeline de Vendas"/>
    <s v="Apresentar Solução (35%)"/>
    <s v=""/>
    <m/>
    <n v="1600"/>
    <n v="2468"/>
    <n v="3"/>
    <s v="Junior Lopes"/>
    <d v="2025-09-30T00:00:00"/>
    <d v="1899-12-30T16:35:41"/>
    <s v=""/>
    <s v="Perdido"/>
    <d v="2025-10-03T00:00:00"/>
    <d v="1899-12-30T09:59:20"/>
    <s v="Não houve aprovação financeira"/>
    <s v="Após proposta cliente não respondeu mais"/>
    <s v=""/>
    <x v="114"/>
    <s v=""/>
    <x v="122"/>
    <s v=""/>
    <m/>
    <m/>
    <s v=""/>
    <s v=""/>
    <s v=""/>
    <s v=""/>
    <n v="1"/>
  </r>
  <r>
    <x v="1"/>
    <n v="623"/>
    <m/>
    <n v="2618"/>
    <s v=""/>
    <s v=""/>
    <x v="275"/>
    <m/>
    <s v=""/>
    <s v="Casa Bonitta - PDV"/>
    <s v="1142923358"/>
    <s v=""/>
    <s v="catocontabilidade@gmail.com"/>
    <s v=""/>
    <s v=""/>
    <s v=""/>
    <s v=""/>
    <s v=""/>
    <s v=""/>
    <s v=""/>
    <s v=""/>
    <s v=""/>
    <s v="Pipeline de Vendas"/>
    <s v="Apresentar Solução (35%)"/>
    <s v=""/>
    <m/>
    <n v="59360"/>
    <n v="27562"/>
    <n v="3"/>
    <s v="Junior Lopes"/>
    <d v="2025-09-30T00:00:00"/>
    <d v="1899-12-30T16:38:47"/>
    <s v=""/>
    <s v="Perdido"/>
    <d v="2025-10-03T00:00:00"/>
    <d v="1899-12-30T09:58:51"/>
    <s v="Não houve aprovação financeira"/>
    <s v="Após proposta cliente não respondeu mais"/>
    <s v=""/>
    <x v="114"/>
    <s v=""/>
    <x v="122"/>
    <s v=""/>
    <m/>
    <m/>
    <s v=""/>
    <s v=""/>
    <s v=""/>
    <s v=""/>
    <n v="1"/>
  </r>
  <r>
    <x v="0"/>
    <n v="624"/>
    <m/>
    <n v="2619"/>
    <s v=""/>
    <s v=""/>
    <x v="276"/>
    <m/>
    <s v=""/>
    <s v="Hussein"/>
    <s v="96170057610"/>
    <s v=""/>
    <s v="null"/>
    <s v=""/>
    <s v=""/>
    <s v=""/>
    <s v=""/>
    <s v=""/>
    <s v=""/>
    <s v=""/>
    <s v=""/>
    <s v=""/>
    <s v="Pipeline de Vendas"/>
    <s v="Em negociação (75%)"/>
    <s v=""/>
    <m/>
    <m/>
    <m/>
    <n v="36"/>
    <s v="Paulo Souza"/>
    <d v="2025-09-30T00:00:00"/>
    <d v="1899-12-30T17:35:39"/>
    <s v=""/>
    <s v="Perdido"/>
    <d v="2025-11-05T00:00:00"/>
    <d v="1899-12-30T09:51:43"/>
    <s v="Projeto adiado / sem prazo definido"/>
    <s v=""/>
    <s v=""/>
    <x v="128"/>
    <s v="Paulo Souza"/>
    <x v="138"/>
    <s v=""/>
    <m/>
    <m/>
    <s v=""/>
    <s v=""/>
    <s v=""/>
    <s v=""/>
    <n v="1"/>
  </r>
  <r>
    <x v="1"/>
    <n v="628"/>
    <m/>
    <n v="2622"/>
    <s v=""/>
    <s v=""/>
    <x v="277"/>
    <m/>
    <s v=""/>
    <s v="Leandro carlos gonçalves"/>
    <s v="(16) 99270-3152"/>
    <s v=""/>
    <s v="solpratae@gmail.com"/>
    <s v=""/>
    <s v=""/>
    <s v=""/>
    <s v="São Carlos"/>
    <s v=""/>
    <s v="Site"/>
    <s v=""/>
    <s v=""/>
    <s v="Solicita demo"/>
    <s v="Pipeline de Vendas"/>
    <s v="Qualificação de Vendas (SQL) (25%)"/>
    <s v=""/>
    <m/>
    <m/>
    <m/>
    <n v="4"/>
    <s v="Paulo Souza"/>
    <d v="2025-10-03T00:00:00"/>
    <d v="1899-12-30T11:10:44"/>
    <s v=""/>
    <s v="Perdido"/>
    <d v="2025-10-07T00:00:00"/>
    <d v="1899-12-30T09:34:17"/>
    <s v="Nossa solução não atende - falta funcionalidade"/>
    <s v="cliente fora do perfil"/>
    <s v=""/>
    <x v="0"/>
    <s v="Junior Lopes"/>
    <x v="0"/>
    <s v=""/>
    <m/>
    <m/>
    <s v=""/>
    <s v=""/>
    <s v=""/>
    <s v=""/>
    <n v="1"/>
  </r>
  <r>
    <x v="1"/>
    <n v="634"/>
    <m/>
    <n v="2631"/>
    <s v=""/>
    <s v="Artesanato Uni-art Industria E Comercio Ltda"/>
    <x v="278"/>
    <n v="43400571000126"/>
    <s v=""/>
    <s v="Artesanato Uni-art Industria E Comercio Ltda"/>
    <s v="(19) 3876-4260"/>
    <s v=""/>
    <s v="thiago@uniartrelogios.com.br"/>
    <s v=""/>
    <s v=""/>
    <s v=""/>
    <s v="VINHEDO"/>
    <s v="SP"/>
    <s v="Base de empresas Leads2b"/>
    <s v=""/>
    <s v=""/>
    <s v=""/>
    <s v="Pipeline de Vendas"/>
    <s v="Apresentar Proposta (50%)"/>
    <s v=""/>
    <m/>
    <n v="7021439"/>
    <n v="417338"/>
    <n v="20"/>
    <s v="Junior Lopes"/>
    <d v="2025-10-09T00:00:00"/>
    <d v="1899-12-30T15:47:08"/>
    <s v=""/>
    <s v="Perdido"/>
    <d v="2025-10-29T00:00:00"/>
    <d v="1899-12-30T10:23:53"/>
    <s v="Projeto adiado / sem prazo definido"/>
    <s v="sem retorno do cliente"/>
    <s v=""/>
    <x v="129"/>
    <s v=""/>
    <x v="139"/>
    <s v=""/>
    <m/>
    <m/>
    <s v=""/>
    <s v=""/>
    <s v=""/>
    <s v=""/>
    <n v="1"/>
  </r>
  <r>
    <x v="1"/>
    <n v="638"/>
    <m/>
    <n v="2640"/>
    <s v=""/>
    <s v=""/>
    <x v="279"/>
    <m/>
    <s v=""/>
    <s v="Star Distribuidora (WMS)"/>
    <s v="17996266970"/>
    <s v=""/>
    <s v="null"/>
    <s v=""/>
    <s v=""/>
    <s v=""/>
    <s v=""/>
    <s v=""/>
    <s v=""/>
    <s v=""/>
    <s v=""/>
    <s v=""/>
    <s v="Pipeline de Vendas"/>
    <s v="Em negociação (75%)"/>
    <s v=""/>
    <m/>
    <m/>
    <m/>
    <n v="62"/>
    <s v="Junior Lopes"/>
    <d v="2025-10-10T00:00:00"/>
    <d v="1899-12-30T15:25:31"/>
    <s v=""/>
    <s v="Perdido"/>
    <d v="2025-12-11T00:00:00"/>
    <d v="1899-12-30T15:22:39"/>
    <s v="Projeto adiado / sem prazo definido"/>
    <s v=""/>
    <s v=""/>
    <x v="0"/>
    <s v=""/>
    <x v="139"/>
    <s v=""/>
    <m/>
    <m/>
    <s v=""/>
    <s v=""/>
    <s v=""/>
    <s v=""/>
    <n v="1"/>
  </r>
  <r>
    <x v="0"/>
    <n v="639"/>
    <m/>
    <n v="2644"/>
    <s v=""/>
    <s v=""/>
    <x v="280"/>
    <m/>
    <s v=""/>
    <s v="Alexsandro"/>
    <s v="75988472625"/>
    <s v=""/>
    <s v="null"/>
    <s v=""/>
    <s v=""/>
    <s v=""/>
    <s v=""/>
    <s v=""/>
    <s v=""/>
    <s v=""/>
    <s v=""/>
    <s v=""/>
    <s v="Pipeline de Vendas"/>
    <s v="Em negociação (75%)"/>
    <s v=""/>
    <m/>
    <m/>
    <m/>
    <n v="33"/>
    <s v="Paulo Souza"/>
    <d v="2025-10-15T00:00:00"/>
    <d v="1899-12-30T17:33:19"/>
    <s v=""/>
    <s v="Perdido"/>
    <d v="2025-11-17T00:00:00"/>
    <d v="1899-12-30T15:27:20"/>
    <s v="Não houve aprovação financeira"/>
    <s v=""/>
    <s v=""/>
    <x v="130"/>
    <s v="Paulo Souza"/>
    <x v="140"/>
    <s v=""/>
    <m/>
    <m/>
    <s v=""/>
    <s v=""/>
    <s v=""/>
    <s v=""/>
    <n v="1"/>
  </r>
  <r>
    <x v="1"/>
    <n v="640"/>
    <m/>
    <n v="2646"/>
    <s v=""/>
    <s v=""/>
    <x v="281"/>
    <m/>
    <s v=""/>
    <s v="Preciza Import"/>
    <s v="11947600755"/>
    <s v=""/>
    <s v="financeiro@precizaimports.com.br"/>
    <s v=""/>
    <s v=""/>
    <s v=""/>
    <s v=""/>
    <s v=""/>
    <s v=""/>
    <s v=""/>
    <s v=""/>
    <s v=""/>
    <s v="Pipeline de Vendas"/>
    <s v="Em Fechamento (100%)"/>
    <s v=""/>
    <m/>
    <n v="1380825"/>
    <n v="0"/>
    <n v="0"/>
    <s v="Junior Lopes"/>
    <d v="2025-10-16T00:00:00"/>
    <d v="1899-12-30T14:48:50"/>
    <s v=""/>
    <s v="Ganho"/>
    <d v="2025-10-16T00:00:00"/>
    <d v="1899-12-30T14:51:47"/>
    <s v=""/>
    <s v=""/>
    <s v=""/>
    <x v="131"/>
    <s v=""/>
    <x v="0"/>
    <s v=""/>
    <m/>
    <m/>
    <s v=""/>
    <s v=""/>
    <s v=""/>
    <s v=""/>
    <n v="1"/>
  </r>
  <r>
    <x v="1"/>
    <n v="641"/>
    <m/>
    <n v="2647"/>
    <s v=""/>
    <s v=""/>
    <x v="282"/>
    <m/>
    <s v=""/>
    <s v="Artesanato Uni-art Ind.- Cloud"/>
    <s v="1938764260"/>
    <s v=""/>
    <s v="thiago@uniartrelogios.com.br"/>
    <s v=""/>
    <s v=""/>
    <s v=""/>
    <s v=""/>
    <s v=""/>
    <s v=""/>
    <s v=""/>
    <s v=""/>
    <s v=""/>
    <s v="Pipeline de Vendas"/>
    <s v="Apresentar Proposta (50%)"/>
    <s v=""/>
    <m/>
    <n v="1600"/>
    <n v="3695"/>
    <n v="13"/>
    <s v="Junior Lopes"/>
    <d v="2025-10-16T00:00:00"/>
    <d v="1899-12-30T16:42:09"/>
    <s v=""/>
    <s v="Perdido"/>
    <d v="2025-10-29T00:00:00"/>
    <d v="1899-12-30T10:25:19"/>
    <s v="Projeto adiado / sem prazo definido"/>
    <s v="cliente não atende aos contatos"/>
    <s v=""/>
    <x v="129"/>
    <s v=""/>
    <x v="139"/>
    <s v=""/>
    <m/>
    <m/>
    <s v=""/>
    <s v=""/>
    <s v=""/>
    <s v=""/>
    <n v="1"/>
  </r>
  <r>
    <x v="1"/>
    <n v="642"/>
    <m/>
    <n v="2648"/>
    <s v="11:51, 06/01/2026 Junior Lopes: lá Wilkerson, bom dia_x000a_11:51, 06/01/2026 Junior Lopes: Um Feliz 2026 para vc e toda equipe 🙏🙏_x000a_11:51, 06/01/2026 Junior Lopes: Me recebe aí para discutirmos sobre a proposta comercial?_x000a_15:32, 23/01/2026 Junior Lopes: Olá Wilkerson, boa tarde_x000a_13:34, 27/01/2026 Wilkerson Plasbrin: Ola_x000a_13:34, 27/01/2026 Wilkerson Plasbrin: Estou analisando a proposta sina_x000a_13:34, 27/01/2026 Wilkerson Plasbrin: Ainda_x000a_13:35, 27/01/2026 Wilkerson Plasbrin: Creio que em fevereiro te contato sobre uma negociação_x000a_13:36, 27/01/2026 Junior Lopes: Olá meu amigo! Ótimo _x000a_Veja o que precisa para fecharmos! Nossa solução vai ajudar muito em seus processos _x000a_Te aguardo 👊_x000a_14:25, 27/01/2026 Wilkerson Plasbrin: Pode deixar_x000a_14:25, 27/01/2026 Wilkerson Plasbrin: Vamos avaliar_x000a_08:53, 24/02/2026 Junior Lopes: Olá Wilkerson, bom dia , Td bem ?_x000a_08:54, 24/02/2026 Junior Lopes: Vamos agendar um bate papo para próxima semana ? _x000a_Se sim vou até você !"/>
    <s v=""/>
    <x v="283"/>
    <m/>
    <s v=""/>
    <s v="Plasbrink Embalagens Plasticas Ltda - Cloud"/>
    <s v="11997580006"/>
    <s v=""/>
    <s v="falgat@terra.com.br"/>
    <s v=""/>
    <s v=""/>
    <s v=""/>
    <s v=""/>
    <s v=""/>
    <s v=""/>
    <s v=""/>
    <s v=""/>
    <s v="50%"/>
    <s v="Pipeline de Vendas"/>
    <s v="Em negociação (75%)"/>
    <s v=""/>
    <d v="2026-03-31T00:00:00"/>
    <n v="1600"/>
    <n v="335607"/>
    <n v="215"/>
    <s v="Junior Lopes"/>
    <d v="2025-10-17T00:00:00"/>
    <d v="1899-12-30T09:45:53"/>
    <s v=""/>
    <s v="Ativo"/>
    <m/>
    <m/>
    <s v=""/>
    <s v=""/>
    <s v=""/>
    <x v="123"/>
    <s v="Junior Lopes"/>
    <x v="141"/>
    <s v=""/>
    <d v="2026-02-24T00:00:00"/>
    <n v="50"/>
    <s v=""/>
    <s v=""/>
    <s v=""/>
    <s v=""/>
    <n v="1"/>
  </r>
  <r>
    <x v="1"/>
    <n v="643"/>
    <m/>
    <n v="2649"/>
    <s v="O cliente está utilizando o módulo em período de degustação de 7 dias, com término em 16/12/2025. Após essa data, ele deverá decidir se seguirá com a contratação ou se irá declinar."/>
    <s v=""/>
    <x v="284"/>
    <n v="43028557000143"/>
    <s v=""/>
    <s v="Preciza Import - Boleto WhatsApp"/>
    <s v="11947600755"/>
    <s v=""/>
    <s v="financeiro@precizaimports.com.br"/>
    <s v=""/>
    <s v=""/>
    <s v=""/>
    <s v=""/>
    <s v=""/>
    <s v=""/>
    <s v=""/>
    <s v=""/>
    <s v="80%"/>
    <s v="Pipeline de Vendas"/>
    <s v="Em Fechamento (100%)"/>
    <s v=""/>
    <d v="2025-11-28T00:00:00"/>
    <n v="0"/>
    <n v="3564"/>
    <n v="129"/>
    <s v="Junior Lopes"/>
    <d v="2025-10-17T00:00:00"/>
    <d v="1899-12-30T09:48:43"/>
    <s v=""/>
    <s v="Perdido"/>
    <d v="2026-02-23T00:00:00"/>
    <d v="1899-12-30T10:22:57"/>
    <s v="Projeto adiado / sem prazo definido"/>
    <s v="cliente não assinou contrato"/>
    <s v=""/>
    <x v="132"/>
    <s v="Junior Lopes"/>
    <x v="142"/>
    <s v=""/>
    <d v="2025-12-12T00:00:00"/>
    <n v="80"/>
    <s v=""/>
    <s v=""/>
    <s v=""/>
    <s v=""/>
    <n v="1"/>
  </r>
  <r>
    <x v="1"/>
    <n v="644"/>
    <m/>
    <n v="2650"/>
    <s v="Após a apresentação de 10/12/2025, ficou definido que a equipe da Marka Têxtil se reunirá para decidir sobre a continuidade do projeto. Farei um follow-up em 15/12/2025 para obter a definição._x000a_16:22, 27/01/2026 Junior Lopes: Olá Regina ! Boa tarde_x000a_16:22, 27/01/2026 Regina Chagas: Boa tarde_x000a_16:27, 27/01/2026 Junior Lopes: Como está a evolução do projeto?_x000a_16:29, 27/01/2026 Junior Lopes: Sei que vcs estão em contato com outras ferramentas! E que está tudo bem _x000a_Porém fico preocupado com valor que já negociamos! A proposta é do ano passado ! Viramos a nossa tabela _x000a_Estou segurando os valores aqui ! Mas preciso de um feedback_x000a_16:49, 27/01/2026 Regina Chagas: Entendo, acredito que até sexta feira eu te dou um retorno final_x000a_(03/02/2026) em contato com a Bruna na feira Abup informou que decidiu seguir com ERP que apresentou uma proposta mais atrativa em questão de valores ! abaixo mensagem da Regina com mesmo contexto : _x000a_07:57, 09/02/2026 Regina Chagas: Bom dia Junior, desculpe a demora no retorno._x000a_Fechamos com outra empresa, em reunião foi decidido que seria mais vantajoso além do custo/beneficio._x000a_Muito obrigada pelo seu ótimo atendimento_x000a_08:59, 09/02/2026 Junior Lopes: Olá Regina bom dia ! Falei com a Bruna na feira _x000a_Desejo sucesso para vocês"/>
    <s v=""/>
    <x v="285"/>
    <n v="62499934000177"/>
    <s v=""/>
    <s v="Marka Textil"/>
    <s v="11975444564"/>
    <s v=""/>
    <s v="brunaantonelli@markatextil.com.br"/>
    <s v=""/>
    <s v=""/>
    <s v=""/>
    <s v="GUARAREMA"/>
    <s v="SP"/>
    <s v=""/>
    <s v=""/>
    <s v=""/>
    <s v="80%"/>
    <s v="Pipeline de Vendas"/>
    <s v="Em negociação (75%)"/>
    <s v=""/>
    <d v="2026-02-28T00:00:00"/>
    <n v="118908"/>
    <n v="1304844"/>
    <n v="117"/>
    <s v="Junior Lopes"/>
    <d v="2025-10-17T00:00:00"/>
    <d v="1899-12-30T10:09:46"/>
    <s v=""/>
    <s v="Perdido"/>
    <d v="2026-02-11T00:00:00"/>
    <d v="1899-12-30T17:32:54"/>
    <s v="Fechou com o concorrente - preço"/>
    <s v="fechou por preço"/>
    <s v=""/>
    <x v="133"/>
    <s v="Junior Lopes"/>
    <x v="142"/>
    <s v="05/11/2025"/>
    <d v="2026-02-03T00:00:00"/>
    <n v="80"/>
    <s v=""/>
    <s v=""/>
    <s v=""/>
    <s v=""/>
    <n v="1"/>
  </r>
  <r>
    <x v="1"/>
    <n v="645"/>
    <m/>
    <n v="2654"/>
    <s v="Após a apresentação de 10/12/2025, ficou definido que a equipe da Marka Têxtil se reunirá para decidir sobre a continuidade do projeto. Farei um follow-up em 15/12/2025 para obter a definição._x000a_16:22, 27/01/2026 Junior Lopes: Olá Regina ! Boa tarde_x000a_16:22, 27/01/2026 Regina Chagas: Boa tarde_x000a_16:27, 27/01/2026 Junior Lopes: Como está a evolução do projeto?_x000a_16:29, 27/01/2026 Junior Lopes: Sei que vcs estão em contato com outras ferramentas! E que está tudo bem _x000a_Porém fico preocupado com valor que já negociamos! A proposta é do ano passado ! Viramos a nossa tabela _x000a_Estou segurando os valores aqui ! Mas preciso de um feedback_x000a_16:49, 27/01/2026 Regina Chagas: Entendo, acredito que até sexta feira eu te dou um retorno final_x000a_(03/02/2026) em contato com a Bruna na feira Abup informou que decidiu seguir com ERP que apresentou uma proposta mais atrativa em questão de valores ! abaixo mensagem da Regina com mesmo contexto : _x000a_07:57, 09/02/2026 Regina Chagas: Bom dia Junior, desculpe a demora no retorno._x000a_Fechamos com outra empresa, em reunião foi decidido que seria mais vantajoso além do custo/beneficio._x000a_Muito obrigada pelo seu ótimo atendimento_x000a_08:59, 09/02/2026 Junior Lopes: Olá Regina bom dia ! Falei com a Bruna na feira _x000a_Desejo sucesso para vocês"/>
    <s v=""/>
    <x v="286"/>
    <n v="62499934000177"/>
    <s v=""/>
    <s v="Marka Textil - Cloud"/>
    <s v="11975444564"/>
    <s v=""/>
    <s v="brunaantonelli@markatextil.com.br"/>
    <s v=""/>
    <s v=""/>
    <s v=""/>
    <s v="GUARAREMA"/>
    <s v="SP"/>
    <s v=""/>
    <s v=""/>
    <s v=""/>
    <s v="80%"/>
    <s v="Pipeline de Vendas"/>
    <s v="Em negociação (75%)"/>
    <s v=""/>
    <d v="2026-02-28T00:00:00"/>
    <n v="1600"/>
    <n v="68466"/>
    <n v="117"/>
    <s v="Junior Lopes"/>
    <d v="2025-10-17T00:00:00"/>
    <d v="1899-12-30T10:12:49"/>
    <s v=""/>
    <s v="Perdido"/>
    <d v="2026-02-11T00:00:00"/>
    <d v="1899-12-30T17:34:29"/>
    <s v="Fechou com o concorrente - preço"/>
    <s v="fechou por preço"/>
    <s v=""/>
    <x v="134"/>
    <s v="Junior Lopes"/>
    <x v="143"/>
    <s v=""/>
    <d v="2026-02-03T00:00:00"/>
    <n v="80"/>
    <s v=""/>
    <s v=""/>
    <s v=""/>
    <s v=""/>
    <n v="1"/>
  </r>
  <r>
    <x v="1"/>
    <n v="656"/>
    <m/>
    <n v="2261"/>
    <s v=""/>
    <s v="Imprime Industria E Comercio De Plasticos Ltda"/>
    <x v="287"/>
    <n v="37905383000157"/>
    <s v=""/>
    <s v="Imprime Industria E Comercio De Plasticos Ltda"/>
    <s v="(11) 4552-8400"/>
    <s v=""/>
    <s v="sac@ascampoli.com.br"/>
    <s v=""/>
    <s v=""/>
    <s v=""/>
    <s v="SAO PAULO"/>
    <s v="SP"/>
    <s v="Base de empresas Leads2b"/>
    <s v=""/>
    <s v=""/>
    <s v=""/>
    <s v="Pipeline de Vendas"/>
    <s v="Apresentar Solução (35%)"/>
    <s v=""/>
    <m/>
    <m/>
    <m/>
    <n v="34"/>
    <s v="Junior Lopes"/>
    <d v="2025-10-22T00:00:00"/>
    <d v="1899-12-30T17:04:38"/>
    <s v=""/>
    <s v="Perdido"/>
    <d v="2025-11-25T00:00:00"/>
    <d v="1899-12-30T16:56:11"/>
    <s v="Não quer mudar a solução atual"/>
    <s v=""/>
    <s v=""/>
    <x v="0"/>
    <s v=""/>
    <x v="0"/>
    <s v=""/>
    <m/>
    <m/>
    <s v=""/>
    <s v=""/>
    <s v=""/>
    <s v=""/>
    <n v="1"/>
  </r>
  <r>
    <x v="1"/>
    <n v="657"/>
    <m/>
    <n v="2659"/>
    <s v=""/>
    <s v=""/>
    <x v="288"/>
    <m/>
    <s v=""/>
    <s v="Jones da Costa Grance"/>
    <s v="(67) 99147-9660"/>
    <s v=""/>
    <s v="distribuidoraprime067@gmail.com"/>
    <s v=""/>
    <s v=""/>
    <s v=""/>
    <s v="Campo Grande"/>
    <s v=""/>
    <s v="Site"/>
    <s v=""/>
    <s v=""/>
    <s v="Solicita demo"/>
    <s v="Pipeline de Vendas"/>
    <s v="Apresentar Solução (35%)"/>
    <s v=""/>
    <m/>
    <n v="38380"/>
    <n v="107526"/>
    <n v="32"/>
    <s v="Paulo Souza"/>
    <d v="2025-10-23T00:00:00"/>
    <d v="1899-12-30T15:08:08"/>
    <s v=""/>
    <s v="Perdido"/>
    <d v="2025-11-24T00:00:00"/>
    <d v="1899-12-30T16:49:44"/>
    <s v="Preço muito alto - fora do budget de investimento"/>
    <s v="cliente não esta no tempo certo, achou investimento muito alto"/>
    <s v=""/>
    <x v="123"/>
    <s v="Junior Lopes"/>
    <x v="144"/>
    <s v=""/>
    <m/>
    <m/>
    <s v=""/>
    <s v=""/>
    <s v=""/>
    <s v=""/>
    <n v="1"/>
  </r>
  <r>
    <x v="1"/>
    <n v="659"/>
    <m/>
    <n v="2680"/>
    <s v=""/>
    <s v=""/>
    <x v="289"/>
    <m/>
    <s v=""/>
    <s v="Karam kaiss"/>
    <s v="(11) 98348-6116"/>
    <s v=""/>
    <s v="mbcontatokaram@gmail.com"/>
    <s v=""/>
    <s v=""/>
    <s v=""/>
    <s v="São Paulo"/>
    <s v=""/>
    <s v="Site"/>
    <s v=""/>
    <s v=""/>
    <s v="Solicita demo"/>
    <s v="Pipeline de Vendas"/>
    <s v="Qualificação de Vendas (SQL) (25%)"/>
    <s v=""/>
    <m/>
    <m/>
    <m/>
    <n v="9"/>
    <s v="Paulo Souza"/>
    <d v="2025-10-27T00:00:00"/>
    <d v="1899-12-30T15:37:34"/>
    <s v=""/>
    <s v="Perdido"/>
    <d v="2025-11-05T00:00:00"/>
    <d v="1899-12-30T09:12:53"/>
    <s v="Nossa solução não atende - falta funcionalidade"/>
    <s v="cliente busca apenas módulo de compras"/>
    <s v=""/>
    <x v="0"/>
    <s v="Junior Lopes"/>
    <x v="0"/>
    <s v=""/>
    <m/>
    <m/>
    <s v=""/>
    <s v=""/>
    <s v=""/>
    <s v=""/>
    <n v="1"/>
  </r>
  <r>
    <x v="1"/>
    <n v="662"/>
    <m/>
    <n v="2684"/>
    <s v="(16/01/2026) Bruno decidiu por não fazer o investimento nesse momento ! esta estruturando a equipe de vendas"/>
    <s v="Sevilha Comercio Internacional Ltda"/>
    <x v="290"/>
    <n v="44628219000105"/>
    <s v=""/>
    <s v="Sevilha Comercio Internacional Ltda"/>
    <s v="(11) 4115-0797"/>
    <s v=""/>
    <s v="diego@gruposevilha.com"/>
    <s v=""/>
    <s v=""/>
    <s v=""/>
    <s v="NAVEGANTES"/>
    <s v="SC"/>
    <s v="Base de empresas Leads2b"/>
    <s v=""/>
    <s v=""/>
    <s v="30%"/>
    <s v="Pipeline de Vendas"/>
    <s v="Em negociação (75%)"/>
    <s v=""/>
    <d v="2026-01-30T00:00:00"/>
    <n v="38380"/>
    <n v="107526"/>
    <n v="80"/>
    <s v="Junior Lopes"/>
    <d v="2025-10-28T00:00:00"/>
    <d v="1899-12-30T10:15:43"/>
    <s v=""/>
    <s v="Perdido"/>
    <d v="2026-01-16T00:00:00"/>
    <d v="1899-12-30T15:59:13"/>
    <s v="Não houve aprovação financeira"/>
    <s v="(16/01/2026) Bruno decidiu por não fazer o investimento nesse momento ! esta estruturando a equipe de vendas"/>
    <s v=""/>
    <x v="135"/>
    <s v=""/>
    <x v="145"/>
    <s v=""/>
    <d v="2026-01-16T00:00:00"/>
    <m/>
    <s v=""/>
    <s v=""/>
    <s v=""/>
    <s v=""/>
    <n v="1"/>
  </r>
  <r>
    <x v="1"/>
    <n v="665"/>
    <m/>
    <n v="2692"/>
    <s v="(16/01/2026) Bruno decidiu por não fazer o investimento nesse momento ! esta estruturando a equipe de vendas"/>
    <s v=""/>
    <x v="291"/>
    <m/>
    <s v=""/>
    <s v="Sevilha Trade - Cloud"/>
    <s v="1141150797"/>
    <s v=""/>
    <s v="diego@gruposevilha.com"/>
    <s v=""/>
    <s v=""/>
    <s v=""/>
    <s v=""/>
    <s v=""/>
    <s v=""/>
    <s v=""/>
    <s v=""/>
    <s v="30%"/>
    <s v="Pipeline de Vendas"/>
    <s v="Em negociação (75%)"/>
    <s v=""/>
    <d v="2026-01-30T00:00:00"/>
    <n v="1600"/>
    <n v="2174"/>
    <n v="79"/>
    <s v="Junior Lopes"/>
    <d v="2025-10-29T00:00:00"/>
    <d v="1899-12-30T17:01:18"/>
    <s v=""/>
    <s v="Perdido"/>
    <d v="2026-01-16T00:00:00"/>
    <d v="1899-12-30T16:00:32"/>
    <s v="Não houve aprovação financeira"/>
    <s v="(16/01/2026) Bruno decidiu por não fazer o investimento nesse momento ! esta estruturando a equipe de vendas"/>
    <s v=""/>
    <x v="135"/>
    <s v=""/>
    <x v="145"/>
    <s v=""/>
    <d v="2026-01-16T00:00:00"/>
    <m/>
    <s v=""/>
    <s v=""/>
    <s v=""/>
    <s v=""/>
    <n v="1"/>
  </r>
  <r>
    <x v="1"/>
    <n v="667"/>
    <m/>
    <n v="2698"/>
    <s v=""/>
    <s v=""/>
    <x v="292"/>
    <m/>
    <s v=""/>
    <s v="Distribuidora Prime - Cloud"/>
    <s v="67991479660"/>
    <s v=""/>
    <s v="distribuidoraprime067@gmail.com"/>
    <s v=""/>
    <s v=""/>
    <s v=""/>
    <s v=""/>
    <s v=""/>
    <s v=""/>
    <s v=""/>
    <s v=""/>
    <s v=""/>
    <s v="Pipeline de Vendas"/>
    <s v="Apresentar Solução (35%)"/>
    <s v=""/>
    <m/>
    <n v="1600"/>
    <n v="21746"/>
    <n v="25"/>
    <s v="Junior Lopes"/>
    <d v="2025-10-30T00:00:00"/>
    <d v="1899-12-30T10:55:07"/>
    <s v=""/>
    <s v="Perdido"/>
    <d v="2025-11-24T00:00:00"/>
    <d v="1899-12-30T16:50:34"/>
    <s v="Preço muito alto - fora do budget de investimento"/>
    <s v="cliente não esta no tempo certo, achou investimento muito alto"/>
    <s v=""/>
    <x v="123"/>
    <s v=""/>
    <x v="144"/>
    <s v=""/>
    <m/>
    <m/>
    <s v=""/>
    <s v=""/>
    <s v=""/>
    <s v=""/>
    <n v="1"/>
  </r>
  <r>
    <x v="1"/>
    <n v="669"/>
    <m/>
    <n v="2718"/>
    <s v=""/>
    <s v=""/>
    <x v="293"/>
    <m/>
    <s v=""/>
    <s v="Tritec - Proposta Web"/>
    <s v="4791025652"/>
    <s v=""/>
    <s v="null"/>
    <s v=""/>
    <s v=""/>
    <s v=""/>
    <s v=""/>
    <s v=""/>
    <s v=""/>
    <s v=""/>
    <s v=""/>
    <s v=""/>
    <s v="Pipeline de Vendas"/>
    <s v="Apresentar Proposta (50%)"/>
    <s v=""/>
    <m/>
    <n v="0"/>
    <n v="2185"/>
    <n v="26"/>
    <s v="Junior Lopes"/>
    <d v="2025-10-31T00:00:00"/>
    <d v="1899-12-30T11:46:34"/>
    <s v=""/>
    <s v="Perdido"/>
    <d v="2025-11-26T00:00:00"/>
    <d v="1899-12-30T14:03:26"/>
    <s v="Projeto adiado / sem prazo definido"/>
    <s v="por enquanto nao vai adicionar proposta web"/>
    <s v=""/>
    <x v="133"/>
    <s v=""/>
    <x v="146"/>
    <s v=""/>
    <m/>
    <m/>
    <s v=""/>
    <s v=""/>
    <s v=""/>
    <s v=""/>
    <n v="1"/>
  </r>
  <r>
    <x v="2"/>
    <n v="672"/>
    <m/>
    <n v="2729"/>
    <s v="Realizei hoje, 12/12/2025, a apresentação do AFV para os gerentes comerciais e atualizei a proposta com os valores de licença do APP. O próximo passo será negociar a proposta, o que deve ocorrer somente na primeira quinzena de janeiro._x000a_05.02 Iniciaram a importação agora,previsão permace para março_x000a_18.03 tinham previsão para iniciar as importações, mas ainda não deu certo, retomar o contato daqui 3 meses"/>
    <s v=""/>
    <x v="294"/>
    <m/>
    <s v=""/>
    <s v="Lucas Pivetta"/>
    <s v="15996012600"/>
    <s v=""/>
    <s v="null"/>
    <s v=""/>
    <s v=""/>
    <s v=""/>
    <s v=""/>
    <s v=""/>
    <s v="Indicação"/>
    <s v=""/>
    <s v=""/>
    <s v="50%"/>
    <s v="Pipeline de Vendas"/>
    <s v="Em negociação (75%)"/>
    <s v=""/>
    <d v="2026-06-30T00:00:00"/>
    <n v="46200"/>
    <n v="146047"/>
    <n v="191"/>
    <s v="Rayssa Karapeticov"/>
    <d v="2025-11-03T00:00:00"/>
    <d v="1899-12-30T15:43:05"/>
    <s v=""/>
    <s v="Perdido"/>
    <d v="2026-05-13T00:00:00"/>
    <d v="1899-12-30T09:39:49"/>
    <s v="Projeto adiado / sem prazo definido"/>
    <s v=""/>
    <s v=""/>
    <x v="136"/>
    <s v="Rayssa Karapeticov"/>
    <x v="147"/>
    <s v="12/12/2025"/>
    <d v="2026-03-16T00:00:00"/>
    <n v="50"/>
    <s v=""/>
    <s v=""/>
    <s v=""/>
    <s v=""/>
    <n v="1"/>
  </r>
  <r>
    <x v="0"/>
    <n v="673"/>
    <m/>
    <n v="2730"/>
    <s v="Feito vários contatos com o cliente sem sucesso. _x000a_12/01/2026_x000a_23-01 Fiz Fups com o Jairo hoje para saber se ele vai seguir ou não com o projeto. Caso não me responda vou encerrar a oportunidade , prazo 31/01._x000a_06/02 Fiz FUP com  o Jairo e por falta de interesse estou declinando a proposta._x000a_07/02 Jairo me respondeu e avisou que vai implantar o Totvs lá. E futuramente retorna a falar comigo sobre Força de Venda."/>
    <s v=""/>
    <x v="295"/>
    <n v="22949063000121"/>
    <s v=""/>
    <s v="MEDIHOSP"/>
    <s v="(11) 2506-6323/ (11) 2506-6589"/>
    <s v=""/>
    <s v="medihosp@medihosp.com.br"/>
    <s v=""/>
    <s v=""/>
    <s v=""/>
    <s v="SAO PAULO"/>
    <s v="SP"/>
    <s v="Outbound"/>
    <s v=""/>
    <s v=""/>
    <s v="30%"/>
    <s v="Pipeline de Vendas"/>
    <s v="Em negociação (75%)"/>
    <s v=""/>
    <d v="2026-01-31T00:00:00"/>
    <n v="20000"/>
    <n v="5880"/>
    <n v="94"/>
    <s v="Paulo Souza"/>
    <d v="2025-11-05T00:00:00"/>
    <d v="1899-12-30T10:49:02"/>
    <s v=""/>
    <s v="Perdido"/>
    <d v="2026-02-07T00:00:00"/>
    <d v="1899-12-30T08:42:30"/>
    <s v="Fechou com o concorrente - preço"/>
    <s v="07/02 Jairo me respondeu e avisou que vai implantar o Totvs lá. E futuramente retorna a falar comigo sobre Força de Venda."/>
    <s v=""/>
    <x v="137"/>
    <s v="Paulo Souza"/>
    <x v="148"/>
    <s v=""/>
    <d v="2026-01-23T00:00:00"/>
    <n v="30"/>
    <s v=""/>
    <s v=""/>
    <s v=""/>
    <s v=""/>
    <n v="1"/>
  </r>
  <r>
    <x v="1"/>
    <n v="674"/>
    <m/>
    <n v="2733"/>
    <s v=""/>
    <s v="Salopet Embalagens Plasticas Ltda"/>
    <x v="296"/>
    <n v="4911908000370"/>
    <s v=""/>
    <s v="Salopet Embalagens Plasticas Ltda"/>
    <s v="(11) 2575-1800"/>
    <s v=""/>
    <s v="paralegal10@mgcontecnica.com.br"/>
    <s v=""/>
    <s v=""/>
    <s v=""/>
    <s v="EMBU DAS ARTES"/>
    <s v="SP"/>
    <s v="Base de empresas Leads2b"/>
    <s v=""/>
    <s v=""/>
    <s v=""/>
    <s v="Pipeline de Vendas"/>
    <s v="Apresentar Proposta (50%)"/>
    <s v=""/>
    <m/>
    <n v="81786"/>
    <n v="914979"/>
    <n v="21"/>
    <s v="Junior Lopes"/>
    <d v="2025-11-05T00:00:00"/>
    <d v="1899-12-30T15:31:21"/>
    <s v=""/>
    <s v="Perdido"/>
    <d v="2025-11-26T00:00:00"/>
    <d v="1899-12-30T12:30:08"/>
    <s v="Não quer mudar a solução atual"/>
    <s v="estou descartando por falta de atividades do André, já agendou varias vezes e não aparece nas reuniões _x000a_Fala chefe, boa tarde _x000a_Está uma loucura esse final de ano_x000a_Mais vamos lá_x000a_Hoje uso o sistema Areco ele é gigante e tem tudo o que precisamos mais está em falta com o suporte e o preço está ficando alto_x000a_Vou tentar finalizar algumas coisa e na sexta-feira na parte da manhã estarei mais tranquilo ai chamo pra que possamos conversar"/>
    <s v=""/>
    <x v="134"/>
    <s v=""/>
    <x v="149"/>
    <s v=""/>
    <m/>
    <m/>
    <s v=""/>
    <s v=""/>
    <s v=""/>
    <s v=""/>
    <n v="1"/>
  </r>
  <r>
    <x v="1"/>
    <n v="680"/>
    <m/>
    <n v="2755"/>
    <s v=""/>
    <s v=""/>
    <x v="297"/>
    <m/>
    <s v=""/>
    <s v="Tecelegam Castilho - MDFe"/>
    <s v="62993609476"/>
    <s v=""/>
    <s v="dayane.tecelagemcastilho@gmail.com"/>
    <s v=""/>
    <s v=""/>
    <s v=""/>
    <s v=""/>
    <s v=""/>
    <s v=""/>
    <s v=""/>
    <s v=""/>
    <s v=""/>
    <s v="Pipeline de Vendas"/>
    <s v="Em Fechamento (100%)"/>
    <s v=""/>
    <m/>
    <n v="0"/>
    <n v="3564"/>
    <n v="13"/>
    <s v="Junior Lopes"/>
    <d v="2025-11-12T00:00:00"/>
    <d v="1899-12-30T10:20:21"/>
    <s v=""/>
    <s v="Ganho"/>
    <d v="2025-11-25T00:00:00"/>
    <d v="1899-12-30T15:23:44"/>
    <s v=""/>
    <s v=""/>
    <s v=""/>
    <x v="138"/>
    <s v=""/>
    <x v="149"/>
    <s v=""/>
    <m/>
    <m/>
    <s v=""/>
    <s v=""/>
    <s v=""/>
    <s v=""/>
    <n v="1"/>
  </r>
  <r>
    <x v="1"/>
    <n v="681"/>
    <m/>
    <n v="2756"/>
    <s v="O projeto já está fechado e o contrato está com o cliente aguardando assinatura. O follow-up está sendo feito diariamente e a previsão de fechamento é até 19/12/2025."/>
    <s v=""/>
    <x v="298"/>
    <n v="43252675000130"/>
    <s v=""/>
    <s v="Atacadão MOntebello"/>
    <s v="(19) 3377-2746 / (19) 3426-1450"/>
    <s v=""/>
    <s v="administracao@atacadaoamontebello.com.br"/>
    <s v=""/>
    <s v=""/>
    <s v=""/>
    <s v="PIRACICABA"/>
    <s v="SP"/>
    <s v=""/>
    <s v=""/>
    <s v=""/>
    <s v="80%"/>
    <s v="Pipeline de Vendas"/>
    <s v="Em Fechamento (100%)"/>
    <s v=""/>
    <d v="2025-12-31T00:00:00"/>
    <n v="22000"/>
    <n v="1800"/>
    <n v="54"/>
    <s v="Junior Lopes"/>
    <d v="2025-11-12T00:00:00"/>
    <d v="1899-12-30T14:32:23"/>
    <s v=""/>
    <s v="Ganho"/>
    <d v="2026-01-05T00:00:00"/>
    <d v="1899-12-30T14:51:32"/>
    <s v=""/>
    <s v=""/>
    <s v=""/>
    <x v="138"/>
    <s v="Junior Lopes"/>
    <x v="149"/>
    <s v="28/11/2025"/>
    <d v="2025-12-12T00:00:00"/>
    <m/>
    <s v=""/>
    <s v=""/>
    <s v=""/>
    <s v=""/>
    <n v="1"/>
  </r>
  <r>
    <x v="1"/>
    <n v="684"/>
    <m/>
    <n v="2760"/>
    <s v=""/>
    <s v=""/>
    <x v="299"/>
    <m/>
    <s v=""/>
    <s v="NewBaby - ERP"/>
    <s v="11979734057"/>
    <s v=""/>
    <s v="dani@3lrepresentacoes.com.br"/>
    <s v=""/>
    <s v=""/>
    <s v=""/>
    <s v=""/>
    <s v=""/>
    <s v=""/>
    <s v=""/>
    <s v=""/>
    <s v="30%"/>
    <s v="Pipeline de Vendas"/>
    <s v="Apresentar Proposta (50%)"/>
    <s v=""/>
    <m/>
    <n v="106400"/>
    <n v="1419164"/>
    <n v="13"/>
    <s v="Junior Lopes"/>
    <d v="2025-11-13T00:00:00"/>
    <d v="1899-12-30T12:09:17"/>
    <s v=""/>
    <s v="Perdido"/>
    <d v="2025-11-26T00:00:00"/>
    <d v="1899-12-30T12:48:22"/>
    <s v="Projeto adiado / sem prazo definido"/>
    <s v="Em contato com Dani ! _x000a_eles só queriam a priori uma estimativa de investimento nas soluções Guarani ! a ideia é aos poucos convencer a Giselia na troca do sistema"/>
    <s v=""/>
    <x v="139"/>
    <s v=""/>
    <x v="150"/>
    <s v=""/>
    <m/>
    <m/>
    <s v=""/>
    <s v=""/>
    <s v=""/>
    <s v=""/>
    <n v="1"/>
  </r>
  <r>
    <x v="2"/>
    <n v="685"/>
    <m/>
    <n v="2761"/>
    <s v=""/>
    <s v="Kitay Industria E Comercio De Alimentos Ltda"/>
    <x v="300"/>
    <n v="42517186000109"/>
    <s v=""/>
    <s v="Kitay Industria E Comercio De Alimentos Ltda"/>
    <s v="(11) 4018-3764"/>
    <s v=""/>
    <s v="claudiorcsalles@gmail.com"/>
    <s v=""/>
    <s v=""/>
    <s v=""/>
    <s v="VARGEM GRANDE PAULISTA"/>
    <s v="SP"/>
    <s v="Base de empresas Leads2b"/>
    <s v=""/>
    <s v=""/>
    <s v=""/>
    <s v="Pipeline de Vendas"/>
    <s v="Agendamento (0%)"/>
    <s v=""/>
    <m/>
    <m/>
    <m/>
    <n v="0"/>
    <s v="Rayssa Karapeticov"/>
    <d v="2025-11-13T00:00:00"/>
    <d v="1899-12-30T16:09:55"/>
    <s v=""/>
    <s v="Perdido"/>
    <d v="2025-11-13T00:00:00"/>
    <d v="1899-12-30T16:12:25"/>
    <s v="Preço muito alto - fora do budget de investimento"/>
    <s v=""/>
    <s v=""/>
    <x v="0"/>
    <s v="Rayssa Karapeticov"/>
    <x v="0"/>
    <s v=""/>
    <m/>
    <m/>
    <s v=""/>
    <s v=""/>
    <s v=""/>
    <s v=""/>
    <n v="1"/>
  </r>
  <r>
    <x v="1"/>
    <n v="690"/>
    <m/>
    <n v="2872"/>
    <s v=""/>
    <s v=""/>
    <x v="301"/>
    <m/>
    <s v=""/>
    <s v="MDL - WMS"/>
    <s v="11910695515"/>
    <s v=""/>
    <s v="null"/>
    <s v=""/>
    <s v=""/>
    <s v=""/>
    <s v=""/>
    <s v=""/>
    <s v=""/>
    <s v=""/>
    <s v=""/>
    <s v="90%"/>
    <s v="Pipeline de Vendas"/>
    <s v="Em Fechamento (100%)"/>
    <s v=""/>
    <d v="2025-11-26T00:00:00"/>
    <n v="0"/>
    <n v="114048"/>
    <n v="16"/>
    <s v="Junior Lopes"/>
    <d v="2025-11-24T00:00:00"/>
    <d v="1899-12-30T16:53:16"/>
    <s v=""/>
    <s v="Ganho"/>
    <d v="2025-12-10T00:00:00"/>
    <d v="1899-12-30T10:14:04"/>
    <s v=""/>
    <s v=""/>
    <s v=""/>
    <x v="140"/>
    <s v=""/>
    <x v="151"/>
    <s v=""/>
    <m/>
    <m/>
    <s v=""/>
    <s v=""/>
    <s v=""/>
    <s v=""/>
    <n v="1"/>
  </r>
  <r>
    <x v="1"/>
    <n v="692"/>
    <m/>
    <n v="2880"/>
    <s v=""/>
    <s v=""/>
    <x v="302"/>
    <m/>
    <s v=""/>
    <s v="NewBaby - Cloud"/>
    <s v="11979734057"/>
    <s v=""/>
    <s v="dani@3lrepresentacoes.com.br"/>
    <s v=""/>
    <s v=""/>
    <s v=""/>
    <s v=""/>
    <s v=""/>
    <s v=""/>
    <s v=""/>
    <s v=""/>
    <s v="30%"/>
    <s v="Pipeline de Vendas"/>
    <s v="Apresentar Proposta (50%)"/>
    <s v=""/>
    <m/>
    <n v="1600"/>
    <n v="860304"/>
    <n v="1"/>
    <s v="Junior Lopes"/>
    <d v="2025-11-25T00:00:00"/>
    <d v="1899-12-30T15:03:40"/>
    <s v=""/>
    <s v="Perdido"/>
    <d v="2025-11-26T00:00:00"/>
    <d v="1899-12-30T12:49:30"/>
    <s v="Projeto adiado / sem prazo definido"/>
    <s v="Em contato com Dani ! _x000a_eles só queriam a priori uma estimativa de investimento nas soluções Guarani ! a ideia é aos poucos convencer a Giselia na troca do sistema"/>
    <s v=""/>
    <x v="139"/>
    <s v=""/>
    <x v="150"/>
    <s v=""/>
    <m/>
    <m/>
    <s v=""/>
    <s v=""/>
    <s v=""/>
    <s v=""/>
    <n v="1"/>
  </r>
  <r>
    <x v="1"/>
    <n v="693"/>
    <m/>
    <n v="2881"/>
    <s v=""/>
    <s v=""/>
    <x v="303"/>
    <m/>
    <s v=""/>
    <s v="Baag - Incl.CNPJ"/>
    <s v="7530217768"/>
    <s v=""/>
    <s v="null"/>
    <s v=""/>
    <s v=""/>
    <s v=""/>
    <s v=""/>
    <s v=""/>
    <s v=""/>
    <s v=""/>
    <s v=""/>
    <s v=""/>
    <s v="Pipeline de Vendas"/>
    <s v="Agendamento (0%)"/>
    <s v=""/>
    <m/>
    <n v="330714"/>
    <n v="0"/>
    <n v="0"/>
    <s v="Junior Lopes"/>
    <d v="2025-11-25T00:00:00"/>
    <d v="1899-12-30T15:44:44"/>
    <s v=""/>
    <s v="Ganho"/>
    <d v="2025-11-25T00:00:00"/>
    <d v="1899-12-30T15:47:26"/>
    <s v=""/>
    <s v=""/>
    <s v=""/>
    <x v="141"/>
    <s v=""/>
    <x v="152"/>
    <s v=""/>
    <m/>
    <m/>
    <s v=""/>
    <s v=""/>
    <s v=""/>
    <s v=""/>
    <n v="1"/>
  </r>
  <r>
    <x v="1"/>
    <n v="694"/>
    <m/>
    <n v="2882"/>
    <s v=""/>
    <s v=""/>
    <x v="304"/>
    <m/>
    <s v=""/>
    <s v="E.S Maia"/>
    <s v="11969325678"/>
    <s v=""/>
    <s v="null"/>
    <s v=""/>
    <s v=""/>
    <s v=""/>
    <s v=""/>
    <s v=""/>
    <s v=""/>
    <s v=""/>
    <s v=""/>
    <s v="30%"/>
    <s v="Pipeline de Vendas"/>
    <s v="Apresentar Proposta (50%)"/>
    <s v=""/>
    <d v="2026-01-01T00:00:00"/>
    <n v="16960"/>
    <n v="450"/>
    <n v="15"/>
    <s v="Junior Lopes"/>
    <d v="2025-11-25T00:00:00"/>
    <d v="1899-12-30T15:59:24"/>
    <s v=""/>
    <s v="Perdido"/>
    <d v="2025-12-10T00:00:00"/>
    <d v="1899-12-30T09:26:00"/>
    <s v="Projeto adiado / sem prazo definido"/>
    <s v="nao esta no momento certo"/>
    <s v=""/>
    <x v="134"/>
    <s v=""/>
    <x v="143"/>
    <s v=""/>
    <m/>
    <m/>
    <s v=""/>
    <s v=""/>
    <s v=""/>
    <s v=""/>
    <n v="1"/>
  </r>
  <r>
    <x v="1"/>
    <n v="695"/>
    <m/>
    <n v="2883"/>
    <s v=""/>
    <s v=""/>
    <x v="305"/>
    <n v="57524096000104"/>
    <s v=""/>
    <s v="Phabllo Parambu Atacado - ERP"/>
    <s v="88996365702"/>
    <s v=""/>
    <s v="phabllo2022@gmail.com"/>
    <s v=""/>
    <s v=""/>
    <s v=""/>
    <s v="COCAL"/>
    <s v="PI"/>
    <s v=""/>
    <s v=""/>
    <s v=""/>
    <s v="30%"/>
    <s v="Pipeline de Vendas"/>
    <s v="Apresentar Solução (35%)"/>
    <s v=""/>
    <m/>
    <m/>
    <m/>
    <n v="8"/>
    <s v="Junior Lopes"/>
    <d v="2025-11-25T00:00:00"/>
    <d v="1899-12-30T16:25:17"/>
    <s v=""/>
    <s v="Perdido"/>
    <d v="2025-12-03T00:00:00"/>
    <d v="1899-12-30T15:53:51"/>
    <s v="Projeto adiado / sem prazo definido"/>
    <s v="Cliente não tem tempo para fazermos apresentação"/>
    <s v=""/>
    <x v="142"/>
    <s v=""/>
    <x v="153"/>
    <s v=""/>
    <m/>
    <m/>
    <s v=""/>
    <s v=""/>
    <s v=""/>
    <s v=""/>
    <n v="1"/>
  </r>
  <r>
    <x v="1"/>
    <n v="696"/>
    <m/>
    <n v="2885"/>
    <s v=""/>
    <s v=""/>
    <x v="306"/>
    <n v="57524096000104"/>
    <s v=""/>
    <s v="Phabllo Parambu Atacado - Cloud"/>
    <s v="88996365702"/>
    <s v=""/>
    <s v="phabllo2022@gmail.com"/>
    <s v=""/>
    <s v=""/>
    <s v=""/>
    <s v=""/>
    <s v=""/>
    <s v=""/>
    <s v=""/>
    <s v=""/>
    <s v="30%"/>
    <s v="Pipeline de Vendas"/>
    <s v="Apresentar Solução (35%)"/>
    <s v=""/>
    <m/>
    <m/>
    <m/>
    <n v="8"/>
    <s v="Junior Lopes"/>
    <d v="2025-11-25T00:00:00"/>
    <d v="1899-12-30T16:48:26"/>
    <s v=""/>
    <s v="Perdido"/>
    <d v="2025-12-03T00:00:00"/>
    <d v="1899-12-30T15:53:19"/>
    <s v="Projeto adiado / sem prazo definido"/>
    <s v="Cliente não tem tempo para fazermos apresentação"/>
    <s v=""/>
    <x v="142"/>
    <s v=""/>
    <x v="153"/>
    <s v=""/>
    <m/>
    <m/>
    <s v=""/>
    <s v=""/>
    <s v=""/>
    <s v=""/>
    <n v="1"/>
  </r>
  <r>
    <x v="1"/>
    <n v="697"/>
    <m/>
    <n v="2887"/>
    <s v=""/>
    <s v=""/>
    <x v="307"/>
    <m/>
    <s v=""/>
    <s v="Salopet Embalagens Plasticas - Cloud"/>
    <s v="1125751800"/>
    <s v=""/>
    <s v="paralegal10@mgcontecnica.com.br"/>
    <s v=""/>
    <s v=""/>
    <s v=""/>
    <s v=""/>
    <s v=""/>
    <s v=""/>
    <s v=""/>
    <s v=""/>
    <s v=""/>
    <s v="Pipeline de Vendas"/>
    <s v="Apresentar Solução (35%)"/>
    <s v=""/>
    <m/>
    <n v="1600"/>
    <n v="335607"/>
    <n v="1"/>
    <s v="Junior Lopes"/>
    <d v="2025-11-25T00:00:00"/>
    <d v="1899-12-30T17:07:06"/>
    <s v=""/>
    <s v="Perdido"/>
    <d v="2025-11-26T00:00:00"/>
    <d v="1899-12-30T12:32:26"/>
    <s v="Não quer mudar a solução atual"/>
    <s v="estou descartando por falta de atividades do André, já agendou varias vezes e não aparece nas reuniões _x000a_Fala chefe, boa tarde _x000a_Está uma loucura esse final de ano_x000a_Mais vamos lá_x000a_Hoje uso o sistema Areco ele é gigante e tem tudo o que precisamos mais está em falta com o suporte e o preço está ficando alto_x000a_Vou tentar finalizar algumas coisa e na sexta-feira na parte da manhã estarei mais tranquilo ai chamo pra que possamos conversar"/>
    <s v=""/>
    <x v="134"/>
    <s v=""/>
    <x v="149"/>
    <s v=""/>
    <m/>
    <m/>
    <s v=""/>
    <s v=""/>
    <s v=""/>
    <s v=""/>
    <n v="1"/>
  </r>
  <r>
    <x v="0"/>
    <n v="700"/>
    <m/>
    <n v="2874"/>
    <s v=""/>
    <s v=""/>
    <x v="308"/>
    <m/>
    <s v=""/>
    <s v="Samuel Ferreira"/>
    <s v="(38) 99741-8594"/>
    <s v=""/>
    <s v="lojastem.financeiro@gmail.com"/>
    <s v=""/>
    <s v=""/>
    <s v=""/>
    <s v="Montes Claros"/>
    <s v=""/>
    <s v="Site"/>
    <s v=""/>
    <s v=""/>
    <s v="30%;Solicita demo"/>
    <s v="Pipeline de Vendas"/>
    <s v="Apresentar Proposta (50%)"/>
    <s v=""/>
    <d v="2026-01-31T00:00:00"/>
    <m/>
    <m/>
    <n v="14"/>
    <s v="Paulo Souza"/>
    <d v="2025-11-26T00:00:00"/>
    <d v="1899-12-30T11:24:38"/>
    <s v=""/>
    <s v="Perdido"/>
    <d v="2025-12-10T00:00:00"/>
    <d v="1899-12-30T23:13:47"/>
    <s v="Não houve aprovação financeira"/>
    <s v=""/>
    <s v=""/>
    <x v="143"/>
    <s v="Paulo Souza"/>
    <x v="154"/>
    <s v=""/>
    <m/>
    <m/>
    <s v=""/>
    <s v=""/>
    <s v=""/>
    <s v=""/>
    <n v="1"/>
  </r>
  <r>
    <x v="0"/>
    <n v="701"/>
    <m/>
    <n v="2829"/>
    <s v="Cobrei a Luciana sobre a sequência do projeto ou não (09/01/2026)_x000a_23/01 - Fiz FUPs hoje com a Lucimeire, chamando ela para retomar as negociações, aguardar ele responder para saber se vamos seguir ou não? R: Ela retornou avisando que a negociação está pausada por enquanto."/>
    <s v=""/>
    <x v="309"/>
    <n v="5825017000100"/>
    <s v=""/>
    <s v="Lucimeire Jardim"/>
    <s v="(17) 99270-5941"/>
    <s v=""/>
    <s v="gerencia.adm@belaflor.com.br"/>
    <s v=""/>
    <s v=""/>
    <s v=""/>
    <s v="São José do Rio Preto"/>
    <s v=""/>
    <s v="Site"/>
    <s v=""/>
    <s v=""/>
    <s v="30%;Pausado;Solicita demo"/>
    <s v="Pipeline de Vendas"/>
    <s v="Em negociação (75%)"/>
    <s v=""/>
    <d v="2026-03-31T00:00:00"/>
    <n v="130600"/>
    <n v="1680982"/>
    <n v="173"/>
    <s v="Paulo Souza"/>
    <d v="2025-11-26T00:00:00"/>
    <d v="1899-12-30T11:25:27"/>
    <s v=""/>
    <s v="Perdido"/>
    <d v="2026-05-18T00:00:00"/>
    <d v="1899-12-30T16:51:17"/>
    <s v="Projeto adiado / sem prazo definido"/>
    <s v=""/>
    <s v=""/>
    <x v="143"/>
    <s v="Paulo Souza"/>
    <x v="154"/>
    <s v=""/>
    <d v="2026-03-31T00:00:00"/>
    <n v="30"/>
    <s v="653"/>
    <s v="ERP, AFV, BI, WMS"/>
    <s v="R$ 130.600"/>
    <s v="R$ 16.809,82"/>
    <n v="1"/>
  </r>
  <r>
    <x v="0"/>
    <n v="702"/>
    <m/>
    <n v="2890"/>
    <s v="Falei com Rodrigo CFO, e vamos negociar a proposta na semana do dia 12/01/2025._x000a_Falei hoje 12/01 com Rodrigo cobrando um aposição dele._x000a_14/01 - Hoje o Jeferson TI me ligou avisando que a diretoria reprovou o valor mensal. Porém a equipe interna gostou muito do sistema e esta batalhando para seguir. Com isso ele apresentou um valor base de R$60,00 por usuário estou estudando uma estratégia para responder. Acionei o Fábio._x000a_19/01: No dia 15/01 foi resolvido a questão da proposta. A pendência agora é em relação a integração com Sênior, ou seja, Jeferson esta fazendo orçamento com pessoal da Sênior, só após daremos andamento. Previsto uma conversa para sexta-feira próxima, dia 23/01."/>
    <s v=""/>
    <x v="310"/>
    <m/>
    <s v=""/>
    <s v="Wellington"/>
    <s v="43996624014"/>
    <s v=""/>
    <s v="null"/>
    <s v=""/>
    <s v=""/>
    <s v=""/>
    <s v=""/>
    <s v=""/>
    <s v=""/>
    <s v=""/>
    <s v=""/>
    <s v="90%;Fabio Indica"/>
    <s v="Pipeline de Vendas"/>
    <s v="Em Fechamento (100%)"/>
    <s v=""/>
    <d v="2026-01-31T00:00:00"/>
    <n v="16000"/>
    <n v="5880"/>
    <n v="57"/>
    <s v="Paulo Souza"/>
    <d v="2025-11-26T00:00:00"/>
    <d v="1899-12-30T11:28:10"/>
    <s v=""/>
    <s v="Perdido"/>
    <d v="2026-01-22T00:00:00"/>
    <d v="1899-12-30T16:27:10"/>
    <s v="Não houve aprovação financeira"/>
    <s v="A diretoria não aprovou o projeto devido o total da implantação ficar na casa dos 32k. Somando o projeto do Sênior 15-20k e Guarani 16k"/>
    <s v=""/>
    <x v="144"/>
    <s v="Paulo Souza"/>
    <x v="155"/>
    <s v=""/>
    <d v="2026-01-09T00:00:00"/>
    <m/>
    <s v=""/>
    <s v=""/>
    <s v=""/>
    <s v=""/>
    <n v="1"/>
  </r>
  <r>
    <x v="0"/>
    <n v="703"/>
    <m/>
    <n v="2891"/>
    <s v="Falei hoje com o Abdallah, o mesmo esta fora do Brasil. Combinamos de falar na sua volta que é em 15/01/2026!_x000a_23/01 - Após conversa com o Abdallah, o mesmo ainda continua fora do brasil e em nossa conversa falou que não tem resposta se vai ou não mudar. Com base no histórico das conversa ele não tem interesse de mudança no curto prazo. Sendo assim, estou declinando a proposta e futuramente voltamos a falar."/>
    <s v=""/>
    <x v="311"/>
    <n v="7728812000105"/>
    <s v=""/>
    <s v="Abdallah"/>
    <s v="(11) 3228-9751"/>
    <s v=""/>
    <s v="aihfinanceiro@gmail.com"/>
    <s v=""/>
    <s v=""/>
    <s v=""/>
    <s v="SAO PAULO"/>
    <s v="SP"/>
    <s v=""/>
    <s v=""/>
    <s v=""/>
    <s v="30%"/>
    <s v="Pipeline de Vendas"/>
    <s v="Em negociação (75%)"/>
    <s v=""/>
    <d v="2026-01-23T00:00:00"/>
    <n v="72000"/>
    <n v="8045"/>
    <n v="58"/>
    <s v="Paulo Souza"/>
    <d v="2025-11-26T00:00:00"/>
    <d v="1899-12-30T11:30:14"/>
    <s v=""/>
    <s v="Perdido"/>
    <d v="2026-01-23T00:00:00"/>
    <d v="1899-12-30T11:38:34"/>
    <s v="Projeto adiado / sem prazo definido"/>
    <s v=""/>
    <s v=""/>
    <x v="48"/>
    <s v="Paulo Souza"/>
    <x v="156"/>
    <s v=""/>
    <d v="2026-01-23T00:00:00"/>
    <m/>
    <s v=""/>
    <s v=""/>
    <s v=""/>
    <s v=""/>
    <n v="1"/>
  </r>
  <r>
    <x v="0"/>
    <n v="704"/>
    <m/>
    <n v="2894"/>
    <s v="Hoje foi realizada a apresentação do PDV do ERP ao cliente. O fechamento está previsto para ocorrer até 19/12/2025."/>
    <s v=""/>
    <x v="312"/>
    <n v="3761404000196"/>
    <s v=""/>
    <s v="Jose Eduardo"/>
    <s v="(19) 3492-9944"/>
    <s v=""/>
    <s v="adm@plastcap.com.br"/>
    <s v=""/>
    <s v=""/>
    <s v=""/>
    <s v="CAPIVARI"/>
    <s v="SP"/>
    <s v=""/>
    <s v=""/>
    <s v=""/>
    <s v="90%"/>
    <s v="Pipeline de Vendas"/>
    <s v="Em Fechamento (100%)"/>
    <s v=""/>
    <d v="2026-01-15T00:00:00"/>
    <n v="17829"/>
    <n v="83997"/>
    <n v="44"/>
    <s v="Paulo Souza"/>
    <d v="2025-11-26T00:00:00"/>
    <d v="1899-12-30T11:36:11"/>
    <s v=""/>
    <s v="Ganho"/>
    <d v="2026-01-09T00:00:00"/>
    <d v="1899-12-30T14:02:37"/>
    <s v=""/>
    <s v=""/>
    <s v=""/>
    <x v="145"/>
    <s v="Paulo Souza"/>
    <x v="154"/>
    <s v=""/>
    <d v="2025-12-12T00:00:00"/>
    <m/>
    <s v=""/>
    <s v=""/>
    <s v=""/>
    <s v=""/>
    <n v="1"/>
  </r>
  <r>
    <x v="0"/>
    <n v="705"/>
    <m/>
    <n v="2896"/>
    <s v="Não vai seguir com esse projeto no momento! Primeiro vai fazer a reciclagem e no meio do ano de 2026, voltamos a falar."/>
    <s v=""/>
    <x v="313"/>
    <n v="3761404000196"/>
    <s v=""/>
    <s v="Jose Eduardo"/>
    <s v="(19) 3492-9944"/>
    <s v=""/>
    <s v="adm@plastcap.com.br"/>
    <s v=""/>
    <s v=""/>
    <s v=""/>
    <s v="CAPIVARI"/>
    <s v="SP"/>
    <s v=""/>
    <s v=""/>
    <s v=""/>
    <s v="30%"/>
    <s v="Pipeline de Vendas"/>
    <s v="Em negociação (75%)"/>
    <s v=""/>
    <d v="2025-12-31T00:00:00"/>
    <n v="1600"/>
    <n v="384454"/>
    <n v="44"/>
    <s v="Paulo Souza"/>
    <d v="2025-11-26T00:00:00"/>
    <d v="1899-12-30T11:54:10"/>
    <s v=""/>
    <s v="Perdido"/>
    <d v="2026-01-09T00:00:00"/>
    <d v="1899-12-30T14:22:58"/>
    <s v="Projeto adiado / sem prazo definido"/>
    <s v=""/>
    <s v=""/>
    <x v="143"/>
    <s v="Paulo Souza"/>
    <x v="154"/>
    <s v=""/>
    <d v="2026-01-09T00:00:00"/>
    <m/>
    <s v=""/>
    <s v=""/>
    <s v=""/>
    <s v=""/>
    <n v="1"/>
  </r>
  <r>
    <x v="0"/>
    <n v="706"/>
    <m/>
    <n v="2897"/>
    <s v=""/>
    <s v=""/>
    <x v="314"/>
    <m/>
    <s v=""/>
    <s v="Kaue Prado"/>
    <s v="49998169464"/>
    <s v=""/>
    <s v="null"/>
    <s v=""/>
    <s v=""/>
    <s v=""/>
    <s v=""/>
    <s v=""/>
    <s v=""/>
    <s v=""/>
    <s v=""/>
    <s v=""/>
    <s v="Pipeline de Vendas"/>
    <s v="Em negociação (75%)"/>
    <s v=""/>
    <d v="2026-01-15T00:00:00"/>
    <n v="50000"/>
    <n v="2355"/>
    <n v="14"/>
    <s v="Paulo Souza"/>
    <d v="2025-11-26T00:00:00"/>
    <d v="1899-12-30T11:57:13"/>
    <s v=""/>
    <s v="Perdido"/>
    <d v="2025-12-10T00:00:00"/>
    <d v="1899-12-30T17:18:17"/>
    <s v="Não houve aprovação financeira"/>
    <s v=""/>
    <s v=""/>
    <x v="146"/>
    <s v="Paulo Souza"/>
    <x v="157"/>
    <s v=""/>
    <m/>
    <m/>
    <s v=""/>
    <s v=""/>
    <s v=""/>
    <s v=""/>
    <n v="1"/>
  </r>
  <r>
    <x v="0"/>
    <n v="707"/>
    <m/>
    <n v="2898"/>
    <s v="Após retorno do Jeferson fui informado que ele não vai seguir com o projeto no momento."/>
    <s v=""/>
    <x v="315"/>
    <m/>
    <s v=""/>
    <s v="Jeferson"/>
    <s v="83998878069"/>
    <s v=""/>
    <s v="null"/>
    <s v=""/>
    <s v=""/>
    <s v=""/>
    <s v=""/>
    <s v=""/>
    <s v="Outbound"/>
    <s v=""/>
    <s v=""/>
    <s v="90%"/>
    <s v="Pipeline de Vendas"/>
    <s v="Em negociação (75%)"/>
    <s v=""/>
    <d v="2026-01-31T00:00:00"/>
    <n v="14400"/>
    <n v="185328"/>
    <n v="47"/>
    <s v="Paulo Souza"/>
    <d v="2025-11-26T00:00:00"/>
    <d v="1899-12-30T11:59:12"/>
    <s v=""/>
    <s v="Perdido"/>
    <d v="2026-01-12T00:00:00"/>
    <d v="1899-12-30T22:24:16"/>
    <s v="Projeto adiado / sem prazo definido"/>
    <s v=""/>
    <s v=""/>
    <x v="147"/>
    <s v="Paulo Souza"/>
    <x v="158"/>
    <s v=""/>
    <d v="2026-01-12T00:00:00"/>
    <m/>
    <s v=""/>
    <s v=""/>
    <s v=""/>
    <s v=""/>
    <n v="1"/>
  </r>
  <r>
    <x v="0"/>
    <n v="708"/>
    <m/>
    <n v="2899"/>
    <s v=""/>
    <s v=""/>
    <x v="236"/>
    <m/>
    <s v=""/>
    <s v="Fabiana"/>
    <s v="16996352359"/>
    <s v=""/>
    <s v="null"/>
    <s v=""/>
    <s v=""/>
    <s v=""/>
    <s v=""/>
    <s v=""/>
    <s v=""/>
    <s v=""/>
    <s v=""/>
    <s v=""/>
    <s v="Pipeline de Vendas"/>
    <s v="Em Fechamento (100%)"/>
    <s v=""/>
    <m/>
    <m/>
    <m/>
    <n v="12"/>
    <s v="Paulo Souza"/>
    <d v="2025-11-26T00:00:00"/>
    <d v="1899-12-30T12:01:20"/>
    <s v=""/>
    <s v="Ganho"/>
    <d v="2025-12-08T00:00:00"/>
    <d v="1899-12-30T13:53:33"/>
    <s v=""/>
    <s v=""/>
    <s v=""/>
    <x v="148"/>
    <s v="Paulo Souza"/>
    <x v="159"/>
    <s v=""/>
    <m/>
    <m/>
    <s v=""/>
    <s v=""/>
    <s v=""/>
    <s v=""/>
    <n v="1"/>
  </r>
  <r>
    <x v="0"/>
    <n v="709"/>
    <m/>
    <n v="2900"/>
    <s v=""/>
    <s v=""/>
    <x v="316"/>
    <m/>
    <s v=""/>
    <s v="Gustavo"/>
    <s v="16996352359"/>
    <s v=""/>
    <s v="null"/>
    <s v=""/>
    <s v=""/>
    <s v=""/>
    <s v=""/>
    <s v=""/>
    <s v=""/>
    <s v=""/>
    <s v=""/>
    <s v=""/>
    <s v="Pipeline de Vendas"/>
    <s v="Em Fechamento (100%)"/>
    <s v=""/>
    <m/>
    <m/>
    <m/>
    <n v="12"/>
    <s v="Paulo Souza"/>
    <d v="2025-11-26T00:00:00"/>
    <d v="1899-12-30T12:02:41"/>
    <s v=""/>
    <s v="Ganho"/>
    <d v="2025-12-08T00:00:00"/>
    <d v="1899-12-30T14:21:05"/>
    <s v=""/>
    <s v=""/>
    <s v=""/>
    <x v="149"/>
    <s v="Paulo Souza"/>
    <x v="160"/>
    <s v=""/>
    <m/>
    <m/>
    <s v=""/>
    <s v=""/>
    <s v=""/>
    <s v=""/>
    <n v="1"/>
  </r>
  <r>
    <x v="1"/>
    <n v="711"/>
    <m/>
    <n v="2902"/>
    <s v="O próximo passo é Junior Lopes contatar a Tânia para confirmar o envio do vídeo do armazém e obter uma data definida para isso. Ele também deve atualizar no sistema o campo “O que falta para atingir o objetivo” com os requisitos pendentes e registrar um próximo passo com data, como analisar o vídeo ou agendar uma reunião para discutir sua avaliação."/>
    <s v=""/>
    <x v="317"/>
    <m/>
    <s v=""/>
    <s v="FaFa Import - WMS"/>
    <s v="86188758539"/>
    <s v=""/>
    <s v="null"/>
    <s v=""/>
    <s v=""/>
    <s v=""/>
    <s v=""/>
    <s v=""/>
    <s v=""/>
    <s v=""/>
    <s v=""/>
    <s v="50%"/>
    <s v="Pipeline de Vendas"/>
    <s v="Em Fechamento (100%)"/>
    <s v=""/>
    <d v="2026-02-09T00:00:00"/>
    <n v="235848"/>
    <n v="14256"/>
    <n v="65"/>
    <s v="Junior Lopes"/>
    <d v="2025-11-26T00:00:00"/>
    <d v="1899-12-30T15:05:11"/>
    <s v=""/>
    <s v="Perdido"/>
    <d v="2026-01-30T00:00:00"/>
    <d v="1899-12-30T15:36:59"/>
    <s v="Projeto adiado / sem prazo definido"/>
    <s v="sem retorno"/>
    <s v=""/>
    <x v="132"/>
    <s v="Junior Lopes"/>
    <x v="153"/>
    <s v=""/>
    <d v="2025-12-12T00:00:00"/>
    <m/>
    <s v=""/>
    <s v=""/>
    <s v=""/>
    <s v=""/>
    <n v="1"/>
  </r>
  <r>
    <x v="1"/>
    <n v="714"/>
    <m/>
    <n v="2910"/>
    <s v=""/>
    <s v=""/>
    <x v="318"/>
    <m/>
    <s v=""/>
    <s v="Tecelagem Castilho - Proposta Web"/>
    <s v="6293622662"/>
    <s v=""/>
    <s v="null"/>
    <s v=""/>
    <s v=""/>
    <s v=""/>
    <s v=""/>
    <s v=""/>
    <s v=""/>
    <s v=""/>
    <s v=""/>
    <s v=""/>
    <s v="Pipeline de Vendas"/>
    <s v="Em negociação (75%)"/>
    <s v=""/>
    <m/>
    <n v="0"/>
    <n v="209"/>
    <n v="12"/>
    <s v="Junior Lopes"/>
    <d v="2025-11-28T00:00:00"/>
    <d v="1899-12-30T14:27:28"/>
    <s v=""/>
    <s v="Perdido"/>
    <d v="2025-12-10T00:00:00"/>
    <d v="1899-12-30T10:00:03"/>
    <s v="Não quer mudar a solução atual"/>
    <s v="por enquanto vai fazer as aprovações via ERP"/>
    <s v=""/>
    <x v="142"/>
    <s v=""/>
    <x v="161"/>
    <s v=""/>
    <m/>
    <m/>
    <s v=""/>
    <s v=""/>
    <s v=""/>
    <s v=""/>
    <n v="1"/>
  </r>
  <r>
    <x v="0"/>
    <n v="717"/>
    <m/>
    <n v="2945"/>
    <s v="Falei hoje 09/01/2026 com o Mario para saber se seguiremos. Ele está fora do brasil retomar contato em 15/01._x000a_23/01 fazer proposta e enviar ao mario._x000a_06/02 Fiz FUP e não evoluiu a conversa pois o Mario está estruturando a empresa e nesse momento vai aguardar."/>
    <s v=""/>
    <x v="319"/>
    <m/>
    <s v=""/>
    <s v="Mario Perez"/>
    <s v="(11) 99471-3332"/>
    <s v=""/>
    <s v="mariovperez@hotmail.com"/>
    <s v=""/>
    <s v=""/>
    <s v=""/>
    <s v="São Paulo"/>
    <s v=""/>
    <s v="Site"/>
    <s v=""/>
    <s v=""/>
    <s v="30%"/>
    <s v="Pipeline de Vendas"/>
    <s v="Apresentar Proposta (50%)"/>
    <s v=""/>
    <d v="2026-01-31T00:00:00"/>
    <m/>
    <m/>
    <n v="68"/>
    <s v="Paulo Souza"/>
    <d v="2025-12-01T00:00:00"/>
    <d v="1899-12-30T15:50:11"/>
    <s v=""/>
    <s v="Perdido"/>
    <d v="2026-02-07T00:00:00"/>
    <d v="1899-12-30T08:22:44"/>
    <s v="Não quer mudar a solução atual"/>
    <s v=""/>
    <s v=""/>
    <x v="150"/>
    <s v="Paulo Souza"/>
    <x v="162"/>
    <s v=""/>
    <d v="2026-01-23T00:00:00"/>
    <n v="30"/>
    <s v=""/>
    <s v=""/>
    <s v=""/>
    <s v=""/>
    <n v="1"/>
  </r>
  <r>
    <x v="0"/>
    <n v="718"/>
    <m/>
    <n v="2913"/>
    <s v="Falei com a Valeria hoje 09/01/26 para saber sobre a retomada do projeto._x000a_23/01 Fiz FUP hoje com a Valeria cobrando se seguiremos ou não com o projeto, prazo para declinar 31/01."/>
    <s v=""/>
    <x v="320"/>
    <m/>
    <s v=""/>
    <s v="Valéria Honorato da Silva"/>
    <s v="(45) 99903-2312"/>
    <s v=""/>
    <s v="valeriahonoratomkt@gmail.com"/>
    <s v=""/>
    <s v=""/>
    <s v=""/>
    <s v="Santa Tereza do Oeste"/>
    <s v=""/>
    <s v="Site"/>
    <s v=""/>
    <s v=""/>
    <s v="30%;Pausado;Solicita demo"/>
    <s v="Pipeline de Vendas"/>
    <s v="Qualificação de Vendas (SQL) (25%)"/>
    <s v=""/>
    <d v="2026-04-30T00:00:00"/>
    <m/>
    <m/>
    <n v="161"/>
    <s v="Paulo Souza"/>
    <d v="2025-12-01T00:00:00"/>
    <d v="1899-12-30T16:23:02"/>
    <s v=""/>
    <s v="Perdido"/>
    <d v="2026-05-11T00:00:00"/>
    <d v="1899-12-30T11:55:42"/>
    <s v="Projeto adiado / sem prazo definido"/>
    <s v=""/>
    <s v=""/>
    <x v="151"/>
    <s v="Paulo Souza"/>
    <x v="162"/>
    <s v=""/>
    <d v="2026-04-10T00:00:00"/>
    <n v="30"/>
    <s v=""/>
    <s v=""/>
    <s v=""/>
    <s v=""/>
    <n v="1"/>
  </r>
  <r>
    <x v="0"/>
    <n v="719"/>
    <m/>
    <n v="2904"/>
    <s v="Falei com a Kelly hoje que me passou as informações que faltava para formular a proposta. Agora e falar com o Fernando e montar a proposta e apresentar._x000a_23/01 Falei com a Kelly em 19/01, e ela avisou que estava de férias e que retorno essa semana , e que só vai conseguir analisar a proposta na semana do dia 26/01, quando retornarei o contato._x000a_07/02 Fiz FUP com a Kelly e perguntei se ela vai ou não seguir com o projeto, não retornou ainda._x000a_12/03 12/03 Fiz FUP com a Kelly e a mesma esta analisando a proposta. Como esta semana ela tá fazendo compra de natal, vai conseguir parar e ver a proposta amanhã 13/03._x000a_20/03 Cobrando a Kelly para ir para o fechamento."/>
    <s v=""/>
    <x v="321"/>
    <n v="3674537000125"/>
    <s v=""/>
    <s v="kelly"/>
    <s v="(12) 97403-0134"/>
    <s v=""/>
    <s v="mkt@valport.com.br"/>
    <s v=""/>
    <s v=""/>
    <s v=""/>
    <s v="São Paulo"/>
    <s v=""/>
    <s v="Site"/>
    <s v=""/>
    <s v=""/>
    <s v="50%;Solicita demo"/>
    <s v="Pipeline de Vendas"/>
    <s v="Em negociação (75%)"/>
    <s v=""/>
    <d v="2026-03-31T00:00:00"/>
    <n v="104490"/>
    <n v="111957"/>
    <n v="130"/>
    <s v="Paulo Souza"/>
    <d v="2025-12-01T00:00:00"/>
    <d v="1899-12-30T16:37:54"/>
    <s v=""/>
    <s v="Perdido"/>
    <d v="2026-04-10T00:00:00"/>
    <d v="1899-12-30T15:54:49"/>
    <s v="Projeto adiado / sem prazo definido"/>
    <s v=""/>
    <s v=""/>
    <x v="151"/>
    <s v="Paulo Souza"/>
    <x v="163"/>
    <s v=""/>
    <d v="2026-03-20T00:00:00"/>
    <n v="30"/>
    <s v="416"/>
    <s v="ERP, AFV, BI, PDV, ADICIONAIS"/>
    <s v="R$ 104.490"/>
    <s v="R$ 11.195,70"/>
    <n v="1"/>
  </r>
  <r>
    <x v="0"/>
    <n v="725"/>
    <m/>
    <n v="2970"/>
    <s v="Cobrei hoje 09/01 o Alex, para saber sobre a evolução do projeto em 2026._x000a_14/01 - O Alex me ligou hoje avisando que a empresa optou pelo mais barato e fechou com a RioSoft."/>
    <s v=""/>
    <x v="322"/>
    <m/>
    <s v=""/>
    <s v="Alex"/>
    <s v="1799137617"/>
    <s v=""/>
    <s v="null"/>
    <s v=""/>
    <s v=""/>
    <s v=""/>
    <s v=""/>
    <s v=""/>
    <s v=""/>
    <s v=""/>
    <s v=""/>
    <s v="30%;Pausado"/>
    <s v="Pipeline de Vendas"/>
    <s v="Em negociação (75%)"/>
    <s v=""/>
    <d v="2026-03-31T00:00:00"/>
    <n v="315000"/>
    <n v="32575"/>
    <n v="37"/>
    <s v="Paulo Souza"/>
    <d v="2025-12-08T00:00:00"/>
    <d v="1899-12-30T13:58:57"/>
    <s v=""/>
    <s v="Perdido"/>
    <d v="2026-01-14T00:00:00"/>
    <d v="1899-12-30T18:52:38"/>
    <s v="Fechou com o concorrente - preço"/>
    <s v="O Alex me ligou hoje avisando que a empresa optou pelo mais barato e fechou com a RioSoft."/>
    <s v=""/>
    <x v="151"/>
    <s v="Paulo Souza"/>
    <x v="164"/>
    <s v=""/>
    <d v="2026-01-09T00:00:00"/>
    <m/>
    <s v=""/>
    <s v=""/>
    <s v=""/>
    <s v=""/>
    <n v="1"/>
  </r>
  <r>
    <x v="0"/>
    <n v="726"/>
    <m/>
    <n v="2971"/>
    <s v=""/>
    <s v=""/>
    <x v="323"/>
    <m/>
    <s v=""/>
    <s v="Raymond"/>
    <s v="11982685555"/>
    <s v=""/>
    <s v="null"/>
    <s v=""/>
    <s v=""/>
    <s v=""/>
    <s v=""/>
    <s v=""/>
    <s v=""/>
    <s v=""/>
    <s v=""/>
    <s v=""/>
    <s v="Pipeline de Vendas"/>
    <s v="Em Fechamento (100%)"/>
    <s v=""/>
    <m/>
    <n v="0"/>
    <n v="57024"/>
    <n v="0"/>
    <s v="Paulo Souza"/>
    <d v="2025-12-08T00:00:00"/>
    <d v="1899-12-30T14:06:46"/>
    <s v=""/>
    <s v="Ganho"/>
    <d v="2025-12-08T00:00:00"/>
    <d v="1899-12-30T14:09:01"/>
    <s v=""/>
    <s v=""/>
    <s v=""/>
    <x v="152"/>
    <s v="Paulo Souza"/>
    <x v="162"/>
    <s v=""/>
    <m/>
    <m/>
    <s v=""/>
    <s v=""/>
    <s v=""/>
    <s v=""/>
    <n v="1"/>
  </r>
  <r>
    <x v="0"/>
    <n v="727"/>
    <m/>
    <n v="2969"/>
    <s v="Hoje 09/01/26 cobrei a Michelli para saber se ela vai seguir ou não com o projeto._x000a_23/01 - Fiz FUp com a Michelle hoje para saber se vamos ou não seguir com o projeto. _x000a_R: Falou que a proposta esta sobe analise da diretoria e que para a próxima semana já terá um retorno. _x000a_07/02 Fiz FUP com a Michelle e ela me posicionou que não vai trocar de sistema por enquanto."/>
    <s v=""/>
    <x v="324"/>
    <m/>
    <s v=""/>
    <s v="MICHELE"/>
    <s v="(12) 99635-6502"/>
    <s v=""/>
    <s v="flavia.honorato@hotmail.com"/>
    <s v=""/>
    <s v=""/>
    <s v=""/>
    <s v="Guaratinguetá"/>
    <s v=""/>
    <s v="Site"/>
    <s v=""/>
    <s v=""/>
    <s v="30%;Solicita demo"/>
    <s v="Pipeline de Vendas"/>
    <s v="Em negociação (75%)"/>
    <s v=""/>
    <d v="2026-01-31T00:00:00"/>
    <n v="47200"/>
    <n v="22981"/>
    <n v="60"/>
    <s v="Paulo Souza"/>
    <d v="2025-12-09T00:00:00"/>
    <d v="1899-12-30T14:14:17"/>
    <s v=""/>
    <s v="Perdido"/>
    <d v="2026-02-07T00:00:00"/>
    <d v="1899-12-30T08:55:56"/>
    <s v="Não quer mudar a solução atual"/>
    <s v="07/02 Fiz FUP com a Michelle e ela me posicionou que não vai trocar de sistema por enquanto."/>
    <s v=""/>
    <x v="153"/>
    <s v="Paulo Souza"/>
    <x v="165"/>
    <s v=""/>
    <d v="2026-02-07T00:00:00"/>
    <n v="30"/>
    <s v=""/>
    <s v=""/>
    <s v=""/>
    <s v=""/>
    <n v="1"/>
  </r>
  <r>
    <x v="0"/>
    <n v="728"/>
    <m/>
    <n v="2973"/>
    <s v="Falei com a Kelly hoje que me passou as informações que faltava para formular a proposta. Agora e falar com o Fernando e montar a proposta e apresentar._x000a_13/01/2026 - Apresentar proposta_x000a_23/01 Falei com a Kelly em 19/01, e ela avisou que estava de férias e que retorno essa semana , e que só vai conseguir analisar a proposta na semana do dia 26/01, quando retornarei o contato._x000a_07/02 Fiz FUP com a Kelly e perguntei se ela vai ou não seguir com o projeto, não retornou ainda._x000a_12/03 12/03 Fiz FUP com a Kelly e a mesma esta analisando a proposta. Como esta semana ela tá fazendo compra de natal, vai conseguir parar e ver a proposta amanhã 13/03._x000a_20/03 Cobrando a Kelly para ir para o fechamento."/>
    <s v=""/>
    <x v="325"/>
    <n v="3674537000125"/>
    <s v=""/>
    <s v="Kelly"/>
    <s v="(12) 3204-5200"/>
    <s v=""/>
    <s v="financeiro@valport.com.br"/>
    <s v=""/>
    <s v=""/>
    <s v=""/>
    <s v="SAO JOSE DOS CAMPOS"/>
    <s v="SP"/>
    <s v="Outbound"/>
    <s v=""/>
    <s v=""/>
    <s v="50%"/>
    <s v="Pipeline de Vendas"/>
    <s v="Em negociação (75%)"/>
    <s v=""/>
    <d v="2026-03-31T00:00:00"/>
    <n v="1700"/>
    <n v="13100"/>
    <n v="121"/>
    <s v="Paulo Souza"/>
    <d v="2025-12-10T00:00:00"/>
    <d v="1899-12-30T17:33:41"/>
    <s v=""/>
    <s v="Perdido"/>
    <d v="2026-04-10T00:00:00"/>
    <d v="1899-12-30T15:55:20"/>
    <s v="Projeto adiado / sem prazo definido"/>
    <s v=""/>
    <s v=""/>
    <x v="153"/>
    <s v="Paulo Souza"/>
    <x v="165"/>
    <s v=""/>
    <d v="2026-03-20T00:00:00"/>
    <n v="30"/>
    <s v="80"/>
    <s v="B2B"/>
    <s v="R$ 13.100"/>
    <s v="R$ 1.700"/>
    <n v="1"/>
  </r>
  <r>
    <x v="0"/>
    <n v="729"/>
    <m/>
    <n v="2972"/>
    <s v="Falei com o Dalvan que esta devendo os dados para fazer a proposta. Segundo ele até o dia 09/01/26 ele termina de preencher. Após receber fazer proposta junto ao Fernando._x000a_23/01 Fiz FUP hoje com o DALVAN, o bicho é enrolado não responde os questionamentos que preciso para fazer a proposta._x000a_06/02 Estou declinando a proposta por falta de interação. o Dalvan, não me responde."/>
    <s v=""/>
    <x v="326"/>
    <m/>
    <s v=""/>
    <s v="Dalvan barros"/>
    <s v="(99) 98265-8209"/>
    <s v=""/>
    <s v="atualmiix@gmail.com"/>
    <s v=""/>
    <s v=""/>
    <s v=""/>
    <s v="Porto Franco"/>
    <s v=""/>
    <s v="Site"/>
    <s v=""/>
    <s v=""/>
    <s v="30%;Solicita demo"/>
    <s v="Pipeline de Vendas"/>
    <s v="Apresentar Proposta (50%)"/>
    <s v=""/>
    <d v="2026-01-31T00:00:00"/>
    <m/>
    <m/>
    <n v="59"/>
    <s v="Paulo Souza"/>
    <d v="2025-12-10T00:00:00"/>
    <d v="1899-12-30T22:55:29"/>
    <s v=""/>
    <s v="Perdido"/>
    <d v="2026-02-07T00:00:00"/>
    <d v="1899-12-30T08:20:54"/>
    <s v="Projeto adiado / sem prazo definido"/>
    <s v="06/02 Estou declinando a proposta por falta de interação. o Dalvan, não me responde."/>
    <s v=""/>
    <x v="154"/>
    <s v="Paulo Souza"/>
    <x v="166"/>
    <s v=""/>
    <d v="2026-02-06T00:00:00"/>
    <n v="30"/>
    <s v=""/>
    <s v=""/>
    <s v=""/>
    <s v=""/>
    <n v="1"/>
  </r>
  <r>
    <x v="1"/>
    <n v="730"/>
    <m/>
    <n v="2977"/>
    <s v="(07/01/2026) visita comercial _x000a_(14/01/2026) Visita apresentação com Max _x000a_(29/01/2026) cliente esta ligando para nossos clientes  _x000a_(24/04/2026) Bassel não responde , não esta no momento certo"/>
    <s v="Vic Import, Comercio, Importacao E Exportacao De Brinquedos E Utilidades Em Geral Ltda"/>
    <x v="327"/>
    <n v="50828915000168"/>
    <s v=""/>
    <s v="Vic Import, Comercio, Importacao E Exportacao De Brinquedos E Utilidades Em Geral Ltda"/>
    <s v="(11) 2171-0800"/>
    <s v=""/>
    <s v="legal@vrscontabil.com.br"/>
    <s v=""/>
    <s v=""/>
    <s v=""/>
    <s v="SAO PAULO"/>
    <s v="SP"/>
    <s v="Base de empresas Leads2b"/>
    <s v=""/>
    <s v=""/>
    <s v="50%;Fabio Indica"/>
    <s v="Pipeline de Vendas"/>
    <s v="Em negociação (75%)"/>
    <s v=""/>
    <d v="2026-02-28T00:00:00"/>
    <n v="44000"/>
    <n v="13781"/>
    <n v="134"/>
    <s v="Junior Lopes"/>
    <d v="2025-12-11T00:00:00"/>
    <d v="1899-12-30T10:06:06"/>
    <s v=""/>
    <s v="Perdido"/>
    <d v="2026-04-24T00:00:00"/>
    <d v="1899-12-30T09:24:13"/>
    <s v="Projeto adiado / sem prazo definido"/>
    <s v="(24/04/2026) Bassel não responde , não esta no momento certo"/>
    <s v=""/>
    <x v="155"/>
    <s v="Junior Lopes"/>
    <x v="167"/>
    <s v="14/01/2026"/>
    <d v="2026-04-24T00:00:00"/>
    <n v="50"/>
    <s v=""/>
    <s v=""/>
    <s v=""/>
    <s v=""/>
    <n v="1"/>
  </r>
  <r>
    <x v="1"/>
    <n v="731"/>
    <m/>
    <n v="2980"/>
    <s v=""/>
    <s v=""/>
    <x v="328"/>
    <m/>
    <s v=""/>
    <s v="Vic Import - AFV"/>
    <s v="1121710800"/>
    <s v=""/>
    <s v="legal@vrscontabil.com.br"/>
    <s v=""/>
    <s v=""/>
    <s v=""/>
    <s v=""/>
    <s v=""/>
    <s v=""/>
    <s v=""/>
    <s v=""/>
    <s v="50%"/>
    <s v="Pipeline de Vendas"/>
    <s v="Em negociação (75%)"/>
    <s v=""/>
    <d v="2026-01-31T00:00:00"/>
    <n v="8000"/>
    <n v="19642"/>
    <n v="49"/>
    <s v="Junior Lopes"/>
    <d v="2025-12-11T00:00:00"/>
    <d v="1899-12-30T10:21:27"/>
    <s v=""/>
    <s v="Perdido"/>
    <d v="2026-01-29T00:00:00"/>
    <d v="1899-12-30T15:51:08"/>
    <s v="Não quer mudar a solução atual"/>
    <s v="seguindo com ERP"/>
    <s v=""/>
    <x v="156"/>
    <s v=""/>
    <x v="168"/>
    <s v=""/>
    <d v="2026-01-09T00:00:00"/>
    <m/>
    <s v=""/>
    <s v=""/>
    <s v=""/>
    <s v=""/>
    <n v="1"/>
  </r>
  <r>
    <x v="1"/>
    <n v="732"/>
    <m/>
    <n v="2981"/>
    <s v="(07/01/2026) visita comercial _x000a_(14/01/2026) Visita apresentação com Max _x000a_(29/01/2026) cliente esta ligando para nossos clientes"/>
    <s v=""/>
    <x v="329"/>
    <m/>
    <s v=""/>
    <s v="Vic Import - Cloud"/>
    <s v="1121710800"/>
    <s v=""/>
    <s v="legal@vrscontabil.com.br"/>
    <s v=""/>
    <s v=""/>
    <s v=""/>
    <s v=""/>
    <s v=""/>
    <s v=""/>
    <s v=""/>
    <s v=""/>
    <s v="50%"/>
    <s v="Pipeline de Vendas"/>
    <s v="Em negociação (75%)"/>
    <s v=""/>
    <d v="2026-02-28T00:00:00"/>
    <n v="1600"/>
    <n v="34428"/>
    <n v="134"/>
    <s v="Junior Lopes"/>
    <d v="2025-12-11T00:00:00"/>
    <d v="1899-12-30T10:23:08"/>
    <s v=""/>
    <s v="Perdido"/>
    <d v="2026-04-24T00:00:00"/>
    <d v="1899-12-30T09:35:19"/>
    <s v="Projeto adiado / sem prazo definido"/>
    <s v="(24/04/2026) Bassel não responde , não esta no momento certo"/>
    <s v=""/>
    <x v="155"/>
    <s v="Junior Lopes"/>
    <x v="167"/>
    <s v="14/01/2026"/>
    <d v="2026-04-24T00:00:00"/>
    <n v="50"/>
    <s v=""/>
    <s v=""/>
    <s v=""/>
    <s v=""/>
    <n v="1"/>
  </r>
  <r>
    <x v="1"/>
    <n v="733"/>
    <m/>
    <n v="2982"/>
    <s v=""/>
    <s v="Conthey Presentes E Decoracoes Ltda"/>
    <x v="330"/>
    <n v="96280292000809"/>
    <s v=""/>
    <s v="Conthey Presentes E Decoracoes Ltda"/>
    <s v="(11) 2081-7750"/>
    <s v=""/>
    <s v="sc@conthey.com.br"/>
    <s v=""/>
    <s v=""/>
    <s v=""/>
    <s v="PALHOCA"/>
    <s v="SC"/>
    <s v="Base de empresas Leads2b"/>
    <s v=""/>
    <s v=""/>
    <s v="90%;Fabio Indica"/>
    <s v="Pipeline de Vendas"/>
    <s v="Em Fechamento (100%)"/>
    <s v=""/>
    <d v="2026-02-28T00:00:00"/>
    <n v="580005"/>
    <n v="7230"/>
    <n v="62"/>
    <s v="Junior Lopes"/>
    <d v="2025-12-11T00:00:00"/>
    <d v="1899-12-30T11:21:41"/>
    <s v=""/>
    <s v="Ganho"/>
    <d v="2026-02-11T00:00:00"/>
    <d v="1899-12-30T17:49:12"/>
    <s v=""/>
    <s v=""/>
    <s v=""/>
    <x v="157"/>
    <s v="Junior Lopes"/>
    <x v="169"/>
    <s v=""/>
    <d v="2026-01-16T00:00:00"/>
    <n v="90"/>
    <s v=""/>
    <s v=""/>
    <s v=""/>
    <s v=""/>
    <n v="1"/>
  </r>
  <r>
    <x v="1"/>
    <n v="734"/>
    <m/>
    <n v="2985"/>
    <s v="fechamos ERP , estou descartando essa oportunidade"/>
    <s v=""/>
    <x v="331"/>
    <m/>
    <s v=""/>
    <s v="Conthey - AFV"/>
    <s v="11982163176"/>
    <s v=""/>
    <s v="sc@conthey.com.br"/>
    <s v=""/>
    <s v=""/>
    <s v=""/>
    <s v=""/>
    <s v=""/>
    <s v=""/>
    <s v=""/>
    <s v=""/>
    <s v="50%"/>
    <s v="Pipeline de Vendas"/>
    <s v="Em negociação (75%)"/>
    <s v=""/>
    <d v="2026-01-16T00:00:00"/>
    <n v="0"/>
    <n v="19642"/>
    <n v="47"/>
    <s v="Junior Lopes"/>
    <d v="2025-12-11T00:00:00"/>
    <d v="1899-12-30T11:31:04"/>
    <s v=""/>
    <s v="Perdido"/>
    <d v="2026-01-27T00:00:00"/>
    <d v="1899-12-30T16:32:05"/>
    <s v="Cliente não quer contato LGPD"/>
    <s v="fechamos ERP , estou descartando essa oportunidade"/>
    <s v=""/>
    <x v="157"/>
    <s v=""/>
    <x v="169"/>
    <s v=""/>
    <d v="2026-01-27T00:00:00"/>
    <m/>
    <s v=""/>
    <s v=""/>
    <s v=""/>
    <s v=""/>
    <n v="1"/>
  </r>
  <r>
    <x v="1"/>
    <n v="735"/>
    <m/>
    <n v="2986"/>
    <s v="(24/04/2026) Conthey vai manter o servidor local , em breve caso necessário irá migrar para cloud"/>
    <s v=""/>
    <x v="332"/>
    <m/>
    <s v=""/>
    <s v="Conthey - Cloud"/>
    <s v="11982163176"/>
    <s v=""/>
    <s v="sc@conthey.com.br"/>
    <s v=""/>
    <s v=""/>
    <s v=""/>
    <s v=""/>
    <s v=""/>
    <s v=""/>
    <s v=""/>
    <s v=""/>
    <s v="80%"/>
    <s v="Pipeline de Vendas"/>
    <s v="Em Fechamento (100%)"/>
    <s v=""/>
    <d v="2026-01-16T00:00:00"/>
    <n v="1600"/>
    <n v="524246"/>
    <n v="134"/>
    <s v="Junior Lopes"/>
    <d v="2025-12-11T00:00:00"/>
    <d v="1899-12-30T11:33:08"/>
    <s v=""/>
    <s v="Perdido"/>
    <d v="2026-04-24T00:00:00"/>
    <d v="1899-12-30T09:04:14"/>
    <s v="Não quer mudar a solução atual"/>
    <s v="(24/04/2026) Conthey vai manter o servidor local , em breve caso necessário irá migrar para cloud"/>
    <s v=""/>
    <x v="157"/>
    <s v="Junior Lopes"/>
    <x v="169"/>
    <s v=""/>
    <d v="2026-04-24T00:00:00"/>
    <n v="80"/>
    <s v=""/>
    <s v=""/>
    <s v=""/>
    <s v=""/>
    <n v="1"/>
  </r>
  <r>
    <x v="1"/>
    <n v="736"/>
    <m/>
    <n v="2988"/>
    <s v=""/>
    <s v=""/>
    <x v="333"/>
    <m/>
    <s v=""/>
    <s v="Star - B2B"/>
    <s v="17997793113"/>
    <s v=""/>
    <s v="comercial@distribuidorastar.com.br"/>
    <s v=""/>
    <s v=""/>
    <s v=""/>
    <s v=""/>
    <s v=""/>
    <s v=""/>
    <s v=""/>
    <s v=""/>
    <s v="30%"/>
    <s v="Pipeline de Vendas"/>
    <s v="Em negociação (75%)"/>
    <s v=""/>
    <d v="2025-12-17T00:00:00"/>
    <n v="26200"/>
    <n v="3400"/>
    <n v="50"/>
    <s v="Junior Lopes"/>
    <d v="2025-12-11T00:00:00"/>
    <d v="1899-12-30T15:26:26"/>
    <s v=""/>
    <s v="Perdido"/>
    <d v="2026-01-30T00:00:00"/>
    <d v="1899-12-30T15:36:18"/>
    <s v="Projeto adiado / sem prazo definido"/>
    <s v="sem retorno"/>
    <s v=""/>
    <x v="158"/>
    <s v=""/>
    <x v="170"/>
    <s v="15/12/2025"/>
    <d v="2026-01-09T00:00:00"/>
    <m/>
    <s v=""/>
    <s v=""/>
    <s v=""/>
    <s v=""/>
    <n v="1"/>
  </r>
  <r>
    <x v="1"/>
    <n v="737"/>
    <m/>
    <n v="2989"/>
    <s v=""/>
    <s v=""/>
    <x v="334"/>
    <m/>
    <s v=""/>
    <s v="Tecelagem Castilho - Contábil"/>
    <s v="62993609476"/>
    <s v=""/>
    <s v="null"/>
    <s v=""/>
    <s v=""/>
    <s v=""/>
    <s v=""/>
    <s v=""/>
    <s v=""/>
    <s v=""/>
    <s v=""/>
    <s v="30%"/>
    <s v="Pipeline de Vendas"/>
    <s v="Em negociação (75%)"/>
    <s v=""/>
    <d v="2025-12-17T00:00:00"/>
    <n v="22824"/>
    <n v="68904"/>
    <n v="1"/>
    <s v="Junior Lopes"/>
    <d v="2025-12-11T00:00:00"/>
    <d v="1899-12-30T15:56:07"/>
    <s v=""/>
    <s v="Perdido"/>
    <d v="2025-12-12T00:00:00"/>
    <d v="1899-12-30T16:41:43"/>
    <s v="Projeto adiado / sem prazo definido"/>
    <s v="rto, obrigada_x000a_Dayane ! O módulo contábil faz sentido para vocês  ?_x000a_No momento não_x000a_Olá Dayane ! perfeito , ficamos a disposição ! um ótimo final de semana"/>
    <s v=""/>
    <x v="157"/>
    <s v=""/>
    <x v="171"/>
    <s v=""/>
    <d v="2025-12-12T00:00:00"/>
    <m/>
    <s v=""/>
    <s v=""/>
    <s v=""/>
    <s v=""/>
    <n v="1"/>
  </r>
  <r>
    <x v="1"/>
    <n v="739"/>
    <m/>
    <n v="2991"/>
    <s v=""/>
    <s v=""/>
    <x v="335"/>
    <m/>
    <s v=""/>
    <s v="Erca Alumínio - Imp.XML"/>
    <s v="19999989392"/>
    <s v=""/>
    <s v="null"/>
    <s v=""/>
    <s v=""/>
    <s v=""/>
    <s v=""/>
    <s v=""/>
    <s v=""/>
    <s v=""/>
    <s v=""/>
    <s v="30%"/>
    <s v="Pipeline de Vendas"/>
    <s v="Apresentar Proposta (50%)"/>
    <s v=""/>
    <d v="2025-12-31T00:00:00"/>
    <n v="3392"/>
    <n v="3564"/>
    <n v="76"/>
    <s v="Junior Lopes"/>
    <d v="2025-12-12T00:00:00"/>
    <d v="1899-12-30T12:21:40"/>
    <s v=""/>
    <s v="Perdido"/>
    <d v="2026-02-26T00:00:00"/>
    <d v="1899-12-30T09:21:39"/>
    <s v="Projeto adiado / sem prazo definido"/>
    <s v="sem retorno do cliente"/>
    <s v=""/>
    <x v="159"/>
    <s v="Junior Lopes"/>
    <x v="172"/>
    <s v=""/>
    <d v="2025-12-12T00:00:00"/>
    <n v="30"/>
    <s v=""/>
    <s v=""/>
    <s v=""/>
    <s v=""/>
    <n v="1"/>
  </r>
  <r>
    <x v="0"/>
    <n v="740"/>
    <m/>
    <n v="2994"/>
    <s v="Em conversa com o Valter ficou combinado de falar no dia 19/01, pois ele esta em viagem._x000a_23/01 Fiz contato com o Walter hoje para cobrar ele nossa agenda para a próxima semana._x000a_11/03 Fiz FUP com Valter, ele tem resistência em aceitar a proposta devido aos valores._x000a_20/03 Após tentativas de negociar não evoluiu porque o preço ficou fora do que o cliente gostaria de investir."/>
    <s v=""/>
    <x v="336"/>
    <m/>
    <s v=""/>
    <s v="Valter"/>
    <s v="11996577830"/>
    <s v=""/>
    <s v="vppeliciari@gmail.com"/>
    <s v=""/>
    <s v=""/>
    <s v=""/>
    <s v=""/>
    <s v=""/>
    <s v="Campanha"/>
    <s v=""/>
    <s v=""/>
    <s v="30%;Dentro Perfil;Instagram"/>
    <s v="Pipeline de Vendas"/>
    <s v="Em negociação (75%)"/>
    <s v=""/>
    <d v="2026-03-31T00:00:00"/>
    <n v="115520"/>
    <n v="65721"/>
    <n v="94"/>
    <s v="Paulo Souza"/>
    <d v="2025-12-16T00:00:00"/>
    <d v="1899-12-30T12:13:29"/>
    <s v=""/>
    <s v="Perdido"/>
    <d v="2026-03-20T00:00:00"/>
    <d v="1899-12-30T16:59:02"/>
    <s v="Preço muito alto - fora do budget de investimento"/>
    <s v=""/>
    <s v=""/>
    <x v="160"/>
    <s v="Paulo Souza"/>
    <x v="173"/>
    <s v=""/>
    <d v="2026-03-20T00:00:00"/>
    <n v="30"/>
    <s v=""/>
    <s v="ERP, PCP"/>
    <s v=""/>
    <s v=""/>
    <n v="1"/>
  </r>
  <r>
    <x v="1"/>
    <n v="741"/>
    <m/>
    <n v="2995"/>
    <s v="(16/01/2026) Entrei em contato com Allan ! segundo ele esta verificando com a diretoria sobre a sequencia no projeto ! informei que nossa proposta está vencida e que preciso de uma decisão urgente para nao  perdemos o valor _x000a_16/01/2026 em contato com Allan ! decidiu por nao dar sequencia nesse momento ! o motivo é por conta do investimento"/>
    <s v=""/>
    <x v="337"/>
    <m/>
    <s v=""/>
    <s v="Allan Kaynã Vargas"/>
    <s v="(49) 99929-0242"/>
    <s v=""/>
    <s v="comercial2@topten.net.br"/>
    <s v=""/>
    <s v=""/>
    <s v=""/>
    <s v="Guarujá do Sul"/>
    <s v=""/>
    <s v="Site"/>
    <s v=""/>
    <s v=""/>
    <s v="30%;Solicita demo"/>
    <s v="Pipeline de Vendas"/>
    <s v="Em negociação (75%)"/>
    <s v=""/>
    <d v="2026-01-31T00:00:00"/>
    <n v="44000"/>
    <n v="110248"/>
    <n v="31"/>
    <s v="Junior Lopes"/>
    <d v="2025-12-16T00:00:00"/>
    <d v="1899-12-30T17:29:27"/>
    <s v=""/>
    <s v="Perdido"/>
    <d v="2026-01-16T00:00:00"/>
    <d v="1899-12-30T15:55:46"/>
    <s v="Não houve aprovação financeira"/>
    <s v="16/01/2026 em contato com Allan ! decidiu por nao dar sequencia nesse momento ! o motivo é por conta do investimento"/>
    <s v=""/>
    <x v="161"/>
    <s v=""/>
    <x v="174"/>
    <s v="19/12/2025"/>
    <d v="2026-01-16T00:00:00"/>
    <m/>
    <s v=""/>
    <s v=""/>
    <s v=""/>
    <s v=""/>
    <n v="1"/>
  </r>
  <r>
    <x v="1"/>
    <n v="742"/>
    <m/>
    <n v="2996"/>
    <s v="(16/01/2026) Entrei em contato com Allan ! segundo ele esta verificando com a diretoria sobre a sequencia no projeto ! informei que nossa proposta está vencida e que preciso de uma decisão urgente para nao  perdemos o valor _x000a_16/01/2026 em contato com Allan ! decidiu por nao dar sequencia nesse momento ! o motivo é por conta do investimento"/>
    <s v=""/>
    <x v="338"/>
    <m/>
    <s v=""/>
    <s v="TopTem - AFV"/>
    <s v="49999290242"/>
    <s v=""/>
    <s v="comercial2@topten.net.br"/>
    <s v=""/>
    <s v=""/>
    <s v=""/>
    <s v=""/>
    <s v=""/>
    <s v=""/>
    <s v=""/>
    <s v=""/>
    <s v="30%"/>
    <s v="Pipeline de Vendas"/>
    <s v="Em negociação (75%)"/>
    <s v=""/>
    <d v="2026-01-31T00:00:00"/>
    <n v="8000"/>
    <n v="186599"/>
    <n v="31"/>
    <s v="Junior Lopes"/>
    <d v="2025-12-16T00:00:00"/>
    <d v="1899-12-30T17:31:43"/>
    <s v=""/>
    <s v="Perdido"/>
    <d v="2026-01-16T00:00:00"/>
    <d v="1899-12-30T15:56:44"/>
    <s v="Não houve aprovação financeira"/>
    <s v="16/01/2026 em contato com Allan ! decidiu por nao dar sequencia nesse momento ! o motivo é por conta do investimento"/>
    <s v=""/>
    <x v="161"/>
    <s v=""/>
    <x v="174"/>
    <s v="19/12/2025"/>
    <d v="2026-01-16T00:00:00"/>
    <m/>
    <s v=""/>
    <s v=""/>
    <s v=""/>
    <s v=""/>
    <n v="1"/>
  </r>
  <r>
    <x v="1"/>
    <n v="746"/>
    <m/>
    <n v="3004"/>
    <s v=""/>
    <s v=""/>
    <x v="339"/>
    <m/>
    <s v=""/>
    <s v="Atacado Sibras 1.99"/>
    <s v="4191190775"/>
    <s v=""/>
    <s v="andrearnpauli@hotmail.com"/>
    <s v=""/>
    <s v=""/>
    <s v=""/>
    <s v=""/>
    <s v=""/>
    <s v="Campanha"/>
    <s v=""/>
    <s v=""/>
    <s v="Fora Perfil;Instagram"/>
    <s v="Pipeline de Vendas"/>
    <s v="Agendamento (0%)"/>
    <s v=""/>
    <m/>
    <m/>
    <m/>
    <n v="135"/>
    <s v="Junior Lopes"/>
    <d v="2025-12-22T00:00:00"/>
    <d v="1899-12-30T08:30:48"/>
    <s v=""/>
    <s v="Perdido"/>
    <d v="2026-05-06T00:00:00"/>
    <d v="1899-12-30T16:31:41"/>
    <s v="Fora do porte mínimo (sem fit estrutural)"/>
    <s v="lojista"/>
    <s v=""/>
    <x v="0"/>
    <s v=""/>
    <x v="0"/>
    <s v=""/>
    <m/>
    <m/>
    <s v=""/>
    <s v=""/>
    <s v=""/>
    <s v=""/>
    <n v="1"/>
  </r>
  <r>
    <x v="1"/>
    <n v="747"/>
    <m/>
    <n v="3003"/>
    <s v=""/>
    <s v=""/>
    <x v="340"/>
    <m/>
    <s v=""/>
    <s v="BJ Engenharia"/>
    <s v="6195770926"/>
    <s v=""/>
    <s v="eduaniceto@engenhariabomjesus.com.br"/>
    <s v=""/>
    <s v=""/>
    <s v=""/>
    <s v=""/>
    <s v=""/>
    <s v="Campanha"/>
    <s v=""/>
    <s v=""/>
    <s v="Fora Perfil;Instagram"/>
    <s v="Pipeline de Vendas"/>
    <s v="Agendamento (0%)"/>
    <s v=""/>
    <m/>
    <m/>
    <m/>
    <n v="138"/>
    <s v="Junior Lopes"/>
    <d v="2025-12-22T00:00:00"/>
    <d v="1899-12-30T08:35:32"/>
    <s v=""/>
    <s v="Perdido"/>
    <d v="2026-05-09T00:00:00"/>
    <d v="1899-12-30T08:04:32"/>
    <s v="Fora do segmento atendido"/>
    <s v=""/>
    <s v=""/>
    <x v="0"/>
    <s v=""/>
    <x v="0"/>
    <s v=""/>
    <m/>
    <m/>
    <s v=""/>
    <s v=""/>
    <s v=""/>
    <s v=""/>
    <n v="1"/>
  </r>
  <r>
    <x v="1"/>
    <n v="748"/>
    <m/>
    <n v="3011"/>
    <s v="Lead entrou em contato no Whatsapp Business do Damián._x000a_(21/01/2026) 09:14, 21/01/2026 Junior Lopes: Olá Dário ! Bom dia , Td bem ?_x000a_09:30, 21/01/2026 Chavetas: Bom dia Júnior, td bem ? Estou a analisar as diversas empresas que tive contato, os prós e contras, porém com calma, para fazer algo que realmente atenda a necessidades._x000a_(21/01/2026) além do material que enviei para Dário , sugeri a ele uma visita comercial para apresentar nossas soluções _x000a_(29/01/2026) Estou alinhando com Dário mais uma rodada de apresentação ! ele esta indeciso em algumas opções concorrentes _x000a_(02/03/2026) em contato com Dário _x000a_Esta em analise com alguns ERPs, porem nada com previsão imediata devido a outras prioridades ! estou descartando e manterei contato via WhatsApp"/>
    <s v=""/>
    <x v="341"/>
    <n v="9260618000165"/>
    <s v=""/>
    <s v="Chavetas Comércio de Peças e Ferramentas Ltda."/>
    <s v="(11) 98183-5003"/>
    <s v=""/>
    <s v="dario@chavetasecia.com.br"/>
    <s v=""/>
    <s v=""/>
    <s v=""/>
    <s v=""/>
    <s v=""/>
    <s v="Campanha"/>
    <s v=""/>
    <s v=""/>
    <s v="30%;Dentro Perfil;Instagram"/>
    <s v="Pipeline de Vendas"/>
    <s v="Apresentar Solução (35%)"/>
    <s v=""/>
    <d v="2026-01-31T00:00:00"/>
    <m/>
    <m/>
    <n v="62"/>
    <s v="Junior Lopes"/>
    <d v="2025-12-30T00:00:00"/>
    <d v="1899-12-30T11:08:44"/>
    <s v=""/>
    <s v="Perdido"/>
    <d v="2026-03-02T00:00:00"/>
    <d v="1899-12-30T11:31:09"/>
    <s v="Não quer mudar a solução atual"/>
    <s v="(02/03/2026) em contato com Dário _x000a_Esta em analise com alguns ERPs, porem nada com previsão imediata devido a outras prioridades ! estou descartando e manterei contato via WhatsApp"/>
    <s v=""/>
    <x v="0"/>
    <s v="Junior Lopes"/>
    <x v="167"/>
    <s v=""/>
    <d v="2026-03-02T00:00:00"/>
    <n v="30"/>
    <s v=""/>
    <s v=""/>
    <s v=""/>
    <s v=""/>
    <n v="1"/>
  </r>
  <r>
    <x v="1"/>
    <n v="749"/>
    <m/>
    <n v="3006"/>
    <s v="(21/01/2026) em contato com Edilson _x000a_pediu para retornar contato no dia 26/01 pois esta bem corrido devido a um feriado na cidade ! ele pediu para enviar material sobre nossas soluções _x000a_(29/01/2026) Cliente esta analisando demais ferramentas ! estamos organizando apresentação do AFV _x000a_(18/02/2026) Edilson declinou por conta do valor acima da expectativa de investimento ! não ofertou contra proposta pq valor estava bem acima do esperado"/>
    <s v=""/>
    <x v="342"/>
    <n v="34667612000154"/>
    <s v=""/>
    <s v="ColorUnhas"/>
    <s v="(44) 9706-9580"/>
    <s v=""/>
    <s v="colorunhas@uol.com.br"/>
    <s v=""/>
    <s v=""/>
    <s v=""/>
    <s v="TELEMACO BORBA"/>
    <s v="PR"/>
    <s v="Campanha"/>
    <s v=""/>
    <s v=""/>
    <s v="30%;Dentro Perfil;Instagram"/>
    <s v="Pipeline de Vendas"/>
    <s v="Apresentar Proposta (50%)"/>
    <s v=""/>
    <d v="2026-02-28T00:00:00"/>
    <n v="1117015"/>
    <n v="468739"/>
    <n v="50"/>
    <s v="Junior Lopes"/>
    <d v="2025-12-30T00:00:00"/>
    <d v="1899-12-30T11:28:58"/>
    <s v=""/>
    <s v="Perdido"/>
    <d v="2026-02-18T00:00:00"/>
    <d v="1899-12-30T08:52:33"/>
    <s v="Não houve aprovação financeira"/>
    <s v="(18/02/2026) Edilson declinou por conta do valor acima da expectativa de investimento ! não ofertou contra proposta pq valor estava bem acima do esperado"/>
    <s v=""/>
    <x v="162"/>
    <s v="Junior Lopes"/>
    <x v="175"/>
    <s v="05/02/2026"/>
    <d v="2026-02-18T00:00:00"/>
    <n v="30"/>
    <s v=""/>
    <s v=""/>
    <s v=""/>
    <s v=""/>
    <n v="1"/>
  </r>
  <r>
    <x v="2"/>
    <n v="750"/>
    <m/>
    <n v="3016"/>
    <s v="Reunião agendada para o dia 23/01 _x000a_17-02 Cliente deu negativa no avanço do projeto,pois o valor ficou fora do que estão planejando _x000a_E receberam uma proposta comercial de 30mil de implantação e 4mil de mensalidade do sistema webmais_x000a_https://webmaissistemas.com.br/"/>
    <s v=""/>
    <x v="343"/>
    <n v="1574467000108"/>
    <s v=""/>
    <s v="Doce festa"/>
    <s v="17981152060"/>
    <s v=""/>
    <s v="paulopedroso@produtosdocefesta.com.br"/>
    <s v=""/>
    <s v=""/>
    <s v=""/>
    <s v=""/>
    <s v=""/>
    <s v="Campanha"/>
    <s v=""/>
    <s v=""/>
    <s v="50%;Dentro Perfil;Instagram"/>
    <s v="Pipeline de Vendas"/>
    <s v="Em negociação (75%)"/>
    <s v=""/>
    <d v="2026-03-31T00:00:00"/>
    <n v="12996348"/>
    <n v="860884"/>
    <n v="43"/>
    <s v="Rayssa Karapeticov"/>
    <d v="2026-01-05T00:00:00"/>
    <d v="1899-12-30T11:50:01"/>
    <s v=""/>
    <s v="Perdido"/>
    <d v="2026-02-17T00:00:00"/>
    <d v="1899-12-30T16:19:52"/>
    <s v="Preço muito alto - fora do budget de investimento"/>
    <s v=""/>
    <s v=""/>
    <x v="0"/>
    <s v="Rayssa Karapeticov"/>
    <x v="167"/>
    <s v="05/02/2026"/>
    <d v="2026-02-05T00:00:00"/>
    <n v="50"/>
    <s v=""/>
    <s v=""/>
    <s v=""/>
    <s v=""/>
    <n v="1"/>
  </r>
  <r>
    <x v="2"/>
    <n v="754"/>
    <m/>
    <n v="3017"/>
    <s v="Proposta feita,aguardando agenda do cliente para apresentar_x000a_Oi, Rayssa, tudo bem?_x000a_Estamos em processo de mudança de local e, por isso, essa semana está bem corrida por aqui. Acabei ficando sem tempo para conseguir conversar com calma agora."/>
    <s v="Irriga House Irrigacao Comercial Agricola Ltda"/>
    <x v="344"/>
    <n v="61516270000144"/>
    <s v=""/>
    <s v="Irriga house"/>
    <s v="11973112176"/>
    <s v=""/>
    <s v="vendas@irrigahouse.com.br"/>
    <s v=""/>
    <s v=""/>
    <s v=""/>
    <s v="JUNDIAI"/>
    <s v="SP"/>
    <s v="Campanha"/>
    <s v=""/>
    <s v=""/>
    <s v="30%;Dentro Perfil;Instagram"/>
    <s v="Pipeline de Vendas"/>
    <s v="Apresentar Proposta (50%)"/>
    <s v=""/>
    <d v="2026-04-30T00:00:00"/>
    <m/>
    <m/>
    <n v="13"/>
    <s v="Rayssa Karapeticov"/>
    <d v="2026-01-07T00:00:00"/>
    <d v="1899-12-30T10:16:04"/>
    <s v=""/>
    <s v="Perdido"/>
    <d v="2026-01-20T00:00:00"/>
    <d v="1899-12-30T17:15:42"/>
    <s v="Não quer mudar a solução atual"/>
    <s v=""/>
    <s v=""/>
    <x v="163"/>
    <s v="Rayssa Karapeticov"/>
    <x v="176"/>
    <s v=""/>
    <d v="2026-01-19T00:00:00"/>
    <m/>
    <s v=""/>
    <s v=""/>
    <s v=""/>
    <s v=""/>
    <n v="1"/>
  </r>
  <r>
    <x v="0"/>
    <n v="757"/>
    <m/>
    <n v="3046"/>
    <s v="Hoje (12/01/26) cobrei o Allan se ele tem interesse nas soluções da Guarani Sim ou Não. Por ele não atende minhas ligações. (13/01 - Chamei e liguei para o Allan, sem retorno._x000a_12/01 Fiz FUP, com Allan, fechou com uma empresa de menor e falou que se não se adaptar volta a fazer contato."/>
    <s v=""/>
    <x v="345"/>
    <m/>
    <s v=""/>
    <s v="Allan"/>
    <s v="12982018157"/>
    <s v=""/>
    <s v="e.mazala@hotmail.com"/>
    <s v=""/>
    <s v=""/>
    <s v=""/>
    <s v=""/>
    <s v=""/>
    <s v="Campanha"/>
    <s v=""/>
    <s v=""/>
    <s v="30%;Dentro Perfil;Instagram"/>
    <s v="Pipeline de Vendas"/>
    <s v="Qualificação de Vendas (SQL) (25%)"/>
    <s v=""/>
    <d v="2026-01-12T00:00:00"/>
    <m/>
    <m/>
    <n v="15"/>
    <s v="Paulo Souza"/>
    <d v="2026-01-08T00:00:00"/>
    <d v="1899-12-30T15:56:57"/>
    <s v=""/>
    <s v="Perdido"/>
    <d v="2026-01-23T00:00:00"/>
    <d v="1899-12-30T17:53:36"/>
    <s v="Fechou com o concorrente - preço"/>
    <s v="optou por uma empresa menor neste momento."/>
    <s v=""/>
    <x v="0"/>
    <s v="Paulo Souza"/>
    <x v="0"/>
    <s v=""/>
    <d v="2026-01-12T00:00:00"/>
    <m/>
    <s v=""/>
    <s v=""/>
    <s v=""/>
    <s v=""/>
    <n v="1"/>
  </r>
  <r>
    <x v="0"/>
    <n v="758"/>
    <m/>
    <n v="3048"/>
    <s v="Liberado em degustação por 7 dias e depois efetivar vendas ._x000a_Liberado a degustação em 12/01._x000a_19/01: Cobrei o Mario pra saber se esta tudo ok. E se iremos seguir ou não com a contratação._x000a_23/01 - Em conversa com o Mario, o suporte ainda esta configurando e após vai treinar e assim vou conseguir contabilizar os 7 dias de degustação e fechar o negocio._x000a_26/02 Não avançou."/>
    <s v=""/>
    <x v="346"/>
    <m/>
    <s v=""/>
    <s v="Mario"/>
    <s v="11982243773"/>
    <s v=""/>
    <s v="vendas1.jpdistribuidora@gmail.com"/>
    <s v=""/>
    <s v=""/>
    <s v=""/>
    <s v=""/>
    <s v=""/>
    <s v=""/>
    <s v=""/>
    <s v=""/>
    <s v="50%"/>
    <s v="Pipeline de Vendas"/>
    <s v="Em negociação (75%)"/>
    <s v=""/>
    <d v="2026-02-26T00:00:00"/>
    <n v="0"/>
    <n v="66"/>
    <n v="49"/>
    <s v="Paulo Souza"/>
    <d v="2026-01-08T00:00:00"/>
    <d v="1899-12-30T16:54:28"/>
    <s v=""/>
    <s v="Perdido"/>
    <d v="2026-02-26T00:00:00"/>
    <d v="1899-12-30T22:15:54"/>
    <s v="Não houve aprovação financeira"/>
    <s v=""/>
    <s v=""/>
    <x v="164"/>
    <s v="Paulo Souza"/>
    <x v="177"/>
    <s v=""/>
    <d v="2026-02-26T00:00:00"/>
    <n v="50"/>
    <s v="2"/>
    <s v="ADICIONAIS"/>
    <s v="R$ 0"/>
    <s v="R$ 66"/>
    <n v="1"/>
  </r>
  <r>
    <x v="0"/>
    <n v="759"/>
    <m/>
    <n v="3049"/>
    <s v="Fechado."/>
    <s v=""/>
    <x v="347"/>
    <n v="10345472000130"/>
    <s v=""/>
    <s v="Walter"/>
    <s v="19983040748"/>
    <s v=""/>
    <s v="walter@akitembembarato.com"/>
    <s v=""/>
    <s v=""/>
    <s v=""/>
    <s v=""/>
    <s v=""/>
    <s v=""/>
    <s v=""/>
    <s v=""/>
    <s v="90%"/>
    <s v="Pipeline de Vendas"/>
    <s v="Em Fechamento (100%)"/>
    <s v=""/>
    <d v="2026-01-31T00:00:00"/>
    <n v="1505387"/>
    <n v="27562"/>
    <n v="4"/>
    <s v="Paulo Souza"/>
    <d v="2026-01-08T00:00:00"/>
    <d v="1899-12-30T17:14:43"/>
    <s v=""/>
    <s v="Ganho"/>
    <d v="2026-01-12T00:00:00"/>
    <d v="1899-12-30T14:36:45"/>
    <s v=""/>
    <s v=""/>
    <s v=""/>
    <x v="164"/>
    <s v="Paulo Souza"/>
    <x v="177"/>
    <s v=""/>
    <m/>
    <m/>
    <s v=""/>
    <s v=""/>
    <s v=""/>
    <s v=""/>
    <n v="1"/>
  </r>
  <r>
    <x v="0"/>
    <n v="760"/>
    <m/>
    <n v="3050"/>
    <s v="Falei com o Robson hoje , questionando sobre a proposta e se tem alguma dúvida._x000a_23/01 - Fiz FUPs hoje com o Robson :_x000a_R: Bom dia Paulo, fiz umas considerações na proposta e farei uma reunia com os diretores para apresentação, na sequência quero marcar uma reunião com vocês para conversarmos._x000a_Eu espero te posicionar na próxima terça-feira._x000a_26/02 Alinhar com o Fernando a sequência dos itens que será abordados. E qual item já foi entregue e horas consumidas!_x000a_12/03 O projeto já iniciou e o combinado é que vai cobrar conforme entrega de etapas._x000a_12/03 O projeto já iniciou e o combinado é que vai cobrar conforme entrega de etapas._x000a_20/03 Após alinhamento foi criado pela implantação 10 etapas no projeto, para o acompanhamento e posterior fechamento de horas."/>
    <s v=""/>
    <x v="348"/>
    <n v="3204281000192"/>
    <s v=""/>
    <s v="Robson"/>
    <s v="(11) 4677-6249/ (11) 4677-6250"/>
    <s v=""/>
    <s v="contato@aluminionacional.com.br"/>
    <s v=""/>
    <s v=""/>
    <s v=""/>
    <s v="FERRAZ DE VASCONCELOS"/>
    <s v="SP"/>
    <s v=""/>
    <s v=""/>
    <s v=""/>
    <s v="90%"/>
    <s v="Pipeline de Vendas"/>
    <s v="Em Fechamento (100%)"/>
    <s v=""/>
    <d v="2026-03-31T00:00:00"/>
    <n v="58000"/>
    <n v="0"/>
    <n v="132"/>
    <s v="Paulo Souza"/>
    <d v="2026-01-08T00:00:00"/>
    <d v="1899-12-30T17:22:05"/>
    <s v=""/>
    <s v="Ativo"/>
    <m/>
    <m/>
    <s v=""/>
    <s v=""/>
    <s v=""/>
    <x v="165"/>
    <s v="Paulo Souza"/>
    <x v="178"/>
    <s v=""/>
    <d v="2026-03-20T00:00:00"/>
    <n v="90"/>
    <s v="290"/>
    <s v="TREINAMENTO"/>
    <s v="R$ 58.000,00"/>
    <s v="R$ 0"/>
    <n v="1"/>
  </r>
  <r>
    <x v="0"/>
    <n v="761"/>
    <m/>
    <n v="3053"/>
    <s v="Falei com a Enila e cobrei uma posição se vamos avançar ou não com o projeto. Ela ficou de conversar com o Glayson e me dar um retorno até 12/01/2026."/>
    <s v=""/>
    <x v="349"/>
    <n v="12585697000199"/>
    <s v=""/>
    <s v="Enila"/>
    <s v="(16) 3412-8794"/>
    <s v=""/>
    <s v="operacao@pcp.eng.br"/>
    <s v=""/>
    <s v=""/>
    <s v=""/>
    <s v="SAO CARLOS"/>
    <s v="SP"/>
    <s v=""/>
    <s v=""/>
    <s v=""/>
    <s v=""/>
    <s v="Pipeline de Vendas"/>
    <s v="Em negociação (75%)"/>
    <s v=""/>
    <d v="2026-01-31T00:00:00"/>
    <n v="8100"/>
    <n v="1080"/>
    <n v="4"/>
    <s v="Paulo Souza"/>
    <d v="2026-01-08T00:00:00"/>
    <d v="1899-12-30T17:28:40"/>
    <s v=""/>
    <s v="Perdido"/>
    <d v="2026-01-12T00:00:00"/>
    <d v="1899-12-30T14:31:42"/>
    <s v="Não quer mudar a solução atual"/>
    <s v=""/>
    <s v=""/>
    <x v="164"/>
    <s v="Paulo Souza"/>
    <x v="177"/>
    <s v=""/>
    <d v="2026-01-09T00:00:00"/>
    <m/>
    <s v=""/>
    <s v=""/>
    <s v=""/>
    <s v=""/>
    <n v="1"/>
  </r>
  <r>
    <x v="0"/>
    <n v="762"/>
    <m/>
    <n v="3040"/>
    <s v="Falei com o Ivan hoje que não me deu atenção avisou que estava no transito e não podia atender. Falou para chamar ele no zap e combinar um horário semana que vem. 13/01 - Retomei contato com o IVan e não obtive retorno._x000a_23/01 declinei a proposta por falta de interesse por parte do cliente, não me atendeu e nem respondeu meus contatos."/>
    <s v=""/>
    <x v="350"/>
    <m/>
    <s v=""/>
    <s v="Ivan"/>
    <s v="11930305063"/>
    <s v=""/>
    <s v="liraivan2000@yahoo.com.br"/>
    <s v=""/>
    <s v=""/>
    <s v=""/>
    <s v=""/>
    <s v=""/>
    <s v="Campanha"/>
    <s v=""/>
    <s v=""/>
    <s v="30%;Fora Perfil;Instagram"/>
    <s v="Pipeline de Vendas"/>
    <s v="Qualificação de Vendas (SQL) (25%)"/>
    <s v=""/>
    <d v="2026-01-23T00:00:00"/>
    <m/>
    <m/>
    <n v="15"/>
    <s v="Paulo Souza"/>
    <d v="2026-01-08T00:00:00"/>
    <d v="1899-12-30T17:34:33"/>
    <s v=""/>
    <s v="Perdido"/>
    <d v="2026-01-23T00:00:00"/>
    <d v="1899-12-30T17:56:12"/>
    <s v="Fora do porte mínimo (sem fit estrutural)"/>
    <s v=""/>
    <s v=""/>
    <x v="0"/>
    <s v="Paulo Souza"/>
    <x v="0"/>
    <s v=""/>
    <d v="2026-01-23T00:00:00"/>
    <m/>
    <s v=""/>
    <s v=""/>
    <s v=""/>
    <s v=""/>
    <n v="1"/>
  </r>
  <r>
    <x v="1"/>
    <n v="763"/>
    <m/>
    <n v="3058"/>
    <s v="(12/01/2026) Em contato com Bruno realizamos uma apresentação do força de vendas em 12/01/2026 e falamos um pouco sobre nosso ERP ! logo pediu uma ideia de investimento para seguir _x000a_(29/01/2026) Após envio de proposta cliente não respondeu mais"/>
    <s v=""/>
    <x v="351"/>
    <n v="55042933000133"/>
    <s v=""/>
    <s v="Folha Dourada Tabacos Ltda"/>
    <s v="(32) 8408-3586"/>
    <s v=""/>
    <s v="atacabaco@gmail.com"/>
    <s v=""/>
    <s v=""/>
    <s v=""/>
    <s v="JUIZ DE FORA"/>
    <s v="MG"/>
    <s v="Campanha"/>
    <s v=""/>
    <s v=""/>
    <s v="30%;Dentro Perfil;Instagram"/>
    <s v="Pipeline de Vendas"/>
    <s v="Apresentar Solução (35%)"/>
    <s v=""/>
    <d v="2026-01-31T00:00:00"/>
    <n v="61904"/>
    <n v="13156"/>
    <n v="20"/>
    <s v="Junior Lopes"/>
    <d v="2026-01-09T00:00:00"/>
    <d v="1899-12-30T11:15:37"/>
    <s v=""/>
    <s v="Perdido"/>
    <d v="2026-01-29T00:00:00"/>
    <d v="1899-12-30T14:30:59"/>
    <s v="Projeto adiado / sem prazo definido"/>
    <s v="(29/01/2026) Após envio de proposta cliente não respondeu mais"/>
    <s v=""/>
    <x v="166"/>
    <s v=""/>
    <x v="179"/>
    <s v=""/>
    <d v="2026-01-29T00:00:00"/>
    <m/>
    <s v=""/>
    <s v=""/>
    <s v=""/>
    <s v=""/>
    <n v="1"/>
  </r>
  <r>
    <x v="2"/>
    <n v="764"/>
    <m/>
    <n v="3007"/>
    <s v="Realizamos a apresentação do ERP junto com o  Max seguindo o documento deles de chekilist d aderencia do software, tiraram duvidas dos processos e seguiemos para uma segunda apresentação do AFV e Do BI_x000a_26/01 Video do AFV encaminhado ao cliente, _x000a_Precisamos de mais uma agenda para demonstração das demais soluções_x000a_26.01 - aguardando Fernando passar horas do projeto_x000a_05.02 estou tentando falar com o cliente a algum tempo,fizemos uma reunião para discutir pontos sobre o ERP. E após isso cliente pediu uma proposta comercial, porém para seguir eu precisava levantar alguns dados que não me foram enviados e depois de várias tentativas cliente não me respondeu_x000a_Após nossa reunião sobre o ERP, preparei os pontos necessários para avançarmos com a proposta comercial. No entanto, não recebi os dados solicitados para dar continuidade e, sem eles, não conseguimos evoluir._x000a_Gostaria de reforçar que esta solução representa uma oportunidade única de crescimento e ganho de eficiência para sua empresa. Cada semana de Como não tive nenhum retorno, entendo que não há interesse em seguir neste momento e encerrarei o processo. Ainda assim, permanecerei à disposição para retomar quando considerar oportuno._x000a_Atenciosamente,"/>
    <s v=""/>
    <x v="352"/>
    <n v="51776465000170"/>
    <s v=""/>
    <s v="CLS Química"/>
    <s v="16996298460"/>
    <s v=""/>
    <s v="keila.graciele@clsquimica.com.br"/>
    <s v=""/>
    <s v=""/>
    <s v=""/>
    <s v=""/>
    <s v=""/>
    <s v="Campanha"/>
    <s v=""/>
    <s v=""/>
    <s v="30%;Dentro Perfil;Instagram"/>
    <s v="Pipeline de Vendas"/>
    <s v="Apresentar Proposta (50%)"/>
    <s v=""/>
    <d v="2026-03-31T00:00:00"/>
    <m/>
    <m/>
    <n v="120"/>
    <s v="Rayssa Karapeticov"/>
    <d v="2026-01-09T00:00:00"/>
    <d v="1899-12-30T11:44:25"/>
    <s v=""/>
    <s v="Perdido"/>
    <d v="2026-05-09T00:00:00"/>
    <d v="1899-12-30T08:32:37"/>
    <s v="Não quer mudar a solução atual"/>
    <s v=""/>
    <s v=""/>
    <x v="0"/>
    <s v="Rayssa Karapeticov"/>
    <x v="180"/>
    <s v=""/>
    <d v="2026-01-28T00:00:00"/>
    <m/>
    <s v=""/>
    <s v=""/>
    <s v=""/>
    <s v=""/>
    <n v="1"/>
  </r>
  <r>
    <x v="0"/>
    <n v="766"/>
    <m/>
    <n v="3063"/>
    <s v="Tiago, retorna apena no dia 15/01, data que retomo o contato com ele._x000a_23/01 - Fechamos negocio."/>
    <s v=""/>
    <x v="353"/>
    <m/>
    <s v=""/>
    <s v="Tiago"/>
    <s v="11971597112"/>
    <s v=""/>
    <s v="null"/>
    <s v=""/>
    <s v=""/>
    <s v=""/>
    <s v=""/>
    <s v=""/>
    <s v=""/>
    <s v=""/>
    <s v=""/>
    <s v="90%;Fabio Indica"/>
    <s v="Pipeline de Vendas"/>
    <s v="Em Fechamento (100%)"/>
    <s v=""/>
    <d v="2026-01-15T00:00:00"/>
    <n v="56100"/>
    <n v="67334"/>
    <n v="14"/>
    <s v="Paulo Souza"/>
    <d v="2026-01-09T00:00:00"/>
    <d v="1899-12-30T15:28:21"/>
    <s v=""/>
    <s v="Ganho"/>
    <d v="2026-01-23T00:00:00"/>
    <d v="1899-12-30T11:05:59"/>
    <s v=""/>
    <s v=""/>
    <s v=""/>
    <x v="164"/>
    <s v="Paulo Souza"/>
    <x v="181"/>
    <s v=""/>
    <d v="2026-01-15T00:00:00"/>
    <m/>
    <s v=""/>
    <s v=""/>
    <s v=""/>
    <s v=""/>
    <n v="1"/>
  </r>
  <r>
    <x v="0"/>
    <n v="767"/>
    <m/>
    <n v="3064"/>
    <s v="Cobrei o André hoje aguardando o retorno sobre a evolução do projeto._x000a_19/01 Fiz FUP com o Andre ele me posicionou que o presidente esta afastado por motivos de saúde e que como ele que decide, só na volta dele para avança. A previsão e que ele retorne na semana do dia 26/1._x000a_07/02 Fiz fup hoje com o André e aguardo a posição dele se a diretoria retornou e se vamos seguir ou não com o projeto._x000a_27/02 Por falta de retorno por parte do cliente, estou declinando a proposta."/>
    <s v=""/>
    <x v="354"/>
    <m/>
    <s v=""/>
    <s v="Andre"/>
    <s v="11982745856"/>
    <s v=""/>
    <s v="andrefelipone@olealimentos.com.br"/>
    <s v=""/>
    <s v=""/>
    <s v=""/>
    <s v=""/>
    <s v=""/>
    <s v=""/>
    <s v=""/>
    <s v=""/>
    <s v="30%;Fabio Indica"/>
    <s v="Pipeline de Vendas"/>
    <s v="Em negociação (75%)"/>
    <s v=""/>
    <d v="2026-01-31T00:00:00"/>
    <n v="16000"/>
    <n v="18330"/>
    <n v="49"/>
    <s v="Paulo Souza"/>
    <d v="2026-01-09T00:00:00"/>
    <d v="1899-12-30T15:38:45"/>
    <s v=""/>
    <s v="Perdido"/>
    <d v="2026-02-27T00:00:00"/>
    <d v="1899-12-30T21:22:05"/>
    <s v="Preço muito alto - fora do budget de investimento"/>
    <s v=""/>
    <s v=""/>
    <x v="167"/>
    <s v="Paulo Souza"/>
    <x v="178"/>
    <s v=""/>
    <d v="2026-01-19T00:00:00"/>
    <n v="30"/>
    <s v="80"/>
    <s v="AFV"/>
    <s v="R$ 16.000"/>
    <s v="R$ 18.330"/>
    <n v="1"/>
  </r>
  <r>
    <x v="2"/>
    <n v="768"/>
    <m/>
    <n v="2107"/>
    <s v="11:25, 1/13/2026 +55 47 8834-5510: Bom dia Rayssa. Tudo bem?_x000a_11:25, 1/13/2026 +55 47 8834-5510: Aguarde um pouco antes de continuar a RFP._x000a_11:25, 1/13/2026 Rayssa Karapeticov - Comercial - Guarani Sistemas: Tudo otimo e  você?_x000a_Blzinha_x000a_11:28, 1/13/2026 +55 47 8834-5510: Existem alguns itens que observei e conversei com as áreas envolvidas, e que são difícil de negociar, comparado com outros fabricantes que já estão também participando._x000a_11:29, 1/13/2026 +55 47 8834-5510: Vamos deixar nesse momento suspenso o processo de RFP com vcs, e caso ocorra alguma mudança muito grande com aqueles que estão participando, eu aviso a necessidade de retomar ok?_x000a_11:29, 1/13/2026 +55 47 8834-5510: Agradeço demais seu tempo até aqui, e é realmente para evitar um trabalho maior agora, que tz não seja possível avançar depois._x000a_11:30, 1/13/2026 +55 47 8834-5510: 🙏🏻🙏🏻🙏🏻🙏🏻_x000a_11:30, 1/13/2026 Rayssa Karapeticov - Comercial - Guarani Sistemas: Entendo perfeitamente, para resgistro de feedback, quais são esses pontos?_x000a_11:32, 1/13/2026 +55 47 8834-5510: Em especial itens de tecnologia, e alguns pontos das áreas de negócio já preenchidas. _x000a_Fiz um bate papo com a equipe para olharmos oq já foi preenchido, e relacionamos com os demais fabricantes que estão participando._x000a_11:33, 1/13/2026 Rayssa Karapeticov - Comercial - Guarani Sistemas: Certo, fico a disposição aqui caso queira continuar. _x000a_Qualquer duvida também pode me chamar_x000a_11:33, 1/13/2026 +55 47 8834-5510: Como o objetivo é seguir a prox fase com no máx 3 fabricantes, outros fabricantes já se enquadraram melhor no que estamos buscando._x000a_11:33, 1/13/2026 +55 47 8834-5510: Mas se algo mudar durante o processo, eu aviso. Muito obrigadoooo!!!_x000a_11:34, 1/13/2026 Rayssa Karapeticov - Comercial - Guarani Sistemas: Combinado"/>
    <s v="Maral Industria E Comercio De Brinquedos Ltda"/>
    <x v="355"/>
    <n v="10469551000152"/>
    <s v=""/>
    <s v="Carlos Alberto Kuehl"/>
    <s v="(47) 3387-5400/ (47) 3394-0982"/>
    <s v=""/>
    <s v="contato@maral.ind.br"/>
    <s v=""/>
    <s v=""/>
    <s v=""/>
    <s v="POMERODE"/>
    <s v="SC"/>
    <s v="Base de empresas Leads2b"/>
    <s v=""/>
    <s v=""/>
    <s v="30%;Dentro Perfil;Feiras"/>
    <s v="Pipeline de Vendas"/>
    <s v="Qualificação de Vendas (SQL) (25%)"/>
    <s v=""/>
    <d v="2026-04-30T00:00:00"/>
    <m/>
    <m/>
    <n v="11"/>
    <s v="Rayssa Karapeticov"/>
    <d v="2026-01-09T00:00:00"/>
    <d v="1899-12-30T16:53:32"/>
    <s v=""/>
    <s v="Perdido"/>
    <d v="2026-01-20T00:00:00"/>
    <d v="1899-12-30T17:10:21"/>
    <s v="Fechou com o concorrente - preço"/>
    <s v=""/>
    <s v=""/>
    <x v="0"/>
    <s v=""/>
    <x v="0"/>
    <s v=""/>
    <d v="2026-01-13T00:00:00"/>
    <m/>
    <s v=""/>
    <s v=""/>
    <s v=""/>
    <s v=""/>
    <n v="1"/>
  </r>
  <r>
    <x v="0"/>
    <n v="769"/>
    <m/>
    <n v="2997"/>
    <s v="Falei com o Kleber hoje novamente e estou aguardando ele me dar um retorno sobre agenda. 13/01 - Fiz contato com o Kleber para saber se tem interesse ou não em seguir,"/>
    <s v=""/>
    <x v="356"/>
    <m/>
    <s v=""/>
    <s v="Kleber"/>
    <s v="11991898161"/>
    <s v=""/>
    <s v="kleber.ppbh@gmail.com"/>
    <s v=""/>
    <s v=""/>
    <s v=""/>
    <s v=""/>
    <s v=""/>
    <s v="Campanha"/>
    <s v=""/>
    <s v=""/>
    <s v="30%;Dentro Perfil;Instagram"/>
    <s v="Pipeline de Vendas"/>
    <s v="Qualificação de Vendas (SQL) (25%)"/>
    <s v=""/>
    <d v="2026-01-31T00:00:00"/>
    <m/>
    <m/>
    <n v="1"/>
    <s v="Paulo Souza"/>
    <d v="2026-01-12T00:00:00"/>
    <d v="1899-12-30T17:30:01"/>
    <s v=""/>
    <s v="Perdido"/>
    <d v="2026-01-13T00:00:00"/>
    <d v="1899-12-30T17:30:51"/>
    <s v="Não quer mudar a solução atual"/>
    <s v=""/>
    <s v=""/>
    <x v="0"/>
    <s v="Paulo Souza"/>
    <x v="0"/>
    <s v=""/>
    <m/>
    <m/>
    <s v=""/>
    <s v=""/>
    <s v=""/>
    <s v=""/>
    <n v="1"/>
  </r>
  <r>
    <x v="0"/>
    <n v="770"/>
    <m/>
    <n v="3005"/>
    <s v="Falei Com Omar hoje 12/01 e ele falou que retorna de viagem dia 15/01 e é para procurá-lo._x000a_23/01 Fiz FUP hoje como o Omar, para avançar com uma agenda na quinta ou sexta da semana do dia 26/01. Aguardando o retorno do cleinte._x000a_09/02/26 Fiz fup e ele acabou fechando com um sistema pequeno."/>
    <s v=""/>
    <x v="357"/>
    <n v="18190972000151"/>
    <s v=""/>
    <s v="Zini home"/>
    <s v="12997937887"/>
    <s v=""/>
    <s v="omar@zinihome.com.br"/>
    <s v=""/>
    <s v=""/>
    <s v=""/>
    <s v=""/>
    <s v=""/>
    <s v="Campanha"/>
    <s v=""/>
    <s v=""/>
    <s v="30%;Dentro Perfil;Instagram"/>
    <s v="Pipeline de Vendas"/>
    <s v="Qualificação de Vendas (SQL) (25%)"/>
    <s v=""/>
    <d v="2026-01-31T00:00:00"/>
    <m/>
    <m/>
    <n v="38"/>
    <s v="Paulo Souza"/>
    <d v="2026-01-12T00:00:00"/>
    <d v="1899-12-30T17:33:46"/>
    <s v=""/>
    <s v="Perdido"/>
    <d v="2026-02-19T00:00:00"/>
    <d v="1899-12-30T17:50:16"/>
    <s v="Fechou com o concorrente - preço"/>
    <s v=""/>
    <s v=""/>
    <x v="0"/>
    <s v="Paulo Souza"/>
    <x v="0"/>
    <s v=""/>
    <d v="2026-01-23T00:00:00"/>
    <n v="30"/>
    <s v=""/>
    <s v=""/>
    <s v=""/>
    <s v=""/>
    <n v="1"/>
  </r>
  <r>
    <x v="0"/>
    <n v="771"/>
    <m/>
    <n v="3001"/>
    <s v="Fernando , esta de féria e só vamos conseguir realizar o bate-papo após o seu retorno. O previsto é no dia 16/01/2026._x000a_23/01 Fiz FUP hoje com o Fernando para agendar uma reunião na semana que vem , na quarta ou quinta._x000a_05/02 Fiz FUP hoje com o Fernando, e ele cancelou a nossa reunião das 10h. Fiz uma nova agenda para o dia 11/02 às 15h!_x000a_12/03  Fiz FUP com o Fernando afim de saber se ele vai querer continuar ou nao._x000a_12/03 Por falta de interesse estou declinando o lead. Após apresentar a solução o cliente esfriou e sumiu não dando retorno._x000a_20/03 Fiz FUP e cobrei o Fernando se seguiremos ou não com o projeto."/>
    <s v=""/>
    <x v="358"/>
    <m/>
    <s v=""/>
    <s v="Russa Diatribuidora"/>
    <s v="11991303160"/>
    <s v=""/>
    <s v="fernando@russadistribuidora.com.br"/>
    <s v=""/>
    <s v=""/>
    <s v=""/>
    <s v=""/>
    <s v=""/>
    <s v="Campanha"/>
    <s v=""/>
    <s v=""/>
    <s v="30%;Dentro Perfil;Instagram"/>
    <s v="Pipeline de Vendas"/>
    <s v="Em negociação (75%)"/>
    <s v=""/>
    <d v="2026-03-31T00:00:00"/>
    <n v="6840289"/>
    <n v="44907"/>
    <n v="126"/>
    <s v="Paulo Souza"/>
    <d v="2026-01-12T00:00:00"/>
    <d v="1899-12-30T17:38:29"/>
    <s v=""/>
    <s v="Perdido"/>
    <d v="2026-05-18T00:00:00"/>
    <d v="1899-12-30T16:52:10"/>
    <s v="Não era o decisor - sem acesso"/>
    <s v=""/>
    <s v=""/>
    <x v="168"/>
    <s v="Paulo Souza"/>
    <x v="182"/>
    <s v=""/>
    <d v="2026-04-20T00:00:00"/>
    <n v="30"/>
    <s v=""/>
    <s v="ERP, AFV"/>
    <s v=""/>
    <s v=""/>
    <n v="1"/>
  </r>
  <r>
    <x v="0"/>
    <n v="772"/>
    <m/>
    <n v="3008"/>
    <s v="Após conversa com Everaldo ele informou que el loja de varejo e não vamos atender varejo em 2026"/>
    <s v=""/>
    <x v="359"/>
    <m/>
    <s v=""/>
    <s v="Everaldo"/>
    <s v="(21) 96439-0742"/>
    <s v=""/>
    <s v="e.leonardojr@hotmail.com"/>
    <s v=""/>
    <s v=""/>
    <s v=""/>
    <s v="Rio de Janeiro"/>
    <s v=""/>
    <s v="Site"/>
    <s v=""/>
    <s v=""/>
    <s v="30%"/>
    <s v="Pipeline de Vendas"/>
    <s v="Qualificação de Vendas (SQL) (25%)"/>
    <s v=""/>
    <d v="2026-01-31T00:00:00"/>
    <m/>
    <m/>
    <n v="0"/>
    <s v="Paulo Souza"/>
    <d v="2026-01-12T00:00:00"/>
    <d v="1899-12-30T17:43:14"/>
    <s v=""/>
    <s v="Perdido"/>
    <d v="2026-01-12T00:00:00"/>
    <d v="1899-12-30T22:28:23"/>
    <s v="Fora do porte mínimo (sem fit estrutural)"/>
    <s v=""/>
    <s v=""/>
    <x v="0"/>
    <s v="Paulo Souza"/>
    <x v="0"/>
    <s v=""/>
    <m/>
    <m/>
    <s v=""/>
    <s v=""/>
    <s v=""/>
    <s v=""/>
    <n v="1"/>
  </r>
  <r>
    <x v="0"/>
    <n v="773"/>
    <m/>
    <n v="3000"/>
    <s v="Falei com o Joao hoje 12/01 e combinamos de conversa na segunda dia 15/01._x000a_23/01 Fiz FUP hoje com o João para agendar uma apresentação na próxima semana."/>
    <s v=""/>
    <x v="360"/>
    <m/>
    <s v=""/>
    <s v="João"/>
    <s v="(17) 98126-9337"/>
    <s v=""/>
    <s v="joao@stokfrios.com.br"/>
    <s v=""/>
    <s v=""/>
    <s v=""/>
    <s v="São José do Rio Preto"/>
    <s v=""/>
    <s v="Site"/>
    <s v=""/>
    <s v=""/>
    <s v="30%;Contato;Solicita demo"/>
    <s v="Inbound"/>
    <s v="Novos Leads (0%)"/>
    <s v=""/>
    <d v="2026-01-31T00:00:00"/>
    <m/>
    <m/>
    <n v="128"/>
    <s v="Paulo Souza"/>
    <d v="2026-01-12T00:00:00"/>
    <d v="1899-12-30T17:46:12"/>
    <s v=""/>
    <s v="Ativo"/>
    <m/>
    <m/>
    <s v=""/>
    <s v=""/>
    <s v=""/>
    <x v="0"/>
    <s v="Paulo Souza"/>
    <x v="0"/>
    <s v=""/>
    <d v="2026-01-23T00:00:00"/>
    <n v="30"/>
    <s v=""/>
    <s v=""/>
    <s v=""/>
    <s v=""/>
    <n v="1"/>
  </r>
  <r>
    <x v="1"/>
    <n v="774"/>
    <m/>
    <n v="3067"/>
    <s v="(14/01/2026)Em contato com Marcelo para entender mais sobre sua empresa e necessidades _x000a_(20/01/2026) em contato com André, sua confecção é de camisetas, uniformes, bonés ! existem algumas particularidades que necessitam no software como grades de cores e tamanhos e algumas particularidades para confecção ! atende cliente final B2C ! cliente de operação pequena que não esta na hora de embarcar com Guarani devido ao valor de investimento"/>
    <s v=""/>
    <x v="361"/>
    <m/>
    <s v=""/>
    <s v="Atacado Delfino"/>
    <s v="51986006121"/>
    <s v=""/>
    <s v="dhcamisetas@terra.com.br"/>
    <s v=""/>
    <s v=""/>
    <s v=""/>
    <s v=""/>
    <s v=""/>
    <s v="Campanha"/>
    <s v=""/>
    <s v=""/>
    <s v="30%;Fora Perfil;Instagram"/>
    <s v="Pipeline de Vendas"/>
    <s v="Qualificação de Vendas (SQL) (25%)"/>
    <s v=""/>
    <d v="2026-01-31T00:00:00"/>
    <m/>
    <m/>
    <n v="26"/>
    <s v="Paulo Souza"/>
    <d v="2026-01-12T00:00:00"/>
    <d v="1899-12-30T21:53:02"/>
    <s v=""/>
    <s v="Perdido"/>
    <d v="2026-02-07T00:00:00"/>
    <d v="1899-12-30T07:42:39"/>
    <s v="Fora do porte mínimo (sem fit estrutural)"/>
    <s v=""/>
    <s v=""/>
    <x v="0"/>
    <s v="Junior Lopes"/>
    <x v="0"/>
    <s v=""/>
    <d v="2026-01-20T00:00:00"/>
    <m/>
    <s v=""/>
    <s v=""/>
    <s v=""/>
    <s v=""/>
    <n v="1"/>
  </r>
  <r>
    <x v="1"/>
    <n v="775"/>
    <m/>
    <n v="3069"/>
    <s v="(14/01/2026) Após tentativa por ligação foi efetuado tentativa de contato via WhatsApp conforme mensagem abaixo : _x000a_(16/01/2026) tentei novamente contato via telefone com Nykollas porem sem retorno ! estou declinando oportunidade_x000a_16:31, 12/01/2026 Junior Lopes: Olá Nycollas , boa tarde_x000a_16:32, 12/01/2026 Junior Lopes: Sou Junior Lopes da Guarani sistemas! Td bem ?_x000a_11:56, 14/01/2026 Junior Lopes: Olá Boa tarde !  _x000a_Estamos retornando seu contato sobre nossas soluções em ERP ! Qual melhor horário para falarmos ?"/>
    <s v=""/>
    <x v="362"/>
    <m/>
    <s v=""/>
    <s v="BK COMÉRCIO LTDA"/>
    <s v="92988541804"/>
    <s v=""/>
    <s v="nykollaskelvyn86@gmail.com"/>
    <s v=""/>
    <s v=""/>
    <s v=""/>
    <s v=""/>
    <s v=""/>
    <s v="Campanha"/>
    <s v=""/>
    <s v=""/>
    <s v="30%;Fora Perfil;Instagram"/>
    <s v="Pipeline de Vendas"/>
    <s v="Qualificação de Vendas (SQL) (25%)"/>
    <s v=""/>
    <d v="2026-01-31T00:00:00"/>
    <m/>
    <m/>
    <n v="26"/>
    <s v="Paulo Souza"/>
    <d v="2026-01-12T00:00:00"/>
    <d v="1899-12-30T21:53:50"/>
    <s v=""/>
    <s v="Perdido"/>
    <d v="2026-02-07T00:00:00"/>
    <d v="1899-12-30T07:50:15"/>
    <s v="Fora do porte mínimo (sem fit estrutural)"/>
    <s v=""/>
    <s v=""/>
    <x v="0"/>
    <s v="Junior Lopes"/>
    <x v="0"/>
    <s v=""/>
    <d v="2026-01-16T00:00:00"/>
    <m/>
    <s v=""/>
    <s v=""/>
    <s v=""/>
    <s v=""/>
    <n v="1"/>
  </r>
  <r>
    <x v="2"/>
    <n v="776"/>
    <m/>
    <n v="3041"/>
    <s v="Não consegui retorno nem contato"/>
    <s v=""/>
    <x v="363"/>
    <m/>
    <s v=""/>
    <s v="Fisiohosp"/>
    <s v="6596658787"/>
    <s v=""/>
    <s v="contabilfisio2024@gmail.com"/>
    <s v=""/>
    <s v=""/>
    <s v=""/>
    <s v=""/>
    <s v=""/>
    <s v="Campanha"/>
    <s v=""/>
    <s v=""/>
    <s v="30%;Fora Perfil;Instagram"/>
    <s v="Pipeline de Vendas"/>
    <s v="Qualificação de Vendas (SQL) (25%)"/>
    <s v=""/>
    <d v="2026-01-31T00:00:00"/>
    <m/>
    <m/>
    <n v="105"/>
    <s v="Paulo Souza"/>
    <d v="2026-01-12T00:00:00"/>
    <d v="1899-12-30T21:57:54"/>
    <s v=""/>
    <s v="Perdido"/>
    <d v="2026-04-27T00:00:00"/>
    <d v="1899-12-30T16:00:34"/>
    <s v="Fora do porte mínimo (sem fit estrutural)"/>
    <s v=""/>
    <s v=""/>
    <x v="0"/>
    <s v="Junior Lopes"/>
    <x v="0"/>
    <s v=""/>
    <d v="2026-04-13T00:00:00"/>
    <n v="30"/>
    <s v=""/>
    <s v=""/>
    <s v=""/>
    <s v=""/>
    <n v="1"/>
  </r>
  <r>
    <x v="2"/>
    <n v="777"/>
    <m/>
    <n v="3047"/>
    <s v="cliente marcou uma reunião na sexta porém não entrou no link estou tentando reagendar mas não deu retorno"/>
    <s v=""/>
    <x v="364"/>
    <m/>
    <s v=""/>
    <s v="Vida Fitness"/>
    <s v="71996614629"/>
    <s v=""/>
    <s v="vidafitness@outlook.com.br"/>
    <s v=""/>
    <s v=""/>
    <s v=""/>
    <s v=""/>
    <s v=""/>
    <s v="Campanha"/>
    <s v=""/>
    <s v=""/>
    <s v="30%;Fora Perfil;Instagram"/>
    <s v="Pipeline de Vendas"/>
    <s v="Qualificação de Vendas (SQL) (25%)"/>
    <s v=""/>
    <d v="2026-01-31T00:00:00"/>
    <m/>
    <m/>
    <n v="26"/>
    <s v="Paulo Souza"/>
    <d v="2026-01-12T00:00:00"/>
    <d v="1899-12-30T21:58:55"/>
    <s v=""/>
    <s v="Perdido"/>
    <d v="2026-02-07T00:00:00"/>
    <d v="1899-12-30T07:47:45"/>
    <s v="Fora do porte mínimo (sem fit estrutural)"/>
    <s v=""/>
    <s v=""/>
    <x v="0"/>
    <s v="Rayssa Karapeticov"/>
    <x v="0"/>
    <s v=""/>
    <d v="2026-01-16T00:00:00"/>
    <m/>
    <s v=""/>
    <s v=""/>
    <s v=""/>
    <s v=""/>
    <n v="1"/>
  </r>
  <r>
    <x v="2"/>
    <n v="778"/>
    <m/>
    <n v="3059"/>
    <s v="Bom dia Luan, como vai?_x000a_Estou tentando contato com você para entender sua solicitação para conhecer nossos sistemas._x000a_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_x000a_Vou deixar uma apresentação de nossa empresa e quando tiver um tempo disponivel por retornar o contato"/>
    <s v=""/>
    <x v="365"/>
    <n v="30250062000112"/>
    <s v=""/>
    <s v="HORTODASACACIAS"/>
    <s v="21966014543"/>
    <s v=""/>
    <s v="financeiro1@hortodasacacias.com.br"/>
    <s v=""/>
    <s v=""/>
    <s v=""/>
    <s v="RIO DE JANEIRO"/>
    <s v="RJ"/>
    <s v="Campanha"/>
    <s v=""/>
    <s v=""/>
    <s v="30%;Fora Perfil;Instagram"/>
    <s v="Pipeline de Vendas"/>
    <s v="Qualificação de Vendas (SQL) (25%)"/>
    <s v=""/>
    <d v="2026-01-31T00:00:00"/>
    <m/>
    <m/>
    <n v="2"/>
    <s v="Paulo Souza"/>
    <d v="2026-01-12T00:00:00"/>
    <d v="1899-12-30T22:00:47"/>
    <s v=""/>
    <s v="Perdido"/>
    <d v="2026-01-14T00:00:00"/>
    <d v="1899-12-30T11:54:09"/>
    <s v="Fora do porte mínimo (sem fit estrutural)"/>
    <s v=""/>
    <s v=""/>
    <x v="0"/>
    <s v="Rayssa Karapeticov"/>
    <x v="0"/>
    <s v=""/>
    <d v="2026-01-13T00:00:00"/>
    <m/>
    <s v=""/>
    <s v=""/>
    <s v=""/>
    <s v=""/>
    <n v="1"/>
  </r>
  <r>
    <x v="2"/>
    <n v="779"/>
    <m/>
    <n v="3066"/>
    <s v="Empresa fora do perfil, vendem produto porta a porta e o contato é  vendedor"/>
    <s v=""/>
    <x v="366"/>
    <n v="22422233000115"/>
    <s v=""/>
    <s v="Devons Hair"/>
    <s v="(41) 9900-2255 / (41) 8428-6900 / (18) 3361-4423"/>
    <s v=""/>
    <s v="denilribeiro@gmail.com"/>
    <s v=""/>
    <s v=""/>
    <s v=""/>
    <s v="CAMPO LARGO"/>
    <s v="PR"/>
    <s v="Campanha"/>
    <s v=""/>
    <s v=""/>
    <s v="30%;Fora Perfil;Instagram"/>
    <s v="Pipeline de Vendas"/>
    <s v="Qualificação de Vendas (SQL) (25%)"/>
    <s v=""/>
    <d v="2026-01-31T00:00:00"/>
    <m/>
    <m/>
    <n v="4"/>
    <s v="Paulo Souza"/>
    <d v="2026-01-12T00:00:00"/>
    <d v="1899-12-30T22:01:35"/>
    <s v=""/>
    <s v="Perdido"/>
    <d v="2026-01-16T00:00:00"/>
    <d v="1899-12-30T09:34:44"/>
    <s v="Fora do porte mínimo (sem fit estrutural)"/>
    <s v=""/>
    <s v=""/>
    <x v="0"/>
    <s v="Rayssa Karapeticov"/>
    <x v="0"/>
    <s v=""/>
    <d v="2026-01-16T00:00:00"/>
    <m/>
    <s v=""/>
    <s v=""/>
    <s v=""/>
    <s v=""/>
    <n v="1"/>
  </r>
  <r>
    <x v="0"/>
    <n v="780"/>
    <m/>
    <n v="3068"/>
    <s v="Hoje 13/01 busquei agenda com o Ricardo sem sucesso._x000a_23/01 Fiz FUP hoje com o Ricardo para saber se ele quer ou nao seguir , pois ele não retorna os mus contatos._x000a_23/01 o numero estava errado , consegui o numero certo e retomei os contatos sem sucesso no retorno ainda. _x000a_07/02 Após diversas tentativa de contato com o Ricardo sem sucesso estou declinando a oportunidade."/>
    <s v=""/>
    <x v="367"/>
    <m/>
    <s v=""/>
    <s v="Deltamed Comércio e Servicos Ltda"/>
    <s v="51997766708"/>
    <s v=""/>
    <s v="rrnnaa@gmail.com"/>
    <s v=""/>
    <s v=""/>
    <s v=""/>
    <s v=""/>
    <s v=""/>
    <s v="Campanha"/>
    <s v=""/>
    <s v=""/>
    <s v="30%;Fora Perfil;Instagram"/>
    <s v="Pipeline de Vendas"/>
    <s v="Qualificação de Vendas (SQL) (25%)"/>
    <s v=""/>
    <d v="2026-01-31T00:00:00"/>
    <m/>
    <m/>
    <n v="26"/>
    <s v="Paulo Souza"/>
    <d v="2026-01-12T00:00:00"/>
    <d v="1899-12-30T22:02:28"/>
    <s v=""/>
    <s v="Perdido"/>
    <d v="2026-02-07T00:00:00"/>
    <d v="1899-12-30T07:27:31"/>
    <s v="Fora do porte mínimo (sem fit estrutural)"/>
    <s v="07/02 Após diversas tentativa de contato com o Ricardo sem sucesso estou declinando a oportunidade."/>
    <s v=""/>
    <x v="0"/>
    <s v="Paulo Souza"/>
    <x v="0"/>
    <s v=""/>
    <d v="2026-01-23T00:00:00"/>
    <n v="30"/>
    <s v=""/>
    <s v=""/>
    <s v=""/>
    <s v=""/>
    <n v="1"/>
  </r>
  <r>
    <x v="2"/>
    <n v="781"/>
    <m/>
    <n v="3070"/>
    <s v="Bom dia Adelita, como vai?_x000a_Estou tentando contato com você para entender sua solicitação para conhecer nossos sistemas._x000a_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_x000a_Vou deixar uma apresentação de nossa empresa e quando tiver um tempo disponivel por retornar o contato_x000a_tentie contato no celular cadastrado e no telefone fixo da empresa 35) 3067-8566"/>
    <s v=""/>
    <x v="368"/>
    <n v="29495831000163"/>
    <s v=""/>
    <s v="Alpinpro"/>
    <s v="(35) 9125-9412"/>
    <s v=""/>
    <s v="adelita@alpinpro.com.br"/>
    <s v=""/>
    <s v=""/>
    <s v=""/>
    <s v="VARGINHA"/>
    <s v="MG"/>
    <s v="Campanha"/>
    <s v=""/>
    <s v=""/>
    <s v="30%;Fora Perfil;Instagram"/>
    <s v="Pipeline de Vendas"/>
    <s v="Qualificação de Vendas (SQL) (25%)"/>
    <s v=""/>
    <d v="2026-01-31T00:00:00"/>
    <m/>
    <m/>
    <n v="101"/>
    <s v="Paulo Souza"/>
    <d v="2026-01-12T00:00:00"/>
    <d v="1899-12-30T22:03:10"/>
    <s v=""/>
    <s v="Perdido"/>
    <d v="2026-04-23T00:00:00"/>
    <d v="1899-12-30T09:18:28"/>
    <s v="Fora do porte mínimo (sem fit estrutural)"/>
    <s v=""/>
    <s v=""/>
    <x v="0"/>
    <s v="Rayssa Karapeticov"/>
    <x v="0"/>
    <s v=""/>
    <d v="2026-04-23T00:00:00"/>
    <m/>
    <s v=""/>
    <s v=""/>
    <s v=""/>
    <s v=""/>
    <n v="1"/>
  </r>
  <r>
    <x v="2"/>
    <n v="782"/>
    <m/>
    <n v="3009"/>
    <s v=""/>
    <s v=""/>
    <x v="369"/>
    <n v="10942276000142"/>
    <s v=""/>
    <s v="Suprema"/>
    <s v="4130959299"/>
    <s v=""/>
    <s v="ordelo01@jotmail.com"/>
    <s v=""/>
    <s v=""/>
    <s v=""/>
    <s v=""/>
    <s v=""/>
    <s v="Campanha"/>
    <s v=""/>
    <s v=""/>
    <s v="Fora Perfil;Instagram"/>
    <s v="Pipeline de Vendas"/>
    <s v="Agendamento (0%)"/>
    <s v=""/>
    <m/>
    <m/>
    <m/>
    <n v="0"/>
    <s v="Paulo Souza"/>
    <d v="2026-01-12T00:00:00"/>
    <d v="1899-12-30T22:36:32"/>
    <s v=""/>
    <s v="Perdido"/>
    <d v="2026-01-12T00:00:00"/>
    <d v="1899-12-30T22:36:54"/>
    <s v="Fora do porte mínimo (sem fit estrutural)"/>
    <s v=""/>
    <s v=""/>
    <x v="0"/>
    <s v="Rayssa Karapeticov"/>
    <x v="0"/>
    <s v=""/>
    <m/>
    <m/>
    <s v=""/>
    <s v=""/>
    <s v=""/>
    <s v=""/>
    <n v="1"/>
  </r>
  <r>
    <x v="0"/>
    <n v="783"/>
    <m/>
    <n v="3010"/>
    <s v=""/>
    <s v=""/>
    <x v="370"/>
    <m/>
    <s v=""/>
    <s v="Carlinhos Doces Artesanais"/>
    <s v="41997238911"/>
    <s v=""/>
    <s v="carlinhosrepresentacao24@gmail.com"/>
    <s v=""/>
    <s v=""/>
    <s v=""/>
    <s v=""/>
    <s v=""/>
    <s v="Campanha"/>
    <s v=""/>
    <s v=""/>
    <s v="Fora Perfil;Instagram"/>
    <s v="Pipeline de Vendas"/>
    <s v="Agendamento (0%)"/>
    <s v=""/>
    <m/>
    <m/>
    <m/>
    <n v="0"/>
    <s v="Paulo Souza"/>
    <d v="2026-01-12T00:00:00"/>
    <d v="1899-12-30T22:37:42"/>
    <s v=""/>
    <s v="Perdido"/>
    <d v="2026-01-12T00:00:00"/>
    <d v="1899-12-30T22:37:58"/>
    <s v="Fora do porte mínimo (sem fit estrutural)"/>
    <s v=""/>
    <s v=""/>
    <x v="0"/>
    <s v="Rayssa Karapeticov"/>
    <x v="0"/>
    <s v=""/>
    <m/>
    <m/>
    <s v=""/>
    <s v=""/>
    <s v=""/>
    <s v=""/>
    <n v="1"/>
  </r>
  <r>
    <x v="0"/>
    <n v="784"/>
    <m/>
    <n v="3015"/>
    <s v=""/>
    <s v=""/>
    <x v="371"/>
    <m/>
    <s v=""/>
    <s v="Kuff Consultoria"/>
    <s v="42998191259"/>
    <s v=""/>
    <s v="thiagokuf@hotmail.com"/>
    <s v=""/>
    <s v=""/>
    <s v=""/>
    <s v=""/>
    <s v=""/>
    <s v="Campanha"/>
    <s v=""/>
    <s v=""/>
    <s v="Fora Perfil;Instagram"/>
    <s v="Pipeline de Vendas"/>
    <s v="Agendamento (0%)"/>
    <s v=""/>
    <m/>
    <m/>
    <m/>
    <n v="0"/>
    <s v="Paulo Souza"/>
    <d v="2026-01-12T00:00:00"/>
    <d v="1899-12-30T22:38:54"/>
    <s v=""/>
    <s v="Perdido"/>
    <d v="2026-01-12T00:00:00"/>
    <d v="1899-12-30T22:39:05"/>
    <s v="Fora do porte mínimo (sem fit estrutural)"/>
    <s v=""/>
    <s v=""/>
    <x v="0"/>
    <s v="Junior Lopes"/>
    <x v="0"/>
    <s v=""/>
    <m/>
    <m/>
    <s v=""/>
    <s v=""/>
    <s v=""/>
    <s v=""/>
    <n v="1"/>
  </r>
  <r>
    <x v="0"/>
    <n v="785"/>
    <m/>
    <n v="2669"/>
    <s v=""/>
    <s v=""/>
    <x v="372"/>
    <m/>
    <s v=""/>
    <s v="RENATO DE MATTOS MALAQUIAS"/>
    <s v="(21) 99470-2428"/>
    <s v=""/>
    <s v="representacoesvendas02@gmail.com"/>
    <s v=""/>
    <s v=""/>
    <s v=""/>
    <s v="Nova Iguaçu"/>
    <s v=""/>
    <s v="Site"/>
    <s v=""/>
    <s v=""/>
    <s v="Contato;Fora Perfil;Instagram"/>
    <s v="Pipeline de Vendas"/>
    <s v="Agendamento (0%)"/>
    <s v=""/>
    <m/>
    <m/>
    <m/>
    <n v="0"/>
    <s v="Paulo Souza"/>
    <d v="2026-01-12T00:00:00"/>
    <d v="1899-12-30T22:39:38"/>
    <s v=""/>
    <s v="Perdido"/>
    <d v="2026-01-12T00:00:00"/>
    <d v="1899-12-30T22:39:50"/>
    <s v="Fora do porte mínimo (sem fit estrutural)"/>
    <s v=""/>
    <s v=""/>
    <x v="0"/>
    <s v="Junior Lopes"/>
    <x v="0"/>
    <s v=""/>
    <m/>
    <m/>
    <s v=""/>
    <s v=""/>
    <s v=""/>
    <s v=""/>
    <n v="1"/>
  </r>
  <r>
    <x v="0"/>
    <n v="786"/>
    <m/>
    <n v="3045"/>
    <s v=""/>
    <s v=""/>
    <x v="373"/>
    <m/>
    <s v=""/>
    <s v="Ana Maria Fonseca Garcia"/>
    <s v="18998215566"/>
    <s v=""/>
    <s v="garciacontabilidade15@gmail.com"/>
    <s v=""/>
    <s v=""/>
    <s v=""/>
    <s v=""/>
    <s v=""/>
    <s v="Campanha"/>
    <s v=""/>
    <s v=""/>
    <s v="Fora Perfil;Instagram"/>
    <s v="Pipeline de Vendas"/>
    <s v="Agendamento (0%)"/>
    <s v=""/>
    <m/>
    <m/>
    <m/>
    <n v="0"/>
    <s v="Paulo Souza"/>
    <d v="2026-01-12T00:00:00"/>
    <d v="1899-12-30T22:40:26"/>
    <s v=""/>
    <s v="Perdido"/>
    <d v="2026-01-12T00:00:00"/>
    <d v="1899-12-30T22:40:38"/>
    <s v="Fora do porte mínimo (sem fit estrutural)"/>
    <s v=""/>
    <s v=""/>
    <x v="0"/>
    <s v="Junior Lopes"/>
    <x v="0"/>
    <s v=""/>
    <m/>
    <m/>
    <s v=""/>
    <s v=""/>
    <s v=""/>
    <s v=""/>
    <n v="1"/>
  </r>
  <r>
    <x v="1"/>
    <n v="787"/>
    <m/>
    <n v="3057"/>
    <s v=""/>
    <s v=""/>
    <x v="374"/>
    <n v="10269690000132"/>
    <s v=""/>
    <s v="Ricieri Locacoes e Serviços"/>
    <s v="27999479659"/>
    <s v=""/>
    <s v="diego@ricieri.net.br"/>
    <s v=""/>
    <s v=""/>
    <s v=""/>
    <s v=""/>
    <s v=""/>
    <s v="Campanha"/>
    <s v=""/>
    <s v=""/>
    <s v="Fora Perfil;Instagram"/>
    <s v="Pipeline de Vendas"/>
    <s v="Agendamento (0%)"/>
    <s v=""/>
    <m/>
    <m/>
    <m/>
    <n v="117"/>
    <s v="Paulo Souza"/>
    <d v="2026-01-12T00:00:00"/>
    <d v="1899-12-30T22:41:13"/>
    <s v=""/>
    <s v="Perdido"/>
    <d v="2026-05-09T00:00:00"/>
    <d v="1899-12-30T08:08:37"/>
    <s v="Fora do segmento atendido"/>
    <s v=""/>
    <s v=""/>
    <x v="0"/>
    <s v="Junior Lopes"/>
    <x v="0"/>
    <s v=""/>
    <m/>
    <m/>
    <s v=""/>
    <s v=""/>
    <s v=""/>
    <s v=""/>
    <n v="1"/>
  </r>
  <r>
    <x v="2"/>
    <n v="788"/>
    <m/>
    <n v="3083"/>
    <s v="Cliente entrou em contato pedindo apresentação de nossas solução de AFV _x000a_Reuão agendada para segunda as 14h_x000a_26-01 proposta está em analise pela diretoria _x000a_29-01 Boa tarde, Tiago! Espero que esteja bem._x000a_No dia 19/01 encaminhamos à sua equipe a proposta comercial da Guarani Sistemas, que contempla uma condição exclusiva para evolução tecnológica e automação da força de vendas._x000a_Com o Guarani AFV, aliado à assistente virtual Iara e ao módulo de orçamento web, sua empresa terá:_x000a_Automação completa da equipe de vendas, com acompanhamento de objetivos e indicadores em tempo real;_x000a_Aumento de produtividade e faturamento, reduzindo rupturas no ponto de venda;_x000a_Dashboard inteligente para análise de desempenho e curva ABC de produtos;_x000a_Integração simplificada com o ERP, garantindo maior agilidade e menos retrabalho._x000a_Além disso, oferecemos condições comerciais diferenciadas, incluindo implantação com mentoria especializada e mensalidade ajustada ao perfil da sua operação._x000a_Diante de todos esses benefícios, gostaria de entender: o que falta para avançarmos juntos e garantir essas vantagens para sua equipe?_x000a_05.02Retornou que estão em analise pela diretoria previsão de retorno para proxima semana _x000a_18.03 - Estão tratando internamento com o ERP, porque precisam entende rse o sistema atual terá capacidade de atender a necessidade deles para integrar com o AFV_x000a_15.04 09:24, 15/04/2026 Rayssa Karapeticov - Comercial - Guarani Sistemas: Oi Tiago, como você está.?_x000a_Na última troca, você comentou que eles devem manter o sistema atual por mais tempo, e eu fiquei de marcar uma reunião presencial para detalharmos a integração e forma de trabalho._x000a_Queria entender contigo se ainda faz sentido seguirmos com esse alinhamento agora. Se sim, me indica por favor dois horários que funcionem para você"/>
    <s v="Alfa Seven Embalagens Industria E Comercio Ltda"/>
    <x v="375"/>
    <n v="14078994000254"/>
    <s v=""/>
    <s v="Alfa Seven Embalagens Industria E Comercio Ltda"/>
    <s v="(35) 3435-2255"/>
    <s v=""/>
    <s v="luizhenrique@julianicontabilidade.com.br"/>
    <s v=""/>
    <s v=""/>
    <s v=""/>
    <s v="EXTREMA"/>
    <s v="MG"/>
    <s v="Base de empresas Leads2b"/>
    <s v=""/>
    <s v=""/>
    <s v="50%;Dentro Perfil"/>
    <s v="Pipeline de Vendas"/>
    <s v="Em negociação (75%)"/>
    <s v=""/>
    <d v="2026-04-30T00:00:00"/>
    <n v="16800"/>
    <n v="73717"/>
    <n v="120"/>
    <s v="Rayssa Karapeticov"/>
    <d v="2026-01-13T00:00:00"/>
    <d v="1899-12-30T16:09:19"/>
    <s v=""/>
    <s v="Perdido"/>
    <d v="2026-05-13T00:00:00"/>
    <d v="1899-12-30T10:51:39"/>
    <s v="Não quer mudar a solução atual"/>
    <s v=""/>
    <s v=""/>
    <x v="163"/>
    <s v="Rayssa Karapeticov"/>
    <x v="183"/>
    <s v="02/03/2026"/>
    <d v="2026-05-13T00:00:00"/>
    <n v="50"/>
    <s v=""/>
    <s v="AFV"/>
    <s v=""/>
    <s v=""/>
    <n v="1"/>
  </r>
  <r>
    <x v="0"/>
    <n v="789"/>
    <m/>
    <n v="3084"/>
    <s v="Fernando, esta avaliando outros produtos e terei um retorno na próxima semana dia 15/01, que decide é a Luciana._x000a_23/01 Fiz FUP hoje com o Fernando o mesmo ainda não respondeu, perguntei o que nos impede de seguir?_x000a_26/02 Fernando me procurou essa semana , pedido atualização de informações sobre o projeto. Hoje fiz novo FUP solicitando informações se seguiremos ou não com o projeto._x000a_20/03 Fernando me passou que a proposta ainda continua na direção sem definição."/>
    <s v=""/>
    <x v="376"/>
    <n v="31507103000176"/>
    <s v=""/>
    <s v="Fernando e Luciana"/>
    <s v="18997715980"/>
    <s v=""/>
    <s v="comercial@casamiga.com.br"/>
    <s v=""/>
    <s v=""/>
    <s v=""/>
    <s v=""/>
    <s v=""/>
    <s v=""/>
    <s v=""/>
    <s v=""/>
    <s v="50%"/>
    <s v="Pipeline de Vendas"/>
    <s v="Em negociação (75%)"/>
    <s v=""/>
    <d v="2026-03-31T00:00:00"/>
    <n v="13100"/>
    <n v="1700"/>
    <n v="87"/>
    <s v="Paulo Souza"/>
    <d v="2026-01-13T00:00:00"/>
    <d v="1899-12-30T16:12:50"/>
    <s v=""/>
    <s v="Perdido"/>
    <d v="2026-04-10T00:00:00"/>
    <d v="1899-12-30T17:16:03"/>
    <s v="Nossa solução não atende - falta funcionalidade"/>
    <s v=""/>
    <s v=""/>
    <x v="169"/>
    <s v="Paulo Souza"/>
    <x v="184"/>
    <s v=""/>
    <d v="2026-03-20T00:00:00"/>
    <n v="50"/>
    <s v="80"/>
    <s v="B2B"/>
    <s v="R$ 13.100"/>
    <s v="R$ 1.700"/>
    <n v="1"/>
  </r>
  <r>
    <x v="1"/>
    <n v="790"/>
    <m/>
    <n v="3071"/>
    <s v="em contato com Sr. Barbosa !_x000a_atualmente tem 02 lojas físicas e esta fora do nosso perfil de atendimento"/>
    <s v=""/>
    <x v="377"/>
    <m/>
    <s v=""/>
    <s v="Casa bom dia bricolagem ltda"/>
    <s v="16981830404"/>
    <s v=""/>
    <s v="casabomdiabricolagem@gmail.com"/>
    <s v=""/>
    <s v=""/>
    <s v=""/>
    <s v=""/>
    <s v=""/>
    <s v="Campanha"/>
    <s v=""/>
    <s v=""/>
    <s v="Fora Perfil;Instagram"/>
    <s v="Pipeline de Vendas"/>
    <s v="Qualificação de Vendas (SQL) (25%)"/>
    <s v=""/>
    <d v="2026-01-31T00:00:00"/>
    <m/>
    <m/>
    <n v="23"/>
    <s v="Paulo Souza"/>
    <d v="2026-01-13T00:00:00"/>
    <d v="1899-12-30T16:54:22"/>
    <s v=""/>
    <s v="Perdido"/>
    <d v="2026-02-05T00:00:00"/>
    <d v="1899-12-30T14:15:34"/>
    <s v="Fora do porte mínimo (sem fit estrutural)"/>
    <s v=""/>
    <s v=""/>
    <x v="0"/>
    <s v="Junior Lopes"/>
    <x v="0"/>
    <s v=""/>
    <d v="2026-01-16T00:00:00"/>
    <m/>
    <s v=""/>
    <s v=""/>
    <s v=""/>
    <s v=""/>
    <n v="1"/>
  </r>
  <r>
    <x v="2"/>
    <n v="792"/>
    <m/>
    <n v="3072"/>
    <s v="Boa tarde Rogério, como vai? _x000a_Meu nome é Rayssa, sou do setor comercial e relacionamento da Guarani Sistemas._x000a_Recebi seu contato interessado em nossas soluções, você prefere que eu te ligue ou quer tratar por aqui?_x000a_Aguardando retorno,liguei e não atendeu_x000a_13.02 novamente disse que não podia falar que era para entrar em contato em outro momento"/>
    <s v=""/>
    <x v="378"/>
    <n v="6037707000230"/>
    <s v=""/>
    <s v="WB Engenharia"/>
    <s v="67999299440"/>
    <s v=""/>
    <s v="rogerio@wbmanutencao.com.br"/>
    <s v=""/>
    <s v=""/>
    <s v=""/>
    <s v=""/>
    <s v=""/>
    <s v="Campanha"/>
    <s v=""/>
    <s v=""/>
    <s v="Fora Perfil;Instagram"/>
    <s v="Pipeline de Vendas"/>
    <s v="Qualificação de Vendas (SQL) (25%)"/>
    <s v=""/>
    <d v="2026-01-31T00:00:00"/>
    <m/>
    <m/>
    <n v="31"/>
    <s v="Paulo Souza"/>
    <d v="2026-01-13T00:00:00"/>
    <d v="1899-12-30T16:56:09"/>
    <s v=""/>
    <s v="Perdido"/>
    <d v="2026-02-13T00:00:00"/>
    <d v="1899-12-30T11:46:12"/>
    <s v="Fora do porte mínimo (sem fit estrutural)"/>
    <s v=""/>
    <s v=""/>
    <x v="0"/>
    <s v="Rayssa Karapeticov"/>
    <x v="0"/>
    <s v=""/>
    <d v="2026-02-12T00:00:00"/>
    <n v="30"/>
    <s v=""/>
    <s v=""/>
    <s v=""/>
    <s v=""/>
    <n v="1"/>
  </r>
  <r>
    <x v="0"/>
    <n v="793"/>
    <m/>
    <n v="3082"/>
    <s v="Fiz contato hoje mais o cliente já não estava na empresa, vamos falar amanha 14/01_x000a_23/01 Fiz FUp hoje com a Jessica, para buscar agenda na proxima semana._x000a_19/02 Fiz varias tentativa sem retorno e por isso declinei a proposta."/>
    <s v=""/>
    <x v="379"/>
    <m/>
    <s v=""/>
    <s v="JESSICA"/>
    <s v="(38) 99730-0736"/>
    <s v=""/>
    <s v="centraleletricasolar@gmail.com"/>
    <s v=""/>
    <s v=""/>
    <s v=""/>
    <s v="São Paulo"/>
    <s v=""/>
    <s v="Site"/>
    <s v=""/>
    <s v=""/>
    <s v="30%;Solicita demo"/>
    <s v="Pipeline de Vendas"/>
    <s v="Qualificação de Vendas (SQL) (25%)"/>
    <s v=""/>
    <d v="2026-01-31T00:00:00"/>
    <m/>
    <m/>
    <n v="37"/>
    <s v="Paulo Souza"/>
    <d v="2026-01-13T00:00:00"/>
    <d v="1899-12-30T16:59:23"/>
    <s v=""/>
    <s v="Perdido"/>
    <d v="2026-02-19T00:00:00"/>
    <d v="1899-12-30T17:51:50"/>
    <s v="Fora do porte mínimo (sem fit estrutural)"/>
    <s v=""/>
    <s v=""/>
    <x v="0"/>
    <s v="Paulo Souza"/>
    <x v="0"/>
    <s v=""/>
    <d v="2026-01-23T00:00:00"/>
    <n v="30"/>
    <s v=""/>
    <s v=""/>
    <s v=""/>
    <s v=""/>
    <n v="1"/>
  </r>
  <r>
    <x v="2"/>
    <n v="794"/>
    <m/>
    <n v="3086"/>
    <s v="Falei com o cliente ele possui uma loja de embalagens (estilo Plasticap), levantei as informações dele e agendamos uma demonstração para amanhã as 9h_x000a_19/01- Olá Ederaldo, tudo bem?_x000a_No dia 15/01 encaminhamos a proposta de investimento para o Guarani ERP, contemplando os serviços de ERP + PDV, com foco na evolução tecnológica e no crescimento da sua empresa._x000a_Para avançarmos, gostaria de entender como foi sua análise e qual o investimento previsto para o software, assim conseguimos alinhar expectativas e próximos passos._x000a_Quando seria um bom momento para conversarmos?_x000a_26/01 - Após envio e apresentação da proposta comercial cliente não deu retorno. _x000a_Encerrando contato_x000a_Oi Ederaldo, tudo bem?_x000a_No dia 15/01 te enviei uma proposta que poderia mudar os rumos do seu negócio. Como não tivemos retorno, estou encerrando nosso contato._x000a_Quero deixar claro: essa não era apenas mais uma oferta, mas uma oportunidade única que dificilmente vai se repetir. Ao não avançar, você está deixando escapar aquilo que poderia ser o divisor de águas para sua empresa._x000a_Desejo sucesso nos seus próximos passos!"/>
    <s v=""/>
    <x v="380"/>
    <m/>
    <s v=""/>
    <s v="Marques Embalagens"/>
    <s v="16992159372"/>
    <s v=""/>
    <s v="marquesembalagens@hotmail.com"/>
    <s v=""/>
    <s v=""/>
    <s v=""/>
    <s v=""/>
    <s v=""/>
    <s v="Campanha"/>
    <s v=""/>
    <s v=""/>
    <s v="Dentro Perfil;Instagram"/>
    <s v="Pipeline de Vendas"/>
    <s v="Apresentar Proposta (50%)"/>
    <s v=""/>
    <d v="2026-01-31T00:00:00"/>
    <n v="6168744"/>
    <n v="149828"/>
    <n v="13"/>
    <s v="Paulo Souza"/>
    <d v="2026-01-13T00:00:00"/>
    <d v="1899-12-30T17:42:00"/>
    <s v=""/>
    <s v="Perdido"/>
    <d v="2026-01-26T00:00:00"/>
    <d v="1899-12-30T09:26:12"/>
    <s v="Preço muito alto - fora do budget de investimento"/>
    <s v=""/>
    <s v=""/>
    <x v="170"/>
    <s v="Rayssa Karapeticov"/>
    <x v="180"/>
    <s v=""/>
    <d v="2026-01-26T00:00:00"/>
    <m/>
    <s v=""/>
    <s v=""/>
    <s v=""/>
    <s v=""/>
    <n v="1"/>
  </r>
  <r>
    <x v="0"/>
    <n v="795"/>
    <m/>
    <n v="3088"/>
    <s v="Falei com a Kelly hoje que me passou as informações que faltava para formular a proposta. Agora e falar com o Fernando e montar a proposta e apresentar._x000a_23/01 Falei com a Kelly em 19/01, e ela avisou que estava de férias e que retorno essa semana , e que só vai conseguir analisar a proposta na semana do dia 26/01, quando retornarei o contato._x000a_07/02 Fiz FUP com a Kelly e perguntei se ela vai ou não seguir com o projeto, não retornou ainda._x000a_12/03 12/03 Fiz FUP com a Kelly e a mesma esta analisando a proposta. Como esta semana ela tá fazendo compra de natal, vai conseguir parar e ver a proposta amanhã 13/03._x000a_20/03 Cobrei a Kelly a evolução da negociação."/>
    <s v=""/>
    <x v="381"/>
    <n v="3674537000125"/>
    <s v=""/>
    <s v="Kelly"/>
    <s v="12974030134"/>
    <s v=""/>
    <s v="MKT@VALPORT.COM.BR"/>
    <s v=""/>
    <s v=""/>
    <s v=""/>
    <s v=""/>
    <s v=""/>
    <s v=""/>
    <s v=""/>
    <s v=""/>
    <s v="50%"/>
    <s v="Pipeline de Vendas"/>
    <s v="Em negociação (75%)"/>
    <s v=""/>
    <d v="2026-03-31T00:00:00"/>
    <n v="1600"/>
    <n v="384454"/>
    <n v="87"/>
    <s v="Paulo Souza"/>
    <d v="2026-01-13T00:00:00"/>
    <d v="1899-12-30T22:55:41"/>
    <s v=""/>
    <s v="Perdido"/>
    <d v="2026-04-10T00:00:00"/>
    <d v="1899-12-30T15:55:43"/>
    <s v="Projeto adiado / sem prazo definido"/>
    <s v=""/>
    <s v=""/>
    <x v="0"/>
    <s v="Paulo Souza"/>
    <x v="0"/>
    <s v=""/>
    <d v="2026-03-20T00:00:00"/>
    <n v="30"/>
    <s v="7"/>
    <s v="CLOUD"/>
    <s v="R$ 1.600"/>
    <s v="R$ 3.844,54"/>
    <n v="1"/>
  </r>
  <r>
    <x v="0"/>
    <n v="796"/>
    <m/>
    <n v="3087"/>
    <s v="Feito contato com o Vinicius afim de qualificar o LEAD._x000a_23/01 Fiz FUp hoje com o Vinicius para saber se e possível a nossa agenda na semana que vem na quinta feira._x000a_07/02 Fiz FUP com o Vinicius e avise que por falta de contato estou declinando a oportunidade e em caso de interesse retornamos o contato."/>
    <s v=""/>
    <x v="382"/>
    <m/>
    <s v=""/>
    <s v="MVF Lavadoras"/>
    <s v="35998687836"/>
    <s v=""/>
    <s v="ti@mvflavadoras.com.br"/>
    <s v=""/>
    <s v=""/>
    <s v=""/>
    <s v=""/>
    <s v=""/>
    <s v="Campanha"/>
    <s v=""/>
    <s v=""/>
    <s v="Dentro Perfil;Instagram"/>
    <s v="Pipeline de Vendas"/>
    <s v="Qualificação de Vendas (SQL) (25%)"/>
    <s v=""/>
    <d v="2026-01-31T00:00:00"/>
    <m/>
    <m/>
    <n v="24"/>
    <s v="Paulo Souza"/>
    <d v="2026-01-14T00:00:00"/>
    <d v="1899-12-30T10:15:54"/>
    <s v=""/>
    <s v="Perdido"/>
    <d v="2026-02-07T00:00:00"/>
    <d v="1899-12-30T07:35:17"/>
    <s v="Fora do porte mínimo (sem fit estrutural)"/>
    <s v="07/02 Fiz FUP com o Vinicius e avise que por falta de contato estou declinando a oportunidade e em caso de interesse retornamos o contato."/>
    <s v=""/>
    <x v="0"/>
    <s v="Paulo Souza"/>
    <x v="0"/>
    <s v=""/>
    <d v="2026-02-07T00:00:00"/>
    <n v="30"/>
    <s v=""/>
    <s v=""/>
    <s v=""/>
    <s v=""/>
    <n v="1"/>
  </r>
  <r>
    <x v="0"/>
    <n v="799"/>
    <m/>
    <n v="3091"/>
    <s v="Visita amanha em São Paulo no cliente_x000a_23/01 - fechamos negocio."/>
    <s v=""/>
    <x v="383"/>
    <m/>
    <s v=""/>
    <s v="Tiago"/>
    <s v="11971597112"/>
    <s v=""/>
    <s v="null"/>
    <s v=""/>
    <s v=""/>
    <s v=""/>
    <s v=""/>
    <s v=""/>
    <s v=""/>
    <s v=""/>
    <s v=""/>
    <s v="90%;Fabio Indica"/>
    <s v="Pipeline de Vendas"/>
    <s v="Em Fechamento (100%)"/>
    <s v=""/>
    <d v="2026-01-15T00:00:00"/>
    <n v="1600"/>
    <n v="252471"/>
    <n v="9"/>
    <s v="Paulo Souza"/>
    <d v="2026-01-14T00:00:00"/>
    <d v="1899-12-30T18:55:04"/>
    <s v=""/>
    <s v="Ganho"/>
    <d v="2026-01-23T00:00:00"/>
    <d v="1899-12-30T11:04:46"/>
    <s v=""/>
    <s v=""/>
    <s v="14/01/2026 00:00"/>
    <x v="171"/>
    <s v="Paulo Souza"/>
    <x v="185"/>
    <s v=""/>
    <d v="2026-01-15T00:00:00"/>
    <m/>
    <s v=""/>
    <s v=""/>
    <s v=""/>
    <s v=""/>
    <n v="1"/>
  </r>
  <r>
    <x v="2"/>
    <n v="800"/>
    <m/>
    <n v="3092"/>
    <s v=""/>
    <s v=""/>
    <x v="384"/>
    <n v="9205460000120"/>
    <s v=""/>
    <s v="Panveiga"/>
    <s v="(83) 3343-3391 / (83) 3343-3391"/>
    <s v=""/>
    <s v="null"/>
    <s v=""/>
    <s v=""/>
    <s v=""/>
    <s v="CAMPINA GRANDE"/>
    <s v="PB"/>
    <s v="Campanha"/>
    <s v=""/>
    <s v=""/>
    <s v="Fora Perfil;Instagram"/>
    <s v="Pipeline de Vendas"/>
    <s v="Agendamento (0%)"/>
    <s v=""/>
    <d v="2026-01-31T00:00:00"/>
    <m/>
    <m/>
    <n v="7"/>
    <s v="Paulo Souza"/>
    <d v="2026-01-16T00:00:00"/>
    <d v="1899-12-30T09:31:20"/>
    <s v=""/>
    <s v="Perdido"/>
    <d v="2026-01-23T00:00:00"/>
    <d v="1899-12-30T17:12:19"/>
    <s v="Fora do porte mínimo (sem fit estrutural)"/>
    <s v=""/>
    <s v=""/>
    <x v="0"/>
    <s v="Rayssa Karapeticov"/>
    <x v="0"/>
    <s v=""/>
    <d v="2026-01-23T00:00:00"/>
    <m/>
    <s v=""/>
    <s v=""/>
    <s v=""/>
    <s v=""/>
    <n v="1"/>
  </r>
  <r>
    <x v="1"/>
    <n v="803"/>
    <m/>
    <n v="3094"/>
    <s v="(20/01/2026) efetuei tentativa de ligação e mensagem no WhatsApp a fim de alinhar em bate papo com Ismael e entender suas necessidades , porem cliente não responde aos contatos"/>
    <s v=""/>
    <x v="385"/>
    <m/>
    <s v=""/>
    <s v="Autônomo"/>
    <s v="27999362925"/>
    <s v=""/>
    <s v="continente.of@gmail.com"/>
    <s v=""/>
    <s v=""/>
    <s v=""/>
    <s v=""/>
    <s v=""/>
    <s v="Campanha"/>
    <s v=""/>
    <s v=""/>
    <s v="Fora Perfil;Instagram"/>
    <s v="Pipeline de Vendas"/>
    <s v="Qualificação de Vendas (SQL) (25%)"/>
    <s v=""/>
    <d v="2026-01-31T00:00:00"/>
    <m/>
    <m/>
    <n v="113"/>
    <s v="Paulo Souza"/>
    <d v="2026-01-16T00:00:00"/>
    <d v="1899-12-30T16:05:09"/>
    <s v=""/>
    <s v="Perdido"/>
    <d v="2026-05-09T00:00:00"/>
    <d v="1899-12-30T07:39:04"/>
    <s v="Fora do porte mínimo (sem fit estrutural)"/>
    <s v=""/>
    <s v=""/>
    <x v="0"/>
    <s v="Junior Lopes"/>
    <x v="0"/>
    <s v=""/>
    <d v="2026-01-20T00:00:00"/>
    <m/>
    <s v=""/>
    <s v=""/>
    <s v=""/>
    <s v=""/>
    <n v="1"/>
  </r>
  <r>
    <x v="2"/>
    <n v="804"/>
    <m/>
    <n v="3099"/>
    <s v=""/>
    <s v=""/>
    <x v="386"/>
    <n v="33036815000180"/>
    <s v=""/>
    <s v="Haller Farmacêutica"/>
    <s v="21994011336"/>
    <s v=""/>
    <s v="marcelo.uchoa@haller.ind.br"/>
    <s v=""/>
    <s v=""/>
    <s v=""/>
    <s v=""/>
    <s v=""/>
    <s v="Campanha"/>
    <s v=""/>
    <s v=""/>
    <s v="Fora Perfil;Instagram"/>
    <s v="Pipeline de Vendas"/>
    <s v="Agendamento (0%)"/>
    <s v=""/>
    <d v="2026-01-31T00:00:00"/>
    <m/>
    <m/>
    <n v="5"/>
    <s v="Paulo Souza"/>
    <d v="2026-01-16T00:00:00"/>
    <d v="1899-12-30T16:06:39"/>
    <s v=""/>
    <s v="Perdido"/>
    <d v="2026-01-21T00:00:00"/>
    <d v="1899-12-30T11:42:22"/>
    <s v="Fora do porte mínimo (sem fit estrutural)"/>
    <s v=""/>
    <s v=""/>
    <x v="0"/>
    <s v="Rayssa Karapeticov"/>
    <x v="0"/>
    <s v=""/>
    <d v="2026-01-21T00:00:00"/>
    <m/>
    <s v=""/>
    <s v=""/>
    <s v=""/>
    <s v=""/>
    <n v="1"/>
  </r>
  <r>
    <x v="1"/>
    <n v="805"/>
    <m/>
    <n v="3093"/>
    <s v="(20/01/2026)  09:04, 20/01/2026 Junior Lopes: Olá Cláudio ! Bom dia_x000a_17:23, 27/01/2026 Claudio Teixeira: Boa tarde essa semana estou fora da empresa_x000a_17:23, 27/01/2026 Claudio Teixeira: Semana que vem falamos_x000a_17:32, 27/01/2026 Junior Lopes: Perfeito Claudio ! abraço _x000a_09:06, 20/01/2026 Claudio Teixeira: Bom dia_x000a_09:07, 20/01/2026 Junior Lopes: Td bem ? Vc entrou em contato com a Guarani sistemas, gostaria de marcar um horário para batermos um papo e entender melhor suas necessidades_x000a_09:08, 20/01/2026 Junior Lopes: Qual melhor horário para você?_x000a_09:08, 20/01/2026 Claudio Teixeira: Pode ser às 11:30_x000a_09:10, 20/01/2026 Junior Lopes: Ótimo, vou Estar terminando uma apresentação! Pode ser que atrase uns 15 minutos para ligar_x000a_09:11, 20/01/2026 Claudio Teixeira: Ok_x000a_Perfeito Cláudio ! Abraço_x000a_Olá Cláudio! Como vai ?_x000a_Olá Cláudio Td bem ? _x000a_Como não recebi seu retorno nos últimos dias, entendo que talvez não seja o melhor momento para seguirmos com projeto Guarani _x000a_Para nao lotar seu WhatsApp de mensagens estou encerrando o contato! _x000a_Caso suas prioridades mudem sigo a disposição _x000a_Abraço"/>
    <s v=""/>
    <x v="387"/>
    <n v="53629067000156"/>
    <s v=""/>
    <s v="Claudio Teixeira"/>
    <s v="(43) 99669-3593"/>
    <s v=""/>
    <s v="claudioteixeirasap@hotmail.com"/>
    <s v=""/>
    <s v=""/>
    <s v=""/>
    <s v="CONSELHEIRO MAIRINCK"/>
    <s v="PR"/>
    <s v="Site"/>
    <s v=""/>
    <s v=""/>
    <s v="Solicita demo"/>
    <s v="Pipeline de Vendas"/>
    <s v="Apresentar Proposta (50%)"/>
    <s v=""/>
    <d v="2026-01-31T00:00:00"/>
    <n v="72080"/>
    <n v="18676"/>
    <n v="52"/>
    <s v="Paulo Souza"/>
    <d v="2026-01-16T00:00:00"/>
    <d v="1899-12-30T16:08:11"/>
    <s v=""/>
    <s v="Perdido"/>
    <d v="2026-03-09T00:00:00"/>
    <d v="1899-12-30T11:02:30"/>
    <s v="Projeto adiado / sem prazo definido"/>
    <s v="Perfeito Cláudio ! Abraço_x000a_Olá Cláudio! Como vai ?_x000a_Olá Cláudio Td bem ? _x000a_Como não recebi seu retorno nos últimos dias, entendo que talvez não seja o melhor momento para seguirmos com projeto Guarani _x000a_Para nao lotar seu WhatsApp de mensagens estou encerrando o contato! _x000a_Caso suas prioridades mudem sigo a disposição _x000a_Abraço"/>
    <s v=""/>
    <x v="172"/>
    <s v="Junior Lopes"/>
    <x v="186"/>
    <s v=""/>
    <d v="2026-02-09T00:00:00"/>
    <m/>
    <s v=""/>
    <s v=""/>
    <s v=""/>
    <s v=""/>
    <n v="1"/>
  </r>
  <r>
    <x v="2"/>
    <n v="818"/>
    <m/>
    <n v="3101"/>
    <s v="Apresentação agendada para 27/01/2026 - 15:00 horas_x000a_26/01 - reunião agendada para amanhã, aguardand confirmação_x000a_27/01 - cliente não confirmou nem entrou na reunião_x000a_28/01 - Oi Renato, tudo bem?_x000a_No dia 27/01 tinhamos uma agenda de apresentação que poderia mudar os rumos do seu negócio. Como não tivemos retorno, estou encerrando nosso contato._x000a_Quero deixar claro: essa não era apenas mais uma oferta, mas uma oportunidade única que dificilmente vai se repetir. Ao não avançar, você está deixando escapar aquilo que poderia ser o divisor de águas para sua empresa._x000a_Desejo sucesso nos seus próximos passos!"/>
    <s v=""/>
    <x v="388"/>
    <m/>
    <s v=""/>
    <s v="Recanto Agricola"/>
    <s v="17999791171"/>
    <s v=""/>
    <s v="recantoagricola@gmail.com"/>
    <s v=""/>
    <s v=""/>
    <s v=""/>
    <s v=""/>
    <s v=""/>
    <s v="Campanha"/>
    <s v=""/>
    <s v=""/>
    <s v="Dentro Perfil;Instagram"/>
    <s v="Pipeline de Vendas"/>
    <s v="Apresentar Solução (35%)"/>
    <s v=""/>
    <d v="2026-03-31T00:00:00"/>
    <m/>
    <m/>
    <n v="9"/>
    <s v="Paulo Souza"/>
    <d v="2026-01-19T00:00:00"/>
    <d v="1899-12-30T11:30:57"/>
    <s v=""/>
    <s v="Perdido"/>
    <d v="2026-01-28T00:00:00"/>
    <d v="1899-12-30T16:29:00"/>
    <s v="Não quer mudar a solução atual"/>
    <s v=""/>
    <s v=""/>
    <x v="0"/>
    <s v="Rayssa Karapeticov"/>
    <x v="0"/>
    <s v=""/>
    <d v="2026-01-28T00:00:00"/>
    <m/>
    <s v=""/>
    <s v=""/>
    <s v=""/>
    <s v=""/>
    <n v="1"/>
  </r>
  <r>
    <x v="1"/>
    <n v="819"/>
    <m/>
    <n v="3102"/>
    <s v="(19/01/2026) reunião de apresentação agendada para 20/01/2026_x000a_(26/01/2026) _x000a_Olá Mauricio ! tudo bem ?_x000a_Como não recebi o seu retorno sobre o questionário após nossa apresentação, imagino que as prioridades tenham mudado por aí ou que este não seja o momento ideal para avançarmos com a proposta da Guarani Sistemas._x000a_Para não sobrecarregar sua caixa de entrada, estou encerrando o seu processo aqui no meu sistema por enquanto._x000a_Caso seus planos mudem no futuro, meus contatos continuam os mesmos. Desejo sucesso em seus projetos._x000a_Após mensagem enviada Mauricio compartilhou áudio dizendo que achou investimento muito alto e que no futuro vamos voltar a falar"/>
    <s v=""/>
    <x v="389"/>
    <n v="49827202000109"/>
    <s v=""/>
    <s v="Maurício Jorge lima"/>
    <s v="(93) 8406-4995"/>
    <s v=""/>
    <s v="mauriciojlatm@gmail.com"/>
    <s v=""/>
    <s v=""/>
    <s v=""/>
    <s v="ITAITUBA"/>
    <s v="PA"/>
    <s v="Site"/>
    <s v=""/>
    <s v=""/>
    <s v="Contato;Dentro Perfil"/>
    <s v="Pipeline de Vendas"/>
    <s v="Apresentar Solução (35%)"/>
    <s v=""/>
    <d v="2026-01-31T00:00:00"/>
    <n v="72080"/>
    <n v="881079"/>
    <n v="17"/>
    <s v="Paulo Souza"/>
    <d v="2026-01-19T00:00:00"/>
    <d v="1899-12-30T11:33:47"/>
    <s v=""/>
    <s v="Perdido"/>
    <d v="2026-02-05T00:00:00"/>
    <d v="1899-12-30T14:12:46"/>
    <s v="Preço muito alto - fora do budget de investimento"/>
    <s v=": Preço muito alto"/>
    <s v=""/>
    <x v="172"/>
    <s v="Junior Lopes"/>
    <x v="183"/>
    <s v=""/>
    <d v="2026-01-26T00:00:00"/>
    <m/>
    <s v=""/>
    <s v=""/>
    <s v=""/>
    <s v=""/>
    <n v="1"/>
  </r>
  <r>
    <x v="2"/>
    <n v="820"/>
    <m/>
    <n v="3103"/>
    <s v=""/>
    <s v=""/>
    <x v="390"/>
    <m/>
    <s v=""/>
    <s v="Max club"/>
    <s v="3194371833"/>
    <s v=""/>
    <s v="willian.portodasilva8@gmail.com"/>
    <s v=""/>
    <s v=""/>
    <s v=""/>
    <s v=""/>
    <s v=""/>
    <s v="Campanha"/>
    <s v=""/>
    <s v=""/>
    <s v="Fora Perfil;Instagram"/>
    <s v="Pipeline de Vendas"/>
    <s v="Agendamento (0%)"/>
    <s v=""/>
    <d v="2026-01-31T00:00:00"/>
    <m/>
    <m/>
    <n v="19"/>
    <s v="Paulo Souza"/>
    <d v="2026-01-19T00:00:00"/>
    <d v="1899-12-30T11:34:55"/>
    <s v=""/>
    <s v="Perdido"/>
    <d v="2026-02-07T00:00:00"/>
    <d v="1899-12-30T07:45:07"/>
    <s v="Fora do porte mínimo (sem fit estrutural)"/>
    <s v=""/>
    <s v=""/>
    <x v="0"/>
    <s v="Rayssa Karapeticov"/>
    <x v="0"/>
    <s v=""/>
    <d v="2026-01-27T00:00:00"/>
    <m/>
    <s v=""/>
    <s v=""/>
    <s v=""/>
    <s v=""/>
    <n v="1"/>
  </r>
  <r>
    <x v="0"/>
    <n v="821"/>
    <m/>
    <n v="3119"/>
    <s v="Liguei para o Gerson o mesmo não atendeu deixei msg no whatsapp._x000a_23/01 Foi feito apresentação para o cliente do institucional e AFV.  em resumo, a apresentação foi direcionada para a importadora DINATALE (Diego). Porém entrou na reunião a CASAART (William) e também o Mauricio cuja a empresa ainda não conheço. O Gerson (consultor0 que esta conduzindo o projeto participou e informou que são 5 empresa no total, a ideia é conseguir colocar o sistema nas 5 empresas. _x000a_O próximo passo é fazer uma nova agenda para a semana do dia 26/01, para apresentar o sistema novamente para uma equipe maior e expandido com o módulo OCMEX, ERP, REP+ E CONTABIL._x000a_13/02 Esse negócio está sendo tratado nas proposta da Iracema, Dinatale, Casart e MCFlores."/>
    <s v=""/>
    <x v="391"/>
    <n v="7658378000126"/>
    <s v=""/>
    <s v="Gerson Baesso"/>
    <s v="(49) 98872-0298"/>
    <s v=""/>
    <s v="consultor01@visionway.com.br"/>
    <s v=""/>
    <s v=""/>
    <s v=""/>
    <s v="Nova Aurora"/>
    <s v=""/>
    <s v="Site"/>
    <s v=""/>
    <s v=""/>
    <s v="30%;Solicita demo"/>
    <s v="Pipeline de Vendas"/>
    <s v="Apresentar Solução (35%)"/>
    <s v=""/>
    <d v="2026-01-31T00:00:00"/>
    <m/>
    <m/>
    <n v="24"/>
    <s v="Paulo Souza"/>
    <d v="2026-01-20T00:00:00"/>
    <d v="1899-12-30T08:41:55"/>
    <s v=""/>
    <s v="Perdido"/>
    <d v="2026-02-13T00:00:00"/>
    <d v="1899-12-30T17:34:46"/>
    <s v="Projeto adiado / sem prazo definido"/>
    <s v=""/>
    <s v=""/>
    <x v="173"/>
    <s v="Paulo Souza"/>
    <x v="187"/>
    <s v=""/>
    <d v="2026-01-23T00:00:00"/>
    <n v="30"/>
    <s v=""/>
    <s v="ERP, AFV, BI"/>
    <s v=""/>
    <s v=""/>
    <n v="1"/>
  </r>
  <r>
    <x v="2"/>
    <n v="823"/>
    <m/>
    <n v="3118"/>
    <s v="29/01 - retornar após o carnaval_x000a_18.03 - agendando um contato para negociação, sugeri hoje as 16:30_x000a_30.03 Boa tarde, Helena. Espero que esteja bem._x000a_Conversamos anteriormente sobre o software de gestão da Guarani Sistemas, empresa consolidada e referência no mercado de utilidades e abastecimento de artigos para o lar._x000a_Acreditamos que, com o potencial da sua empresa aliado à experiência da Guarani, seria possível alcançar resultados ainda mais expressivos. No entanto, após diversas tentativas de contato, não obtivemos retorno para avançar com esse projeto._x000a_Diante disso, estamos encerrando nosso contato neste momento, entendendo que não há interesse da Purai Suvinirs em seguir com essa oportunidade de crescimento. Permaneço à disposição para retomar a conversa quando fizer sentido para vocês._x000a_Atenciosamente,"/>
    <s v=""/>
    <x v="392"/>
    <n v="44530589000105"/>
    <s v=""/>
    <s v="Helena reis"/>
    <s v="(47) 3344-3239"/>
    <s v=""/>
    <s v="vendas@diceart.com.br"/>
    <s v=""/>
    <s v=""/>
    <s v=""/>
    <s v="ITAJAI"/>
    <s v="SC"/>
    <s v="Site"/>
    <s v=""/>
    <s v=""/>
    <s v="30%;Dentro Perfil"/>
    <s v="Pipeline de Vendas"/>
    <s v="Em negociação (75%)"/>
    <s v=""/>
    <d v="2026-05-31T00:00:00"/>
    <n v="579843"/>
    <n v="28845"/>
    <n v="69"/>
    <s v="Paulo Souza"/>
    <d v="2026-01-20T00:00:00"/>
    <d v="1899-12-30T08:46:51"/>
    <s v=""/>
    <s v="Perdido"/>
    <d v="2026-03-30T00:00:00"/>
    <d v="1899-12-30T15:47:48"/>
    <s v="Projeto adiado / sem prazo definido"/>
    <s v=""/>
    <s v=""/>
    <x v="174"/>
    <s v="Rayssa Karapeticov"/>
    <x v="188"/>
    <s v="12/03/2026"/>
    <d v="2026-03-30T00:00:00"/>
    <n v="30"/>
    <s v=""/>
    <s v="ERP, AFV"/>
    <s v=""/>
    <s v=""/>
    <n v="1"/>
  </r>
  <r>
    <x v="2"/>
    <n v="847"/>
    <m/>
    <n v="3129"/>
    <s v="Telefone cadastrado eé de um mercado"/>
    <s v=""/>
    <x v="393"/>
    <m/>
    <s v=""/>
    <s v="Bem bom pescados"/>
    <s v="6233899200"/>
    <s v=""/>
    <s v="edinho@grupo3ebr.com.br"/>
    <s v=""/>
    <s v=""/>
    <s v=""/>
    <s v=""/>
    <s v=""/>
    <s v="Campanha"/>
    <s v=""/>
    <s v=""/>
    <s v="Fora Perfil;Instagram"/>
    <s v="Pipeline de Vendas"/>
    <s v="Agendamento (0%)"/>
    <s v=""/>
    <d v="2026-01-31T00:00:00"/>
    <m/>
    <m/>
    <n v="0"/>
    <s v="Paulo Souza"/>
    <d v="2026-01-21T00:00:00"/>
    <d v="1899-12-30T10:51:15"/>
    <s v=""/>
    <s v="Perdido"/>
    <d v="2026-01-21T00:00:00"/>
    <d v="1899-12-30T11:14:02"/>
    <s v="Fora do porte mínimo (sem fit estrutural)"/>
    <s v=""/>
    <s v=""/>
    <x v="0"/>
    <s v="Rayssa Karapeticov"/>
    <x v="0"/>
    <s v=""/>
    <m/>
    <m/>
    <s v=""/>
    <s v=""/>
    <s v=""/>
    <s v=""/>
    <n v="1"/>
  </r>
  <r>
    <x v="1"/>
    <n v="848"/>
    <m/>
    <n v="3148"/>
    <s v="(23/01/2026) Sérgio não respondeu as minhas mensagens ! estou descartando de falta de retorno do cliente"/>
    <s v=""/>
    <x v="394"/>
    <m/>
    <s v=""/>
    <s v="Possani mix"/>
    <s v="11971375421"/>
    <s v=""/>
    <s v="possanimix@gmail.com"/>
    <s v=""/>
    <s v=""/>
    <s v=""/>
    <s v=""/>
    <s v=""/>
    <s v="Campanha"/>
    <s v=""/>
    <s v=""/>
    <s v="Fora Perfil;Instagram"/>
    <s v="Pipeline de Vendas"/>
    <s v="Agendamento (0%)"/>
    <s v=""/>
    <d v="2026-01-31T00:00:00"/>
    <m/>
    <m/>
    <n v="108"/>
    <s v="Paulo Souza"/>
    <d v="2026-01-21T00:00:00"/>
    <d v="1899-12-30T10:54:34"/>
    <s v=""/>
    <s v="Perdido"/>
    <d v="2026-05-09T00:00:00"/>
    <d v="1899-12-30T08:48:17"/>
    <s v="Fora do segmento atendido"/>
    <s v=""/>
    <s v=""/>
    <x v="0"/>
    <s v="Junior Lopes"/>
    <x v="0"/>
    <s v=""/>
    <d v="2026-01-23T00:00:00"/>
    <m/>
    <s v=""/>
    <s v=""/>
    <s v=""/>
    <s v=""/>
    <n v="1"/>
  </r>
  <r>
    <x v="2"/>
    <n v="849"/>
    <m/>
    <n v="3149"/>
    <s v=""/>
    <s v=""/>
    <x v="395"/>
    <n v="27343071000143"/>
    <s v=""/>
    <s v="Bombemi"/>
    <s v="11959925385"/>
    <s v=""/>
    <s v="adminitrativo@bombemi.com.br"/>
    <s v=""/>
    <s v=""/>
    <s v=""/>
    <s v=""/>
    <s v=""/>
    <s v="Campanha"/>
    <s v=""/>
    <s v=""/>
    <s v="Fora Perfil;Instagram"/>
    <s v="Pipeline de Vendas"/>
    <s v="Agendamento (0%)"/>
    <s v=""/>
    <d v="2026-01-31T00:00:00"/>
    <m/>
    <m/>
    <n v="17"/>
    <s v="Paulo Souza"/>
    <d v="2026-01-21T00:00:00"/>
    <d v="1899-12-30T12:23:03"/>
    <s v=""/>
    <s v="Perdido"/>
    <d v="2026-02-07T00:00:00"/>
    <d v="1899-12-30T07:43:30"/>
    <s v="Fora do porte mínimo (sem fit estrutural)"/>
    <s v=""/>
    <s v=""/>
    <x v="0"/>
    <s v="Rayssa Karapeticov"/>
    <x v="0"/>
    <s v=""/>
    <m/>
    <m/>
    <s v=""/>
    <s v=""/>
    <s v=""/>
    <s v=""/>
    <n v="1"/>
  </r>
  <r>
    <x v="2"/>
    <n v="850"/>
    <m/>
    <n v="3150"/>
    <s v=""/>
    <s v=""/>
    <x v="395"/>
    <n v="27343071000143"/>
    <s v=""/>
    <s v="MILENE DIAS"/>
    <s v="(11) 95992-5385"/>
    <s v=""/>
    <s v="administrativo@bombemi.com.br"/>
    <s v=""/>
    <s v=""/>
    <s v=""/>
    <s v="São Paulo"/>
    <s v=""/>
    <s v="Site"/>
    <s v=""/>
    <s v=""/>
    <s v="Dentro Perfil;Solicita demo"/>
    <s v="Pipeline de Vendas"/>
    <s v="Qualificação de Vendas (SQL) (25%)"/>
    <s v=""/>
    <d v="2026-01-31T00:00:00"/>
    <m/>
    <m/>
    <n v="1"/>
    <s v="Paulo Souza"/>
    <d v="2026-01-21T00:00:00"/>
    <d v="1899-12-30T12:24:02"/>
    <s v=""/>
    <s v="Perdido"/>
    <d v="2026-01-22T00:00:00"/>
    <d v="1899-12-30T10:03:56"/>
    <s v="Preço muito alto - fora do budget de investimento"/>
    <s v=""/>
    <s v=""/>
    <x v="0"/>
    <s v="Rayssa Karapeticov"/>
    <x v="0"/>
    <s v=""/>
    <m/>
    <m/>
    <s v=""/>
    <s v=""/>
    <s v=""/>
    <s v=""/>
    <n v="1"/>
  </r>
  <r>
    <x v="1"/>
    <n v="851"/>
    <m/>
    <n v="3151"/>
    <s v="14:08, 21/01/2026 Junior Lopes: Olá Edmilson, boa tarde ! Aqui é Junior da Guarani sistemas, Td bem ?_x000a_(26/01/2026) Ola Edmilson, bom dia tudo bem ? _x000a_Sobre as soluções em software ERP e Força de vendas Guarani ! Tem interesse em conhecer? _x000a_21/01/2026 - envio de Aúdio me apresentando e solicitando data para falarmos _x000a_15:30, 23/01/2026 Junior Lopes: Olá Edmilson, boa tarde_x000a_17:08, 27/01/2026 Junior Lopes: Olá, Edmilson! Como não conseguimos evoluir nossa conversa nos últimos dias, entendo que talvez este não seja o momento ideal para focarmos na Solução ERP e Força de vendas. Estou encerrando o seu processo por aqui para não lotar sua caixa de entrada. Vou deixar seu contato salvo e, assim que suas prioridades mudarem, sinta-se à vontade para me chamar_x000a_(18/05/2026) Após varias tentativas de contato , sem sucesso ! estou declinando oportunidade"/>
    <s v=""/>
    <x v="396"/>
    <m/>
    <s v=""/>
    <s v="Édy Distribuidora de Alimentos"/>
    <s v="12997313349"/>
    <s v=""/>
    <s v="edmilson.goulart1@gmail.com"/>
    <s v=""/>
    <s v=""/>
    <s v=""/>
    <s v=""/>
    <s v=""/>
    <s v="Campanha"/>
    <s v=""/>
    <s v=""/>
    <s v="Dentro Perfil;Instagram"/>
    <s v="Pipeline de Vendas"/>
    <s v="Qualificação de Vendas (SQL) (25%)"/>
    <s v=""/>
    <d v="2026-01-31T00:00:00"/>
    <m/>
    <m/>
    <n v="117"/>
    <s v="Paulo Souza"/>
    <d v="2026-01-21T00:00:00"/>
    <d v="1899-12-30T12:30:13"/>
    <s v=""/>
    <s v="Perdido"/>
    <d v="2026-05-18T00:00:00"/>
    <d v="1899-12-30T14:43:41"/>
    <s v="Sem qualificação — contato não atende ligações nem responde msg"/>
    <s v="(18/05/2026) Após varias tentativas de contato , sem sucesso ! estou declinando oportunidade"/>
    <s v=""/>
    <x v="0"/>
    <s v="Junior Lopes"/>
    <x v="0"/>
    <s v=""/>
    <d v="2026-05-18T00:00:00"/>
    <m/>
    <s v=""/>
    <s v=""/>
    <s v=""/>
    <s v=""/>
    <n v="1"/>
  </r>
  <r>
    <x v="2"/>
    <n v="853"/>
    <m/>
    <n v="3154"/>
    <s v="22/01/2026 Rayssa Karapeticov - Comercial - Guarani Sistemas: Bom dia Roberto, como vai? _x000a_29/01 Ok, entendi o objeto. Vejo que não estaremos aptos a fazer o investimento com a sua empresa._x000a_Fica agradecido._x000a_Obrigado pela franqueza e informações._x000a_É a Rayssa da Guarani Sistemas _x000a_recebi seu contato para falar de nossas soluções, você prefere que eu te ligue ou trate por aqui?_x000a_12:34, 22/01/2026 +55 62 8181-2473: Bom dia!_x000a_Pode ser por aqui..._x000a_15:40, 22/01/2026 Rayssa Karapeticov - Comercial - Guarani Sistemas: Perfeito, me passa o que esta procurando de solução de software e como posso te ajudar?_x000a_26/01/2026 Rayssa Karapeticov - Comercial - Guarani Sistemas: Bom dia Roberto como vai?_x000a_Para que possamos avançar, preciso entende um pouco da sua empresa e como as soluções da Guarani Sistemas podem potencializar seus processos e faturamento. _x000a_Podemos conversar?_x000a_27-01 Bom dia Roberto, tudo bem?_x000a_Ainda tem interesse em seguir com uma solução técnologica para sua empresa?_x000a_28/01 Somos uma empresa distribuição de secos e molhados._x000a_Faturamento médio de 350 mil mês_x000a_Trabalhamos com venda direta e pré-venda._x000a_7 vendedores externos_x000a_5 usuário do ERP interno._x000a_Certo, quantos CNPJs?_x000a_2 CNPJ_x000a_vocês precisam controlar lote e validade?_x000a_É interessante, embora não estamos fazendo. Por isso a mudança de ERP..."/>
    <s v=""/>
    <x v="397"/>
    <n v="8439142000161"/>
    <s v=""/>
    <s v="MSRAC"/>
    <s v="62981812473"/>
    <s v=""/>
    <s v="roberto@msrac.com.br"/>
    <s v=""/>
    <s v=""/>
    <s v=""/>
    <s v=""/>
    <s v=""/>
    <s v="Campanha"/>
    <s v=""/>
    <s v=""/>
    <s v="Dentro Perfil;Instagram"/>
    <s v="Pipeline de Vendas"/>
    <s v="Apresentar Proposta (50%)"/>
    <s v=""/>
    <d v="2026-03-31T00:00:00"/>
    <n v="58800"/>
    <n v="873144"/>
    <n v="8"/>
    <s v="Paulo Souza"/>
    <d v="2026-01-21T00:00:00"/>
    <d v="1899-12-30T21:58:26"/>
    <s v=""/>
    <s v="Perdido"/>
    <d v="2026-01-29T00:00:00"/>
    <d v="1899-12-30T16:08:35"/>
    <s v="Preço muito alto - fora do budget de investimento"/>
    <s v=""/>
    <s v=""/>
    <x v="175"/>
    <s v="Rayssa Karapeticov"/>
    <x v="189"/>
    <s v="29/01/2026"/>
    <d v="2026-01-28T00:00:00"/>
    <m/>
    <s v=""/>
    <s v=""/>
    <s v=""/>
    <s v=""/>
    <n v="1"/>
  </r>
  <r>
    <x v="2"/>
    <n v="854"/>
    <m/>
    <n v="3155"/>
    <s v=""/>
    <s v=""/>
    <x v="398"/>
    <m/>
    <s v=""/>
    <s v="Mundo Das Águas Turismo"/>
    <s v="4599648080"/>
    <s v=""/>
    <s v="mundodasaguasturismo@gmail.com"/>
    <s v=""/>
    <s v=""/>
    <s v=""/>
    <s v=""/>
    <s v=""/>
    <s v="Campanha"/>
    <s v=""/>
    <s v=""/>
    <s v="Fora Perfil;Instagram"/>
    <s v="Pipeline de Vendas"/>
    <s v="Agendamento (0%)"/>
    <s v=""/>
    <d v="2026-01-22T00:00:00"/>
    <m/>
    <m/>
    <n v="0"/>
    <s v="Paulo Souza"/>
    <d v="2026-01-22T00:00:00"/>
    <d v="1899-12-30T15:01:30"/>
    <s v=""/>
    <s v="Perdido"/>
    <d v="2026-01-22T00:00:00"/>
    <d v="1899-12-30T15:42:36"/>
    <s v="Fora do porte mínimo (sem fit estrutural)"/>
    <s v=""/>
    <s v=""/>
    <x v="0"/>
    <s v="Rayssa Karapeticov"/>
    <x v="0"/>
    <s v=""/>
    <m/>
    <m/>
    <s v=""/>
    <s v=""/>
    <s v=""/>
    <s v=""/>
    <n v="1"/>
  </r>
  <r>
    <x v="1"/>
    <n v="860"/>
    <m/>
    <n v="3164"/>
    <s v="23/01/2026 Enviei mensagem para Adriano me apresentando, aguardando resposta para agendar um bate papo _x000a_(26/01/2026) buscando contato, enviei áudio buscando o melhor momento para falarmos sobre as soluções _x000a_(29/01/2026) Após tentativas de contato sem sucesso estou desacatando oportunidade !_x000a_Olá Adriano ! Td bem ? _x000a_Tentei contato com você sobre nossas soluções ! Porém não tivemos sucesso no contato, acredito que você esteja com outras prioridades nesse momento _x000a_Para não ficar incomodando vou descartar nosso contato por aqui ! Vou deixar seu contato salvo se suas prioridades mudarem me chame por favor _x000a_Abraço"/>
    <s v=""/>
    <x v="399"/>
    <n v="1399482000167"/>
    <s v=""/>
    <s v="Bral-Max Ind.Com.Plasticos Ltda"/>
    <s v="24999136531"/>
    <s v=""/>
    <s v="adriano@bral-max.com.br"/>
    <s v=""/>
    <s v=""/>
    <s v=""/>
    <s v=""/>
    <s v=""/>
    <s v="Campanha"/>
    <s v=""/>
    <s v=""/>
    <s v="Dentro Perfil;Instagram"/>
    <s v="Pipeline de Vendas"/>
    <s v="Qualificação de Vendas (SQL) (25%)"/>
    <s v=""/>
    <d v="2026-01-31T00:00:00"/>
    <m/>
    <m/>
    <n v="106"/>
    <s v="Paulo Souza"/>
    <d v="2026-01-23T00:00:00"/>
    <d v="1899-12-30T10:04:40"/>
    <s v=""/>
    <s v="Perdido"/>
    <d v="2026-05-09T00:00:00"/>
    <d v="1899-12-30T07:44:36"/>
    <s v="Sem qualificação — contato não atende ligações nem responde msg"/>
    <s v=""/>
    <s v=""/>
    <x v="0"/>
    <s v="Junior Lopes"/>
    <x v="0"/>
    <s v=""/>
    <d v="2026-01-29T00:00:00"/>
    <m/>
    <s v=""/>
    <s v=""/>
    <s v=""/>
    <s v=""/>
    <n v="1"/>
  </r>
  <r>
    <x v="2"/>
    <n v="861"/>
    <m/>
    <n v="3165"/>
    <s v="tentativa de contato_x000a_26/01 - Faz venda porta a porta e tem PDV _x000a_13.02 Tentei contato por ligação e não atendeu_x000a_É um cliente que eu já havia conversado e faz venda PAP, atualmente o Guarani não atende ao que procura _x000a_Fora do perfil"/>
    <s v=""/>
    <x v="400"/>
    <m/>
    <s v=""/>
    <s v="Multiple business service"/>
    <s v="19971619676"/>
    <s v=""/>
    <s v="thomazdistribuidora@gmail.com"/>
    <s v=""/>
    <s v=""/>
    <s v=""/>
    <s v=""/>
    <s v=""/>
    <s v="Campanha"/>
    <s v=""/>
    <s v=""/>
    <s v="Fora Perfil;Instagram"/>
    <s v="Pipeline de Vendas"/>
    <s v="Agendamento (0%)"/>
    <s v=""/>
    <d v="2026-01-31T00:00:00"/>
    <m/>
    <m/>
    <n v="21"/>
    <s v="Paulo Souza"/>
    <d v="2026-01-23T00:00:00"/>
    <d v="1899-12-30T10:37:23"/>
    <s v=""/>
    <s v="Perdido"/>
    <d v="2026-02-13T00:00:00"/>
    <d v="1899-12-30T17:25:09"/>
    <s v="Fora do porte mínimo (sem fit estrutural)"/>
    <s v=""/>
    <s v=""/>
    <x v="0"/>
    <s v="Rayssa Karapeticov"/>
    <x v="0"/>
    <s v=""/>
    <d v="2026-02-13T00:00:00"/>
    <m/>
    <s v=""/>
    <s v=""/>
    <s v=""/>
    <s v=""/>
    <n v="1"/>
  </r>
  <r>
    <x v="0"/>
    <n v="862"/>
    <m/>
    <n v="3166"/>
    <s v="23/01 Apresentar o sistema ERP + AFV hoje as 14h para o Gerson (consultor)_x000a_23/01 23/01 Foi feito apresentação para o cliente do institucional e AFV.  em resumo, a apresentação foi direcionada para a importadora DINATALE (Diego). Porém entrou na reunião a CASAART (William) e também o Mauricio cuja a empresa ainda não conheço. O Gerson (consultor0 que esta conduzindo o projeto participou e informou que são 5 empresa no total, a ideia é conseguir colocar o sistema nas 5 empresas. _x000a_O próximo passo é fazer uma nova agenda para a semana do dia 26/01, para apresentar o sistema novamente para uma equipe maior e expandido com o módulo OCMEX, ERP, REP+ E CONTABIL._x000a_06/02 Fiz FUP hoje com o Gerson consultor e apresentei a proposta.  Na sequência ele vai falar com o a diretoria para agendar uma nova reunião de discursão de valores."/>
    <s v=""/>
    <x v="401"/>
    <n v="82808122000173"/>
    <s v=""/>
    <s v="Gerson"/>
    <s v="(49) 9945-2608"/>
    <s v=""/>
    <s v="contabilizar.atendimento@gmail.com"/>
    <s v=""/>
    <s v=""/>
    <s v=""/>
    <s v="FLOR DO SERTAO"/>
    <s v="SC"/>
    <s v=""/>
    <s v=""/>
    <s v=""/>
    <s v="50%"/>
    <s v="Pipeline de Vendas"/>
    <s v="Em negociação (75%)"/>
    <s v=""/>
    <d v="2026-02-28T00:00:00"/>
    <n v="987029"/>
    <n v="1811884"/>
    <n v="34"/>
    <s v="Paulo Souza"/>
    <d v="2026-01-23T00:00:00"/>
    <d v="1899-12-30T11:23:43"/>
    <s v=""/>
    <s v="Ganho"/>
    <d v="2026-02-26T00:00:00"/>
    <d v="1899-12-30T21:52:56"/>
    <s v=""/>
    <s v=""/>
    <s v=""/>
    <x v="118"/>
    <s v="Paulo Souza"/>
    <x v="126"/>
    <s v=""/>
    <d v="2026-02-27T00:00:00"/>
    <n v="50"/>
    <s v="270"/>
    <s v="ERP, AFV, BI, WMS, COMEX, ADICIONAIS"/>
    <s v="R$ 65.502,90"/>
    <s v="R$ 17.071,80"/>
    <n v="1"/>
  </r>
  <r>
    <x v="0"/>
    <n v="864"/>
    <m/>
    <n v="3169"/>
    <s v="23/01 Fiz FUP hoje com o Junior e o mesmo mencionou que a diretoria achou o valor da mensalidade alta. falou que tem contrato fechado com a GETT com mensal de R$900,00._x000a_Falar com o Fábio e negociar melhor essa questão._x000a_20/03 Hoje foi aberto um ticket para acompanhar dar apoio nas configurações do comex para que o pessoal consiga usar."/>
    <s v=""/>
    <x v="402"/>
    <m/>
    <s v=""/>
    <s v="Junior"/>
    <s v="19987126669"/>
    <s v=""/>
    <s v="junior@tiinfra.com.br"/>
    <s v=""/>
    <s v=""/>
    <s v=""/>
    <s v=""/>
    <s v=""/>
    <s v="BaseGua"/>
    <s v=""/>
    <s v=""/>
    <s v="30%"/>
    <s v="Pipeline de Vendas"/>
    <s v="Em Fechamento (100%)"/>
    <s v=""/>
    <d v="2026-01-31T00:00:00"/>
    <n v="10000"/>
    <n v="2000"/>
    <n v="117"/>
    <s v="Paulo Souza"/>
    <d v="2026-01-23T00:00:00"/>
    <d v="1899-12-30T16:24:12"/>
    <s v=""/>
    <s v="Ativo"/>
    <m/>
    <m/>
    <s v=""/>
    <s v=""/>
    <s v=""/>
    <x v="176"/>
    <s v="Paulo Souza"/>
    <x v="190"/>
    <s v=""/>
    <d v="2026-03-20T00:00:00"/>
    <n v="30"/>
    <s v="20"/>
    <s v="COMEX"/>
    <s v="R$ 10.000"/>
    <s v="R$ 2.000"/>
    <n v="1"/>
  </r>
  <r>
    <x v="0"/>
    <n v="865"/>
    <m/>
    <n v="3170"/>
    <s v="23/01 Fiz FUP com a Simone e o próximo asso e fazer a proposta._x000a_A principal dor do cliente é centralizar a operação em um único sistema, garantindo maior fluidez nos processos, redução de falhas de integração e ganho de produtividade, principalmente nas áreas comercial, faturamento e backoffice._x000a_06/02 Foi apresentado a proposta, que esta sob-analsie da diretoria._x000a_26/02 Fiz FUP com a Simone para saber se vamos seguir ou não._x000a_20/03 Estou cobrando a Simone se vamos seguir ou não."/>
    <s v=""/>
    <x v="403"/>
    <n v="13303103000172"/>
    <s v=""/>
    <s v="Simone"/>
    <s v="(49) 3322-8576 / (49) 3644-0850"/>
    <s v=""/>
    <s v="toyehome@toyehome.com.br"/>
    <s v=""/>
    <s v=""/>
    <s v=""/>
    <s v="CHAPECO"/>
    <s v="SC"/>
    <s v="Inbound"/>
    <s v=""/>
    <s v=""/>
    <s v="50%"/>
    <s v="Pipeline de Vendas"/>
    <s v="Em negociação (75%)"/>
    <s v=""/>
    <d v="2026-03-31T00:00:00"/>
    <n v="59184"/>
    <n v="488139"/>
    <n v="77"/>
    <s v="Paulo Souza"/>
    <d v="2026-01-23T00:00:00"/>
    <d v="1899-12-30T16:52:07"/>
    <s v=""/>
    <s v="Perdido"/>
    <d v="2026-04-10T00:00:00"/>
    <d v="1899-12-30T17:22:13"/>
    <s v="Projeto adiado / sem prazo definido"/>
    <s v=""/>
    <s v=""/>
    <x v="176"/>
    <s v="Paulo Souza"/>
    <x v="190"/>
    <s v=""/>
    <d v="2026-03-20T00:00:00"/>
    <n v="50"/>
    <s v="320"/>
    <s v="ERP, AFV, ADICIONAIS"/>
    <s v="R$ 79.311,16"/>
    <s v="R$ 6.145,44"/>
    <n v="1"/>
  </r>
  <r>
    <x v="2"/>
    <n v="866"/>
    <m/>
    <n v="3177"/>
    <s v="26/01 - é uma industria e esta buscando software de gestão da empresa. _x000a_Estou tentando marcar reunião mas o cliente não atende_x000a_27/01 - Bom dia Micael, tudo bem?_x000a_Ainda tem interesse em seguir com uma solução técnologica para sua empresa?"/>
    <s v=""/>
    <x v="404"/>
    <m/>
    <s v=""/>
    <s v="Lcosmeticos"/>
    <s v="11957608058"/>
    <s v=""/>
    <s v="carriaomicael@gmail.com"/>
    <s v=""/>
    <s v=""/>
    <s v=""/>
    <s v=""/>
    <s v=""/>
    <s v="Campanha"/>
    <s v=""/>
    <s v=""/>
    <s v="Dentro Perfil;Instagram"/>
    <s v="Pipeline de Vendas"/>
    <s v="Agendamento (0%)"/>
    <s v=""/>
    <d v="2026-01-31T00:00:00"/>
    <m/>
    <m/>
    <n v="3"/>
    <s v="Paulo Souza"/>
    <d v="2026-01-26T00:00:00"/>
    <d v="1899-12-30T13:12:42"/>
    <s v=""/>
    <s v="Perdido"/>
    <d v="2026-01-29T00:00:00"/>
    <d v="1899-12-30T16:04:41"/>
    <s v="Não houve aprovação financeira"/>
    <s v=""/>
    <s v=""/>
    <x v="0"/>
    <s v="Rayssa Karapeticov"/>
    <x v="0"/>
    <s v=""/>
    <d v="2026-01-27T00:00:00"/>
    <m/>
    <s v=""/>
    <s v=""/>
    <s v=""/>
    <s v=""/>
    <n v="1"/>
  </r>
  <r>
    <x v="1"/>
    <n v="867"/>
    <m/>
    <n v="3176"/>
    <s v="(27/01/2026) em contato com Thales , ficamos de falar por telefone as 11;30 horas do dia 27/01_x000a_(27/01/2026) Reunião de apresentação primeira Etapa AFV em 28/01/2026 as 14 horas _x000a_(28/01/2026) apresentação do força de vendas na integra e vídeos do força de vendas _x000a_cliente pediu para seguirmos com proposta comercial para ver se está dentro do sua previsão de investimento _x000a_(19/02/2026) Thales achou valor acima para o momento"/>
    <s v=""/>
    <x v="405"/>
    <n v="16743404000105"/>
    <s v=""/>
    <s v="MINAS MIX"/>
    <s v="3194143043"/>
    <s v=""/>
    <s v="thales_david@hotmail.com"/>
    <s v=""/>
    <s v=""/>
    <s v=""/>
    <s v="BELO HORIZONTE"/>
    <s v="MG"/>
    <s v="Campanha"/>
    <s v=""/>
    <s v=""/>
    <s v="30%;Dentro Perfil;Instagram"/>
    <s v="Pipeline de Vendas"/>
    <s v="Apresentar Proposta (50%)"/>
    <s v=""/>
    <d v="2026-02-28T00:00:00"/>
    <n v="61904"/>
    <n v="10192"/>
    <n v="24"/>
    <s v="Paulo Souza"/>
    <d v="2026-01-26T00:00:00"/>
    <d v="1899-12-30T13:15:19"/>
    <s v=""/>
    <s v="Perdido"/>
    <d v="2026-02-19T00:00:00"/>
    <d v="1899-12-30T16:36:15"/>
    <s v="Não houve aprovação financeira"/>
    <s v="(19/02/2026) Thales achou valor acima para o momento"/>
    <s v=""/>
    <x v="175"/>
    <s v="Junior Lopes"/>
    <x v="191"/>
    <s v=""/>
    <d v="2026-02-19T00:00:00"/>
    <n v="30"/>
    <s v=""/>
    <s v=""/>
    <s v=""/>
    <s v=""/>
    <n v="1"/>
  </r>
  <r>
    <x v="2"/>
    <n v="868"/>
    <m/>
    <n v="3174"/>
    <s v="Usa o sistema da Linx, é um armazem de bebida e fazvendas por Zé delivery e Ifood."/>
    <s v=""/>
    <x v="406"/>
    <m/>
    <s v=""/>
    <s v="Brasa e Malte"/>
    <s v="31997703979"/>
    <s v=""/>
    <s v="jsamaurin@gmail.com"/>
    <s v=""/>
    <s v=""/>
    <s v=""/>
    <s v=""/>
    <s v=""/>
    <s v="Campanha"/>
    <s v=""/>
    <s v=""/>
    <s v="Fora Perfil;Instagram"/>
    <s v="Pipeline de Vendas"/>
    <s v="Agendamento (0%)"/>
    <s v=""/>
    <d v="2026-01-31T00:00:00"/>
    <m/>
    <m/>
    <n v="0"/>
    <s v="Paulo Souza"/>
    <d v="2026-01-26T00:00:00"/>
    <d v="1899-12-30T13:17:49"/>
    <s v=""/>
    <s v="Perdido"/>
    <d v="2026-01-26T00:00:00"/>
    <d v="1899-12-30T14:29:56"/>
    <s v="Fora do porte mínimo (sem fit estrutural)"/>
    <s v=""/>
    <s v=""/>
    <x v="0"/>
    <s v="Rayssa Karapeticov"/>
    <x v="0"/>
    <s v=""/>
    <m/>
    <m/>
    <s v=""/>
    <s v=""/>
    <s v=""/>
    <s v=""/>
    <n v="1"/>
  </r>
  <r>
    <x v="1"/>
    <n v="869"/>
    <m/>
    <n v="3175"/>
    <s v="17:09, 26/01/2026 Junior Lopes: Olá Leonan ! Boa tarde _x000a_Sou Junior Lopes da Guarani sistemas, Td bem ?_x000a_17:11, 26/01/2026 Leonan: opa boa tarde_x000a_09:05, 27/01/2026 Junior Lopes: Olá Leonan, bom dia tudo bem ?_x000a_09:06, 27/01/2026 Junior Lopes: podemos bater um papo por telefone hoje as 14 horas ? a ideia é entender suas necessidades e te apresentar uma solução para te ajudar_x000a_17:25, 27/01/2026 Junior Lopes: Olá, Leonan! Como não conseguimos evoluir nossa conversa nos últimos dias, entendo que talvez este não seja o momento ideal para focarmos na Solução ERP e Força de vendas. Estou encerrando o seu processo por aqui para não lotar sua caixa de entrada. Vou deixar seu contato salvo e, assim que suas prioridades mudarem, sinta-se à vontade para me chamar"/>
    <s v=""/>
    <x v="407"/>
    <m/>
    <s v=""/>
    <s v="Leme"/>
    <s v="11976239673"/>
    <s v=""/>
    <s v="leonamj@gmail.com"/>
    <s v=""/>
    <s v=""/>
    <s v=""/>
    <s v=""/>
    <s v=""/>
    <s v="Campanha"/>
    <s v=""/>
    <s v=""/>
    <s v="Dentro Perfil;Instagram"/>
    <s v="Pipeline de Vendas"/>
    <s v="Agendamento (0%)"/>
    <s v=""/>
    <d v="2026-01-31T00:00:00"/>
    <m/>
    <m/>
    <n v="103"/>
    <s v="Paulo Souza"/>
    <d v="2026-01-26T00:00:00"/>
    <d v="1899-12-30T13:19:44"/>
    <s v=""/>
    <s v="Perdido"/>
    <d v="2026-05-09T00:00:00"/>
    <d v="1899-12-30T08:11:38"/>
    <s v="Sem qualificação — contato não atende ligações nem responde msg"/>
    <s v=""/>
    <s v=""/>
    <x v="0"/>
    <s v="Junior Lopes"/>
    <x v="0"/>
    <s v=""/>
    <d v="2026-01-27T00:00:00"/>
    <m/>
    <s v=""/>
    <s v=""/>
    <s v=""/>
    <s v=""/>
    <n v="1"/>
  </r>
  <r>
    <x v="2"/>
    <n v="870"/>
    <m/>
    <n v="3173"/>
    <s v="14:32, 1/26/2026 Rayssa Karapeticov - Comercial - Guarani Sistemas: Boa tarde, Adriano, como vai? _x000a_É a Rayssa da Guarani Sistemas _x000a_recebi seu contato para falar de nossas soluções, você prefere que eu te ligue ou trate por aqui?_x000a_15:53, 1/26/2026 +55 16 99614-4458: AMANHÃ ENTRO EM CONTATO_x000a_15:54, 1/26/2026 Rayssa Karapeticov - Comercial - Guarani Sistemas: Perfeito, aguardo retorno_x000a_09:53, 1/27/2026 Rayssa Karapeticov - Comercial - Guarani Sistemas: Bom dia Adriano, tudo bem? _x000a_Conseguimos falar hoje?_x000a_05.02 - Sem retorno do cliente Sem retorno do cliente _x000a_17.02Usa um  sistema do Rio grande do Sul Nova gestor e tem duas dificuldades _x000a_Não comunica com o banco C6Bank _x000a_Ordem de produção _x000a_São uma indústria química por batelada _x000a_Várias tipos de embalagem _x000a_Adesivos industriais _x000a_Minas Gerais - _x000a_8 RCA _x000a_3 pessoas _x000a_Atualmente pagar R$290,00 por mes com todos esses acessos, então fica inviavel a contratação"/>
    <s v=""/>
    <x v="408"/>
    <m/>
    <s v=""/>
    <s v="Kicollaadesivos.com.br"/>
    <s v="16996144458"/>
    <s v=""/>
    <s v="adrianosoaresm@yahoo.com.br"/>
    <s v=""/>
    <s v=""/>
    <s v=""/>
    <s v=""/>
    <s v=""/>
    <s v="Campanha"/>
    <s v=""/>
    <s v=""/>
    <s v="30%;Dentro Perfil;Instagram"/>
    <s v="Pipeline de Vendas"/>
    <s v="Qualificação de Vendas (SQL) (25%)"/>
    <s v=""/>
    <d v="2026-01-31T00:00:00"/>
    <m/>
    <m/>
    <n v="22"/>
    <s v="Paulo Souza"/>
    <d v="2026-01-26T00:00:00"/>
    <d v="1899-12-30T13:21:08"/>
    <s v=""/>
    <s v="Perdido"/>
    <d v="2026-02-17T00:00:00"/>
    <d v="1899-12-30T16:11:30"/>
    <s v="Preço muito alto - fora do budget de investimento"/>
    <s v=""/>
    <s v=""/>
    <x v="0"/>
    <s v="Rayssa Karapeticov"/>
    <x v="0"/>
    <s v=""/>
    <d v="2026-02-17T00:00:00"/>
    <n v="30"/>
    <s v=""/>
    <s v=""/>
    <s v=""/>
    <s v=""/>
    <n v="1"/>
  </r>
  <r>
    <x v="0"/>
    <n v="871"/>
    <m/>
    <n v="3172"/>
    <s v="contato realizado com o Alexanre, sem sucesso. Deixei msg no zap para faalrmos amanha!_x000a_28/01 Fiz FUP hoje com o Alexandre, sem sucesso. Deixei novamente recado no whatsapp e e-mail!_x000a_12/03 Por falta de retorno e interesse estou declinando o lead foi feita diversas tentativa de comunicação sem sucesso."/>
    <s v=""/>
    <x v="409"/>
    <n v="19933187000104"/>
    <s v=""/>
    <s v="Giacom Distribuidora Ltda"/>
    <s v="11918764203"/>
    <s v=""/>
    <s v="alexandre@giacomdistribuidora.com.br"/>
    <s v=""/>
    <s v=""/>
    <s v=""/>
    <s v=""/>
    <s v=""/>
    <s v="Campanha"/>
    <s v=""/>
    <s v=""/>
    <s v="30%;Dentro Perfil;Instagram"/>
    <s v="Pipeline de Vendas"/>
    <s v="Qualificação de Vendas (SQL) (25%)"/>
    <s v=""/>
    <d v="2026-01-31T00:00:00"/>
    <m/>
    <m/>
    <n v="45"/>
    <s v="Paulo Souza"/>
    <d v="2026-01-26T00:00:00"/>
    <d v="1899-12-30T13:21:53"/>
    <s v=""/>
    <s v="Perdido"/>
    <d v="2026-03-12T00:00:00"/>
    <d v="1899-12-30T17:29:31"/>
    <s v="Fora do porte mínimo (sem fit estrutural)"/>
    <s v=""/>
    <s v=""/>
    <x v="0"/>
    <s v="Paulo Souza"/>
    <x v="0"/>
    <s v=""/>
    <d v="2026-03-12T00:00:00"/>
    <n v="30"/>
    <s v=""/>
    <s v=""/>
    <s v=""/>
    <s v=""/>
    <n v="1"/>
  </r>
  <r>
    <x v="0"/>
    <n v="872"/>
    <m/>
    <n v="3178"/>
    <s v="Fiz o primeiro contato com a Maria e agendamos amanhã às 14h._x000a_28/01 Fiz FUP hoje com a maria sem sucesso. Liguei não atendeu , deixei recado no whats app e estou aguardando retorno._x000a_28/01 Consegui fazer a apresentação institucional para a Maria. O próximo passo é enviar a proposta !_x000a_06/02 Fiz uma reunião onde apresentei a proposta. A Maria, foi bem objetiva e falou que o valor ficou bem acima dos demais concorrentes, mesmo assim ela vai ter uma reunião com a diretoria na próxima semana e me retorna se seguiremos ou não!_x000a_26/02 Fiz FUP com a Maria cobrando uma posição se seguiremos ou não._x000a_27/02 Por falta de interação e retorno do cliente estou declinando a proposta."/>
    <s v=""/>
    <x v="410"/>
    <m/>
    <s v=""/>
    <s v="Maria"/>
    <s v="(11) 97129-2472"/>
    <s v=""/>
    <s v="financeiro@autovolth.com.br"/>
    <s v=""/>
    <s v=""/>
    <s v=""/>
    <s v="São Paulo"/>
    <s v=""/>
    <s v="Site"/>
    <s v=""/>
    <s v=""/>
    <s v="50%;Solicita demo"/>
    <s v="Pipeline de Vendas"/>
    <s v="Em negociação (75%)"/>
    <s v=""/>
    <d v="2026-02-28T00:00:00"/>
    <n v="701343"/>
    <n v="17345"/>
    <n v="32"/>
    <s v="Paulo Souza"/>
    <d v="2026-01-26T00:00:00"/>
    <d v="1899-12-30T17:09:40"/>
    <s v=""/>
    <s v="Perdido"/>
    <d v="2026-02-27T00:00:00"/>
    <d v="1899-12-30T21:20:57"/>
    <s v="Projeto adiado / sem prazo definido"/>
    <s v=""/>
    <s v=""/>
    <x v="177"/>
    <s v="Paulo Souza"/>
    <x v="192"/>
    <s v=""/>
    <d v="2026-02-26T00:00:00"/>
    <n v="50"/>
    <s v="330"/>
    <s v="ERP, PCP, ADICIONAIS"/>
    <s v="R$ 66.000"/>
    <s v="R$ 5.868,80"/>
    <n v="1"/>
  </r>
  <r>
    <x v="1"/>
    <n v="873"/>
    <m/>
    <n v="3179"/>
    <s v="(27/01/2026) Olá Fábio ! Bom dia _x000a_Sou Junior Lopes da Guarani sistemas, Td bem ?_x000a_acrescentei um áudio me apresentando e sugerindo um bate papo hoje as 14 horas _x000a_(29/01/2026) tentativa de contato sem retorno do Fabio !_x000a_Olá Fábio ! Estou tentando contato para falarmos sobre as soluções Guarani ! _x000a_Porém devido a falta de retorno acredito que você está com outras prioridades _x000a_Vou deixar seu contato salvo caso em breve queira conversar _x000a_Um grande abraço"/>
    <s v=""/>
    <x v="411"/>
    <m/>
    <s v=""/>
    <s v="FB dis"/>
    <s v="11992758370"/>
    <s v=""/>
    <s v="fabiojb80@gmail.com"/>
    <s v=""/>
    <s v=""/>
    <s v=""/>
    <s v=""/>
    <s v=""/>
    <s v="Campanha"/>
    <s v=""/>
    <s v=""/>
    <s v="Dentro Perfil;Instagram"/>
    <s v="Pipeline de Vendas"/>
    <s v="Agendamento (0%)"/>
    <s v=""/>
    <m/>
    <m/>
    <m/>
    <n v="102"/>
    <s v="Paulo Souza"/>
    <d v="2026-01-27T00:00:00"/>
    <d v="1899-12-30T08:39:12"/>
    <s v=""/>
    <s v="Perdido"/>
    <d v="2026-05-09T00:00:00"/>
    <d v="1899-12-30T08:13:07"/>
    <s v="Sem qualificação — contato não atende ligações nem responde msg"/>
    <s v=""/>
    <s v=""/>
    <x v="0"/>
    <s v="Junior Lopes"/>
    <x v="0"/>
    <s v=""/>
    <d v="2026-01-29T00:00:00"/>
    <m/>
    <s v=""/>
    <s v=""/>
    <s v=""/>
    <s v=""/>
    <n v="1"/>
  </r>
  <r>
    <x v="2"/>
    <n v="874"/>
    <m/>
    <n v="3180"/>
    <s v=""/>
    <s v=""/>
    <x v="412"/>
    <m/>
    <s v=""/>
    <s v="Scientech Ambiental"/>
    <s v="11999733410"/>
    <s v=""/>
    <s v="luissscaro@hotmail.com"/>
    <s v=""/>
    <s v=""/>
    <s v=""/>
    <s v=""/>
    <s v=""/>
    <s v="Campanha"/>
    <s v=""/>
    <s v=""/>
    <s v="Fora Perfil;Instagram"/>
    <s v="Pipeline de Vendas"/>
    <s v="Agendamento (0%)"/>
    <s v=""/>
    <d v="2026-01-31T00:00:00"/>
    <m/>
    <m/>
    <n v="2"/>
    <s v="Paulo Souza"/>
    <d v="2026-01-27T00:00:00"/>
    <d v="1899-12-30T08:40:17"/>
    <s v=""/>
    <s v="Perdido"/>
    <d v="2026-01-29T00:00:00"/>
    <d v="1899-12-30T15:59:33"/>
    <s v="Fora do porte mínimo (sem fit estrutural)"/>
    <s v=""/>
    <s v=""/>
    <x v="0"/>
    <s v="Rayssa Karapeticov"/>
    <x v="0"/>
    <s v=""/>
    <m/>
    <m/>
    <s v=""/>
    <s v=""/>
    <s v=""/>
    <s v=""/>
    <n v="1"/>
  </r>
  <r>
    <x v="1"/>
    <n v="876"/>
    <m/>
    <n v="3182"/>
    <s v=""/>
    <s v="Orbhes Espumas E Colchoes Ltda"/>
    <x v="413"/>
    <n v="5937946000100"/>
    <s v=""/>
    <s v="Orbhes Espumas E Colchoes Ltda"/>
    <s v="(47) 3376-8400"/>
    <s v=""/>
    <s v="orbhes@orbhes.com.br"/>
    <s v=""/>
    <s v=""/>
    <s v=""/>
    <s v="JARAGUA DO SUL"/>
    <s v="SC"/>
    <s v="Base de empresas Leads2b"/>
    <s v=""/>
    <s v=""/>
    <s v="80%"/>
    <s v="Pipeline de Vendas"/>
    <s v="Em Fechamento (100%)"/>
    <s v=""/>
    <d v="2026-02-28T00:00:00"/>
    <n v="16960"/>
    <n v="32775"/>
    <n v="16"/>
    <s v="Junior Lopes"/>
    <d v="2026-01-28T00:00:00"/>
    <d v="1899-12-30T09:06:40"/>
    <s v=""/>
    <s v="Ganho"/>
    <d v="2026-02-13T00:00:00"/>
    <d v="1899-12-30T12:16:48"/>
    <s v=""/>
    <s v=""/>
    <s v=""/>
    <x v="178"/>
    <s v="Junior Lopes"/>
    <x v="193"/>
    <s v=""/>
    <m/>
    <n v="80"/>
    <s v=""/>
    <s v=""/>
    <s v=""/>
    <s v=""/>
    <n v="1"/>
  </r>
  <r>
    <x v="0"/>
    <n v="877"/>
    <m/>
    <n v="3187"/>
    <s v="28/01 Apresentar o sistema B2B para Clevis o responsável de TI e Alessandro gerente de loja. _x000a_05/02/2026 Fiz apresentação do produto e da proposta, agora negociado._x000a_26/02 Fiz FUP com o CLEVIS, hoje cobrando a reunião para negociar!_x000a_10/03 Fiz reunião ontem com o Clevis e expliquei que o que e possível em relação a isenção da mensalidade é : 4 meses da assinatura ou qdo sistema em produção._x000a_12/03 Negociando o fechamento reunião técnica para o dia 17/03 as 15h._x000a_12/03 Fiz FUP hoje com o Clevis para firmar uma agenda de uma conversa técnica para terça feira dia 17/03 as 15h. Será feito nessa reunião um alinhamento de integração do nosso B2B com o JJsistema  . _x000a_A proposta ficou em 13k e a mensalidade iniciar com com 4 meses da assinatura do contrato ou sistema em produção._x000a_20/03 Esta na fase de coleta de documentação para assinar o contrato."/>
    <s v=""/>
    <x v="414"/>
    <m/>
    <s v=""/>
    <s v="Clevis"/>
    <s v="47992119052"/>
    <s v=""/>
    <s v="null"/>
    <s v=""/>
    <s v=""/>
    <s v=""/>
    <s v=""/>
    <s v=""/>
    <s v="BaseGua"/>
    <s v=""/>
    <s v=""/>
    <s v="90%"/>
    <s v="Pipeline de Vendas"/>
    <s v="Em Fechamento (100%)"/>
    <s v=""/>
    <d v="2026-03-31T00:00:00"/>
    <n v="12000"/>
    <n v="1700"/>
    <n v="110"/>
    <s v="Paulo Souza"/>
    <d v="2026-01-28T00:00:00"/>
    <d v="1899-12-30T15:54:53"/>
    <s v=""/>
    <s v="Perdido"/>
    <d v="2026-05-18T00:00:00"/>
    <d v="1899-12-30T17:08:31"/>
    <s v="Não houve aprovação financeira"/>
    <s v=""/>
    <s v=""/>
    <x v="118"/>
    <s v="Paulo Souza"/>
    <x v="194"/>
    <s v=""/>
    <d v="2026-03-20T00:00:00"/>
    <n v="80"/>
    <s v="24"/>
    <s v="B2B"/>
    <s v="R$ 0,00"/>
    <s v="R$ 0,00"/>
    <n v="1"/>
  </r>
  <r>
    <x v="1"/>
    <n v="879"/>
    <m/>
    <n v="3192"/>
    <s v="(29/01/2026) feito ligação para Marcelo para explicar valores da proposta comercial"/>
    <s v="Portal Importacao E Exportacao De Equipamentos De Informatica Ltda"/>
    <x v="415"/>
    <n v="42371959000183"/>
    <s v=""/>
    <s v="Portal Importacao E Exportacao De Equipamentos De Informatica Ltda"/>
    <s v="(11) 8444-8642"/>
    <s v=""/>
    <s v="portal@gmail.com"/>
    <s v=""/>
    <s v=""/>
    <s v=""/>
    <s v="GUARULHOS"/>
    <s v="SP"/>
    <s v="Base de empresas Leads2b"/>
    <s v=""/>
    <s v=""/>
    <s v="30%"/>
    <s v="Pipeline de Vendas"/>
    <s v="Apresentar Proposta (50%)"/>
    <s v=""/>
    <d v="2026-02-28T00:00:00"/>
    <n v="79958"/>
    <n v="45432"/>
    <n v="25"/>
    <s v="Junior Lopes"/>
    <d v="2026-01-29T00:00:00"/>
    <d v="1899-12-30T09:56:25"/>
    <s v=""/>
    <s v="Perdido"/>
    <d v="2026-02-23T00:00:00"/>
    <d v="1899-12-30T15:07:05"/>
    <s v="Não houve aprovação financeira"/>
    <s v="cliente declinou após recebimento da proposta comercial"/>
    <s v=""/>
    <x v="175"/>
    <s v="Junior Lopes"/>
    <x v="189"/>
    <s v=""/>
    <m/>
    <n v="30"/>
    <s v=""/>
    <s v=""/>
    <s v=""/>
    <s v=""/>
    <n v="1"/>
  </r>
  <r>
    <x v="1"/>
    <n v="882"/>
    <m/>
    <n v="3199"/>
    <s v="em contato na feira Abcasa , vai seguir com AFV"/>
    <s v=""/>
    <x v="416"/>
    <m/>
    <s v=""/>
    <s v="Plasberg - ERP"/>
    <s v="75981412000"/>
    <s v=""/>
    <s v="null"/>
    <s v=""/>
    <s v=""/>
    <s v=""/>
    <s v=""/>
    <s v=""/>
    <s v=""/>
    <s v=""/>
    <s v=""/>
    <s v="50%"/>
    <s v="Pipeline de Vendas"/>
    <s v="Em negociação (75%)"/>
    <s v=""/>
    <d v="2026-02-28T00:00:00"/>
    <n v="90000"/>
    <n v="921279"/>
    <n v="15"/>
    <s v="Junior Lopes"/>
    <d v="2026-01-29T00:00:00"/>
    <d v="1899-12-30T16:10:26"/>
    <s v=""/>
    <s v="Perdido"/>
    <d v="2026-02-13T00:00:00"/>
    <d v="1899-12-30T12:24:12"/>
    <s v="Não quer mudar a solução atual"/>
    <s v="em contato na feira Abcasa , vai seguir com AFV"/>
    <s v=""/>
    <x v="179"/>
    <s v="Junior Lopes"/>
    <x v="175"/>
    <s v=""/>
    <d v="2026-02-13T00:00:00"/>
    <n v="50"/>
    <s v=""/>
    <s v=""/>
    <s v=""/>
    <s v=""/>
    <n v="1"/>
  </r>
  <r>
    <x v="1"/>
    <n v="883"/>
    <m/>
    <n v="3200"/>
    <s v="em contato na feira Abcasa , vai seguir com AFV"/>
    <s v=""/>
    <x v="113"/>
    <m/>
    <s v=""/>
    <s v="Plasberg - AFV"/>
    <s v="75981412000"/>
    <s v=""/>
    <s v="null"/>
    <s v=""/>
    <s v=""/>
    <s v=""/>
    <s v=""/>
    <s v=""/>
    <s v=""/>
    <s v=""/>
    <s v=""/>
    <s v="50%"/>
    <s v="Pipeline de Vendas"/>
    <s v="Em negociação (75%)"/>
    <s v=""/>
    <d v="2026-02-28T00:00:00"/>
    <n v="1600"/>
    <n v="599515"/>
    <n v="15"/>
    <s v="Junior Lopes"/>
    <d v="2026-01-29T00:00:00"/>
    <d v="1899-12-30T16:20:50"/>
    <s v=""/>
    <s v="Perdido"/>
    <d v="2026-02-13T00:00:00"/>
    <d v="1899-12-30T12:25:47"/>
    <s v="Não quer mudar a solução atual"/>
    <s v="em contato na feira Abcasa , vai seguir com AFV"/>
    <s v=""/>
    <x v="179"/>
    <s v="Junior Lopes"/>
    <x v="175"/>
    <s v=""/>
    <d v="2026-02-13T00:00:00"/>
    <n v="50"/>
    <s v=""/>
    <s v=""/>
    <s v=""/>
    <s v=""/>
    <n v="1"/>
  </r>
  <r>
    <x v="1"/>
    <n v="884"/>
    <m/>
    <n v="3202"/>
    <s v="10:21, 09/03/2026 Junior Lopes: Olá Breno ! Como vai ?_x000a_11:06, 09/03/2026 Breno Plasberg: Bom dia_x000a_11:07, 09/03/2026 Junior Lopes: tudo bem meu amigo ! sobre a sequencia do projeto, alguma novidade ?"/>
    <s v=""/>
    <x v="417"/>
    <m/>
    <s v=""/>
    <s v="Plasberg - AFV"/>
    <s v="75981412000"/>
    <s v=""/>
    <s v="null"/>
    <s v=""/>
    <s v=""/>
    <s v=""/>
    <s v=""/>
    <s v=""/>
    <s v=""/>
    <s v=""/>
    <s v=""/>
    <s v="50%"/>
    <s v="Pipeline de Vendas"/>
    <s v="Em Fechamento (100%)"/>
    <s v=""/>
    <d v="2026-03-31T00:00:00"/>
    <n v="149248"/>
    <n v="29499"/>
    <n v="62"/>
    <s v="Junior Lopes"/>
    <d v="2026-01-29T00:00:00"/>
    <d v="1899-12-30T16:37:42"/>
    <s v=""/>
    <s v="Ganho"/>
    <d v="2026-04-01T00:00:00"/>
    <d v="1899-12-30T15:31:20"/>
    <s v=""/>
    <s v=""/>
    <s v=""/>
    <x v="175"/>
    <s v="Junior Lopes"/>
    <x v="175"/>
    <s v="11/02/2026"/>
    <d v="2026-02-09T00:00:00"/>
    <n v="50"/>
    <s v=""/>
    <s v=""/>
    <s v=""/>
    <s v=""/>
    <n v="1"/>
  </r>
  <r>
    <x v="1"/>
    <n v="885"/>
    <m/>
    <n v="3205"/>
    <s v="(29/01/2026) em contato com Artur, esta em analise interna"/>
    <s v=""/>
    <x v="418"/>
    <n v="4312818000109"/>
    <s v=""/>
    <s v="Pino lar"/>
    <s v=""/>
    <s v=""/>
    <s v=""/>
    <s v=""/>
    <s v=""/>
    <s v=""/>
    <s v="SAO PAULO"/>
    <s v="SP"/>
    <s v=""/>
    <s v=""/>
    <s v=""/>
    <s v="30%"/>
    <s v="Pipeline de Vendas"/>
    <s v="Em negociação (75%)"/>
    <s v=""/>
    <d v="2026-02-28T00:00:00"/>
    <n v="1600"/>
    <n v="384454"/>
    <n v="20"/>
    <s v="Junior Lopes"/>
    <d v="2026-01-30T00:00:00"/>
    <d v="1899-12-30T14:50:39"/>
    <s v=""/>
    <s v="Perdido"/>
    <d v="2026-02-19T00:00:00"/>
    <d v="1899-12-30T16:32:59"/>
    <s v="Não quer mudar a solução atual"/>
    <s v="11:13, 13/02/2026 Artur Pino Pino Lar: Bom dia_x000a_11:13, 13/02/2026 Artur Pino Pino Lar: Tudo bem ?_x000a_11:13, 13/02/2026 Artur Pino Pino Lar: Optei em fechar com a Penso_x000a_11:13, 13/02/2026 Artur Pino Pino Lar: Nossa empresa de TI_x000a_11:14, 13/02/2026 Artur Pino Pino Lar: O valor , pelo pacote que temos ficou muito atrativo_x000a_11:14, 13/02/2026 Artur Pino Pino Lar: Próxima semana já vamos iniciar a carga de dados_x000a_11:14, 13/02/2026 Artur Pino Pino Lar: Mas …… obrigado !_x000a_11:16, 13/02/2026 Junior Lopes: Olá Artur , perfeito!  Vou comunicar o Fernando por aqui"/>
    <s v=""/>
    <x v="172"/>
    <s v="Junior Lopes"/>
    <x v="0"/>
    <s v=""/>
    <d v="2026-02-19T00:00:00"/>
    <n v="30"/>
    <s v=""/>
    <s v=""/>
    <s v=""/>
    <s v=""/>
    <n v="1"/>
  </r>
  <r>
    <x v="1"/>
    <n v="886"/>
    <m/>
    <n v="3207"/>
    <s v="Perfeito Cláudio ! Abraço_x000a_Olá Cláudio! Como vai ?_x000a_Olá Cláudio Td bem ? _x000a_Como não recebi seu retorno nos últimos dias, entendo que talvez não seja o melhor momento para seguirmos com projeto Guarani _x000a_Para nao lotar seu WhatsApp de mensagens estou encerrando o contato! _x000a_Caso suas prioridades mudem sigo a disposição _x000a_Abraço"/>
    <s v=""/>
    <x v="419"/>
    <m/>
    <s v=""/>
    <s v="Claudio Teixeira"/>
    <s v="43996693593"/>
    <s v=""/>
    <s v="claudioteixeirasap@hotmail.com"/>
    <s v=""/>
    <s v=""/>
    <s v=""/>
    <s v=""/>
    <s v=""/>
    <s v=""/>
    <s v=""/>
    <s v=""/>
    <s v="Dentro Perfil;Instagram"/>
    <s v="Pipeline de Vendas"/>
    <s v="Apresentar Proposta (50%)"/>
    <s v=""/>
    <m/>
    <n v="1600"/>
    <n v="252471"/>
    <n v="38"/>
    <s v="Junior Lopes"/>
    <d v="2026-01-30T00:00:00"/>
    <d v="1899-12-30T15:24:23"/>
    <s v=""/>
    <s v="Perdido"/>
    <d v="2026-03-09T00:00:00"/>
    <d v="1899-12-30T11:03:54"/>
    <s v="Projeto adiado / sem prazo definido"/>
    <s v="Perfeito Cláudio ! Abraço_x000a_Olá Cláudio! Como vai ?_x000a_Olá Cláudio Td bem ? _x000a_Como não recebi seu retorno nos últimos dias, entendo que talvez não seja o melhor momento para seguirmos com projeto Guarani _x000a_Para nao lotar seu WhatsApp de mensagens estou encerrando o contato! _x000a_Caso suas prioridades mudem sigo a disposição _x000a_Abraço"/>
    <s v=""/>
    <x v="172"/>
    <s v=""/>
    <x v="0"/>
    <s v=""/>
    <d v="2026-02-09T00:00:00"/>
    <m/>
    <s v=""/>
    <s v=""/>
    <s v=""/>
    <s v=""/>
    <n v="1"/>
  </r>
  <r>
    <x v="1"/>
    <n v="887"/>
    <m/>
    <n v="3208"/>
    <s v=""/>
    <s v=""/>
    <x v="420"/>
    <m/>
    <s v=""/>
    <s v="Mauricio Jorge Lima - Cloud"/>
    <s v="9384064995"/>
    <s v=""/>
    <s v="mauriciojlatm@gmail.com"/>
    <s v=""/>
    <s v=""/>
    <s v=""/>
    <s v=""/>
    <s v=""/>
    <s v=""/>
    <s v=""/>
    <s v=""/>
    <s v="Dentro Perfil"/>
    <s v="Pipeline de Vendas"/>
    <s v="Apresentar Solução (35%)"/>
    <s v=""/>
    <m/>
    <n v="1600"/>
    <n v="254271"/>
    <n v="6"/>
    <s v="Junior Lopes"/>
    <d v="2026-01-30T00:00:00"/>
    <d v="1899-12-30T15:57:59"/>
    <s v=""/>
    <s v="Perdido"/>
    <d v="2026-02-05T00:00:00"/>
    <d v="1899-12-30T14:13:46"/>
    <s v="Preço muito alto - fora do budget de investimento"/>
    <s v=": Preço muito alto"/>
    <s v=""/>
    <x v="172"/>
    <s v=""/>
    <x v="183"/>
    <s v=""/>
    <d v="2026-01-26T00:00:00"/>
    <m/>
    <s v=""/>
    <s v=""/>
    <s v=""/>
    <s v=""/>
    <n v="1"/>
  </r>
  <r>
    <x v="1"/>
    <n v="888"/>
    <m/>
    <n v="3209"/>
    <s v=""/>
    <s v=""/>
    <x v="421"/>
    <m/>
    <s v=""/>
    <s v="Folha dourada tabacos - Cloud"/>
    <s v="3284083586"/>
    <s v=""/>
    <s v="atacabaco@gmail.com"/>
    <s v=""/>
    <s v=""/>
    <s v=""/>
    <s v=""/>
    <s v=""/>
    <s v=""/>
    <s v=""/>
    <s v=""/>
    <s v="Dentro Perfil;Instagram"/>
    <s v="Pipeline de Vendas"/>
    <s v="Apresentar Solução (35%)"/>
    <s v=""/>
    <m/>
    <n v="1600"/>
    <n v="252471"/>
    <n v="6"/>
    <s v="Junior Lopes"/>
    <d v="2026-01-30T00:00:00"/>
    <d v="1899-12-30T16:09:17"/>
    <s v=""/>
    <s v="Perdido"/>
    <d v="2026-02-05T00:00:00"/>
    <d v="1899-12-30T12:21:51"/>
    <s v="Não houve aprovação financeira"/>
    <s v="valor acima da expectativa"/>
    <s v=""/>
    <x v="166"/>
    <s v=""/>
    <x v="176"/>
    <s v=""/>
    <d v="2026-01-29T00:00:00"/>
    <m/>
    <s v=""/>
    <s v=""/>
    <s v=""/>
    <s v=""/>
    <n v="1"/>
  </r>
  <r>
    <x v="1"/>
    <n v="889"/>
    <m/>
    <n v="3210"/>
    <s v="(19/02/2026) Thales achou valor acima para o momento"/>
    <s v=""/>
    <x v="422"/>
    <m/>
    <s v=""/>
    <s v="Minas Mix - Cloud"/>
    <s v="3194143043"/>
    <s v=""/>
    <s v="thales_david@hotmail.com"/>
    <s v=""/>
    <s v=""/>
    <s v=""/>
    <s v=""/>
    <s v=""/>
    <s v=""/>
    <s v=""/>
    <s v=""/>
    <s v="30%;Dentro Perfil;Instagram"/>
    <s v="Pipeline de Vendas"/>
    <s v="Apresentar Proposta (50%)"/>
    <s v=""/>
    <m/>
    <n v="1600"/>
    <n v="252471"/>
    <n v="20"/>
    <s v="Junior Lopes"/>
    <d v="2026-01-30T00:00:00"/>
    <d v="1899-12-30T16:40:37"/>
    <s v=""/>
    <s v="Perdido"/>
    <d v="2026-02-19T00:00:00"/>
    <d v="1899-12-30T16:37:47"/>
    <s v="Não houve aprovação financeira"/>
    <s v="(19/02/2026) Thales achou valor acima para o momento"/>
    <s v=""/>
    <x v="175"/>
    <s v="Junior Lopes"/>
    <x v="191"/>
    <s v=""/>
    <d v="2026-02-19T00:00:00"/>
    <n v="30"/>
    <s v=""/>
    <s v=""/>
    <s v=""/>
    <s v=""/>
    <n v="1"/>
  </r>
  <r>
    <x v="1"/>
    <n v="890"/>
    <m/>
    <n v="3190"/>
    <s v="16:53, 30/01/2026 Junior Lopes: ani sistemas, Td bem ?_x000a_17:35, 30/01/2026 Leonardo Form: Boa tarde tudo e vc ?_x000a_16:53, 02/02/2026 Junior Lopes: Olá Leonardo, boa tarde  ! tem interesse em conhecer nossas soluções ?"/>
    <s v=""/>
    <x v="423"/>
    <n v="747901000222"/>
    <s v=""/>
    <s v="Tenneco"/>
    <s v="19995356201"/>
    <s v=""/>
    <s v="ltavares@tenneco.com"/>
    <s v=""/>
    <s v=""/>
    <s v=""/>
    <s v=""/>
    <s v=""/>
    <s v="Campanha"/>
    <s v=""/>
    <s v=""/>
    <s v="30%;Dentro Perfil;Instagram"/>
    <s v="Pipeline de Vendas"/>
    <s v="Apresentar Solução (35%)"/>
    <s v=""/>
    <d v="2026-02-28T00:00:00"/>
    <m/>
    <m/>
    <n v="99"/>
    <s v="Paulo Souza"/>
    <d v="2026-01-30T00:00:00"/>
    <d v="1899-12-30T16:49:56"/>
    <s v=""/>
    <s v="Perdido"/>
    <d v="2026-05-09T00:00:00"/>
    <d v="1899-12-30T08:34:33"/>
    <s v="Sem qualificação — contato não atende ligações nem responde msg"/>
    <s v=""/>
    <s v=""/>
    <x v="0"/>
    <s v="Junior Lopes"/>
    <x v="0"/>
    <s v=""/>
    <d v="2026-03-09T00:00:00"/>
    <n v="30"/>
    <s v=""/>
    <s v=""/>
    <s v=""/>
    <s v=""/>
    <n v="1"/>
  </r>
  <r>
    <x v="2"/>
    <n v="891"/>
    <m/>
    <n v="3191"/>
    <s v="18.02 - Tentativa de contato realizado por telefone e-mail"/>
    <s v=""/>
    <x v="424"/>
    <m/>
    <s v=""/>
    <s v="Certo"/>
    <s v="3335294949"/>
    <s v=""/>
    <s v="ti@grupocerto.com.br"/>
    <s v=""/>
    <s v=""/>
    <s v=""/>
    <s v=""/>
    <s v=""/>
    <s v="Campanha"/>
    <s v=""/>
    <s v=""/>
    <s v="30%;Dentro Perfil;Instagram"/>
    <s v="Pipeline de Vendas"/>
    <s v="Apresentar Proposta (50%)"/>
    <s v=""/>
    <d v="2026-02-28T00:00:00"/>
    <m/>
    <m/>
    <n v="26"/>
    <s v="Paulo Souza"/>
    <d v="2026-01-30T00:00:00"/>
    <d v="1899-12-30T16:51:49"/>
    <s v=""/>
    <s v="Perdido"/>
    <d v="2026-02-25T00:00:00"/>
    <d v="1899-12-30T10:30:05"/>
    <s v="Cliente não quer contato LGPD"/>
    <s v=""/>
    <s v=""/>
    <x v="0"/>
    <s v="Rayssa Karapeticov"/>
    <x v="0"/>
    <s v=""/>
    <d v="2026-02-18T00:00:00"/>
    <n v="30"/>
    <s v=""/>
    <s v=""/>
    <s v=""/>
    <s v=""/>
    <n v="1"/>
  </r>
  <r>
    <x v="1"/>
    <n v="892"/>
    <m/>
    <n v="3196"/>
    <s v="(30/01/2026) Sou Junior Lopes da Guarani sistemas_x000a_16:56, 30/01/2026 Junior Lopes: Td bem ?_x000a_17:01, 30/01/2026 Orlando: Tudo_x000a_17:08, 30/01/2026 Orlando: Descreve alguma coisa do seu sistema_x000a_17:29, 30/01/2026 Orlando: Qual o valor mensal?_x000a_Este valor mensal posso incluir quantas empresas?_x000a_16:49, 02/02/2026 Junior Lopes: Olá Orlando , tem interesse em dar continuidade no contato ?_x000a_Hj um investimento em um ERP Guarani controlando sua empresa de ponta a ponta desde a produção passando pelos módulos financeiro a pagar e receber, comercial, compras, Fiscal, logística/expedicao (WMS) e Força de vendas ! Fica dentro de uma expectativa entre (60 mil a 90 mil) de investimento em implantação e treinamentos !_x000a_A mensalidade é por usuário sendo R$ 280,00 do ERP e R$ 115,00 do AFV_x000a_Caso queira um orçamento mais preciso, podemos nos reunir para entender melhor suas necessidades_x000a_O que seria AFV?  (enviei =áudio explicando)_x000a_(11/02/2026) retornei contato com Orlando buscando continuidade no atendimento _x000a_10:07, 19/02/2026 Orlando: Falamos mais tarde_x000a_10:08, 19/02/2026 Orlando: Estou viajando, melhor poderia me chamar na segunda feira?_x000a_10:17, 19/02/2026 Junior Lopes: Estou viajando, melhor poderia me chamar na segunda feira?_x000a_Sim ! Te chamo segunda-feira_x000a_(16/03/2026) em contato com Orlando ! acredito que não esta no momento certo ! Orlando um pouco confuso"/>
    <s v=""/>
    <x v="425"/>
    <n v="54888350000165"/>
    <s v=""/>
    <s v="Plastilando Ind e Com"/>
    <s v="21999778181"/>
    <s v=""/>
    <s v="orlando@plastianna.com.br"/>
    <s v=""/>
    <s v=""/>
    <s v=""/>
    <s v=""/>
    <s v=""/>
    <s v="Campanha"/>
    <s v=""/>
    <s v=""/>
    <s v="30%;Dentro Perfil;Instagram"/>
    <s v="Pipeline de Vendas"/>
    <s v="Em negociação (75%)"/>
    <s v=""/>
    <d v="2026-03-31T00:00:00"/>
    <n v="1148572"/>
    <n v="71924"/>
    <n v="99"/>
    <s v="Paulo Souza"/>
    <d v="2026-01-30T00:00:00"/>
    <d v="1899-12-30T16:53:38"/>
    <s v=""/>
    <s v="Perdido"/>
    <d v="2026-05-09T00:00:00"/>
    <d v="1899-12-30T08:30:36"/>
    <s v="Não houve aprovação financeira"/>
    <s v=""/>
    <s v=""/>
    <x v="180"/>
    <s v="Junior Lopes"/>
    <x v="195"/>
    <s v=""/>
    <d v="2026-03-16T00:00:00"/>
    <n v="30"/>
    <s v=""/>
    <s v=""/>
    <s v=""/>
    <s v=""/>
    <n v="1"/>
  </r>
  <r>
    <x v="0"/>
    <n v="893"/>
    <m/>
    <n v="3203"/>
    <s v="17/02 Feito apresentação institucional e vídeos do ERP . _x000a_10/03 Fiz FUP com o Henrique e ele recebeu a proposta e esta sobre analise. Temos um reunião de apresentação de WMS na sexta-feira proxima para ele conhecer este módulo e seguirmos._x000a_20/03 Aguardando o Henrique se reunir com o time de ERP atual para decidir se vai trocar ou não o sistema."/>
    <s v=""/>
    <x v="426"/>
    <n v="10258712000169"/>
    <s v=""/>
    <s v="HENRIQUE CARVALHO SANTOS"/>
    <s v="(31) 99987-1034"/>
    <s v=""/>
    <s v="henrique@armandonacionais.com.br"/>
    <s v=""/>
    <s v=""/>
    <s v=""/>
    <s v="São Paulo"/>
    <s v=""/>
    <s v="Site"/>
    <s v=""/>
    <s v=""/>
    <s v="90%;Dentro Perfil;Solicita demo"/>
    <s v="Pipeline de Vendas"/>
    <s v="Em Fechamento (100%)"/>
    <s v=""/>
    <d v="2026-03-31T00:00:00"/>
    <n v="1301786"/>
    <n v="2713706"/>
    <n v="70"/>
    <s v="Paulo Souza"/>
    <d v="2026-01-30T00:00:00"/>
    <d v="1899-12-30T17:03:26"/>
    <s v=""/>
    <s v="Perdido"/>
    <d v="2026-04-10T00:00:00"/>
    <d v="1899-12-30T15:57:04"/>
    <s v="Não quer mudar a solução atual"/>
    <s v=""/>
    <s v=""/>
    <x v="168"/>
    <s v="Paulo Souza"/>
    <x v="182"/>
    <s v=""/>
    <d v="2026-03-20T00:00:00"/>
    <n v="30"/>
    <s v=""/>
    <s v="ERP, AFV, PDV, TREINAMENTO"/>
    <s v=""/>
    <s v=""/>
    <n v="1"/>
  </r>
  <r>
    <x v="0"/>
    <n v="894"/>
    <m/>
    <n v="3204"/>
    <s v="26/02 Foi feito FUP com o Wilson e ele optou pela concorrência devido a valor."/>
    <s v=""/>
    <x v="427"/>
    <m/>
    <s v=""/>
    <s v="Mobal"/>
    <s v="13997072312"/>
    <s v=""/>
    <s v="alumiglass.peruibe@gmail.com"/>
    <s v=""/>
    <s v=""/>
    <s v=""/>
    <s v=""/>
    <s v=""/>
    <s v="Campanha"/>
    <s v=""/>
    <s v=""/>
    <s v="30%;Dentro Perfil;Instagram"/>
    <s v="Pipeline de Vendas"/>
    <s v="Agendamento (0%)"/>
    <s v=""/>
    <d v="2026-02-28T00:00:00"/>
    <m/>
    <m/>
    <n v="27"/>
    <s v="Paulo Souza"/>
    <d v="2026-01-30T00:00:00"/>
    <d v="1899-12-30T17:06:43"/>
    <s v=""/>
    <s v="Perdido"/>
    <d v="2026-02-26T00:00:00"/>
    <d v="1899-12-30T18:31:38"/>
    <s v="Fechou com o concorrente - preço"/>
    <s v="26/02 Foi feito FUP com o Wilson e ele optou pela concorrência devido a valor."/>
    <s v=""/>
    <x v="0"/>
    <s v="Paulo Souza"/>
    <x v="0"/>
    <s v=""/>
    <d v="2026-02-26T00:00:00"/>
    <n v="30"/>
    <s v=""/>
    <s v="ERP"/>
    <s v=""/>
    <s v=""/>
    <n v="1"/>
  </r>
  <r>
    <x v="2"/>
    <n v="895"/>
    <m/>
    <n v="3201"/>
    <s v="07.04 cliente ainda imaturo para os processos"/>
    <s v="Fabiano Aparecido Vaine"/>
    <x v="428"/>
    <n v="28229707000193"/>
    <s v=""/>
    <s v="Fabiano Aparecido Vaine"/>
    <s v="(16) 9701-3510"/>
    <s v=""/>
    <s v="fabianovaine@terra.com.br"/>
    <s v=""/>
    <s v=""/>
    <s v=""/>
    <s v="SAO CARLOS"/>
    <s v="SP"/>
    <s v="Base de empresas Leads2b"/>
    <s v=""/>
    <s v=""/>
    <s v="30%;Dentro Perfil"/>
    <s v="Pipeline de Vendas"/>
    <s v="Apresentar Solução (35%)"/>
    <s v=""/>
    <d v="2026-04-30T00:00:00"/>
    <m/>
    <m/>
    <n v="64"/>
    <s v="Rayssa Karapeticov"/>
    <d v="2026-02-02T00:00:00"/>
    <d v="1899-12-30T09:47:17"/>
    <s v=""/>
    <s v="Perdido"/>
    <d v="2026-04-07T00:00:00"/>
    <d v="1899-12-30T10:56:50"/>
    <s v="Não quer mudar a solução atual"/>
    <s v=""/>
    <s v=""/>
    <x v="0"/>
    <s v="Rayssa Karapeticov"/>
    <x v="196"/>
    <s v=""/>
    <d v="2026-02-17T00:00:00"/>
    <n v="30"/>
    <s v=""/>
    <s v="ERP, AFV, PCP, WMS"/>
    <s v=""/>
    <s v=""/>
    <n v="1"/>
  </r>
  <r>
    <x v="2"/>
    <n v="901"/>
    <m/>
    <n v="3218"/>
    <s v="05/02 - Possui uma loja de peças de moto, onde presta serviço de conserto também. _x000a_Fora do perfil"/>
    <s v=""/>
    <x v="429"/>
    <m/>
    <s v=""/>
    <s v="RG moto peças"/>
    <s v="87988082642"/>
    <s v=""/>
    <s v="regisandes10@outlook.com"/>
    <s v=""/>
    <s v=""/>
    <s v=""/>
    <s v=""/>
    <s v=""/>
    <s v="Campanha"/>
    <s v=""/>
    <s v=""/>
    <s v="30%;Fora Perfil;Instagram"/>
    <s v="Pipeline de Vendas"/>
    <s v="Qualificação de Vendas (SQL) (25%)"/>
    <s v=""/>
    <d v="2026-02-28T00:00:00"/>
    <m/>
    <m/>
    <n v="2"/>
    <s v="Paulo Souza"/>
    <d v="2026-02-05T00:00:00"/>
    <d v="1899-12-30T08:33:37"/>
    <s v=""/>
    <s v="Perdido"/>
    <d v="2026-02-07T00:00:00"/>
    <d v="1899-12-30T21:31:00"/>
    <s v="Fora do porte mínimo (sem fit estrutural)"/>
    <s v=""/>
    <s v=""/>
    <x v="0"/>
    <s v="Rayssa Karapeticov"/>
    <x v="0"/>
    <s v=""/>
    <m/>
    <n v="30"/>
    <s v=""/>
    <s v=""/>
    <s v=""/>
    <s v=""/>
    <n v="1"/>
  </r>
  <r>
    <x v="1"/>
    <n v="902"/>
    <m/>
    <n v="3211"/>
    <s v=""/>
    <s v=""/>
    <x v="430"/>
    <n v="7324070000144"/>
    <s v=""/>
    <s v="SOLIMP"/>
    <s v="8391128022"/>
    <s v=""/>
    <s v="oliveiraeulalio@yahoo.com.br"/>
    <s v=""/>
    <s v=""/>
    <s v=""/>
    <s v="CAMPINA GRANDE"/>
    <s v="PB"/>
    <s v="Campanha"/>
    <s v=""/>
    <s v=""/>
    <s v="30%;Dentro Perfil;Instagram"/>
    <s v="Pipeline de Vendas"/>
    <s v="Qualificação de Vendas (SQL) (25%)"/>
    <s v=""/>
    <d v="2026-02-28T00:00:00"/>
    <m/>
    <m/>
    <n v="93"/>
    <s v="Paulo Souza"/>
    <d v="2026-02-05T00:00:00"/>
    <d v="1899-12-30T08:35:26"/>
    <s v=""/>
    <s v="Perdido"/>
    <d v="2026-05-09T00:00:00"/>
    <d v="1899-12-30T07:45:34"/>
    <s v="Sem qualificação — contato não atende ligações nem responde msg"/>
    <s v=""/>
    <s v=""/>
    <x v="0"/>
    <s v="Junior Lopes"/>
    <x v="0"/>
    <s v=""/>
    <d v="2026-02-19T00:00:00"/>
    <n v="30"/>
    <s v=""/>
    <s v=""/>
    <s v=""/>
    <s v=""/>
    <n v="1"/>
  </r>
  <r>
    <x v="0"/>
    <n v="903"/>
    <m/>
    <n v="3217"/>
    <s v="17/02 Após vários FUPs não obtive retorno do cliente sobre a sequência do projeto. Encerrei por falta de interesse."/>
    <s v=""/>
    <x v="431"/>
    <m/>
    <s v=""/>
    <s v="Monteiro"/>
    <s v="6184085792"/>
    <s v=""/>
    <s v="saff71@hotmail.com"/>
    <s v=""/>
    <s v=""/>
    <s v=""/>
    <s v=""/>
    <s v=""/>
    <s v="Campanha"/>
    <s v=""/>
    <s v=""/>
    <s v="30%;Dentro Perfil;Instagram"/>
    <s v="Pipeline de Vendas"/>
    <s v="Qualificação de Vendas (SQL) (25%)"/>
    <s v=""/>
    <d v="2026-02-28T00:00:00"/>
    <m/>
    <m/>
    <n v="93"/>
    <s v="Paulo Souza"/>
    <d v="2026-02-05T00:00:00"/>
    <d v="1899-12-30T08:40:25"/>
    <s v=""/>
    <s v="Perdido"/>
    <d v="2026-05-09T00:00:00"/>
    <d v="1899-12-30T07:46:56"/>
    <s v="Sem qualificação — contato não atende ligações nem responde msg"/>
    <s v=""/>
    <s v=""/>
    <x v="0"/>
    <s v="Paulo Souza"/>
    <x v="0"/>
    <s v=""/>
    <m/>
    <n v="30"/>
    <s v=""/>
    <s v=""/>
    <s v=""/>
    <s v=""/>
    <n v="1"/>
  </r>
  <r>
    <x v="0"/>
    <n v="906"/>
    <m/>
    <n v="3226"/>
    <s v="03/03 Após diversas tentativa de FUP não tive retorno e por falta de interação estou declinando o lead."/>
    <s v=""/>
    <x v="432"/>
    <m/>
    <s v=""/>
    <s v="2VO"/>
    <s v="11985858558"/>
    <s v=""/>
    <s v="wasques@uol.com.br"/>
    <s v=""/>
    <s v=""/>
    <s v=""/>
    <s v=""/>
    <s v=""/>
    <s v="Campanha"/>
    <s v=""/>
    <s v=""/>
    <s v="30%;Dentro Perfil;Instagram"/>
    <s v="Pipeline de Vendas"/>
    <s v="Apresentar Solução (35%)"/>
    <s v=""/>
    <d v="2026-02-28T00:00:00"/>
    <m/>
    <m/>
    <n v="24"/>
    <s v="Paulo Souza"/>
    <d v="2026-02-07T00:00:00"/>
    <d v="1899-12-30T07:04:06"/>
    <s v=""/>
    <s v="Perdido"/>
    <d v="2026-03-03T00:00:00"/>
    <d v="1899-12-30T21:33:22"/>
    <s v="Fora do porte mínimo (sem fit estrutural)"/>
    <s v=""/>
    <s v=""/>
    <x v="0"/>
    <s v="Paulo Souza"/>
    <x v="0"/>
    <s v=""/>
    <m/>
    <n v="30"/>
    <s v=""/>
    <s v="ERP, AFV"/>
    <s v=""/>
    <s v=""/>
    <n v="1"/>
  </r>
  <r>
    <x v="0"/>
    <n v="907"/>
    <m/>
    <n v="3222"/>
    <s v="13/02 Fiz FUP hoje com a Andressa, mas não atendeu deixei recado."/>
    <s v=""/>
    <x v="433"/>
    <m/>
    <s v=""/>
    <s v="Andresa Aparecida Carvalho"/>
    <s v="(11) 94468-8676"/>
    <s v=""/>
    <s v="andresacarvalho55@gmail.com"/>
    <s v=""/>
    <s v=""/>
    <s v=""/>
    <s v="São Paulo"/>
    <s v=""/>
    <s v="Site"/>
    <s v=""/>
    <s v=""/>
    <s v="30%;Solicita demo"/>
    <s v="Pipeline de Vendas"/>
    <s v="Apresentar Solução (35%)"/>
    <s v=""/>
    <d v="2026-02-28T00:00:00"/>
    <m/>
    <m/>
    <n v="12"/>
    <s v="Paulo Souza"/>
    <d v="2026-02-07T00:00:00"/>
    <d v="1899-12-30T07:13:56"/>
    <s v=""/>
    <s v="Perdido"/>
    <d v="2026-02-19T00:00:00"/>
    <d v="1899-12-30T17:31:05"/>
    <s v="Projeto adiado / sem prazo definido"/>
    <s v="Rayssa, atendendo"/>
    <s v=""/>
    <x v="0"/>
    <s v="Paulo Souza"/>
    <x v="187"/>
    <s v=""/>
    <m/>
    <n v="30"/>
    <s v=""/>
    <s v=""/>
    <s v=""/>
    <s v=""/>
    <n v="1"/>
  </r>
  <r>
    <x v="0"/>
    <n v="908"/>
    <m/>
    <n v="3228"/>
    <s v="06/02 Feito a apresentação da proposta em fase de negociação._x000a_13/02 Foi feito uma visita em São Paulo no Grupo Iracema, onde falamos com os sócios , e o cabeça o Mauricio. A proposta foi reformulada e ajustada e estamos na faze de negociação. Próximo passo, quarta-feira apresentar o WMS."/>
    <s v=""/>
    <x v="434"/>
    <m/>
    <s v=""/>
    <s v="Gerson"/>
    <s v="49988720298"/>
    <s v=""/>
    <s v="null"/>
    <s v=""/>
    <s v=""/>
    <s v=""/>
    <s v=""/>
    <s v=""/>
    <s v="Indicação"/>
    <s v=""/>
    <s v=""/>
    <s v="50%"/>
    <s v="Pipeline de Vendas"/>
    <s v="Em negociação (75%)"/>
    <s v=""/>
    <d v="2026-02-28T00:00:00"/>
    <n v="987029"/>
    <n v="1228454"/>
    <n v="19"/>
    <s v="Paulo Souza"/>
    <d v="2026-02-07T00:00:00"/>
    <d v="1899-12-30T09:59:21"/>
    <s v=""/>
    <s v="Ganho"/>
    <d v="2026-02-26T00:00:00"/>
    <d v="1899-12-30T21:55:21"/>
    <s v=""/>
    <s v=""/>
    <s v=""/>
    <x v="118"/>
    <s v="Paulo Souza"/>
    <x v="126"/>
    <s v=""/>
    <d v="2026-02-26T00:00:00"/>
    <n v="50"/>
    <s v="270"/>
    <s v="ERP, AFV, BI, WMS, COMEX, ADICIONAIS"/>
    <s v="R$ 89.502,90"/>
    <s v="R$ 12.883,50"/>
    <n v="1"/>
  </r>
  <r>
    <x v="0"/>
    <n v="909"/>
    <m/>
    <n v="3229"/>
    <s v="06/02 Feito a apresentação da proposta em fase de negociação._x000a_13/02 Foi feito uma visita em São Paulo no Grupo Iracema, onde falamos com os sócios , e o cabeça o Mauricio. A proposta foi reformulada e ajustada e estamos na faze de negociação. Próximo passo, quarta-feira apresentar o WMS._x000a_13/02 Foi feito uma visita em São Paulo no Grupo Iracema, onde falamos com os sócios , e o cabeça o Mauricio. A proposta foi reformulada e ajustada e estamos na faze de negociação. Próximo passo, quarta-feira apresentar o WMS."/>
    <s v=""/>
    <x v="435"/>
    <m/>
    <s v=""/>
    <s v="Willaim"/>
    <s v="49998015654"/>
    <s v=""/>
    <s v="null"/>
    <s v=""/>
    <s v=""/>
    <s v=""/>
    <s v=""/>
    <s v=""/>
    <s v=""/>
    <s v=""/>
    <s v=""/>
    <s v="50%"/>
    <s v="Pipeline de Vendas"/>
    <s v="Em Fechamento (100%)"/>
    <s v=""/>
    <d v="2026-02-28T00:00:00"/>
    <n v="7470289"/>
    <n v="1038848"/>
    <n v="19"/>
    <s v="Paulo Souza"/>
    <d v="2026-02-07T00:00:00"/>
    <d v="1899-12-30T10:00:29"/>
    <s v=""/>
    <s v="Ganho"/>
    <d v="2026-02-26T00:00:00"/>
    <d v="1899-12-30T21:48:31"/>
    <s v=""/>
    <s v=""/>
    <s v=""/>
    <x v="181"/>
    <s v="Paulo Souza"/>
    <x v="197"/>
    <s v=""/>
    <d v="2026-02-26T00:00:00"/>
    <n v="50"/>
    <s v="150"/>
    <s v="ERP, AFV, BI, WMS, COMEX, ADICIONAIS"/>
    <s v="R$ 65.502,90"/>
    <s v="R$ 11.334,84"/>
    <n v="1"/>
  </r>
  <r>
    <x v="1"/>
    <n v="912"/>
    <m/>
    <n v="3248"/>
    <s v="(11/02/2026) Contato feira ABcasa ! agendamos apresentação para sexta feira dia 20/02_x000a_10:05, 20/02/2026 Junior Lopes: Entendo ! Vamos organizar nova data_x000a_10:06, 20/02/2026 Junior Lopes: Segunda feira , é possível?_x000a_10:13, 20/02/2026 Fabio Oliveira Nina Enc: eu consigo te atender, mas vamos precisar remarcar um pouco mais para frente, eu quero muito te atender e realmente preciso, porem nesse momento ta dificil_x000a_(09/03/2026) buscando data para apresentação _x000a_(14/04/2026) em contato com Fabio a fim de agendarmos apresentação _x000a_09:58, 14/04/2026 Junior Lopes: Olá Fábio, bom dia_x000a_10:01, 14/04/2026 Fabio Oliveira Nina Enc: Bom dia meu amigo, tudo certo ?_x000a_10:02, 14/04/2026 Junior Lopes: Opa td certo 🙏_x000a_Vamos programar apresentação?_x000a_10:04, 14/04/2026 Fabio Oliveira Nina Enc: o meu amigo, esta semana nao vou ter como te atender, estamos organizando muita coisa na empresa, na quarta feira meu pai vai para china, mas acho que na outra semana a gente consegue, na quinta ou sexta da semana que vem_x000a_10:05, 14/04/2026 Junior Lopes: Perfeito Fábio ! Aí te chamo no começo da semana para alinharmos_x000a_10:05, 14/04/2026 Fabio Oliveira Nina Enc: combinado"/>
    <s v="Sebastiao Cardoso Comercio Atacadista De Ferramentas Ltda"/>
    <x v="436"/>
    <n v="12391174000101"/>
    <s v=""/>
    <s v="Sebastiao Cardoso Comercio Atacadista De Ferramentas Ltda"/>
    <s v="(47) 3368-3065"/>
    <s v=""/>
    <s v="ninaencartelados@gmail.com"/>
    <s v=""/>
    <s v=""/>
    <s v=""/>
    <s v="ITAPEMA"/>
    <s v="SC"/>
    <s v="Base de empresas Leads2b"/>
    <s v=""/>
    <s v=""/>
    <s v=""/>
    <s v="Pipeline de Vendas"/>
    <s v="Apresentar Proposta (50%)"/>
    <s v=""/>
    <d v="2026-05-31T00:00:00"/>
    <n v="748805"/>
    <n v="53071"/>
    <n v="92"/>
    <s v="Junior Lopes"/>
    <d v="2026-02-11T00:00:00"/>
    <d v="1899-12-30T09:59:48"/>
    <s v=""/>
    <s v="Perdido"/>
    <d v="2026-05-14T00:00:00"/>
    <d v="1899-12-30T14:48:33"/>
    <s v="Não houve aprovação financeira"/>
    <s v="14/05/2026 : _x000a_09:02, 13/05/2026 Fabio Oliveira Nina Enc: Consegui sim, teu sistema é maravilhoso, muito bom mesmo _x000a_porem eu passei pro pessoal aqui, e no momento, nosso faturamaento nao condiz com o investimento a ser feito_x000a_09:03, 13/05/2026 Fabio Oliveira Nina Enc: espero que logo possamos mudar isso_x000a_09:05, 13/05/2026 Junior Lopes: Entendo Fábio ! _x000a_ O que está pegando mais na proposta ? O projeto ou as mensalidades?_x000a_09:08, 13/05/2026 Fabio Oliveira Nina Enc: na verdade é um pouco dos dois, hj nosso sistema nos custa 6 mil por ano, claro que ele nao tem a mesma eficiencia do seu, mas para a quantidade de vendas nossa, no atual momento ele nos atende bem_x000a_09:21, 13/05/2026 Junior Lopes: Entendo ! Gostaria de pensar aí e nos fazer uma contra proposta ?_x000a_09:22, 13/05/2026 Fabio Oliveira Nina Enc: no momento vamos deixar em off_x000a_09:22, 13/05/2026 Fabio Oliveira Nina Enc: obrigado pela atençao_x000a_09:28, 13/05/2026 Junior Lopes: Ta joia meu amigo_x000a_09:29, 13/05/2026 Junior Lopes: Ficamos a disposição! Tenho certeza que podemos ajudar muito no crescimento da Nina encartelados _x000a_Um abraço_x000a_09:29, 13/05/2026 Fabio Oliveira Nina Enc: abraço"/>
    <s v=""/>
    <x v="182"/>
    <s v=""/>
    <x v="198"/>
    <s v="05/05/2026"/>
    <d v="2026-05-14T00:00:00"/>
    <n v="50"/>
    <s v=""/>
    <s v=""/>
    <s v=""/>
    <s v=""/>
    <n v="1"/>
  </r>
  <r>
    <x v="1"/>
    <n v="915"/>
    <m/>
    <n v="3253"/>
    <s v="(11/02/2026) Vídeo demonstrativo enviado para analise   _x000a_(11/02/2026) Proposta enviada"/>
    <s v=""/>
    <x v="437"/>
    <m/>
    <s v=""/>
    <s v="Ad &amp; Ad (Comex)"/>
    <s v="14996930353"/>
    <s v=""/>
    <s v="daniel@adimportacao.com.br"/>
    <s v=""/>
    <s v=""/>
    <s v=""/>
    <s v=""/>
    <s v=""/>
    <s v=""/>
    <s v=""/>
    <s v=""/>
    <s v="30%"/>
    <s v="Pipeline de Vendas"/>
    <s v="Apresentar Proposta (50%)"/>
    <s v=""/>
    <d v="2026-04-30T00:00:00"/>
    <n v="10240"/>
    <n v="2000"/>
    <n v="82"/>
    <s v="Junior Lopes"/>
    <d v="2026-02-11T00:00:00"/>
    <d v="1899-12-30T10:27:04"/>
    <s v=""/>
    <s v="Perdido"/>
    <d v="2026-05-04T00:00:00"/>
    <d v="1899-12-30T08:59:14"/>
    <s v="Projeto adiado / sem prazo definido"/>
    <s v="vai aguardar um pouco mais"/>
    <s v=""/>
    <x v="183"/>
    <s v=""/>
    <x v="196"/>
    <s v=""/>
    <d v="2026-05-04T00:00:00"/>
    <n v="30"/>
    <s v=""/>
    <s v=""/>
    <s v=""/>
    <s v=""/>
    <n v="1"/>
  </r>
  <r>
    <x v="0"/>
    <n v="919"/>
    <m/>
    <n v="3227"/>
    <s v="26/02 Fiz FUP com o Jader e ele tem uma ferramentaria. Entendi o processo e agora preciso falar com o Fernando, para ver se conseguirmos atender ele ou não. na sequência vou passar uma proposta. _x000a_12/03 - Encerrei o lead por falta de retorno, futuramente se ele demonstrar interesse falamos."/>
    <s v=""/>
    <x v="438"/>
    <m/>
    <s v=""/>
    <s v="Jader Silva"/>
    <s v="17996751231"/>
    <s v=""/>
    <s v="jader.reobote@outlook.com"/>
    <s v=""/>
    <s v=""/>
    <s v=""/>
    <s v=""/>
    <s v=""/>
    <s v="Campanha"/>
    <s v=""/>
    <s v=""/>
    <s v="Dentro Perfil;Instagram"/>
    <s v="Pipeline de Vendas"/>
    <s v="Apresentar Solução (35%)"/>
    <s v=""/>
    <m/>
    <m/>
    <m/>
    <n v="29"/>
    <s v="Paulo Souza"/>
    <d v="2026-02-11T00:00:00"/>
    <d v="1899-12-30T11:21:33"/>
    <s v=""/>
    <s v="Perdido"/>
    <d v="2026-03-12T00:00:00"/>
    <d v="1899-12-30T17:24:16"/>
    <s v="Fora do porte mínimo (sem fit estrutural)"/>
    <s v=""/>
    <s v=""/>
    <x v="168"/>
    <s v="Paulo Souza"/>
    <x v="182"/>
    <s v=""/>
    <d v="2026-03-31T00:00:00"/>
    <n v="30"/>
    <s v=""/>
    <s v="ERP"/>
    <s v=""/>
    <s v=""/>
    <n v="1"/>
  </r>
  <r>
    <x v="2"/>
    <n v="920"/>
    <m/>
    <n v="3230"/>
    <s v="12.02 - cliente agendou hoje as 9h não entrou na reunião, estou tentando contato para reagendar"/>
    <s v=""/>
    <x v="439"/>
    <n v="36377920000170"/>
    <s v=""/>
    <s v="RG distribuidora de bebidas ltda"/>
    <s v="(37) 3213-0306"/>
    <s v=""/>
    <s v="rgdistribuidoraltda@hotmail.com"/>
    <s v=""/>
    <s v=""/>
    <s v=""/>
    <s v="DIVINOPOLIS"/>
    <s v="MG"/>
    <s v="Campanha"/>
    <s v=""/>
    <s v=""/>
    <s v="Dentro Perfil;Instagram"/>
    <s v="Pipeline de Vendas"/>
    <s v="Apresentar Proposta (50%)"/>
    <s v=""/>
    <d v="2026-04-30T00:00:00"/>
    <n v="7784244"/>
    <n v="144748"/>
    <n v="14"/>
    <s v="Paulo Souza"/>
    <d v="2026-02-11T00:00:00"/>
    <d v="1899-12-30T11:22:26"/>
    <s v=""/>
    <s v="Perdido"/>
    <d v="2026-02-25T00:00:00"/>
    <d v="1899-12-30T10:28:11"/>
    <s v="Preço muito alto - fora do budget de investimento"/>
    <s v=""/>
    <s v=""/>
    <x v="184"/>
    <s v="Rayssa Karapeticov"/>
    <x v="199"/>
    <s v=""/>
    <d v="2026-02-24T00:00:00"/>
    <n v="30"/>
    <s v=""/>
    <s v="ERP, AFV"/>
    <s v=""/>
    <s v=""/>
    <n v="1"/>
  </r>
  <r>
    <x v="0"/>
    <n v="921"/>
    <m/>
    <n v="3231"/>
    <s v="26/02 Fiz FUP hoje com o Antônio, sem sucesso. Após minhas ligações ele não atendeu , deixei recado no Whatsapp. _x000a_27/02 Após diversas FUps sem sucesso e sem retorno do lead, estou declinando a oportunidade."/>
    <s v=""/>
    <x v="440"/>
    <m/>
    <s v=""/>
    <s v="Loja da construção"/>
    <s v="85996031544"/>
    <s v=""/>
    <s v="ajs.antoniojose@hotmail.com"/>
    <s v=""/>
    <s v=""/>
    <s v=""/>
    <s v=""/>
    <s v=""/>
    <s v="Campanha"/>
    <s v=""/>
    <s v=""/>
    <s v="Fora Perfil;Instagram"/>
    <s v="Pipeline de Vendas"/>
    <s v="Qualificação de Vendas (SQL) (25%)"/>
    <s v=""/>
    <d v="2026-02-28T00:00:00"/>
    <m/>
    <m/>
    <n v="16"/>
    <s v="Paulo Souza"/>
    <d v="2026-02-11T00:00:00"/>
    <d v="1899-12-30T11:23:49"/>
    <s v=""/>
    <s v="Perdido"/>
    <d v="2026-02-27T00:00:00"/>
    <d v="1899-12-30T21:32:33"/>
    <s v="Fora do porte mínimo (sem fit estrutural)"/>
    <s v=""/>
    <s v=""/>
    <x v="0"/>
    <s v="Paulo Souza"/>
    <x v="0"/>
    <s v=""/>
    <d v="2026-02-26T00:00:00"/>
    <n v="30"/>
    <s v=""/>
    <s v=""/>
    <s v=""/>
    <s v=""/>
    <n v="1"/>
  </r>
  <r>
    <x v="0"/>
    <n v="922"/>
    <m/>
    <n v="3232"/>
    <s v="27/02 Fiz diversos FUP sem retorno, por isso estou declinando o contato."/>
    <s v=""/>
    <x v="441"/>
    <m/>
    <s v=""/>
    <s v="Zzzz"/>
    <s v="41987097843"/>
    <s v=""/>
    <s v="gipatelini@hotmail.com"/>
    <s v=""/>
    <s v=""/>
    <s v=""/>
    <s v=""/>
    <s v=""/>
    <s v="Campanha"/>
    <s v=""/>
    <s v=""/>
    <s v="Dentro Perfil;Instagram"/>
    <s v="Pipeline de Vendas"/>
    <s v="Apresentar Solução (35%)"/>
    <s v=""/>
    <d v="2026-02-27T00:00:00"/>
    <m/>
    <m/>
    <n v="16"/>
    <s v="Paulo Souza"/>
    <d v="2026-02-11T00:00:00"/>
    <d v="1899-12-30T11:24:41"/>
    <s v=""/>
    <s v="Perdido"/>
    <d v="2026-02-27T00:00:00"/>
    <d v="1899-12-30T21:27:11"/>
    <s v="Fora do porte mínimo (sem fit estrutural)"/>
    <s v=""/>
    <s v=""/>
    <x v="0"/>
    <s v="Paulo Souza"/>
    <x v="0"/>
    <s v=""/>
    <m/>
    <n v="30"/>
    <s v=""/>
    <s v=""/>
    <s v=""/>
    <s v=""/>
    <n v="1"/>
  </r>
  <r>
    <x v="2"/>
    <n v="923"/>
    <m/>
    <n v="3236"/>
    <s v=""/>
    <s v=""/>
    <x v="442"/>
    <m/>
    <s v=""/>
    <s v="Gs atacado"/>
    <s v="61984251198"/>
    <s v=""/>
    <s v="gsatacado69@gmail.com"/>
    <s v=""/>
    <s v=""/>
    <s v=""/>
    <s v=""/>
    <s v=""/>
    <s v="Campanha"/>
    <s v=""/>
    <s v=""/>
    <s v="Dentro Perfil;Instagram"/>
    <s v="Pipeline de Vendas"/>
    <s v="Qualificação de Vendas (SQL) (25%)"/>
    <s v=""/>
    <d v="2026-04-30T00:00:00"/>
    <m/>
    <m/>
    <n v="16"/>
    <s v="Paulo Souza"/>
    <d v="2026-02-11T00:00:00"/>
    <d v="1899-12-30T11:27:12"/>
    <s v=""/>
    <s v="Perdido"/>
    <d v="2026-02-27T00:00:00"/>
    <d v="1899-12-30T17:23:25"/>
    <s v="Preço muito alto - fora do budget de investimento"/>
    <s v=""/>
    <s v=""/>
    <x v="0"/>
    <s v="Rayssa Karapeticov"/>
    <x v="200"/>
    <s v=""/>
    <d v="2026-02-25T00:00:00"/>
    <n v="30"/>
    <s v=""/>
    <s v="ERP, PDV, AFV"/>
    <s v=""/>
    <s v=""/>
    <n v="1"/>
  </r>
  <r>
    <x v="1"/>
    <n v="924"/>
    <m/>
    <n v="3238"/>
    <s v="(11/02/2026) tentativa de ligação nao atendida _x000a_17:03, 11/02/2026 Junior Lopes: Olá Gabriel , boa tarde_x000a_17:03, 11/02/2026 Junior Lopes: sou Junior Lopes da Guarani sistemas ! td bem ?_x000a_(19/02/2026) apresar de não ter resposta do cliente ! em pesquise verifiquei que LM é um deposito de bebidas que acaba fugindo do perfil"/>
    <s v=""/>
    <x v="443"/>
    <m/>
    <s v=""/>
    <s v="lm bebidas"/>
    <s v="11910369959"/>
    <s v=""/>
    <s v="gelucinaro@hotmail.com"/>
    <s v=""/>
    <s v=""/>
    <s v=""/>
    <s v=""/>
    <s v=""/>
    <s v="Campanha"/>
    <s v=""/>
    <s v=""/>
    <s v="Fora Perfil;Instagram"/>
    <s v="Pipeline de Vendas"/>
    <s v="Qualificação de Vendas (SQL) (25%)"/>
    <s v=""/>
    <m/>
    <m/>
    <m/>
    <n v="15"/>
    <s v="Paulo Souza"/>
    <d v="2026-02-11T00:00:00"/>
    <d v="1899-12-30T11:29:47"/>
    <s v=""/>
    <s v="Perdido"/>
    <d v="2026-02-26T00:00:00"/>
    <d v="1899-12-30T23:08:40"/>
    <s v="Fora do porte mínimo (sem fit estrutural)"/>
    <s v=""/>
    <s v=""/>
    <x v="0"/>
    <s v=""/>
    <x v="0"/>
    <s v=""/>
    <d v="2026-02-19T00:00:00"/>
    <n v="30"/>
    <s v=""/>
    <s v=""/>
    <s v=""/>
    <s v=""/>
    <n v="1"/>
  </r>
  <r>
    <x v="1"/>
    <n v="925"/>
    <m/>
    <n v="3244"/>
    <s v="(11/02/2026) tentativa de ligação não atendida _x000a_16:48, 11/02/2026 Junior Lopes: Olá Kariello, boa tarde !_x000a_16:48, 11/02/2026 Junior Lopes: sou Junior Lopes da Guarani sistemas, tudo bem ?_x000a_(19/02/2026) buscando data para apresentação _x000a_(23/02/2026) Vamos Agendar apresentação do força de vendas para amanhã ?_x000a_10 ou 14 horas ! O que fica melhor?_x000a_Vamos marca na primeira semana de março_x000a_Fechamento do mês é complicado_x000a_Sim ! Vamos deixar uma agenda para dia 4/03 quarta feira! Se sim já te envio um link do Meet_x000a_Ok_x000a_Apresentação Guarani (AFV) _x000a_Quarta-feira, 4 de março · 10:00 – 11:30_x000a_Fuso horário: America/Sao_Paulo_x000a_Como participar do Google Meet_x000a_Link da videochamada: https://meet.google.com/dsp-gfgz-nyv_x000a_09:54, 04/03/2026 KARIELLO COELHO: Tive um imprevisto_x000a_09:54, 04/03/2026 KARIELLO COELHO: Teremos que remarcar_x000a_09:55, 04/03/2026 Junior Lopes: Td bem meu amigo , sem problemas_x000a_12:41, 04/03/2026 KARIELLO COELHO: Até sexta agora_x000a_12:42, 04/03/2026 Junior Lopes: 10 horas é um bom horário?_x000a_12:45, 04/03/2026 KARIELLO COELHO: 11h_x000a_12:46, 04/03/2026 Junior Lopes: Joia! Vou gerar um link_x000a_12:50, 04/03/2026 Junior Lopes: Apresentação Guarani AFV - CK Hospitalar_x000a_Sexta-feira, 6 de março · 11:00 – 12:15_x000a_Fuso horário: America/Sao_Paulo_x000a_Como participar do Google Meet_x000a_Link da videochamada: https://meet.google.com/zum-xcty-mab_x000a_(09/03/2026) Após Kariello desmarcar a reunião de apresentação , não respondeu mais aos contatos"/>
    <s v=""/>
    <x v="444"/>
    <n v="32534969000139"/>
    <s v=""/>
    <s v="CK HOSPITALAR"/>
    <s v="6392247104"/>
    <s v=""/>
    <s v="diretoria@ckhospitalar.com.br"/>
    <s v=""/>
    <s v=""/>
    <s v=""/>
    <s v=""/>
    <s v="Palmas"/>
    <s v="Inbound"/>
    <s v=""/>
    <s v=""/>
    <s v="Dentro Perfil;Instagram"/>
    <s v="Pipeline de Vendas"/>
    <s v="Apresentar Proposta (50%)"/>
    <s v=""/>
    <d v="2026-04-30T00:00:00"/>
    <n v="16960"/>
    <n v="32775"/>
    <n v="41"/>
    <s v="Paulo Souza"/>
    <d v="2026-02-11T00:00:00"/>
    <d v="1899-12-30T11:30:31"/>
    <s v=""/>
    <s v="Perdido"/>
    <d v="2026-03-24T00:00:00"/>
    <d v="1899-12-30T16:03:55"/>
    <s v="Projeto adiado / sem prazo definido"/>
    <s v="(09/03/2026) Após Kariello desmarcar a reunião de apresentação , não respondeu mais aos contatos"/>
    <s v=""/>
    <x v="185"/>
    <s v=""/>
    <x v="196"/>
    <s v="04/03/2026"/>
    <d v="2026-03-09T00:00:00"/>
    <n v="30"/>
    <s v=""/>
    <s v=""/>
    <s v=""/>
    <s v=""/>
    <n v="1"/>
  </r>
  <r>
    <x v="1"/>
    <n v="926"/>
    <m/>
    <n v="3237"/>
    <s v="(11/02/2026) tentativa de ligação não atendida ! mensagem em seguida _x000a_16:43, 11/02/2026 Junior Lopes: Olá Renato ! boa tarde_x000a_16:43, 11/02/2026 Junior Lopes: sou Junior Lopes da Guarani sistemas ! tudo bem ?"/>
    <s v=""/>
    <x v="445"/>
    <m/>
    <s v=""/>
    <s v="Rp pisos"/>
    <s v="81996498759"/>
    <s v=""/>
    <s v="renatosouzarp2018@gmail.com"/>
    <s v=""/>
    <s v=""/>
    <s v=""/>
    <s v=""/>
    <s v=""/>
    <s v="Campanha"/>
    <s v=""/>
    <s v=""/>
    <s v="Fora Perfil;Instagram"/>
    <s v="Pipeline de Vendas"/>
    <s v="Qualificação de Vendas (SQL) (25%)"/>
    <s v=""/>
    <m/>
    <m/>
    <m/>
    <n v="87"/>
    <s v="Paulo Souza"/>
    <d v="2026-02-11T00:00:00"/>
    <d v="1899-12-30T11:42:17"/>
    <s v=""/>
    <s v="Perdido"/>
    <d v="2026-05-09T00:00:00"/>
    <d v="1899-12-30T07:47:47"/>
    <s v="Sem qualificação — contato não atende ligações nem responde msg"/>
    <s v=""/>
    <s v=""/>
    <x v="0"/>
    <s v=""/>
    <x v="0"/>
    <s v=""/>
    <d v="2026-02-19T00:00:00"/>
    <n v="30"/>
    <s v=""/>
    <s v=""/>
    <s v=""/>
    <s v=""/>
    <n v="1"/>
  </r>
  <r>
    <x v="2"/>
    <n v="927"/>
    <m/>
    <n v="3239"/>
    <s v="13.02 é uma loja de auto peças, prouca PDV, fora do perfil"/>
    <s v=""/>
    <x v="446"/>
    <m/>
    <s v=""/>
    <s v="Dede Acessorios"/>
    <s v="6596196462"/>
    <s v=""/>
    <s v="lu_kawakami@msn.com"/>
    <s v=""/>
    <s v=""/>
    <s v=""/>
    <s v=""/>
    <s v=""/>
    <s v="Campanha"/>
    <s v=""/>
    <s v=""/>
    <s v="Fora Perfil;Instagram"/>
    <s v="Pipeline de Vendas"/>
    <s v="Agendamento (0%)"/>
    <s v=""/>
    <m/>
    <m/>
    <m/>
    <n v="2"/>
    <s v="Paulo Souza"/>
    <d v="2026-02-11T00:00:00"/>
    <d v="1899-12-30T11:44:32"/>
    <s v=""/>
    <s v="Perdido"/>
    <d v="2026-02-13T00:00:00"/>
    <d v="1899-12-30T17:27:41"/>
    <s v="Fora do porte mínimo (sem fit estrutural)"/>
    <s v=""/>
    <s v=""/>
    <x v="0"/>
    <s v="Rayssa Karapeticov"/>
    <x v="0"/>
    <s v=""/>
    <d v="2026-02-13T00:00:00"/>
    <n v="30"/>
    <s v=""/>
    <s v=""/>
    <s v=""/>
    <s v=""/>
    <n v="1"/>
  </r>
  <r>
    <x v="1"/>
    <n v="928"/>
    <m/>
    <n v="3242"/>
    <s v="(11/02/2026) ligação efetuada - Anderson pediu para retornar ! vamos dar sequencia no whatsapp_x000a_(18/02/2026) buscando contato com Anderson ! sem resposta até o momento"/>
    <s v=""/>
    <x v="384"/>
    <n v="9205460000120"/>
    <s v=""/>
    <s v="Panveiga"/>
    <s v="(83) 3343-3391 / (83) 3343-3391"/>
    <s v=""/>
    <s v=""/>
    <s v=""/>
    <s v=""/>
    <s v=""/>
    <s v="CAMPINA GRANDE"/>
    <s v="PB"/>
    <s v="Inbound"/>
    <s v=""/>
    <s v=""/>
    <s v="Dentro Perfil;Instagram"/>
    <s v="Pipeline de Vendas"/>
    <s v="Qualificação de Vendas (SQL) (25%)"/>
    <s v=""/>
    <m/>
    <m/>
    <m/>
    <n v="8"/>
    <s v="Paulo Souza"/>
    <d v="2026-02-11T00:00:00"/>
    <d v="1899-12-30T11:51:24"/>
    <s v=""/>
    <s v="Perdido"/>
    <d v="2026-02-19T00:00:00"/>
    <d v="1899-12-30T09:53:04"/>
    <s v="Nossa solução não atende - falta funcionalidade"/>
    <s v="cliente precisa que o força de vendas atenda em pronta entrega"/>
    <s v=""/>
    <x v="0"/>
    <s v=""/>
    <x v="0"/>
    <s v=""/>
    <d v="2026-02-18T00:00:00"/>
    <n v="30"/>
    <s v=""/>
    <s v=""/>
    <s v=""/>
    <s v=""/>
    <n v="1"/>
  </r>
  <r>
    <x v="1"/>
    <n v="929"/>
    <m/>
    <n v="3235"/>
    <s v="Conversa extraida do áudio enviado em 12/03/2026_x000a_ 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
    <s v=""/>
    <x v="447"/>
    <m/>
    <s v=""/>
    <s v="kayo calil marques"/>
    <s v="(14) 99854-9863"/>
    <s v=""/>
    <s v="kayocalil@hotmail.com"/>
    <s v=""/>
    <s v=""/>
    <s v=""/>
    <s v="Tupã"/>
    <s v=""/>
    <s v="Site"/>
    <s v=""/>
    <s v=""/>
    <s v="Solicita demo"/>
    <s v="Pipeline de Vendas"/>
    <s v="Em negociação (75%)"/>
    <s v=""/>
    <m/>
    <n v="41040"/>
    <n v="384858"/>
    <n v="29"/>
    <s v="Paulo Souza"/>
    <d v="2026-02-11T00:00:00"/>
    <d v="1899-12-30T11:53:14"/>
    <s v=""/>
    <s v="Perdido"/>
    <d v="2026-03-12T00:00:00"/>
    <d v="1899-12-30T14:14:05"/>
    <s v="Não quer mudar a solução atual"/>
    <s v="Conversa extraida do áudio enviado em 12/03/2026_x000a_ 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
    <s v=""/>
    <x v="186"/>
    <s v=""/>
    <x v="201"/>
    <s v="19/02/2026"/>
    <d v="2026-03-12T00:00:00"/>
    <n v="30"/>
    <s v=""/>
    <s v=""/>
    <s v=""/>
    <s v=""/>
    <n v="1"/>
  </r>
  <r>
    <x v="2"/>
    <n v="930"/>
    <m/>
    <n v="3243"/>
    <s v="12.02 - é uma importadora de Ribeirão Preto e veio por indicação da Simone (QFestas) são do mesmo seguimento_x000a_Disse que já havia feito contato um tempo atrás mas na época achou muito caro, então não avançou_x000a_Esta retomando o contato agora e gostaria de receber uma proposta comercial antes, já que já conhece o sistema, já recebeu várias indicações de importadores, e representantes. _x000a_18.03 - estou tentando contato, mas esta em feira _x000a_30.03 Achou que não é o momento certo para avançar"/>
    <s v=""/>
    <x v="448"/>
    <n v="14590342000113"/>
    <s v=""/>
    <s v="Leandro"/>
    <s v="(16) 98237-0011"/>
    <s v=""/>
    <s v="leandro@bazarimportadora.com.br"/>
    <s v=""/>
    <s v=""/>
    <s v=""/>
    <s v="Ribeirão Preto"/>
    <s v=""/>
    <s v="Site"/>
    <s v=""/>
    <s v=""/>
    <s v="Contato;Dentro Perfil"/>
    <s v="Pipeline de Vendas"/>
    <s v="Apresentar Proposta (50%)"/>
    <s v=""/>
    <m/>
    <m/>
    <m/>
    <n v="47"/>
    <s v="Paulo Souza"/>
    <d v="2026-02-11T00:00:00"/>
    <d v="1899-12-30T11:54:00"/>
    <s v=""/>
    <s v="Perdido"/>
    <d v="2026-03-30T00:00:00"/>
    <d v="1899-12-30T15:50:03"/>
    <s v="Projeto adiado / sem prazo definido"/>
    <s v=""/>
    <s v=""/>
    <x v="0"/>
    <s v="Rayssa Karapeticov"/>
    <x v="202"/>
    <s v=""/>
    <d v="2026-03-30T00:00:00"/>
    <n v="30"/>
    <s v=""/>
    <s v="AFV, ERP"/>
    <s v=""/>
    <s v=""/>
    <n v="1"/>
  </r>
  <r>
    <x v="1"/>
    <n v="931"/>
    <m/>
    <n v="3233"/>
    <s v="11/02/2026) cliente com necessidades especificas _x000a_Rastreabilidade avançada de coletas e devoluções (fluxo de logística reversa e conferência de avarias);_x000a_Gestão flexível de Kits (desmembramento dinâmico de itens no ato da manutenção);"/>
    <s v=""/>
    <x v="449"/>
    <n v="36096287000142"/>
    <s v=""/>
    <s v="Fernando Ramalho"/>
    <s v="(21) 98655-6912"/>
    <s v=""/>
    <s v="fernando.ramalho@superzinca.com.br"/>
    <s v=""/>
    <s v=""/>
    <s v=""/>
    <s v="Ibirité"/>
    <s v=""/>
    <s v="Site"/>
    <s v=""/>
    <s v=""/>
    <s v="Fora Perfil;Solicita demo"/>
    <s v="Pipeline de Vendas"/>
    <s v="Qualificação de Vendas (SQL) (25%)"/>
    <s v=""/>
    <m/>
    <m/>
    <m/>
    <n v="0"/>
    <s v="Paulo Souza"/>
    <d v="2026-02-11T00:00:00"/>
    <d v="1899-12-30T11:55:55"/>
    <s v=""/>
    <s v="Perdido"/>
    <d v="2026-02-11T00:00:00"/>
    <d v="1899-12-30T15:28:53"/>
    <s v="Fora do porte mínimo (sem fit estrutural)"/>
    <s v="cliente fora do perfil"/>
    <s v=""/>
    <x v="0"/>
    <s v=""/>
    <x v="0"/>
    <s v=""/>
    <m/>
    <n v="30"/>
    <s v=""/>
    <s v=""/>
    <s v=""/>
    <s v=""/>
    <n v="1"/>
  </r>
  <r>
    <x v="2"/>
    <n v="932"/>
    <m/>
    <n v="3234"/>
    <s v="12.02 ligação realizada no dia 12.02 as 11:13, não atendeu. Enviei mensagem no whatsapp, para tentar um novo horario para ligação_x000a_13.02 Cliente é uma industria de copos de liquidificador estão sempre na ABUP e vieram por indicação da Arthi _x000a_Usam um sistema interno - mas futuramente querem trocar o sistema, explicou que a principio querem conhecer nosso AFV, porque foi uma indicação e o sistema atual possui esse módulo mas libera muitas informações que eles não querem disponibilizar para os RCAs, porém não podem editar ou bloquear_x000a_Não enviar estoque _x000a_Tabelas de preço - Explicou que possuem várias tabelas de preço por faixa de valor, informei que o sistema atende essa necessidade e quem podem ter uma unica tabela com uma regra comercial de desconto por faixar de valor amarrada ao pedido_x000a_Imagens de produtos - quer que o cliente tenha acesso a imagem do produto, expliquei que sim, e que pode gerar o catalogo em PDF para o cliente_x000a_Descrição - ficha técnica do produto e descrição do item_x000a_Uso de sistemas na feira - usar leitor de código de produto_x000a_Envio de orçamento - envio de cópia de orçamentos por PDF, link ou excel, e explicar funções em feira _x000a_Isis vai verificar com a gerente uma data para apresentação do AFV_x000a_18.02 - apresentação agendada para amanhã _x000a_18.03 Negociação finalizada, aguardando documentação para seguir com contrato_x000a_15.04 09:24, 15/04/2026 Rayssa Karapeticov - Comercial - Guarani Sistemas: Oi Isis, como você está.?_x000a_Na última troca, você comentou que eles devem manter o sistema atual por mais tempo, e eu fiquei de marcar uma reunião presencial para detalharmos a integração e forma de trabalho._x000a_Queria entender contigo se ainda faz sentido seguirmos com esse alinhamento agora. Se sim, me indica por favor dois horários que funcionem para você."/>
    <s v=""/>
    <x v="450"/>
    <n v="1498495000193"/>
    <s v=""/>
    <s v="Isis Miguelette"/>
    <s v="(11) 91290-8574"/>
    <s v=""/>
    <s v="isismiguelette@micromaxindustria.com.br"/>
    <s v=""/>
    <s v=""/>
    <s v=""/>
    <s v="Itatiba"/>
    <s v=""/>
    <s v="Site"/>
    <s v=""/>
    <s v=""/>
    <s v="Dentro Perfil;Solicita demo"/>
    <s v="Pipeline de Vendas"/>
    <s v="Em negociação (75%)"/>
    <s v=""/>
    <d v="2026-04-30T00:00:00"/>
    <n v="16143"/>
    <n v="690"/>
    <n v="70"/>
    <s v="Paulo Souza"/>
    <d v="2026-02-11T00:00:00"/>
    <d v="1899-12-30T11:56:36"/>
    <s v=""/>
    <s v="Perdido"/>
    <d v="2026-04-22T00:00:00"/>
    <d v="1899-12-30T17:19:39"/>
    <s v="Preço muito alto - fora do budget de investimento"/>
    <s v=""/>
    <s v=""/>
    <x v="185"/>
    <s v="Rayssa Karapeticov"/>
    <x v="203"/>
    <s v=""/>
    <d v="2026-04-15T00:00:00"/>
    <n v="30"/>
    <s v=""/>
    <s v="AFV"/>
    <s v=""/>
    <s v=""/>
    <n v="1"/>
  </r>
  <r>
    <x v="1"/>
    <n v="933"/>
    <m/>
    <n v="3262"/>
    <s v=""/>
    <s v="Startools Ferramentas, Comercio, Importacao E Exportacao Ltda"/>
    <x v="451"/>
    <n v="35754976000215"/>
    <s v=""/>
    <s v="Startools Ferramentas, Comercio, Importacao E Exportacao Ltda"/>
    <s v="(11) 8472-4282"/>
    <s v=""/>
    <s v="controladoria@startoolsferramentas.com.br"/>
    <s v=""/>
    <s v=""/>
    <s v=""/>
    <s v="ARAQUARI"/>
    <s v="SC"/>
    <s v="Base de empresas Leads2b"/>
    <s v=""/>
    <s v=""/>
    <s v=""/>
    <s v="Pipeline de Vendas"/>
    <s v="Apresentar Solução (35%)"/>
    <s v=""/>
    <m/>
    <n v="0"/>
    <n v="0"/>
    <n v="98"/>
    <s v="Junior Lopes"/>
    <d v="2026-02-11T00:00:00"/>
    <d v="1899-12-30T18:07:55"/>
    <s v=""/>
    <s v="Ativo"/>
    <m/>
    <m/>
    <s v=""/>
    <s v=""/>
    <s v=""/>
    <x v="0"/>
    <s v=""/>
    <x v="204"/>
    <s v=""/>
    <d v="2026-05-08T00:00:00"/>
    <n v="50"/>
    <s v=""/>
    <s v=""/>
    <s v=""/>
    <s v=""/>
    <n v="1"/>
  </r>
  <r>
    <x v="1"/>
    <n v="934"/>
    <m/>
    <n v="3263"/>
    <s v="(03/03/2026) Visita apresentação _x000a_(05/03/2026)  buscando fechamento"/>
    <s v="Cleantech Solucoes Industria, Distribuidora, Comercio, Importacao E Exportacao De Produtos Quimicos Ltda"/>
    <x v="452"/>
    <n v="51540058000169"/>
    <s v=""/>
    <s v="Cleantech Solucoes Industria, Distribuidora, Comercio, Importacao E Exportacao De Produtos Quimicos Ltda"/>
    <s v="(11) 91564-2482"/>
    <s v=""/>
    <s v=""/>
    <s v=""/>
    <s v=""/>
    <s v=""/>
    <s v="SAO PAULO"/>
    <s v="SP"/>
    <s v="Base de empresas Leads2b"/>
    <s v=""/>
    <s v=""/>
    <s v=""/>
    <s v="Pipeline de Vendas"/>
    <s v="Em Fechamento (100%)"/>
    <s v=""/>
    <m/>
    <n v="68400"/>
    <n v="114607"/>
    <n v="49"/>
    <s v="Junior Lopes"/>
    <d v="2026-02-11T00:00:00"/>
    <d v="1899-12-30T18:19:45"/>
    <s v=""/>
    <s v="Ganho"/>
    <d v="2026-04-01T00:00:00"/>
    <d v="1899-12-30T10:36:11"/>
    <s v=""/>
    <s v=""/>
    <s v=""/>
    <x v="183"/>
    <s v=""/>
    <x v="196"/>
    <s v="03/03/2026"/>
    <d v="2026-03-05T00:00:00"/>
    <n v="70"/>
    <s v=""/>
    <s v=""/>
    <s v=""/>
    <s v=""/>
    <n v="1"/>
  </r>
  <r>
    <x v="0"/>
    <n v="935"/>
    <m/>
    <n v="3259"/>
    <s v="13/02 Fiz FUP hoje com a Pamela e o perfil identificado é de cliente emergente para investir no momento. E por isso foi declinado."/>
    <s v=""/>
    <x v="453"/>
    <m/>
    <s v=""/>
    <s v="PAMELA CRISTINA DA FONSECA"/>
    <s v="(46) 99984-1338"/>
    <s v=""/>
    <s v="importacao.azul@hotmail.com"/>
    <s v=""/>
    <s v=""/>
    <s v=""/>
    <s v="Fazenda Rio Grande"/>
    <s v=""/>
    <s v="Site"/>
    <s v=""/>
    <s v=""/>
    <s v="Solicita demo"/>
    <s v="Pipeline de Vendas"/>
    <s v="Qualificação de Vendas (SQL) (25%)"/>
    <s v=""/>
    <d v="2026-02-28T00:00:00"/>
    <m/>
    <m/>
    <n v="1"/>
    <s v="Paulo Souza"/>
    <d v="2026-02-12T00:00:00"/>
    <d v="1899-12-30T02:29:04"/>
    <s v=""/>
    <s v="Perdido"/>
    <d v="2026-02-13T00:00:00"/>
    <d v="1899-12-30T17:22:46"/>
    <s v="Preço muito alto - fora do budget de investimento"/>
    <s v=""/>
    <s v=""/>
    <x v="0"/>
    <s v="Paulo Souza"/>
    <x v="187"/>
    <s v=""/>
    <m/>
    <n v="30"/>
    <s v=""/>
    <s v="ERP, AFV"/>
    <s v=""/>
    <s v=""/>
    <n v="1"/>
  </r>
  <r>
    <x v="1"/>
    <n v="936"/>
    <m/>
    <n v="3268"/>
    <s v="(20/02/2026) Buscando fechamento _x000a_Conversa extraida do áudio enviado em 12/03/2026_x000a_ 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
    <s v=""/>
    <x v="454"/>
    <m/>
    <s v=""/>
    <s v="Atacadão das Tripas"/>
    <s v="14998549863"/>
    <s v=""/>
    <s v="kayocalil@hotmail.com"/>
    <s v=""/>
    <s v=""/>
    <s v=""/>
    <s v=""/>
    <s v=""/>
    <s v=""/>
    <s v=""/>
    <s v=""/>
    <s v=""/>
    <s v="Pipeline de Vendas"/>
    <s v="Em negociação (75%)"/>
    <s v=""/>
    <m/>
    <m/>
    <m/>
    <n v="27"/>
    <s v="Junior Lopes"/>
    <d v="2026-02-13T00:00:00"/>
    <d v="1899-12-30T14:52:42"/>
    <s v=""/>
    <s v="Perdido"/>
    <d v="2026-03-12T00:00:00"/>
    <d v="1899-12-30T14:12:42"/>
    <s v="Não quer mudar a solução atual"/>
    <s v="Conversa extraida do áudio enviado em 12/03/2026_x000a_ 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
    <s v=""/>
    <x v="0"/>
    <s v=""/>
    <x v="187"/>
    <s v=""/>
    <d v="2026-03-12T00:00:00"/>
    <n v="50"/>
    <s v=""/>
    <s v=""/>
    <s v=""/>
    <s v=""/>
    <n v="1"/>
  </r>
  <r>
    <x v="1"/>
    <n v="937"/>
    <m/>
    <n v="3267"/>
    <s v="(19/02/2026) descartando por falta de interação _x000a_09:44, 19/02/2026 Junior Lopes: Oi, Edenilson Tentei contato algumas vezes, mas não consegui falar com você. Imagino que sua rotina esteja corrida. Vou encerrar seu atendimento por aqui para não lotar sua caixa de entrada, mas sigo à disposição caso queira retomar o assunto no futuro"/>
    <s v=""/>
    <x v="455"/>
    <n v="3318893000106"/>
    <s v=""/>
    <s v="Eletro Fort Poste Padrão"/>
    <s v="19974151604"/>
    <s v=""/>
    <s v="compras@eletrofortlimeira.com.br"/>
    <s v=""/>
    <s v=""/>
    <s v=""/>
    <s v=""/>
    <s v=""/>
    <s v="Campanha"/>
    <s v=""/>
    <s v=""/>
    <s v="Dentro Perfil;Instagram"/>
    <s v="Pipeline de Vendas"/>
    <s v="Qualificação de Vendas (SQL) (25%)"/>
    <s v=""/>
    <d v="2026-02-28T00:00:00"/>
    <m/>
    <m/>
    <n v="13"/>
    <s v="Paulo Souza"/>
    <d v="2026-02-13T00:00:00"/>
    <d v="1899-12-30T21:58:18"/>
    <s v=""/>
    <s v="Perdido"/>
    <d v="2026-02-26T00:00:00"/>
    <d v="1899-12-30T23:10:17"/>
    <s v="Fora do porte mínimo (sem fit estrutural)"/>
    <s v=""/>
    <s v=""/>
    <x v="0"/>
    <s v="Junior Lopes"/>
    <x v="0"/>
    <s v=""/>
    <d v="2026-02-19T00:00:00"/>
    <n v="30"/>
    <s v=""/>
    <s v=""/>
    <s v=""/>
    <s v=""/>
    <n v="1"/>
  </r>
  <r>
    <x v="0"/>
    <n v="938"/>
    <m/>
    <n v="3266"/>
    <s v="19/02 Fiz FUP com o cliente e liguei para o Luis e ao entender o processo dele verifique que não atendemos. Pois ele quer que o vendedor no momento do pedido já emita a NF."/>
    <s v=""/>
    <x v="456"/>
    <n v="11994847000155"/>
    <s v=""/>
    <s v="Luís Fernando"/>
    <s v="(15) 99839-1786"/>
    <s v=""/>
    <s v="luismendesjr@cafecarneiro.com.br"/>
    <s v=""/>
    <s v=""/>
    <s v=""/>
    <s v="Itapeva"/>
    <s v=""/>
    <s v="Site"/>
    <s v=""/>
    <s v=""/>
    <s v="Contato"/>
    <s v="Pipeline de Vendas"/>
    <s v="Apresentar Solução (35%)"/>
    <s v=""/>
    <d v="2026-02-28T00:00:00"/>
    <m/>
    <m/>
    <n v="6"/>
    <s v="Paulo Souza"/>
    <d v="2026-02-13T00:00:00"/>
    <d v="1899-12-30T22:00:55"/>
    <s v=""/>
    <s v="Perdido"/>
    <d v="2026-02-19T00:00:00"/>
    <d v="1899-12-30T17:25:13"/>
    <s v="Nossa solução não atende - falta funcionalidade"/>
    <s v="19/02 Fiz FUP com o cliente e liguei para o Luis e ao entender o processo dele verifique que não atendemos. Pois ele quer que o vendedor no momento do pedido já emita a NF."/>
    <s v=""/>
    <x v="0"/>
    <s v="Paulo Souza"/>
    <x v="0"/>
    <s v=""/>
    <m/>
    <n v="30"/>
    <s v=""/>
    <s v=""/>
    <s v=""/>
    <s v=""/>
    <n v="1"/>
  </r>
  <r>
    <x v="2"/>
    <n v="945"/>
    <m/>
    <n v="3271"/>
    <s v=""/>
    <s v=""/>
    <x v="457"/>
    <m/>
    <s v=""/>
    <s v="Angel"/>
    <s v="(45) 99828-7178"/>
    <s v=""/>
    <s v="lucaangel20@hotmail.com"/>
    <s v=""/>
    <s v=""/>
    <s v=""/>
    <s v="Toledo"/>
    <s v=""/>
    <s v="Site"/>
    <s v=""/>
    <s v=""/>
    <s v="Solicita demo"/>
    <s v="Pipeline de Vendas"/>
    <s v="Agendamento (0%)"/>
    <s v=""/>
    <m/>
    <m/>
    <m/>
    <n v="2"/>
    <s v="Paulo Souza"/>
    <d v="2026-02-17T00:00:00"/>
    <d v="1899-12-30T17:47:51"/>
    <s v=""/>
    <s v="Perdido"/>
    <d v="2026-02-19T00:00:00"/>
    <d v="1899-12-30T09:05:02"/>
    <s v="Cliente não quer contato LGPD"/>
    <s v=""/>
    <s v=""/>
    <x v="0"/>
    <s v="Rayssa Karapeticov"/>
    <x v="0"/>
    <s v=""/>
    <d v="2026-02-18T00:00:00"/>
    <n v="30"/>
    <s v=""/>
    <s v="ERP"/>
    <s v=""/>
    <s v=""/>
    <n v="1"/>
  </r>
  <r>
    <x v="0"/>
    <n v="946"/>
    <m/>
    <n v="3270"/>
    <s v="26/02 Fiz FUP hoje com o Diego após varias tentativas de ligação ele não atendeu, envie e-mail para ver se consigo outro canal de conversa._x000a_12/03 Diego optou por uma solução local e se não der certo retorna o contato."/>
    <s v=""/>
    <x v="458"/>
    <m/>
    <s v=""/>
    <s v="Cia atacadista"/>
    <s v="71982084451"/>
    <s v=""/>
    <s v="ailtonsrocha@hotmail.com"/>
    <s v=""/>
    <s v=""/>
    <s v=""/>
    <s v=""/>
    <s v=""/>
    <s v="Campanha"/>
    <s v=""/>
    <s v=""/>
    <s v="Dentro Perfil;Instagram"/>
    <s v="Pipeline de Vendas"/>
    <s v="Qualificação de Vendas (SQL) (25%)"/>
    <s v=""/>
    <d v="2026-03-31T00:00:00"/>
    <m/>
    <m/>
    <n v="82"/>
    <s v="Paulo Souza"/>
    <d v="2026-02-18T00:00:00"/>
    <d v="1899-12-30T08:51:33"/>
    <s v=""/>
    <s v="Perdido"/>
    <d v="2026-05-11T00:00:00"/>
    <d v="1899-12-30T11:54:40"/>
    <s v="Fechou com o concorrente - preço"/>
    <s v="optou por uma solução local, senão atende-lo volta o contato."/>
    <s v=""/>
    <x v="0"/>
    <s v="Paulo Souza"/>
    <x v="0"/>
    <s v=""/>
    <d v="2026-03-12T00:00:00"/>
    <n v="30"/>
    <s v=""/>
    <s v="ERP, AFV"/>
    <s v=""/>
    <s v=""/>
    <n v="1"/>
  </r>
  <r>
    <x v="1"/>
    <n v="948"/>
    <m/>
    <n v="3278"/>
    <s v="(19/02/2026) em contato com Andreia ! atualmente usa ERP Linx e busca ferramenta de força de vendas _x000a_estamos alinhando data de apresentação _x000a_(09/03/2026) Após envio da proposta comercial Andréa não respondeu mais ! dois pontos de atenção com relacçao ao seu ramo de atividade , por ser um fabrica de roupas e ERP Linx"/>
    <s v=""/>
    <x v="459"/>
    <m/>
    <s v=""/>
    <s v="Ama"/>
    <s v="21995112577"/>
    <s v=""/>
    <s v="andreiamattosaeb@mail.com"/>
    <s v=""/>
    <s v=""/>
    <s v=""/>
    <s v=""/>
    <s v=""/>
    <s v="Campanha"/>
    <s v=""/>
    <s v=""/>
    <s v="Dentro Perfil;Instagram"/>
    <s v="Pipeline de Vendas"/>
    <s v="Apresentar Proposta (50%)"/>
    <s v=""/>
    <d v="2026-02-28T00:00:00"/>
    <n v="16960"/>
    <n v="575"/>
    <n v="21"/>
    <s v="Paulo Souza"/>
    <d v="2026-02-19T00:00:00"/>
    <d v="1899-12-30T08:14:29"/>
    <s v=""/>
    <s v="Perdido"/>
    <d v="2026-03-12T00:00:00"/>
    <d v="1899-12-30T15:22:14"/>
    <s v="Não houve aprovação financeira"/>
    <s v="investimento alto"/>
    <s v=""/>
    <x v="184"/>
    <s v="Junior Lopes"/>
    <x v="205"/>
    <s v=""/>
    <d v="2026-03-09T00:00:00"/>
    <n v="31"/>
    <s v=""/>
    <s v=""/>
    <s v=""/>
    <s v=""/>
    <n v="1"/>
  </r>
  <r>
    <x v="2"/>
    <n v="949"/>
    <m/>
    <n v="3279"/>
    <s v=""/>
    <s v=""/>
    <x v="363"/>
    <m/>
    <s v=""/>
    <s v="Fisiohosp"/>
    <s v="06596658787"/>
    <s v=""/>
    <s v="cmag2017@gmail.com"/>
    <s v=""/>
    <s v=""/>
    <s v=""/>
    <s v=""/>
    <s v="Cuiabá mt"/>
    <s v="Inbound"/>
    <s v=""/>
    <s v=""/>
    <s v="Fora Perfil;Instagram"/>
    <s v="Pipeline de Vendas"/>
    <s v="Agendamento (0%)"/>
    <s v=""/>
    <d v="2026-02-28T00:00:00"/>
    <m/>
    <m/>
    <n v="4"/>
    <s v="Paulo Souza"/>
    <d v="2026-02-19T00:00:00"/>
    <d v="1899-12-30T08:15:39"/>
    <s v=""/>
    <s v="Perdido"/>
    <d v="2026-02-23T00:00:00"/>
    <d v="1899-12-30T16:11:43"/>
    <s v="Fora do porte mínimo (sem fit estrutural)"/>
    <s v=""/>
    <s v=""/>
    <x v="0"/>
    <s v="Rayssa Karapeticov"/>
    <x v="0"/>
    <s v=""/>
    <m/>
    <n v="30"/>
    <s v=""/>
    <s v=""/>
    <s v=""/>
    <s v=""/>
    <n v="1"/>
  </r>
  <r>
    <x v="2"/>
    <n v="950"/>
    <m/>
    <n v="3280"/>
    <s v="19.02 devido o feriado de carnaval estã retornando hoje._x000a_Combinamos de falar amanhã 20/02 as 09h"/>
    <s v=""/>
    <x v="460"/>
    <n v="3459449000100"/>
    <s v=""/>
    <s v="San marcus industrial"/>
    <s v="75998542317"/>
    <s v=""/>
    <s v="marcos@sanmarcus.com.br"/>
    <s v=""/>
    <s v=""/>
    <s v=""/>
    <s v=""/>
    <s v=""/>
    <s v="Campanha"/>
    <s v=""/>
    <s v=""/>
    <s v="Dentro Perfil;Instagram"/>
    <s v="Pipeline de Vendas"/>
    <s v="Apresentar Solução (35%)"/>
    <s v=""/>
    <d v="2026-04-30T00:00:00"/>
    <m/>
    <m/>
    <n v="22"/>
    <s v="Paulo Souza"/>
    <d v="2026-02-19T00:00:00"/>
    <d v="1899-12-30T08:17:18"/>
    <s v=""/>
    <s v="Perdido"/>
    <d v="2026-03-13T00:00:00"/>
    <d v="1899-12-30T10:35:07"/>
    <s v="Não quer mudar a solução atual"/>
    <s v=""/>
    <s v=""/>
    <x v="0"/>
    <s v="Rayssa Karapeticov"/>
    <x v="0"/>
    <s v=""/>
    <d v="2026-03-13T00:00:00"/>
    <n v="31"/>
    <s v=""/>
    <s v="ERP, PCP, AFV"/>
    <s v=""/>
    <s v=""/>
    <n v="1"/>
  </r>
  <r>
    <x v="1"/>
    <n v="951"/>
    <m/>
    <n v="3282"/>
    <s v="(19/02/2026) ligação não atendida ! na sequencia envio de mensagem _x000a_(19/02/2026) em contato com Carolla , a empresa é uma loja de doces , fora do perfil _x000a_08:56, 19/02/2026 Junior Lopes: OLá Carolla, bom dia !_x000a_08:56, 19/02/2026 Junior Lopes: sou Junior Lopes da Guarani sistemas td bem ?_x000a_08:57, 19/02/2026 Junior Lopes: estou retornando um contato que você fez conosco"/>
    <s v=""/>
    <x v="461"/>
    <m/>
    <s v=""/>
    <s v="Fa de doces"/>
    <s v="16993027000"/>
    <s v=""/>
    <s v="carollafinancas@gmail.com"/>
    <s v=""/>
    <s v=""/>
    <s v=""/>
    <s v=""/>
    <s v=""/>
    <s v="Campanha"/>
    <s v=""/>
    <s v=""/>
    <s v="Fora Perfil;Instagram"/>
    <s v="Pipeline de Vendas"/>
    <s v="Qualificação de Vendas (SQL) (25%)"/>
    <s v=""/>
    <d v="2026-02-19T00:00:00"/>
    <m/>
    <m/>
    <n v="7"/>
    <s v="Paulo Souza"/>
    <d v="2026-02-19T00:00:00"/>
    <d v="1899-12-30T08:18:43"/>
    <s v=""/>
    <s v="Perdido"/>
    <d v="2026-02-26T00:00:00"/>
    <d v="1899-12-30T23:09:28"/>
    <s v="Fora do porte mínimo (sem fit estrutural)"/>
    <s v=""/>
    <s v=""/>
    <x v="0"/>
    <s v="Junior Lopes"/>
    <x v="0"/>
    <s v=""/>
    <m/>
    <n v="30"/>
    <s v=""/>
    <s v=""/>
    <s v=""/>
    <s v=""/>
    <n v="1"/>
  </r>
  <r>
    <x v="0"/>
    <n v="952"/>
    <m/>
    <n v="3283"/>
    <s v="26/02 Fiz FUP com Alessandro e combinamos de falar na segunda-feira as 9h_x000a_12/03 Fiz FUP com o Alessandro e combinamos uma apresentação amanhã as 8h _x000a_20/03 Fiz FUP com o Alessandro para saber se ele vai seguir ou não._x000a_20/03 Cliente achou o preço muito alto para investir agora."/>
    <s v=""/>
    <x v="462"/>
    <m/>
    <s v=""/>
    <s v="Alessandro"/>
    <s v="49999890528"/>
    <s v=""/>
    <s v="ale@metaladm.com.br"/>
    <s v=""/>
    <s v=""/>
    <s v=""/>
    <s v=""/>
    <s v=""/>
    <s v="Campanha"/>
    <s v=""/>
    <s v=""/>
    <s v="Dentro Perfil;Instagram"/>
    <s v="Pipeline de Vendas"/>
    <s v="Em negociação (75%)"/>
    <s v=""/>
    <d v="2026-03-31T00:00:00"/>
    <n v="862043"/>
    <n v="34937"/>
    <n v="40"/>
    <s v="Paulo Souza"/>
    <d v="2026-02-19T00:00:00"/>
    <d v="1899-12-30T08:19:46"/>
    <s v=""/>
    <s v="Perdido"/>
    <d v="2026-03-31T00:00:00"/>
    <d v="1899-12-30T16:31:50"/>
    <s v="Preço muito alto - fora do budget de investimento"/>
    <s v=""/>
    <s v=""/>
    <x v="187"/>
    <s v="Paulo Souza"/>
    <x v="0"/>
    <s v=""/>
    <d v="2026-03-20T00:00:00"/>
    <n v="30"/>
    <s v=""/>
    <s v="ERP, AFV"/>
    <s v=""/>
    <s v=""/>
    <n v="1"/>
  </r>
  <r>
    <x v="0"/>
    <n v="953"/>
    <m/>
    <n v="3284"/>
    <s v="26/02 Fiz FUP com a Fernanda e ela não atendeu, deixei recado para falarmos._x000a_02/02 Fiz FUP e cliente falou que vai analisar"/>
    <s v=""/>
    <x v="463"/>
    <m/>
    <s v=""/>
    <s v="NEW"/>
    <s v="1140227929"/>
    <s v=""/>
    <s v="ferramentarianws@gmail.com"/>
    <s v=""/>
    <s v=""/>
    <s v=""/>
    <s v=""/>
    <s v=""/>
    <s v="Campanha"/>
    <s v=""/>
    <s v=""/>
    <s v="Fora Perfil;Instagram"/>
    <s v="Pipeline de Vendas"/>
    <s v="Qualificação de Vendas (SQL) (25%)"/>
    <s v=""/>
    <d v="2026-02-28T00:00:00"/>
    <m/>
    <m/>
    <n v="12"/>
    <s v="Paulo Souza"/>
    <d v="2026-02-19T00:00:00"/>
    <d v="1899-12-30T08:20:37"/>
    <s v=""/>
    <s v="Perdido"/>
    <d v="2026-03-03T00:00:00"/>
    <d v="1899-12-30T21:25:01"/>
    <s v="Fora do porte mínimo (sem fit estrutural)"/>
    <s v=""/>
    <s v=""/>
    <x v="0"/>
    <s v="Paulo Souza"/>
    <x v="0"/>
    <s v=""/>
    <m/>
    <n v="32"/>
    <s v=""/>
    <s v=""/>
    <s v=""/>
    <s v=""/>
    <n v="1"/>
  </r>
  <r>
    <x v="2"/>
    <n v="956"/>
    <m/>
    <n v="3286"/>
    <s v="esta atrás de parceiria para revenda do sistema"/>
    <s v=""/>
    <x v="464"/>
    <m/>
    <s v=""/>
    <s v="Grupo Alves Consultoria Empresarial"/>
    <s v="92992307944"/>
    <s v=""/>
    <s v="tayanxpmartins@hotmail.com"/>
    <s v=""/>
    <s v=""/>
    <s v=""/>
    <s v=""/>
    <s v=""/>
    <s v="Campanha"/>
    <s v=""/>
    <s v=""/>
    <s v="Fora Perfil;Instagram"/>
    <s v="Pipeline de Vendas"/>
    <s v="Agendamento (0%)"/>
    <s v=""/>
    <d v="2026-02-28T00:00:00"/>
    <m/>
    <m/>
    <n v="3"/>
    <s v="Paulo Souza"/>
    <d v="2026-02-20T00:00:00"/>
    <d v="1899-12-30T13:53:53"/>
    <s v=""/>
    <s v="Perdido"/>
    <d v="2026-02-23T00:00:00"/>
    <d v="1899-12-30T16:07:54"/>
    <s v="Fora do porte mínimo (sem fit estrutural)"/>
    <s v=""/>
    <s v=""/>
    <x v="0"/>
    <s v="Rayssa Karapeticov"/>
    <x v="0"/>
    <s v=""/>
    <d v="2026-02-23T00:00:00"/>
    <n v="30"/>
    <s v=""/>
    <s v=""/>
    <s v=""/>
    <s v=""/>
    <n v="1"/>
  </r>
  <r>
    <x v="2"/>
    <n v="959"/>
    <m/>
    <n v="3298"/>
    <s v="Cliente é um representante da Oster e outras marcas, a ideia de negociação é do AFV, mas no dia sexta-feira, 20 de fevereiro de 2026_x000a_11:00 - 12:00 (BRT) - realizamos uma apresentação do AFv, durante a reunião pediu uma proposta do ERP também para avaliar uma possivel troca. _x000a_Após a reunião fizemos uma segunda ruenião de apresentação da proposta comercial no dia 24/02_x000a_Após isso cliente ficou de me passar uma contra proposta para negociação, porém ele esta em feria no EUA, e ainda não retornoul_x000a_Falei com ele hoje 18/03 e ainda esta em feira e pediu para retornar na sexta oferecendo um login e senha. _x000a_Vou retornar o contato na sexta para entender(provavelemente é do AFV) mas dar sequencia no atendimento_x000a_24.03 Estou marcando uma reunião presencial, porém essa semana esta em SC"/>
    <s v=""/>
    <x v="465"/>
    <m/>
    <s v=""/>
    <s v="André Feldman"/>
    <s v="11988461881"/>
    <s v=""/>
    <s v="andre@homebrands.com.br"/>
    <s v=""/>
    <s v=""/>
    <s v=""/>
    <s v=""/>
    <s v=""/>
    <s v=""/>
    <s v=""/>
    <s v=""/>
    <s v=""/>
    <s v="Pipeline de Vendas"/>
    <s v="Em negociação (75%)"/>
    <s v=""/>
    <d v="2026-05-31T00:00:00"/>
    <n v="963186"/>
    <n v="62062"/>
    <n v="79"/>
    <s v="Rayssa Karapeticov"/>
    <d v="2026-02-23T00:00:00"/>
    <d v="1899-12-30T11:51:24"/>
    <s v=""/>
    <s v="Perdido"/>
    <d v="2026-05-13T00:00:00"/>
    <d v="1899-12-30T10:42:53"/>
    <s v="Projeto adiado / sem prazo definido"/>
    <s v=""/>
    <s v=""/>
    <x v="188"/>
    <s v="Rayssa Karapeticov"/>
    <x v="206"/>
    <s v=""/>
    <d v="2026-05-13T00:00:00"/>
    <n v="30"/>
    <s v=""/>
    <s v="ERP"/>
    <s v=""/>
    <s v=""/>
    <n v="1"/>
  </r>
  <r>
    <x v="2"/>
    <n v="960"/>
    <m/>
    <n v="3299"/>
    <s v="Cliente é um representante da Oster e outras marcas, a ideia de negociação é do AFV, mas no dia sexta-feira, 20 de fevereiro de 2026_x000a_11:00 - 12:00 (BRT) - realizamos uma apresentação do AFv, durante a reunião pediu uma proposta do ERP também para avaliar uma possivel troca. _x000a_Após a reunião fizemos uma segunda ruenião de apresentação da proposta comercial no dia 24/02_x000a_Após isso cliente ficou de me passar uma contra proposta para negociação, porém ele esta em feria no EUA, e ainda não retornoul_x000a_Falei com ele hoje 18/03 e ainda esta em feira e pediu para retornar na sexta oferecendo um login e senha. _x000a_Vou retornar o contato na sexta para entender(provavelemente é do AFV) mas dar sequencia no atendimento_x000a_24.03 Estou marcando uma reunião presencial, porém essa semana esta em SC."/>
    <s v=""/>
    <x v="466"/>
    <m/>
    <s v=""/>
    <s v="Andre"/>
    <s v="11988461881"/>
    <s v=""/>
    <s v="andre@homebrands.com.br"/>
    <s v=""/>
    <s v=""/>
    <s v=""/>
    <s v=""/>
    <s v=""/>
    <s v=""/>
    <s v=""/>
    <s v=""/>
    <s v=""/>
    <s v="Pipeline de Vendas"/>
    <s v="Em negociação (75%)"/>
    <s v=""/>
    <d v="2026-04-30T00:00:00"/>
    <n v="27150"/>
    <n v="3450"/>
    <n v="79"/>
    <s v="Rayssa Karapeticov"/>
    <d v="2026-02-23T00:00:00"/>
    <d v="1899-12-30T12:12:37"/>
    <s v=""/>
    <s v="Perdido"/>
    <d v="2026-05-13T00:00:00"/>
    <d v="1899-12-30T10:53:23"/>
    <s v="Não quer mudar a solução atual"/>
    <s v=""/>
    <s v=""/>
    <x v="188"/>
    <s v="Rayssa Karapeticov"/>
    <x v="206"/>
    <s v=""/>
    <d v="2026-05-13T00:00:00"/>
    <n v="30"/>
    <s v=""/>
    <s v="AFV"/>
    <s v=""/>
    <s v=""/>
    <n v="1"/>
  </r>
  <r>
    <x v="1"/>
    <n v="961"/>
    <m/>
    <n v="3287"/>
    <s v="12:26, 24/02/2026 Junior Lopes: lá Valdir, bom dia_x000a_12:26, 24/02/2026 Junior Lopes: aqui é Junior Lopes da Guarani sistemas tudo bem ?_x000a_12:39, 24/02/2026 +55 19 99218-9262: Boa tarde._x000a_Tudo bem e você?_x000a_Estou em um pregão eletrônico,  assim que acabar te chamo_x000a_13:02, 25/02/2026 +55 19 99218-9262: Preciso de um erp que controle 2 cnpj._x000a_Tenha:_x000a_Controle de O.S. com emissão de produto junto._x000a_Atualização com marketplace hoje, ML, Amazon, Shopee e Magazine Luiza._x000a_Controle de contratos _x000a_Ecomerce._x000a_Vendas por WhatsApp, Instagram, etc._x000a_Quando fazer venda na loja física, podendo colocar produtos das duas empresas e depois fazer as nfe de acordo com os produtos adequados._x000a_13:02, 25/02/2026 Junior Lopes: Olá Valdir , boa tarde_x000a_13:03, 25/02/2026 Junior Lopes: Assim que finalizar meu almoço , verifico sua mensagem e te respondo_x000a_13:03, 25/02/2026 Junior Lopes: Um abraço_x000a_13:03, 25/02/2026 +55 19 99218-9262: Estou no médico tambem agora, kkkk_x000a_13:03, 25/02/2026 +55 19 99218-9262: No aguardo_x000a_14:02, 25/02/2026 Junior Lopes: Olá Valdir, td bem ? fiz uma analise sobre as necessidades que você solicitou_x000a_14:02, 25/02/2026 Junior Lopes: Para o cenário da Compuleme, que exige uma frente de caixa (PDV) para loja física e integração direta com redes sociais e marketplaces, informamos que a Guarani não é a solução ideal._x000a_Embora sejamos fortes no controle de múltiplos CNPJs, O.S. e contratos, nosso sistema não opera com vendas de varejo físico ou integração de canais de atendimento (WhatsApp/Instagram). Preferimos ser transparentes para que vocês possam focar em uma ferramenta que já possua esse ecossistema de vendas integrado nativamente"/>
    <s v=""/>
    <x v="467"/>
    <n v="56556830000154"/>
    <s v=""/>
    <s v="Compuleme"/>
    <s v="19992189262"/>
    <s v=""/>
    <s v="valdir@compuleme.com.br"/>
    <s v=""/>
    <s v=""/>
    <s v=""/>
    <s v=""/>
    <s v=""/>
    <s v="Campanha"/>
    <s v=""/>
    <s v=""/>
    <s v="Fora Perfil;Instagram"/>
    <s v="Pipeline de Vendas"/>
    <s v="Qualificação de Vendas (SQL) (25%)"/>
    <s v=""/>
    <d v="2026-02-28T00:00:00"/>
    <m/>
    <m/>
    <n v="2"/>
    <s v="Paulo Souza"/>
    <d v="2026-02-24T00:00:00"/>
    <d v="1899-12-30T09:39:07"/>
    <s v=""/>
    <s v="Perdido"/>
    <d v="2026-02-26T00:00:00"/>
    <d v="1899-12-30T23:10:53"/>
    <s v="Fora do porte mínimo (sem fit estrutural)"/>
    <s v=""/>
    <s v=""/>
    <x v="0"/>
    <s v="Junior Lopes"/>
    <x v="0"/>
    <s v=""/>
    <d v="2026-02-25T00:00:00"/>
    <n v="30"/>
    <s v=""/>
    <s v=""/>
    <s v=""/>
    <s v=""/>
    <n v="1"/>
  </r>
  <r>
    <x v="2"/>
    <n v="962"/>
    <m/>
    <n v="3290"/>
    <s v="Perfil da Empresa_x000a_Setor: Tecnologia e segurança_x000a_Atuação: Distribuidora e empresa de tecnologia_x000a_Marcas representadas: Motorola, 3M_x000a_Produtos e Serviços_x000a_Vendas de produtos:_x000a_Via rádio de segurança_x000a_Formato de vendas para clientes recorrentes_x000a_Indicação pelo próprio representante_x000a_Equipe interna de vendas com 10 pessoas_x000a_Locação de produtos_x000a_Serviços complementares (não especificados, mas mencionados)_x000a_Estrutura Comercial_x000a_Equipe de vendas: 10 pessoas_x000a_Canais de vendas:_x000a_Representantes_x000a_Indicações_x000a_Equipe interna_x000a_Necessidade Atual_x000a_Implementar uma solução que:_x000a_Crie indicadores de desempenho para a equipe de vendas_x000a_Disponibilize um CRM para gestão de clientes e processos"/>
    <s v=""/>
    <x v="468"/>
    <m/>
    <s v=""/>
    <s v="São Paulo"/>
    <s v="11991241336"/>
    <s v=""/>
    <s v="dario@trivaletecnologia.com.br"/>
    <s v=""/>
    <s v=""/>
    <s v=""/>
    <s v=""/>
    <s v=""/>
    <s v="Campanha"/>
    <s v=""/>
    <s v=""/>
    <s v="Dentro Perfil;Instagram"/>
    <s v="Pipeline de Vendas"/>
    <s v="Agendamento (0%)"/>
    <s v=""/>
    <d v="2026-02-28T00:00:00"/>
    <m/>
    <m/>
    <n v="74"/>
    <s v="Paulo Souza"/>
    <d v="2026-02-24T00:00:00"/>
    <d v="1899-12-30T09:42:24"/>
    <s v=""/>
    <s v="Perdido"/>
    <d v="2026-05-09T00:00:00"/>
    <d v="1899-12-30T08:49:05"/>
    <s v="Fora do segmento atendido"/>
    <s v=""/>
    <s v=""/>
    <x v="0"/>
    <s v="Rayssa Karapeticov"/>
    <x v="0"/>
    <s v=""/>
    <d v="2026-02-26T00:00:00"/>
    <n v="30"/>
    <s v=""/>
    <s v=""/>
    <s v=""/>
    <s v=""/>
    <n v="1"/>
  </r>
  <r>
    <x v="0"/>
    <n v="963"/>
    <m/>
    <n v="3293"/>
    <s v="26/02 Fiz FUP com o Anderson e ele possui 3 lojas de roupa e esta fora do perfil."/>
    <s v=""/>
    <x v="469"/>
    <m/>
    <s v=""/>
    <s v="Anderson Brandão"/>
    <s v="13981286699"/>
    <s v=""/>
    <s v="anderson.melro@hotmail.com"/>
    <s v=""/>
    <s v=""/>
    <s v=""/>
    <s v=""/>
    <s v=""/>
    <s v="Campanha"/>
    <s v=""/>
    <s v=""/>
    <s v="Fora Perfil;Instagram"/>
    <s v="Pipeline de Vendas"/>
    <s v="Agendamento (0%)"/>
    <s v=""/>
    <d v="2026-02-28T00:00:00"/>
    <m/>
    <m/>
    <n v="2"/>
    <s v="Paulo Souza"/>
    <d v="2026-02-24T00:00:00"/>
    <d v="1899-12-30T09:46:02"/>
    <s v=""/>
    <s v="Perdido"/>
    <d v="2026-02-26T00:00:00"/>
    <d v="1899-12-30T17:30:38"/>
    <s v="Fora do porte mínimo (sem fit estrutural)"/>
    <s v="26/02 Fiz FUP com o Anderson e ele possui 3 lojas de roupa e esta fora do perfil."/>
    <s v=""/>
    <x v="0"/>
    <s v="Paulo Souza"/>
    <x v="0"/>
    <s v=""/>
    <m/>
    <n v="30"/>
    <s v=""/>
    <s v="PDV"/>
    <s v=""/>
    <s v=""/>
    <n v="1"/>
  </r>
  <r>
    <x v="0"/>
    <n v="964"/>
    <m/>
    <n v="3294"/>
    <s v="26/02 Fiz FUP com a Leticia ela não pode atender pois estava saindo para buscar o filho na escola, ficamos de falar amanha._x000a_12/03 Apos ligar e não ser atendido estou declinando a aliança."/>
    <s v=""/>
    <x v="470"/>
    <m/>
    <s v=""/>
    <s v="Leticia"/>
    <s v="(62) 99953-7500"/>
    <s v=""/>
    <s v="leticiarsouza1@gmail.com"/>
    <s v=""/>
    <s v=""/>
    <s v=""/>
    <s v="Goiânia"/>
    <s v=""/>
    <s v="Site"/>
    <s v=""/>
    <s v=""/>
    <s v="Dentro Perfil;Fora Perfil;Solicita demo"/>
    <s v="Pipeline de Vendas"/>
    <s v="Qualificação de Vendas (SQL) (25%)"/>
    <s v=""/>
    <d v="2026-02-28T00:00:00"/>
    <m/>
    <m/>
    <n v="16"/>
    <s v="Paulo Souza"/>
    <d v="2026-02-24T00:00:00"/>
    <d v="1899-12-30T09:48:17"/>
    <s v=""/>
    <s v="Perdido"/>
    <d v="2026-03-12T00:00:00"/>
    <d v="1899-12-30T17:30:42"/>
    <s v="Fora do porte mínimo (sem fit estrutural)"/>
    <s v=""/>
    <s v=""/>
    <x v="0"/>
    <s v="Paulo Souza"/>
    <x v="200"/>
    <s v=""/>
    <d v="2026-03-12T00:00:00"/>
    <n v="30"/>
    <s v=""/>
    <s v=""/>
    <s v=""/>
    <s v=""/>
    <n v="1"/>
  </r>
  <r>
    <x v="1"/>
    <n v="965"/>
    <m/>
    <n v="3295"/>
    <s v="(24/02/20260 Tentativa de ligação não atendia ! enviei mensagem a fim de contato com Geaze ! _x000a_em busca sobre a empresa usando IA do Google :_x000a_A Infraloc é uma empresa especializada na locação e venda de móveis corporativos e equipamentos, com forte atuação no setor de construção civil, canteiros de obras e eventos. _x000a_Informações de Contato e Localização_x000a_Endereço: R. José Miranda, 143 - Afogados, Recife - PE._x000a_WhatsApp: (81) 98297-2897._x000a_Site Oficial: infraloc.com.br. _x000a_Principais Produtos e Serviços_x000a_A empresa oferece soluções completas para canteiros, escritórios e refeitórios, incluindo:_x000a_Móveis Corporativos: Mesas de reunião, mesas e cadeiras de escritório, armários roupeiros e estações de trabalho._x000a_Equipamentos: Bebedouros industriais, cafeteiras expressas, impressoras a laser e máquinas para construção._x000a_Estruturas para Eventos: Locação de toldos, mesas e cadeiras de PVC para festas e eventos em gera_x000a_(25/02/2026) cliente trabalha com locação de equipamento , é necessário controle e contrato de locação manutenção (Fora do perfil )"/>
    <s v=""/>
    <x v="471"/>
    <m/>
    <s v=""/>
    <s v="Infraloc"/>
    <s v="81986574539"/>
    <s v=""/>
    <s v="geazemiranda@yahoo.com.br"/>
    <s v=""/>
    <s v=""/>
    <s v=""/>
    <s v=""/>
    <s v=""/>
    <s v="Campanha"/>
    <s v=""/>
    <s v=""/>
    <s v="Fora Perfil;Instagram"/>
    <s v="Pipeline de Vendas"/>
    <s v="Qualificação de Vendas (SQL) (25%)"/>
    <s v=""/>
    <d v="2026-02-28T00:00:00"/>
    <m/>
    <m/>
    <n v="1"/>
    <s v="Paulo Souza"/>
    <d v="2026-02-24T00:00:00"/>
    <d v="1899-12-30T09:49:20"/>
    <s v=""/>
    <s v="Perdido"/>
    <d v="2026-02-25T00:00:00"/>
    <d v="1899-12-30T10:58:00"/>
    <s v="Fora do porte mínimo (sem fit estrutural)"/>
    <s v="(25/02/2026) cliente trabalha com locação de equipamento , é necessário controle e contrato de locação manutenção (Fora do perfil )"/>
    <s v=""/>
    <x v="0"/>
    <s v="Junior Lopes"/>
    <x v="0"/>
    <s v=""/>
    <d v="2026-02-25T00:00:00"/>
    <n v="30"/>
    <s v=""/>
    <s v=""/>
    <s v=""/>
    <s v=""/>
    <n v="1"/>
  </r>
  <r>
    <x v="2"/>
    <n v="966"/>
    <m/>
    <n v="3296"/>
    <s v=""/>
    <s v=""/>
    <x v="472"/>
    <m/>
    <s v=""/>
    <s v="Centrolar"/>
    <s v="62992132212"/>
    <s v=""/>
    <s v="ubiratanrosania@gmail.com"/>
    <s v=""/>
    <s v=""/>
    <s v=""/>
    <s v=""/>
    <s v=""/>
    <s v="Campanha"/>
    <s v=""/>
    <s v=""/>
    <s v="Fora Perfil;Instagram"/>
    <s v="Pipeline de Vendas"/>
    <s v="Agendamento (0%)"/>
    <s v=""/>
    <d v="2026-03-31T00:00:00"/>
    <m/>
    <m/>
    <n v="74"/>
    <s v="Paulo Souza"/>
    <d v="2026-02-24T00:00:00"/>
    <d v="1899-12-30T09:50:49"/>
    <s v=""/>
    <s v="Perdido"/>
    <d v="2026-05-09T00:00:00"/>
    <d v="1899-12-30T21:11:15"/>
    <s v="Sem qualificação — contato não atende ligações nem responde msg"/>
    <s v=""/>
    <s v=""/>
    <x v="0"/>
    <s v="Rayssa Karapeticov"/>
    <x v="0"/>
    <s v=""/>
    <d v="2026-03-09T00:00:00"/>
    <n v="30"/>
    <s v=""/>
    <s v=""/>
    <s v=""/>
    <s v=""/>
    <n v="1"/>
  </r>
  <r>
    <x v="1"/>
    <n v="967"/>
    <m/>
    <n v="3300"/>
    <s v="(24/02/2026) em contato com Daniel _x000a_A empresa Vitta Estrutural está iniciando as operação, sua operação esta focada em recarga de extintores e revenda de produtos através de venda balcão e representante externo ! um ponto especifico é o controle de lote e validade dos extintores informando a data que está vencendo no ambiente do cliente _x000a_Daniel solicitou uma previsão de investimento para seguirmos _x000a_(25/02/2026) enviando previsão de investimento para analise do cliente e viabilidade  _x000a_10:50, 25/02/2026 Junior Lopes: valores na pagina 27 com resumo na pagina 28_x000a_10:53, 25/02/2026 Junior Lopes: perfeito ! ficamos a disposição para apresentação completa da solução_x000a_10:41, 09/03/2026 Junior Lopes: Olá Daniel, bom dia _x000a_Sobre o projeto ERP Guarani ! Vamos da sequência meu amigo?_x000a_10:41, 09/03/2026 Junior Lopes: Olá Daniel, bom dia _x000a_Sobre o projeto ERP Guarani ! Vamos da sequência meu amigo?_x000a_10:42, 09/03/2026 +55 67 9207-9099: Bom dia, agradeço por enquanto.,_x000a_10:45, 09/03/2026 Junior Lopes: Obrigado pelo retorno! Sucesso para vcs"/>
    <s v=""/>
    <x v="473"/>
    <m/>
    <s v=""/>
    <s v="Vitta Estrutural"/>
    <s v="67992079099"/>
    <s v=""/>
    <s v="dgruschel@hotmail.com"/>
    <s v=""/>
    <s v=""/>
    <s v=""/>
    <s v=""/>
    <s v=""/>
    <s v="Campanha"/>
    <s v=""/>
    <s v=""/>
    <s v="30%;Dentro Perfil;Instagram"/>
    <s v="Pipeline de Vendas"/>
    <s v="Apresentar Proposta (50%)"/>
    <s v=""/>
    <d v="2026-03-30T00:00:00"/>
    <n v="758068"/>
    <n v="9596"/>
    <n v="13"/>
    <s v="Paulo Souza"/>
    <d v="2026-02-24T00:00:00"/>
    <d v="1899-12-30T09:52:13"/>
    <s v=""/>
    <s v="Perdido"/>
    <d v="2026-03-09T00:00:00"/>
    <d v="1899-12-30T10:46:44"/>
    <s v="Projeto adiado / sem prazo definido"/>
    <s v="10:41, 09/03/2026 Junior Lopes: Olá Daniel, bom dia _x000a_Sobre o projeto ERP Guarani ! Vamos da sequência meu amigo?_x000a_10:42, 09/03/2026 +55 67 9207-9099: Bom dia, agradeço por enquanto.,_x000a_10:45, 09/03/2026 Junior Lopes: Obrigado pelo retorno! Sucesso para vcs"/>
    <s v=""/>
    <x v="184"/>
    <s v="Junior Lopes"/>
    <x v="199"/>
    <s v=""/>
    <d v="2026-03-09T00:00:00"/>
    <n v="30"/>
    <s v=""/>
    <s v=""/>
    <s v=""/>
    <s v=""/>
    <n v="1"/>
  </r>
  <r>
    <x v="0"/>
    <n v="968"/>
    <m/>
    <n v="3288"/>
    <s v="26/02 Fiz FUP hoje com o Fábio ele não atendeu a ligação, deixei novo recado no Whatasapp."/>
    <s v=""/>
    <x v="474"/>
    <m/>
    <s v=""/>
    <s v="Flávio Storino"/>
    <s v="(19) 99667-2002"/>
    <s v=""/>
    <s v="flaviostorino@gmail.com"/>
    <s v=""/>
    <s v=""/>
    <s v=""/>
    <s v="Porto Ferreira"/>
    <s v=""/>
    <s v="Site"/>
    <s v=""/>
    <s v=""/>
    <s v="Contato"/>
    <s v="Pipeline de Vendas"/>
    <s v="Qualificação de Vendas (SQL) (25%)"/>
    <s v=""/>
    <d v="2026-02-28T00:00:00"/>
    <m/>
    <m/>
    <n v="2"/>
    <s v="Paulo Souza"/>
    <d v="2026-02-24T00:00:00"/>
    <d v="1899-12-30T09:54:16"/>
    <s v=""/>
    <s v="Perdido"/>
    <d v="2026-02-26T00:00:00"/>
    <d v="1899-12-30T18:33:13"/>
    <s v="Fora do porte mínimo (sem fit estrutural)"/>
    <s v=""/>
    <s v=""/>
    <x v="0"/>
    <s v="Paulo Souza"/>
    <x v="0"/>
    <s v=""/>
    <m/>
    <n v="30"/>
    <s v=""/>
    <s v=""/>
    <s v=""/>
    <s v=""/>
    <n v="1"/>
  </r>
  <r>
    <x v="2"/>
    <n v="969"/>
    <m/>
    <n v="3304"/>
    <s v=""/>
    <s v=""/>
    <x v="475"/>
    <n v="64688089000103"/>
    <s v=""/>
    <s v="Lucas"/>
    <s v="(11) 1111-1111"/>
    <s v=""/>
    <s v="contato@lucassecco.com.br"/>
    <s v=""/>
    <s v=""/>
    <s v=""/>
    <s v="ITAJAI"/>
    <s v="SC"/>
    <s v=""/>
    <s v=""/>
    <s v=""/>
    <s v=""/>
    <s v="Pipeline de Vendas"/>
    <s v="Apresentar Proposta (50%)"/>
    <s v=""/>
    <d v="2026-06-30T00:00:00"/>
    <n v="5191686"/>
    <n v="50562"/>
    <n v="16"/>
    <s v="Rayssa Karapeticov"/>
    <d v="2026-02-24T00:00:00"/>
    <d v="1899-12-30T12:41:49"/>
    <s v=""/>
    <s v="Perdido"/>
    <d v="2026-03-12T00:00:00"/>
    <d v="1899-12-30T17:14:44"/>
    <s v="Preço muito alto - fora do budget de investimento"/>
    <s v=""/>
    <s v=""/>
    <x v="189"/>
    <s v="Rayssa Karapeticov"/>
    <x v="207"/>
    <s v=""/>
    <d v="2026-03-12T00:00:00"/>
    <n v="30"/>
    <s v=""/>
    <s v="ERP, AFV"/>
    <s v=""/>
    <s v=""/>
    <n v="1"/>
  </r>
  <r>
    <x v="2"/>
    <n v="971"/>
    <m/>
    <n v="3303"/>
    <s v=""/>
    <s v=""/>
    <x v="476"/>
    <n v="1397620000179"/>
    <s v=""/>
    <s v="Sunred confecções"/>
    <s v="37988006012"/>
    <s v=""/>
    <s v="atendimento@sunred.com.br"/>
    <s v=""/>
    <s v=""/>
    <s v=""/>
    <s v=""/>
    <s v=""/>
    <s v="Campanha"/>
    <s v=""/>
    <s v=""/>
    <s v="Fora Perfil;Instagram"/>
    <s v="Pipeline de Vendas"/>
    <s v="Agendamento (0%)"/>
    <s v=""/>
    <d v="2026-02-28T00:00:00"/>
    <m/>
    <m/>
    <n v="73"/>
    <s v="Paulo Souza"/>
    <d v="2026-02-25T00:00:00"/>
    <d v="1899-12-30T15:32:36"/>
    <s v=""/>
    <s v="Perdido"/>
    <d v="2026-05-09T00:00:00"/>
    <d v="1899-12-30T08:49:28"/>
    <s v="Fora do segmento atendido"/>
    <s v=""/>
    <s v=""/>
    <x v="0"/>
    <s v="Rayssa Karapeticov"/>
    <x v="0"/>
    <s v=""/>
    <m/>
    <n v="27"/>
    <s v=""/>
    <s v=""/>
    <s v=""/>
    <s v=""/>
    <n v="1"/>
  </r>
  <r>
    <x v="1"/>
    <n v="972"/>
    <m/>
    <n v="3305"/>
    <s v="25/02/2026) em contato com Rogério _x000a_aoós tentativa de ligação nos falamos via WhatsApp conforme abaixo : _x000a_15:40, 25/02/2026 Junior Lopes: Olá Rogério , boa tarde_x000a_15:40, 25/02/2026 Junior Lopes: Sou Junior Lopes da Guarani sistemas! Td bem ?_x000a_15:40, 25/02/2026 Teodoro Cosmeticos: Boa tarde Júnior_x000a_15:41, 25/02/2026 Teodoro Cosmeticos: Bem graças a Deus_x000a_15:41, 25/02/2026 Junior Lopes: Que bom_x000a_15:41, 25/02/2026 Junior Lopes: Estou retornando um contato que vc fez conosco, relacionado ao nosso software_x000a_através de um áudio pedi para me falar um pouco mais sonbre sua empresa e dores _x000a_(25/02/2026) Agenda de apresentação AFV _x000a_(12/03/2026) Rogério achou investimento alto para o momento  atual"/>
    <s v=""/>
    <x v="477"/>
    <n v="51119265000144"/>
    <s v=""/>
    <s v="Teodoro cosméticos"/>
    <s v="(14) 3541-6311"/>
    <s v=""/>
    <s v="agilassessoriacontabil@otmail.com"/>
    <s v=""/>
    <s v=""/>
    <s v=""/>
    <s v="PROMISSAO"/>
    <s v="SP"/>
    <s v="Campanha"/>
    <s v=""/>
    <s v=""/>
    <s v="Dentro Perfil;Instagram"/>
    <s v="Pipeline de Vendas"/>
    <s v="Apresentar Proposta (50%)"/>
    <s v=""/>
    <d v="2026-02-25T00:00:00"/>
    <n v="5842744"/>
    <n v="145888"/>
    <n v="15"/>
    <s v="Paulo Souza"/>
    <d v="2026-02-25T00:00:00"/>
    <d v="1899-12-30T15:33:31"/>
    <s v=""/>
    <s v="Perdido"/>
    <d v="2026-03-12T00:00:00"/>
    <d v="1899-12-30T10:52:05"/>
    <s v="Não houve aprovação financeira"/>
    <s v="(12/03/2026) Rogério achou investimento alto para o momento  atual"/>
    <s v=""/>
    <x v="190"/>
    <s v="Junior Lopes"/>
    <x v="200"/>
    <s v=""/>
    <d v="2026-03-12T00:00:00"/>
    <n v="30"/>
    <s v=""/>
    <s v=""/>
    <s v=""/>
    <s v=""/>
    <n v="1"/>
  </r>
  <r>
    <x v="1"/>
    <n v="973"/>
    <m/>
    <n v="3309"/>
    <s v="(26/02/2026) Tentativa de ligação não atendida _x000a_09:13, 26/02/2026 Junior Lopes: Olá Junior, bom dia_x000a_09:13, 26/02/2026 Junior Lopes: aqui é Junior Lopes da Guarani sistemas, tudo bem ?_x000a_09:14, 26/02/2026 Junior Lopes: estou retornando um contato que você fez relacionado ao sistema Guarani_x000a_(26/02/2026) cliente não retorna aos contatos ! em breve pesquisa sobre a Revisão autopeças identifiquei que loja balcão ficando fora do perfil _x000a_estou declinando"/>
    <s v=""/>
    <x v="478"/>
    <n v="13994329000167"/>
    <s v=""/>
    <s v="Revisao Autopeças"/>
    <s v="(31) 8705-9607"/>
    <s v=""/>
    <s v="pratesctb@gmail.com"/>
    <s v=""/>
    <s v=""/>
    <s v=""/>
    <s v="CONTAGEM"/>
    <s v="MG"/>
    <s v="Inbound"/>
    <s v=""/>
    <s v=""/>
    <s v="Fora Perfil;Instagram"/>
    <s v="Pipeline de Vendas"/>
    <s v="Qualificação de Vendas (SQL) (25%)"/>
    <s v=""/>
    <d v="2026-02-28T00:00:00"/>
    <m/>
    <m/>
    <n v="1"/>
    <s v="Paulo Souza"/>
    <d v="2026-02-25T00:00:00"/>
    <d v="1899-12-30T21:31:37"/>
    <s v=""/>
    <s v="Perdido"/>
    <d v="2026-02-26T00:00:00"/>
    <d v="1899-12-30T23:08:09"/>
    <s v="Fora do porte mínimo (sem fit estrutural)"/>
    <s v=""/>
    <s v=""/>
    <x v="0"/>
    <s v="Junior Lopes"/>
    <x v="0"/>
    <s v=""/>
    <m/>
    <n v="30"/>
    <s v=""/>
    <s v=""/>
    <s v=""/>
    <s v=""/>
    <n v="1"/>
  </r>
  <r>
    <x v="2"/>
    <n v="974"/>
    <m/>
    <n v="3312"/>
    <s v=""/>
    <s v=""/>
    <x v="479"/>
    <m/>
    <s v=""/>
    <s v="Jlj transportes e locações"/>
    <s v="3196677652"/>
    <s v=""/>
    <s v="jairocesar@jllcomserv.com.br"/>
    <s v=""/>
    <s v=""/>
    <s v=""/>
    <s v=""/>
    <s v=""/>
    <s v="Campanha"/>
    <s v=""/>
    <s v=""/>
    <s v="Fora Perfil;Instagram"/>
    <s v="Pipeline de Vendas"/>
    <s v="Agendamento (0%)"/>
    <s v=""/>
    <d v="2026-05-31T00:00:00"/>
    <m/>
    <m/>
    <n v="72"/>
    <s v="Paulo Souza"/>
    <d v="2026-02-26T00:00:00"/>
    <d v="1899-12-30T09:29:58"/>
    <s v=""/>
    <s v="Perdido"/>
    <d v="2026-05-09T00:00:00"/>
    <d v="1899-12-30T08:49:59"/>
    <s v="Fora do segmento atendido"/>
    <s v=""/>
    <s v=""/>
    <x v="0"/>
    <s v="Rayssa Karapeticov"/>
    <x v="0"/>
    <s v=""/>
    <d v="2026-03-03T00:00:00"/>
    <n v="30"/>
    <s v=""/>
    <s v=""/>
    <s v=""/>
    <s v=""/>
    <n v="1"/>
  </r>
  <r>
    <x v="0"/>
    <n v="976"/>
    <m/>
    <n v="3314"/>
    <s v="26/02 Fiz Fiz FUP hoje com o Matheus e agendamos uma apresentação para quinta-feira dia 05/03 às 15h._x000a_05/03 Fiz FUP com o Matheus e hoje temos uma apresentação as 15h par afalar de sistema. Ele tem uma distribuidora de alimentação animal. _x000a_Tem 7 vendedores. já ancorei 50k de investimento_x000a_12/03 Fiz FUP hoje com o Matheus para saber se ele tem interesse em seguir _x000a_20/03 Fiz contato com o Matues muitas vezes sem retorno e por falta de comunicação estou encerrado a oportunidade."/>
    <s v=""/>
    <x v="480"/>
    <n v="22228036000160"/>
    <s v=""/>
    <s v="Matheus"/>
    <s v="(15) 3553-1307 / (15) 3553-1308"/>
    <s v=""/>
    <s v="matheusmarmodossantoslima@gmail.com"/>
    <s v=""/>
    <s v=""/>
    <s v=""/>
    <s v="RIBEIRAO BRANCO"/>
    <s v="SP"/>
    <s v="Site"/>
    <s v=""/>
    <s v=""/>
    <s v="Dentro Perfil;Solicita demo"/>
    <s v="Pipeline de Vendas"/>
    <s v="Apresentar Proposta (50%)"/>
    <s v=""/>
    <d v="2026-03-31T00:00:00"/>
    <m/>
    <m/>
    <n v="22"/>
    <s v="Paulo Souza"/>
    <d v="2026-02-26T00:00:00"/>
    <d v="1899-12-30T15:46:38"/>
    <s v=""/>
    <s v="Perdido"/>
    <d v="2026-03-20T00:00:00"/>
    <d v="1899-12-30T17:21:26"/>
    <s v="Projeto adiado / sem prazo definido"/>
    <s v=""/>
    <s v=""/>
    <x v="168"/>
    <s v="Paulo Souza"/>
    <x v="182"/>
    <s v=""/>
    <d v="2026-03-20T00:00:00"/>
    <n v="32"/>
    <s v=""/>
    <s v="ERP, AFV"/>
    <s v=""/>
    <s v=""/>
    <n v="1"/>
  </r>
  <r>
    <x v="0"/>
    <n v="977"/>
    <m/>
    <n v="3318"/>
    <s v="10/03 uilian me retornou avisou que vai manter a Mercos , devido a urgência que precisa referente a abertura da unidade São Paulo. Após essa necessidade ser atendida voltaremos a falar!"/>
    <s v=""/>
    <x v="481"/>
    <n v="82270893000150"/>
    <s v=""/>
    <s v="uilian"/>
    <s v="(44) 3045-3700"/>
    <s v=""/>
    <s v="uilian.gurjon@prats.com.br"/>
    <s v=""/>
    <s v=""/>
    <s v=""/>
    <s v="PARANAVAI"/>
    <s v="PR"/>
    <s v=""/>
    <s v=""/>
    <s v=""/>
    <s v=""/>
    <s v="Pipeline de Vendas"/>
    <s v="Em Fechamento (100%)"/>
    <s v=""/>
    <d v="2026-02-28T00:00:00"/>
    <n v="35870"/>
    <n v="5290"/>
    <n v="12"/>
    <s v="Paulo Souza"/>
    <d v="2026-02-26T00:00:00"/>
    <d v="1899-12-30T15:48:32"/>
    <s v=""/>
    <s v="Perdido"/>
    <d v="2026-03-10T00:00:00"/>
    <d v="1899-12-30T11:44:09"/>
    <s v="Não quer mudar a solução atual"/>
    <s v=""/>
    <s v=""/>
    <x v="168"/>
    <s v="Paulo Souza"/>
    <x v="199"/>
    <s v=""/>
    <m/>
    <n v="30"/>
    <s v="100"/>
    <s v="AFV"/>
    <s v=""/>
    <s v=""/>
    <n v="1"/>
  </r>
  <r>
    <x v="1"/>
    <n v="978"/>
    <m/>
    <n v="3323"/>
    <s v="(12/03/2026) Rogério achou investimento alto para o momento  atual"/>
    <s v=""/>
    <x v="482"/>
    <m/>
    <s v=""/>
    <s v="Teodoro cosméticos - AFV"/>
    <s v="1435416311"/>
    <s v=""/>
    <s v="agilassessoriacontabil@otmail.com"/>
    <s v=""/>
    <s v=""/>
    <s v=""/>
    <s v=""/>
    <s v=""/>
    <s v=""/>
    <s v=""/>
    <s v=""/>
    <s v=""/>
    <s v="Pipeline de Vendas"/>
    <s v="Apresentar Proposta (50%)"/>
    <s v=""/>
    <m/>
    <n v="1105989"/>
    <n v="29463"/>
    <n v="14"/>
    <s v="Junior Lopes"/>
    <d v="2026-02-26T00:00:00"/>
    <d v="1899-12-30T17:20:40"/>
    <s v=""/>
    <s v="Perdido"/>
    <d v="2026-03-12T00:00:00"/>
    <d v="1899-12-30T10:53:12"/>
    <s v="Não houve aprovação financeira"/>
    <s v="(12/03/2026) Rogério achou investimento alto para o momento  atual"/>
    <s v=""/>
    <x v="190"/>
    <s v=""/>
    <x v="200"/>
    <s v=""/>
    <d v="2026-03-13T00:00:00"/>
    <n v="30"/>
    <s v=""/>
    <s v=""/>
    <s v=""/>
    <s v=""/>
    <n v="1"/>
  </r>
  <r>
    <x v="1"/>
    <n v="979"/>
    <m/>
    <n v="3324"/>
    <s v="(12/03/2026) Rogério achou investimento alto para o momento  atual"/>
    <s v=""/>
    <x v="483"/>
    <m/>
    <s v=""/>
    <s v="Teodoro cosméticos - Cloud"/>
    <s v="1435416311"/>
    <s v=""/>
    <s v="agilassessoriacontabil@otmail.com"/>
    <s v=""/>
    <s v=""/>
    <s v=""/>
    <s v=""/>
    <s v=""/>
    <s v=""/>
    <s v=""/>
    <s v=""/>
    <s v=""/>
    <s v="Pipeline de Vendas"/>
    <s v="Apresentar Proposta (50%)"/>
    <s v=""/>
    <m/>
    <n v="1600"/>
    <n v="252471"/>
    <n v="14"/>
    <s v="Junior Lopes"/>
    <d v="2026-02-26T00:00:00"/>
    <d v="1899-12-30T17:35:15"/>
    <s v=""/>
    <s v="Perdido"/>
    <d v="2026-03-12T00:00:00"/>
    <d v="1899-12-30T10:50:51"/>
    <s v="Não houve aprovação financeira"/>
    <s v="(12/03/2026) Rogério achou investimento alto para o momento  atual"/>
    <s v="12/03/2026"/>
    <x v="190"/>
    <s v=""/>
    <x v="0"/>
    <s v=""/>
    <m/>
    <n v="30"/>
    <s v=""/>
    <s v=""/>
    <s v=""/>
    <s v=""/>
    <n v="1"/>
  </r>
  <r>
    <x v="0"/>
    <n v="980"/>
    <m/>
    <n v="3325"/>
    <s v=""/>
    <s v=""/>
    <x v="484"/>
    <n v="23059521000110"/>
    <s v=""/>
    <s v="Cristiana"/>
    <s v="(49) 3665-3004"/>
    <s v=""/>
    <s v=""/>
    <s v=""/>
    <s v=""/>
    <s v=""/>
    <s v="IRACEMINHA"/>
    <s v="SC"/>
    <s v=""/>
    <s v=""/>
    <s v=""/>
    <s v=""/>
    <s v="Pipeline de Vendas"/>
    <s v="Em Fechamento (100%)"/>
    <s v=""/>
    <d v="2026-02-28T00:00:00"/>
    <n v="7470289"/>
    <n v="1221612"/>
    <n v="0"/>
    <s v="Paulo Souza"/>
    <d v="2026-02-26T00:00:00"/>
    <d v="1899-12-30T21:58:14"/>
    <s v=""/>
    <s v="Ganho"/>
    <d v="2026-02-26T00:00:00"/>
    <d v="1899-12-30T22:03:35"/>
    <s v=""/>
    <s v=""/>
    <s v=""/>
    <x v="190"/>
    <s v="Paulo Souza"/>
    <x v="208"/>
    <s v=""/>
    <m/>
    <n v="90"/>
    <s v=""/>
    <s v="ERP, AFV, ADICIONAIS, BI"/>
    <s v="R$ 74.702,90"/>
    <s v="R$ 12.216,08"/>
    <n v="1"/>
  </r>
  <r>
    <x v="1"/>
    <n v="981"/>
    <m/>
    <n v="3328"/>
    <s v=""/>
    <s v=""/>
    <x v="485"/>
    <m/>
    <s v=""/>
    <s v="Encartelados Nina - Cloud"/>
    <s v="4733683065"/>
    <s v=""/>
    <s v="ninaencartelados@gmail.com"/>
    <s v=""/>
    <s v=""/>
    <s v=""/>
    <s v=""/>
    <s v=""/>
    <s v=""/>
    <s v=""/>
    <s v=""/>
    <s v=""/>
    <s v="Pipeline de Vendas"/>
    <s v="Apresentar Proposta (50%)"/>
    <s v=""/>
    <m/>
    <n v="0"/>
    <n v="1900"/>
    <n v="76"/>
    <s v="Junior Lopes"/>
    <d v="2026-02-27T00:00:00"/>
    <d v="1899-12-30T10:58:33"/>
    <s v=""/>
    <s v="Perdido"/>
    <d v="2026-05-14T00:00:00"/>
    <d v="1899-12-30T14:49:37"/>
    <s v="Não houve aprovação financeira"/>
    <s v="14/05/2026 : _x000a_09:02, 13/05/2026 Fabio Oliveira Nina Enc: Consegui sim, teu sistema é maravilhoso, muito bom mesmo _x000a_porem eu passei pro pessoal aqui, e no momento, nosso faturamaento nao condiz com o investimento a ser feito_x000a_09:03, 13/05/2026 Fabio Oliveira Nina Enc: espero que logo possamos mudar isso_x000a_09:05, 13/05/2026 Junior Lopes: Entendo Fábio ! _x000a_ O que está pegando mais na proposta ? O projeto ou as mensalidades?_x000a_09:08, 13/05/2026 Fabio Oliveira Nina Enc: na verdade é um pouco dos dois, hj nosso sistema nos custa 6 mil por ano, claro que ele nao tem a mesma eficiencia do seu, mas para a quantidade de vendas nossa, no atual momento ele nos atende bem_x000a_09:21, 13/05/2026 Junior Lopes: Entendo ! Gostaria de pensar aí e nos fazer uma contra proposta ?_x000a_09:22, 13/05/2026 Fabio Oliveira Nina Enc: no momento vamos deixar em off_x000a_09:22, 13/05/2026 Fabio Oliveira Nina Enc: obrigado pela atençao_x000a_09:28, 13/05/2026 Junior Lopes: Ta joia meu amigo_x000a_09:29, 13/05/2026 Junior Lopes: Ficamos a disposição! Tenho certeza que podemos ajudar muito no crescimento da Nina encartelados _x000a_Um abraço_x000a_09:29, 13/05/2026 Fabio Oliveira Nina Enc: abraço"/>
    <s v=""/>
    <x v="182"/>
    <s v=""/>
    <x v="198"/>
    <s v="05/05/2026"/>
    <d v="2026-05-14T00:00:00"/>
    <n v="30"/>
    <s v=""/>
    <s v=""/>
    <s v=""/>
    <s v=""/>
    <n v="1"/>
  </r>
  <r>
    <x v="1"/>
    <n v="982"/>
    <m/>
    <n v="3329"/>
    <s v=""/>
    <s v=""/>
    <x v="486"/>
    <m/>
    <s v=""/>
    <s v="Atavadão das Tripas - Cloud"/>
    <s v="14998549863"/>
    <s v=""/>
    <s v="kayocalil@hotmail.com"/>
    <s v=""/>
    <s v=""/>
    <s v=""/>
    <s v=""/>
    <s v=""/>
    <s v=""/>
    <s v=""/>
    <s v=""/>
    <s v=""/>
    <s v="Pipeline de Vendas"/>
    <s v="Em negociação (75%)"/>
    <s v=""/>
    <m/>
    <n v="1600"/>
    <n v="252471"/>
    <n v="56"/>
    <s v="Junior Lopes"/>
    <d v="2026-02-27T00:00:00"/>
    <d v="1899-12-30T12:19:18"/>
    <s v=""/>
    <s v="Perdido"/>
    <d v="2026-04-24T00:00:00"/>
    <d v="1899-12-30T09:13:40"/>
    <s v="Não houve aprovação financeira"/>
    <s v="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
    <s v=""/>
    <x v="191"/>
    <s v=""/>
    <x v="196"/>
    <s v="19/02/2026"/>
    <m/>
    <n v="30"/>
    <s v=""/>
    <s v=""/>
    <s v=""/>
    <s v=""/>
    <n v="1"/>
  </r>
  <r>
    <x v="1"/>
    <n v="983"/>
    <m/>
    <n v="3330"/>
    <s v=""/>
    <s v=""/>
    <x v="487"/>
    <m/>
    <s v=""/>
    <s v="Clean tech - Cloud"/>
    <s v="11915642482"/>
    <s v=""/>
    <s v="null"/>
    <s v=""/>
    <s v=""/>
    <s v=""/>
    <s v=""/>
    <s v=""/>
    <s v=""/>
    <s v=""/>
    <s v=""/>
    <s v=""/>
    <s v="Pipeline de Vendas"/>
    <s v="Em Fechamento (100%)"/>
    <s v=""/>
    <m/>
    <n v="0"/>
    <n v="384454"/>
    <n v="33"/>
    <s v="Junior Lopes"/>
    <d v="2026-02-27T00:00:00"/>
    <d v="1899-12-30T13:04:33"/>
    <s v=""/>
    <s v="Ganho"/>
    <d v="2026-04-01T00:00:00"/>
    <d v="1899-12-30T10:40:31"/>
    <s v=""/>
    <s v=""/>
    <s v=""/>
    <x v="183"/>
    <s v=""/>
    <x v="0"/>
    <s v=""/>
    <m/>
    <n v="30"/>
    <s v=""/>
    <s v=""/>
    <s v=""/>
    <s v=""/>
    <n v="1"/>
  </r>
  <r>
    <x v="1"/>
    <n v="984"/>
    <m/>
    <n v="3331"/>
    <s v=""/>
    <s v=""/>
    <x v="488"/>
    <m/>
    <s v=""/>
    <s v="StarTools - Cloud"/>
    <s v="1184724282"/>
    <s v=""/>
    <s v="controladoria@startoolsferramentas.com.br"/>
    <s v=""/>
    <s v=""/>
    <s v=""/>
    <s v=""/>
    <s v=""/>
    <s v=""/>
    <s v=""/>
    <s v=""/>
    <s v=""/>
    <s v="Pipeline de Vendas"/>
    <s v="Apresentar Solução (35%)"/>
    <s v=""/>
    <m/>
    <n v="0"/>
    <n v="0"/>
    <n v="82"/>
    <s v="Junior Lopes"/>
    <d v="2026-02-27T00:00:00"/>
    <d v="1899-12-30T13:09:06"/>
    <s v=""/>
    <s v="Ativo"/>
    <m/>
    <m/>
    <s v=""/>
    <s v=""/>
    <s v=""/>
    <x v="0"/>
    <s v=""/>
    <x v="209"/>
    <s v=""/>
    <d v="2026-04-29T00:00:00"/>
    <n v="30"/>
    <s v=""/>
    <s v=""/>
    <s v=""/>
    <s v=""/>
    <n v="1"/>
  </r>
  <r>
    <x v="0"/>
    <n v="985"/>
    <m/>
    <n v="3332"/>
    <s v="27/02 Fiz apresentação do sistema e proposta para o cliente._x000a_12/03 Fiz FUP hoje com Pamela para saber se seguiremos ou não._x000a_20/03 Cobrando a Pamela para fazer o fechamento do projeto."/>
    <s v=""/>
    <x v="489"/>
    <m/>
    <s v=""/>
    <s v="Pamela"/>
    <s v="4699841338"/>
    <s v=""/>
    <s v="importacao.azul@hotmail.com"/>
    <s v=""/>
    <s v=""/>
    <s v=""/>
    <s v=""/>
    <s v=""/>
    <s v=""/>
    <s v=""/>
    <s v=""/>
    <s v=""/>
    <s v="Pipeline de Vendas"/>
    <s v="Em Fechamento (100%)"/>
    <s v=""/>
    <d v="2026-03-31T00:00:00"/>
    <n v="5007058"/>
    <n v="268966"/>
    <n v="42"/>
    <s v="Paulo Souza"/>
    <d v="2026-02-27T00:00:00"/>
    <d v="1899-12-30T14:36:39"/>
    <s v=""/>
    <s v="Perdido"/>
    <d v="2026-04-10T00:00:00"/>
    <d v="1899-12-30T16:01:47"/>
    <s v="Não quer mudar a solução atual"/>
    <s v=""/>
    <s v=""/>
    <x v="168"/>
    <s v="Paulo Souza"/>
    <x v="182"/>
    <s v=""/>
    <d v="2026-03-12T00:00:00"/>
    <n v="30"/>
    <s v="280"/>
    <s v="ERP, AFV"/>
    <s v=""/>
    <s v=""/>
    <n v="1"/>
  </r>
  <r>
    <x v="0"/>
    <n v="987"/>
    <m/>
    <n v="3334"/>
    <s v="26/02 Fiz FUP e agendei uma apresentação._x000a_20/03 Buscando nova agenda com o Alexandre para o dia 27/03."/>
    <s v=""/>
    <x v="490"/>
    <n v="7730144000142"/>
    <s v=""/>
    <s v="Breno"/>
    <s v="11994558029"/>
    <s v=""/>
    <s v="suporte.ti@kopermax.com.br"/>
    <s v=""/>
    <s v=""/>
    <s v=""/>
    <s v=""/>
    <s v=""/>
    <s v=""/>
    <s v=""/>
    <s v=""/>
    <s v=""/>
    <s v="Pipeline de Vendas"/>
    <s v="Em negociação (75%)"/>
    <s v=""/>
    <d v="2026-03-31T00:00:00"/>
    <n v="29800"/>
    <n v="4600"/>
    <n v="80"/>
    <s v="Paulo Souza"/>
    <d v="2026-02-27T00:00:00"/>
    <d v="1899-12-30T21:24:36"/>
    <s v=""/>
    <s v="Perdido"/>
    <d v="2026-05-18T00:00:00"/>
    <d v="1899-12-30T16:54:32"/>
    <s v="Projeto adiado / sem prazo definido"/>
    <s v=""/>
    <s v=""/>
    <x v="101"/>
    <s v="Paulo Souza"/>
    <x v="210"/>
    <s v=""/>
    <d v="2026-03-20T00:00:00"/>
    <n v="30"/>
    <s v=""/>
    <s v="AFV"/>
    <s v=""/>
    <s v=""/>
    <n v="1"/>
  </r>
  <r>
    <x v="2"/>
    <n v="990"/>
    <m/>
    <n v="3335"/>
    <s v="19.03 Entrei em contato com a Karen, apresentação agendada para quarta as 9:30 _x000a_31.03 não tenho consultor disponivel para seguir com uma agenda com o cliente_x000a_07.04 - não tenho consultor disponivel para seguir com uma agenda com o cliente"/>
    <s v=""/>
    <x v="491"/>
    <n v="15497764000616"/>
    <s v=""/>
    <s v="KAREN STANGE"/>
    <s v="(42) 3025-6309"/>
    <s v=""/>
    <s v="karen.stang@hotmail.com"/>
    <s v=""/>
    <s v=""/>
    <s v=""/>
    <s v="MAFRA"/>
    <s v="SC"/>
    <s v="Site"/>
    <s v=""/>
    <s v=""/>
    <s v="Dentro Perfil;Solicita demo"/>
    <s v="Pipeline de Vendas"/>
    <s v="Apresentar Solução (35%)"/>
    <s v=""/>
    <d v="2026-06-30T00:00:00"/>
    <m/>
    <m/>
    <n v="35"/>
    <s v="Paulo Souza"/>
    <d v="2026-03-03T00:00:00"/>
    <d v="1899-12-30T21:22:22"/>
    <s v=""/>
    <s v="Perdido"/>
    <d v="2026-04-07T00:00:00"/>
    <d v="1899-12-30T10:59:30"/>
    <s v="Projeto adiado / sem prazo definido"/>
    <s v=""/>
    <s v=""/>
    <x v="0"/>
    <s v="Rayssa Karapeticov"/>
    <x v="0"/>
    <s v=""/>
    <d v="2026-04-07T00:00:00"/>
    <n v="30"/>
    <s v=""/>
    <s v="ERP"/>
    <s v=""/>
    <s v=""/>
    <n v="1"/>
  </r>
  <r>
    <x v="1"/>
    <n v="991"/>
    <m/>
    <n v="3339"/>
    <s v="17:05, 04/03/2026 Junior Lopes: Olá Marcelo ! Boa tarde_x000a_17:05, 04/03/2026 Junior Lopes: Junior da Guarani sistemas por aqui , Td bem ?_x000a_17:07, 04/03/2026 Junior Lopes: Estou retornando um contato que vc fez conosco ! Qual melhor horário para falarmos ?_x000a_17:14, 04/03/2026 Marcelo Plug Lar: opa blz._x000a_17:14, 04/03/2026 Marcelo Plug Lar: joia junior_x000a_17:15, 04/03/2026 Junior Lopes: Td joia Marcelo_x000a_17:18, 04/03/2026 Marcelo Plug Lar: eu queria conhecer + sobre o sistema de vocês._x000a_17:18, 04/03/2026 Marcelo Plug Lar: eu procuro algo básico_x000a_(09/03/2026) Buscando contato com Marcelo a fim de darmos sequencia _x000a_(09/03/2026) Marcelo busca um software mais simples e com custo menor!"/>
    <s v=""/>
    <x v="492"/>
    <n v="5137778000160"/>
    <s v=""/>
    <s v="Marcelo Camargo"/>
    <s v="(19) 99623-4303"/>
    <s v=""/>
    <s v="marcelo@pluglar.com.br"/>
    <s v=""/>
    <s v=""/>
    <s v=""/>
    <s v="Rio Claro"/>
    <s v=""/>
    <s v="Site"/>
    <s v=""/>
    <s v=""/>
    <s v="Dentro Perfil;Solicita demo"/>
    <s v="Pipeline de Vendas"/>
    <s v="Apresentar Solução (35%)"/>
    <s v=""/>
    <d v="2026-03-31T00:00:00"/>
    <n v="1104172"/>
    <n v="656776"/>
    <n v="20"/>
    <s v="Paulo Souza"/>
    <d v="2026-03-04T00:00:00"/>
    <d v="1899-12-30T16:37:48"/>
    <s v=""/>
    <s v="Perdido"/>
    <d v="2026-03-24T00:00:00"/>
    <d v="1899-12-30T15:30:09"/>
    <s v="Não houve aprovação financeira"/>
    <s v="(09/03/2026) Marcelo busca um software mais simples e com custo menor!"/>
    <s v=""/>
    <x v="192"/>
    <s v="Junior Lopes"/>
    <x v="188"/>
    <s v=""/>
    <d v="2026-03-09T00:00:00"/>
    <n v="30"/>
    <s v=""/>
    <s v="B2B"/>
    <s v=""/>
    <s v=""/>
    <n v="1"/>
  </r>
  <r>
    <x v="0"/>
    <n v="993"/>
    <m/>
    <n v="3342"/>
    <s v="11/03 Foi feito a apresentação hoje do institucional e Guarani AFV._x000a_Resumo:_x000a_Produtos : ERP + AFV + Televendas + MDe _x000a_Opcionais: Comex, Cloud, CRM , B2B, HUB_x000a_Próximo passos: enviar uma proposta._x000a_20/03 Fiz contato com o Ericson para saber se vamos seguir ou não."/>
    <s v=""/>
    <x v="493"/>
    <n v="43191819000196"/>
    <s v=""/>
    <s v="Ericson"/>
    <s v="(43) 3056-3780"/>
    <s v=""/>
    <s v="escritorio@damiaoefilhos.com.br"/>
    <s v=""/>
    <s v=""/>
    <s v=""/>
    <s v="ARAPONGAS"/>
    <s v="PR"/>
    <s v=""/>
    <s v=""/>
    <s v=""/>
    <s v=""/>
    <s v="Pipeline de Vendas"/>
    <s v="Em negociação (75%)"/>
    <s v=""/>
    <d v="2026-03-31T00:00:00"/>
    <n v="895843"/>
    <n v="395308"/>
    <n v="36"/>
    <s v="Paulo Souza"/>
    <d v="2026-03-05T00:00:00"/>
    <d v="1899-12-30T08:51:53"/>
    <s v=""/>
    <s v="Perdido"/>
    <d v="2026-04-10T00:00:00"/>
    <d v="1899-12-30T17:25:45"/>
    <s v="Preço muito alto - fora do budget de investimento"/>
    <s v=""/>
    <s v=""/>
    <x v="187"/>
    <s v="Paulo Souza"/>
    <x v="211"/>
    <s v=""/>
    <d v="2026-03-20T00:00:00"/>
    <n v="30"/>
    <s v=""/>
    <s v="ERP, AFV, ADICIONAIS"/>
    <s v=""/>
    <s v=""/>
    <n v="1"/>
  </r>
  <r>
    <x v="2"/>
    <n v="994"/>
    <m/>
    <n v="3347"/>
    <s v="24.03 cliente enviou um documento de aderencia, porém a MArilia pediu uma reunião para falar sobre o documento e funcionalidades_x000a_15.04 Ficou fora da empresa esses 15 dias, acredita que hoje consegue avaliar todo material que mandei, retornar o contato na segunda"/>
    <s v="Industria E Comercio Jolitex Ltda"/>
    <x v="494"/>
    <n v="61808531000523"/>
    <s v=""/>
    <s v="Industria E Comercio Jolitex Ltda"/>
    <s v="(11) 3254-7100"/>
    <s v=""/>
    <s v="atendimento@jolitex.com"/>
    <s v=""/>
    <s v=""/>
    <s v=""/>
    <s v="SAO PAULO"/>
    <s v="SP"/>
    <s v="Base de empresas Leads2b"/>
    <s v=""/>
    <s v=""/>
    <s v=""/>
    <s v="Pipeline de Vendas"/>
    <s v="Apresentar Proposta (50%)"/>
    <s v=""/>
    <d v="2026-04-30T00:00:00"/>
    <m/>
    <m/>
    <n v="76"/>
    <s v="Rayssa Karapeticov"/>
    <d v="2026-03-05T00:00:00"/>
    <d v="1899-12-30T17:24:09"/>
    <s v=""/>
    <s v="Ativo"/>
    <m/>
    <m/>
    <s v=""/>
    <s v=""/>
    <s v=""/>
    <x v="0"/>
    <s v="Rayssa Karapeticov"/>
    <x v="195"/>
    <s v="12/03/2026"/>
    <d v="2026-04-23T00:00:00"/>
    <n v="30"/>
    <s v=""/>
    <s v="AFV"/>
    <s v=""/>
    <s v=""/>
    <n v="1"/>
  </r>
  <r>
    <x v="1"/>
    <n v="995"/>
    <m/>
    <n v="3348"/>
    <s v="16:28, 06/03/2026 Valdinei vaeso: Entendi mas esta fora do que pretendo investir_x000a_16:28, 06/03/2026 Valdinei vaeso: Te agradeço_x000a_16:46, 06/03/2026 Junior Lopes: Qual é a sua ideia de investimento?_x000a_16:47, 06/03/2026 Valdinei vaeso: Não vou nem fazer proposta porque a proposta veio com valores altos de implementação e mentoria_x000a_16:47, 06/03/2026 Valdinei vaeso: Sistema parece intuitivo_x000a_16:47, 06/03/2026 Valdinei vaeso: E vi ontem e gostei_x000a_16:47, 06/03/2026 Valdinei vaeso: Preciso de força de vendas_x000a_16:56, 06/03/2026 Valdinei vaeso: Ok"/>
    <s v="Vaeso Comercial Ltda"/>
    <x v="495"/>
    <n v="58092341000114"/>
    <s v=""/>
    <s v="Vaeso Comercial Ltda"/>
    <s v="(47) 9946-6330"/>
    <s v=""/>
    <s v="administrativo@qscontabilidade.com.br"/>
    <s v=""/>
    <s v=""/>
    <s v=""/>
    <s v="JOINVILLE"/>
    <s v="SC"/>
    <s v="Base de empresas Leads2b"/>
    <s v=""/>
    <s v=""/>
    <s v=""/>
    <s v="Pipeline de Vendas"/>
    <s v="Apresentar Proposta (50%)"/>
    <s v=""/>
    <m/>
    <n v="686343"/>
    <n v="36781"/>
    <n v="3"/>
    <s v="Junior Lopes"/>
    <d v="2026-03-06T00:00:00"/>
    <d v="1899-12-30T12:33:31"/>
    <s v=""/>
    <s v="Perdido"/>
    <d v="2026-03-09T00:00:00"/>
    <d v="1899-12-30T09:35:35"/>
    <s v="Não houve aprovação financeira"/>
    <s v="16:28, 06/03/2026 Valdinei vaeso: Entendi mas esta fora do que pretendo investir_x000a_16:28, 06/03/2026 Valdinei vaeso: Te agradeço_x000a_16:46, 06/03/2026 Junior Lopes: Qual é a sua ideia de investimento?_x000a_16:47, 06/03/2026 Valdinei vaeso: Não vou nem fazer proposta porque a proposta veio com valores altos de implementação e mentoria_x000a_16:47, 06/03/2026 Valdinei vaeso: Sistema parece intuitivo_x000a_16:47, 06/03/2026 Valdinei vaeso: E vi ontem e gostei_x000a_16:47, 06/03/2026 Valdinei vaeso: Preciso de força de vendas_x000a_16:56, 06/03/2026 Valdinei vaeso: Ok"/>
    <s v=""/>
    <x v="193"/>
    <s v=""/>
    <x v="212"/>
    <s v=""/>
    <d v="2026-03-06T00:00:00"/>
    <n v="50"/>
    <s v=""/>
    <s v=""/>
    <s v=""/>
    <s v=""/>
    <n v="1"/>
  </r>
  <r>
    <x v="1"/>
    <n v="996"/>
    <m/>
    <n v="3351"/>
    <s v="(10/03/2026) Agenda para apresentação do ERP 12/03 _x000a_10:07, 14/04/2026 Luccas Globalmix: Bom dia meu amigo, tudo bem? _x000a_Desculpe não te responder. Estou com alguns problemas de família e estive meio ausente. _x000a_Analisamos sua proposta e infelizmente ficou muito acima do que estávamos planejando nesse momento. _x000a_Desculpe a minha ignorância, mas não consegui compreender o motivo de um custo tão alto para a implementação de um ERP já existente. O custo que você me passou é basicamente o de desenvolver um novo sistema próprio. _x000a_Infelizmente nessas condições é inviável para nós nesse momento. _x000a_Agradeço pelo seu atendimento nas últimas semanas, foi extremamente atencioso. Espero que compreenda. _x000a_Obrigado_x000a_10:15, 14/04/2026 Junior Lopes: Bom dia, Luccas, tudo bem?_x000a_Primeiro, espero que as coisas com sua família se resolvam da melhor forma possível. Fica tranquilo quanto ao retorno, eu entendo perfeitamente._x000a_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_x000a_O que está incluso nesse investimento é justamente o que vai fazer o sistema “virar realidade” dentro da Globalmix:_x000a_– entendimento dos processos de vocês;_x000a_– parametrização do ERP para a realidade da empresa;_x000a_– construção/ajuste dos relatórios que vocês precisam;_x000a_– validação e homologação do funcionamento antes de ir para produção;_x000a_– integração com a Lisa Log;_x000a_– e, principalmente, treinamento da equipe e acompanhamento na virada, para que todo mundo use da forma correta e o projeto traga resultado._x000a_Sem essa etapa de consultoria, o risco é ter um sistema bom, mas mal configurado ou pouco usado, o que acaba gerando retrabalho e perda de confiança na ferramenta – e é justamente isso que queremos evitar._x000a_Dito isso, eu entendo totalmente a questão de orçamento. Se fizer sentido para você, eu posso:_x000a_1) rever o escopo para enxugar etapas e tentar adequar o investimento ao momento da Globalmix; ou_x000a_2) pensar em uma implantação por fases, começando pelo essencial (comercial + força de vendas + básico de estoque) e deixando integrações e aprofundamentos para uma segunda etapa._x000a_Você se sentiria confortável em me dizer qual faixa de investimento vocês tinham planejado, para eu ver o que é possível ajustar com transparência?"/>
    <s v="Crx Comercio, Importacao E Exportacao Ltda"/>
    <x v="496"/>
    <n v="27672869000139"/>
    <s v=""/>
    <s v="GlobalMIx"/>
    <s v="(11) 9999-9999"/>
    <s v=""/>
    <s v="contabilgrupocrx@gmail.com"/>
    <s v=""/>
    <s v=""/>
    <s v=""/>
    <s v="ITAJAI"/>
    <s v="SC"/>
    <s v=""/>
    <s v=""/>
    <s v=""/>
    <s v=""/>
    <s v="Pipeline de Vendas"/>
    <s v="Apresentar Solução (35%)"/>
    <s v=""/>
    <m/>
    <n v="7305558"/>
    <n v="143186"/>
    <n v="40"/>
    <s v="Junior Lopes"/>
    <d v="2026-03-06T00:00:00"/>
    <d v="1899-12-30T17:07:19"/>
    <s v=""/>
    <s v="Perdido"/>
    <d v="2026-04-15T00:00:00"/>
    <d v="1899-12-30T09:35:15"/>
    <s v="Não houve aprovação financeira"/>
    <s v="10:07, 14/04/2026 Luccas Globalmix: Bom dia meu amigo, tudo bem? _x000a_Desculpe não te responder. Estou com alguns problemas de família e estive meio ausente. _x000a_Analisamos sua proposta e infelizmente ficou muito acima do que estávamos planejando nesse momento. _x000a_Desculpe a minha ignorância, mas não consegui compreender o motivo de um custo tão alto para a implementação de um ERP já existente. O custo que você me passou é basicamente o de desenvolver um novo sistema próprio. _x000a_Infelizmente nessas condições é inviável para nós nesse momento. _x000a_Agradeço pelo seu atendimento nas últimas semanas, foi extremamente atencioso. Espero que compreenda. _x000a_Obrigado_x000a_10:15, 14/04/2026 Junior Lopes: Bom dia, Luccas, tudo bem?_x000a_Primeiro, espero que as coisas com sua família se resolvam da melhor forma possível. Fica tranquilo quanto ao retorno, eu entendo perfeitamente._x000a_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_x000a_O que está incluso nesse investimento é justamente o que vai fazer o sistema “virar realidade” dentro da Globalmix:_x000a_– entendimento dos processos de vocês;_x000a_– parametrização do ERP para a realidade da empresa;_x000a_– construção/ajuste dos relatórios que vocês precisam;_x000a_– validação e homologação do funcionamento antes de ir para produção;_x000a_– integração com a Lisa Log;_x000a_– e, principalmente, treinamento da equipe e acompanhamento na virada, para que todo mundo use da forma correta e o projeto traga resultado._x000a_Sem essa etapa de consultoria, o risco é ter um sistema bom, mas mal configurado ou pouco usado, o que acaba gerando retrabalho e perda de confiança na ferramenta – e é justamente isso que queremos evitar._x000a_Dito isso, eu entendo totalmente a questão de orçamento. Se fizer sentido para você, eu posso:_x000a_1) rever o escopo para enxugar etapas e tentar adequar o investimento ao momento da Globalmix; ou_x000a_2) pensar em uma implantação por fases, começando pelo essencial (comercial + força de vendas + básico de estoque) e deixando integrações e aprofundamentos para uma segunda etapa._x000a_Você se sentiria confortável em me dizer qual faixa de investimento vocês tinham planejado, para eu ver o que é possível ajustar com transparência?"/>
    <s v=""/>
    <x v="194"/>
    <s v=""/>
    <x v="195"/>
    <s v=""/>
    <d v="2026-04-15T00:00:00"/>
    <n v="30"/>
    <s v=""/>
    <s v=""/>
    <s v=""/>
    <s v=""/>
    <n v="1"/>
  </r>
  <r>
    <x v="2"/>
    <n v="997"/>
    <m/>
    <n v="3341"/>
    <s v=""/>
    <s v=""/>
    <x v="497"/>
    <m/>
    <s v=""/>
    <s v="Irmãos Capuci"/>
    <s v="67999772326"/>
    <s v=""/>
    <s v="joaoliloc@gmail.com"/>
    <s v=""/>
    <s v=""/>
    <s v=""/>
    <s v=""/>
    <s v=""/>
    <s v="Campanha"/>
    <s v=""/>
    <s v=""/>
    <s v="Fora Perfil;Instagram"/>
    <s v="Pipeline de Vendas"/>
    <s v="Agendamento (0%)"/>
    <s v=""/>
    <d v="2026-03-31T00:00:00"/>
    <m/>
    <m/>
    <n v="1"/>
    <s v="Paulo Souza"/>
    <d v="2026-03-09T00:00:00"/>
    <d v="1899-12-30T14:16:23"/>
    <s v=""/>
    <s v="Perdido"/>
    <d v="2026-03-10T00:00:00"/>
    <d v="1899-12-30T10:03:18"/>
    <s v="Fora do porte mínimo (sem fit estrutural)"/>
    <s v=""/>
    <s v=""/>
    <x v="0"/>
    <s v="Rayssa Karapeticov"/>
    <x v="0"/>
    <s v=""/>
    <m/>
    <n v="30"/>
    <s v=""/>
    <s v=""/>
    <s v=""/>
    <s v=""/>
    <n v="1"/>
  </r>
  <r>
    <x v="1"/>
    <n v="999"/>
    <m/>
    <n v="3360"/>
    <s v="(10/03/2026) em contato com Fernando _x000a_11:24, 11/03/2026 Junior Lopes: Olá Fernando! Td bem ? _x000a_Você tem interesse sem seguir com informações sobre a solução Guarani sistemas?"/>
    <s v=""/>
    <x v="498"/>
    <m/>
    <s v=""/>
    <s v="Fcabrasil"/>
    <s v="19974124080"/>
    <s v=""/>
    <s v="fernando@fcabrasil.com.br"/>
    <s v=""/>
    <s v=""/>
    <s v=""/>
    <s v=""/>
    <s v=""/>
    <s v="Campanha"/>
    <s v=""/>
    <s v=""/>
    <s v="Fora Perfil;Instagram"/>
    <s v="Pipeline de Vendas"/>
    <s v="Qualificação de Vendas (SQL) (25%)"/>
    <s v=""/>
    <d v="2026-03-31T00:00:00"/>
    <m/>
    <m/>
    <n v="29"/>
    <s v="Paulo Souza"/>
    <d v="2026-03-10T00:00:00"/>
    <d v="1899-12-30T09:07:12"/>
    <s v=""/>
    <s v="Perdido"/>
    <d v="2026-04-08T00:00:00"/>
    <d v="1899-12-30T17:25:42"/>
    <s v="Fora do porte mínimo (sem fit estrutural)"/>
    <s v=") declinando por falta de interação por parte do cliente"/>
    <s v=""/>
    <x v="0"/>
    <s v="Junior Lopes"/>
    <x v="0"/>
    <s v=""/>
    <d v="2026-03-19T00:00:00"/>
    <n v="30"/>
    <s v=""/>
    <s v=""/>
    <s v=""/>
    <s v=""/>
    <n v="1"/>
  </r>
  <r>
    <x v="0"/>
    <n v="1000"/>
    <m/>
    <n v="3358"/>
    <s v="10/03 Fiz contato e não obtive retorno deixei recado._x000a_11/03 Fiz FUP hoje com o Ridalvo Donizeti sem sucesso._x000a_12/3 Fiz varias ligações sem sucesso. Por falta de retorno encerrei o lead,."/>
    <s v=""/>
    <x v="499"/>
    <m/>
    <s v=""/>
    <s v="Ridalvo Donizeti"/>
    <s v="16991945630"/>
    <s v=""/>
    <s v="ridalvo.rossi@brdbtasil.com.br"/>
    <s v=""/>
    <s v=""/>
    <s v=""/>
    <s v=""/>
    <s v=""/>
    <s v="Campanha"/>
    <s v=""/>
    <s v=""/>
    <s v="Dentro Perfil;Instagram"/>
    <s v="Pipeline de Vendas"/>
    <s v="Qualificação de Vendas (SQL) (25%)"/>
    <s v=""/>
    <d v="2026-03-31T00:00:00"/>
    <m/>
    <m/>
    <n v="2"/>
    <s v="Paulo Souza"/>
    <d v="2026-03-10T00:00:00"/>
    <d v="1899-12-30T09:19:04"/>
    <s v=""/>
    <s v="Perdido"/>
    <d v="2026-03-12T00:00:00"/>
    <d v="1899-12-30T17:27:22"/>
    <s v="Fora do porte mínimo (sem fit estrutural)"/>
    <s v=""/>
    <s v=""/>
    <x v="0"/>
    <s v="Paulo Souza"/>
    <x v="0"/>
    <s v=""/>
    <d v="2026-03-12T00:00:00"/>
    <n v="30"/>
    <s v=""/>
    <s v=""/>
    <s v=""/>
    <s v=""/>
    <n v="1"/>
  </r>
  <r>
    <x v="2"/>
    <n v="1001"/>
    <m/>
    <n v="3357"/>
    <s v="18.03 proposta apresentada no dia de hoje _x000a_24.03 - não atendeu"/>
    <s v=""/>
    <x v="500"/>
    <m/>
    <s v=""/>
    <s v="Artur Decker"/>
    <s v="(47) 99699-9700"/>
    <s v=""/>
    <s v="artur@assessoriadecker.com"/>
    <s v=""/>
    <s v=""/>
    <s v=""/>
    <s v="Blumenau"/>
    <s v=""/>
    <s v="Site"/>
    <s v=""/>
    <s v=""/>
    <s v="Dentro Perfil;Solicita demo"/>
    <s v="Pipeline de Vendas"/>
    <s v="Em negociação (75%)"/>
    <s v=""/>
    <d v="2026-05-31T00:00:00"/>
    <n v="16800"/>
    <n v="12600"/>
    <n v="71"/>
    <s v="Paulo Souza"/>
    <d v="2026-03-10T00:00:00"/>
    <d v="1899-12-30T09:20:36"/>
    <s v=""/>
    <s v="Ativo"/>
    <m/>
    <m/>
    <s v=""/>
    <s v=""/>
    <s v=""/>
    <x v="195"/>
    <s v="Rayssa Karapeticov"/>
    <x v="213"/>
    <s v=""/>
    <d v="2026-05-13T00:00:00"/>
    <n v="30"/>
    <s v=""/>
    <s v=""/>
    <s v=""/>
    <s v=""/>
    <n v="1"/>
  </r>
  <r>
    <x v="1"/>
    <n v="1002"/>
    <m/>
    <n v="3356"/>
    <s v="(10/03/2026) Em contato com Maxwel _x000a_(27/03/2026) após analise cliente fica fora do perfil ! estamparia de camisetas, canecas e brindes em geral"/>
    <s v=""/>
    <x v="501"/>
    <m/>
    <s v=""/>
    <s v="Terra Brasil"/>
    <s v="11989296453"/>
    <s v=""/>
    <s v="max.vendas@terrabrasilbrindes.com.br"/>
    <s v=""/>
    <s v=""/>
    <s v=""/>
    <s v=""/>
    <s v=""/>
    <s v="Campanha"/>
    <s v=""/>
    <s v=""/>
    <s v="Fora Perfil;Instagram"/>
    <s v="Pipeline de Vendas"/>
    <s v="Qualificação de Vendas (SQL) (25%)"/>
    <s v=""/>
    <d v="2026-03-31T00:00:00"/>
    <m/>
    <m/>
    <n v="17"/>
    <s v="Paulo Souza"/>
    <d v="2026-03-10T00:00:00"/>
    <d v="1899-12-30T09:44:38"/>
    <s v=""/>
    <s v="Perdido"/>
    <d v="2026-03-27T00:00:00"/>
    <d v="1899-12-30T14:24:00"/>
    <s v="Fora do porte mínimo (sem fit estrutural)"/>
    <s v="(27/03/2026) após analise cliente fica fora do perfil ! estamparia de camisetas, canecas e brindes em geral"/>
    <s v=""/>
    <x v="0"/>
    <s v="Junior Lopes"/>
    <x v="0"/>
    <s v=""/>
    <d v="2026-03-27T00:00:00"/>
    <n v="30"/>
    <s v=""/>
    <s v=""/>
    <s v=""/>
    <s v=""/>
    <n v="1"/>
  </r>
  <r>
    <x v="2"/>
    <n v="1003"/>
    <m/>
    <n v="3355"/>
    <s v=""/>
    <s v=""/>
    <x v="502"/>
    <m/>
    <s v=""/>
    <s v="Farmacia Boa Sorte"/>
    <s v="74999642551"/>
    <s v=""/>
    <s v="farmaboasorte@gmail.com"/>
    <s v=""/>
    <s v=""/>
    <s v=""/>
    <s v=""/>
    <s v=""/>
    <s v="Campanha"/>
    <s v=""/>
    <s v=""/>
    <s v="Fora Perfil;Instagram"/>
    <s v="Pipeline de Vendas"/>
    <s v="Agendamento (0%)"/>
    <s v=""/>
    <d v="2026-03-31T00:00:00"/>
    <m/>
    <m/>
    <n v="0"/>
    <s v="Paulo Souza"/>
    <d v="2026-03-10T00:00:00"/>
    <d v="1899-12-30T09:46:18"/>
    <s v=""/>
    <s v="Perdido"/>
    <d v="2026-03-10T00:00:00"/>
    <d v="1899-12-30T10:23:45"/>
    <s v="Fora do porte mínimo (sem fit estrutural)"/>
    <s v=""/>
    <s v=""/>
    <x v="0"/>
    <s v="Rayssa Karapeticov"/>
    <x v="0"/>
    <s v=""/>
    <m/>
    <n v="30"/>
    <s v=""/>
    <s v=""/>
    <s v=""/>
    <s v=""/>
    <n v="1"/>
  </r>
  <r>
    <x v="0"/>
    <n v="1004"/>
    <m/>
    <n v="3353"/>
    <s v="15/03 Feio FUP da apresentação da proposta._x000a_20/03 Fiz FUP hoje com o Sergio cobrando ele sobre a proposta WMS se seguiremos._x000a_20/03 Sergio me passou que o investimento ficou alto para o momento e que nao vai seguir."/>
    <s v=""/>
    <x v="503"/>
    <n v="5291214000188"/>
    <s v=""/>
    <s v="Sergio cdp"/>
    <s v="(38) 99831-2605"/>
    <s v=""/>
    <s v="sergio.cdp00@gmail.com"/>
    <s v=""/>
    <s v=""/>
    <s v=""/>
    <s v="MONTES CLAROS"/>
    <s v="MG"/>
    <s v="Site"/>
    <s v=""/>
    <s v=""/>
    <s v="Solicita demo"/>
    <s v="Pipeline de Vendas"/>
    <s v="Em negociação (75%)"/>
    <s v=""/>
    <d v="2026-03-31T00:00:00"/>
    <n v="22800"/>
    <n v="14256"/>
    <n v="10"/>
    <s v="Paulo Souza"/>
    <d v="2026-03-10T00:00:00"/>
    <d v="1899-12-30T09:52:59"/>
    <s v=""/>
    <s v="Perdido"/>
    <d v="2026-03-20T00:00:00"/>
    <d v="1899-12-30T17:17:39"/>
    <s v="Preço muito alto - fora do budget de investimento"/>
    <s v=""/>
    <s v=""/>
    <x v="174"/>
    <s v="Paulo Souza"/>
    <x v="214"/>
    <s v=""/>
    <d v="2026-03-20T00:00:00"/>
    <n v="30"/>
    <s v=""/>
    <s v="WMS"/>
    <s v=""/>
    <s v=""/>
    <n v="1"/>
  </r>
  <r>
    <x v="2"/>
    <n v="1005"/>
    <m/>
    <n v="3354"/>
    <s v="Reunião realizada 08.04.2024 presencial no cliente_x000a_04.05 - Estou avançando a negociação com o client,e porém ele não concorda com o rejuste de no minimo 5% do contrato"/>
    <s v=""/>
    <x v="504"/>
    <n v="59578948000171"/>
    <s v=""/>
    <s v="3D"/>
    <s v="11983479931"/>
    <s v=""/>
    <s v="tufano@maquimp.com.br"/>
    <s v=""/>
    <s v=""/>
    <s v=""/>
    <s v="SAO PAULO"/>
    <s v="SP"/>
    <s v="Campanha"/>
    <s v=""/>
    <s v=""/>
    <s v="Dentro Perfil;Instagram"/>
    <s v="Pipeline de Vendas"/>
    <s v="Em negociação (75%)"/>
    <s v=""/>
    <d v="2026-06-30T00:00:00"/>
    <n v="58800"/>
    <n v="55164"/>
    <n v="71"/>
    <s v="Paulo Souza"/>
    <d v="2026-03-10T00:00:00"/>
    <d v="1899-12-30T09:55:28"/>
    <s v=""/>
    <s v="Ativo"/>
    <m/>
    <m/>
    <s v=""/>
    <s v=""/>
    <s v=""/>
    <x v="196"/>
    <s v="Rayssa Karapeticov"/>
    <x v="215"/>
    <s v="08/04/2026"/>
    <d v="2026-05-15T00:00:00"/>
    <n v="30"/>
    <s v=""/>
    <s v="ERP"/>
    <s v=""/>
    <s v=""/>
    <n v="1"/>
  </r>
  <r>
    <x v="1"/>
    <n v="1006"/>
    <m/>
    <n v="3343"/>
    <s v="(10/03/2026) em contato com Bruno _x000a_(10/03/2026) cliente informa que já fechou projeto com a Mercos"/>
    <s v=""/>
    <x v="505"/>
    <n v="36882195000198"/>
    <s v=""/>
    <s v="Bruno"/>
    <s v="(11) 94075-6696"/>
    <s v=""/>
    <s v="bruno.arouca@brotacompany.com.br"/>
    <s v=""/>
    <s v=""/>
    <s v=""/>
    <s v="São Paulo"/>
    <s v=""/>
    <s v="Site"/>
    <s v=""/>
    <s v=""/>
    <s v="Dentro Perfil;Solicita demo"/>
    <s v="Pipeline de Vendas"/>
    <s v="Qualificação de Vendas (SQL) (25%)"/>
    <s v=""/>
    <m/>
    <m/>
    <m/>
    <n v="0"/>
    <s v="Paulo Souza"/>
    <d v="2026-03-10T00:00:00"/>
    <d v="1899-12-30T09:59:38"/>
    <s v=""/>
    <s v="Perdido"/>
    <d v="2026-03-10T00:00:00"/>
    <d v="1899-12-30T16:59:56"/>
    <s v="Fechou com o concorrente - preço"/>
    <s v="(10/03/2026) cliente informa que já fechou projeto com a Mercos"/>
    <s v=""/>
    <x v="0"/>
    <s v="Junior Lopes"/>
    <x v="0"/>
    <s v=""/>
    <m/>
    <n v="30"/>
    <s v=""/>
    <s v="AFV"/>
    <s v=""/>
    <s v=""/>
    <n v="1"/>
  </r>
  <r>
    <x v="2"/>
    <n v="1007"/>
    <m/>
    <n v="3344"/>
    <s v="Falei com o Rodrigo, são umdistribuidor de autopeças de Bauru, vieram por inidicação da Ad&amp;Ad. _x000a_Atualmente as vendas são por MKPlace e mercado livre, e possuem vendas internas telemarketing_x000a_Trabalha com a parte especial, falamos sobre financeiro, fiscal, estoque. e pedidos decompras _x000a_Pediu uma estimativa de valores, porque atualmente é ele e um sócio, e precisa discutir com o Sócio para ver se vai avançar por causa do investimento, só que o sócio não esta essa semana _x000a_Então combinamos de falar na proxima semana (23/03)"/>
    <s v=""/>
    <x v="506"/>
    <m/>
    <s v=""/>
    <s v="rodrigo"/>
    <s v="(14) 99701-3009"/>
    <s v=""/>
    <s v="compras@s4distribuidora.com.br"/>
    <s v=""/>
    <s v=""/>
    <s v=""/>
    <s v="Bauru"/>
    <s v=""/>
    <s v="Site"/>
    <s v=""/>
    <s v=""/>
    <s v="Dentro Perfil;Solicita demo"/>
    <s v="Pipeline de Vendas"/>
    <s v="Apresentar Solução (35%)"/>
    <s v=""/>
    <d v="2026-08-31T00:00:00"/>
    <m/>
    <m/>
    <n v="28"/>
    <s v="Paulo Souza"/>
    <d v="2026-03-10T00:00:00"/>
    <d v="1899-12-30T10:01:14"/>
    <s v=""/>
    <s v="Perdido"/>
    <d v="2026-04-07T00:00:00"/>
    <d v="1899-12-30T10:52:27"/>
    <s v="Preço muito alto - fora do budget de investimento"/>
    <s v=""/>
    <s v=""/>
    <x v="0"/>
    <s v="Rayssa Karapeticov"/>
    <x v="0"/>
    <s v=""/>
    <d v="2026-04-07T00:00:00"/>
    <n v="30"/>
    <s v=""/>
    <s v="ERP, ADICIONAIS, CLOUD"/>
    <s v=""/>
    <s v=""/>
    <n v="1"/>
  </r>
  <r>
    <x v="0"/>
    <n v="1008"/>
    <m/>
    <n v="3346"/>
    <s v=""/>
    <s v=""/>
    <x v="507"/>
    <n v="27672869000139"/>
    <s v=""/>
    <s v="Luccas Nassif"/>
    <s v="(11) 98873-6515"/>
    <s v=""/>
    <s v="luccas.nassif@globalmix.com.br"/>
    <s v=""/>
    <s v=""/>
    <s v=""/>
    <s v="São Paulo"/>
    <s v=""/>
    <s v="Site"/>
    <s v=""/>
    <s v=""/>
    <s v="Solicita demo"/>
    <s v="Pipeline de Vendas"/>
    <s v="Agendamento (0%)"/>
    <s v=""/>
    <d v="2026-03-31T00:00:00"/>
    <m/>
    <m/>
    <n v="0"/>
    <s v="Paulo Souza"/>
    <d v="2026-03-10T00:00:00"/>
    <d v="1899-12-30T10:02:20"/>
    <s v=""/>
    <s v="Perdido"/>
    <d v="2026-03-10T00:00:00"/>
    <d v="1899-12-30T10:27:02"/>
    <s v="Fora do porte mínimo (sem fit estrutural)"/>
    <s v=""/>
    <s v=""/>
    <x v="0"/>
    <s v="Paulo Souza"/>
    <x v="0"/>
    <s v=""/>
    <m/>
    <n v="30"/>
    <s v=""/>
    <s v=""/>
    <s v=""/>
    <s v=""/>
    <n v="1"/>
  </r>
  <r>
    <x v="1"/>
    <n v="1009"/>
    <m/>
    <n v="3361"/>
    <s v="(11/03/2026) Agenda de apresentação para 17/03/2026_x000a_(30/03/2026) Alinhando visita presencial com Thiago"/>
    <s v="Banana Toys Ltda"/>
    <x v="508"/>
    <n v="8878994000155"/>
    <s v=""/>
    <s v="Banana Toys Ltda"/>
    <s v="(15) 3283-5196"/>
    <s v=""/>
    <s v="faturamento@bananatoys.com.br"/>
    <s v=""/>
    <s v=""/>
    <s v=""/>
    <s v="LARANJAL PAULISTA"/>
    <s v="SP"/>
    <s v="Base de empresas Leads2b"/>
    <s v=""/>
    <s v=""/>
    <s v=""/>
    <s v="Pipeline de Vendas"/>
    <s v="Em negociação (75%)"/>
    <s v=""/>
    <d v="2026-03-31T00:00:00"/>
    <n v="11390346"/>
    <n v="384882"/>
    <n v="71"/>
    <s v="Junior Lopes"/>
    <d v="2026-03-10T00:00:00"/>
    <d v="1899-12-30T16:23:30"/>
    <s v=""/>
    <s v="Ativo"/>
    <m/>
    <m/>
    <s v=""/>
    <s v=""/>
    <s v=""/>
    <x v="197"/>
    <s v=""/>
    <x v="214"/>
    <s v="17/03/2026"/>
    <d v="2026-03-30T00:00:00"/>
    <n v="50"/>
    <s v=""/>
    <s v=""/>
    <s v=""/>
    <s v=""/>
    <n v="1"/>
  </r>
  <r>
    <x v="0"/>
    <n v="1011"/>
    <m/>
    <n v="3365"/>
    <s v="20/03 Cobrei o Everton sobre a posição sobre a proposta comercial e se seguiremos e se existe algum impedimento."/>
    <s v=""/>
    <x v="509"/>
    <n v="7865166000110"/>
    <s v=""/>
    <s v="EVERTON MARINI GAVIAO"/>
    <s v="(17) 3342-1605"/>
    <s v=""/>
    <s v="comercialgaviao@bol.com.br"/>
    <s v=""/>
    <s v=""/>
    <s v=""/>
    <s v="BEBEDOURO"/>
    <s v="SP"/>
    <s v="Site"/>
    <s v=""/>
    <s v=""/>
    <s v="Solicita demo"/>
    <s v="Pipeline de Vendas"/>
    <s v="Em Fechamento (100%)"/>
    <s v=""/>
    <d v="2026-03-31T00:00:00"/>
    <n v="870636"/>
    <n v="434528"/>
    <n v="70"/>
    <s v="Paulo Souza"/>
    <d v="2026-03-11T00:00:00"/>
    <d v="1899-12-30T11:51:21"/>
    <s v=""/>
    <s v="Ativo"/>
    <m/>
    <m/>
    <s v=""/>
    <s v=""/>
    <s v=""/>
    <x v="187"/>
    <s v="Paulo Souza"/>
    <x v="216"/>
    <s v=""/>
    <d v="2026-05-18T00:00:00"/>
    <n v="30"/>
    <s v=""/>
    <s v="ERP, AFV"/>
    <s v=""/>
    <s v=""/>
    <n v="1"/>
  </r>
  <r>
    <x v="1"/>
    <n v="1012"/>
    <m/>
    <n v="3345"/>
    <s v="(20/03/2026) contato com  Ramos a fim de seguirmos com negociações _x000a_09:22, 06/05/2026 Junior Lopes: Olá Danilo ! Td bem meu amigo _x000a_Ficamos de fazer uma agenda de apresentação para seu sócio ! _x000a_Vamos agendar para próxima semana ?_x000a_10:07, 06/05/2026 Danilo Euroquad: Bom dia_x000a_10:08, 06/05/2026 Danilo Euroquad: Tudo bem e vc?_x000a_10:08, 06/05/2026 Danilo Euroquad: Estou na china volto no final do mês_x000a_10:08, 06/05/2026 Danilo Euroquad: Quando chegar marcamos_x000a_11:35, 06/05/2026 Junior Lopes: Perfeito Danilo, ótimos negocios por ai"/>
    <s v="Euroquadros Industria Importacao E Exportacao Ltda"/>
    <x v="510"/>
    <n v="72770225000561"/>
    <s v=""/>
    <s v="Euroquadros Industria Importacao E Exportacao Ltda"/>
    <s v="(47) 3515-3000"/>
    <s v=""/>
    <s v="contabil@fratelliinox.com.br"/>
    <s v=""/>
    <s v=""/>
    <s v=""/>
    <s v="BARRA VELHA"/>
    <s v="SC"/>
    <s v="Base de empresas Leads2b"/>
    <s v=""/>
    <s v=""/>
    <s v=""/>
    <s v="Pipeline de Vendas"/>
    <s v="Em negociação (75%)"/>
    <s v=""/>
    <m/>
    <n v="52702"/>
    <n v="17020"/>
    <n v="70"/>
    <s v="Junior Lopes"/>
    <d v="2026-03-11T00:00:00"/>
    <d v="1899-12-30T16:07:58"/>
    <s v=""/>
    <s v="Ativo"/>
    <m/>
    <m/>
    <s v=""/>
    <s v=""/>
    <s v=""/>
    <x v="195"/>
    <s v=""/>
    <x v="217"/>
    <s v="18/03/2026"/>
    <d v="2026-05-06T00:00:00"/>
    <n v="50"/>
    <s v=""/>
    <s v=""/>
    <s v=""/>
    <s v=""/>
    <n v="1"/>
  </r>
  <r>
    <x v="2"/>
    <n v="1013"/>
    <m/>
    <n v="3368"/>
    <s v="30.03 Lidi, boa tarde!_x000a_Vamos agendar quarta às 15h_x000a_Meu gerente de projetos que vai fazer, assim já consigo matar WMS, ERP, PDV, todo processo de estoque futuro e importação_x000a_07.04 2° parte da reunião ficou para sexta 10/04_x000a_13.04 apresentação realizada, proxima etapa apresentação da proposta, aguardar avaliação do Paulo quanto ao serviço de cloud"/>
    <s v="Simao Distribuidora De Embalagens Descartaveis Ltda"/>
    <x v="511"/>
    <n v="10649489000180"/>
    <s v=""/>
    <s v="Simao Distribuidora De Embalagens Descartaveis Ltda"/>
    <s v="(24) 3325-7650"/>
    <s v=""/>
    <s v="legalizacao@mastermaxcontabilidade.com.br"/>
    <s v=""/>
    <s v=""/>
    <s v=""/>
    <s v="RIO DE JANEIRO"/>
    <s v="RJ"/>
    <s v="Base de empresas Leads2b"/>
    <s v=""/>
    <s v=""/>
    <s v=""/>
    <s v="Pipeline de Vendas"/>
    <s v="Apresentar Proposta (50%)"/>
    <s v=""/>
    <d v="2026-09-30T00:00:00"/>
    <m/>
    <m/>
    <n v="69"/>
    <s v="Rayssa Karapeticov"/>
    <d v="2026-03-12T00:00:00"/>
    <d v="1899-12-30T10:07:51"/>
    <s v=""/>
    <s v="Ativo"/>
    <m/>
    <m/>
    <s v=""/>
    <s v=""/>
    <s v=""/>
    <x v="198"/>
    <s v="Rayssa Karapeticov"/>
    <x v="218"/>
    <s v="10/04/2026"/>
    <d v="2026-05-13T00:00:00"/>
    <n v="30"/>
    <s v=""/>
    <s v="ERP, AFV"/>
    <s v=""/>
    <s v=""/>
    <n v="1"/>
  </r>
  <r>
    <x v="0"/>
    <n v="1014"/>
    <m/>
    <n v="3371"/>
    <s v="12/03 Fiz FUP com o Renan e ele avisou que a Vera esta em viagem retornando vamos agendar uma apresentação._x000a_12/03 Fiz FUP com o cliente e marcamos reunião para dia 18/03 as 15h._x000a_20/03 Conversei com o Renan para saber qual a nova data para fazer a apresentação."/>
    <s v=""/>
    <x v="512"/>
    <n v="10633099000112"/>
    <s v=""/>
    <s v="Vera Lucia"/>
    <s v="(47) 3075-0552"/>
    <s v=""/>
    <s v="financeiro@mundialimpexp.com.br"/>
    <s v=""/>
    <s v=""/>
    <s v=""/>
    <s v="ITAJAI"/>
    <s v="SC"/>
    <s v=""/>
    <s v=""/>
    <s v=""/>
    <s v="Pausado"/>
    <s v="Pipeline de Vendas"/>
    <s v="Apresentar Solução (35%)"/>
    <s v=""/>
    <d v="2026-03-30T00:00:00"/>
    <m/>
    <m/>
    <n v="60"/>
    <s v="Paulo Souza"/>
    <d v="2026-03-12T00:00:00"/>
    <d v="1899-12-30T12:10:28"/>
    <s v=""/>
    <s v="Perdido"/>
    <d v="2026-05-11T00:00:00"/>
    <d v="1899-12-30T11:56:15"/>
    <s v="Projeto adiado / sem prazo definido"/>
    <s v=""/>
    <s v=""/>
    <x v="0"/>
    <s v="Paulo Souza"/>
    <x v="0"/>
    <s v=""/>
    <d v="2026-04-10T00:00:00"/>
    <n v="30"/>
    <s v=""/>
    <s v="ERP, AFV"/>
    <s v=""/>
    <s v=""/>
    <n v="1"/>
  </r>
  <r>
    <x v="1"/>
    <n v="1015"/>
    <m/>
    <n v="3375"/>
    <s v="(16/03/2026) Agenda de apresentação para dia 17/03/2026"/>
    <s v=""/>
    <x v="513"/>
    <n v="35417169000126"/>
    <s v=""/>
    <s v="Brisa Artes"/>
    <s v="11992558277"/>
    <s v=""/>
    <s v="marcos@mairinckcontabil.com.br"/>
    <s v=""/>
    <s v=""/>
    <s v=""/>
    <s v="RIBEIRAO PIRES"/>
    <s v="SP"/>
    <s v=""/>
    <s v=""/>
    <s v=""/>
    <s v=""/>
    <s v="Pipeline de Vendas"/>
    <s v="Apresentar Solução (35%)"/>
    <s v=""/>
    <m/>
    <m/>
    <m/>
    <n v="69"/>
    <s v="Junior Lopes"/>
    <d v="2026-03-12T00:00:00"/>
    <d v="1899-12-30T15:11:14"/>
    <s v=""/>
    <s v="Ativo"/>
    <m/>
    <m/>
    <s v=""/>
    <s v=""/>
    <s v=""/>
    <x v="0"/>
    <s v=""/>
    <x v="0"/>
    <s v=""/>
    <d v="2026-03-16T00:00:00"/>
    <n v="30"/>
    <s v=""/>
    <s v=""/>
    <s v=""/>
    <s v=""/>
    <n v="1"/>
  </r>
  <r>
    <x v="1"/>
    <n v="1016"/>
    <m/>
    <n v="3373"/>
    <s v="09:04, 13/03/2026 Junior Lopes: Olá Victor, bom dia_x000a_09:04, 13/03/2026 Junior Lopes: sou Junior Lopes da Guarani sistemas, td bem ?_x000a_09:05, 13/03/2026 Junior Lopes: estou retornando um contato que vc fez conosco relacionado ao nosso software de gestão Guarani sistemas_x000a_(13/03/2026) Aós tentativa de ligação e contato ! nenhuma respondida _x000a_estou descartando a oportunidade pois o nome da empresa mencionado não existe e demais informações preenchidas sem dados concretos ! por informar que tem um faturamento abaixo de 200K mensal fica fora do nosso perfil"/>
    <s v=""/>
    <x v="514"/>
    <m/>
    <s v=""/>
    <s v="Nemoaprds"/>
    <s v="38998244039"/>
    <s v=""/>
    <s v="vitorborgessilva333@gmail.com"/>
    <s v=""/>
    <s v=""/>
    <s v=""/>
    <s v=""/>
    <s v=""/>
    <s v="Campanha"/>
    <s v=""/>
    <s v=""/>
    <s v="Fora Perfil;Instagram"/>
    <s v="Pipeline de Vendas"/>
    <s v="Qualificação de Vendas (SQL) (25%)"/>
    <s v=""/>
    <d v="2026-03-31T00:00:00"/>
    <m/>
    <m/>
    <n v="58"/>
    <s v="Paulo Souza"/>
    <d v="2026-03-12T00:00:00"/>
    <d v="1899-12-30T17:35:46"/>
    <s v=""/>
    <s v="Perdido"/>
    <d v="2026-05-09T00:00:00"/>
    <d v="1899-12-30T07:56:21"/>
    <s v="Sem qualificação — contato não atende ligações nem responde msg"/>
    <s v=""/>
    <s v=""/>
    <x v="0"/>
    <s v="Junior Lopes"/>
    <x v="0"/>
    <s v=""/>
    <d v="2026-03-13T00:00:00"/>
    <n v="30"/>
    <s v=""/>
    <s v=""/>
    <s v=""/>
    <s v=""/>
    <n v="1"/>
  </r>
  <r>
    <x v="2"/>
    <n v="1017"/>
    <m/>
    <n v="3374"/>
    <s v="17/03 - Nova Maringa - Amazonia Sistemas_x000a_Empresa de vendas e locação de maquinas agricolas, procura um softaware onde possa acompanhar a svedas, criar promnoções/campanhas, realizar OS para manutenções das maquinas. _x000a_Possui PDV _x000a_Apresentação agendada para terça 24/03 as 15h_x000a_25/03 achou o valor de investimento alto"/>
    <s v=""/>
    <x v="515"/>
    <n v="33947903000133"/>
    <s v=""/>
    <s v="Giovani luiz Agrorural Ltda"/>
    <s v="(66) 8101-6884"/>
    <s v=""/>
    <s v="soberanaagrorural@hotmail.com"/>
    <s v=""/>
    <s v=""/>
    <s v=""/>
    <s v="NOVA MARINGA"/>
    <s v="MT"/>
    <s v="Campanha"/>
    <s v=""/>
    <s v=""/>
    <s v="Fora Perfil;Instagram"/>
    <s v="Pipeline de Vendas"/>
    <s v="Apresentar Solução (35%)"/>
    <s v=""/>
    <d v="2026-07-31T00:00:00"/>
    <m/>
    <m/>
    <n v="13"/>
    <s v="Paulo Souza"/>
    <d v="2026-03-12T00:00:00"/>
    <d v="1899-12-30T17:37:00"/>
    <s v=""/>
    <s v="Perdido"/>
    <d v="2026-03-25T00:00:00"/>
    <d v="1899-12-30T10:06:43"/>
    <s v="Preço muito alto - fora do budget de investimento"/>
    <s v=""/>
    <s v=""/>
    <x v="0"/>
    <s v="Rayssa Karapeticov"/>
    <x v="219"/>
    <s v=""/>
    <d v="2026-03-25T00:00:00"/>
    <n v="31"/>
    <s v=""/>
    <s v=""/>
    <s v=""/>
    <s v=""/>
    <n v="1"/>
  </r>
  <r>
    <x v="1"/>
    <n v="1018"/>
    <m/>
    <n v="3379"/>
    <s v="(13/03/2026) em contato com Juraci a fim de retomar assunto sobre força de vendas _x000a_(12/03/2026) em contato com Juraci, informou que vamos voltar a falar no final do ano ! devido a sua alta demanda de vendas nesse período inviabilizou o projeto nesse momento"/>
    <s v=""/>
    <x v="185"/>
    <n v="28646036000166"/>
    <s v=""/>
    <s v="Gola Comercial"/>
    <s v="11938010304"/>
    <s v=""/>
    <s v="juraci@goalcomercial.com.br"/>
    <s v=""/>
    <s v=""/>
    <s v=""/>
    <s v="SAO CAETANO DO SUL"/>
    <s v="SP"/>
    <s v=""/>
    <s v=""/>
    <s v=""/>
    <s v=""/>
    <s v="Pipeline de Vendas"/>
    <s v="Apresentar Solução (35%)"/>
    <s v=""/>
    <m/>
    <n v="1696"/>
    <n v="6400"/>
    <n v="17"/>
    <s v="Junior Lopes"/>
    <d v="2026-03-13T00:00:00"/>
    <d v="1899-12-30T09:34:40"/>
    <s v=""/>
    <s v="Perdido"/>
    <d v="2026-03-30T00:00:00"/>
    <d v="1899-12-30T17:12:25"/>
    <s v="Projeto adiado / sem prazo definido"/>
    <s v="cliente não tem mais tempo para mudança esse ano , ficará para final do ano 2026"/>
    <s v=""/>
    <x v="84"/>
    <s v=""/>
    <x v="213"/>
    <s v=""/>
    <d v="2026-03-12T00:00:00"/>
    <n v="30"/>
    <s v=""/>
    <s v=""/>
    <s v=""/>
    <s v=""/>
    <n v="1"/>
  </r>
  <r>
    <x v="2"/>
    <n v="1019"/>
    <m/>
    <n v="3381"/>
    <s v="18.03 apresentação agendada para segunda 24/03_x000a_30.03 - como é uma empresa pequena de 1 ano, não consegue dar andamento agora _x000a_mas vão estudar para o futuro"/>
    <s v="Verti Flores E Plantas Permanentes Ltda"/>
    <x v="516"/>
    <n v="55841149000195"/>
    <s v=""/>
    <s v="Verti Flores E Plantas Permanentes Ltda"/>
    <s v="(47) 9214-8117"/>
    <s v=""/>
    <s v="societario@rmxcontabilidade.com.br"/>
    <s v=""/>
    <s v=""/>
    <s v=""/>
    <s v="ITAPEMA"/>
    <s v="SC"/>
    <s v="Base de empresas Leads2b"/>
    <s v=""/>
    <s v=""/>
    <s v=""/>
    <s v="Pipeline de Vendas"/>
    <s v="Apresentar Solução (35%)"/>
    <s v=""/>
    <d v="2026-07-31T00:00:00"/>
    <n v="58800"/>
    <n v="2525"/>
    <n v="17"/>
    <s v="Rayssa Karapeticov"/>
    <d v="2026-03-13T00:00:00"/>
    <d v="1899-12-30T14:52:20"/>
    <s v=""/>
    <s v="Perdido"/>
    <d v="2026-03-30T00:00:00"/>
    <d v="1899-12-30T16:07:14"/>
    <s v="Preço muito alto - fora do budget de investimento"/>
    <s v=""/>
    <s v=""/>
    <x v="199"/>
    <s v="Rayssa Karapeticov"/>
    <x v="220"/>
    <s v=""/>
    <d v="2026-03-30T00:00:00"/>
    <n v="30"/>
    <s v=""/>
    <s v="ERP"/>
    <s v=""/>
    <s v=""/>
    <n v="1"/>
  </r>
  <r>
    <x v="1"/>
    <n v="1020"/>
    <m/>
    <n v="3378"/>
    <s v="(17/03/2026) em contato com Junior ! A Otmiza busca um software para gerenciamento de obras com controle de contratos e ordens de serviço"/>
    <s v=""/>
    <x v="517"/>
    <m/>
    <s v=""/>
    <s v="Otimiza"/>
    <s v="6399999235"/>
    <s v=""/>
    <s v="pelissari.otimiza@gmail.com"/>
    <s v=""/>
    <s v=""/>
    <s v=""/>
    <s v=""/>
    <s v=""/>
    <s v="Campanha"/>
    <s v=""/>
    <s v=""/>
    <s v="Fora Perfil;Instagram"/>
    <s v="Pipeline de Vendas"/>
    <s v="Qualificação de Vendas (SQL) (25%)"/>
    <s v=""/>
    <d v="2026-03-31T00:00:00"/>
    <m/>
    <m/>
    <n v="1"/>
    <s v="Paulo Souza"/>
    <d v="2026-03-16T00:00:00"/>
    <d v="1899-12-30T13:47:29"/>
    <s v=""/>
    <s v="Perdido"/>
    <d v="2026-03-17T00:00:00"/>
    <d v="1899-12-30T09:38:46"/>
    <s v="Fora do porte mínimo (sem fit estrutural)"/>
    <s v="(17/03/2026) em contato com Junior ! A Otmiza busca um software para gerenciamento de obras com controle de contratos e ordens de serviço"/>
    <s v=""/>
    <x v="0"/>
    <s v="Junior Lopes"/>
    <x v="0"/>
    <s v=""/>
    <d v="2026-03-17T00:00:00"/>
    <n v="30"/>
    <s v=""/>
    <s v=""/>
    <s v=""/>
    <s v=""/>
    <n v="1"/>
  </r>
  <r>
    <x v="2"/>
    <n v="1021"/>
    <m/>
    <n v="3384"/>
    <s v="19.03 Pediu uma estimativa de valor, e achou o investimento muito alto para o faturamento anual da empresa"/>
    <s v=""/>
    <x v="518"/>
    <m/>
    <s v=""/>
    <s v="Javeh"/>
    <s v="11947270946"/>
    <s v=""/>
    <s v="atadeu7@gmail.com"/>
    <s v=""/>
    <s v=""/>
    <s v=""/>
    <s v=""/>
    <s v=""/>
    <s v="Campanha"/>
    <s v=""/>
    <s v=""/>
    <s v="Fora Perfil;Instagram"/>
    <s v="Pipeline de Vendas"/>
    <s v="Qualificação de Vendas (SQL) (25%)"/>
    <s v=""/>
    <d v="2026-03-31T00:00:00"/>
    <m/>
    <m/>
    <n v="3"/>
    <s v="Paulo Souza"/>
    <d v="2026-03-16T00:00:00"/>
    <d v="1899-12-30T13:48:48"/>
    <s v=""/>
    <s v="Perdido"/>
    <d v="2026-03-19T00:00:00"/>
    <d v="1899-12-30T11:31:26"/>
    <s v="Preço muito alto - fora do budget de investimento"/>
    <s v=""/>
    <s v=""/>
    <x v="0"/>
    <s v="Rayssa Karapeticov"/>
    <x v="0"/>
    <s v=""/>
    <d v="2026-03-17T00:00:00"/>
    <n v="30"/>
    <s v=""/>
    <s v=""/>
    <s v=""/>
    <s v=""/>
    <n v="1"/>
  </r>
  <r>
    <x v="1"/>
    <n v="1022"/>
    <m/>
    <n v="3385"/>
    <s v="(17/03/2026) em contato com Diego ! a Biricutico é um deposito de bebidas com venda balcão para pessoa física"/>
    <s v=""/>
    <x v="519"/>
    <m/>
    <s v=""/>
    <s v="Biricutico"/>
    <s v="21964945088"/>
    <s v=""/>
    <s v="diegosart@gmail.com"/>
    <s v=""/>
    <s v=""/>
    <s v=""/>
    <s v=""/>
    <s v=""/>
    <s v="Campanha"/>
    <s v=""/>
    <s v=""/>
    <s v="Fora Perfil;Instagram"/>
    <s v="Pipeline de Vendas"/>
    <s v="Qualificação de Vendas (SQL) (25%)"/>
    <s v=""/>
    <d v="2026-03-31T00:00:00"/>
    <m/>
    <m/>
    <n v="1"/>
    <s v="Paulo Souza"/>
    <d v="2026-03-16T00:00:00"/>
    <d v="1899-12-30T13:49:55"/>
    <s v=""/>
    <s v="Perdido"/>
    <d v="2026-03-17T00:00:00"/>
    <d v="1899-12-30T09:41:15"/>
    <s v="Fora do porte mínimo (sem fit estrutural)"/>
    <s v="(17/03/2026) em contato com Diego ! a Biricutico é um deposito de bebidas com venda balcão para pessoa física"/>
    <s v=""/>
    <x v="0"/>
    <s v="Junior Lopes"/>
    <x v="0"/>
    <s v=""/>
    <d v="2026-03-17T00:00:00"/>
    <n v="30"/>
    <s v=""/>
    <s v=""/>
    <s v=""/>
    <s v=""/>
    <n v="1"/>
  </r>
  <r>
    <x v="2"/>
    <n v="1023"/>
    <m/>
    <n v="3386"/>
    <s v="Falei com o Marcelo são uma distribuidora de descartaveis e estão buscando um software. _x000a_30.03 - esta viajando, pediu retorno na proxima semana_x000a_Passei informações sobre a Guarani, e enviei nossa apresentação, hoje vão ter uma reunião interna para saber quais sistemas que vão 18/03 agendar uma apresentação _x000a_30.03 - Falou que esta em viagem, pediu para retornar_x000a_07.03 - não estou tendo nenhum retorno"/>
    <s v=""/>
    <x v="520"/>
    <n v="57769346000176"/>
    <s v=""/>
    <s v="Plus atacadista"/>
    <s v="(62) 8318-2116/ (0000) 0000-0000"/>
    <s v=""/>
    <s v="diretor@staratacadista.com.br"/>
    <s v=""/>
    <s v=""/>
    <s v=""/>
    <s v="GOIANIA"/>
    <s v="GO"/>
    <s v="Campanha"/>
    <s v=""/>
    <s v=""/>
    <s v="Dentro Perfil;Instagram"/>
    <s v="Pipeline de Vendas"/>
    <s v="Apresentar Solução (35%)"/>
    <s v=""/>
    <d v="2026-07-31T00:00:00"/>
    <m/>
    <m/>
    <n v="22"/>
    <s v="Paulo Souza"/>
    <d v="2026-03-16T00:00:00"/>
    <d v="1899-12-30T13:51:06"/>
    <s v=""/>
    <s v="Perdido"/>
    <d v="2026-04-07T00:00:00"/>
    <d v="1899-12-30T10:45:40"/>
    <s v="Fora do porte mínimo (sem fit estrutural)"/>
    <s v=""/>
    <s v=""/>
    <x v="187"/>
    <s v="Rayssa Karapeticov"/>
    <x v="215"/>
    <s v=""/>
    <d v="2026-04-07T00:00:00"/>
    <n v="30"/>
    <s v=""/>
    <s v=""/>
    <s v=""/>
    <s v=""/>
    <n v="1"/>
  </r>
  <r>
    <x v="0"/>
    <n v="1024"/>
    <m/>
    <n v="3388"/>
    <s v="18/03 Liguei para o Tiago não atendeu. Deixei recado no whatsapp !_x000a_18/03 Tiago retorno por audio e falou que essa semana está ocupado e não consegue falar. Vai me retornar ate o fim da semana._x000a_20/03 Após conversa com o Tiago ele avisou que essa semana esta inviável para falar que conversamos semana que vem."/>
    <s v=""/>
    <x v="521"/>
    <m/>
    <s v=""/>
    <s v="Tiago"/>
    <s v="62991537827"/>
    <s v=""/>
    <s v="mastervedacoesind@gmail.com"/>
    <s v=""/>
    <s v=""/>
    <s v=""/>
    <s v=""/>
    <s v=""/>
    <s v="Campanha"/>
    <s v=""/>
    <s v=""/>
    <s v="Dentro Perfil;Instagram"/>
    <s v="Pipeline de Vendas"/>
    <s v="Qualificação de Vendas (SQL) (25%)"/>
    <s v=""/>
    <d v="2026-03-31T00:00:00"/>
    <m/>
    <m/>
    <n v="54"/>
    <s v="Paulo Souza"/>
    <d v="2026-03-16T00:00:00"/>
    <d v="1899-12-30T13:52:07"/>
    <s v=""/>
    <s v="Perdido"/>
    <d v="2026-05-09T00:00:00"/>
    <d v="1899-12-30T07:58:33"/>
    <s v="Sem qualificação — contato não atende ligações nem responde msg"/>
    <s v=""/>
    <s v=""/>
    <x v="0"/>
    <s v="Paulo Souza"/>
    <x v="0"/>
    <s v=""/>
    <d v="2026-03-20T00:00:00"/>
    <n v="30"/>
    <s v=""/>
    <s v=""/>
    <s v=""/>
    <s v=""/>
    <n v="1"/>
  </r>
  <r>
    <x v="0"/>
    <n v="1025"/>
    <m/>
    <n v="3389"/>
    <s v="18/03 Liguei para o Dimitrius e ele estava viajando hoje, vai me retornar ainda esta semana._x000a_18/03 Dimitrius retornou o áudio, avisou que vai me retornar assim que terminar a viagem que faz hoje._x000a_20/03 Fiz uma conversa com Demétrius para entender o cenário dele e alinhamos que ele vai preencher o formulário e depois disso fazer uma apresentação."/>
    <s v=""/>
    <x v="522"/>
    <m/>
    <s v=""/>
    <s v="Dimitrius"/>
    <s v="73988565500"/>
    <s v=""/>
    <s v="dimigrintzos@gmail.com"/>
    <s v=""/>
    <s v=""/>
    <s v=""/>
    <s v=""/>
    <s v=""/>
    <s v="Campanha"/>
    <s v=""/>
    <s v=""/>
    <s v="Dentro Perfil;Instagram"/>
    <s v="Pipeline de Vendas"/>
    <s v="Apresentar Solução (35%)"/>
    <s v=""/>
    <d v="2026-03-31T00:00:00"/>
    <m/>
    <m/>
    <n v="25"/>
    <s v="Paulo Souza"/>
    <d v="2026-03-16T00:00:00"/>
    <d v="1899-12-30T13:53:00"/>
    <s v=""/>
    <s v="Perdido"/>
    <d v="2026-04-10T00:00:00"/>
    <d v="1899-12-30T14:40:40"/>
    <s v="Projeto adiado / sem prazo definido"/>
    <s v=""/>
    <s v=""/>
    <x v="0"/>
    <s v="Paulo Souza"/>
    <x v="0"/>
    <s v=""/>
    <d v="2026-03-20T00:00:00"/>
    <n v="30"/>
    <s v=""/>
    <s v="ERP, AFV"/>
    <s v=""/>
    <s v=""/>
    <n v="1"/>
  </r>
  <r>
    <x v="1"/>
    <n v="1026"/>
    <m/>
    <n v="3390"/>
    <s v="14:10, 16/03/2026 Junior Lopes: Olá Rogerio, boa tarde ! _x000a_(27/03/2026) após varias tentativas sem retorno do Rogério , declinando oportunidade_x000a_Sou Junior Lopes da Guarani sistemas_x000a_14:11, 16/03/2026 Junior Lopes: estou retornando um contato que vc fez conosco_x000a_12:18, 19/03/2026 Junior Lopes: OLá Rogério ! tudo Bem ?_x000a_12:19, 19/03/2026 Junior Lopes: tem interesse em dar continuidade ?_x000a_(06/04/2026) varias tentativas de contato sem retorno"/>
    <s v=""/>
    <x v="523"/>
    <n v="35511300000110"/>
    <s v=""/>
    <s v="Vivazhigienização"/>
    <s v="82993812526"/>
    <s v=""/>
    <s v="progeriogomesxavier@gmail.comp"/>
    <s v=""/>
    <s v=""/>
    <s v=""/>
    <s v=""/>
    <s v=""/>
    <s v="Campanha"/>
    <s v=""/>
    <s v=""/>
    <s v="Dentro Perfil;Instagram"/>
    <s v="Pipeline de Vendas"/>
    <s v="Qualificação de Vendas (SQL) (25%)"/>
    <s v=""/>
    <d v="2026-03-31T00:00:00"/>
    <m/>
    <m/>
    <n v="54"/>
    <s v="Paulo Souza"/>
    <d v="2026-03-16T00:00:00"/>
    <d v="1899-12-30T13:53:57"/>
    <s v=""/>
    <s v="Perdido"/>
    <d v="2026-05-09T00:00:00"/>
    <d v="1899-12-30T07:59:08"/>
    <s v="Sem qualificação — contato não atende ligações nem responde msg"/>
    <s v=""/>
    <s v=""/>
    <x v="0"/>
    <s v="Junior Lopes"/>
    <x v="0"/>
    <s v=""/>
    <d v="2026-04-06T00:00:00"/>
    <n v="30"/>
    <s v=""/>
    <s v=""/>
    <s v=""/>
    <s v=""/>
    <n v="1"/>
  </r>
  <r>
    <x v="2"/>
    <n v="1027"/>
    <m/>
    <n v="3391"/>
    <s v=""/>
    <s v=""/>
    <x v="524"/>
    <m/>
    <s v=""/>
    <s v="Master"/>
    <s v="31994220888"/>
    <s v=""/>
    <s v="anibalsmoura@gmail.com"/>
    <s v=""/>
    <s v=""/>
    <s v=""/>
    <s v=""/>
    <s v=""/>
    <s v="Campanha"/>
    <s v=""/>
    <s v=""/>
    <s v="Dentro Perfil;Instagram"/>
    <s v="Pipeline de Vendas"/>
    <s v="Agendamento (0%)"/>
    <s v=""/>
    <d v="2026-07-31T00:00:00"/>
    <m/>
    <m/>
    <n v="54"/>
    <s v="Paulo Souza"/>
    <d v="2026-03-16T00:00:00"/>
    <d v="1899-12-30T13:54:58"/>
    <s v=""/>
    <s v="Perdido"/>
    <d v="2026-05-09T00:00:00"/>
    <d v="1899-12-30T21:12:46"/>
    <s v="Sem qualificação — contato não atende ligações nem responde msg"/>
    <s v=""/>
    <s v=""/>
    <x v="0"/>
    <s v="Rayssa Karapeticov"/>
    <x v="0"/>
    <s v=""/>
    <d v="2026-03-17T00:00:00"/>
    <n v="30"/>
    <s v=""/>
    <s v=""/>
    <s v=""/>
    <s v=""/>
    <n v="1"/>
  </r>
  <r>
    <x v="2"/>
    <n v="1029"/>
    <m/>
    <n v="3395"/>
    <s v="30.03 Tinhamos agendado uma apresentação na sexta-feira (27/03) porém o Vagner consultor da Guarani Cancelou e não avisaram o setor comercial. _x000a_Ao passar a informação de ultima hora de cancelamento para o cliente, não consegui reverte o atendimento _x000a_Cliente encerrou o contato com a Guarani Sistemas"/>
    <s v=""/>
    <x v="525"/>
    <n v="6864286000130"/>
    <s v=""/>
    <s v="Bruno"/>
    <s v="(48) 99677-1211"/>
    <s v=""/>
    <s v="bruno@alquimya.com.br"/>
    <s v=""/>
    <s v=""/>
    <s v=""/>
    <s v="Florianópolis"/>
    <s v=""/>
    <s v="Site"/>
    <s v=""/>
    <s v=""/>
    <s v=""/>
    <s v="Pipeline de Vendas"/>
    <s v="Apresentar Solução (35%)"/>
    <s v=""/>
    <d v="2026-05-31T00:00:00"/>
    <m/>
    <m/>
    <n v="13"/>
    <s v="Paulo Souza"/>
    <d v="2026-03-17T00:00:00"/>
    <d v="1899-12-30T15:45:42"/>
    <s v=""/>
    <s v="Perdido"/>
    <d v="2026-03-30T00:00:00"/>
    <d v="1899-12-30T15:55:01"/>
    <s v="Fechou com o concorrente - preço"/>
    <s v=""/>
    <s v=""/>
    <x v="0"/>
    <s v="Rayssa Karapeticov"/>
    <x v="0"/>
    <s v=""/>
    <d v="2026-03-30T00:00:00"/>
    <n v="30"/>
    <s v=""/>
    <s v="ERP, AFV, PCP"/>
    <s v=""/>
    <s v=""/>
    <n v="1"/>
  </r>
  <r>
    <x v="1"/>
    <n v="1030"/>
    <m/>
    <n v="3396"/>
    <s v="(23/06/2026) em contato com Leandro , atualmente o perfil é uma padaria e uma fabrica de pequeno porte de pão de alho ! enviei uma estimativa de valores mas achou que para o momento esta muito acima"/>
    <s v=""/>
    <x v="526"/>
    <m/>
    <s v=""/>
    <s v="Pão de alho"/>
    <s v="62985336869"/>
    <s v=""/>
    <s v="therabyte_go@hotmail.com"/>
    <s v=""/>
    <s v=""/>
    <s v=""/>
    <s v=""/>
    <s v=""/>
    <s v="Campanha"/>
    <s v=""/>
    <s v=""/>
    <s v="Fora Perfil;Instagram"/>
    <s v="Pipeline de Vendas"/>
    <s v="Qualificação de Vendas (SQL) (25%)"/>
    <s v=""/>
    <d v="2026-03-31T00:00:00"/>
    <m/>
    <m/>
    <n v="22"/>
    <s v="Paulo Souza"/>
    <d v="2026-03-17T00:00:00"/>
    <d v="1899-12-30T15:47:06"/>
    <s v=""/>
    <s v="Perdido"/>
    <d v="2026-04-08T00:00:00"/>
    <d v="1899-12-30T17:21:21"/>
    <s v="Fora do porte mínimo (sem fit estrutural)"/>
    <s v="(23/06/2026) em contato com Leandro , atualmente o perfil é uma padaria e uma fabrica de pequeno porte de pão de alho ! enviei uma estimativa de valores mas achou que para o momento esta muito acima"/>
    <s v=""/>
    <x v="0"/>
    <s v="Junior Lopes"/>
    <x v="0"/>
    <s v=""/>
    <d v="2026-03-23T00:00:00"/>
    <n v="30"/>
    <s v=""/>
    <s v=""/>
    <s v=""/>
    <s v=""/>
    <n v="1"/>
  </r>
  <r>
    <x v="0"/>
    <n v="1031"/>
    <m/>
    <n v="3397"/>
    <s v="18/03 Liguei para o Celso e ele não atendeu deixei recado no zap."/>
    <s v=""/>
    <x v="527"/>
    <n v="27742655000191"/>
    <s v=""/>
    <s v="Celso"/>
    <s v="21970038782"/>
    <s v=""/>
    <s v="gerencia@inovapet.com.br"/>
    <s v=""/>
    <s v=""/>
    <s v=""/>
    <s v=""/>
    <s v=""/>
    <s v="Campanha"/>
    <s v=""/>
    <s v=""/>
    <s v="Dentro Perfil;Instagram"/>
    <s v="Pipeline de Vendas"/>
    <s v="Qualificação de Vendas (SQL) (25%)"/>
    <s v=""/>
    <d v="2026-03-31T00:00:00"/>
    <m/>
    <m/>
    <n v="3"/>
    <s v="Paulo Souza"/>
    <d v="2026-03-17T00:00:00"/>
    <d v="1899-12-30T15:49:33"/>
    <s v=""/>
    <s v="Perdido"/>
    <d v="2026-03-20T00:00:00"/>
    <d v="1899-12-30T15:43:59"/>
    <s v="Fora do porte mínimo (sem fit estrutural)"/>
    <s v=""/>
    <s v=""/>
    <x v="0"/>
    <s v="Paulo Souza"/>
    <x v="0"/>
    <s v=""/>
    <m/>
    <n v="30"/>
    <s v=""/>
    <s v=""/>
    <s v=""/>
    <s v=""/>
    <n v="1"/>
  </r>
  <r>
    <x v="2"/>
    <n v="1032"/>
    <m/>
    <n v="3402"/>
    <s v="Cliente entrou em contato pelo suporte pedindo contato comercial apra falar sobre software, tentie ligar e mandie msg mas ainda não me retornou _x000a_31.03 - não atendeu,"/>
    <s v=""/>
    <x v="528"/>
    <n v="27742655000191"/>
    <s v=""/>
    <s v="Celso"/>
    <s v="(21) 3451-9599"/>
    <s v=""/>
    <s v="inovapet.adm@gmail.com"/>
    <s v=""/>
    <s v=""/>
    <s v=""/>
    <s v="DUQUE DE CAXIAS"/>
    <s v="RJ"/>
    <s v=""/>
    <s v=""/>
    <s v=""/>
    <s v=""/>
    <s v="Pipeline de Vendas"/>
    <s v="Agendamento (0%)"/>
    <s v=""/>
    <d v="2026-07-31T00:00:00"/>
    <m/>
    <m/>
    <n v="35"/>
    <s v="Rayssa Karapeticov"/>
    <d v="2026-03-18T00:00:00"/>
    <d v="1899-12-30T11:38:25"/>
    <s v=""/>
    <s v="Perdido"/>
    <d v="2026-04-22T00:00:00"/>
    <d v="1899-12-30T17:16:19"/>
    <s v="Não era o decisor - sem acesso"/>
    <s v=""/>
    <s v=""/>
    <x v="0"/>
    <s v="Rayssa Karapeticov"/>
    <x v="0"/>
    <s v=""/>
    <d v="2026-04-22T00:00:00"/>
    <n v="30"/>
    <s v=""/>
    <s v=""/>
    <s v=""/>
    <s v=""/>
    <n v="1"/>
  </r>
  <r>
    <x v="2"/>
    <n v="1033"/>
    <m/>
    <n v="3401"/>
    <s v="19.03 - CLiente estava em reunião, retornar o contato_x000a_20.03 cliente respondeu o formulário tentando agendar uma apresentação do ERp para o dia 31/03_x000a_30/03 - Fiz vários contato com o cliente para agendar uma apresentação e não tive retorno"/>
    <s v=""/>
    <x v="529"/>
    <n v="27251864000132"/>
    <s v=""/>
    <s v="Vinicius Primo"/>
    <s v="(19) 99959-1568"/>
    <s v=""/>
    <s v="engenharia@a2industrial.com.br"/>
    <s v=""/>
    <s v=""/>
    <s v=""/>
    <s v="Rio de Janeiro"/>
    <s v=""/>
    <s v="Site"/>
    <s v=""/>
    <s v=""/>
    <s v="Solicita demo"/>
    <s v="Pipeline de Vendas"/>
    <s v="Apresentar Solução (35%)"/>
    <s v=""/>
    <d v="2026-06-30T00:00:00"/>
    <m/>
    <m/>
    <n v="12"/>
    <s v="Paulo Souza"/>
    <d v="2026-03-18T00:00:00"/>
    <d v="1899-12-30T15:25:11"/>
    <s v=""/>
    <s v="Perdido"/>
    <d v="2026-03-30T00:00:00"/>
    <d v="1899-12-30T15:53:15"/>
    <s v="Projeto adiado / sem prazo definido"/>
    <s v=""/>
    <s v=""/>
    <x v="0"/>
    <s v="Rayssa Karapeticov"/>
    <x v="0"/>
    <s v=""/>
    <d v="2026-03-30T00:00:00"/>
    <n v="30"/>
    <s v=""/>
    <s v="ERP"/>
    <s v=""/>
    <s v=""/>
    <n v="1"/>
  </r>
  <r>
    <x v="1"/>
    <n v="1034"/>
    <m/>
    <n v="3400"/>
    <s v="(27/03/2026) Flavio não responde aos contatos"/>
    <s v=""/>
    <x v="530"/>
    <m/>
    <s v=""/>
    <s v="FM Negocios"/>
    <s v="11987194488"/>
    <s v=""/>
    <s v="fmsallas@gmail.com"/>
    <s v=""/>
    <s v=""/>
    <s v=""/>
    <s v=""/>
    <s v=""/>
    <s v="Campanha"/>
    <s v=""/>
    <s v=""/>
    <s v="Fora Perfil;Instagram"/>
    <s v="Pipeline de Vendas"/>
    <s v="Qualificação de Vendas (SQL) (25%)"/>
    <s v=""/>
    <d v="2026-03-31T00:00:00"/>
    <m/>
    <m/>
    <n v="21"/>
    <s v="Paulo Souza"/>
    <d v="2026-03-18T00:00:00"/>
    <d v="1899-12-30T15:26:48"/>
    <s v=""/>
    <s v="Perdido"/>
    <d v="2026-04-08T00:00:00"/>
    <d v="1899-12-30T17:22:35"/>
    <s v="Fora do porte mínimo (sem fit estrutural)"/>
    <s v="Flavio não responde aos contatos"/>
    <s v=""/>
    <x v="0"/>
    <s v="Junior Lopes"/>
    <x v="0"/>
    <s v=""/>
    <d v="2026-03-27T00:00:00"/>
    <n v="30"/>
    <s v=""/>
    <s v=""/>
    <s v=""/>
    <s v=""/>
    <n v="1"/>
  </r>
  <r>
    <x v="0"/>
    <n v="1035"/>
    <m/>
    <n v="3399"/>
    <s v="18/03 Fiz contato com o Itamar, sem retorno ate o momento._x000a_20/03 Falei com o Itamar esta na unimed ficamos de falar na próxima semana."/>
    <s v=""/>
    <x v="531"/>
    <m/>
    <s v=""/>
    <s v="Concreps"/>
    <s v="62984060714"/>
    <s v=""/>
    <s v="itamarbuenoadv@gmail.com"/>
    <s v=""/>
    <s v=""/>
    <s v=""/>
    <s v=""/>
    <s v=""/>
    <s v="Campanha"/>
    <s v=""/>
    <s v=""/>
    <s v="Dentro Perfil;Instagram"/>
    <s v="Pipeline de Vendas"/>
    <s v="Qualificação de Vendas (SQL) (25%)"/>
    <s v=""/>
    <d v="2026-03-31T00:00:00"/>
    <m/>
    <m/>
    <n v="52"/>
    <s v="Paulo Souza"/>
    <d v="2026-03-18T00:00:00"/>
    <d v="1899-12-30T15:27:53"/>
    <s v=""/>
    <s v="Perdido"/>
    <d v="2026-05-09T00:00:00"/>
    <d v="1899-12-30T08:02:23"/>
    <s v="Sem qualificação — contato não atende ligações nem responde msg"/>
    <s v=""/>
    <s v=""/>
    <x v="0"/>
    <s v="Paulo Souza"/>
    <x v="0"/>
    <s v=""/>
    <d v="2026-03-20T00:00:00"/>
    <n v="30"/>
    <s v=""/>
    <s v=""/>
    <s v=""/>
    <s v=""/>
    <n v="1"/>
  </r>
  <r>
    <x v="2"/>
    <n v="1037"/>
    <m/>
    <n v="3404"/>
    <s v="19.03 - Tentei contato por telefone, ligação por whatsapp e mensagem. _x000a_20.03 Convite enviado para Quarta (25/03) as 15h_x000a_Segue o link também:_x000a_https://teams.microsoft.com/meet/25533981257135?p=HZgs0XbZOVQrxgr3rL_x000a_24/03Realizamos uma apresentação do ERP, mas como o cliente é logista pediu uma previsão de investimento e achou o valor acima"/>
    <s v=""/>
    <x v="532"/>
    <m/>
    <s v=""/>
    <s v="Auto peças taurus"/>
    <s v="61981840031"/>
    <s v=""/>
    <s v="gustavoandreh@yahoo.com.br"/>
    <s v=""/>
    <s v=""/>
    <s v=""/>
    <s v=""/>
    <s v=""/>
    <s v="Campanha"/>
    <s v=""/>
    <s v=""/>
    <s v="Dentro Perfil;Instagram"/>
    <s v="Pipeline de Vendas"/>
    <s v="Apresentar Solução (35%)"/>
    <s v=""/>
    <d v="2026-03-31T00:00:00"/>
    <m/>
    <m/>
    <n v="51"/>
    <s v="Paulo Souza"/>
    <d v="2026-03-19T00:00:00"/>
    <d v="1899-12-30T10:26:22"/>
    <s v=""/>
    <s v="Perdido"/>
    <d v="2026-05-09T00:00:00"/>
    <d v="1899-12-30T21:07:24"/>
    <s v="Preço muito alto - fora do budget de investimento"/>
    <s v=""/>
    <s v=""/>
    <x v="200"/>
    <s v="Rayssa Karapeticov"/>
    <x v="219"/>
    <s v=""/>
    <d v="2026-03-24T00:00:00"/>
    <n v="30"/>
    <s v=""/>
    <s v=""/>
    <s v=""/>
    <s v=""/>
    <n v="1"/>
  </r>
  <r>
    <x v="1"/>
    <n v="1038"/>
    <m/>
    <n v="3405"/>
    <s v="11:55, 19/03/2026 Junior Lopes: Faz sentido para vocês ?_x000a_11:56, 19/03/2026 +55 35 9839-4949: Acredito que nao_x000a_12:02, 19/03/2026 +55 35 9839-4949: Distribuidor_x000a_12:02, 19/03/2026 +55 35 9839-4949: Frutas e legumes_x000a_12:03, 19/03/2026 Junior Lopes: E vc tem vendedores externos ?_x000a_12:09, 19/03/2026 +55 35 9839-4949: Somente 1"/>
    <s v=""/>
    <x v="533"/>
    <m/>
    <s v=""/>
    <s v="Grupo Kimura"/>
    <s v="35998394949"/>
    <s v=""/>
    <s v="veniltonsouza@hotmail.com"/>
    <s v=""/>
    <s v=""/>
    <s v=""/>
    <s v=""/>
    <s v=""/>
    <s v="Campanha"/>
    <s v=""/>
    <s v=""/>
    <s v="Fora Perfil;Instagram"/>
    <s v="Pipeline de Vendas"/>
    <s v="Qualificação de Vendas (SQL) (25%)"/>
    <s v=""/>
    <m/>
    <m/>
    <m/>
    <n v="0"/>
    <s v="Paulo Souza"/>
    <d v="2026-03-19T00:00:00"/>
    <d v="1899-12-30T10:29:59"/>
    <s v=""/>
    <s v="Perdido"/>
    <d v="2026-03-19T00:00:00"/>
    <d v="1899-12-30T12:15:59"/>
    <s v="Fora do porte mínimo (sem fit estrutural)"/>
    <s v="Cliente de porte muito pequeno"/>
    <s v=""/>
    <x v="0"/>
    <s v="Junior Lopes"/>
    <x v="0"/>
    <s v=""/>
    <m/>
    <n v="30"/>
    <s v=""/>
    <s v=""/>
    <s v=""/>
    <s v=""/>
    <n v="1"/>
  </r>
  <r>
    <x v="2"/>
    <n v="1040"/>
    <m/>
    <n v="3408"/>
    <s v="20.03 - Oi Raysa, bem e você?_x000a_Estou em viagem e só volto no final da próxima semana. _x000a_Podemos deixar para o meu retorno?_x000a_23.03 esta em viagem e retorna no final da proxima semana, agendando contato_x000a_31.03 retomamos o contato hoje _x000a_06.04 Eduardo pediu para entrar em contato com o Rafael, preciso entender o negócio deles."/>
    <s v=""/>
    <x v="534"/>
    <n v="40707794000142"/>
    <s v=""/>
    <s v="Aquatrat"/>
    <s v="71999081968"/>
    <s v=""/>
    <s v="eduardo@aquatrat.com.br"/>
    <s v=""/>
    <s v=""/>
    <s v=""/>
    <s v=""/>
    <s v=""/>
    <s v="Campanha"/>
    <s v=""/>
    <s v=""/>
    <s v="Fora Perfil;Instagram"/>
    <s v="Pipeline de Vendas"/>
    <s v="Agendamento (0%)"/>
    <s v=""/>
    <d v="2026-04-30T00:00:00"/>
    <m/>
    <m/>
    <n v="33"/>
    <s v="Paulo Souza"/>
    <d v="2026-03-20T00:00:00"/>
    <d v="1899-12-30T09:22:44"/>
    <s v=""/>
    <s v="Perdido"/>
    <d v="2026-04-22T00:00:00"/>
    <d v="1899-12-30T17:13:52"/>
    <s v="Fora do porte mínimo (sem fit estrutural)"/>
    <s v=""/>
    <s v=""/>
    <x v="0"/>
    <s v="Rayssa Karapeticov"/>
    <x v="0"/>
    <s v=""/>
    <d v="2026-04-22T00:00:00"/>
    <n v="30"/>
    <s v=""/>
    <s v=""/>
    <s v=""/>
    <s v=""/>
    <n v="1"/>
  </r>
  <r>
    <x v="2"/>
    <n v="1041"/>
    <m/>
    <n v="3409"/>
    <s v="20.03 não atendeu_x000a_Boa tarde Jairo, tudo bem?_x000a_Meu nome é Rayssa, sou da Guarani Sistemas, estou retornando seu contato interessado em software para a empresa VENTMAR Ventilação_x000a_podemos falar?_x000a_23.03 achou o investimento alto, é uma loja de bairro"/>
    <s v=""/>
    <x v="535"/>
    <m/>
    <s v=""/>
    <s v="VENTMAR Ventilacao"/>
    <s v="67999748649"/>
    <s v=""/>
    <s v="jairodsm@gmail.com"/>
    <s v=""/>
    <s v=""/>
    <s v=""/>
    <s v=""/>
    <s v=""/>
    <s v="Campanha"/>
    <s v=""/>
    <s v=""/>
    <s v="Fora Perfil;Instagram"/>
    <s v="Pipeline de Vendas"/>
    <s v="Agendamento (0%)"/>
    <s v=""/>
    <m/>
    <m/>
    <m/>
    <n v="50"/>
    <s v="Paulo Souza"/>
    <d v="2026-03-20T00:00:00"/>
    <d v="1899-12-30T15:28:44"/>
    <s v=""/>
    <s v="Perdido"/>
    <d v="2026-05-09T00:00:00"/>
    <d v="1899-12-30T21:09:38"/>
    <s v="Fora do porte mínimo (sem fit estrutural)"/>
    <s v=""/>
    <s v=""/>
    <x v="0"/>
    <s v="Rayssa Karapeticov"/>
    <x v="0"/>
    <s v=""/>
    <d v="2026-03-23T00:00:00"/>
    <n v="30"/>
    <s v=""/>
    <s v=""/>
    <s v=""/>
    <s v=""/>
    <n v="1"/>
  </r>
  <r>
    <x v="1"/>
    <n v="1044"/>
    <m/>
    <n v="3414"/>
    <s v="(27/03/2026) Após varias tentativas de contato com Afabio sem retorno ! estou declinando oportunidade"/>
    <s v=""/>
    <x v="536"/>
    <m/>
    <s v=""/>
    <s v="Vilela &amp; Vilela Ltda"/>
    <s v="9991419327"/>
    <s v=""/>
    <s v="afabio2016@gmail.com"/>
    <s v=""/>
    <s v=""/>
    <s v=""/>
    <s v=""/>
    <s v="Para"/>
    <s v="Inbound"/>
    <s v=""/>
    <s v=""/>
    <s v="Fora Perfil;Instagram;Perfil Indefinido"/>
    <s v="Pipeline de Vendas"/>
    <s v="Qualificação de Vendas (SQL) (25%)"/>
    <s v=""/>
    <d v="2026-03-24T00:00:00"/>
    <m/>
    <m/>
    <n v="16"/>
    <s v="Paulo Souza"/>
    <d v="2026-03-23T00:00:00"/>
    <d v="1899-12-30T13:47:48"/>
    <s v=""/>
    <s v="Perdido"/>
    <d v="2026-04-08T00:00:00"/>
    <d v="1899-12-30T17:20:11"/>
    <s v="Fora do porte mínimo (sem fit estrutural)"/>
    <s v="Após varias tentativas de contato com Afabio sem retorno ! estou declinando oportunidade"/>
    <s v=""/>
    <x v="0"/>
    <s v="Junior Lopes"/>
    <x v="0"/>
    <s v=""/>
    <d v="2026-03-23T00:00:00"/>
    <n v="30"/>
    <s v=""/>
    <s v=""/>
    <s v=""/>
    <s v=""/>
    <n v="1"/>
  </r>
  <r>
    <x v="2"/>
    <n v="1045"/>
    <m/>
    <n v="3412"/>
    <s v="24.03 - não consegui contato_x000a_06.04 - telefone não atende_x000a_11:28, 31/03/2026 Rayssa Karapeticov - Comercial - Guarani Sistemas: Bom dia Lucas, como vai?_x000a_Meu nome é Rayssa, sou da Guarani Sistemas. _x000a_Estou tentando contato com você para entender como as soluções da Guarani Sistemas podem atender a MaisMendes Distribuidora Materiais para construção_x000a_11:56, 06/04/2026 Rayssa Karapeticov - Comercial - Guarani Sistemas: Boa tarde Lucas, tudo bem? _x000a_Meu nome é Rayssa, sou da Guarani Sistemas. _x000a_Ainda faz sentido a procura de uma solução para sua empresa?_x000a_07.4"/>
    <s v=""/>
    <x v="537"/>
    <m/>
    <s v=""/>
    <s v="MaisMendes Distribuidora Materiais para construção"/>
    <s v="62993734302"/>
    <s v=""/>
    <s v="lucasmatheusmendes@outlook.com"/>
    <s v=""/>
    <s v=""/>
    <s v=""/>
    <s v=""/>
    <s v=""/>
    <s v="Campanha"/>
    <s v=""/>
    <s v=""/>
    <s v="Fora Perfil;Instagram"/>
    <s v="Pipeline de Vendas"/>
    <s v="Agendamento (0%)"/>
    <s v=""/>
    <d v="2026-04-30T00:00:00"/>
    <m/>
    <m/>
    <n v="15"/>
    <s v="Paulo Souza"/>
    <d v="2026-03-23T00:00:00"/>
    <d v="1899-12-30T13:49:09"/>
    <s v=""/>
    <s v="Perdido"/>
    <d v="2026-04-07T00:00:00"/>
    <d v="1899-12-30T09:36:31"/>
    <s v="Fora do porte mínimo (sem fit estrutural)"/>
    <s v=""/>
    <s v=""/>
    <x v="0"/>
    <s v="Rayssa Karapeticov"/>
    <x v="0"/>
    <s v=""/>
    <d v="2026-04-07T00:00:00"/>
    <n v="30"/>
    <s v=""/>
    <s v=""/>
    <s v=""/>
    <s v=""/>
    <n v="1"/>
  </r>
  <r>
    <x v="1"/>
    <n v="1046"/>
    <m/>
    <n v="3411"/>
    <s v="(23/03/2026) contato com Rafael _x000a_(27/03/2026) Rafael não responde aos contato"/>
    <s v=""/>
    <x v="538"/>
    <n v="32354207000150"/>
    <s v=""/>
    <s v="DISTRIBOM"/>
    <s v="27999328628"/>
    <s v=""/>
    <s v="rafaeldebossan@gmail.com"/>
    <s v=""/>
    <s v=""/>
    <s v=""/>
    <s v="VILA VELHA"/>
    <s v="ES"/>
    <s v="Campanha"/>
    <s v=""/>
    <s v=""/>
    <s v="Dentro Perfil;Instagram"/>
    <s v="Pipeline de Vendas"/>
    <s v="Qualificação de Vendas (SQL) (25%)"/>
    <s v=""/>
    <d v="2026-03-31T00:00:00"/>
    <m/>
    <m/>
    <n v="47"/>
    <s v="Paulo Souza"/>
    <d v="2026-03-23T00:00:00"/>
    <d v="1899-12-30T13:50:19"/>
    <s v=""/>
    <s v="Perdido"/>
    <d v="2026-05-09T00:00:00"/>
    <d v="1899-12-30T08:02:53"/>
    <s v="Sem qualificação — contato não atende ligações nem responde msg"/>
    <s v=""/>
    <s v=""/>
    <x v="0"/>
    <s v="Junior Lopes"/>
    <x v="0"/>
    <s v=""/>
    <d v="2026-03-27T00:00:00"/>
    <n v="30"/>
    <s v=""/>
    <s v=""/>
    <s v=""/>
    <s v=""/>
    <n v="1"/>
  </r>
  <r>
    <x v="1"/>
    <n v="1047"/>
    <m/>
    <n v="3417"/>
    <s v=""/>
    <s v=""/>
    <x v="539"/>
    <m/>
    <s v=""/>
    <s v="Preciza Imports"/>
    <s v="11947600755"/>
    <s v=""/>
    <s v="financeiro@precizaimports.com.br"/>
    <s v=""/>
    <s v=""/>
    <s v=""/>
    <s v=""/>
    <s v=""/>
    <s v=""/>
    <s v=""/>
    <s v=""/>
    <s v=""/>
    <s v="Pipeline de Vendas"/>
    <s v="Em Fechamento (100%)"/>
    <s v=""/>
    <m/>
    <n v="1652929"/>
    <n v="0"/>
    <n v="0"/>
    <s v="Junior Lopes"/>
    <d v="2026-03-24T00:00:00"/>
    <d v="1899-12-30T16:07:13"/>
    <s v=""/>
    <s v="Ganho"/>
    <d v="2026-03-24T00:00:00"/>
    <d v="1899-12-30T16:09:06"/>
    <s v=""/>
    <s v=""/>
    <s v=""/>
    <x v="84"/>
    <s v=""/>
    <x v="0"/>
    <s v=""/>
    <m/>
    <n v="90"/>
    <s v=""/>
    <s v=""/>
    <s v=""/>
    <s v=""/>
    <n v="1"/>
  </r>
  <r>
    <x v="1"/>
    <n v="1049"/>
    <m/>
    <n v="3420"/>
    <s v="(31/03/2026) Reciclanorte  tem algumas particularidades que fogem do nosso ERP"/>
    <s v=""/>
    <x v="540"/>
    <n v="33582253000170"/>
    <s v=""/>
    <s v="Mateus Ramos"/>
    <s v="(38) 9968-0779"/>
    <s v=""/>
    <s v="reciclanorte2@gmail.com"/>
    <s v=""/>
    <s v=""/>
    <s v=""/>
    <s v="PONTO CHIQUE"/>
    <s v="MG"/>
    <s v="Site"/>
    <s v=""/>
    <s v=""/>
    <s v="Contato;Fora Perfil"/>
    <s v="Pipeline de Vendas"/>
    <s v="Qualificação de Vendas (SQL) (25%)"/>
    <s v=""/>
    <d v="2026-03-31T00:00:00"/>
    <m/>
    <m/>
    <n v="7"/>
    <s v="Paulo Souza"/>
    <d v="2026-03-25T00:00:00"/>
    <d v="1899-12-30T16:31:34"/>
    <s v=""/>
    <s v="Perdido"/>
    <d v="2026-04-01T00:00:00"/>
    <d v="1899-12-30T10:29:40"/>
    <s v="Fora do porte mínimo (sem fit estrutural)"/>
    <s v="(31/03/2026) Reciclanorte  tem algumas particularidades que fogem do nosso ERP"/>
    <s v=""/>
    <x v="0"/>
    <s v="Junior Lopes"/>
    <x v="0"/>
    <s v=""/>
    <d v="2026-03-31T00:00:00"/>
    <n v="30"/>
    <s v=""/>
    <s v=""/>
    <s v=""/>
    <s v=""/>
    <n v="1"/>
  </r>
  <r>
    <x v="1"/>
    <n v="1050"/>
    <m/>
    <n v="3427"/>
    <s v="10:07, 14/04/2026 Luccas Globalmix: Bom dia meu amigo, tudo bem? _x000a_Desculpe não te responder. Estou com alguns problemas de família e estive meio ausente. _x000a_Analisamos sua proposta e infelizmente ficou muito acima do que estávamos planejando nesse momento. _x000a_Desculpe a minha ignorância, mas não consegui compreender o motivo de um custo tão alto para a implementação de um ERP já existente. O custo que você me passou é basicamente o de desenvolver um novo sistema próprio. _x000a_Infelizmente nessas condições é inviável para nós nesse momento. _x000a_Agradeço pelo seu atendimento nas últimas semanas, foi extremamente atencioso. Espero que compreenda. _x000a_Obrigado_x000a_10:15, 14/04/2026 Junior Lopes: Bom dia, Luccas, tudo bem?_x000a_Primeiro, espero que as coisas com sua família se resolvam da melhor forma possível. Fica tranquilo quanto ao retorno, eu entendo perfeitamente._x000a_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_x000a_O que está incluso nesse investimento é justamente o que vai fazer o sistema “virar realidade” dentro da Globalmix:_x000a_– entendimento dos processos de vocês;_x000a_– parametrização do ERP para a realidade da empresa;_x000a_– construção/ajuste dos relatórios que vocês precisam;_x000a_– validação e homologação do funcionamento antes de ir para produção;_x000a_– integração com a Lisa Log;_x000a_– e, principalmente, treinamento da equipe e acompanhamento na virada, para que todo mundo use da forma correta e o projeto traga resultado._x000a_Sem essa etapa de consultoria, o risco é ter um sistema bom, mas mal configurado ou pouco usado, o que acaba gerando retrabalho e perda de confiança na ferramenta – e é justamente isso que queremos evitar._x000a_Dito isso, eu entendo totalmente a questão de orçamento. Se fizer sentido para você, eu posso:_x000a_1) rever o escopo para enxugar etapas e tentar adequar o investimento ao momento da Globalmix; ou_x000a_2) pensar em uma implantação por fases, começando pelo essencial (comercial + força de vendas + básico de estoque) e deixando integrações e aprofundamentos para uma segunda etapa._x000a_Você se sentiria confortável em me dizer qual faixa de investimento vocês tinham planejado, para eu ver o que é possível ajustar com transparência?"/>
    <s v=""/>
    <x v="541"/>
    <m/>
    <s v=""/>
    <s v="GlobalMix - Cloud"/>
    <s v="11988736515"/>
    <s v=""/>
    <s v="contabilgrupocrx@gmail.com"/>
    <s v=""/>
    <s v=""/>
    <s v=""/>
    <s v=""/>
    <s v=""/>
    <s v=""/>
    <s v=""/>
    <s v=""/>
    <s v=""/>
    <s v="Pipeline de Vendas"/>
    <s v="Apresentar Solução (35%)"/>
    <s v=""/>
    <m/>
    <n v="1600"/>
    <n v="252471"/>
    <n v="20"/>
    <s v="Junior Lopes"/>
    <d v="2026-03-26T00:00:00"/>
    <d v="1899-12-30T15:55:09"/>
    <s v=""/>
    <s v="Perdido"/>
    <d v="2026-04-15T00:00:00"/>
    <d v="1899-12-30T09:40:31"/>
    <s v="Não houve aprovação financeira"/>
    <s v="10:07, 14/04/2026 Luccas Globalmix: Bom dia meu amigo, tudo bem? _x000a_Desculpe não te responder. Estou com alguns problemas de família e estive meio ausente. _x000a_Analisamos sua proposta e infelizmente ficou muito acima do que estávamos planejando nesse momento. _x000a_Desculpe a minha ignorância, mas não consegui compreender o motivo de um custo tão alto para a implementação de um ERP já existente. O custo que você me passou é basicamente o de desenvolver um novo sistema próprio. _x000a_Infelizmente nessas condições é inviável para nós nesse momento. _x000a_Agradeço pelo seu atendimento nas últimas semanas, foi extremamente atencioso. Espero que compreenda. _x000a_Obrigado_x000a_10:15, 14/04/2026 Junior Lopes: Bom dia, Luccas, tudo bem?_x000a_Primeiro, espero que as coisas com sua família se resolvam da melhor forma possível. Fica tranquilo quanto ao retorno, eu entendo perfeitamente._x000a_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_x000a_O que está incluso nesse investimento é justamente o que vai fazer o sistema “virar realidade” dentro da Globalmix:_x000a_– entendimento dos processos de vocês;_x000a_– parametrização do ERP para a realidade da empresa;_x000a_– construção/ajuste dos relatórios que vocês precisam;_x000a_– validação e homologação do funcionamento antes de ir para produção;_x000a_– integração com a Lisa Log;_x000a_– e, principalmente, treinamento da equipe e acompanhamento na virada, para que todo mundo use da forma correta e o projeto traga resultado._x000a_Sem essa etapa de consultoria, o risco é ter um sistema bom, mas mal configurado ou pouco usado, o que acaba gerando retrabalho e perda de confiança na ferramenta – e é justamente isso que queremos evitar._x000a_Dito isso, eu entendo totalmente a questão de orçamento. Se fizer sentido para você, eu posso:_x000a_1) rever o escopo para enxugar etapas e tentar adequar o investimento ao momento da Globalmix; ou_x000a_2) pensar em uma implantação por fases, começando pelo essencial (comercial + força de vendas + básico de estoque) e deixando integrações e aprofundamentos para uma segunda etapa._x000a_Você se sentiria confortável em me dizer qual faixa de investimento vocês tinham planejado, para eu ver o que é possível ajustar com transparência?"/>
    <s v=""/>
    <x v="194"/>
    <s v=""/>
    <x v="211"/>
    <s v=""/>
    <d v="2026-04-15T00:00:00"/>
    <n v="50"/>
    <s v=""/>
    <s v=""/>
    <s v=""/>
    <s v=""/>
    <n v="1"/>
  </r>
  <r>
    <x v="1"/>
    <n v="1051"/>
    <m/>
    <n v="3428"/>
    <s v="10:07, 14/04/2026 Luccas Globalmix: Bom dia meu amigo, tudo bem? _x000a_Desculpe não te responder. Estou com alguns problemas de família e estive meio ausente. _x000a_Analisamos sua proposta e infelizmente ficou muito acima do que estávamos planejando nesse momento. _x000a_Desculpe a minha ignorância, mas não consegui compreender o motivo de um custo tão alto para a implementação de um ERP já existente. O custo que você me passou é basicamente o de desenvolver um novo sistema próprio. _x000a_Infelizmente nessas condições é inviável para nós nesse momento. _x000a_Agradeço pelo seu atendimento nas últimas semanas, foi extremamente atencioso. Espero que compreenda. _x000a_Obrigado_x000a_10:15, 14/04/2026 Junior Lopes: Bom dia, Luccas, tudo bem?_x000a_Primeiro, espero que as coisas com sua família se resolvam da melhor forma possível. Fica tranquilo quanto ao retorno, eu entendo perfeitamente._x000a_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_x000a_O que está incluso nesse investimento é justamente o que vai fazer o sistema “virar realidade” dentro da Globalmix:_x000a_– entendimento dos processos de vocês;_x000a_– parametrização do ERP para a realidade da empresa;_x000a_– construção/ajuste dos relatórios que vocês precisam;_x000a_– validação e homologação do funcionamento antes de ir para produção;_x000a_– integração com a Lisa Log;_x000a_– e, principalmente, treinamento da equipe e acompanhamento na virada, para que todo mundo use da forma correta e o projeto traga resultado._x000a_Sem essa etapa de consultoria, o risco é ter um sistema bom, mas mal configurado ou pouco usado, o que acaba gerando retrabalho e perda de confiança na ferramenta – e é justamente isso que queremos evitar._x000a_Dito isso, eu entendo totalmente a questão de orçamento. Se fizer sentido para você, eu posso:_x000a_1) rever o escopo para enxugar etapas e tentar adequar o investimento ao momento da Globalmix; ou_x000a_2) pensar em uma implantação por fases, começando pelo essencial (comercial + força de vendas + básico de estoque) e deixando integrações e aprofundamentos para uma segunda etapa._x000a_Você se sentiria confortável em me dizer qual faixa de investimento vocês tinham planejado, para eu ver o que é possível ajustar com transparência?"/>
    <s v=""/>
    <x v="542"/>
    <m/>
    <s v=""/>
    <s v="GlobalMix - B2B"/>
    <s v="11988736515"/>
    <s v=""/>
    <s v="contabilgrupocrx@gmail.com"/>
    <s v=""/>
    <s v=""/>
    <s v=""/>
    <s v=""/>
    <s v=""/>
    <s v=""/>
    <s v=""/>
    <s v=""/>
    <s v=""/>
    <s v="Pipeline de Vendas"/>
    <s v="Apresentar Solução (35%)"/>
    <s v=""/>
    <m/>
    <n v="13100"/>
    <n v="1800"/>
    <n v="20"/>
    <s v="Junior Lopes"/>
    <d v="2026-03-26T00:00:00"/>
    <d v="1899-12-30T15:59:11"/>
    <s v=""/>
    <s v="Perdido"/>
    <d v="2026-04-15T00:00:00"/>
    <d v="1899-12-30T09:36:41"/>
    <s v="Não houve aprovação financeira"/>
    <s v="10:07, 14/04/2026 Luccas Globalmix: Bom dia meu amigo, tudo bem? _x000a_Desculpe não te responder. Estou com alguns problemas de família e estive meio ausente. _x000a_Analisamos sua proposta e infelizmente ficou muito acima do que estávamos planejando nesse momento. _x000a_Desculpe a minha ignorância, mas não consegui compreender o motivo de um custo tão alto para a implementação de um ERP já existente. O custo que você me passou é basicamente o de desenvolver um novo sistema próprio. _x000a_Infelizmente nessas condições é inviável para nós nesse momento. _x000a_Agradeço pelo seu atendimento nas últimas semanas, foi extremamente atencioso. Espero que compreenda. _x000a_Obrigado_x000a_10:15, 14/04/2026 Junior Lopes: Bom dia, Luccas, tudo bem?_x000a_Primeiro, espero que as coisas com sua família se resolvam da melhor forma possível. Fica tranquilo quanto ao retorno, eu entendo perfeitamente._x000a_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_x000a_O que está incluso nesse investimento é justamente o que vai fazer o sistema “virar realidade” dentro da Globalmix:_x000a_– entendimento dos processos de vocês;_x000a_– parametrização do ERP para a realidade da empresa;_x000a_– construção/ajuste dos relatórios que vocês precisam;_x000a_– validação e homologação do funcionamento antes de ir para produção;_x000a_– integração com a Lisa Log;_x000a_– e, principalmente, treinamento da equipe e acompanhamento na virada, para que todo mundo use da forma correta e o projeto traga resultado._x000a_Sem essa etapa de consultoria, o risco é ter um sistema bom, mas mal configurado ou pouco usado, o que acaba gerando retrabalho e perda de confiança na ferramenta – e é justamente isso que queremos evitar._x000a_Dito isso, eu entendo totalmente a questão de orçamento. Se fizer sentido para você, eu posso:_x000a_1) rever o escopo para enxugar etapas e tentar adequar o investimento ao momento da Globalmix; ou_x000a_2) pensar em uma implantação por fases, começando pelo essencial (comercial + força de vendas + básico de estoque) e deixando integrações e aprofundamentos para uma segunda etapa._x000a_Você se sentiria confortável em me dizer qual faixa de investimento vocês tinham planejado, para eu ver o que é possível ajustar com transparência?"/>
    <s v=""/>
    <x v="194"/>
    <s v=""/>
    <x v="221"/>
    <s v=""/>
    <d v="2026-04-15T00:00:00"/>
    <n v="50"/>
    <s v=""/>
    <s v=""/>
    <s v=""/>
    <s v=""/>
    <n v="1"/>
  </r>
  <r>
    <x v="2"/>
    <n v="1052"/>
    <m/>
    <n v="3423"/>
    <s v="31.03 caixa postal: Bom dia Murilo, como vai?_x000a_Meu nome é Rayssa, sou da Guarani Sistemas. _x000a_Estou tentando contato com você para entender como as soluções da Guarani Sistemas podem atender a JUNDCOAT_x000a_07.04 caixa postal"/>
    <s v=""/>
    <x v="543"/>
    <n v="48440778000148"/>
    <s v=""/>
    <s v="JUNDCOAT"/>
    <s v="11912958843"/>
    <s v=""/>
    <s v="murilo@jundcoat.com.br"/>
    <s v=""/>
    <s v=""/>
    <s v=""/>
    <s v=""/>
    <s v="Itupeva"/>
    <s v="Inbound"/>
    <s v=""/>
    <s v=""/>
    <s v="Dentro Perfil;Instagram"/>
    <s v="Pipeline de Vendas"/>
    <s v="Agendamento (0%)"/>
    <s v=""/>
    <d v="2026-03-31T00:00:00"/>
    <m/>
    <m/>
    <n v="44"/>
    <s v="Paulo Souza"/>
    <d v="2026-03-26T00:00:00"/>
    <d v="1899-12-30T16:53:38"/>
    <s v=""/>
    <s v="Perdido"/>
    <d v="2026-05-09T00:00:00"/>
    <d v="1899-12-30T08:37:27"/>
    <s v="Sem qualificação — contato não atende ligações nem responde msg"/>
    <s v=""/>
    <s v=""/>
    <x v="0"/>
    <s v="Rayssa Karapeticov"/>
    <x v="0"/>
    <s v=""/>
    <d v="2026-04-07T00:00:00"/>
    <n v="30"/>
    <s v=""/>
    <s v=""/>
    <s v=""/>
    <s v=""/>
    <n v="1"/>
  </r>
  <r>
    <x v="1"/>
    <n v="1053"/>
    <m/>
    <n v="3424"/>
    <s v="(26/03/2026) em contato com Joel"/>
    <s v=""/>
    <x v="544"/>
    <n v="4486490000139"/>
    <s v=""/>
    <s v="indukraft"/>
    <s v="47988227474"/>
    <s v=""/>
    <s v="joel@indukraft.com.br"/>
    <s v=""/>
    <s v=""/>
    <s v=""/>
    <s v=""/>
    <s v=""/>
    <s v="Campanha"/>
    <s v=""/>
    <s v=""/>
    <s v="Dentro Perfil;Instagram"/>
    <s v="Pipeline de Vendas"/>
    <s v="Qualificação de Vendas (SQL) (25%)"/>
    <s v=""/>
    <d v="2026-03-26T00:00:00"/>
    <m/>
    <m/>
    <n v="55"/>
    <s v="Paulo Souza"/>
    <d v="2026-03-26T00:00:00"/>
    <d v="1899-12-30T16:56:07"/>
    <s v=""/>
    <s v="Ativo"/>
    <m/>
    <m/>
    <s v=""/>
    <s v=""/>
    <s v=""/>
    <x v="0"/>
    <s v="Junior Lopes"/>
    <x v="0"/>
    <s v=""/>
    <m/>
    <n v="30"/>
    <s v=""/>
    <s v=""/>
    <s v=""/>
    <s v=""/>
    <n v="1"/>
  </r>
  <r>
    <x v="2"/>
    <n v="1054"/>
    <m/>
    <n v="3425"/>
    <s v="30.03 pediu uma apresentação e valores. _x000a_Falei que preciso conhecer a empresa dele e entender a razão de procurar um novo software para empresa_x000a_Estavamos avançando com a conversa_x000a_01.04 - Não atendeu _x000a_Boa tarde Milton, tudo bem?_x000a_Fez sentido para sua operação as informações que passei?_x000a_06.04 - não atende e não retorna contato"/>
    <s v=""/>
    <x v="545"/>
    <m/>
    <s v=""/>
    <s v="B&amp;G Comércio de Sinalização e Materiais de Construção"/>
    <s v="11984731999"/>
    <s v=""/>
    <s v="milton-bernardo@uol.com.br"/>
    <s v=""/>
    <s v=""/>
    <s v=""/>
    <s v=""/>
    <s v="Caieiras"/>
    <s v="Inbound"/>
    <s v=""/>
    <s v=""/>
    <s v="Fora Perfil;Instagram"/>
    <s v="Pipeline de Vendas"/>
    <s v="Agendamento (0%)"/>
    <s v=""/>
    <d v="2026-03-26T00:00:00"/>
    <m/>
    <m/>
    <n v="11"/>
    <s v="Paulo Souza"/>
    <d v="2026-03-26T00:00:00"/>
    <d v="1899-12-30T16:58:49"/>
    <s v=""/>
    <s v="Perdido"/>
    <d v="2026-04-06T00:00:00"/>
    <d v="1899-12-30T12:44:35"/>
    <s v="Fora do porte mínimo (sem fit estrutural)"/>
    <s v=""/>
    <s v=""/>
    <x v="0"/>
    <s v="Rayssa Karapeticov"/>
    <x v="0"/>
    <s v=""/>
    <d v="2026-04-01T00:00:00"/>
    <n v="30"/>
    <s v=""/>
    <s v=""/>
    <s v=""/>
    <s v=""/>
    <n v="1"/>
  </r>
  <r>
    <x v="2"/>
    <n v="1055"/>
    <m/>
    <n v="3429"/>
    <s v="30.03 - lojista de material de construção"/>
    <s v=""/>
    <x v="546"/>
    <m/>
    <s v=""/>
    <s v="Leondilmo mat const ltda"/>
    <s v="61999781085"/>
    <s v=""/>
    <s v="leondilmo@hotmail.com"/>
    <s v=""/>
    <s v=""/>
    <s v=""/>
    <s v=""/>
    <s v=""/>
    <s v="Campanha"/>
    <s v=""/>
    <s v=""/>
    <s v="Fora Perfil;Instagram"/>
    <s v="Pipeline de Vendas"/>
    <s v="Agendamento (0%)"/>
    <s v=""/>
    <d v="2026-03-31T00:00:00"/>
    <m/>
    <m/>
    <n v="3"/>
    <s v="Paulo Souza"/>
    <d v="2026-03-27T00:00:00"/>
    <d v="1899-12-30T10:18:25"/>
    <s v=""/>
    <s v="Perdido"/>
    <d v="2026-03-30T00:00:00"/>
    <d v="1899-12-30T17:43:09"/>
    <s v="Fora do porte mínimo (sem fit estrutural)"/>
    <s v=""/>
    <s v=""/>
    <x v="0"/>
    <s v="Rayssa Karapeticov"/>
    <x v="0"/>
    <s v=""/>
    <d v="2026-03-30T00:00:00"/>
    <n v="30"/>
    <s v=""/>
    <s v=""/>
    <s v=""/>
    <s v=""/>
    <n v="1"/>
  </r>
  <r>
    <x v="1"/>
    <n v="1059"/>
    <m/>
    <n v="3455"/>
    <s v="(30/03/2026) Alinhando visita presencial com Thiago"/>
    <s v=""/>
    <x v="547"/>
    <m/>
    <s v=""/>
    <s v="Banana Toys - Cloud"/>
    <s v="1532835196"/>
    <s v=""/>
    <s v="faturamento@bananatoys.com.br"/>
    <s v=""/>
    <s v=""/>
    <s v=""/>
    <s v=""/>
    <s v=""/>
    <s v=""/>
    <s v=""/>
    <s v=""/>
    <s v=""/>
    <s v="Pipeline de Vendas"/>
    <s v="Em negociação (75%)"/>
    <s v=""/>
    <m/>
    <n v="1600"/>
    <n v="384454"/>
    <n v="51"/>
    <s v="Junior Lopes"/>
    <d v="2026-03-30T00:00:00"/>
    <d v="1899-12-30T15:20:04"/>
    <s v=""/>
    <s v="Ativo"/>
    <m/>
    <m/>
    <s v=""/>
    <s v=""/>
    <s v=""/>
    <x v="197"/>
    <s v=""/>
    <x v="222"/>
    <s v=""/>
    <d v="2026-03-30T00:00:00"/>
    <n v="50"/>
    <s v=""/>
    <s v=""/>
    <s v=""/>
    <s v=""/>
    <n v="1"/>
  </r>
  <r>
    <x v="1"/>
    <n v="1060"/>
    <m/>
    <n v="3460"/>
    <s v=""/>
    <s v=""/>
    <x v="548"/>
    <m/>
    <s v=""/>
    <s v="Util Ud - PCP / WMS"/>
    <s v="19974080034"/>
    <s v=""/>
    <s v="null"/>
    <s v=""/>
    <s v=""/>
    <s v=""/>
    <s v=""/>
    <s v=""/>
    <s v=""/>
    <s v=""/>
    <s v=""/>
    <s v=""/>
    <s v="Pipeline de Vendas"/>
    <s v="Em negociação (75%)"/>
    <s v=""/>
    <m/>
    <n v="34236"/>
    <n v="42768"/>
    <n v="51"/>
    <s v="Junior Lopes"/>
    <d v="2026-03-30T00:00:00"/>
    <d v="1899-12-30T16:14:02"/>
    <s v=""/>
    <s v="Ativo"/>
    <m/>
    <m/>
    <s v=""/>
    <s v=""/>
    <s v=""/>
    <x v="201"/>
    <s v=""/>
    <x v="223"/>
    <s v=""/>
    <m/>
    <n v="50"/>
    <s v=""/>
    <s v=""/>
    <s v=""/>
    <s v=""/>
    <n v="1"/>
  </r>
  <r>
    <x v="1"/>
    <n v="1061"/>
    <m/>
    <n v="3466"/>
    <s v="(24/04/2026) orçamento não aprovado"/>
    <s v=""/>
    <x v="549"/>
    <m/>
    <s v=""/>
    <s v="Weck - Horas"/>
    <s v="11947895866"/>
    <s v=""/>
    <s v="null"/>
    <s v=""/>
    <s v=""/>
    <s v=""/>
    <s v=""/>
    <s v=""/>
    <s v=""/>
    <s v=""/>
    <s v=""/>
    <s v=""/>
    <s v="Pipeline de Vendas"/>
    <s v="Apresentar Proposta (50%)"/>
    <s v=""/>
    <m/>
    <n v="13568"/>
    <n v="0"/>
    <n v="25"/>
    <s v="Junior Lopes"/>
    <d v="2026-03-30T00:00:00"/>
    <d v="1899-12-30T16:39:07"/>
    <s v=""/>
    <s v="Perdido"/>
    <d v="2026-04-24T00:00:00"/>
    <d v="1899-12-30T10:11:23"/>
    <s v="Não houve aprovação financeira"/>
    <s v="(24/04/2026) orçamento não aprovado"/>
    <s v=""/>
    <x v="202"/>
    <s v=""/>
    <x v="224"/>
    <s v=""/>
    <d v="2026-04-24T00:00:00"/>
    <n v="30"/>
    <s v=""/>
    <s v=""/>
    <s v=""/>
    <s v=""/>
    <n v="1"/>
  </r>
  <r>
    <x v="1"/>
    <n v="1062"/>
    <m/>
    <n v="3093"/>
    <s v=""/>
    <s v=""/>
    <x v="550"/>
    <n v="53629067000156"/>
    <s v=""/>
    <s v="Claudio Teixeira"/>
    <s v="(43) 99669-3593"/>
    <s v=""/>
    <s v="claudioteixeirasap@hotmail.com"/>
    <s v=""/>
    <s v=""/>
    <s v=""/>
    <s v="CONSELHEIRO MAIRINCK"/>
    <s v="PR"/>
    <s v="Site"/>
    <s v=""/>
    <s v=""/>
    <s v="Solicita demo"/>
    <s v="Pipeline de Vendas"/>
    <s v="Apresentar Proposta (50%)"/>
    <s v=""/>
    <m/>
    <n v="68743"/>
    <n v="143186"/>
    <n v="0"/>
    <s v="Junior Lopes"/>
    <d v="2026-03-30T00:00:00"/>
    <d v="1899-12-30T17:23:13"/>
    <s v=""/>
    <s v="Perdido"/>
    <d v="2026-03-30T00:00:00"/>
    <d v="1899-12-30T17:46:58"/>
    <s v="Não houve aprovação financeira"/>
    <s v="Claudio achou o valor muito acima para investimento"/>
    <s v=""/>
    <x v="160"/>
    <s v=""/>
    <x v="173"/>
    <s v=""/>
    <m/>
    <n v="30"/>
    <s v=""/>
    <s v=""/>
    <s v=""/>
    <s v=""/>
    <n v="1"/>
  </r>
  <r>
    <x v="1"/>
    <n v="1063"/>
    <m/>
    <n v="3467"/>
    <s v=""/>
    <s v=""/>
    <x v="551"/>
    <m/>
    <s v=""/>
    <s v="Casabella Claudio Teixeira - Cloud"/>
    <s v="43996693593"/>
    <s v=""/>
    <s v="null"/>
    <s v=""/>
    <s v=""/>
    <s v=""/>
    <s v=""/>
    <s v=""/>
    <s v=""/>
    <s v=""/>
    <s v=""/>
    <s v=""/>
    <s v="Pipeline de Vendas"/>
    <s v="Apresentar Proposta (50%)"/>
    <s v=""/>
    <m/>
    <n v="1600"/>
    <n v="252471"/>
    <n v="0"/>
    <s v="Junior Lopes"/>
    <d v="2026-03-30T00:00:00"/>
    <d v="1899-12-30T17:41:36"/>
    <s v=""/>
    <s v="Perdido"/>
    <d v="2026-03-30T00:00:00"/>
    <d v="1899-12-30T17:47:37"/>
    <s v="Não houve aprovação financeira"/>
    <s v="Claudio achou o valor muito acima para investimento"/>
    <s v=""/>
    <x v="203"/>
    <s v=""/>
    <x v="173"/>
    <s v="27/03/2026 00:00"/>
    <m/>
    <n v="30"/>
    <s v=""/>
    <s v=""/>
    <s v=""/>
    <s v=""/>
    <n v="1"/>
  </r>
  <r>
    <x v="2"/>
    <n v="1064"/>
    <m/>
    <n v="3446"/>
    <s v="31.03 - Caixa Postal - Bom dia Anderson, como vai?_x000a_Meu nome é Rayssa, sou da Guarani Sistemas. _x000a_Estou tentando contato com você para entender como as soluções da Guarani Sistemas podem atender a Distribuidora Anderson Corrado_x000a_01.04 - caixa postal_x000a_07.04 encerrando por falta de retorno"/>
    <s v=""/>
    <x v="552"/>
    <m/>
    <s v=""/>
    <s v="Anderson Corrado"/>
    <s v="31971564261"/>
    <s v=""/>
    <s v="andersoncorrado@gmail.com"/>
    <s v=""/>
    <s v=""/>
    <s v=""/>
    <s v=""/>
    <s v=""/>
    <s v="Campanha"/>
    <s v=""/>
    <s v=""/>
    <s v="Fora Perfil;Instagram"/>
    <s v="Pipeline de Vendas"/>
    <s v="Agendamento (0%)"/>
    <s v=""/>
    <d v="2026-04-30T00:00:00"/>
    <m/>
    <m/>
    <n v="7"/>
    <s v="Paulo Souza"/>
    <d v="2026-03-31T00:00:00"/>
    <d v="1899-12-30T10:18:31"/>
    <s v=""/>
    <s v="Perdido"/>
    <d v="2026-04-07T00:00:00"/>
    <d v="1899-12-30T09:12:54"/>
    <s v="Fora do porte mínimo (sem fit estrutural)"/>
    <s v=""/>
    <s v=""/>
    <x v="0"/>
    <s v="Rayssa Karapeticov"/>
    <x v="0"/>
    <s v=""/>
    <d v="2026-04-01T00:00:00"/>
    <n v="30"/>
    <s v=""/>
    <s v=""/>
    <s v=""/>
    <s v=""/>
    <n v="1"/>
  </r>
  <r>
    <x v="1"/>
    <n v="1065"/>
    <m/>
    <n v="3447"/>
    <s v="(31/03/2026) cliente de loja porte pequeno , fora do perfil"/>
    <s v=""/>
    <x v="553"/>
    <m/>
    <s v=""/>
    <s v="nat art papelaria"/>
    <s v="15991197046"/>
    <s v=""/>
    <s v="cricanicolete@gmail.com"/>
    <s v=""/>
    <s v=""/>
    <s v=""/>
    <s v=""/>
    <s v="Sorocaba"/>
    <s v="Inbound"/>
    <s v=""/>
    <s v=""/>
    <s v="Fora Perfil;Instagram"/>
    <s v="Pipeline de Vendas"/>
    <s v="Agendamento (0%)"/>
    <s v=""/>
    <d v="2026-03-31T00:00:00"/>
    <m/>
    <m/>
    <n v="0"/>
    <s v="Paulo Souza"/>
    <d v="2026-03-31T00:00:00"/>
    <d v="1899-12-30T10:23:46"/>
    <s v=""/>
    <s v="Perdido"/>
    <d v="2026-03-31T00:00:00"/>
    <d v="1899-12-30T14:56:07"/>
    <s v="Fora do porte mínimo (sem fit estrutural)"/>
    <s v="(31/03/2026) cliente de loja porte pequeno , fora do perfil"/>
    <s v=""/>
    <x v="0"/>
    <s v="Junior Lopes"/>
    <x v="0"/>
    <s v=""/>
    <m/>
    <n v="30"/>
    <s v=""/>
    <s v=""/>
    <s v=""/>
    <s v=""/>
    <n v="1"/>
  </r>
  <r>
    <x v="1"/>
    <n v="1066"/>
    <m/>
    <n v="3448"/>
    <s v="(31/03/2026) em contato com Fernando _x000a_(06/04/2026) declinando por falta de retorno"/>
    <s v=""/>
    <x v="554"/>
    <n v="4827674000115"/>
    <s v=""/>
    <s v="Forte e Limpo"/>
    <s v="(73) 3027-3546"/>
    <s v=""/>
    <s v="forteelimpo@gmail.com"/>
    <s v=""/>
    <s v=""/>
    <s v=""/>
    <s v="ITABUNA"/>
    <s v="BA"/>
    <s v="Campanha"/>
    <s v=""/>
    <s v=""/>
    <s v="Dentro Perfil;Instagram"/>
    <s v="Pipeline de Vendas"/>
    <s v="Qualificação de Vendas (SQL) (25%)"/>
    <s v=""/>
    <m/>
    <m/>
    <m/>
    <n v="39"/>
    <s v="Paulo Souza"/>
    <d v="2026-03-31T00:00:00"/>
    <d v="1899-12-30T10:32:04"/>
    <s v=""/>
    <s v="Perdido"/>
    <d v="2026-05-09T00:00:00"/>
    <d v="1899-12-30T08:03:53"/>
    <s v="Sem qualificação — contato não atende ligações nem responde msg"/>
    <s v=""/>
    <s v=""/>
    <x v="0"/>
    <s v="Junior Lopes"/>
    <x v="0"/>
    <s v=""/>
    <d v="2026-04-06T00:00:00"/>
    <n v="30"/>
    <s v=""/>
    <s v=""/>
    <s v=""/>
    <s v=""/>
    <n v="1"/>
  </r>
  <r>
    <x v="2"/>
    <n v="1067"/>
    <m/>
    <n v="3468"/>
    <s v="31.03 é uma corretora e agentes de seguros, de planos de previdência complementar e de saúde."/>
    <s v=""/>
    <x v="555"/>
    <n v="50649054000150"/>
    <s v=""/>
    <s v="Finance coop LTDA"/>
    <s v="(21) 9310-5614"/>
    <s v=""/>
    <s v="financecorporacao@gmail.com"/>
    <s v=""/>
    <s v=""/>
    <s v=""/>
    <s v="RIO DE JANEIRO"/>
    <s v="RJ"/>
    <s v="Inbound"/>
    <s v=""/>
    <s v=""/>
    <s v="Fora Perfil;Instagram"/>
    <s v="Pipeline de Vendas"/>
    <s v="Agendamento (0%)"/>
    <s v=""/>
    <m/>
    <m/>
    <m/>
    <n v="0"/>
    <s v="Paulo Souza"/>
    <d v="2026-03-31T00:00:00"/>
    <d v="1899-12-30T10:35:35"/>
    <s v=""/>
    <s v="Perdido"/>
    <d v="2026-03-31T00:00:00"/>
    <d v="1899-12-30T15:20:34"/>
    <s v="Fora do porte mínimo (sem fit estrutural)"/>
    <s v=""/>
    <s v=""/>
    <x v="0"/>
    <s v="Rayssa Karapeticov"/>
    <x v="0"/>
    <s v=""/>
    <m/>
    <n v="30"/>
    <s v=""/>
    <s v=""/>
    <s v=""/>
    <s v=""/>
    <n v="1"/>
  </r>
  <r>
    <x v="1"/>
    <n v="1068"/>
    <m/>
    <n v="3471"/>
    <s v="(20/04/2026) em contato com Edson , informou que Baag vai manter servidor local devido ao alto investimento"/>
    <s v=""/>
    <x v="556"/>
    <m/>
    <s v=""/>
    <s v="Baag - Cloud"/>
    <s v="(75) 3021-7768"/>
    <s v=""/>
    <s v="null"/>
    <s v=""/>
    <s v=""/>
    <s v=""/>
    <s v=""/>
    <s v=""/>
    <s v=""/>
    <s v=""/>
    <s v=""/>
    <s v=""/>
    <s v="Pipeline de Vendas"/>
    <s v="Apresentar Proposta (50%)"/>
    <s v=""/>
    <m/>
    <n v="1600"/>
    <n v="384454"/>
    <n v="20"/>
    <s v="Junior Lopes"/>
    <d v="2026-03-31T00:00:00"/>
    <d v="1899-12-30T15:16:59"/>
    <s v=""/>
    <s v="Perdido"/>
    <d v="2026-04-20T00:00:00"/>
    <d v="1899-12-30T11:51:43"/>
    <s v="Não houve aprovação financeira"/>
    <s v="(20/04/2026) em contato com Edson , informou que Baag vai manter servidor local devido ao alto investimento"/>
    <s v=""/>
    <x v="194"/>
    <s v=""/>
    <x v="218"/>
    <s v=""/>
    <d v="2026-04-20T00:00:00"/>
    <n v="50"/>
    <s v=""/>
    <s v=""/>
    <s v=""/>
    <s v=""/>
    <n v="1"/>
  </r>
  <r>
    <x v="1"/>
    <n v="1069"/>
    <m/>
    <n v="3472"/>
    <s v=""/>
    <s v=""/>
    <x v="557"/>
    <m/>
    <s v=""/>
    <s v="Baag - Televendas"/>
    <s v="7530217768"/>
    <s v=""/>
    <s v="null"/>
    <s v=""/>
    <s v=""/>
    <s v=""/>
    <s v=""/>
    <s v=""/>
    <s v=""/>
    <s v=""/>
    <s v=""/>
    <s v=""/>
    <s v="Pipeline de Vendas"/>
    <s v="Apresentar Proposta (50%)"/>
    <s v=""/>
    <m/>
    <n v="8480"/>
    <n v="3564"/>
    <n v="24"/>
    <s v="Junior Lopes"/>
    <d v="2026-03-31T00:00:00"/>
    <d v="1899-12-30T15:37:28"/>
    <s v=""/>
    <s v="Perdido"/>
    <d v="2026-04-24T00:00:00"/>
    <d v="1899-12-30T10:06:18"/>
    <s v="Não houve aprovação financeira"/>
    <s v="24/04/2026) Edson falou com diretoria e achou valor alto para o momento"/>
    <s v=""/>
    <x v="204"/>
    <s v=""/>
    <x v="225"/>
    <s v=""/>
    <m/>
    <n v="30"/>
    <s v=""/>
    <s v=""/>
    <s v=""/>
    <s v=""/>
    <n v="1"/>
  </r>
  <r>
    <x v="1"/>
    <n v="1072"/>
    <m/>
    <n v="3474"/>
    <s v="(01/04/2026) Badux é uma auto elétrica que que faz manutenção e venda de peças no balcão (lojista)"/>
    <s v=""/>
    <x v="558"/>
    <n v="27728774000190"/>
    <s v=""/>
    <s v="Badux auto eletrica"/>
    <s v="(95) 9142-2588"/>
    <s v=""/>
    <s v="fabianoggsilva@hotmail.com"/>
    <s v=""/>
    <s v=""/>
    <s v=""/>
    <s v="BOA VISTA"/>
    <s v="RR"/>
    <s v="Inbound"/>
    <s v=""/>
    <s v=""/>
    <s v="Fora Perfil;Instagram"/>
    <s v="Pipeline de Vendas"/>
    <s v="Agendamento (0%)"/>
    <s v=""/>
    <m/>
    <m/>
    <m/>
    <n v="0"/>
    <s v="Paulo Souza"/>
    <d v="2026-04-01T00:00:00"/>
    <d v="1899-12-30T11:45:05"/>
    <s v=""/>
    <s v="Perdido"/>
    <d v="2026-04-01T00:00:00"/>
    <d v="1899-12-30T15:25:26"/>
    <s v="Fora do porte mínimo (sem fit estrutural)"/>
    <s v="(01/04/2026) Badux é uma auto elétrica que que faz manutenção e venda de peças no balcão (lojista)"/>
    <s v=""/>
    <x v="0"/>
    <s v="Junior Lopes"/>
    <x v="0"/>
    <s v=""/>
    <m/>
    <n v="30"/>
    <s v=""/>
    <s v=""/>
    <s v=""/>
    <s v=""/>
    <n v="1"/>
  </r>
  <r>
    <x v="1"/>
    <n v="1073"/>
    <m/>
    <n v="3479"/>
    <s v="(07/04/2026) tentativas de contato sem sucesso , em analise sobre verifiquei que é um empresa de lavanderia ! fora do perfil"/>
    <s v=""/>
    <x v="559"/>
    <n v="667476000261"/>
    <s v=""/>
    <s v="Ciape Distribuidora De Peças"/>
    <s v="44988361402"/>
    <s v=""/>
    <s v="rodrigo@lavinorte.com.br"/>
    <s v=""/>
    <s v=""/>
    <s v=""/>
    <s v=""/>
    <s v=""/>
    <s v="Campanha"/>
    <s v=""/>
    <s v=""/>
    <s v="Fora Perfil;Instagram"/>
    <s v="Pipeline de Vendas"/>
    <s v="Qualificação de Vendas (SQL) (25%)"/>
    <s v=""/>
    <m/>
    <m/>
    <m/>
    <n v="1"/>
    <s v="Paulo Souza"/>
    <d v="2026-04-06T00:00:00"/>
    <d v="1899-12-30T11:20:09"/>
    <s v=""/>
    <s v="Perdido"/>
    <d v="2026-04-07T00:00:00"/>
    <d v="1899-12-30T16:31:35"/>
    <s v="Fora do porte mínimo (sem fit estrutural)"/>
    <s v="(07/04/2026) tentativas de contato sem sucesso , em analise sobre verifiquei que é um empresa de lavanderia ! fora do perfil"/>
    <s v=""/>
    <x v="0"/>
    <s v="Junior Lopes"/>
    <x v="0"/>
    <s v=""/>
    <d v="2026-04-07T00:00:00"/>
    <n v="30"/>
    <s v=""/>
    <s v=""/>
    <s v=""/>
    <s v=""/>
    <n v="1"/>
  </r>
  <r>
    <x v="2"/>
    <n v="1074"/>
    <m/>
    <n v="3478"/>
    <s v="06.04 Liguei, pediu para chamar no whatsapp_x000a_Boa tarde Leandro, tudo bem?_x000a_Meu nome é Rayssa, sou da Guarani Sistemas. _x000a_Acabei de te liga rpara entender sua necessidade quanton as soluções da Guarani Sistemas. _x000a_Como posso te ajudar?"/>
    <s v=""/>
    <x v="560"/>
    <n v="34777766000107"/>
    <s v=""/>
    <s v="Tecalhas"/>
    <s v="(32) 3551-6365"/>
    <s v=""/>
    <s v="contato@realcontabilidadevrb.com.br"/>
    <s v=""/>
    <s v=""/>
    <s v=""/>
    <s v="VISCONDE DO RIO BRANCO"/>
    <s v="MG"/>
    <s v="Campanha"/>
    <s v=""/>
    <s v=""/>
    <s v="Fora Perfil;Instagram"/>
    <s v="Pipeline de Vendas"/>
    <s v="Agendamento (0%)"/>
    <s v=""/>
    <m/>
    <m/>
    <m/>
    <n v="33"/>
    <s v="Paulo Souza"/>
    <d v="2026-04-06T00:00:00"/>
    <d v="1899-12-30T11:21:52"/>
    <s v=""/>
    <s v="Perdido"/>
    <d v="2026-05-09T00:00:00"/>
    <d v="1899-12-30T08:38:25"/>
    <s v="Sem qualificação — contato não atende ligações nem responde msg"/>
    <s v=""/>
    <s v=""/>
    <x v="0"/>
    <s v="Rayssa Karapeticov"/>
    <x v="0"/>
    <s v=""/>
    <d v="2026-04-07T00:00:00"/>
    <n v="27"/>
    <s v=""/>
    <s v=""/>
    <s v=""/>
    <s v=""/>
    <n v="1"/>
  </r>
  <r>
    <x v="1"/>
    <n v="1075"/>
    <m/>
    <n v="3480"/>
    <s v="(06/04/2026) em contato com Thamires _x000a_(06/04/2026) Thamires não responde a ligação e e mensagens ! estou descartando o lead , falta muita informação como a razão social do cliente, endereço , CNPJ ! impossível fazer  uma pesquisa sobre o cliente"/>
    <s v=""/>
    <x v="561"/>
    <m/>
    <s v=""/>
    <s v="Eletro+"/>
    <s v="22997047181"/>
    <s v=""/>
    <s v="thamirestelleseriscado@hotmail.com"/>
    <s v=""/>
    <s v=""/>
    <s v=""/>
    <s v=""/>
    <s v=""/>
    <s v="Campanha"/>
    <s v=""/>
    <s v=""/>
    <s v="Fora Perfil;Instagram"/>
    <s v="Pipeline de Vendas"/>
    <s v="Agendamento (0%)"/>
    <s v=""/>
    <m/>
    <m/>
    <m/>
    <n v="0"/>
    <s v="Paulo Souza"/>
    <d v="2026-04-06T00:00:00"/>
    <d v="1899-12-30T11:23:42"/>
    <s v=""/>
    <s v="Perdido"/>
    <d v="2026-04-06T00:00:00"/>
    <d v="1899-12-30T17:17:27"/>
    <s v="Fora do porte mínimo (sem fit estrutural)"/>
    <s v="(06/04/2026) Thamires não responde a ligação e e mensagens ! estou descartando o lead , falta muita informação como a razão social do cliente, endereço , CNPJ ! impossível fazer  uma pesquisa sobre o cliente"/>
    <s v=""/>
    <x v="0"/>
    <s v="Junior Lopes"/>
    <x v="0"/>
    <s v=""/>
    <m/>
    <n v="30"/>
    <s v=""/>
    <s v=""/>
    <s v=""/>
    <s v=""/>
    <n v="1"/>
  </r>
  <r>
    <x v="2"/>
    <n v="1076"/>
    <m/>
    <n v="3482"/>
    <s v="06.04 - telefone errado"/>
    <s v=""/>
    <x v="562"/>
    <m/>
    <s v=""/>
    <s v="pra mim mesmo"/>
    <s v="4694441158"/>
    <s v=""/>
    <s v="t.marcio@hotmail.com"/>
    <s v=""/>
    <s v=""/>
    <s v=""/>
    <s v=""/>
    <s v=""/>
    <s v="Campanha"/>
    <s v=""/>
    <s v=""/>
    <s v="Fora Perfil;Instagram"/>
    <s v="Pipeline de Vendas"/>
    <s v="Agendamento (0%)"/>
    <s v=""/>
    <m/>
    <m/>
    <m/>
    <n v="1"/>
    <s v="Paulo Souza"/>
    <d v="2026-04-06T00:00:00"/>
    <d v="1899-12-30T11:25:26"/>
    <s v=""/>
    <s v="Perdido"/>
    <d v="2026-04-07T00:00:00"/>
    <d v="1899-12-30T09:07:58"/>
    <s v="Fora do porte mínimo (sem fit estrutural)"/>
    <s v=""/>
    <s v=""/>
    <x v="0"/>
    <s v="Rayssa Karapeticov"/>
    <x v="0"/>
    <s v=""/>
    <m/>
    <n v="30"/>
    <s v=""/>
    <s v=""/>
    <s v=""/>
    <s v=""/>
    <n v="1"/>
  </r>
  <r>
    <x v="1"/>
    <n v="1077"/>
    <m/>
    <n v="3483"/>
    <s v="(06/04/2026) Coelhos identificado como fora do perfil , executa trabalhos de automação de portaria e vendas de computadores para cliente pessoa física"/>
    <s v=""/>
    <x v="563"/>
    <n v="2861273000156"/>
    <s v=""/>
    <s v="Coelhos Automação"/>
    <s v="5330256162"/>
    <s v=""/>
    <s v="vilmar@coelhosautomacao.com.br"/>
    <s v=""/>
    <s v=""/>
    <s v=""/>
    <s v=""/>
    <s v=""/>
    <s v="Campanha"/>
    <s v=""/>
    <s v=""/>
    <s v="Fora Perfil;Instagram"/>
    <s v="Pipeline de Vendas"/>
    <s v="Agendamento (0%)"/>
    <s v=""/>
    <m/>
    <m/>
    <m/>
    <n v="0"/>
    <s v="Paulo Souza"/>
    <d v="2026-04-06T00:00:00"/>
    <d v="1899-12-30T11:27:43"/>
    <s v=""/>
    <s v="Perdido"/>
    <d v="2026-04-06T00:00:00"/>
    <d v="1899-12-30T16:59:44"/>
    <s v="Fora do porte mínimo (sem fit estrutural)"/>
    <s v="(06/04/2026) Coelhos identificado como fora do perfil , executa trabalhos de automação de portaria e vendas de computadores para cliente pessoa física"/>
    <s v=""/>
    <x v="0"/>
    <s v="Junior Lopes"/>
    <x v="0"/>
    <s v=""/>
    <m/>
    <n v="28"/>
    <s v=""/>
    <s v=""/>
    <s v=""/>
    <s v=""/>
    <n v="1"/>
  </r>
  <r>
    <x v="1"/>
    <n v="1078"/>
    <m/>
    <n v="3497"/>
    <s v="24/04/2026) Edson falou com diretoria e achou valor alto para o momento"/>
    <s v=""/>
    <x v="564"/>
    <m/>
    <s v=""/>
    <s v="Baag - BI"/>
    <s v="7530217768"/>
    <s v=""/>
    <s v="helpdesk@bahiagrafica.com.br"/>
    <s v=""/>
    <s v=""/>
    <s v=""/>
    <s v=""/>
    <s v=""/>
    <s v=""/>
    <s v=""/>
    <s v=""/>
    <s v=""/>
    <s v="Pipeline de Vendas"/>
    <s v="Apresentar Proposta (50%)"/>
    <s v=""/>
    <m/>
    <n v="8100"/>
    <n v="1080"/>
    <n v="16"/>
    <s v="Junior Lopes"/>
    <d v="2026-04-08T00:00:00"/>
    <d v="1899-12-30T16:50:57"/>
    <s v=""/>
    <s v="Perdido"/>
    <d v="2026-04-24T00:00:00"/>
    <d v="1899-12-30T09:54:24"/>
    <s v="Não houve aprovação financeira"/>
    <s v="24/04/2026) Edson falou com diretoria e achou valor alto para o momento"/>
    <s v=""/>
    <x v="205"/>
    <s v=""/>
    <x v="226"/>
    <s v=""/>
    <d v="2026-04-24T00:00:00"/>
    <n v="50"/>
    <s v=""/>
    <s v=""/>
    <s v=""/>
    <s v=""/>
    <n v="1"/>
  </r>
  <r>
    <x v="1"/>
    <n v="1079"/>
    <m/>
    <n v="3501"/>
    <s v="(09/04/2026) Prospecção , buscando contato para conexão e apresentação das soluções ERP e Força de vendas"/>
    <s v=""/>
    <x v="565"/>
    <n v="48260432000168"/>
    <s v=""/>
    <s v="EDUARDO MARINO COELHO"/>
    <s v=""/>
    <s v=""/>
    <s v=""/>
    <s v=""/>
    <s v=""/>
    <s v=""/>
    <s v=""/>
    <s v=""/>
    <s v="Base de empresas Leads2b"/>
    <s v=""/>
    <s v=""/>
    <s v=""/>
    <s v="Pipeline de Vendas"/>
    <s v="Qualificação de Vendas (SQL) (25%)"/>
    <s v=""/>
    <m/>
    <m/>
    <m/>
    <n v="41"/>
    <s v="Junior Lopes"/>
    <d v="2026-04-09T00:00:00"/>
    <d v="1899-12-30T09:22:10"/>
    <s v=""/>
    <s v="Ativo"/>
    <m/>
    <m/>
    <s v=""/>
    <s v=""/>
    <s v=""/>
    <x v="0"/>
    <s v=""/>
    <x v="0"/>
    <s v=""/>
    <d v="2026-05-06T00:00:00"/>
    <n v="30"/>
    <s v=""/>
    <s v=""/>
    <s v=""/>
    <s v=""/>
    <n v="1"/>
  </r>
  <r>
    <x v="1"/>
    <n v="1080"/>
    <m/>
    <n v="3502"/>
    <s v="(09/04/2026) Em contato com Jaison (TI) _x000a_09:49, 09/04/2026 Junior Lopes: Olá Jaison ! Bom dia meu amigo ! _x000a_Junior da Guarani sistemas por aqui_x000a_09:49, 09/04/2026 Junior Lopes: Há um tempo fizemos uma apresentação da solução de força de vendas para a Unitermi e fiquei curioso para saber como vocês estão hoje com esse tipo de solução._x000a_Estão utilizando alguma ferramenta atualmente?_x000a_Vejo que ainda podemos ajudar bastante na organização dos pedidos, acompanhamento da equipe de vendas em campo e melhoria dos resultados. Se fizer sentido, posso agendar uma conversa rápida para entendermos o momento de vocês e mostrar como podemos apoiar._x000a_Contato com Danieli (Comercial)_x000a_09:51, 09/04/2026 Junior Lopes: Olá Danieli , bom dia _x000a_Junior da Guarani sistemas por aqui ! Td bem ?_x000a_09:52, 09/04/2026 Junior Lopes: Alguns meses atrás apresentei nossa solução de força de vendas para a Unitermi e fiquei pensando em como está hoje o processo comercial de vocês: pedidos, roteiros, acompanhamento da equipe externa etc._x000a_Vocês já estão com alguma solução implantada ou ainda avaliam opções?_x000a_10:12, 09/04/2026 Unitermi Danieli: Jaison Unitermi TI_x000a_10:12, 09/04/2026 Unitermi Danieli: Bom dia_x000a_10:12, 09/04/2026 Unitermi Danieli: Favor contatar o responsável da Ti_x000a_10:12, 09/04/2026 Unitermi Danieli: Obrigada"/>
    <s v=""/>
    <x v="566"/>
    <n v="19398581000190"/>
    <s v=""/>
    <s v="Unitermi indústria"/>
    <s v="48988044437"/>
    <s v=""/>
    <s v="sup.comercial@unitermi.com.br"/>
    <s v=""/>
    <s v=""/>
    <s v=""/>
    <s v="PAULO LOPES"/>
    <s v="SC"/>
    <s v=""/>
    <s v=""/>
    <s v=""/>
    <s v=""/>
    <s v="Pipeline de Vendas"/>
    <s v="Qualificação de Vendas (SQL) (25%)"/>
    <s v=""/>
    <m/>
    <m/>
    <m/>
    <n v="41"/>
    <s v="Junior Lopes"/>
    <d v="2026-04-09T00:00:00"/>
    <d v="1899-12-30T10:11:00"/>
    <s v=""/>
    <s v="Ativo"/>
    <m/>
    <m/>
    <s v=""/>
    <s v=""/>
    <s v=""/>
    <x v="0"/>
    <s v=""/>
    <x v="0"/>
    <s v=""/>
    <d v="2026-05-06T00:00:00"/>
    <n v="30"/>
    <s v=""/>
    <s v=""/>
    <s v=""/>
    <s v=""/>
    <n v="1"/>
  </r>
  <r>
    <x v="1"/>
    <n v="1081"/>
    <m/>
    <n v="3504"/>
    <s v="(09/04/2026) em contato com Daniel _x000a_10:38, 09/04/2026 Junior Lopes: Olá Daniel ! Bom dia , Júnior Lopes da Guarani sistemas por aqui_x000a_10:38, 09/04/2026 Junior Lopes: Algum tempo atrás apresentei nossa solução de força de vendas para Martiplast e fiquei pensando em como está o processo comercial de vocês ?_x000a_10:38, 09/04/2026 Junior Lopes: Que tal rever nossas soluções?"/>
    <s v="Martiplast Industria E Comercio De Plasticos Ltda"/>
    <x v="567"/>
    <n v="73445454000654"/>
    <s v=""/>
    <s v="Martiplast Industria E Comercio De Plasticos Ltda"/>
    <s v="(54) 2101-9090"/>
    <s v=""/>
    <s v="diego.borges@martiplast.com.br"/>
    <s v=""/>
    <s v=""/>
    <s v=""/>
    <s v="SAO PAULO"/>
    <s v="SP"/>
    <s v="Base de empresas Leads2b"/>
    <s v=""/>
    <s v=""/>
    <s v=""/>
    <s v="Pipeline de Vendas"/>
    <s v="Qualificação de Vendas (SQL) (25%)"/>
    <s v=""/>
    <m/>
    <m/>
    <m/>
    <n v="41"/>
    <s v="Junior Lopes"/>
    <d v="2026-04-09T00:00:00"/>
    <d v="1899-12-30T10:44:36"/>
    <s v=""/>
    <s v="Ativo"/>
    <m/>
    <m/>
    <s v=""/>
    <s v=""/>
    <s v=""/>
    <x v="0"/>
    <s v=""/>
    <x v="0"/>
    <s v=""/>
    <d v="2026-05-06T00:00:00"/>
    <n v="30"/>
    <s v=""/>
    <s v=""/>
    <s v=""/>
    <s v=""/>
    <n v="1"/>
  </r>
  <r>
    <x v="2"/>
    <n v="1082"/>
    <m/>
    <n v="3488"/>
    <s v="10.04 Liguei ficou na caixa postal _x000a_Bom dia Vidal, tudo bem?_x000a_meu nome é Rayssa, sou da Guarani Sistemas. _x000a_Tentei contato com você para falarmos das soluções de software para sua empresa. _x000a_Qual melhor horario para te retornar?_x000a_23.04Bom dia Vidal, como vai?_x000a_Estou tentando contato com você para entender sua solicitação para conhecer nossos sistemas._x000a_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_x000a_Vou deixar uma apresentação de nossa empresa e quando tiver um tempo disponivel por retornar o contato"/>
    <s v=""/>
    <x v="568"/>
    <m/>
    <s v=""/>
    <s v="Vidal"/>
    <s v="51981230645"/>
    <s v=""/>
    <s v="g.vidal0220@gmail.com"/>
    <s v=""/>
    <s v=""/>
    <s v=""/>
    <s v=""/>
    <s v=""/>
    <s v="Campanha"/>
    <s v=""/>
    <s v=""/>
    <s v="Fora Perfil;Instagram"/>
    <s v="Pipeline de Vendas"/>
    <s v="Agendamento (0%)"/>
    <s v=""/>
    <d v="2026-04-30T00:00:00"/>
    <m/>
    <m/>
    <n v="29"/>
    <s v="Paulo Souza"/>
    <d v="2026-04-10T00:00:00"/>
    <d v="1899-12-30T08:45:52"/>
    <s v=""/>
    <s v="Perdido"/>
    <d v="2026-05-09T00:00:00"/>
    <d v="1899-12-30T08:38:47"/>
    <s v="Sem qualificação — contato não atende ligações nem responde msg"/>
    <s v=""/>
    <s v=""/>
    <x v="0"/>
    <s v="Rayssa Karapeticov"/>
    <x v="0"/>
    <s v=""/>
    <d v="2026-04-23T00:00:00"/>
    <n v="28"/>
    <s v=""/>
    <s v=""/>
    <s v=""/>
    <s v=""/>
    <n v="1"/>
  </r>
  <r>
    <x v="1"/>
    <n v="1083"/>
    <m/>
    <n v="3491"/>
    <s v="(10/04/2026) Buscando contato com Belmar"/>
    <s v=""/>
    <x v="569"/>
    <n v="91241034000123"/>
    <s v=""/>
    <s v="METALÚRGICA VALENTINI LTDA"/>
    <s v="(54) 3321-5204 / (54) 3321-5204"/>
    <s v=""/>
    <s v="metalvalentini@gmail.com"/>
    <s v=""/>
    <s v=""/>
    <s v=""/>
    <s v="ERECHIM"/>
    <s v="RS"/>
    <s v="Campanha"/>
    <s v=""/>
    <s v=""/>
    <s v="Fora Perfil;Instagram"/>
    <s v="Pipeline de Vendas"/>
    <s v="Agendamento (0%)"/>
    <s v=""/>
    <m/>
    <m/>
    <m/>
    <n v="29"/>
    <s v="Paulo Souza"/>
    <d v="2026-04-10T00:00:00"/>
    <d v="1899-12-30T08:47:32"/>
    <s v=""/>
    <s v="Perdido"/>
    <d v="2026-05-09T00:00:00"/>
    <d v="1899-12-30T08:40:51"/>
    <s v="Sem qualificação — contato não atende ligações nem responde msg"/>
    <s v=""/>
    <s v=""/>
    <x v="0"/>
    <s v="Junior Lopes"/>
    <x v="0"/>
    <s v=""/>
    <m/>
    <n v="30"/>
    <s v=""/>
    <s v=""/>
    <s v=""/>
    <s v=""/>
    <n v="1"/>
  </r>
  <r>
    <x v="1"/>
    <n v="1084"/>
    <m/>
    <n v="3492"/>
    <s v="(10/04/2026) em contato com Danyllo buscando agenda para um bate papo"/>
    <s v=""/>
    <x v="570"/>
    <m/>
    <s v=""/>
    <s v="Camelo distribuidora"/>
    <s v="62991773767"/>
    <s v=""/>
    <s v="danyllogac@hotmail.com"/>
    <s v=""/>
    <s v=""/>
    <s v=""/>
    <s v=""/>
    <s v=""/>
    <s v="Campanha"/>
    <s v=""/>
    <s v=""/>
    <s v="Dentro Perfil;Instagram"/>
    <s v="Pipeline de Vendas"/>
    <s v="Qualificação de Vendas (SQL) (25%)"/>
    <s v=""/>
    <m/>
    <m/>
    <m/>
    <n v="40"/>
    <s v="Paulo Souza"/>
    <d v="2026-04-10T00:00:00"/>
    <d v="1899-12-30T08:49:10"/>
    <s v=""/>
    <s v="Ativo"/>
    <m/>
    <m/>
    <s v=""/>
    <s v=""/>
    <s v=""/>
    <x v="0"/>
    <s v="Junior Lopes"/>
    <x v="0"/>
    <s v=""/>
    <m/>
    <n v="29"/>
    <s v=""/>
    <s v=""/>
    <s v=""/>
    <s v=""/>
    <n v="1"/>
  </r>
  <r>
    <x v="2"/>
    <n v="1085"/>
    <m/>
    <n v="3494"/>
    <s v=""/>
    <s v=""/>
    <x v="571"/>
    <n v="21233195000190"/>
    <s v=""/>
    <s v="Cleber vieira teles"/>
    <s v="(15) 9800-0087"/>
    <s v=""/>
    <s v="vieira_teles@hotmail.com"/>
    <s v=""/>
    <s v=""/>
    <s v=""/>
    <s v="PORTO FELIZ"/>
    <s v="SP"/>
    <s v="Campanha"/>
    <s v=""/>
    <s v=""/>
    <s v="Fora Perfil;Instagram"/>
    <s v="Pipeline de Vendas"/>
    <s v="Agendamento (0%)"/>
    <s v=""/>
    <d v="2026-04-30T00:00:00"/>
    <m/>
    <m/>
    <n v="13"/>
    <s v="Paulo Souza"/>
    <d v="2026-04-10T00:00:00"/>
    <d v="1899-12-30T08:50:25"/>
    <s v=""/>
    <s v="Perdido"/>
    <d v="2026-04-23T00:00:00"/>
    <d v="1899-12-30T11:03:07"/>
    <s v="Fora do porte mínimo (sem fit estrutural)"/>
    <s v=""/>
    <s v=""/>
    <x v="0"/>
    <s v="Rayssa Karapeticov"/>
    <x v="0"/>
    <s v=""/>
    <d v="2026-04-23T00:00:00"/>
    <n v="30"/>
    <s v=""/>
    <s v=""/>
    <s v=""/>
    <s v=""/>
    <n v="1"/>
  </r>
  <r>
    <x v="2"/>
    <n v="1086"/>
    <m/>
    <n v="3496"/>
    <s v="Todos os dados preenchidos:_x000a_empresa: Grupo Marcamix _x000a_name: Ismael Ramos _x000a_cargo: Analista de Sistemas _x000a_whatsapp: 11960590527 _x000a_email: suporte@marcamix.com.br"/>
    <s v=""/>
    <x v="572"/>
    <n v="3634113000137"/>
    <s v=""/>
    <s v="Ismael Ramos"/>
    <s v=""/>
    <s v=""/>
    <s v="suporte@marcamix.com.br"/>
    <s v=""/>
    <s v=""/>
    <s v=""/>
    <s v="Ribeirão Preto"/>
    <s v=""/>
    <s v="Inbound"/>
    <s v=""/>
    <s v=""/>
    <s v="comex"/>
    <s v="Pipeline de Vendas"/>
    <s v="Em negociação (75%)"/>
    <s v=""/>
    <d v="2026-04-10T00:00:00"/>
    <n v="6000"/>
    <n v="2000"/>
    <n v="40"/>
    <s v="Paulo Souza"/>
    <d v="2026-04-10T00:00:00"/>
    <d v="1899-12-30T08:52:00"/>
    <s v=""/>
    <s v="Ativo"/>
    <m/>
    <m/>
    <s v=""/>
    <s v=""/>
    <s v=""/>
    <x v="206"/>
    <s v="Rayssa Karapeticov"/>
    <x v="227"/>
    <s v=""/>
    <d v="2026-05-13T00:00:00"/>
    <n v="30"/>
    <s v=""/>
    <s v=""/>
    <s v=""/>
    <s v=""/>
    <n v="1"/>
  </r>
  <r>
    <x v="0"/>
    <n v="1087"/>
    <m/>
    <n v="3495"/>
    <s v=""/>
    <s v=""/>
    <x v="573"/>
    <m/>
    <s v=""/>
    <s v="Romulo"/>
    <s v="8191451469"/>
    <s v=""/>
    <s v="romulomelo2009@gmai.com"/>
    <s v=""/>
    <s v=""/>
    <s v=""/>
    <s v=""/>
    <s v=""/>
    <s v="Campanha"/>
    <s v=""/>
    <s v=""/>
    <s v="Fora Perfil;Instagram"/>
    <s v="Pipeline de Vendas"/>
    <s v="Agendamento (0%)"/>
    <s v=""/>
    <d v="2026-04-30T00:00:00"/>
    <m/>
    <m/>
    <n v="0"/>
    <s v="Paulo Souza"/>
    <d v="2026-04-10T00:00:00"/>
    <d v="1899-12-30T08:53:42"/>
    <s v=""/>
    <s v="Perdido"/>
    <d v="2026-04-10T00:00:00"/>
    <d v="1899-12-30T14:08:40"/>
    <s v="Preço muito alto - fora do budget de investimento"/>
    <s v=""/>
    <s v=""/>
    <x v="0"/>
    <s v="Paulo Souza"/>
    <x v="0"/>
    <s v=""/>
    <m/>
    <n v="30"/>
    <s v=""/>
    <s v=""/>
    <s v=""/>
    <s v=""/>
    <n v="1"/>
  </r>
  <r>
    <x v="0"/>
    <n v="1088"/>
    <m/>
    <n v="3498"/>
    <s v=""/>
    <s v=""/>
    <x v="574"/>
    <m/>
    <s v=""/>
    <s v="JH Navegação e Logística Ltda"/>
    <s v="92991313828"/>
    <s v=""/>
    <s v="hayliebarbosa1@gmail.com"/>
    <s v=""/>
    <s v=""/>
    <s v=""/>
    <s v=""/>
    <s v=""/>
    <s v="Campanha"/>
    <s v=""/>
    <s v=""/>
    <s v="Fora Perfil;Instagram"/>
    <s v="Pipeline de Vendas"/>
    <s v="Agendamento (0%)"/>
    <s v=""/>
    <m/>
    <m/>
    <m/>
    <n v="29"/>
    <s v="Paulo Souza"/>
    <d v="2026-04-10T00:00:00"/>
    <d v="1899-12-30T08:54:24"/>
    <s v=""/>
    <s v="Perdido"/>
    <d v="2026-05-09T00:00:00"/>
    <d v="1899-12-30T08:41:27"/>
    <s v="Fora do segmento atendido"/>
    <s v=""/>
    <s v=""/>
    <x v="0"/>
    <s v="Paulo Souza"/>
    <x v="0"/>
    <s v=""/>
    <m/>
    <n v="30"/>
    <s v=""/>
    <s v=""/>
    <s v=""/>
    <s v=""/>
    <n v="1"/>
  </r>
  <r>
    <x v="1"/>
    <n v="1089"/>
    <m/>
    <n v="3509"/>
    <s v=""/>
    <s v=""/>
    <x v="575"/>
    <n v="3654966000130"/>
    <s v=""/>
    <s v="Marlim Azul Turismo"/>
    <s v="27999346494"/>
    <s v=""/>
    <s v="heber@marlimazulturismo.com.br"/>
    <s v=""/>
    <s v=""/>
    <s v=""/>
    <s v=""/>
    <s v="Serra ES"/>
    <s v="Inbound"/>
    <s v=""/>
    <s v=""/>
    <s v="Fora Perfil;Instagram"/>
    <s v="Pipeline de Vendas"/>
    <s v="Agendamento (0%)"/>
    <s v=""/>
    <m/>
    <m/>
    <m/>
    <n v="0"/>
    <s v="Paulo Souza"/>
    <d v="2026-04-10T00:00:00"/>
    <d v="1899-12-30T08:55:19"/>
    <s v=""/>
    <s v="Perdido"/>
    <d v="2026-04-10T00:00:00"/>
    <d v="1899-12-30T10:24:21"/>
    <s v="Fora do porte mínimo (sem fit estrutural)"/>
    <s v="empresa fora do perfil"/>
    <s v=""/>
    <x v="0"/>
    <s v="Junior Lopes"/>
    <x v="0"/>
    <s v=""/>
    <m/>
    <n v="30"/>
    <s v=""/>
    <s v=""/>
    <s v=""/>
    <s v=""/>
    <n v="1"/>
  </r>
  <r>
    <x v="2"/>
    <n v="1090"/>
    <m/>
    <n v="3508"/>
    <s v="10.04 - Caixa postal _x000a_Bom dia Claudio , como vai?_x000a_Meu nome é Rayssa, sou da Guarani Sistemas. _x000a_Tentei contato com você para falarmos de sua necessidade de implantação de um novo software para sua empresa._x000a_Qual melhor horario para te retornar?"/>
    <s v=""/>
    <x v="576"/>
    <m/>
    <s v=""/>
    <s v="Mercado do bairro"/>
    <s v="11949454465"/>
    <s v=""/>
    <s v="mercadobairro11@gmail.com"/>
    <s v=""/>
    <s v=""/>
    <s v=""/>
    <s v=""/>
    <s v=""/>
    <s v="Campanha"/>
    <s v=""/>
    <s v=""/>
    <s v="Fora Perfil;Instagram"/>
    <s v="Pipeline de Vendas"/>
    <s v="Agendamento (0%)"/>
    <s v=""/>
    <d v="2026-04-30T00:00:00"/>
    <m/>
    <m/>
    <n v="0"/>
    <s v="Paulo Souza"/>
    <d v="2026-04-10T00:00:00"/>
    <d v="1899-12-30T08:56:18"/>
    <s v=""/>
    <s v="Perdido"/>
    <d v="2026-04-10T00:00:00"/>
    <d v="1899-12-30T10:43:18"/>
    <s v="Fora do porte mínimo (sem fit estrutural)"/>
    <s v="mercado"/>
    <s v=""/>
    <x v="0"/>
    <s v="Rayssa Karapeticov"/>
    <x v="0"/>
    <s v=""/>
    <m/>
    <n v="30"/>
    <s v=""/>
    <s v=""/>
    <s v=""/>
    <s v=""/>
    <n v="1"/>
  </r>
  <r>
    <x v="1"/>
    <n v="1091"/>
    <m/>
    <n v="3507"/>
    <s v="(10/04/2026) em contato com Guri a fim de entender melhor suas necessidades"/>
    <s v=""/>
    <x v="577"/>
    <m/>
    <s v=""/>
    <s v="Guri cervejaria"/>
    <s v="54996551297"/>
    <s v=""/>
    <s v="cervejariaguri@hotmail.com"/>
    <s v=""/>
    <s v=""/>
    <s v=""/>
    <s v=""/>
    <s v=""/>
    <s v="Campanha"/>
    <s v=""/>
    <s v=""/>
    <s v="Fora Perfil;Instagram"/>
    <s v="Pipeline de Vendas"/>
    <s v="Qualificação de Vendas (SQL) (25%)"/>
    <s v=""/>
    <d v="2026-04-30T00:00:00"/>
    <m/>
    <m/>
    <n v="0"/>
    <s v="Paulo Souza"/>
    <d v="2026-04-10T00:00:00"/>
    <d v="1899-12-30T08:57:15"/>
    <s v=""/>
    <s v="Perdido"/>
    <d v="2026-04-10T00:00:00"/>
    <d v="1899-12-30T10:26:02"/>
    <s v="Fora do porte mínimo (sem fit estrutural)"/>
    <s v="Guri cervejaria é basicamente um bar e entretenimento com quadras de futebol, fora do perfil"/>
    <s v=""/>
    <x v="0"/>
    <s v="Junior Lopes"/>
    <x v="0"/>
    <s v=""/>
    <m/>
    <n v="30"/>
    <s v=""/>
    <s v=""/>
    <s v=""/>
    <s v=""/>
    <n v="1"/>
  </r>
  <r>
    <x v="2"/>
    <n v="1092"/>
    <m/>
    <n v="3506"/>
    <s v="28.04 Boa tarde Paulo, como vai?_x000a_Meu nome é Rayssa, sou da Guarani Sistemas, e falei com você uns dias atrás para entender sua necessidade de implantação de um novo software, porém, não consegui mais falar com você._x000a_Ainda está em busca de uma solução tecnologica para a empresa?"/>
    <s v=""/>
    <x v="578"/>
    <n v="34731194000117"/>
    <s v=""/>
    <s v="UP"/>
    <s v="(11) 4199-5100"/>
    <s v=""/>
    <s v="financeiro@up-ib.com.br"/>
    <s v=""/>
    <s v=""/>
    <s v=""/>
    <s v="ARACARIGUAMA"/>
    <s v="SP"/>
    <s v="Inbound"/>
    <s v=""/>
    <s v=""/>
    <s v="Dentro Perfil;Instagram"/>
    <s v="Pipeline de Vendas"/>
    <s v="Apresentar Solução (35%)"/>
    <s v=""/>
    <d v="2026-06-30T00:00:00"/>
    <m/>
    <m/>
    <n v="39"/>
    <s v="Paulo Souza"/>
    <d v="2026-04-10T00:00:00"/>
    <d v="1899-12-30T08:58:12"/>
    <s v=""/>
    <s v="Perdido"/>
    <d v="2026-05-19T00:00:00"/>
    <d v="1899-12-30T11:26:52"/>
    <s v="Projeto adiado / sem prazo definido"/>
    <s v=""/>
    <s v=""/>
    <x v="0"/>
    <s v="Rayssa Karapeticov"/>
    <x v="0"/>
    <s v=""/>
    <d v="2026-05-19T00:00:00"/>
    <n v="30"/>
    <s v=""/>
    <s v=""/>
    <s v=""/>
    <s v=""/>
    <n v="1"/>
  </r>
  <r>
    <x v="2"/>
    <n v="1093"/>
    <m/>
    <n v="3487"/>
    <s v=""/>
    <s v=""/>
    <x v="579"/>
    <n v="9313543000133"/>
    <s v=""/>
    <s v="Aucione Lima da Silva"/>
    <s v="(11) 94035-6615"/>
    <s v=""/>
    <s v="contato@raryplast.com.br"/>
    <s v=""/>
    <s v=""/>
    <s v=""/>
    <s v="Tatuí"/>
    <s v=""/>
    <s v="Site"/>
    <s v=""/>
    <s v=""/>
    <s v="Contato"/>
    <s v="Pipeline de Vendas"/>
    <s v="Agendamento (0%)"/>
    <s v=""/>
    <d v="2026-08-31T00:00:00"/>
    <m/>
    <m/>
    <n v="12"/>
    <s v="Paulo Souza"/>
    <d v="2026-04-10T00:00:00"/>
    <d v="1899-12-30T09:00:23"/>
    <s v=""/>
    <s v="Perdido"/>
    <d v="2026-04-22T00:00:00"/>
    <d v="1899-12-30T17:04:29"/>
    <s v="Não quer mudar a solução atual"/>
    <s v=""/>
    <s v=""/>
    <x v="0"/>
    <s v="Rayssa Karapeticov"/>
    <x v="0"/>
    <s v=""/>
    <d v="2026-04-22T00:00:00"/>
    <n v="30"/>
    <s v=""/>
    <s v=""/>
    <s v=""/>
    <s v=""/>
    <n v="1"/>
  </r>
  <r>
    <x v="0"/>
    <n v="1094"/>
    <m/>
    <n v="3499"/>
    <s v=""/>
    <s v=""/>
    <x v="580"/>
    <m/>
    <s v=""/>
    <s v="Adovanio"/>
    <s v="11947878080"/>
    <s v=""/>
    <s v="cptavaresrepresenta@gmail.com"/>
    <s v=""/>
    <s v=""/>
    <s v=""/>
    <s v=""/>
    <s v=""/>
    <s v="Campanha"/>
    <s v=""/>
    <s v=""/>
    <s v="Dentro Perfil;Instagram"/>
    <s v="Pipeline de Vendas"/>
    <s v="Agendamento (0%)"/>
    <s v=""/>
    <d v="2026-04-30T00:00:00"/>
    <m/>
    <m/>
    <n v="29"/>
    <s v="Paulo Souza"/>
    <d v="2026-04-10T00:00:00"/>
    <d v="1899-12-30T09:01:47"/>
    <s v=""/>
    <s v="Perdido"/>
    <d v="2026-05-09T00:00:00"/>
    <d v="1899-12-30T08:42:12"/>
    <s v="Sem qualificação — contato não atende ligações nem responde msg"/>
    <s v=""/>
    <s v=""/>
    <x v="0"/>
    <s v="Paulo Souza"/>
    <x v="0"/>
    <s v=""/>
    <m/>
    <n v="30"/>
    <s v=""/>
    <s v=""/>
    <s v=""/>
    <s v=""/>
    <n v="1"/>
  </r>
  <r>
    <x v="1"/>
    <n v="1095"/>
    <m/>
    <n v="3489"/>
    <s v="(10/04/2026) Buscando contato com Andrea"/>
    <s v=""/>
    <x v="581"/>
    <n v="18564850000188"/>
    <s v=""/>
    <s v="Gerente Produção"/>
    <s v="(47) 99633-0990"/>
    <s v=""/>
    <s v="gerenteproducaosimas@gmail.com"/>
    <s v=""/>
    <s v=""/>
    <s v=""/>
    <s v="ITAJAI"/>
    <s v="SC"/>
    <s v="Site"/>
    <s v=""/>
    <s v=""/>
    <s v="Solicita demo"/>
    <s v="Pipeline de Vendas"/>
    <s v="Em negociação (75%)"/>
    <s v=""/>
    <d v="2026-04-30T00:00:00"/>
    <n v="16960"/>
    <n v="1150"/>
    <n v="40"/>
    <s v="Paulo Souza"/>
    <d v="2026-04-10T00:00:00"/>
    <d v="1899-12-30T09:02:55"/>
    <s v=""/>
    <s v="Ativo"/>
    <m/>
    <m/>
    <s v=""/>
    <s v=""/>
    <s v=""/>
    <x v="207"/>
    <s v="Junior Lopes"/>
    <x v="228"/>
    <s v="06/05/2026"/>
    <m/>
    <n v="30"/>
    <s v=""/>
    <s v=""/>
    <s v=""/>
    <s v=""/>
    <n v="1"/>
  </r>
  <r>
    <x v="0"/>
    <n v="1096"/>
    <m/>
    <n v="3513"/>
    <s v=""/>
    <s v=""/>
    <x v="582"/>
    <m/>
    <s v=""/>
    <s v="Silvia"/>
    <s v="11996146290"/>
    <s v=""/>
    <s v="null"/>
    <s v=""/>
    <s v=""/>
    <s v=""/>
    <s v=""/>
    <s v=""/>
    <s v=""/>
    <s v=""/>
    <s v=""/>
    <s v=""/>
    <s v="Pipeline de Vendas"/>
    <s v="Em negociação (75%)"/>
    <s v=""/>
    <m/>
    <n v="26350"/>
    <n v="3450"/>
    <n v="38"/>
    <s v="Paulo Souza"/>
    <d v="2026-04-10T00:00:00"/>
    <d v="1899-12-30T09:15:28"/>
    <s v=""/>
    <s v="Perdido"/>
    <d v="2026-05-18T00:00:00"/>
    <d v="1899-12-30T17:01:15"/>
    <s v="Preço muito alto - fora do budget de investimento"/>
    <s v=""/>
    <s v=""/>
    <x v="0"/>
    <s v="Paulo Souza"/>
    <x v="0"/>
    <s v=""/>
    <d v="2026-04-20T00:00:00"/>
    <n v="30"/>
    <s v=""/>
    <s v=""/>
    <s v=""/>
    <s v=""/>
    <n v="1"/>
  </r>
  <r>
    <x v="2"/>
    <n v="1097"/>
    <m/>
    <n v="3514"/>
    <s v=""/>
    <s v="Green Flower Comercio, Importacao E Exportacao Ltda"/>
    <x v="583"/>
    <n v="7382350000109"/>
    <s v=""/>
    <s v="Green Flower Comercio, Importacao E Exportacao Ltda"/>
    <s v="(11) 4395-7650"/>
    <s v=""/>
    <s v="contato@acrosscontabil.com.br"/>
    <s v=""/>
    <s v=""/>
    <s v=""/>
    <s v="SAO PAULO"/>
    <s v="SP"/>
    <s v="Base de empresas Leads2b"/>
    <s v=""/>
    <s v=""/>
    <s v=""/>
    <s v="Pipeline de Vendas"/>
    <s v="Qualificação de Vendas (SQL) (25%)"/>
    <s v=""/>
    <m/>
    <m/>
    <m/>
    <n v="40"/>
    <s v="Rayssa Karapeticov"/>
    <d v="2026-04-10T00:00:00"/>
    <d v="1899-12-30T15:04:34"/>
    <s v=""/>
    <s v="Ativo"/>
    <m/>
    <m/>
    <s v=""/>
    <s v=""/>
    <s v=""/>
    <x v="0"/>
    <s v="Rayssa Karapeticov"/>
    <x v="0"/>
    <s v=""/>
    <d v="2026-05-07T00:00:00"/>
    <n v="30"/>
    <s v=""/>
    <s v=""/>
    <s v=""/>
    <s v=""/>
    <n v="1"/>
  </r>
  <r>
    <x v="2"/>
    <n v="1098"/>
    <m/>
    <n v="3516"/>
    <s v=""/>
    <s v="Santorini Atacadista Ltda"/>
    <x v="584"/>
    <n v="34355470000190"/>
    <s v=""/>
    <s v="Santorini Atacadista Ltda"/>
    <s v="(11) 8284-9672"/>
    <s v=""/>
    <s v="maluciarezende@gmail.com"/>
    <s v=""/>
    <s v=""/>
    <s v=""/>
    <s v="SAO PAULO"/>
    <s v="SP"/>
    <s v="Base de empresas Leads2b"/>
    <s v=""/>
    <s v=""/>
    <s v=""/>
    <s v="Pipeline de Vendas"/>
    <s v="Agendamento (0%)"/>
    <s v=""/>
    <m/>
    <m/>
    <m/>
    <n v="0"/>
    <s v="Rayssa Karapeticov"/>
    <d v="2026-04-10T00:00:00"/>
    <d v="1899-12-30T15:47:11"/>
    <s v=""/>
    <s v="Perdido"/>
    <d v="2026-04-10T00:00:00"/>
    <d v="1899-12-30T15:48:31"/>
    <s v="Fora do porte mínimo (sem fit estrutural)"/>
    <s v=""/>
    <s v=""/>
    <x v="0"/>
    <s v="Rayssa Karapeticov"/>
    <x v="0"/>
    <s v=""/>
    <m/>
    <n v="30"/>
    <s v=""/>
    <s v=""/>
    <s v=""/>
    <s v=""/>
    <n v="1"/>
  </r>
  <r>
    <x v="2"/>
    <n v="1099"/>
    <m/>
    <n v="3518"/>
    <s v=""/>
    <s v="Mabel Comercio De Importados Ltda"/>
    <x v="585"/>
    <n v="527682000195"/>
    <s v=""/>
    <s v="Mabel Comercio De Importados Ltda"/>
    <s v="(11) 3315-0052"/>
    <s v=""/>
    <s v="deptofiscal@mabelimport.com.br"/>
    <s v=""/>
    <s v=""/>
    <s v=""/>
    <s v="SOROCABA"/>
    <s v="SP"/>
    <s v="Base de empresas Leads2b"/>
    <s v=""/>
    <s v=""/>
    <s v=""/>
    <s v="Pipeline de Vendas"/>
    <s v="Qualificação de Vendas (SQL) (25%)"/>
    <s v=""/>
    <m/>
    <m/>
    <m/>
    <n v="27"/>
    <s v="Rayssa Karapeticov"/>
    <d v="2026-04-10T00:00:00"/>
    <d v="1899-12-30T17:12:21"/>
    <s v=""/>
    <s v="Perdido"/>
    <d v="2026-05-07T00:00:00"/>
    <d v="1899-12-30T10:09:44"/>
    <s v="Projeto adiado / sem prazo definido"/>
    <s v=""/>
    <s v=""/>
    <x v="0"/>
    <s v="Rayssa Karapeticov"/>
    <x v="0"/>
    <s v=""/>
    <m/>
    <n v="28"/>
    <s v=""/>
    <s v=""/>
    <s v=""/>
    <s v=""/>
    <n v="1"/>
  </r>
  <r>
    <x v="2"/>
    <n v="1100"/>
    <m/>
    <n v="3522"/>
    <s v=""/>
    <s v="U4 Home Artigos Domesticos Ltda"/>
    <x v="586"/>
    <n v="28516601000170"/>
    <s v=""/>
    <s v="U4 Home Artigos Domesticos Ltda"/>
    <s v="(13) 3303-9200"/>
    <s v=""/>
    <s v="financeiro@u4home.com.br"/>
    <s v=""/>
    <s v=""/>
    <s v=""/>
    <s v="ITANHAEM"/>
    <s v="SP"/>
    <s v="Base de empresas Leads2b"/>
    <s v=""/>
    <s v=""/>
    <s v=""/>
    <s v="Pipeline de Vendas"/>
    <s v="Qualificação de Vendas (SQL) (25%)"/>
    <s v=""/>
    <m/>
    <m/>
    <m/>
    <n v="40"/>
    <s v="Rayssa Karapeticov"/>
    <d v="2026-04-10T00:00:00"/>
    <d v="1899-12-30T17:23:16"/>
    <s v=""/>
    <s v="Ativo"/>
    <m/>
    <m/>
    <s v=""/>
    <s v=""/>
    <s v=""/>
    <x v="0"/>
    <s v="Rayssa Karapeticov"/>
    <x v="0"/>
    <s v=""/>
    <m/>
    <n v="30"/>
    <s v=""/>
    <s v=""/>
    <s v=""/>
    <s v=""/>
    <n v="1"/>
  </r>
  <r>
    <x v="2"/>
    <n v="1101"/>
    <m/>
    <n v="3530"/>
    <s v="16.14 - apresentação realizada"/>
    <s v="Ns Iguacu Eletronicos Ltda"/>
    <x v="587"/>
    <n v="12259254000108"/>
    <s v=""/>
    <s v="Leticia"/>
    <s v="(11) 96978-9804"/>
    <s v=""/>
    <s v="weisc@uol.com.br"/>
    <s v=""/>
    <s v=""/>
    <s v=""/>
    <s v="SAO PAULO"/>
    <s v="SP"/>
    <s v="Base de empresas Leads2b"/>
    <s v=""/>
    <s v=""/>
    <s v=""/>
    <s v="Pipeline de Vendas"/>
    <s v="Apresentar Proposta (50%)"/>
    <s v=""/>
    <d v="2026-07-31T00:00:00"/>
    <m/>
    <m/>
    <n v="37"/>
    <s v="Rayssa Karapeticov"/>
    <d v="2026-04-13T00:00:00"/>
    <d v="1899-12-30T12:31:55"/>
    <s v=""/>
    <s v="Ativo"/>
    <m/>
    <m/>
    <s v=""/>
    <s v=""/>
    <s v=""/>
    <x v="208"/>
    <s v="Rayssa Karapeticov"/>
    <x v="229"/>
    <s v="04/05/2026"/>
    <d v="2026-05-13T00:00:00"/>
    <n v="30"/>
    <s v=""/>
    <s v=""/>
    <s v=""/>
    <s v=""/>
    <n v="1"/>
  </r>
  <r>
    <x v="1"/>
    <n v="1102"/>
    <m/>
    <n v="3533"/>
    <s v="(23/04/2026) em ligação _x000a_adicionou meu numero de WhatsApp para enviar ao gerente comercial _x000a_10:49, 23/04/2026 Amanda Etilux Oliveira: Bom dia, tudo bem ?_x000a_10:50, 23/04/2026 Amanda Etilux Oliveira: Amanda da Etilux_x000a_10:50, 23/04/2026 Junior Lopes: Olá Amanda, bom dia! Tudo bem por aqui. Como posso te ajudar hoje?_x000a_10:57, 23/04/2026 Junior Lopes: Olá ! Muito obrigado_x000a_10:58, 23/04/2026 Amanda Etilux Oliveira: poderia me explicar de novo, para te encaminhar para o setor responsavel_x000a_10:58, 23/04/2026 Junior Lopes: Td bem Amanda ?_x000a_10:59, 23/04/2026 Amanda Etilux Oliveira: sim_x000a_11:01, 23/04/2026 Junior Lopes: Sou Junior Lopes da Guarani sistemas _x000a_A ideia é apresentar nossa soluções para automação da força de vendas _x000a_Nossa solução pode ajudar seu representante a vender mais com recursos de IA acoplado ao aplicativo, vendas B2B feitas pelo próprio representante/vendedor_x000a_11:01, 23/04/2026 Junior Lopes: A ideia é apresentar essa solução para seu gestor comercial_x000a_11:01, 23/04/2026 Junior Lopes: Acredito que seja o Rodrigo Fritoli_x000a_11:03, 23/04/2026 Amanda Etilux Oliveira: Sobre sistemas pode mandar e-mail ewerton.dias@etilux.com.br_x000a_11:04, 23/04/2026 Junior Lopes: Ta joia ! Vou enviar para Ewerton_x000a_11:04, 23/04/2026 Junior Lopes: Acredito que seja o Rodrigo Fritoli_x000a_Vc consegue me enviar o telefone do Rodrigo?_x000a_11:05, 23/04/2026 Amanda Etilux Oliveira: Consigo te enviar o e-mail _x000a_rodrigo.fritoli@etilux.com.br"/>
    <s v="Etilux Importacao E Distribuicao De Artigos De Cutelaria Ltda"/>
    <x v="588"/>
    <n v="50306471000524"/>
    <s v=""/>
    <s v="Etilux Importacao E Distribuicao De Artigos De Cutelaria Ltda"/>
    <s v="(11) 3227-3263"/>
    <s v=""/>
    <s v="askfiscal@askcontabil.com.br"/>
    <s v=""/>
    <s v=""/>
    <s v=""/>
    <s v="GUARULHOS"/>
    <s v="SP"/>
    <s v="Base de empresas Leads2b"/>
    <s v=""/>
    <s v=""/>
    <s v=""/>
    <s v="Pipeline de Vendas"/>
    <s v="Qualificação de Vendas (SQL) (25%)"/>
    <s v=""/>
    <m/>
    <m/>
    <m/>
    <n v="37"/>
    <s v="Junior Lopes"/>
    <d v="2026-04-13T00:00:00"/>
    <d v="1899-12-30T15:14:42"/>
    <s v=""/>
    <s v="Ativo"/>
    <m/>
    <m/>
    <s v=""/>
    <s v=""/>
    <s v=""/>
    <x v="0"/>
    <s v=""/>
    <x v="0"/>
    <s v=""/>
    <d v="2026-04-23T00:00:00"/>
    <n v="30"/>
    <s v=""/>
    <s v=""/>
    <s v="R$ 0,00"/>
    <s v=""/>
    <n v="1"/>
  </r>
  <r>
    <x v="2"/>
    <n v="1103"/>
    <m/>
    <n v="3534"/>
    <s v="14.04 - em ligação com o cliente, já conhecem o Guarani devido a clientes do mesmo segmento, e já tiveram uma conversa conosco a uns 15 anos atrás e não avançaram devido o valor. Retornou o contato pedindo uma apreentação do sistemas para os funcionários da empresa ainda essa semana, porque o diretor que estara presente viaja na proxima semana"/>
    <s v=""/>
    <x v="589"/>
    <n v="8822792000191"/>
    <s v=""/>
    <s v="Ana Cristina"/>
    <s v="(11) 95126-4832"/>
    <s v=""/>
    <s v="financeiro.sqcomercio@gmail.com"/>
    <s v=""/>
    <s v=""/>
    <s v=""/>
    <s v="SAO PAULO"/>
    <s v="SP"/>
    <s v="Site"/>
    <s v=""/>
    <s v=""/>
    <s v="Dentro Perfil;Solicita demo"/>
    <s v="Pipeline de Vendas"/>
    <s v="Em negociação (75%)"/>
    <s v=""/>
    <d v="2026-09-30T00:00:00"/>
    <n v="85600"/>
    <n v="66847"/>
    <n v="29"/>
    <s v="Paulo Souza"/>
    <d v="2026-04-14T00:00:00"/>
    <d v="1899-12-30T10:03:18"/>
    <s v=""/>
    <s v="Perdido"/>
    <d v="2026-05-13T00:00:00"/>
    <d v="1899-12-30T11:16:02"/>
    <s v="Fechou com o concorrente - funcionaliadade"/>
    <s v=""/>
    <s v=""/>
    <x v="208"/>
    <s v="Rayssa Karapeticov"/>
    <x v="230"/>
    <s v=""/>
    <d v="2026-05-13T00:00:00"/>
    <n v="30"/>
    <s v=""/>
    <s v="ERP, AFV, WMS, COMEX, CLOUD"/>
    <s v=""/>
    <s v=""/>
    <n v="1"/>
  </r>
  <r>
    <x v="2"/>
    <n v="1104"/>
    <m/>
    <n v="3527"/>
    <s v="14.04 Cliente vende auto peças, material de construção e ainda presta serviço. é um logista. _x000a_Fora do perfil"/>
    <s v=""/>
    <x v="590"/>
    <m/>
    <s v=""/>
    <s v="Comblocos Materiais de Construção"/>
    <s v="33988611992"/>
    <s v=""/>
    <s v="ittalo.tim@hotmail.com"/>
    <s v=""/>
    <s v=""/>
    <s v=""/>
    <s v=""/>
    <s v="Vvv"/>
    <s v="Inbound"/>
    <s v=""/>
    <s v=""/>
    <s v="Fora Perfil;Instagram"/>
    <s v="Pipeline de Vendas"/>
    <s v="Agendamento (0%)"/>
    <s v=""/>
    <d v="2026-04-30T00:00:00"/>
    <m/>
    <m/>
    <n v="0"/>
    <s v="Paulo Souza"/>
    <d v="2026-04-14T00:00:00"/>
    <d v="1899-12-30T10:05:58"/>
    <s v=""/>
    <s v="Perdido"/>
    <d v="2026-04-14T00:00:00"/>
    <d v="1899-12-30T10:31:19"/>
    <s v="Fora do porte mínimo (sem fit estrutural)"/>
    <s v=""/>
    <s v=""/>
    <x v="0"/>
    <s v="Rayssa Karapeticov"/>
    <x v="0"/>
    <s v=""/>
    <m/>
    <n v="30"/>
    <s v=""/>
    <s v=""/>
    <s v=""/>
    <s v=""/>
    <n v="1"/>
  </r>
  <r>
    <x v="1"/>
    <n v="1105"/>
    <m/>
    <n v="3524"/>
    <s v="(14/04/2026) em contato com Renan _x000a_10:42, 14/04/2026 Junior Lopes: Olá Renan, bom dia ! tudo bem ?_x000a_10:42, 14/04/2026 Junior Lopes: sou Junior Lopes da Guarani sistemas td bem ?_x000a_10:44, 14/04/2026 +55 66 9647-2785: Bom dia Junior_x000a_10:44, 14/04/2026 +55 66 9647-2785: Tudo bem e contigo?_x000a_10:45, 14/04/2026 Junior Lopes: Opa Td joia ! _x000a_Estou retornando para vc um contato que fez conosco sobre nosso software_x000a_11:03, 14/04/2026 +55 66 9647-2785: Vc tem sistema para materiais para construção_x000a_11:03, 14/04/2026 +55 66 9647-2785: ?_x000a_11:27, 14/04/2026 +55 66 9647-2785: A venda somente interna mesmo_x000a_11:27, 14/04/2026 +55 66 9647-2785: Não tem vendedores externos_x000a_11:36, 14/04/2026 Junior Lopes: Fiz uma análise rápida aqui Renan devido alguns pontos não consigo te atender! Ate pq nossa solução é mais focada em distribuição"/>
    <s v=""/>
    <x v="591"/>
    <m/>
    <s v=""/>
    <s v="Araguaia Materiais Para Construcao"/>
    <s v="66996472785"/>
    <s v=""/>
    <s v="renansimon@gmail.com"/>
    <s v=""/>
    <s v=""/>
    <s v=""/>
    <s v=""/>
    <s v=""/>
    <s v="Campanha"/>
    <s v=""/>
    <s v=""/>
    <s v="Fora Perfil;Instagram"/>
    <s v="Pipeline de Vendas"/>
    <s v="Qualificação de Vendas (SQL) (25%)"/>
    <s v=""/>
    <d v="2026-04-14T00:00:00"/>
    <m/>
    <m/>
    <n v="0"/>
    <s v="Paulo Souza"/>
    <d v="2026-04-14T00:00:00"/>
    <d v="1899-12-30T10:08:51"/>
    <s v=""/>
    <s v="Perdido"/>
    <d v="2026-04-14T00:00:00"/>
    <d v="1899-12-30T11:58:52"/>
    <s v="Fora do porte mínimo (sem fit estrutural)"/>
    <s v="em contato com Renan, precisa de um PDV para loja de material de construção com particularidades de entrega parcial e controle de medidas das para venda de terras e pedras"/>
    <s v=""/>
    <x v="0"/>
    <s v="Junior Lopes"/>
    <x v="0"/>
    <s v=""/>
    <m/>
    <n v="30"/>
    <s v=""/>
    <s v=""/>
    <s v=""/>
    <s v=""/>
    <n v="1"/>
  </r>
  <r>
    <x v="1"/>
    <n v="1106"/>
    <m/>
    <n v="3525"/>
    <s v=""/>
    <s v=""/>
    <x v="592"/>
    <m/>
    <s v=""/>
    <s v="Teodoro cosméticos"/>
    <s v="64999291080"/>
    <s v=""/>
    <s v="rogeriojtigo@hotmail.com"/>
    <s v=""/>
    <s v=""/>
    <s v=""/>
    <s v=""/>
    <s v="Jatai goais"/>
    <s v="Inbound"/>
    <s v=""/>
    <s v=""/>
    <s v="Dentro Perfil;Instagram"/>
    <s v="Pipeline de Vendas"/>
    <s v="Qualificação de Vendas (SQL) (25%)"/>
    <s v=""/>
    <d v="2026-04-14T00:00:00"/>
    <m/>
    <m/>
    <n v="36"/>
    <s v="Paulo Souza"/>
    <d v="2026-04-14T00:00:00"/>
    <d v="1899-12-30T10:09:44"/>
    <s v=""/>
    <s v="Ativo"/>
    <m/>
    <m/>
    <s v=""/>
    <s v=""/>
    <s v=""/>
    <x v="0"/>
    <s v="Junior Lopes"/>
    <x v="0"/>
    <s v=""/>
    <m/>
    <n v="30"/>
    <s v=""/>
    <s v=""/>
    <s v=""/>
    <s v=""/>
    <n v="1"/>
  </r>
  <r>
    <x v="1"/>
    <n v="1107"/>
    <m/>
    <n v="3526"/>
    <s v=""/>
    <s v=""/>
    <x v="593"/>
    <n v="52975803000165"/>
    <s v=""/>
    <s v="Dsg"/>
    <s v="85994341515"/>
    <s v=""/>
    <s v="euderi@hotmail.com"/>
    <s v=""/>
    <s v=""/>
    <s v=""/>
    <s v="MARACANAU"/>
    <s v="CE"/>
    <s v="Campanha"/>
    <s v=""/>
    <s v=""/>
    <s v="Fora Perfil;Instagram"/>
    <s v="Pipeline de Vendas"/>
    <s v="Agendamento (0%)"/>
    <s v=""/>
    <d v="2026-04-14T00:00:00"/>
    <m/>
    <m/>
    <n v="25"/>
    <s v="Paulo Souza"/>
    <d v="2026-04-14T00:00:00"/>
    <d v="1899-12-30T10:11:37"/>
    <s v=""/>
    <s v="Perdido"/>
    <d v="2026-05-09T00:00:00"/>
    <d v="1899-12-30T08:42:58"/>
    <s v="Fora do segmento atendido"/>
    <s v=""/>
    <s v=""/>
    <x v="0"/>
    <s v="Junior Lopes"/>
    <x v="0"/>
    <s v=""/>
    <m/>
    <n v="30"/>
    <s v=""/>
    <s v=""/>
    <s v=""/>
    <s v=""/>
    <n v="1"/>
  </r>
  <r>
    <x v="1"/>
    <n v="1113"/>
    <m/>
    <n v="3542"/>
    <s v=""/>
    <s v="Logrosoft Comercio, Importacao, Exportacao E Prestacao De Servicos Ltda"/>
    <x v="594"/>
    <n v="38116840000197"/>
    <s v=""/>
    <s v="Logrosoft Comercio, Importacao, Exportacao E Prestacao De Servicos Ltda"/>
    <s v="(31) 3378-0033"/>
    <s v=""/>
    <s v="supervisoroperacional@logrosoft.com.br"/>
    <s v=""/>
    <s v=""/>
    <s v=""/>
    <s v="BELO HORIZONTE"/>
    <s v="MG"/>
    <s v="Base de empresas Leads2b"/>
    <s v=""/>
    <s v=""/>
    <s v=""/>
    <s v="Pipeline de Vendas"/>
    <s v="Apresentar Solução (35%)"/>
    <s v=""/>
    <m/>
    <n v="13509779"/>
    <n v="899628"/>
    <n v="16"/>
    <s v="Junior Lopes"/>
    <d v="2026-04-14T00:00:00"/>
    <d v="1899-12-30T16:43:47"/>
    <s v=""/>
    <s v="Perdido"/>
    <d v="2026-04-30T00:00:00"/>
    <d v="1899-12-30T15:42:59"/>
    <s v="Não houve aprovação financeira"/>
    <s v="dois pontos que o cliente usou para não seguir ! busca um ERP Mais simples e com valor ,ais em conta"/>
    <s v=""/>
    <x v="209"/>
    <s v=""/>
    <x v="231"/>
    <s v=""/>
    <m/>
    <n v="50"/>
    <s v=""/>
    <s v=""/>
    <s v=""/>
    <s v=""/>
    <n v="1"/>
  </r>
  <r>
    <x v="1"/>
    <n v="1114"/>
    <m/>
    <n v="3544"/>
    <s v=""/>
    <s v=""/>
    <x v="595"/>
    <n v="38116840000197"/>
    <s v=""/>
    <s v="Logrosoft comercio CLOUD"/>
    <s v="3133780033"/>
    <s v=""/>
    <s v="supervisoroperacional@logrosoft.com.br"/>
    <s v=""/>
    <s v=""/>
    <s v=""/>
    <s v="BELO HORIZONTE"/>
    <s v="MG"/>
    <s v=""/>
    <s v=""/>
    <s v=""/>
    <s v=""/>
    <s v="Pipeline de Vendas"/>
    <s v="Em negociação (75%)"/>
    <s v=""/>
    <m/>
    <m/>
    <m/>
    <n v="16"/>
    <s v="Junior Lopes"/>
    <d v="2026-04-14T00:00:00"/>
    <d v="1899-12-30T16:46:18"/>
    <s v=""/>
    <s v="Perdido"/>
    <d v="2026-04-30T00:00:00"/>
    <d v="1899-12-30T15:42:07"/>
    <s v="Não houve aprovação financeira"/>
    <s v="dois pontos que o cliente usou para não seguir ! busca um ERP Mais simples e com valor ,ais em conta"/>
    <s v=""/>
    <x v="209"/>
    <s v=""/>
    <x v="232"/>
    <s v=""/>
    <m/>
    <n v="50"/>
    <s v=""/>
    <s v=""/>
    <s v=""/>
    <s v=""/>
    <n v="1"/>
  </r>
  <r>
    <x v="2"/>
    <n v="1116"/>
    <m/>
    <n v="3545"/>
    <s v="28.04"/>
    <s v=""/>
    <x v="596"/>
    <m/>
    <s v=""/>
    <s v="RK Assessoria Contábil"/>
    <s v="92981527777"/>
    <s v=""/>
    <s v="rcustodio777@gmail.com"/>
    <s v=""/>
    <s v=""/>
    <s v=""/>
    <s v=""/>
    <s v="Amazonas"/>
    <s v="Inbound"/>
    <s v=""/>
    <s v=""/>
    <s v="Dentro Perfil;Instagram"/>
    <s v="Pipeline de Vendas"/>
    <s v="Agendamento (0%)"/>
    <s v=""/>
    <d v="2026-04-15T00:00:00"/>
    <m/>
    <m/>
    <n v="24"/>
    <s v="Paulo Souza"/>
    <d v="2026-04-15T00:00:00"/>
    <d v="1899-12-30T12:27:42"/>
    <s v=""/>
    <s v="Perdido"/>
    <d v="2026-05-09T00:00:00"/>
    <d v="1899-12-30T08:29:42"/>
    <s v="Fora do segmento atendido"/>
    <s v=""/>
    <s v=""/>
    <x v="0"/>
    <s v="Rayssa Karapeticov"/>
    <x v="0"/>
    <s v=""/>
    <d v="2026-04-28T00:00:00"/>
    <n v="30"/>
    <s v=""/>
    <s v=""/>
    <s v=""/>
    <s v=""/>
    <n v="1"/>
  </r>
  <r>
    <x v="1"/>
    <n v="1117"/>
    <m/>
    <n v="3546"/>
    <s v="11:25, 16/04/2026 Junior Lopes: Olá bom dia !_x000a_11:25, 16/04/2026 Junior Lopes: Sou Junior Lopes da Guarani sistemas, Td bem ?_x000a_11:28, 16/04/2026 Junior Lopes: Estou retornando um contato que vc fez conosco_x000a_11:38, 16/04/2026 Big Alimentos: BIG Alimentos  agradece seu contato. Como podemos ajudar?_x000a_14:48, 16/04/2026 Big Alimentos: Olá_x000a_14:49, 16/04/2026 Big Alimentos: Júnior estou na estrada _x000a_Retorno na quarta_x000a_14:49, 16/04/2026 Big Alimentos: Aí falamos_x000a_14:49, 16/04/2026 Big Alimentos: Blz_x000a_14:54, 16/04/2026 Junior Lopes: Boa viagem 👊_x000a_🙏_x000a_(18/05/2026) cliente não responde aos contatos"/>
    <s v=""/>
    <x v="597"/>
    <m/>
    <s v=""/>
    <s v="AutoFoz"/>
    <s v="41991237979"/>
    <s v=""/>
    <s v="b8alimentos@gmail.com"/>
    <s v=""/>
    <s v=""/>
    <s v=""/>
    <s v=""/>
    <s v="Brasil"/>
    <s v="Inbound"/>
    <s v=""/>
    <s v=""/>
    <s v="Dentro Perfil;Instagram"/>
    <s v="Pipeline de Vendas"/>
    <s v="Qualificação de Vendas (SQL) (25%)"/>
    <s v=""/>
    <d v="2026-04-30T00:00:00"/>
    <m/>
    <m/>
    <n v="33"/>
    <s v="Paulo Souza"/>
    <d v="2026-04-15T00:00:00"/>
    <d v="1899-12-30T12:28:31"/>
    <s v=""/>
    <s v="Perdido"/>
    <d v="2026-05-18T00:00:00"/>
    <d v="1899-12-30T15:03:56"/>
    <s v="Sem qualificação — contato não atende ligações nem responde msg"/>
    <s v="inicialmente cliente chegou a responder , logo sumiu e não retorna mais"/>
    <s v=""/>
    <x v="0"/>
    <s v="Junior Lopes"/>
    <x v="0"/>
    <s v=""/>
    <d v="2026-05-18T00:00:00"/>
    <n v="30"/>
    <s v=""/>
    <s v=""/>
    <s v=""/>
    <s v=""/>
    <n v="1"/>
  </r>
  <r>
    <x v="1"/>
    <n v="1120"/>
    <m/>
    <n v="3556"/>
    <s v="14:26, 17/04/2026 Junior Lopes: Olá Danilo ,_x000a_Boa tarde _x000a_Sou Junior Lopes da Guarani sistemas! Td bem ? _x000a_Quem me passou seu contato foi o Jonas_x000a_14:26, 17/04/2026 Danillo Negrao Atac: ola tudo bem??_x000a_14:33, 17/04/2026 Junior Lopes: Imagine que o próprio representante/vendedor pode enviar loja B2B para o cliente dele e administrar essas lojas no dispositivo"/>
    <s v="Ferragens Negrao Comercial Ltda"/>
    <x v="598"/>
    <n v="76639285000339"/>
    <s v=""/>
    <s v="Ferragens Negrao Comercial Ltda"/>
    <s v="(41) 2109-8000"/>
    <s v=""/>
    <s v="fiscal@grupofn.com.br"/>
    <s v=""/>
    <s v=""/>
    <s v=""/>
    <s v="CURITIBA"/>
    <s v="PR"/>
    <s v="Base de empresas Leads2b"/>
    <s v=""/>
    <s v=""/>
    <s v=""/>
    <s v="Pipeline de Vendas"/>
    <s v="Qualificação de Vendas (SQL) (25%)"/>
    <s v=""/>
    <m/>
    <m/>
    <m/>
    <n v="33"/>
    <s v="Junior Lopes"/>
    <d v="2026-04-17T00:00:00"/>
    <d v="1899-12-30T14:41:48"/>
    <s v=""/>
    <s v="Ativo"/>
    <m/>
    <m/>
    <s v=""/>
    <s v=""/>
    <s v=""/>
    <x v="0"/>
    <s v=""/>
    <x v="0"/>
    <s v=""/>
    <m/>
    <n v="30"/>
    <s v=""/>
    <s v=""/>
    <s v=""/>
    <s v=""/>
    <n v="1"/>
  </r>
  <r>
    <x v="1"/>
    <n v="1121"/>
    <m/>
    <n v="3558"/>
    <s v="(23/04/2026 E mail enviado buscando agenda : _x000a_Olá Tito, Tudo bem ? _x000a_ _x000a_Meu nome é Junior Lopes , da Guarani Sistemas. Escrevo para apresentar uma solução que pode transformar a eficiência da equipe de vendas da Bartofil: o Guarani AFV._x000a_ _x000a_Em anexo, envio um folder com todos os detalhes, mas gostaria de destacar três pilares que fazem toda a diferença:_x000a_ _x000a_IA Iara, sua assistente virtual de vendas: Ela atua dentro do app do representante, analisando histórico, ramo de atividade e comportamento de compra para fazer predições e sugestões de venda inteligentes. A Iara aprende com cada cliente e ajuda a impulsionar o mix de produtos ativos, reduzindo rupturas no PDV._x000a_Integração nativa com qualquer ERP: O sistema se conecta perfeitamente ao seu software de gestão atual, seja qual for. Isso garante um fluxo de dados único (pedidos, estoque, clientes) sem retrabalho, duplicidade ou necessidade de mudar toda a operação._x000a_Loja B2B personalizada: Ofereça aos seus clientes um canal de compra 24/7, onde podem fazer pedidos de onde, quando e como quiserem. Isso amplia o ticket médio, libera a equipe de vendas para atividades mais estratégicas e garante que nenhuma oportunidade seja perdida fora do horário comercial._x000a_ _x000a_Além disso, a solução inclui catálogo digital, orçamento e proposta web, roteirização inteligente, controle de estoques em múltiplos locais e indicadores de desempenho em tempo real._x000a_ _x000a_Gostaria de agendar uma apresentação rápida (30–45 minutos) para mostrar, na prática, como o Guarani AFV pode apoiar a equipe da Bartofil e reduzir rupturas no ponto de venda, além de ampliar o mix de produtos ativos em cada cliente._x000a_ _x000a_Você teria disponibilidade na próxima semana, em algum desses horários?_x000a_ _x000a_Segunda-feira dia 27/04 às 10 horas _x000a_Terça-feira dia 28/04 às 14 horas _x000a_ _x000a_Se preferir, posso me adequar ao melhor dia e horário para você._x000a_ _x000a_Fico à disposição e agradeço desde já pela atenção."/>
    <s v="Nova Casa Distribuidora De Materiais Para Construcao S/a"/>
    <x v="599"/>
    <n v="74200403001605"/>
    <s v=""/>
    <s v="Nova Casa Distribuidora De Materiais Para Construcao S/a"/>
    <s v="(61) 3025-9500"/>
    <s v=""/>
    <s v="fiscal@ncdistribuidora.com.br"/>
    <s v=""/>
    <s v=""/>
    <s v=""/>
    <s v="SAO LUIS"/>
    <s v="MA"/>
    <s v="Base de empresas Leads2b"/>
    <s v=""/>
    <s v=""/>
    <s v=""/>
    <s v="Pipeline de Vendas"/>
    <s v="Qualificação de Vendas (SQL) (25%)"/>
    <s v=""/>
    <m/>
    <m/>
    <m/>
    <n v="33"/>
    <s v="Junior Lopes"/>
    <d v="2026-04-17T00:00:00"/>
    <d v="1899-12-30T14:51:26"/>
    <s v=""/>
    <s v="Ativo"/>
    <m/>
    <m/>
    <s v=""/>
    <s v=""/>
    <s v=""/>
    <x v="0"/>
    <s v=""/>
    <x v="0"/>
    <s v=""/>
    <d v="2026-04-23T00:00:00"/>
    <n v="30"/>
    <s v=""/>
    <s v=""/>
    <s v=""/>
    <s v=""/>
    <n v="1"/>
  </r>
  <r>
    <x v="1"/>
    <n v="1122"/>
    <m/>
    <n v="3560"/>
    <s v=""/>
    <s v="Bartofil Distribuidora Sa"/>
    <x v="600"/>
    <n v="23797376005567"/>
    <s v=""/>
    <s v="Bartofil Distribuidora Sa"/>
    <s v="(31) 3819-2000"/>
    <s v=""/>
    <s v="contabilidade@bartofil.com.br"/>
    <s v=""/>
    <s v=""/>
    <s v=""/>
    <s v="NOVA FRIBURGO"/>
    <s v="RJ"/>
    <s v="Base de empresas Leads2b"/>
    <s v=""/>
    <s v=""/>
    <s v=""/>
    <s v="Pipeline de Vendas"/>
    <s v="Qualificação de Vendas (SQL) (25%)"/>
    <s v=""/>
    <m/>
    <m/>
    <m/>
    <n v="33"/>
    <s v="Junior Lopes"/>
    <d v="2026-04-17T00:00:00"/>
    <d v="1899-12-30T15:36:58"/>
    <s v=""/>
    <s v="Ativo"/>
    <m/>
    <m/>
    <s v=""/>
    <s v=""/>
    <s v=""/>
    <x v="0"/>
    <s v=""/>
    <x v="0"/>
    <s v=""/>
    <d v="2026-05-06T00:00:00"/>
    <n v="30"/>
    <s v=""/>
    <s v=""/>
    <s v=""/>
    <s v=""/>
    <n v="1"/>
  </r>
  <r>
    <x v="1"/>
    <n v="1123"/>
    <m/>
    <n v="3562"/>
    <s v=""/>
    <s v="L.l.e. Ferragens Ltda."/>
    <x v="601"/>
    <n v="5953543000147"/>
    <s v=""/>
    <s v="L.l.e. Ferragens Ltda."/>
    <s v="(21) 2131-8511"/>
    <s v=""/>
    <s v="fiscal@grupolle.com.br"/>
    <s v=""/>
    <s v=""/>
    <s v=""/>
    <s v="RIO DE JANEIRO"/>
    <s v="RJ"/>
    <s v="Base de empresas Leads2b"/>
    <s v=""/>
    <s v=""/>
    <s v=""/>
    <s v="Pipeline de Vendas"/>
    <s v="Qualificação de Vendas (SQL) (25%)"/>
    <s v=""/>
    <m/>
    <m/>
    <m/>
    <n v="33"/>
    <s v="Junior Lopes"/>
    <d v="2026-04-17T00:00:00"/>
    <d v="1899-12-30T16:48:26"/>
    <s v=""/>
    <s v="Ativo"/>
    <m/>
    <m/>
    <s v=""/>
    <s v=""/>
    <s v=""/>
    <x v="0"/>
    <s v=""/>
    <x v="0"/>
    <s v=""/>
    <d v="2026-05-06T00:00:00"/>
    <n v="30"/>
    <s v=""/>
    <s v=""/>
    <s v=""/>
    <s v=""/>
    <n v="1"/>
  </r>
  <r>
    <x v="2"/>
    <n v="1126"/>
    <m/>
    <n v="3553"/>
    <s v="22.04 caixa postal_x000a_10:19, 22/04/2026 Rayssa Karapeticov - Comercial - Guarani Sistemas: Bom dia Valéria, tudo bem?_x000a_Meu nome é Rayssa, sou executiva de vendas na Guarani Sistemas_x000a_Estou retornando seu contato com interesse em nossa soluções,_x000a_10:20, 22/04/2026 Rayssa Karapeticov - Comercial - Guarani Sistemas: Para seguirmos com seu atendimento, preciso entender seus processos e mais sobre sua empresa_x000a_Qual a melhor forma para retornar o contato, prefere falar por aqui ou prefere que te ligue?"/>
    <s v=""/>
    <x v="602"/>
    <m/>
    <s v=""/>
    <s v="Brasil Rural"/>
    <s v="17997762600"/>
    <s v=""/>
    <s v="valeria.rod312@gmail.com"/>
    <s v=""/>
    <s v=""/>
    <s v=""/>
    <s v=""/>
    <s v="Brasil"/>
    <s v="Inbound"/>
    <s v=""/>
    <s v=""/>
    <s v="Fora Perfil;Instagram"/>
    <s v="Pipeline de Vendas"/>
    <s v="Agendamento (0%)"/>
    <s v=""/>
    <m/>
    <m/>
    <m/>
    <n v="19"/>
    <s v="Paulo Souza"/>
    <d v="2026-04-20T00:00:00"/>
    <d v="1899-12-30T14:16:55"/>
    <s v=""/>
    <s v="Perdido"/>
    <d v="2026-05-09T00:00:00"/>
    <d v="1899-12-30T08:28:25"/>
    <s v="Sem qualificação — contato não atende ligações nem responde msg"/>
    <s v=""/>
    <s v=""/>
    <x v="0"/>
    <s v="Rayssa Karapeticov"/>
    <x v="0"/>
    <s v=""/>
    <d v="2026-04-30T00:00:00"/>
    <n v="30"/>
    <s v=""/>
    <s v=""/>
    <s v=""/>
    <s v=""/>
    <n v="1"/>
  </r>
  <r>
    <x v="1"/>
    <n v="1127"/>
    <m/>
    <n v="3555"/>
    <s v="e mail enviado _x000a_(30/04/2026) em contato com Manoel vendo melhor data para apresentação _x000a_Olá Manoel ! _x000a_Meu nome é Junior Lopes, sou Executivo de Contas Corporativas na Guarani Sistemas, empresa especializada em soluções de gestão empresarial e comercial para toda a cadeia de abastecimento de artigos para o lar._x000a_ _x000a_Desde 2006, desenvolvemos e implementamos ferramentas que fomentam o crescimento dos nossos clientes. Hoje, contamos com mais de 900 clientes ativos, 40 mil usuários e cerca de 65 mil notas fiscais geradas diariamente em nossa plataforma, mantendo um crescimento médio anual de 20%. Nosso propósito é transformar nossos clientes em referência comercial e operacional em seus mercados, criando em conjunto soluções flexíveis que promovam diretamente o crescimento do negócio._x000a_ _x000a_Atendemos indústrias, importadores, distribuidores, atacadistas e varejistas dos segmentos de utilidades domésticas, brinquedos, presentes, decoração, metalúrgica, química, alimentos, têxtil, agro e outros generalistas. Entre nossos clientes, temos casos de sucesso como Plasútil, Paramount, Ingá Import, Alumínio Nacional e Dolce Home, que ampliaram sua eficiência e cresceram fortemente com o apoio de nossas soluções._x000a_ _x000a_Para a Home Market 24h, enxergamos grande potencial de apoio principalmente em três frentes:_x000a_Gestão integrada da operação, com nosso ERP (on-premise ou em nuvem), módulos de PCP e WMS, garantindo controle de estoques, compras, vendas, faturamento, financeiro e logística em um único ambiente._x000a_Automação da força de vendas, com o Guarani AFV, levando mais produtividade, controle e inteligência comercial para a equipe, com informações em tempo real e apoio à expansão da carteira de clientes._x000a_E-commerce B2B integrado, com o Power B2B, permitindo que seus clientes realizem pedidos de maneira simples, rápida e totalmente integrada ao ERP, ampliando o alcance da Home Market 24h no mercado corporativo._x000a_ _x000a_ _x000a_Gostaria de agendar uma breve conversa para entender melhor o cenário atual da Home Market 24h e apresentar de forma objetiva como a Guarani Sistemas pode contribuir com a operação de vocês?_x000a_ _x000a_Fico à disposição para alinhar o melhor dia e horário._x000a_ _x000a_ _x000a_Atenciosamente,"/>
    <s v=""/>
    <x v="603"/>
    <m/>
    <s v=""/>
    <s v="Comercial O Manoel"/>
    <s v="85999874743"/>
    <s v=""/>
    <s v="comercialomanoel@gmail.com"/>
    <s v=""/>
    <s v=""/>
    <s v=""/>
    <s v=""/>
    <s v="Ceara"/>
    <s v="Inbound"/>
    <s v=""/>
    <s v=""/>
    <s v="Dentro Perfil;Instagram"/>
    <s v="Pipeline de Vendas"/>
    <s v="Qualificação de Vendas (SQL) (25%)"/>
    <s v=""/>
    <m/>
    <m/>
    <m/>
    <n v="30"/>
    <s v="Paulo Souza"/>
    <d v="2026-04-20T00:00:00"/>
    <d v="1899-12-30T14:26:57"/>
    <s v=""/>
    <s v="Ativo"/>
    <m/>
    <m/>
    <s v=""/>
    <s v=""/>
    <s v=""/>
    <x v="0"/>
    <s v="Junior Lopes"/>
    <x v="0"/>
    <s v=""/>
    <d v="2026-04-30T00:00:00"/>
    <n v="30"/>
    <s v=""/>
    <s v=""/>
    <s v=""/>
    <s v=""/>
    <n v="1"/>
  </r>
  <r>
    <x v="2"/>
    <n v="1128"/>
    <m/>
    <n v="3565"/>
    <s v="22.04 Não atendeu _x000a_Bom dia, Sergio. Como vai? _x000a_Meu nome é Rayssa, sou Executiva de Vendas na Guarani Sistemas, e estou retornando seu contato com nossa empresa para conhecer mais sobre nossas soluções_x000a_Para seguirmos preciso entender sua empresa e seus processos. _x000a_Você prefere seguir o atendimento por aqui ou prefere que te ligue?"/>
    <s v=""/>
    <x v="604"/>
    <m/>
    <s v=""/>
    <s v="Garrama com essência eirele"/>
    <s v="11986111998"/>
    <s v=""/>
    <s v="ss.sergiofaertes@gmail.com"/>
    <s v=""/>
    <s v=""/>
    <s v=""/>
    <s v=""/>
    <s v=""/>
    <s v="Campanha"/>
    <s v=""/>
    <s v=""/>
    <s v="Fora Perfil;Instagram"/>
    <s v="Pipeline de Vendas"/>
    <s v="Qualificação de Vendas (SQL) (25%)"/>
    <s v=""/>
    <d v="2026-04-30T00:00:00"/>
    <m/>
    <m/>
    <n v="19"/>
    <s v="Paulo Souza"/>
    <d v="2026-04-20T00:00:00"/>
    <d v="1899-12-30T15:22:35"/>
    <s v=""/>
    <s v="Perdido"/>
    <d v="2026-05-09T00:00:00"/>
    <d v="1899-12-30T08:36:06"/>
    <s v="Sem qualificação — contato não atende ligações nem responde msg"/>
    <s v=""/>
    <s v=""/>
    <x v="0"/>
    <s v="Rayssa Karapeticov"/>
    <x v="0"/>
    <s v=""/>
    <d v="2026-04-24T00:00:00"/>
    <n v="30"/>
    <s v=""/>
    <s v=""/>
    <s v=""/>
    <s v=""/>
    <n v="1"/>
  </r>
  <r>
    <x v="1"/>
    <n v="1129"/>
    <m/>
    <n v="3566"/>
    <s v=""/>
    <s v=""/>
    <x v="605"/>
    <m/>
    <s v=""/>
    <s v="Supermercado Mathur"/>
    <s v="11954971535"/>
    <s v=""/>
    <s v="renato@mathur.com.br"/>
    <s v=""/>
    <s v=""/>
    <s v=""/>
    <s v=""/>
    <s v="Sao paulo"/>
    <s v="Inbound"/>
    <s v=""/>
    <s v=""/>
    <s v="Fora Perfil;Instagram"/>
    <s v="Pipeline de Vendas"/>
    <s v="Agendamento (0%)"/>
    <s v=""/>
    <m/>
    <m/>
    <m/>
    <n v="0"/>
    <s v="Paulo Souza"/>
    <d v="2026-04-20T00:00:00"/>
    <d v="1899-12-30T15:23:29"/>
    <s v=""/>
    <s v="Perdido"/>
    <d v="2026-04-20T00:00:00"/>
    <d v="1899-12-30T16:43:51"/>
    <s v="Fora do porte mínimo (sem fit estrutural)"/>
    <s v="Supermercado, fora do perfil"/>
    <s v=""/>
    <x v="0"/>
    <s v="Junior Lopes"/>
    <x v="0"/>
    <s v=""/>
    <m/>
    <n v="30"/>
    <s v=""/>
    <s v=""/>
    <s v=""/>
    <s v=""/>
    <n v="1"/>
  </r>
  <r>
    <x v="2"/>
    <n v="1130"/>
    <m/>
    <n v="3567"/>
    <s v="Falei com o Arthur,. porem quem esta cuidando disso é o Rodrigo, vai passar meu contato para ele para seguir com o Atendimento"/>
    <s v=""/>
    <x v="606"/>
    <m/>
    <s v=""/>
    <s v="Cafe Santa Monica"/>
    <s v="11981430800"/>
    <s v=""/>
    <s v="arthurmosco@gmail.com"/>
    <s v=""/>
    <s v=""/>
    <s v=""/>
    <s v=""/>
    <s v=""/>
    <s v="Campanha"/>
    <s v=""/>
    <s v=""/>
    <s v="Dentro Perfil;Instagram"/>
    <s v="Pipeline de Vendas"/>
    <s v="Qualificação de Vendas (SQL) (25%)"/>
    <s v=""/>
    <m/>
    <m/>
    <m/>
    <n v="30"/>
    <s v="Paulo Souza"/>
    <d v="2026-04-20T00:00:00"/>
    <d v="1899-12-30T15:25:17"/>
    <s v=""/>
    <s v="Ativo"/>
    <m/>
    <m/>
    <s v=""/>
    <s v=""/>
    <s v=""/>
    <x v="0"/>
    <s v="Rayssa Karapeticov"/>
    <x v="0"/>
    <s v=""/>
    <d v="2026-05-07T00:00:00"/>
    <n v="30"/>
    <s v=""/>
    <s v=""/>
    <s v=""/>
    <s v=""/>
    <n v="1"/>
  </r>
  <r>
    <x v="1"/>
    <n v="1131"/>
    <m/>
    <n v="3568"/>
    <s v="(20/04/2026) em contato com Kamilla"/>
    <s v=""/>
    <x v="607"/>
    <n v="36955063000149"/>
    <s v=""/>
    <s v="NORTH EXPORTACAO"/>
    <s v="(91) 9343-5475"/>
    <s v=""/>
    <s v="northacaifoods@gmail.com"/>
    <s v=""/>
    <s v=""/>
    <s v=""/>
    <s v="BELEM"/>
    <s v="PA"/>
    <s v="Campanha"/>
    <s v=""/>
    <s v=""/>
    <s v="Dentro Perfil;Instagram"/>
    <s v="Pipeline de Vendas"/>
    <s v="Qualificação de Vendas (SQL) (25%)"/>
    <s v=""/>
    <m/>
    <m/>
    <m/>
    <n v="19"/>
    <s v="Paulo Souza"/>
    <d v="2026-04-20T00:00:00"/>
    <d v="1899-12-30T15:26:13"/>
    <s v=""/>
    <s v="Perdido"/>
    <d v="2026-05-09T00:00:00"/>
    <d v="1899-12-30T08:36:50"/>
    <s v="Sem qualificação — contato não atende ligações nem responde msg"/>
    <s v=""/>
    <s v=""/>
    <x v="0"/>
    <s v="Junior Lopes"/>
    <x v="0"/>
    <s v=""/>
    <d v="2026-04-28T00:00:00"/>
    <n v="30"/>
    <s v=""/>
    <s v=""/>
    <s v=""/>
    <s v=""/>
    <n v="1"/>
  </r>
  <r>
    <x v="2"/>
    <n v="1132"/>
    <m/>
    <n v="3569"/>
    <s v="22.04 liguei e deu caixa postal _x000a_Bom dia Rafael, tudo bem? _x000a_Meu nome e Rayssa, sou Executiva de Vendas na Guarani Sistemas, estou retornando seu contato para falar sobre seu interesse em um novo software. _x000a_Para seguirmos com esse contato preciso entender o processo de sua empresa e o que esta buscando _x000a_Como prefere seguir o atendimento, por aqui ou quer que eu te ligue?"/>
    <s v=""/>
    <x v="608"/>
    <m/>
    <s v=""/>
    <s v="Lpx"/>
    <s v="9282770000"/>
    <s v=""/>
    <s v="atakadaoeletrica@gmail.com"/>
    <s v=""/>
    <s v=""/>
    <s v=""/>
    <s v=""/>
    <s v="Brasil"/>
    <s v="Inbound"/>
    <s v=""/>
    <s v=""/>
    <s v="Fora Perfil;Instagram"/>
    <s v="Pipeline de Vendas"/>
    <s v="Agendamento (0%)"/>
    <s v=""/>
    <m/>
    <m/>
    <m/>
    <n v="19"/>
    <s v="Paulo Souza"/>
    <d v="2026-04-20T00:00:00"/>
    <d v="1899-12-30T15:27:43"/>
    <s v=""/>
    <s v="Perdido"/>
    <d v="2026-05-09T00:00:00"/>
    <d v="1899-12-30T08:43:51"/>
    <s v="Sem qualificação — contato não atende ligações nem responde msg"/>
    <s v=""/>
    <s v=""/>
    <x v="0"/>
    <s v="Rayssa Karapeticov"/>
    <x v="0"/>
    <s v=""/>
    <d v="2026-04-29T00:00:00"/>
    <n v="30"/>
    <s v=""/>
    <s v=""/>
    <s v=""/>
    <s v=""/>
    <n v="1"/>
  </r>
  <r>
    <x v="1"/>
    <n v="1133"/>
    <m/>
    <n v="3571"/>
    <s v="16:55, 20/04/2026 Junior Lopes: Olá Marcos , boa tarde_x000a_16:55, 20/04/2026 Junior Lopes: sou Junior lopes da Guarani sistemas, td bem ?_x000a_16:55, 20/04/2026 Junior Lopes: estou retornando contato que vc fez conosco_x000a_17:18, 20/04/2026 +55 18 99701-9440: Olá boa tarde."/>
    <s v=""/>
    <x v="609"/>
    <m/>
    <s v=""/>
    <s v="Governo do Estado de São Paulo"/>
    <s v="18997019440"/>
    <s v=""/>
    <s v="marcosleitao37@hotmail.com"/>
    <s v=""/>
    <s v=""/>
    <s v=""/>
    <s v=""/>
    <s v="Presidente Epitácio Sp"/>
    <s v="Inbound"/>
    <s v=""/>
    <s v=""/>
    <s v="Fora Perfil;Instagram"/>
    <s v="Pipeline de Vendas"/>
    <s v="Agendamento (0%)"/>
    <s v=""/>
    <m/>
    <m/>
    <m/>
    <n v="19"/>
    <s v="Paulo Souza"/>
    <d v="2026-04-20T00:00:00"/>
    <d v="1899-12-30T15:29:11"/>
    <s v=""/>
    <s v="Perdido"/>
    <d v="2026-05-09T00:00:00"/>
    <d v="1899-12-30T08:45:24"/>
    <s v="Fora do segmento atendido"/>
    <s v=""/>
    <s v=""/>
    <x v="0"/>
    <s v="Junior Lopes"/>
    <x v="0"/>
    <s v=""/>
    <m/>
    <n v="30"/>
    <s v=""/>
    <s v=""/>
    <s v=""/>
    <s v=""/>
    <n v="1"/>
  </r>
  <r>
    <x v="0"/>
    <n v="1134"/>
    <m/>
    <n v="3575"/>
    <s v=""/>
    <s v=""/>
    <x v="610"/>
    <n v="67846790000100"/>
    <s v=""/>
    <s v="Andrea"/>
    <s v="(11) 4526-2313"/>
    <s v=""/>
    <s v="financeiro@hoberplasticos.com.br"/>
    <s v=""/>
    <s v=""/>
    <s v=""/>
    <s v="JUNDIAI"/>
    <s v="SP"/>
    <s v=""/>
    <s v=""/>
    <s v=""/>
    <s v=""/>
    <s v="Pipeline de Vendas"/>
    <s v="Em negociação (75%)"/>
    <s v=""/>
    <d v="2026-05-31T00:00:00"/>
    <n v="1364029"/>
    <n v="563118"/>
    <n v="30"/>
    <s v="Paulo Souza"/>
    <d v="2026-04-20T00:00:00"/>
    <d v="1899-12-30T16:00:02"/>
    <s v=""/>
    <s v="Ativo"/>
    <m/>
    <m/>
    <s v=""/>
    <s v=""/>
    <s v=""/>
    <x v="210"/>
    <s v="Paulo Souza"/>
    <x v="233"/>
    <s v=""/>
    <d v="2026-05-18T00:00:00"/>
    <n v="30"/>
    <s v=""/>
    <s v=""/>
    <s v=""/>
    <s v=""/>
    <n v="1"/>
  </r>
  <r>
    <x v="0"/>
    <n v="1135"/>
    <m/>
    <n v="3578"/>
    <s v=""/>
    <s v=""/>
    <x v="490"/>
    <n v="7730144000142"/>
    <s v=""/>
    <s v="Alexandre"/>
    <s v="(11) 4151-2564/ (11) 4551-2554"/>
    <s v=""/>
    <s v="comercial@kopermax.com.br"/>
    <s v=""/>
    <s v=""/>
    <s v=""/>
    <s v="CARAPICUIBA"/>
    <s v="SP"/>
    <s v=""/>
    <s v=""/>
    <s v=""/>
    <s v=""/>
    <s v="Pipeline de Vendas"/>
    <s v="Apresentar Proposta (50%)"/>
    <s v=""/>
    <d v="2026-05-31T00:00:00"/>
    <m/>
    <m/>
    <n v="21"/>
    <s v="Paulo Souza"/>
    <d v="2026-04-20T00:00:00"/>
    <d v="1899-12-30T16:52:52"/>
    <s v=""/>
    <s v="Perdido"/>
    <d v="2026-05-11T00:00:00"/>
    <d v="1899-12-30T11:58:02"/>
    <s v="Projeto adiado / sem prazo definido"/>
    <s v=""/>
    <s v=""/>
    <x v="211"/>
    <s v="Paulo Souza"/>
    <x v="233"/>
    <s v=""/>
    <m/>
    <n v="30"/>
    <s v=""/>
    <s v=""/>
    <s v=""/>
    <s v=""/>
    <n v="1"/>
  </r>
  <r>
    <x v="1"/>
    <n v="1136"/>
    <m/>
    <n v="3582"/>
    <s v="(23/04/2026) em contato com João Netto via telefone _x000a_atualmente busca um software para automação da sua produção e controle de estoque que contempla a gestão financeira e fiscal , sua equipe de venda precisa de um aplicativo para estrada e controle de pedidos"/>
    <s v=""/>
    <x v="611"/>
    <n v="25356414000189"/>
    <s v=""/>
    <s v="Bia alimentos"/>
    <s v="75992608709"/>
    <s v=""/>
    <s v="jjneto28@gmail.com"/>
    <s v=""/>
    <s v=""/>
    <s v=""/>
    <s v="SAO GONCALO DOS CAMPOS"/>
    <s v="BA"/>
    <s v="Campanha"/>
    <s v=""/>
    <s v=""/>
    <s v="Dentro Perfil;Instagram"/>
    <s v="Pipeline de Vendas"/>
    <s v="Apresentar Solução (35%)"/>
    <s v=""/>
    <m/>
    <m/>
    <m/>
    <n v="27"/>
    <s v="Paulo Souza"/>
    <d v="2026-04-23T00:00:00"/>
    <d v="1899-12-30T14:05:58"/>
    <s v=""/>
    <s v="Ativo"/>
    <m/>
    <m/>
    <s v=""/>
    <s v=""/>
    <s v=""/>
    <x v="0"/>
    <s v="Junior Lopes"/>
    <x v="0"/>
    <s v=""/>
    <m/>
    <n v="30"/>
    <s v=""/>
    <s v=""/>
    <s v=""/>
    <s v=""/>
    <n v="1"/>
  </r>
  <r>
    <x v="2"/>
    <n v="1137"/>
    <m/>
    <n v="3581"/>
    <s v=""/>
    <s v=""/>
    <x v="612"/>
    <m/>
    <s v=""/>
    <s v="Quality medical"/>
    <s v="6592542913"/>
    <s v=""/>
    <s v="marcosrobertosilvestre@hotmail.com"/>
    <s v=""/>
    <s v=""/>
    <s v=""/>
    <s v=""/>
    <s v=""/>
    <s v="Campanha"/>
    <s v=""/>
    <s v=""/>
    <s v="Dentro Perfil;Instagram"/>
    <s v="Pipeline de Vendas"/>
    <s v="Qualificação de Vendas (SQL) (25%)"/>
    <s v=""/>
    <m/>
    <m/>
    <m/>
    <n v="27"/>
    <s v="Paulo Souza"/>
    <d v="2026-04-23T00:00:00"/>
    <d v="1899-12-30T14:08:08"/>
    <s v=""/>
    <s v="Ativo"/>
    <m/>
    <m/>
    <s v=""/>
    <s v=""/>
    <s v=""/>
    <x v="0"/>
    <s v="Rayssa Karapeticov"/>
    <x v="0"/>
    <s v=""/>
    <d v="2026-05-07T00:00:00"/>
    <n v="30"/>
    <s v=""/>
    <s v=""/>
    <s v=""/>
    <s v=""/>
    <n v="1"/>
  </r>
  <r>
    <x v="2"/>
    <n v="1138"/>
    <m/>
    <n v="3586"/>
    <s v=""/>
    <s v=""/>
    <x v="613"/>
    <m/>
    <s v=""/>
    <s v="Autônomo"/>
    <s v="94991836683"/>
    <s v=""/>
    <s v="gersondsvasconcelos@gmail.com"/>
    <s v=""/>
    <s v=""/>
    <s v=""/>
    <s v=""/>
    <s v=""/>
    <s v="Campanha"/>
    <s v=""/>
    <s v=""/>
    <s v="Fora Perfil;Instagram"/>
    <s v="Pipeline de Vendas"/>
    <s v="Agendamento (0%)"/>
    <s v=""/>
    <m/>
    <m/>
    <m/>
    <n v="15"/>
    <s v="Paulo Souza"/>
    <d v="2026-04-24T00:00:00"/>
    <d v="1899-12-30T10:11:26"/>
    <s v=""/>
    <s v="Perdido"/>
    <d v="2026-05-09T00:00:00"/>
    <d v="1899-12-30T08:45:54"/>
    <s v="Sem qualificação — contato não atende ligações nem responde msg"/>
    <s v=""/>
    <s v=""/>
    <x v="0"/>
    <s v="Rayssa Karapeticov"/>
    <x v="0"/>
    <s v=""/>
    <m/>
    <n v="30"/>
    <s v=""/>
    <s v=""/>
    <s v=""/>
    <s v=""/>
    <n v="1"/>
  </r>
  <r>
    <x v="1"/>
    <n v="1139"/>
    <m/>
    <n v="3603"/>
    <s v="(27/04/2026) em contato com Carol, Sr. Paulo não estava na empresa ! Carol anotou meu WhatsApp para retorno"/>
    <s v=""/>
    <x v="614"/>
    <n v="7598229000119"/>
    <s v=""/>
    <s v="plaslumy"/>
    <s v="(35) 3232-2223 / (35) 3234-1578 / (35) 3232-2223"/>
    <s v=""/>
    <s v="fiscal@plaslumy.com.br"/>
    <s v=""/>
    <s v=""/>
    <s v=""/>
    <s v="TRES CORACOES"/>
    <s v="MG"/>
    <s v="Inbound"/>
    <s v=""/>
    <s v=""/>
    <s v="Dentro Perfil;Instagram"/>
    <s v="Pipeline de Vendas"/>
    <s v="Qualificação de Vendas (SQL) (25%)"/>
    <s v=""/>
    <m/>
    <m/>
    <m/>
    <n v="23"/>
    <s v="Paulo Souza"/>
    <d v="2026-04-27T00:00:00"/>
    <d v="1899-12-30T15:32:48"/>
    <s v=""/>
    <s v="Ativo"/>
    <m/>
    <m/>
    <s v=""/>
    <s v=""/>
    <s v=""/>
    <x v="0"/>
    <s v="Junior Lopes"/>
    <x v="0"/>
    <s v=""/>
    <m/>
    <n v="30"/>
    <s v=""/>
    <s v=""/>
    <s v=""/>
    <s v=""/>
    <n v="1"/>
  </r>
  <r>
    <x v="2"/>
    <n v="1140"/>
    <m/>
    <n v="3588"/>
    <s v=""/>
    <s v=""/>
    <x v="615"/>
    <n v="7403402000186"/>
    <s v=""/>
    <s v="Shopping do Parafuso"/>
    <s v="31996583027"/>
    <s v=""/>
    <s v="comercial@shoppingdoparafuso.com.br"/>
    <s v=""/>
    <s v=""/>
    <s v=""/>
    <s v=""/>
    <s v=""/>
    <s v="Campanha"/>
    <s v=""/>
    <s v=""/>
    <s v="Fora Perfil;Instagram;Perfil Indefinido"/>
    <s v="Pipeline de Vendas"/>
    <s v="Qualificação de Vendas (SQL) (25%)"/>
    <s v=""/>
    <m/>
    <m/>
    <m/>
    <n v="10"/>
    <s v="Paulo Souza"/>
    <d v="2026-04-27T00:00:00"/>
    <d v="1899-12-30T15:48:50"/>
    <s v=""/>
    <s v="Perdido"/>
    <d v="2026-05-07T00:00:00"/>
    <d v="1899-12-30T10:40:49"/>
    <s v="Fora do porte mínimo (sem fit estrutural)"/>
    <s v=""/>
    <s v=""/>
    <x v="0"/>
    <s v="Rayssa Karapeticov"/>
    <x v="0"/>
    <s v=""/>
    <d v="2026-04-29T00:00:00"/>
    <n v="30"/>
    <s v=""/>
    <s v=""/>
    <s v=""/>
    <s v=""/>
    <n v="1"/>
  </r>
  <r>
    <x v="2"/>
    <n v="1141"/>
    <m/>
    <n v="3589"/>
    <s v=""/>
    <s v=""/>
    <x v="616"/>
    <n v="24094663000180"/>
    <s v=""/>
    <s v="Max LED"/>
    <s v="(11) 2181-1005 / (11) 6735-4750 / (11) 2181-1005"/>
    <s v=""/>
    <s v="alexfelixsantos@hotmail.com"/>
    <s v=""/>
    <s v=""/>
    <s v=""/>
    <s v="SAO PAULO"/>
    <s v="SP"/>
    <s v="Campanha"/>
    <s v=""/>
    <s v=""/>
    <s v="Dentro Perfil;Instagram"/>
    <s v="Pipeline de Vendas"/>
    <s v="Apresentar Solução (35%)"/>
    <s v=""/>
    <m/>
    <m/>
    <m/>
    <n v="23"/>
    <s v="Paulo Souza"/>
    <d v="2026-04-27T00:00:00"/>
    <d v="1899-12-30T15:49:56"/>
    <s v=""/>
    <s v="Ativo"/>
    <m/>
    <m/>
    <s v=""/>
    <s v=""/>
    <s v=""/>
    <x v="0"/>
    <s v="Rayssa Karapeticov"/>
    <x v="234"/>
    <s v=""/>
    <d v="2026-05-18T00:00:00"/>
    <n v="30"/>
    <s v=""/>
    <s v=""/>
    <s v=""/>
    <s v=""/>
    <n v="1"/>
  </r>
  <r>
    <x v="1"/>
    <n v="1142"/>
    <m/>
    <n v="3590"/>
    <s v=""/>
    <s v=""/>
    <x v="617"/>
    <m/>
    <s v=""/>
    <s v="Tres americas alimentos"/>
    <s v="65992888768"/>
    <s v=""/>
    <s v="jctransportess.mt@gmail.com"/>
    <s v=""/>
    <s v=""/>
    <s v=""/>
    <s v=""/>
    <s v=""/>
    <s v="Campanha"/>
    <s v=""/>
    <s v=""/>
    <s v="Dentro Perfil;Instagram"/>
    <s v="Pipeline de Vendas"/>
    <s v="Qualificação de Vendas (SQL) (25%)"/>
    <s v=""/>
    <m/>
    <m/>
    <m/>
    <n v="23"/>
    <s v="Paulo Souza"/>
    <d v="2026-04-27T00:00:00"/>
    <d v="1899-12-30T15:52:31"/>
    <s v=""/>
    <s v="Ativo"/>
    <m/>
    <m/>
    <s v=""/>
    <s v=""/>
    <s v=""/>
    <x v="0"/>
    <s v="Junior Lopes"/>
    <x v="0"/>
    <s v=""/>
    <d v="2026-05-06T00:00:00"/>
    <n v="30"/>
    <s v=""/>
    <s v=""/>
    <s v=""/>
    <s v=""/>
    <n v="1"/>
  </r>
  <r>
    <x v="2"/>
    <n v="1143"/>
    <m/>
    <n v="3591"/>
    <s v="Todos os dados preenchidos:_x000a_empresa: Alexdan _x000a_name: Alexandre Biassio _x000a_cargo: Diretor _x000a_whatsapp: 11982599832 _x000a_email: alexandre@alexdan.com.br _x000a_referrer: https://www.guaranisistemas.com.br/"/>
    <s v=""/>
    <x v="618"/>
    <n v="3098281000155"/>
    <s v=""/>
    <s v="Alexandre Biassio"/>
    <s v=""/>
    <s v=""/>
    <s v="alexandre@alexdan.com.br"/>
    <s v=""/>
    <s v=""/>
    <s v=""/>
    <s v="Santo André"/>
    <s v=""/>
    <s v="Inbound"/>
    <s v=""/>
    <s v=""/>
    <s v=""/>
    <s v="Pipeline de Vendas"/>
    <s v="Apresentar Solução (35%)"/>
    <s v=""/>
    <m/>
    <m/>
    <m/>
    <n v="23"/>
    <s v="Paulo Souza"/>
    <d v="2026-04-27T00:00:00"/>
    <d v="1899-12-30T15:53:51"/>
    <s v=""/>
    <s v="Ativo"/>
    <m/>
    <m/>
    <s v=""/>
    <s v=""/>
    <s v=""/>
    <x v="0"/>
    <s v="Rayssa Karapeticov"/>
    <x v="0"/>
    <s v=""/>
    <d v="2026-05-19T00:00:00"/>
    <n v="30"/>
    <s v=""/>
    <s v=""/>
    <s v=""/>
    <s v=""/>
    <n v="1"/>
  </r>
  <r>
    <x v="1"/>
    <n v="1144"/>
    <m/>
    <n v="3592"/>
    <s v="(28/04/2026) em contato com Janayna"/>
    <s v=""/>
    <x v="619"/>
    <m/>
    <s v=""/>
    <s v="Bitilila Nails"/>
    <s v="17997180789"/>
    <s v=""/>
    <s v="janaynamundial@hotmail.com"/>
    <s v=""/>
    <s v=""/>
    <s v=""/>
    <s v=""/>
    <s v=""/>
    <s v="Campanha"/>
    <s v=""/>
    <s v=""/>
    <s v="Dentro Perfil;Instagram"/>
    <s v="Pipeline de Vendas"/>
    <s v="Agendamento (0%)"/>
    <s v=""/>
    <m/>
    <m/>
    <m/>
    <n v="12"/>
    <s v="Paulo Souza"/>
    <d v="2026-04-27T00:00:00"/>
    <d v="1899-12-30T15:54:58"/>
    <s v=""/>
    <s v="Perdido"/>
    <d v="2026-05-09T00:00:00"/>
    <d v="1899-12-30T08:46:25"/>
    <s v="Sem qualificação — contato não atende ligações nem responde msg"/>
    <s v=""/>
    <s v=""/>
    <x v="0"/>
    <s v="Junior Lopes"/>
    <x v="0"/>
    <s v=""/>
    <d v="2026-05-06T00:00:00"/>
    <n v="32"/>
    <s v=""/>
    <s v=""/>
    <s v=""/>
    <s v=""/>
    <n v="1"/>
  </r>
  <r>
    <x v="2"/>
    <n v="1145"/>
    <m/>
    <n v="3599"/>
    <s v=""/>
    <s v="Abc Internacional Comercio Importacao E Exportacao Ltda"/>
    <x v="620"/>
    <n v="58846435000131"/>
    <s v=""/>
    <s v="Abc Internacional Comercio Importacao E Exportacao Ltda"/>
    <s v="(47) 3021-7932"/>
    <s v=""/>
    <s v="contato@contabilidadestacatarina.com.br"/>
    <s v=""/>
    <s v=""/>
    <s v=""/>
    <s v="SAO PAULO"/>
    <s v="SP"/>
    <s v="Base de empresas Leads2b"/>
    <s v=""/>
    <s v=""/>
    <s v=""/>
    <s v="Pipeline de Vendas"/>
    <s v="Qualificação de Vendas (SQL) (25%)"/>
    <s v=""/>
    <m/>
    <m/>
    <m/>
    <n v="23"/>
    <s v="Rayssa Karapeticov"/>
    <d v="2026-04-27T00:00:00"/>
    <d v="1899-12-30T15:55:21"/>
    <s v=""/>
    <s v="Ativo"/>
    <m/>
    <m/>
    <s v=""/>
    <s v=""/>
    <s v=""/>
    <x v="0"/>
    <s v="Rayssa Karapeticov"/>
    <x v="0"/>
    <s v=""/>
    <d v="2026-05-13T00:00:00"/>
    <n v="30"/>
    <s v=""/>
    <s v="ERP"/>
    <s v=""/>
    <s v=""/>
    <n v="1"/>
  </r>
  <r>
    <x v="2"/>
    <n v="1146"/>
    <m/>
    <n v="3593"/>
    <s v=""/>
    <s v=""/>
    <x v="621"/>
    <m/>
    <s v=""/>
    <s v="Oneclick"/>
    <s v="31999499091"/>
    <s v=""/>
    <s v="hm2matoa@gmail.com"/>
    <s v=""/>
    <s v=""/>
    <s v=""/>
    <s v=""/>
    <s v=""/>
    <s v="Campanha"/>
    <s v=""/>
    <s v=""/>
    <s v="Dentro Perfil;Instagram"/>
    <s v="Pipeline de Vendas"/>
    <s v="Qualificação de Vendas (SQL) (25%)"/>
    <s v=""/>
    <m/>
    <m/>
    <m/>
    <n v="16"/>
    <s v="Paulo Souza"/>
    <d v="2026-04-27T00:00:00"/>
    <d v="1899-12-30T15:56:24"/>
    <s v=""/>
    <s v="Perdido"/>
    <d v="2026-05-13T00:00:00"/>
    <d v="1899-12-30T12:58:25"/>
    <s v="Sem qualificação — contato não atende ligações nem responde msg"/>
    <s v=""/>
    <s v=""/>
    <x v="0"/>
    <s v="Rayssa Karapeticov"/>
    <x v="0"/>
    <s v=""/>
    <d v="2026-05-13T00:00:00"/>
    <n v="30"/>
    <s v=""/>
    <s v=""/>
    <s v=""/>
    <s v=""/>
    <n v="1"/>
  </r>
  <r>
    <x v="1"/>
    <n v="1147"/>
    <m/>
    <n v="3594"/>
    <s v="16:13, 27/04/2026 Junior Lopes: Olá Manuel , boa tarde_x000a_16:14, 27/04/2026 Junior Lopes: Junior da Guarani sistemas por aqui_x000a_(28/04/2026) em contato com Manuel, empresa de construção civil , fora do perfil"/>
    <s v=""/>
    <x v="622"/>
    <m/>
    <s v=""/>
    <s v="JJ SOLUÇÕES INDUSTRIAIS"/>
    <s v="9294614731"/>
    <s v=""/>
    <s v="manuel.rivero@jjsoluempresa.com"/>
    <s v=""/>
    <s v=""/>
    <s v=""/>
    <s v=""/>
    <s v=""/>
    <s v="Campanha"/>
    <s v=""/>
    <s v=""/>
    <s v="Fora Perfil;Instagram"/>
    <s v="Pipeline de Vendas"/>
    <s v="Agendamento (0%)"/>
    <s v=""/>
    <m/>
    <m/>
    <m/>
    <n v="1"/>
    <s v="Paulo Souza"/>
    <d v="2026-04-27T00:00:00"/>
    <d v="1899-12-30T15:57:32"/>
    <s v=""/>
    <s v="Perdido"/>
    <d v="2026-04-28T00:00:00"/>
    <d v="1899-12-30T11:42:44"/>
    <s v="Fora do porte mínimo (sem fit estrutural)"/>
    <s v="construção civil"/>
    <s v=""/>
    <x v="0"/>
    <s v="Junior Lopes"/>
    <x v="0"/>
    <s v=""/>
    <m/>
    <n v="30"/>
    <s v=""/>
    <s v=""/>
    <s v=""/>
    <s v=""/>
    <n v="1"/>
  </r>
  <r>
    <x v="2"/>
    <n v="1148"/>
    <m/>
    <n v="3595"/>
    <s v=""/>
    <s v=""/>
    <x v="623"/>
    <n v="10255338000148"/>
    <s v=""/>
    <s v="JA ind plástica"/>
    <s v="62981282665"/>
    <s v=""/>
    <s v="big@biglixos.com.br"/>
    <s v=""/>
    <s v=""/>
    <s v=""/>
    <s v=""/>
    <s v=""/>
    <s v="Campanha"/>
    <s v=""/>
    <s v=""/>
    <s v="Dentro Perfil;Instagram"/>
    <s v="Pipeline de Vendas"/>
    <s v="Qualificação de Vendas (SQL) (25%)"/>
    <s v=""/>
    <m/>
    <m/>
    <m/>
    <n v="23"/>
    <s v="Paulo Souza"/>
    <d v="2026-04-27T00:00:00"/>
    <d v="1899-12-30T15:58:51"/>
    <s v=""/>
    <s v="Ativo"/>
    <m/>
    <m/>
    <s v=""/>
    <s v=""/>
    <s v=""/>
    <x v="0"/>
    <s v="Rayssa Karapeticov"/>
    <x v="0"/>
    <s v=""/>
    <d v="2026-05-13T00:00:00"/>
    <n v="30"/>
    <s v=""/>
    <s v=""/>
    <s v=""/>
    <s v=""/>
    <n v="1"/>
  </r>
  <r>
    <x v="2"/>
    <n v="1149"/>
    <m/>
    <n v="3596"/>
    <s v=""/>
    <s v=""/>
    <x v="624"/>
    <n v="44922087000120"/>
    <s v=""/>
    <s v="Invictus Soluções Integradas Ltda"/>
    <s v="(34) 3817-8240"/>
    <s v=""/>
    <s v="licitacao.invictus@gmail.com"/>
    <s v=""/>
    <s v=""/>
    <s v=""/>
    <s v="COROMANDEL"/>
    <s v="MG"/>
    <s v="Campanha"/>
    <s v=""/>
    <s v=""/>
    <s v="Fora Perfil;Instagram"/>
    <s v="Pipeline de Vendas"/>
    <s v="Agendamento (0%)"/>
    <s v=""/>
    <m/>
    <m/>
    <m/>
    <n v="12"/>
    <s v="Paulo Souza"/>
    <d v="2026-04-27T00:00:00"/>
    <d v="1899-12-30T16:00:22"/>
    <s v=""/>
    <s v="Perdido"/>
    <d v="2026-05-09T00:00:00"/>
    <d v="1899-12-30T08:50:26"/>
    <s v="Fora do segmento atendido"/>
    <s v=""/>
    <s v=""/>
    <x v="0"/>
    <s v="Rayssa Karapeticov"/>
    <x v="0"/>
    <s v=""/>
    <m/>
    <n v="30"/>
    <s v=""/>
    <s v=""/>
    <s v=""/>
    <s v=""/>
    <n v="1"/>
  </r>
  <r>
    <x v="1"/>
    <n v="1150"/>
    <m/>
    <n v="3597"/>
    <s v="16:36, 27/04/2026 Junior Lopes: Olá Paulo , boa tarde_x000a_16:37, 27/04/2026 Junior Lopes: Junior da Guarani sistemas por aqui_x000a_16:37, 27/04/2026 Junior Lopes: Td bem ?_x000a_11:46, 28/04/2026 Junior Lopes: Paulo , tudo bem ? _x000a_Não tive seu retorno _x000a_De qualquer forma pode me chamar caso queira dar continuidade _x000a_Um abraço"/>
    <s v=""/>
    <x v="625"/>
    <m/>
    <s v=""/>
    <s v="Paulo Sergio"/>
    <s v="(67) 99341-4113"/>
    <s v=""/>
    <s v="paulopedradagua@gmail.com"/>
    <s v=""/>
    <s v=""/>
    <s v=""/>
    <s v="Campo Grande"/>
    <s v=""/>
    <s v="Site"/>
    <s v=""/>
    <s v=""/>
    <s v="Solicita demo"/>
    <s v="Pipeline de Vendas"/>
    <s v="Agendamento (0%)"/>
    <s v=""/>
    <m/>
    <m/>
    <m/>
    <n v="1"/>
    <s v="Paulo Souza"/>
    <d v="2026-04-27T00:00:00"/>
    <d v="1899-12-30T16:01:20"/>
    <s v=""/>
    <s v="Perdido"/>
    <d v="2026-04-28T00:00:00"/>
    <d v="1899-12-30T11:47:45"/>
    <s v="Nossa solução não atende - falta funcionalidade"/>
    <s v="16:36, 27/04/2026 Junior Lopes: Olá Paulo , boa tarde_x000a_16:37, 27/04/2026 Junior Lopes: Junior da Guarani sistemas por aqui_x000a_16:37, 27/04/2026 Junior Lopes: Td bem ?_x000a_11:46, 28/04/2026 Junior Lopes: Paulo , tudo bem ? _x000a_Não tive seu retorno _x000a_De qualquer forma pode me chamar caso queira dar continuidade _x000a_Um abraço"/>
    <s v=""/>
    <x v="0"/>
    <s v="Junior Lopes"/>
    <x v="0"/>
    <s v=""/>
    <m/>
    <n v="30"/>
    <s v=""/>
    <s v=""/>
    <s v=""/>
    <s v=""/>
    <n v="1"/>
  </r>
  <r>
    <x v="1"/>
    <n v="1151"/>
    <m/>
    <n v="3602"/>
    <s v="28/04/2026) tentativa de contato não atendida , em uma busca sobre o lead, percebi que esta fora do perfil , revendedor de têni"/>
    <s v=""/>
    <x v="626"/>
    <m/>
    <s v=""/>
    <s v="GRIJALBA AGUIAR LINHARES"/>
    <s v="85985507327"/>
    <s v=""/>
    <s v="grijalbalinhares@gmail.com"/>
    <s v=""/>
    <s v=""/>
    <s v=""/>
    <s v=""/>
    <s v=""/>
    <s v="Campanha"/>
    <s v=""/>
    <s v=""/>
    <s v="Fora Perfil;Instagram"/>
    <s v="Pipeline de Vendas"/>
    <s v="Agendamento (0%)"/>
    <s v=""/>
    <m/>
    <m/>
    <m/>
    <n v="1"/>
    <s v="Paulo Souza"/>
    <d v="2026-04-27T00:00:00"/>
    <d v="1899-12-30T16:02:02"/>
    <s v=""/>
    <s v="Perdido"/>
    <d v="2026-04-28T00:00:00"/>
    <d v="1899-12-30T11:21:54"/>
    <s v="Fora do porte mínimo (sem fit estrutural)"/>
    <s v="fora do perfil, revendedor de tenis"/>
    <s v=""/>
    <x v="0"/>
    <s v="Junior Lopes"/>
    <x v="0"/>
    <s v=""/>
    <m/>
    <n v="30"/>
    <s v=""/>
    <s v=""/>
    <s v=""/>
    <s v=""/>
    <n v="1"/>
  </r>
  <r>
    <x v="2"/>
    <n v="1152"/>
    <m/>
    <n v="3608"/>
    <s v=""/>
    <s v=""/>
    <x v="627"/>
    <n v="9073191000196"/>
    <s v=""/>
    <s v="Megacenter trading"/>
    <s v="45999334900"/>
    <s v=""/>
    <s v="eduardo@megacenteratacado.com.br"/>
    <s v=""/>
    <s v=""/>
    <s v=""/>
    <s v=""/>
    <s v="Foz do iguaçu"/>
    <s v="Inbound"/>
    <s v=""/>
    <s v=""/>
    <s v="Dentro Perfil;Instagram"/>
    <s v="Pipeline de Vendas"/>
    <s v="Qualificação de Vendas (SQL) (25%)"/>
    <s v=""/>
    <m/>
    <m/>
    <m/>
    <n v="21"/>
    <s v="Paulo Souza"/>
    <d v="2026-04-29T00:00:00"/>
    <d v="1899-12-30T07:28:01"/>
    <s v=""/>
    <s v="Ativo"/>
    <m/>
    <m/>
    <s v=""/>
    <s v=""/>
    <s v=""/>
    <x v="0"/>
    <s v="Rayssa Karapeticov"/>
    <x v="0"/>
    <s v=""/>
    <d v="2026-05-13T00:00:00"/>
    <n v="30"/>
    <s v=""/>
    <s v=""/>
    <s v=""/>
    <s v=""/>
    <n v="1"/>
  </r>
  <r>
    <x v="1"/>
    <n v="1153"/>
    <m/>
    <n v="3609"/>
    <s v=""/>
    <s v=""/>
    <x v="628"/>
    <m/>
    <s v=""/>
    <s v="Distribuidora Robaski"/>
    <s v="51998484595"/>
    <s v=""/>
    <s v="edson@robaski.com.br"/>
    <s v=""/>
    <s v=""/>
    <s v=""/>
    <s v=""/>
    <s v=""/>
    <s v="Campanha"/>
    <s v=""/>
    <s v=""/>
    <s v="Dentro Perfil;Instagram"/>
    <s v="Pipeline de Vendas"/>
    <s v="Qualificação de Vendas (SQL) (25%)"/>
    <s v=""/>
    <m/>
    <m/>
    <m/>
    <n v="21"/>
    <s v="Paulo Souza"/>
    <d v="2026-04-29T00:00:00"/>
    <d v="1899-12-30T07:29:14"/>
    <s v=""/>
    <s v="Ativo"/>
    <m/>
    <m/>
    <s v=""/>
    <s v=""/>
    <s v=""/>
    <x v="0"/>
    <s v="Junior Lopes"/>
    <x v="0"/>
    <s v=""/>
    <d v="2026-05-06T00:00:00"/>
    <n v="30"/>
    <s v=""/>
    <s v=""/>
    <s v=""/>
    <s v=""/>
    <n v="1"/>
  </r>
  <r>
    <x v="2"/>
    <n v="1154"/>
    <m/>
    <n v="3610"/>
    <s v=""/>
    <s v=""/>
    <x v="629"/>
    <n v="8051809000154"/>
    <s v=""/>
    <s v="Rc distribuidora"/>
    <s v="93991455102"/>
    <s v=""/>
    <s v="dis.aliaca@gemai.com"/>
    <s v=""/>
    <s v=""/>
    <s v=""/>
    <s v=""/>
    <s v=""/>
    <s v="Campanha"/>
    <s v=""/>
    <s v=""/>
    <s v="Dentro Perfil;Instagram"/>
    <s v="Pipeline de Vendas"/>
    <s v="Qualificação de Vendas (SQL) (25%)"/>
    <s v=""/>
    <m/>
    <m/>
    <m/>
    <n v="14"/>
    <s v="Paulo Souza"/>
    <d v="2026-04-29T00:00:00"/>
    <d v="1899-12-30T07:30:18"/>
    <s v=""/>
    <s v="Perdido"/>
    <d v="2026-05-13T00:00:00"/>
    <d v="1899-12-30T12:45:34"/>
    <s v="Sem qualificação — contato não atende ligações nem responde msg"/>
    <s v=""/>
    <s v=""/>
    <x v="0"/>
    <s v="Rayssa Karapeticov"/>
    <x v="0"/>
    <s v=""/>
    <d v="2026-05-04T00:00:00"/>
    <n v="30"/>
    <s v=""/>
    <s v=""/>
    <s v=""/>
    <s v=""/>
    <n v="1"/>
  </r>
  <r>
    <x v="1"/>
    <n v="1155"/>
    <m/>
    <n v="3611"/>
    <s v="08:59, 29/04/2026 Junior Lopes: Olá Antonio , bom dia_x000a_09:00, 29/04/2026 Junior Lopes: Junior da Guarani sistemas por aqui_x000a_16:55, 04/05/2026 Junior Lopes: Olá Antonio ! Boa tarde"/>
    <s v=""/>
    <x v="630"/>
    <n v="8962163000167"/>
    <s v=""/>
    <s v="Antonio Rodriguez"/>
    <s v="31992924902"/>
    <s v=""/>
    <s v="ar@linexgel.com.br"/>
    <s v=""/>
    <s v=""/>
    <s v=""/>
    <s v=""/>
    <s v="Contagem"/>
    <s v="Inbound"/>
    <s v=""/>
    <s v=""/>
    <s v="Dentro Perfil;Instagram"/>
    <s v="Pipeline de Vendas"/>
    <s v="Qualificação de Vendas (SQL) (25%)"/>
    <s v=""/>
    <m/>
    <m/>
    <m/>
    <n v="21"/>
    <s v="Paulo Souza"/>
    <d v="2026-04-29T00:00:00"/>
    <d v="1899-12-30T07:31:11"/>
    <s v=""/>
    <s v="Ativo"/>
    <m/>
    <m/>
    <s v=""/>
    <s v=""/>
    <s v=""/>
    <x v="0"/>
    <s v="Junior Lopes"/>
    <x v="0"/>
    <s v=""/>
    <d v="2026-05-04T00:00:00"/>
    <n v="30"/>
    <s v=""/>
    <s v=""/>
    <s v=""/>
    <s v=""/>
    <n v="1"/>
  </r>
  <r>
    <x v="2"/>
    <n v="1156"/>
    <m/>
    <n v="3612"/>
    <s v=""/>
    <s v=""/>
    <x v="631"/>
    <n v="11513572000190"/>
    <s v=""/>
    <s v="Brsafe Comércio de Epis Ltda"/>
    <s v="43999150512"/>
    <s v=""/>
    <s v="comercial@brsafeepi.com.br"/>
    <s v=""/>
    <s v=""/>
    <s v=""/>
    <s v=""/>
    <s v="Arapongas"/>
    <s v="Inbound"/>
    <s v=""/>
    <s v=""/>
    <s v="Dentro Perfil;Instagram"/>
    <s v="Pipeline de Vendas"/>
    <s v="Qualificação de Vendas (SQL) (25%)"/>
    <s v=""/>
    <d v="2026-05-13T00:00:00"/>
    <m/>
    <m/>
    <n v="14"/>
    <s v="Paulo Souza"/>
    <d v="2026-04-29T00:00:00"/>
    <d v="1899-12-30T07:32:06"/>
    <s v=""/>
    <s v="Perdido"/>
    <d v="2026-05-13T00:00:00"/>
    <d v="1899-12-30T12:42:56"/>
    <s v="Sem qualificação — contato não atende ligações nem responde msg"/>
    <s v=""/>
    <s v=""/>
    <x v="0"/>
    <s v="Rayssa Karapeticov"/>
    <x v="0"/>
    <s v=""/>
    <d v="2026-05-04T00:00:00"/>
    <n v="30"/>
    <s v=""/>
    <s v=""/>
    <s v=""/>
    <s v=""/>
    <n v="1"/>
  </r>
  <r>
    <x v="1"/>
    <n v="1159"/>
    <m/>
    <n v="3692"/>
    <s v=""/>
    <s v=""/>
    <x v="632"/>
    <m/>
    <s v=""/>
    <s v="MDL (HOras)"/>
    <s v="11910695515"/>
    <s v=""/>
    <s v="janaina@mdlimport.com.br"/>
    <s v=""/>
    <s v=""/>
    <s v=""/>
    <s v=""/>
    <s v=""/>
    <s v=""/>
    <s v=""/>
    <s v=""/>
    <s v=""/>
    <s v="Pipeline de Vendas"/>
    <s v="Em Fechamento (100%)"/>
    <s v=""/>
    <m/>
    <n v="1485378"/>
    <n v="0"/>
    <n v="14"/>
    <s v="Junior Lopes"/>
    <d v="2026-04-30T00:00:00"/>
    <d v="1899-12-30T14:26:58"/>
    <s v=""/>
    <s v="Ganho"/>
    <d v="2026-05-14T00:00:00"/>
    <d v="1899-12-30T09:17:07"/>
    <s v=""/>
    <s v=""/>
    <s v=""/>
    <x v="212"/>
    <s v=""/>
    <x v="0"/>
    <s v=""/>
    <d v="2026-05-14T00:00:00"/>
    <n v="90"/>
    <s v=""/>
    <s v=""/>
    <s v=""/>
    <s v=""/>
    <n v="1"/>
  </r>
  <r>
    <x v="1"/>
    <n v="1160"/>
    <m/>
    <n v="3693"/>
    <s v="em contato com Dayane, vamos nos reunir na segunda feira dia 18/05"/>
    <s v=""/>
    <x v="633"/>
    <m/>
    <s v=""/>
    <s v="Tecelagem Castilho (E-commerce)"/>
    <s v="62993609476"/>
    <s v=""/>
    <s v="null"/>
    <s v=""/>
    <s v=""/>
    <s v=""/>
    <s v=""/>
    <s v=""/>
    <s v=""/>
    <s v=""/>
    <s v=""/>
    <s v=""/>
    <s v="Pipeline de Vendas"/>
    <s v="Em negociação (75%)"/>
    <s v=""/>
    <m/>
    <n v="4240"/>
    <n v="7128"/>
    <n v="20"/>
    <s v="Junior Lopes"/>
    <d v="2026-04-30T00:00:00"/>
    <d v="1899-12-30T14:36:01"/>
    <s v=""/>
    <s v="Ativo"/>
    <m/>
    <m/>
    <s v=""/>
    <s v=""/>
    <s v=""/>
    <x v="213"/>
    <s v=""/>
    <x v="234"/>
    <s v=""/>
    <d v="2026-05-18T00:00:00"/>
    <n v="50"/>
    <s v=""/>
    <s v=""/>
    <s v=""/>
    <s v=""/>
    <n v="1"/>
  </r>
  <r>
    <x v="1"/>
    <n v="1161"/>
    <m/>
    <n v="3694"/>
    <s v=""/>
    <s v=""/>
    <x v="634"/>
    <m/>
    <s v=""/>
    <s v="Logro Soft - Comex"/>
    <s v="3133780033"/>
    <s v=""/>
    <s v="supervisoroperacional@logrosoft.com.br"/>
    <s v=""/>
    <s v=""/>
    <s v=""/>
    <s v=""/>
    <s v=""/>
    <s v=""/>
    <s v=""/>
    <s v=""/>
    <s v=""/>
    <s v="Pipeline de Vendas"/>
    <s v="Em negociação (75%)"/>
    <s v=""/>
    <m/>
    <n v="6000"/>
    <n v="2000"/>
    <n v="0"/>
    <s v="Junior Lopes"/>
    <d v="2026-04-30T00:00:00"/>
    <d v="1899-12-30T14:59:00"/>
    <s v=""/>
    <s v="Perdido"/>
    <d v="2026-04-30T00:00:00"/>
    <d v="1899-12-30T15:41:47"/>
    <s v="Não houve aprovação financeira"/>
    <s v="dois pontos que o cliente usou para não seguir ! busca um ERP Mais simples e com valor ,ais em conta"/>
    <s v=""/>
    <x v="214"/>
    <s v=""/>
    <x v="231"/>
    <s v=""/>
    <m/>
    <n v="50"/>
    <s v=""/>
    <s v=""/>
    <s v=""/>
    <s v=""/>
    <n v="1"/>
  </r>
  <r>
    <x v="1"/>
    <n v="1162"/>
    <m/>
    <n v="3637"/>
    <s v="Todos os dados preenchidos:empresa: InfinitTec  name: Pedro Paulo cargo: Proprietário  whatsapp: 69981362005 email: adm@infinittec.com.br referrer: https://www.guaranisistemas.com.br/ _x000a_(04/05/2026) em busca sobre o lead ! _x000a_Infinitec é uma casa de software e controladoria financeira"/>
    <s v=""/>
    <x v="635"/>
    <m/>
    <s v=""/>
    <s v="Pedro Paulo"/>
    <s v=""/>
    <s v=""/>
    <s v="adm@infinittec.com.br"/>
    <s v=""/>
    <s v=""/>
    <s v=""/>
    <s v="Cacoal"/>
    <s v=""/>
    <s v="Inbound"/>
    <s v=""/>
    <s v=""/>
    <s v="Fora Perfil"/>
    <s v="Pipeline de Vendas"/>
    <s v="Agendamento (0%)"/>
    <s v=""/>
    <m/>
    <m/>
    <m/>
    <n v="0"/>
    <s v="Paulo Souza"/>
    <d v="2026-05-04T00:00:00"/>
    <d v="1899-12-30T08:07:13"/>
    <s v=""/>
    <s v="Perdido"/>
    <d v="2026-05-04T00:00:00"/>
    <d v="1899-12-30T09:31:01"/>
    <s v="Fora do porte mínimo (sem fit estrutural)"/>
    <s v="casa de software"/>
    <s v=""/>
    <x v="0"/>
    <s v="Junior Lopes"/>
    <x v="0"/>
    <s v=""/>
    <m/>
    <n v="30"/>
    <s v=""/>
    <s v=""/>
    <s v=""/>
    <s v=""/>
    <n v="1"/>
  </r>
  <r>
    <x v="3"/>
    <n v="1163"/>
    <m/>
    <n v="3638"/>
    <s v="Falei com o Chico: a empresa (atacado) possui 4 lojas e está prestes a inaugurar uma nova filial. Conta com 110 colaboradores (incluindo a equipe interna de vendas/televendas) e 6 representantes comerciais. Atualmente utiliza o sistema RP ERP e demonstrou interesse em conhecer novas opções. Também solicitou referências de clientes da região._x000a_Apresentação agendada para 11/05 às 10h._x000a_(18/05) Enviado msg para Chico a fim de agendar um bate-papo."/>
    <s v=""/>
    <x v="636"/>
    <n v="42263870000101"/>
    <s v=""/>
    <s v="eficaz atacadao da limpeza"/>
    <s v="(67) 9895-2961"/>
    <s v=""/>
    <s v="gerentedevendas@eficazatacadaodalimpeza.com.br"/>
    <s v=""/>
    <s v=""/>
    <s v=""/>
    <s v="CAMPO GRANDE"/>
    <s v="MS"/>
    <s v="Campanha"/>
    <s v=""/>
    <s v=""/>
    <s v="Dentro Perfil;Instagram"/>
    <s v="Pipeline de Vendas"/>
    <s v="Qualificação de Vendas (SQL) (25%)"/>
    <s v=""/>
    <m/>
    <m/>
    <m/>
    <n v="16"/>
    <s v="Paulo Souza"/>
    <d v="2026-05-04T00:00:00"/>
    <d v="1899-12-30T08:10:13"/>
    <s v=""/>
    <s v="Ativo"/>
    <m/>
    <m/>
    <s v=""/>
    <s v=""/>
    <s v=""/>
    <x v="0"/>
    <s v="Ronaldo Nascimento"/>
    <x v="0"/>
    <s v=""/>
    <m/>
    <n v="30"/>
    <s v=""/>
    <s v="AFV, ERP"/>
    <s v=""/>
    <s v=""/>
    <n v="1"/>
  </r>
  <r>
    <x v="2"/>
    <n v="1164"/>
    <m/>
    <n v="3695"/>
    <s v=""/>
    <s v=""/>
    <x v="637"/>
    <n v="64508464000196"/>
    <s v=""/>
    <s v="Shirley"/>
    <s v="41998464626"/>
    <s v=""/>
    <s v="zahrahcezar@gmail.com"/>
    <s v=""/>
    <s v=""/>
    <s v=""/>
    <s v="PIRAQUARA"/>
    <s v="PR"/>
    <s v="Campanha"/>
    <s v=""/>
    <s v=""/>
    <s v="Fora Perfil;Instagram"/>
    <s v="Pipeline de Vendas"/>
    <s v="Qualificação de Vendas (SQL) (25%)"/>
    <s v=""/>
    <m/>
    <m/>
    <m/>
    <n v="4"/>
    <s v="Paulo Souza"/>
    <d v="2026-05-04T00:00:00"/>
    <d v="1899-12-30T08:11:30"/>
    <s v=""/>
    <s v="Perdido"/>
    <d v="2026-05-08T00:00:00"/>
    <d v="1899-12-30T10:31:28"/>
    <s v="Fora do porte mínimo (sem fit estrutural)"/>
    <s v=""/>
    <s v=""/>
    <x v="0"/>
    <s v="Rayssa Karapeticov"/>
    <x v="0"/>
    <s v=""/>
    <d v="2026-05-08T00:00:00"/>
    <n v="31"/>
    <s v=""/>
    <s v=""/>
    <s v=""/>
    <s v=""/>
    <n v="1"/>
  </r>
  <r>
    <x v="1"/>
    <n v="1165"/>
    <m/>
    <n v="3698"/>
    <s v=""/>
    <s v=""/>
    <x v="638"/>
    <n v="15725079000195"/>
    <s v=""/>
    <s v="Edu Autoparts"/>
    <s v="8196028924"/>
    <s v=""/>
    <s v="eduardo@edusomautoparts.com.br"/>
    <s v=""/>
    <s v=""/>
    <s v=""/>
    <s v=""/>
    <s v=""/>
    <s v="Campanha"/>
    <s v=""/>
    <s v=""/>
    <s v="Dentro Perfil;Instagram"/>
    <s v="Pipeline de Vendas"/>
    <s v="Qualificação de Vendas (SQL) (25%)"/>
    <s v=""/>
    <m/>
    <m/>
    <m/>
    <n v="10"/>
    <s v="Paulo Souza"/>
    <d v="2026-05-04T00:00:00"/>
    <d v="1899-12-30T08:13:17"/>
    <s v=""/>
    <s v="Perdido"/>
    <d v="2026-05-14T00:00:00"/>
    <d v="1899-12-30T11:31:32"/>
    <s v="Sem qualificação — contato não atende ligações nem responde msg"/>
    <s v="(14/05/2026) cliente não responde aos contatos"/>
    <s v=""/>
    <x v="0"/>
    <s v="Junior Lopes"/>
    <x v="0"/>
    <s v=""/>
    <d v="2026-05-14T00:00:00"/>
    <n v="28"/>
    <s v=""/>
    <s v=""/>
    <s v=""/>
    <s v=""/>
    <n v="1"/>
  </r>
  <r>
    <x v="3"/>
    <n v="1166"/>
    <m/>
    <n v="3699"/>
    <s v="(04/05) Falei com o Leandro. A empresa utiliza o ERP Excellent Sistemas, mas ele relatou insatisfação principalmente nos módulos de compras e controle de estoque. Está em busca de um sistema mais completo._x000a_Solicitou que eu envie mais informações pelo WhatsApp para, em seguida, agendarmos uma reunião._x000a_Atualmente, a equipe conta com 3 representantes e 3 vendedores internos._x000a_(11/05) Enviado e-mail ao Leandro com informações sobre nossas soluções e possíveis ganhos operacionais nas áreas de compras e controle de estoque. Aguardando retorno para agendamento da apresentação._x000a_(18/05) Enviado WhatsApp para Leandro a fim de agendarmos uma apresentação."/>
    <s v=""/>
    <x v="639"/>
    <m/>
    <s v=""/>
    <s v="Bornia Metais Ltda."/>
    <s v="44991022838"/>
    <s v=""/>
    <s v="gallo.bornia@hotmail.com"/>
    <s v=""/>
    <s v=""/>
    <s v=""/>
    <s v=""/>
    <s v=""/>
    <s v="Campanha"/>
    <s v=""/>
    <s v=""/>
    <s v="Dentro Perfil;Instagram"/>
    <s v="Pipeline de Vendas"/>
    <s v="Qualificação de Vendas (SQL) (25%)"/>
    <s v=""/>
    <m/>
    <m/>
    <m/>
    <n v="16"/>
    <s v="Paulo Souza"/>
    <d v="2026-05-04T00:00:00"/>
    <d v="1899-12-30T08:14:23"/>
    <s v=""/>
    <s v="Ativo"/>
    <m/>
    <m/>
    <s v=""/>
    <s v=""/>
    <s v=""/>
    <x v="0"/>
    <s v="Ronaldo Nascimento"/>
    <x v="0"/>
    <s v=""/>
    <d v="2026-05-11T00:00:00"/>
    <n v="30"/>
    <s v=""/>
    <s v=""/>
    <s v=""/>
    <s v=""/>
    <n v="1"/>
  </r>
  <r>
    <x v="2"/>
    <n v="1167"/>
    <m/>
    <n v="3700"/>
    <s v=""/>
    <s v=""/>
    <x v="640"/>
    <m/>
    <s v=""/>
    <s v="Proprietario"/>
    <s v="5591420014"/>
    <s v=""/>
    <s v="lucasmaslonik@hotmail.com"/>
    <s v=""/>
    <s v=""/>
    <s v=""/>
    <s v=""/>
    <s v=""/>
    <s v="Campanha"/>
    <s v=""/>
    <s v=""/>
    <s v="Fora Perfil;Instagram"/>
    <s v="Pipeline de Vendas"/>
    <s v="Qualificação de Vendas (SQL) (25%)"/>
    <s v=""/>
    <m/>
    <m/>
    <m/>
    <n v="4"/>
    <s v="Paulo Souza"/>
    <d v="2026-05-04T00:00:00"/>
    <d v="1899-12-30T08:15:36"/>
    <s v=""/>
    <s v="Perdido"/>
    <d v="2026-05-08T00:00:00"/>
    <d v="1899-12-30T10:29:39"/>
    <s v="Fora do porte mínimo (sem fit estrutural)"/>
    <s v=""/>
    <s v=""/>
    <x v="0"/>
    <s v="Rayssa Karapeticov"/>
    <x v="0"/>
    <s v=""/>
    <d v="2026-05-08T00:00:00"/>
    <n v="30"/>
    <s v=""/>
    <s v=""/>
    <s v=""/>
    <s v=""/>
    <n v="1"/>
  </r>
  <r>
    <x v="2"/>
    <n v="1168"/>
    <m/>
    <n v="3701"/>
    <s v=""/>
    <s v=""/>
    <x v="641"/>
    <m/>
    <s v=""/>
    <s v="BC"/>
    <s v="14999125373"/>
    <s v=""/>
    <s v="jeruzamocluciano@gmail.com"/>
    <s v=""/>
    <s v=""/>
    <s v=""/>
    <s v=""/>
    <s v=""/>
    <s v="Campanha"/>
    <s v=""/>
    <s v=""/>
    <s v="Dentro Perfil;Instagram"/>
    <s v="Pipeline de Vendas"/>
    <s v="Agendamento (0%)"/>
    <s v=""/>
    <m/>
    <m/>
    <m/>
    <n v="5"/>
    <s v="Paulo Souza"/>
    <d v="2026-05-04T00:00:00"/>
    <d v="1899-12-30T08:16:29"/>
    <s v=""/>
    <s v="Perdido"/>
    <d v="2026-05-09T00:00:00"/>
    <d v="1899-12-30T08:46:59"/>
    <s v="Inválido - empresa não existe / dados errados"/>
    <s v=""/>
    <s v=""/>
    <x v="0"/>
    <s v="Rayssa Karapeticov"/>
    <x v="0"/>
    <s v=""/>
    <m/>
    <n v="30"/>
    <s v=""/>
    <s v=""/>
    <s v=""/>
    <s v=""/>
    <n v="1"/>
  </r>
  <r>
    <x v="1"/>
    <n v="1169"/>
    <m/>
    <n v="3702"/>
    <s v="(04/05/2026) em ligação com Paulo Rosa , _x000a_atualmente usa ERP https://www.etoerp.com.br/_x000a_atualmente esta com dificuldade com PCP em controlar insumos para produção ! esto8u enviando material via e -mail para logo seguirmos com apresentação _x000a_(15/05/2026) após envio de material não obtive mais retorno do Paulo"/>
    <s v=""/>
    <x v="642"/>
    <n v="29795322000156"/>
    <s v=""/>
    <s v="Presystem Projetos e Sistemas Eletrônicos"/>
    <s v="(11) 2031-1273"/>
    <s v=""/>
    <s v="contato@bepcontabilidade.com"/>
    <s v=""/>
    <s v=""/>
    <s v=""/>
    <s v="SAO PAULO"/>
    <s v="SP"/>
    <s v="Campanha"/>
    <s v=""/>
    <s v=""/>
    <s v="Dentro Perfil;Instagram"/>
    <s v="Pipeline de Vendas"/>
    <s v="Qualificação de Vendas (SQL) (25%)"/>
    <s v=""/>
    <m/>
    <m/>
    <m/>
    <n v="11"/>
    <s v="Paulo Souza"/>
    <d v="2026-05-04T00:00:00"/>
    <d v="1899-12-30T08:18:58"/>
    <s v=""/>
    <s v="Perdido"/>
    <d v="2026-05-15T00:00:00"/>
    <d v="1899-12-30T16:29:44"/>
    <s v="Sem qualificação — contato não atende ligações nem responde msg"/>
    <s v="no dia 05/05 cheguei a falar com Paulo, porem após envio do material e esboço de investimento  nao tive mais retorno"/>
    <s v=""/>
    <x v="0"/>
    <s v="Junior Lopes"/>
    <x v="0"/>
    <s v=""/>
    <d v="2026-05-15T00:00:00"/>
    <n v="31"/>
    <s v=""/>
    <s v=""/>
    <s v=""/>
    <s v=""/>
    <n v="1"/>
  </r>
  <r>
    <x v="1"/>
    <n v="1170"/>
    <m/>
    <n v="3704"/>
    <s v="Oi_x000a_hj sou socio na magnus transformadores_x000a_cnpj 27.569.814/0001-06_x000a_utilizamos um erp da empresa unicode_x000a_vou iniciar uma nova empresa de forma individual com a mesma atividade fabricação de transformadores_x000a_preciso de um sistema para gerir todas as estapas do processo da empresa_x000a_vendas, compras, produção, financeiro_x000a_(15/05/2026) depois da ultima conversa com Raul , dei um esboço do investimento logo não tivemos mais retorno"/>
    <s v=""/>
    <x v="643"/>
    <m/>
    <s v=""/>
    <s v="Ivan Edson Dias"/>
    <s v="(11) 95811-0104"/>
    <s v=""/>
    <s v="ivanedson77@gmail.com"/>
    <s v=""/>
    <s v=""/>
    <s v=""/>
    <s v="São Paulo"/>
    <s v=""/>
    <s v="Site"/>
    <s v=""/>
    <s v=""/>
    <s v="Dentro Perfil;Solicita demo"/>
    <s v="Pipeline de Vendas"/>
    <s v="Qualificação de Vendas (SQL) (25%)"/>
    <s v=""/>
    <m/>
    <m/>
    <m/>
    <n v="11"/>
    <s v="Paulo Souza"/>
    <d v="2026-05-04T00:00:00"/>
    <d v="1899-12-30T08:20:31"/>
    <s v=""/>
    <s v="Perdido"/>
    <d v="2026-05-15T00:00:00"/>
    <d v="1899-12-30T16:22:29"/>
    <s v="Não houve aprovação financeira"/>
    <s v="(15/05/2026) depois da ultima conversa com Ivan , dei um esboço do investimento logo não tivemos mais retorno"/>
    <s v=""/>
    <x v="0"/>
    <s v="Junior Lopes"/>
    <x v="0"/>
    <s v=""/>
    <d v="2026-05-15T00:00:00"/>
    <n v="30"/>
    <s v=""/>
    <s v=""/>
    <s v=""/>
    <s v=""/>
    <n v="1"/>
  </r>
  <r>
    <x v="3"/>
    <n v="1171"/>
    <m/>
    <n v="3705"/>
    <s v="(04/05) Realizado ligação, porém, caiu na caixa postal. Enviado msg por WhatsApp._x000a_(11/05) Enviado WhatsApp para Raimundo com o objetivo de verificar o melhor horário para realizar contato telefônico."/>
    <s v=""/>
    <x v="644"/>
    <m/>
    <s v=""/>
    <s v="Ellform"/>
    <s v="7187881309"/>
    <s v=""/>
    <s v="racoelhoneto@hotmail.com"/>
    <s v=""/>
    <s v=""/>
    <s v=""/>
    <s v=""/>
    <s v=""/>
    <s v="Campanha"/>
    <s v=""/>
    <s v=""/>
    <s v="Dentro Perfil;Instagram"/>
    <s v="Pipeline de Vendas"/>
    <s v="Qualificação de Vendas (SQL) (25%)"/>
    <s v=""/>
    <m/>
    <m/>
    <m/>
    <n v="14"/>
    <s v="Paulo Souza"/>
    <d v="2026-05-04T00:00:00"/>
    <d v="1899-12-30T08:21:13"/>
    <s v=""/>
    <s v="Perdido"/>
    <d v="2026-05-18T00:00:00"/>
    <d v="1899-12-30T09:31:54"/>
    <s v="Sem qualificação — contato não atende ligações nem responde msg"/>
    <s v="(18/05) Raimundo não retornou meus contatos. Enviei uma mensagem encerrando o atendimento no momento, mas deixei meu contato à disposição para um possível retorno futuro."/>
    <s v=""/>
    <x v="0"/>
    <s v="Ronaldo Nascimento"/>
    <x v="0"/>
    <s v=""/>
    <d v="2026-05-11T00:00:00"/>
    <n v="30"/>
    <s v=""/>
    <s v=""/>
    <s v=""/>
    <s v=""/>
    <n v="1"/>
  </r>
  <r>
    <x v="3"/>
    <n v="1172"/>
    <m/>
    <n v="3706"/>
    <s v="(04/05) Realizado ligação, porém, caiu na caixa postal. Enviado msg por WhatsApp._x000a_(11/05) Enviado WhatsApp para Márcio com o objetivo de verificar o melhor horário para realizar contato telefônico._x000a_(18/05) Tentei contato novamente com Márcio, porém, sem sucesso (Ligação e WhatsApp). Enviado e-mail antes de perder o negócio."/>
    <s v=""/>
    <x v="645"/>
    <n v="32268865000391"/>
    <s v=""/>
    <s v="Morefix"/>
    <s v="19991043105"/>
    <s v=""/>
    <s v="marcio.soares@morefix.com.br"/>
    <s v=""/>
    <s v=""/>
    <s v=""/>
    <s v=""/>
    <s v=""/>
    <s v="Campanha"/>
    <s v=""/>
    <s v=""/>
    <s v="Dentro Perfil;Instagram"/>
    <s v="Pipeline de Vendas"/>
    <s v="Qualificação de Vendas (SQL) (25%)"/>
    <s v=""/>
    <m/>
    <m/>
    <m/>
    <n v="16"/>
    <s v="Paulo Souza"/>
    <d v="2026-05-04T00:00:00"/>
    <d v="1899-12-30T08:22:02"/>
    <s v=""/>
    <s v="Ativo"/>
    <m/>
    <m/>
    <s v=""/>
    <s v=""/>
    <s v=""/>
    <x v="0"/>
    <s v="Ronaldo Nascimento"/>
    <x v="0"/>
    <s v=""/>
    <d v="2026-05-11T00:00:00"/>
    <n v="30"/>
    <s v=""/>
    <s v=""/>
    <s v=""/>
    <s v=""/>
    <n v="1"/>
  </r>
  <r>
    <x v="1"/>
    <n v="1173"/>
    <m/>
    <n v="3707"/>
    <s v="(04/05/2026) tentativa de ligação ! porem numero somente WhatsApp_x000a_(04/05/2026) em contato com Sérgio ! _x000a_em ligação se identificou e já foi cliente Guarani na oportunidade migrou para Winthor ! _x000a_pediu uma ideia de investimento para entender sobre uma eventual mudança ! estou batalhando para nos reunirmos para uma breve apresentação _x000a_Tentativa de contato : _x000a_ 14:51, 04/05/2026 Junior Lopes: Olá Sérgio ! Boa tarde_x000a_14:51, 04/05/2026 Junior Lopes: Junior da Guarani sistemas por aqui ! Td bem ?_x000a_(15/05/2026) tentaiva de ligação não atendia com Sérgio, a ideia é fazer apresentação"/>
    <s v=""/>
    <x v="646"/>
    <n v="1784943000115"/>
    <s v=""/>
    <s v="Astrum Distribuidora"/>
    <s v="38988234018"/>
    <s v=""/>
    <s v="sergio@resendesantos.com.br"/>
    <s v=""/>
    <s v=""/>
    <s v=""/>
    <s v=""/>
    <s v="Montes Claros"/>
    <s v="Inbound"/>
    <s v=""/>
    <s v=""/>
    <s v="Dentro Perfil;Instagram"/>
    <s v="Pipeline de Vendas"/>
    <s v="Qualificação de Vendas (SQL) (25%)"/>
    <s v=""/>
    <m/>
    <m/>
    <m/>
    <n v="16"/>
    <s v="Paulo Souza"/>
    <d v="2026-05-04T00:00:00"/>
    <d v="1899-12-30T08:23:02"/>
    <s v=""/>
    <s v="Ativo"/>
    <m/>
    <m/>
    <s v=""/>
    <s v=""/>
    <s v=""/>
    <x v="0"/>
    <s v="Junior Lopes"/>
    <x v="0"/>
    <s v=""/>
    <d v="2026-05-15T00:00:00"/>
    <n v="30"/>
    <s v=""/>
    <s v=""/>
    <s v=""/>
    <s v=""/>
    <n v="1"/>
  </r>
  <r>
    <x v="3"/>
    <n v="1174"/>
    <m/>
    <n v="3708"/>
    <s v="(04/05) Entrei em contato e falei com Luis. Informou que João estará na empresa à partir das 16h, pediu para retornar neste horário._x000a_(06/05) Entrei em contato com o Luis, que solicitou o envio das informações por e-mail ao João. Ficou combinado retorno amanhã às 11h30._x000a_(11/05) Realizada nova tentativa de contato com João, porém sem sucesso. Enviado e-mail com o objetivo de agendar um bate-papo para apresentação das soluções._x000a_(18/05) Como não tive retorno (ligação), enviado e-mail para João antes de perder o negócio."/>
    <s v=""/>
    <x v="647"/>
    <n v="10667844000144"/>
    <s v=""/>
    <s v="ferragens renova"/>
    <s v="5134904475"/>
    <s v=""/>
    <s v="diretoria@ferragensrenova.com.br"/>
    <s v=""/>
    <s v=""/>
    <s v=""/>
    <s v=""/>
    <s v=""/>
    <s v="Campanha"/>
    <s v=""/>
    <s v=""/>
    <s v="Dentro Perfil;Instagram"/>
    <s v="Pipeline de Vendas"/>
    <s v="Qualificação de Vendas (SQL) (25%)"/>
    <s v=""/>
    <m/>
    <m/>
    <m/>
    <n v="16"/>
    <s v="Paulo Souza"/>
    <d v="2026-05-04T00:00:00"/>
    <d v="1899-12-30T08:23:51"/>
    <s v=""/>
    <s v="Ativo"/>
    <m/>
    <m/>
    <s v=""/>
    <s v=""/>
    <s v=""/>
    <x v="0"/>
    <s v="Ronaldo Nascimento"/>
    <x v="0"/>
    <s v=""/>
    <d v="2026-05-11T00:00:00"/>
    <n v="30"/>
    <s v=""/>
    <s v=""/>
    <s v=""/>
    <s v=""/>
    <n v="1"/>
  </r>
  <r>
    <x v="3"/>
    <n v="1175"/>
    <n v="213"/>
    <n v="3714"/>
    <s v="(04/05) Falei com o Thiago: ele está em fechamento e com dois colaboradores do administrativo em férias. Após essa semana, irá verificar uma agenda para conversarmos. Retornar na segunda-feira._x000a_(11/05) Enviado msg para Thiago a fim de agendar um bate-papo."/>
    <s v=""/>
    <x v="648"/>
    <n v="3670607000177"/>
    <s v="RV DISTRIBUIDORA DE GENEROS ALIMENTICIOS LTDA"/>
    <s v="Thiago Barbosa"/>
    <s v="(16) 98127-4870"/>
    <s v="16981274870"/>
    <s v="rvdistribuidora123@gmail.com"/>
    <s v="Matriz"/>
    <s v=""/>
    <s v="AV LUIZ ALFREDO DE MELO ROSA 460"/>
    <s v="IBATE"/>
    <s v="SP"/>
    <s v="Outbound"/>
    <s v="Outbound"/>
    <s v=""/>
    <s v="Dentro Perfil"/>
    <s v="Pipeline de Vendas"/>
    <s v="Qualificação de Vendas (SQL) (25%)"/>
    <s v=""/>
    <m/>
    <m/>
    <m/>
    <n v="16"/>
    <s v="Paulo Souza"/>
    <d v="2026-05-04T00:00:00"/>
    <d v="1899-12-30T08:43:59"/>
    <s v=""/>
    <s v="Ativo"/>
    <m/>
    <m/>
    <s v=""/>
    <s v=""/>
    <s v=""/>
    <x v="0"/>
    <s v="Ronaldo Nascimento"/>
    <x v="0"/>
    <s v=""/>
    <d v="2026-05-11T00:00:00"/>
    <n v="30"/>
    <s v=""/>
    <s v=""/>
    <s v=""/>
    <s v=""/>
    <n v="1"/>
  </r>
  <r>
    <x v="2"/>
    <n v="1176"/>
    <m/>
    <n v="3716"/>
    <s v=""/>
    <s v=""/>
    <x v="649"/>
    <n v="52696640000181"/>
    <s v=""/>
    <s v="Aparecido Ribeiro Molina Junior"/>
    <s v="(19) 99788-2241"/>
    <s v=""/>
    <s v="gerencia@grupogadulog.com.br"/>
    <s v=""/>
    <s v=""/>
    <s v=""/>
    <s v="DESCALVADO"/>
    <s v="SP"/>
    <s v="Site"/>
    <s v=""/>
    <s v=""/>
    <s v="Fora Perfil;Solicita demo"/>
    <s v="Pipeline de Vendas"/>
    <s v="Qualificação de Vendas (SQL) (25%)"/>
    <s v=""/>
    <m/>
    <m/>
    <m/>
    <n v="4"/>
    <s v="Paulo Souza"/>
    <d v="2026-05-04T00:00:00"/>
    <d v="1899-12-30T15:45:58"/>
    <s v=""/>
    <s v="Perdido"/>
    <d v="2026-05-08T00:00:00"/>
    <d v="1899-12-30T12:09:14"/>
    <s v="Fora do porte mínimo (sem fit estrutural)"/>
    <s v=""/>
    <s v=""/>
    <x v="0"/>
    <s v="Rayssa Karapeticov"/>
    <x v="0"/>
    <s v=""/>
    <d v="2026-05-05T00:00:00"/>
    <n v="30"/>
    <s v=""/>
    <s v=""/>
    <s v=""/>
    <s v=""/>
    <n v="1"/>
  </r>
  <r>
    <x v="1"/>
    <n v="1177"/>
    <m/>
    <n v="3732"/>
    <s v=""/>
    <s v=""/>
    <x v="650"/>
    <n v="36356922000183"/>
    <s v=""/>
    <s v="Istok comércio"/>
    <s v="(11) 2361-7746"/>
    <s v=""/>
    <s v="diogo.contabilidade@yahoo.com.br"/>
    <s v=""/>
    <s v=""/>
    <s v=""/>
    <s v="SAO PAULO"/>
    <s v="SP"/>
    <s v=""/>
    <s v=""/>
    <s v=""/>
    <s v=""/>
    <s v="Pipeline de Vendas"/>
    <s v="Em Fechamento (100%)"/>
    <s v=""/>
    <m/>
    <n v="694512"/>
    <n v="201348"/>
    <n v="14"/>
    <s v="Junior Lopes"/>
    <d v="2026-05-05T00:00:00"/>
    <d v="1899-12-30T16:57:12"/>
    <s v=""/>
    <s v="Ganho"/>
    <d v="2026-05-19T00:00:00"/>
    <d v="1899-12-30T14:28:32"/>
    <s v=""/>
    <s v=""/>
    <s v=""/>
    <x v="215"/>
    <s v=""/>
    <x v="235"/>
    <s v="12/05/2026"/>
    <m/>
    <n v="50"/>
    <s v=""/>
    <s v=""/>
    <s v=""/>
    <s v=""/>
    <n v="1"/>
  </r>
  <r>
    <x v="3"/>
    <n v="1178"/>
    <n v="263"/>
    <n v="3734"/>
    <s v="(11/05) Enviada nova mensagem via LinkedIn para Rodrigo Buzinari. Em 05/05, também foi encaminhado e-mail para Rodrigo Furtado (diretor)._x000a_(18/05) Enviado e-mail para Rodrigo, antes de perder o negócio."/>
    <s v=""/>
    <x v="651"/>
    <n v="20718183000192"/>
    <s v="PETIKO COMERCIO E DISTRIBUICAO DE PRODUTOS PET S.A"/>
    <s v="Rodrigo José Buzinari"/>
    <s v="(16) 33712-3681"/>
    <s v=""/>
    <s v="eucuidoparavoce@doutorcontabil.com.br"/>
    <s v="Matriz"/>
    <s v=""/>
    <s v="R FRANCISCO MARICONDI 254"/>
    <s v="SAO CARLOS"/>
    <s v="SP"/>
    <s v=""/>
    <s v=""/>
    <s v=""/>
    <s v="Dentro Perfil"/>
    <s v="Pipeline de Vendas"/>
    <s v="Qualificação de Vendas (SQL) (25%)"/>
    <s v=""/>
    <m/>
    <m/>
    <m/>
    <n v="15"/>
    <s v="Ronaldo Nascimento"/>
    <d v="2026-05-05T00:00:00"/>
    <d v="1899-12-30T17:25:14"/>
    <s v=""/>
    <s v="Ativo"/>
    <m/>
    <m/>
    <s v=""/>
    <s v=""/>
    <s v=""/>
    <x v="0"/>
    <s v=""/>
    <x v="0"/>
    <s v=""/>
    <d v="2026-05-11T00:00:00"/>
    <n v="30"/>
    <s v=""/>
    <s v=""/>
    <s v=""/>
    <s v=""/>
    <n v="1"/>
  </r>
  <r>
    <x v="3"/>
    <n v="1179"/>
    <m/>
    <n v="3735"/>
    <s v="(06/05) Realizei contato telefônico com Lucianei, que informou não poder falar no momento e que retornaria assim que possível. Também enviei mensagem via WhatsApp para acompanhamento._x000a_(07/05) Realizo novo contato por WhatsApp. (Telefone deu caixa portal)_x000a_(11/05) Realizada nova tentativa de contato com Luciane, porém sem sucesso. Enviada nova mensagem via WhatsApp._x000a_(18/05) Luciane não retornou meus contatos. Enviei uma mensagem encerrando o atendimento no momento, mas deixei meu contato à disposição para um possível retorno futuro."/>
    <s v=""/>
    <x v="652"/>
    <m/>
    <s v=""/>
    <s v="Querosmais"/>
    <s v="41988659245"/>
    <s v=""/>
    <s v="querosmais@ig.com.br"/>
    <s v=""/>
    <s v=""/>
    <s v=""/>
    <s v=""/>
    <s v=""/>
    <s v="Campanha"/>
    <s v=""/>
    <s v=""/>
    <s v="Dentro Perfil;Instagram"/>
    <s v="Pipeline de Vendas"/>
    <s v="Qualificação de Vendas (SQL) (25%)"/>
    <s v=""/>
    <m/>
    <m/>
    <m/>
    <n v="12"/>
    <s v="Paulo Souza"/>
    <d v="2026-05-06T00:00:00"/>
    <d v="1899-12-30T03:15:00"/>
    <s v=""/>
    <s v="Perdido"/>
    <d v="2026-05-18T00:00:00"/>
    <d v="1899-12-30T10:08:21"/>
    <s v="Sem qualificação — contato não atende ligações nem responde msg"/>
    <s v="(18/05) Luciane não retornou meus contatos. Enviei uma mensagem encerrando o atendimento no momento, mas deixei meu contato à disposição para um possível retorno futuro."/>
    <s v=""/>
    <x v="0"/>
    <s v="Ronaldo Nascimento"/>
    <x v="0"/>
    <s v=""/>
    <d v="2026-05-11T00:00:00"/>
    <n v="30"/>
    <s v=""/>
    <s v=""/>
    <s v=""/>
    <s v=""/>
    <n v="1"/>
  </r>
  <r>
    <x v="3"/>
    <n v="1180"/>
    <m/>
    <n v="3718"/>
    <s v="(06/05) Realizei contato telefônico com Marcelo. A empresa utiliza o sistema Sankhya e demonstrou insatisfação. Possuem vendedores internos e representantes comerciais. Apresentação agendada para quinta-feira (07/05), às 15h._x000a_(07/05) Realizada apresentação para o Marcelo. A reunião foi conduzida pelo Paulo, eu acompanhei._x000a_O projeto contempla aproximadamente 13 usuários entre ERP e AFV. Foi enviado o formulário para preenchimento e, posteriormente, será realizada a emissão da proposta._x000a_Obs.: Marcelo está ciente das horas de implantação._x000a_(14/05) Enviado WhatsApp para Marcelo solicitando um retorno sobre a proposta apresentada."/>
    <s v=""/>
    <x v="653"/>
    <n v="4184739000151"/>
    <s v=""/>
    <s v="Fikssar distribuidora LTDA"/>
    <s v="34996787403"/>
    <s v=""/>
    <s v="marcelojsilva@fikssar.com.br"/>
    <s v=""/>
    <s v=""/>
    <s v=""/>
    <s v=""/>
    <s v="Patos  de Minas"/>
    <s v="Inbound"/>
    <s v=""/>
    <s v=""/>
    <s v="Dentro Perfil;Instagram"/>
    <s v="Pipeline de Vendas"/>
    <s v="Em negociação (75%)"/>
    <s v=""/>
    <m/>
    <n v="8585802"/>
    <m/>
    <n v="14"/>
    <s v="Paulo Souza"/>
    <d v="2026-05-06T00:00:00"/>
    <d v="1899-12-30T03:16:48"/>
    <s v=""/>
    <s v="Ativo"/>
    <m/>
    <m/>
    <s v=""/>
    <s v=""/>
    <s v=""/>
    <x v="215"/>
    <s v="Ronaldo Nascimento"/>
    <x v="236"/>
    <s v=""/>
    <d v="2026-05-12T00:00:00"/>
    <n v="50"/>
    <s v=""/>
    <s v="AFV, ERP"/>
    <s v=""/>
    <s v=""/>
    <n v="1"/>
  </r>
  <r>
    <x v="3"/>
    <n v="1181"/>
    <m/>
    <n v="3720"/>
    <s v="(06/05) Tentei contato telefônico, porém a chamada foi direcionada para a caixa postal. Enviei mensagem via WhatsApp para identificar o melhor horário para retorno da ligação._x000a_(07/05) Johnny retornou a mensagem informando que estava em viagem, cuidando da saúde do pai, e que nesta semana não seria possível falarmos. Disse que na próxima semana entrará em contato. Caso isso não ocorra, realizar novo contato._x000a_(18/05) Enviado nova msg para Johnny a fim de verificar melhor horário para ligação."/>
    <s v=""/>
    <x v="654"/>
    <m/>
    <s v=""/>
    <s v="Krieger ind e com fé madeiras"/>
    <s v="66984172640"/>
    <s v=""/>
    <s v="kriegermadeiraspga@gmail.com"/>
    <s v=""/>
    <s v=""/>
    <s v=""/>
    <s v=""/>
    <s v="Porto dos Gaúchos MT"/>
    <s v="Inbound"/>
    <s v=""/>
    <s v=""/>
    <s v="Dentro Perfil;Instagram"/>
    <s v="Pipeline de Vendas"/>
    <s v="Qualificação de Vendas (SQL) (25%)"/>
    <s v=""/>
    <m/>
    <m/>
    <m/>
    <n v="14"/>
    <s v="Paulo Souza"/>
    <d v="2026-05-06T00:00:00"/>
    <d v="1899-12-30T03:17:57"/>
    <s v=""/>
    <s v="Ativo"/>
    <m/>
    <m/>
    <s v=""/>
    <s v=""/>
    <s v=""/>
    <x v="0"/>
    <s v="Ronaldo Nascimento"/>
    <x v="0"/>
    <s v=""/>
    <m/>
    <n v="30"/>
    <s v=""/>
    <s v=""/>
    <s v=""/>
    <s v=""/>
    <n v="1"/>
  </r>
  <r>
    <x v="3"/>
    <n v="1184"/>
    <m/>
    <n v="3737"/>
    <s v="(07/05) Tentei contato telefônico, porém sem sucesso. Foi enviado WhatsApp para Tiago, com o objetivo de verificar o melhor horário para conversarmos."/>
    <s v=""/>
    <x v="655"/>
    <m/>
    <s v=""/>
    <s v="Tiago sandavid"/>
    <s v="93991009174"/>
    <s v=""/>
    <s v="souzamaia2010@hotmail.com"/>
    <s v=""/>
    <s v=""/>
    <s v=""/>
    <s v=""/>
    <s v=""/>
    <s v="Campanha"/>
    <s v=""/>
    <s v=""/>
    <s v="Fora Perfil;Instagram"/>
    <s v="Pipeline de Vendas"/>
    <s v="Qualificação de Vendas (SQL) (25%)"/>
    <s v=""/>
    <m/>
    <m/>
    <m/>
    <n v="0"/>
    <s v="Paulo Souza"/>
    <d v="2026-05-07T00:00:00"/>
    <d v="1899-12-30T08:39:53"/>
    <s v=""/>
    <s v="Perdido"/>
    <d v="2026-05-07T00:00:00"/>
    <d v="1899-12-30T14:21:16"/>
    <s v="Fora do porte mínimo (sem fit estrutural)"/>
    <s v="Empresa de pequeno porte, com 3 vendedores internos._x000a_Atualmente utilizam o sistema Vendr, do Grupo IOB."/>
    <s v=""/>
    <x v="0"/>
    <s v="Ronaldo Nascimento"/>
    <x v="0"/>
    <s v=""/>
    <m/>
    <n v="30"/>
    <s v=""/>
    <s v=""/>
    <s v=""/>
    <s v=""/>
    <n v="1"/>
  </r>
  <r>
    <x v="1"/>
    <n v="1185"/>
    <m/>
    <n v="3741"/>
    <s v="(07/05/2026) tentativa de ligação _x000a_08:45, 07/05/2026 Junior Lopes: Olá Fran , bom dia_x000a_08:45, 07/05/2026 Fran dantas Cafe Espressiata: Espressiata agradece seu contato. Como podemos ajudar?_x000a_08:45, 07/05/2026 Junior Lopes: Sou Junior Lopes da Guarani sistemas! Td bem ?"/>
    <s v=""/>
    <x v="656"/>
    <n v="40904398000105"/>
    <s v=""/>
    <s v="Espressiata Cafés Especiais"/>
    <s v="34999008780"/>
    <s v=""/>
    <s v="franciele@espressiata.com.br"/>
    <s v=""/>
    <s v=""/>
    <s v=""/>
    <s v=""/>
    <s v="Frutal MG"/>
    <s v="Inbound"/>
    <s v=""/>
    <s v=""/>
    <s v="Dentro Perfil;Instagram"/>
    <s v="Pipeline de Vendas"/>
    <s v="Qualificação de Vendas (SQL) (25%)"/>
    <s v=""/>
    <m/>
    <m/>
    <m/>
    <n v="7"/>
    <s v="Paulo Souza"/>
    <d v="2026-05-07T00:00:00"/>
    <d v="1899-12-30T08:41:59"/>
    <s v=""/>
    <s v="Perdido"/>
    <d v="2026-05-14T00:00:00"/>
    <d v="1899-12-30T15:40:42"/>
    <s v="Sem qualificação — contato não atende ligações nem responde msg"/>
    <s v="Olá boa tarde ! Junior da Guarani sistemas por aqui _x000a_Logo que nós tivemos retorno ao contato estou finalizando por aqui ! _x000a_Caso mude de ideia por favor só me chamar _x000a_Sucesso por aí"/>
    <s v=""/>
    <x v="0"/>
    <s v="Junior Lopes"/>
    <x v="0"/>
    <s v=""/>
    <d v="2026-05-14T00:00:00"/>
    <n v="30"/>
    <s v=""/>
    <s v=""/>
    <s v=""/>
    <s v=""/>
    <n v="1"/>
  </r>
  <r>
    <x v="0"/>
    <n v="1186"/>
    <m/>
    <n v="3745"/>
    <s v=""/>
    <s v=""/>
    <x v="657"/>
    <n v="62956379000165"/>
    <s v=""/>
    <s v="Mirian"/>
    <s v="(16) 99705-1588"/>
    <s v=""/>
    <s v="mirian@jcsperfis.com.br"/>
    <s v=""/>
    <s v=""/>
    <s v=""/>
    <s v="SAO CARLOS"/>
    <s v="SP"/>
    <s v="Inbound"/>
    <s v=""/>
    <s v=""/>
    <s v="Dentro Perfil;Instagram"/>
    <s v="Pipeline de Vendas"/>
    <s v="Apresentar Solução (35%)"/>
    <s v=""/>
    <d v="2026-05-31T00:00:00"/>
    <m/>
    <m/>
    <n v="13"/>
    <s v="Paulo Souza"/>
    <d v="2026-05-07T00:00:00"/>
    <d v="1899-12-30T08:43:39"/>
    <s v=""/>
    <s v="Ativo"/>
    <m/>
    <m/>
    <s v=""/>
    <s v=""/>
    <s v=""/>
    <x v="0"/>
    <s v="Paulo Souza"/>
    <x v="0"/>
    <s v=""/>
    <d v="2026-05-18T00:00:00"/>
    <n v="30"/>
    <s v="-1"/>
    <s v=""/>
    <s v=""/>
    <s v=""/>
    <n v="1"/>
  </r>
  <r>
    <x v="2"/>
    <n v="1187"/>
    <m/>
    <n v="3744"/>
    <s v="Todos os dados preenchidos:_x000a_empresa: andreingrati@gmail.com _x000a_name: Andre  _x000a_cargo: andreingrati@gmail.com _x000a_whatsapp: 18997028677 _x000a_email: andreingrati@gmail.com _x000a_referrer: https://www.guaranisistemas.com.br/"/>
    <s v=""/>
    <x v="658"/>
    <m/>
    <s v=""/>
    <s v="Andre"/>
    <s v=""/>
    <s v=""/>
    <s v="andreingrati@gmail.com"/>
    <s v=""/>
    <s v=""/>
    <s v=""/>
    <s v="Andradina"/>
    <s v=""/>
    <s v="Inbound"/>
    <s v=""/>
    <s v=""/>
    <s v="Fora Perfil"/>
    <s v="Pipeline de Vendas"/>
    <s v="Agendamento (0%)"/>
    <s v=""/>
    <m/>
    <m/>
    <m/>
    <n v="0"/>
    <s v="Paulo Souza"/>
    <d v="2026-05-07T00:00:00"/>
    <d v="1899-12-30T08:45:42"/>
    <s v=""/>
    <s v="Perdido"/>
    <d v="2026-05-07T00:00:00"/>
    <d v="1899-12-30T09:53:22"/>
    <s v="Fora do porte mínimo (sem fit estrutural)"/>
    <s v=""/>
    <s v=""/>
    <x v="0"/>
    <s v="Rayssa Karapeticov"/>
    <x v="0"/>
    <s v=""/>
    <m/>
    <n v="30"/>
    <s v=""/>
    <s v=""/>
    <s v=""/>
    <s v=""/>
    <n v="1"/>
  </r>
  <r>
    <x v="2"/>
    <n v="1188"/>
    <m/>
    <n v="3743"/>
    <s v=""/>
    <s v=""/>
    <x v="659"/>
    <m/>
    <s v=""/>
    <s v="GSH Marketing Solutions"/>
    <s v="8496757596"/>
    <s v=""/>
    <s v="gleydson.silva@live.com"/>
    <s v=""/>
    <s v=""/>
    <s v=""/>
    <s v=""/>
    <s v=""/>
    <s v="Campanha"/>
    <s v=""/>
    <s v=""/>
    <s v="Dentro Perfil;Instagram"/>
    <s v="Pipeline de Vendas"/>
    <s v="Agendamento (0%)"/>
    <s v=""/>
    <d v="2026-05-31T00:00:00"/>
    <m/>
    <m/>
    <n v="2"/>
    <s v="Paulo Souza"/>
    <d v="2026-05-07T00:00:00"/>
    <d v="1899-12-30T08:47:19"/>
    <s v=""/>
    <s v="Perdido"/>
    <d v="2026-05-09T00:00:00"/>
    <d v="1899-12-30T08:54:10"/>
    <s v="Nossa solução não atende - falta funcionalidade"/>
    <s v=""/>
    <s v=""/>
    <x v="0"/>
    <s v="Rayssa Karapeticov"/>
    <x v="0"/>
    <s v=""/>
    <m/>
    <n v="30"/>
    <s v=""/>
    <s v=""/>
    <s v=""/>
    <s v=""/>
    <n v="1"/>
  </r>
  <r>
    <x v="1"/>
    <n v="1189"/>
    <m/>
    <n v="3742"/>
    <s v="08:52, 07/05/2026 Junior Lopes: Olá bom dia !_x000a_08:52, 07/05/2026 Junior Lopes: Sou Junior Lopes da Guarani sistemas! Td bem ?_x000a_11:51, 07/05/2026 Junior Lopes: qual o melhor horario para falarmos"/>
    <s v=""/>
    <x v="660"/>
    <m/>
    <s v=""/>
    <s v="Contade"/>
    <s v="4399777609"/>
    <s v=""/>
    <s v="arianagrandepequenasim@gmail.com"/>
    <s v=""/>
    <s v=""/>
    <s v=""/>
    <s v=""/>
    <s v="N sei"/>
    <s v="Inbound"/>
    <s v=""/>
    <s v=""/>
    <s v="Fora Perfil;Instagram"/>
    <s v="Pipeline de Vendas"/>
    <s v="Qualificação de Vendas (SQL) (25%)"/>
    <s v=""/>
    <m/>
    <m/>
    <m/>
    <n v="7"/>
    <s v="Paulo Souza"/>
    <d v="2026-05-07T00:00:00"/>
    <d v="1899-12-30T08:48:50"/>
    <s v=""/>
    <s v="Perdido"/>
    <d v="2026-05-14T00:00:00"/>
    <d v="1899-12-30T15:37:01"/>
    <s v="Inválido - empresa não existe / dados errados"/>
    <s v="(14/05/2026) _x000a_contato não responde _x000a_as informações inseridas não encontram dados da empresa ! ideal exigir CNPJ para uma melhor busca"/>
    <s v=""/>
    <x v="0"/>
    <s v="Junior Lopes"/>
    <x v="0"/>
    <s v=""/>
    <d v="2026-05-14T00:00:00"/>
    <n v="30"/>
    <s v=""/>
    <s v=""/>
    <s v=""/>
    <s v=""/>
    <n v="1"/>
  </r>
  <r>
    <x v="3"/>
    <n v="1190"/>
    <n v="276"/>
    <n v="3748"/>
    <s v="(07/05) Falei com Leila. Eles realizaram recentemente a troca de ERP e estão em busca de um novo CRM. Apresentei as soluções que oferecemos, com foco no AFV._x000a_No momento, estamos aguardando o retorno do Gestor Comercial para avançarmos com o agendamento de uma reunião._x000a_(12/05): Leila gostaria de uma reunião para entender melhor as nossa soluções. Como mudaram recentemente de ERP, a idéia é conhecer o nosso força de vendas e o BI para companhamento das vendas/metas._x000a_A Estilo Ar atua como distribuidora de peças e soluções para ar-condicionado automotivo. Filiais em: Uberlândia/MG (matriz), Belo Horizonte/MG, Juiz de Fora/MG, Montes Claros/MG, Goiânia/GO, Itumbiara/GO, Duque de Caxias/RJ e Cuiabá/MT. Então abrindo a nova filial Cuiabá._x000a_Produros que trabalham: Produtos que trabalham: Peças para ar-condicionado automotivo, Componentes Denso e Delphi, Produtos da marca própria Estilo Ar,  Filtros de cabine, Óleos, Higienizadores, Ferramentas e itens para manutenção automotiva. ERP atual: Sankhya e CRM Kommo integrado._x000a_Paulo: o foco é no AFV e BI, pois estão insatisfeito com o CRM atual. _x000a_(12/05) Reunião agendada para 12/05, as 14h30._x000a_(13/05) Reunião realizada. Leila informou que utilizam o CRM da Sankhya há aproximadamente 3 anos, porém estão insatisfeitos com a usabilidade da ferramenta. Atualmente, contam apenas com vendedores internos, mas a intenção é também trabalhar com representantes comerciais a partir do segundo semestre._x000a_Durante a reunião, foram apresentadas a Guarani Sistemas, as soluções AFV, Loja B2B e BI. Também foi enviado, via WhatsApp, o link do CRM Leads2b , juntamente com nossa apresentação institucional."/>
    <s v=""/>
    <x v="661"/>
    <n v="15338344000182"/>
    <s v="ESTILO AR COMERCIO DE PECAS LTDA"/>
    <s v="Leila Oliveira"/>
    <s v="(34) 3291-9100"/>
    <s v=""/>
    <s v="irpf@aserco.com.br"/>
    <s v="Matriz"/>
    <s v=""/>
    <s v="AV ENGENHEIRO DINIZ 848"/>
    <s v="UBERLANDIA"/>
    <s v="MG"/>
    <s v=""/>
    <s v=""/>
    <s v=""/>
    <s v="Dentro Perfil"/>
    <s v="Pipeline de Vendas"/>
    <s v="Apresentar Solução (35%)"/>
    <s v=""/>
    <m/>
    <m/>
    <m/>
    <n v="7"/>
    <s v="Ronaldo Nascimento"/>
    <d v="2026-05-07T00:00:00"/>
    <d v="1899-12-30T12:06:01"/>
    <s v=""/>
    <s v="Perdido"/>
    <d v="2026-05-14T00:00:00"/>
    <d v="1899-12-30T08:08:53"/>
    <s v="Projeto adiado / sem prazo definido"/>
    <s v="(14/05) Conforme Leila, a ideia é trabalhar com vendedor externo no segundo semestre. Criado atividade para contatar cliente em ago/26."/>
    <s v=""/>
    <x v="0"/>
    <s v=""/>
    <x v="237"/>
    <s v=""/>
    <m/>
    <n v="30"/>
    <s v=""/>
    <s v=""/>
    <s v=""/>
    <s v=""/>
    <n v="1"/>
  </r>
  <r>
    <x v="2"/>
    <n v="1191"/>
    <m/>
    <n v="3749"/>
    <s v=""/>
    <s v=""/>
    <x v="662"/>
    <n v="8333878000150"/>
    <s v=""/>
    <s v="Danielle"/>
    <s v="(74) 8124-8767"/>
    <s v=""/>
    <s v="maristela@kisolpiscinas.com"/>
    <s v=""/>
    <s v=""/>
    <s v=""/>
    <s v="FERNANDOPOLIS"/>
    <s v="SP"/>
    <s v=""/>
    <s v=""/>
    <s v=""/>
    <s v=""/>
    <s v="Pipeline de Vendas"/>
    <s v="Apresentar Solução (35%)"/>
    <s v=""/>
    <m/>
    <m/>
    <m/>
    <n v="13"/>
    <s v="Rayssa Karapeticov"/>
    <d v="2026-05-07T00:00:00"/>
    <d v="1899-12-30T16:38:45"/>
    <s v=""/>
    <s v="Ativo"/>
    <m/>
    <m/>
    <s v=""/>
    <s v=""/>
    <s v=""/>
    <x v="216"/>
    <s v="Rayssa Karapeticov"/>
    <x v="0"/>
    <s v=""/>
    <d v="2026-05-13T00:00:00"/>
    <n v="30"/>
    <s v=""/>
    <s v="ERP"/>
    <s v=""/>
    <s v=""/>
    <n v="1"/>
  </r>
  <r>
    <x v="3"/>
    <n v="1192"/>
    <n v="273"/>
    <n v="3754"/>
    <s v="(08/05) Apresentação agendada para 13/08 às 10h. Conforme informado pelo Milton, a empresa está em busca de um novo sistema de gestão e atualmente não possui uma ferramenta de força de vendas."/>
    <s v=""/>
    <x v="663"/>
    <n v="40220751000138"/>
    <s v="MARDEN MEDICAL LTDA."/>
    <s v="Milton Cavalieri"/>
    <s v="(16) 2121-0858"/>
    <s v=""/>
    <s v="administracao@mardenmedical.com.br"/>
    <s v="Matriz"/>
    <s v=""/>
    <s v="R GASTAO VIEIRA 229"/>
    <s v="SAO CARLOS"/>
    <s v="SP"/>
    <s v=""/>
    <s v=""/>
    <s v=""/>
    <s v="Dentro Perfil"/>
    <s v="Pipeline de Vendas"/>
    <s v="Apresentar Solução (35%)"/>
    <s v=""/>
    <m/>
    <m/>
    <m/>
    <n v="13"/>
    <s v="Ronaldo Nascimento"/>
    <d v="2026-05-07T00:00:00"/>
    <d v="1899-12-30T16:57:47"/>
    <s v=""/>
    <s v="Ativo"/>
    <m/>
    <m/>
    <s v=""/>
    <s v=""/>
    <s v=""/>
    <x v="0"/>
    <s v=""/>
    <x v="238"/>
    <s v=""/>
    <d v="2026-05-13T00:00:00"/>
    <n v="30"/>
    <s v=""/>
    <s v="ERP, AFV"/>
    <s v=""/>
    <s v=""/>
    <n v="1"/>
  </r>
  <r>
    <x v="3"/>
    <n v="1193"/>
    <n v="279"/>
    <m/>
    <s v="(08/05) Enviada mensagem via LinkedIn para Hugo Oliveira (gestor comercial), com o objetivo de apresentar as soluções da Guarani Sistemas e alinhar um possível bate-papo comercial."/>
    <s v=""/>
    <x v="221"/>
    <n v="89738173000115"/>
    <s v="SANREMO S/A"/>
    <s v=""/>
    <s v=""/>
    <s v=""/>
    <s v="bt_contabilidade@bettanin.com.br"/>
    <s v="Matriz"/>
    <s v=""/>
    <s v="AV INDEPENDENCIA 8885"/>
    <s v="ESTEIO"/>
    <s v="RS"/>
    <s v=""/>
    <s v=""/>
    <s v=""/>
    <s v="Dentro Perfil"/>
    <s v="Pipeline de Vendas"/>
    <s v="Agendamento (0%)"/>
    <s v=""/>
    <m/>
    <m/>
    <m/>
    <n v="12"/>
    <s v="Ronaldo Nascimento"/>
    <d v="2026-05-08T00:00:00"/>
    <d v="1899-12-30T10:00:51"/>
    <s v=""/>
    <s v="Ativo"/>
    <m/>
    <m/>
    <s v=""/>
    <s v=""/>
    <s v=""/>
    <x v="0"/>
    <s v=""/>
    <x v="0"/>
    <s v=""/>
    <m/>
    <n v="30"/>
    <s v=""/>
    <s v=""/>
    <s v=""/>
    <s v=""/>
    <n v="1"/>
  </r>
  <r>
    <x v="3"/>
    <n v="1194"/>
    <n v="281"/>
    <m/>
    <s v="(08/05) Enviada mensagem via LinkedIn para Vagner (gestor comercial), com o objetivo de apresentar as soluções da Guarani Sistemas e alinhar um possível bate-papo comercial._x000a_(18/05) Gestor comercial: Paulo Pimentel. Enviado msg a fim de agendar uma apresentação."/>
    <s v=""/>
    <x v="664"/>
    <n v="4381287000106"/>
    <s v="ORDENE S/A"/>
    <s v=""/>
    <s v=""/>
    <s v=""/>
    <s v="bt_contabilidade@bettanin.com.br"/>
    <s v="Matriz"/>
    <s v=""/>
    <s v="RUA GILBERTO TADEU MORAIS S/N"/>
    <s v="ESTEIO"/>
    <s v="RS"/>
    <s v=""/>
    <s v=""/>
    <s v=""/>
    <s v="Dentro Perfil"/>
    <s v="Pipeline de Vendas"/>
    <s v="Qualificação de Vendas (SQL) (25%)"/>
    <s v=""/>
    <m/>
    <m/>
    <m/>
    <n v="12"/>
    <s v="Ronaldo Nascimento"/>
    <d v="2026-05-08T00:00:00"/>
    <d v="1899-12-30T10:07:26"/>
    <s v=""/>
    <s v="Ativo"/>
    <m/>
    <m/>
    <s v=""/>
    <s v=""/>
    <s v=""/>
    <x v="0"/>
    <s v=""/>
    <x v="0"/>
    <s v=""/>
    <m/>
    <n v="30"/>
    <s v=""/>
    <s v=""/>
    <s v=""/>
    <s v=""/>
    <n v="1"/>
  </r>
  <r>
    <x v="3"/>
    <n v="1195"/>
    <n v="282"/>
    <n v="3760"/>
    <s v="(08/05) Enviada mensagem via LinkedIn para Lucimara (gestora comercial), com o objetivo de apresentar as soluções da Guarani Sistemas e alinhar um possível bate-papo comercial._x000a_(11/05) Consegui o contato de WhatsApp do Adm. Felix Carvalho. Enviei mensagem com o objetivo de verificar um melhor horário para realizarmos um bate-papo."/>
    <s v=""/>
    <x v="665"/>
    <n v="43948561000120"/>
    <s v="NIGRO ALUMINIO LTDA"/>
    <s v="Lucimara Zenatti"/>
    <s v="16210844221"/>
    <s v=""/>
    <s v="contabil@nigro.com.br"/>
    <s v="Matriz"/>
    <s v=""/>
    <s v="AV ARCANGELO NIGRO 166"/>
    <s v="ARARAQUARA"/>
    <s v="SP"/>
    <s v=""/>
    <s v=""/>
    <s v=""/>
    <s v="Dentro Perfil"/>
    <s v="Pipeline de Vendas"/>
    <s v="Qualificação de Vendas (SQL) (25%)"/>
    <s v=""/>
    <m/>
    <m/>
    <m/>
    <n v="12"/>
    <s v="Ronaldo Nascimento"/>
    <d v="2026-05-08T00:00:00"/>
    <d v="1899-12-30T10:30:00"/>
    <s v=""/>
    <s v="Ativo"/>
    <m/>
    <m/>
    <s v=""/>
    <s v=""/>
    <s v=""/>
    <x v="0"/>
    <s v=""/>
    <x v="0"/>
    <s v=""/>
    <m/>
    <n v="30"/>
    <s v=""/>
    <s v=""/>
    <s v=""/>
    <s v=""/>
    <n v="1"/>
  </r>
  <r>
    <x v="0"/>
    <n v="1196"/>
    <m/>
    <n v="3746"/>
    <s v=""/>
    <s v=""/>
    <x v="666"/>
    <n v="5659821000239"/>
    <s v=""/>
    <s v="Alexandre"/>
    <s v="11988734899"/>
    <s v=""/>
    <s v="alexandre@emblemax.com.br"/>
    <s v=""/>
    <s v=""/>
    <s v=""/>
    <s v=""/>
    <s v="SP"/>
    <s v="Inbound"/>
    <s v=""/>
    <s v=""/>
    <s v="Dentro Perfil;Instagram"/>
    <s v="Pipeline de Vendas"/>
    <s v="Qualificação de Vendas (SQL) (25%)"/>
    <s v=""/>
    <m/>
    <m/>
    <m/>
    <n v="12"/>
    <s v="Paulo Souza"/>
    <d v="2026-05-08T00:00:00"/>
    <d v="1899-12-30T11:46:39"/>
    <s v=""/>
    <s v="Ativo"/>
    <m/>
    <m/>
    <s v=""/>
    <s v=""/>
    <s v=""/>
    <x v="0"/>
    <s v="Paulo Souza"/>
    <x v="0"/>
    <s v=""/>
    <d v="2026-05-18T00:00:00"/>
    <n v="30"/>
    <s v=""/>
    <s v=""/>
    <s v=""/>
    <s v=""/>
    <n v="1"/>
  </r>
  <r>
    <x v="3"/>
    <n v="1197"/>
    <n v="270"/>
    <m/>
    <s v="(08/05) Enviado WhatsApp para Luiz (amigo pessoal) para entender melhor a estrutura comercial da MMO, incluindo modelo de equipe de vendas (interna e/ou externa) e sistemas utilizados atualmente para gestão e vendas._x000a_(11/05) Enviado msg para Gabriela (filha do Luis e amiga pessoal)."/>
    <s v=""/>
    <x v="667"/>
    <n v="2466212000194"/>
    <s v="MM OPTICS LTDA"/>
    <s v=""/>
    <s v=""/>
    <s v=""/>
    <s v="mmo@com.br"/>
    <s v="Matriz"/>
    <s v=""/>
    <s v="RUA GEMINIANO COSTA 143"/>
    <s v="SAO CARLOS"/>
    <s v="SP"/>
    <s v=""/>
    <s v=""/>
    <s v=""/>
    <s v="Dentro Perfil"/>
    <s v="Pipeline de Vendas"/>
    <s v="Qualificação de Vendas (SQL) (25%)"/>
    <s v=""/>
    <m/>
    <m/>
    <m/>
    <n v="12"/>
    <s v="Ronaldo Nascimento"/>
    <d v="2026-05-08T00:00:00"/>
    <d v="1899-12-30T12:05:35"/>
    <s v=""/>
    <s v="Ativo"/>
    <m/>
    <m/>
    <s v=""/>
    <s v=""/>
    <s v=""/>
    <x v="0"/>
    <s v=""/>
    <x v="0"/>
    <s v=""/>
    <d v="2026-05-11T00:00:00"/>
    <n v="30"/>
    <s v=""/>
    <s v=""/>
    <s v=""/>
    <s v=""/>
    <n v="1"/>
  </r>
  <r>
    <x v="3"/>
    <n v="1198"/>
    <n v="256"/>
    <n v="3773"/>
    <s v="(08/05) Enviado WhatsApp para Fabiana (amiga pessoal) com o objetivo de alinhar e agendar uma apresentação das nossas soluções."/>
    <s v=""/>
    <x v="668"/>
    <n v="20137275000189"/>
    <s v="VOLMED BRASIL EQUIPAMENTOS LTDA"/>
    <s v="Fabiana Voltatódio"/>
    <s v="(16) 3419-1794"/>
    <s v=""/>
    <s v="financeiro@volmed.com.br"/>
    <s v="Matriz"/>
    <s v=""/>
    <s v="RUA FRANCISCO CORREA BUENO 435"/>
    <s v="SAO CARLOS"/>
    <s v="SP"/>
    <s v=""/>
    <s v=""/>
    <s v=""/>
    <s v="TAG1SEM"/>
    <s v="Pipeline de Vendas"/>
    <s v="Agendamento (0%)"/>
    <s v=""/>
    <m/>
    <m/>
    <m/>
    <n v="0"/>
    <s v="Ronaldo Nascimento"/>
    <d v="2026-05-11T00:00:00"/>
    <d v="1899-12-30T09:33:58"/>
    <s v=""/>
    <s v="Perdido"/>
    <d v="2026-05-11T00:00:00"/>
    <d v="1899-12-30T09:35:54"/>
    <s v="Nossa solução não atende - falta funcionalidade"/>
    <s v="Em contato com Fabiana, foi informado que a empresa utiliza ferramentas específicas para o segmento (ERP e Força de Vendas), incluindo validações e exigências da Anvisa."/>
    <s v=""/>
    <x v="0"/>
    <s v=""/>
    <x v="0"/>
    <s v=""/>
    <m/>
    <n v="30"/>
    <s v=""/>
    <s v=""/>
    <s v=""/>
    <s v=""/>
    <n v="1"/>
  </r>
  <r>
    <x v="3"/>
    <n v="1199"/>
    <n v="283"/>
    <n v="3776"/>
    <s v="(08/05) Enviada mensagem via LinkedIn para Nádia (gestora comercial), com o objetivo de apresentar as soluções da Guarani Sistemas e alinhar um possível bate-papo comercial._x000a_(11/05) Nádia aceitou a conexão no LinkedIn. Enviada mensagem inicial apresentando as soluções da Guarani Sistemas."/>
    <s v=""/>
    <x v="669"/>
    <n v="88610191000154"/>
    <s v="MUNDIAL S.A. - PRODUTOS DE CONSUMO"/>
    <s v="Nádia C. da Silva"/>
    <s v="(51) 3358-5000"/>
    <s v=""/>
    <s v="lara.nunes@mundial.com"/>
    <s v="Matriz"/>
    <s v=""/>
    <s v="R DO PARAISO 148"/>
    <s v="SAO JOAO DE MERITI"/>
    <s v="RJ"/>
    <s v=""/>
    <s v=""/>
    <s v=""/>
    <s v="Dentro Perfil"/>
    <s v="Pipeline de Vendas"/>
    <s v="Qualificação de Vendas (SQL) (25%)"/>
    <s v=""/>
    <m/>
    <m/>
    <m/>
    <n v="9"/>
    <s v="Ronaldo Nascimento"/>
    <d v="2026-05-11T00:00:00"/>
    <d v="1899-12-30T10:28:33"/>
    <s v=""/>
    <s v="Ativo"/>
    <m/>
    <m/>
    <s v=""/>
    <s v=""/>
    <s v=""/>
    <x v="0"/>
    <s v=""/>
    <x v="0"/>
    <s v=""/>
    <m/>
    <n v="30"/>
    <s v=""/>
    <s v=""/>
    <s v=""/>
    <s v=""/>
    <n v="1"/>
  </r>
  <r>
    <x v="2"/>
    <n v="1200"/>
    <m/>
    <n v="3777"/>
    <s v=""/>
    <s v=""/>
    <x v="670"/>
    <n v="8821632000128"/>
    <s v=""/>
    <s v="LUCIANO CARBONARO DE OLIVEIRA"/>
    <s v=""/>
    <s v=""/>
    <s v=""/>
    <s v=""/>
    <s v=""/>
    <s v=""/>
    <s v=""/>
    <s v=""/>
    <s v="Campanha"/>
    <s v=""/>
    <s v=""/>
    <s v="Dentro Perfil;Instagram"/>
    <s v="Pipeline de Vendas"/>
    <s v="Qualificação de Vendas (SQL) (25%)"/>
    <s v=""/>
    <d v="2026-05-31T00:00:00"/>
    <m/>
    <m/>
    <n v="9"/>
    <s v="Paulo Souza"/>
    <d v="2026-05-11T00:00:00"/>
    <d v="1899-12-30T11:03:53"/>
    <s v=""/>
    <s v="Ativo"/>
    <m/>
    <m/>
    <s v=""/>
    <s v=""/>
    <s v=""/>
    <x v="0"/>
    <s v="Rayssa Karapeticov"/>
    <x v="0"/>
    <s v=""/>
    <d v="2026-05-13T00:00:00"/>
    <n v="30"/>
    <s v=""/>
    <s v=""/>
    <s v=""/>
    <s v=""/>
    <n v="1"/>
  </r>
  <r>
    <x v="1"/>
    <n v="1201"/>
    <m/>
    <n v="3771"/>
    <s v="(11/05/2026) tentativa de ligação porem o telefone esta bloqueado para chamadas _x000a_contato via WhatsApp_x000a_12:02, 11/05/2026 Junior Lopes: Olá Tone Oliveira, bom dia_x000a_12:02, 11/05/2026 Junior Lopes: sou Junior Lopes da Guarani sistemas_x000a_12:02, 11/05/2026 Junior Lopes: td bem ?_x000a_(14/05/2026) avançando com informações da solução ! direcionando para uma apresentação"/>
    <s v="N. K. Distribuidora Ltda"/>
    <x v="671"/>
    <n v="12084237000187"/>
    <s v=""/>
    <s v="NK Distribuidora De Cosmeticos"/>
    <s v="6699942807"/>
    <s v=""/>
    <s v="toneoliveira@hotmail.com"/>
    <s v=""/>
    <s v=""/>
    <s v=""/>
    <s v="RONDONOPOLIS"/>
    <s v="MT"/>
    <s v="Campanha"/>
    <s v=""/>
    <s v=""/>
    <s v="Dentro Perfil;Instagram"/>
    <s v="Pipeline de Vendas"/>
    <s v="Qualificação de Vendas (SQL) (25%)"/>
    <s v=""/>
    <d v="2026-05-31T00:00:00"/>
    <m/>
    <m/>
    <n v="9"/>
    <s v="Paulo Souza"/>
    <d v="2026-05-11T00:00:00"/>
    <d v="1899-12-30T11:18:41"/>
    <s v=""/>
    <s v="Ativo"/>
    <m/>
    <m/>
    <s v=""/>
    <s v=""/>
    <s v=""/>
    <x v="0"/>
    <s v="Junior Lopes"/>
    <x v="0"/>
    <s v=""/>
    <m/>
    <n v="30"/>
    <s v=""/>
    <s v=""/>
    <s v=""/>
    <s v=""/>
    <n v="1"/>
  </r>
  <r>
    <x v="3"/>
    <n v="1202"/>
    <n v="241"/>
    <n v="3779"/>
    <s v="(11/05) Em contato com Paula, foi informado que a empresa utiliza diferentes sistemas separados por departamento. Solicitou o envio de uma apresentação por e-mail para encaminhamento ao João. Atualmente, a empresa possui equipe de vendas interna e apenas um vendedor externo (João)."/>
    <s v=""/>
    <x v="672"/>
    <n v="6269527000100"/>
    <s v="LA ROCHA INDUSTRIA E COMERCIO DE FIBRAS MINERAIS LTDA"/>
    <s v="Paula Franzin"/>
    <s v="(01) 63911-7784"/>
    <s v=""/>
    <s v=""/>
    <s v="Matriz"/>
    <s v=""/>
    <s v="EST VICINAL VITO GAIA PUOLI, KM 2 + S/N"/>
    <s v="DESCALVADO"/>
    <s v="SP"/>
    <s v=""/>
    <s v=""/>
    <s v=""/>
    <s v="Dentro Perfil"/>
    <s v="Pipeline de Vendas"/>
    <s v="Qualificação de Vendas (SQL) (25%)"/>
    <s v=""/>
    <m/>
    <m/>
    <m/>
    <n v="9"/>
    <s v="Ronaldo Nascimento"/>
    <d v="2026-05-11T00:00:00"/>
    <d v="1899-12-30T11:23:29"/>
    <s v=""/>
    <s v="Ativo"/>
    <m/>
    <m/>
    <s v=""/>
    <s v=""/>
    <s v=""/>
    <x v="0"/>
    <s v=""/>
    <x v="0"/>
    <s v=""/>
    <m/>
    <n v="30"/>
    <s v=""/>
    <s v=""/>
    <s v=""/>
    <s v=""/>
    <n v="1"/>
  </r>
  <r>
    <x v="0"/>
    <n v="1203"/>
    <m/>
    <n v="3770"/>
    <s v=""/>
    <s v=""/>
    <x v="673"/>
    <n v="48579170000107"/>
    <s v=""/>
    <s v="Belapin ind com"/>
    <s v="11970330999"/>
    <s v=""/>
    <s v="junior@arcobello.com.br"/>
    <s v=""/>
    <s v=""/>
    <s v=""/>
    <s v=""/>
    <s v=""/>
    <s v="Campanha"/>
    <s v=""/>
    <s v=""/>
    <s v="Dentro Perfil;Instagram"/>
    <s v="Pipeline de Vendas"/>
    <s v="Qualificação de Vendas (SQL) (25%)"/>
    <s v=""/>
    <d v="2026-05-31T00:00:00"/>
    <m/>
    <m/>
    <n v="9"/>
    <s v="Paulo Souza"/>
    <d v="2026-05-11T00:00:00"/>
    <d v="1899-12-30T11:24:21"/>
    <s v=""/>
    <s v="Ativo"/>
    <m/>
    <m/>
    <s v=""/>
    <s v=""/>
    <s v=""/>
    <x v="0"/>
    <s v="Paulo Souza"/>
    <x v="0"/>
    <s v=""/>
    <m/>
    <n v="30"/>
    <s v=""/>
    <s v=""/>
    <s v=""/>
    <s v=""/>
    <n v="1"/>
  </r>
  <r>
    <x v="3"/>
    <n v="1204"/>
    <n v="231"/>
    <n v="3780"/>
    <s v="(11/05) Falei com Orlei (Compras), que indicou o Rodrigo, da área Comercial, como responsável para continuidade da conversa. Atualmente a empresa utiliza o sistema WBC, desenvolvido para o segmento, porém cada departamento trabalha com um sistema diferente._x000a_Comentou também que, há algum tempo, chegaram a conversar com a TOTVS sobre implantação de ERP, mas o projeto acabou não avançando devido à dificuldade relacionada à migração/estruturação dos dados._x000a_Realizei contato com o Rodrigo, porém a ligação caiu na caixa postal. Enviei mensagem via WhatsApp para tentar agendar um bate-papo."/>
    <s v=""/>
    <x v="674"/>
    <n v="490414000146"/>
    <s v="N S F INDUSTRIA E COMERCIO DE EQUIPAMENTOS PARA INSTALACOES COMERCIAIS LTDA"/>
    <s v="Antonio Marcos Real"/>
    <s v="(16) 3377-9700"/>
    <s v=""/>
    <s v="financeiro@nsf.ind.br"/>
    <s v="Matriz"/>
    <s v=""/>
    <s v="ROD WASHINGTON LUIZ S/N"/>
    <s v="SAO CARLOS"/>
    <s v="SP"/>
    <s v=""/>
    <s v=""/>
    <s v=""/>
    <s v="Dentro Perfil"/>
    <s v="Pipeline de Vendas"/>
    <s v="Qualificação de Vendas (SQL) (25%)"/>
    <s v=""/>
    <m/>
    <m/>
    <m/>
    <n v="9"/>
    <s v="Ronaldo Nascimento"/>
    <d v="2026-05-11T00:00:00"/>
    <d v="1899-12-30T14:29:08"/>
    <s v=""/>
    <s v="Ativo"/>
    <m/>
    <m/>
    <s v=""/>
    <s v=""/>
    <s v=""/>
    <x v="0"/>
    <s v=""/>
    <x v="0"/>
    <s v=""/>
    <m/>
    <n v="30"/>
    <s v=""/>
    <s v=""/>
    <s v=""/>
    <s v=""/>
    <n v="1"/>
  </r>
  <r>
    <x v="3"/>
    <n v="1205"/>
    <n v="252"/>
    <n v="3781"/>
    <s v="(08/05) Enviado WhatsApp para Lana (amiga pessoal), atualmente representante comercial da empresa, solicitando o contato do gestor comercial para possível apresentação das soluções._x000a_(11/05) Falei com a Lana. No momento, a empresa está concentrada na preparação para a Feira Hospitalar, que acontecerá entre os dias 19 e 22 de maio._x000a_Comentou que atualmente utilizam as soluções da Sectra para a área comercial (possivelmente ERP também). Sugeriu retomarmos o contato durante a feira ou após o evento para conversarmos com mais tranquilidade."/>
    <s v=""/>
    <x v="675"/>
    <n v="13459890000146"/>
    <s v="HORTRON INDUSTRIA E COMERCIO DE PRODUTOS ELETRONICOS LTDA"/>
    <s v="Willian Zanon"/>
    <s v="(16) 3419-0892"/>
    <s v=""/>
    <s v="hortron@hortron.com.br"/>
    <s v="Matriz"/>
    <s v=""/>
    <s v="AV GETULIO VARGAS 2831"/>
    <s v="SAO CARLOS"/>
    <s v="SP"/>
    <s v=""/>
    <s v=""/>
    <s v=""/>
    <s v="Dentro Perfil"/>
    <s v="Pipeline de Vendas"/>
    <s v="Qualificação de Vendas (SQL) (25%)"/>
    <s v=""/>
    <m/>
    <m/>
    <m/>
    <n v="9"/>
    <s v="Ronaldo Nascimento"/>
    <d v="2026-05-11T00:00:00"/>
    <d v="1899-12-30T14:44:21"/>
    <s v=""/>
    <s v="Ativo"/>
    <m/>
    <m/>
    <s v=""/>
    <s v=""/>
    <s v=""/>
    <x v="0"/>
    <s v=""/>
    <x v="0"/>
    <s v=""/>
    <m/>
    <n v="30"/>
    <s v=""/>
    <s v=""/>
    <s v=""/>
    <s v=""/>
    <n v="1"/>
  </r>
  <r>
    <x v="3"/>
    <n v="1206"/>
    <n v="226"/>
    <n v="3782"/>
    <s v="(11/05) Falei com Denise (contato pessoal da área de RH). Apresentei brevemente a Guarani Sistemas e algumas das soluções que oferecemos, principalmente na área comercial. Solicitei o contato do gestor/com responsável pela área comercial para apresentar nossa solução de vendas. Aguardando retorno._x000a_(12/05) Falei com a Denise, que me passou o contato (e-mail) do Farid, Gestor Comercial da Hece Máquinas. Denise comentou que a empresa atualmente trabalha com um ERP próprio. Enviado e-mail a fim de agendarmos um bate-papo."/>
    <s v=""/>
    <x v="676"/>
    <n v="59602144000160"/>
    <s v="HECE MAQUINAS LTDA"/>
    <s v="Denise Rodrigues Ferreira"/>
    <s v="(16) 98198-8289"/>
    <s v="16981988289"/>
    <s v="rh@hece.com.br"/>
    <s v="Matriz"/>
    <s v=""/>
    <s v="R JOAO ABDELNUR 99"/>
    <s v="SAO CARLOS"/>
    <s v="SP"/>
    <s v=""/>
    <s v=""/>
    <s v=""/>
    <s v="Dentro Perfil"/>
    <s v="Pipeline de Vendas"/>
    <s v="Qualificação de Vendas (SQL) (25%)"/>
    <s v=""/>
    <m/>
    <m/>
    <m/>
    <n v="9"/>
    <s v="Ronaldo Nascimento"/>
    <d v="2026-05-11T00:00:00"/>
    <d v="1899-12-30T14:54:52"/>
    <s v=""/>
    <s v="Ativo"/>
    <m/>
    <m/>
    <s v=""/>
    <s v=""/>
    <s v=""/>
    <x v="0"/>
    <s v=""/>
    <x v="0"/>
    <s v=""/>
    <d v="2026-05-12T00:00:00"/>
    <n v="30"/>
    <s v=""/>
    <s v=""/>
    <s v=""/>
    <s v=""/>
    <n v="1"/>
  </r>
  <r>
    <x v="3"/>
    <n v="1208"/>
    <n v="255"/>
    <n v="3788"/>
    <s v="(11/05) Enviado msg para Nathalia a fim de agendarmos um bate-papo._x000a_(12/05) Falei com a Nathalia, que me passou o contato (e-mail) da Vanessa, Gerente Comercial da Setormed. Enviado e-mail a fim de agendarmos um bate-papo."/>
    <s v=""/>
    <x v="677"/>
    <n v="13533397000129"/>
    <s v="SETORMED INDUSTRIA E COMERCIO DE EQUIPAMENTOS MEDICOS E ODONTOLOGICOS S.A."/>
    <s v="Nathalia C. S. Santos"/>
    <s v="(16) 34165-3681"/>
    <s v=""/>
    <s v="setormed@setormed.com.br"/>
    <s v="Matriz"/>
    <s v=""/>
    <s v="RUA ARTHUR RODRIGUES DE CASTRO 150"/>
    <s v="SAO CARLOS"/>
    <s v="SP"/>
    <s v=""/>
    <s v=""/>
    <s v=""/>
    <s v="Dentro Perfil"/>
    <s v="Pipeline de Vendas"/>
    <s v="Qualificação de Vendas (SQL) (25%)"/>
    <s v=""/>
    <m/>
    <m/>
    <m/>
    <n v="8"/>
    <s v="Ronaldo Nascimento"/>
    <d v="2026-05-12T00:00:00"/>
    <d v="1899-12-30T11:50:46"/>
    <s v=""/>
    <s v="Ativo"/>
    <m/>
    <m/>
    <s v=""/>
    <s v=""/>
    <s v=""/>
    <x v="0"/>
    <s v=""/>
    <x v="0"/>
    <s v=""/>
    <m/>
    <n v="30"/>
    <s v=""/>
    <s v=""/>
    <s v=""/>
    <s v=""/>
    <n v="1"/>
  </r>
  <r>
    <x v="2"/>
    <n v="1209"/>
    <m/>
    <n v="3786"/>
    <s v="Todos os dados preenchidos:_x000a_empresa: Casa Bonitta _x000a_name: NATALIA GABRIELA DAMACENO MOTA _x000a_cargo: Proprietária _x000a_whatsapp: 11996672094 _x000a_email: naty-gabriela@hotmail.com _x000a_referrer: https://www.guaranisistemas.com.br/"/>
    <s v=""/>
    <x v="678"/>
    <n v="36621794000158"/>
    <s v=""/>
    <s v="NATALIA GABRIELA DAMACENO MOTA"/>
    <s v="(11) 4292-3358"/>
    <s v=""/>
    <s v="naty-gabriela@hotmail.com"/>
    <s v=""/>
    <s v=""/>
    <s v=""/>
    <s v="SUZANO"/>
    <s v="SP"/>
    <s v="Inbound"/>
    <s v=""/>
    <s v=""/>
    <s v="Perfil Indefinido"/>
    <s v="Pipeline de Vendas"/>
    <s v="Apresentar Solução (35%)"/>
    <s v=""/>
    <d v="2026-05-31T00:00:00"/>
    <m/>
    <m/>
    <n v="8"/>
    <s v="Paulo Souza"/>
    <d v="2026-05-12T00:00:00"/>
    <d v="1899-12-30T15:18:03"/>
    <s v=""/>
    <s v="Ativo"/>
    <m/>
    <m/>
    <s v=""/>
    <s v=""/>
    <s v=""/>
    <x v="0"/>
    <s v="Rayssa Karapeticov"/>
    <x v="0"/>
    <s v=""/>
    <d v="2026-05-19T00:00:00"/>
    <n v="30"/>
    <s v=""/>
    <s v=""/>
    <s v=""/>
    <s v=""/>
    <n v="1"/>
  </r>
  <r>
    <x v="3"/>
    <n v="1212"/>
    <n v="291"/>
    <n v="3801"/>
    <s v=""/>
    <s v=""/>
    <x v="679"/>
    <n v="17188274000159"/>
    <s v="UTILIMIX INDUSTRIA E COMERCIO LTDA"/>
    <s v="Bruno"/>
    <s v="(11) 91010-4191"/>
    <s v=""/>
    <s v="utilimix@bol.com.br"/>
    <s v="Matriz"/>
    <s v=""/>
    <s v="RUA ESTADO DE PERNAMBUCO 93"/>
    <s v="SAO PAULO"/>
    <s v="SP"/>
    <s v=""/>
    <s v=""/>
    <s v=""/>
    <s v="Dentro Perfil"/>
    <s v="Pipeline de Vendas"/>
    <s v="Apresentar Solução (35%)"/>
    <s v=""/>
    <m/>
    <m/>
    <m/>
    <n v="5"/>
    <s v="Ronaldo Nascimento"/>
    <d v="2026-05-13T00:00:00"/>
    <d v="1899-12-30T14:07:38"/>
    <s v=""/>
    <s v="Perdido"/>
    <d v="2026-05-18T00:00:00"/>
    <d v="1899-12-30T09:10:54"/>
    <s v="Fora do porte mínimo (sem fit estrutural)"/>
    <s v="Bruno gostou bastante da solução, porém, no momento a estrutura da empresa ainda é pequena para utilização das nossas ferramentas. Deixei meu contato à disposição para, futuramente, caso a empresa cresça ou o perfil da operação mude, avaliarmos uma solução mais robusta."/>
    <s v=""/>
    <x v="0"/>
    <s v=""/>
    <x v="0"/>
    <s v=""/>
    <d v="2026-05-15T00:00:00"/>
    <n v="40"/>
    <s v=""/>
    <s v=""/>
    <s v=""/>
    <s v=""/>
    <n v="1"/>
  </r>
  <r>
    <x v="1"/>
    <n v="1213"/>
    <m/>
    <n v="3802"/>
    <s v="Olá Alexandre boa tarde ! Aqui é Junior Lopes da Guarani sistemas, Td bem ?_x000a_Estou retornando contato que vc fez conosco referente as nossas soluções de ERP e soluções de força de vendas_x000a_Olá Alexandre, bom dia_x000a_Bom dia_x000a_Mandei mensagem para saber sobre valor do sistema e como funciona_x000a_Ok_x000a_Pode deixar_x000a_Não tenho interesse"/>
    <s v="Analu Parafusos Ltda"/>
    <x v="680"/>
    <n v="26991643000138"/>
    <s v=""/>
    <s v="Alexandre"/>
    <s v="17981238345"/>
    <s v=""/>
    <s v="analuparafusos@gmail.com"/>
    <s v=""/>
    <s v=""/>
    <s v=""/>
    <s v="CAMPO GRANDE"/>
    <s v="MS"/>
    <s v="Campanha"/>
    <s v=""/>
    <s v=""/>
    <s v="Dentro Perfil;Instagram"/>
    <s v="Pipeline de Vendas"/>
    <s v="Qualificação de Vendas (SQL) (25%)"/>
    <s v=""/>
    <d v="2026-05-31T00:00:00"/>
    <m/>
    <m/>
    <n v="1"/>
    <s v="Paulo Souza"/>
    <d v="2026-05-13T00:00:00"/>
    <d v="1899-12-30T17:48:05"/>
    <s v=""/>
    <s v="Perdido"/>
    <d v="2026-05-14T00:00:00"/>
    <d v="1899-12-30T11:26:14"/>
    <s v="Cliente não quer contato LGPD"/>
    <s v="Olá Alexandre boa tarde ! Aqui é Junior Lopes da Guarani sistemas, Td bem ?_x000a_Estou retornando contato que vc fez conosco referente as nossas soluções de ERP e soluções de força de vendas_x000a_Olá Alexandre, bom dia_x000a_Bom dia_x000a_Mandei mensagem para saber sobre valor do sistema e como funciona_x000a_Ok_x000a_Pode deixar_x000a_Não tenho interesse"/>
    <s v=""/>
    <x v="0"/>
    <s v="Junior Lopes"/>
    <x v="0"/>
    <s v=""/>
    <d v="2026-05-14T00:00:00"/>
    <n v="30"/>
    <s v=""/>
    <s v=""/>
    <s v=""/>
    <s v=""/>
    <n v="1"/>
  </r>
  <r>
    <x v="2"/>
    <n v="1214"/>
    <m/>
    <n v="3804"/>
    <s v=""/>
    <s v=""/>
    <x v="681"/>
    <n v="68044700000111"/>
    <s v=""/>
    <s v="Belapin Industria E Comercio De Alimenticios Ltda"/>
    <s v="(011) 2726-761"/>
    <s v=""/>
    <s v="null"/>
    <s v=""/>
    <s v=""/>
    <s v=""/>
    <s v="SAO PAULO"/>
    <s v="SP"/>
    <s v="Base de empresas Leads2b"/>
    <s v=""/>
    <s v=""/>
    <s v=""/>
    <s v="Pipeline de Vendas"/>
    <s v="Qualificação de Vendas (SQL) (25%)"/>
    <s v=""/>
    <m/>
    <m/>
    <m/>
    <n v="7"/>
    <s v="Rayssa Karapeticov"/>
    <d v="2026-05-13T00:00:00"/>
    <d v="1899-12-30T18:21:57"/>
    <s v=""/>
    <s v="Ativo"/>
    <m/>
    <m/>
    <s v=""/>
    <s v=""/>
    <s v=""/>
    <x v="0"/>
    <s v=""/>
    <x v="0"/>
    <s v=""/>
    <m/>
    <m/>
    <s v=""/>
    <s v=""/>
    <s v=""/>
    <s v=""/>
    <n v="1"/>
  </r>
  <r>
    <x v="1"/>
    <n v="1215"/>
    <m/>
    <n v="3807"/>
    <s v=""/>
    <s v=""/>
    <x v="682"/>
    <m/>
    <s v=""/>
    <s v="Istok comercio importação (Cloud)"/>
    <s v="1123617746"/>
    <s v=""/>
    <s v="diogo.contabilidade@yahoo.com.br"/>
    <s v=""/>
    <s v=""/>
    <s v=""/>
    <s v=""/>
    <s v=""/>
    <s v=""/>
    <s v=""/>
    <s v=""/>
    <s v=""/>
    <s v="Pipeline de Vendas"/>
    <s v="Em Fechamento (100%)"/>
    <s v=""/>
    <m/>
    <n v="0"/>
    <n v="2400"/>
    <n v="5"/>
    <s v="Junior Lopes"/>
    <d v="2026-05-14T00:00:00"/>
    <d v="1899-12-30T08:46:38"/>
    <s v=""/>
    <s v="Ganho"/>
    <d v="2026-05-19T00:00:00"/>
    <d v="1899-12-30T14:27:54"/>
    <s v=""/>
    <s v=""/>
    <s v=""/>
    <x v="215"/>
    <s v=""/>
    <x v="235"/>
    <s v="12/05/2026"/>
    <m/>
    <n v="90"/>
    <s v=""/>
    <s v=""/>
    <s v=""/>
    <s v=""/>
    <n v="1"/>
  </r>
  <r>
    <x v="3"/>
    <n v="1216"/>
    <n v="289"/>
    <n v="3812"/>
    <s v="(13/05) Conversei com Joel, vendedor da Newlar. Atualmente, eles não possuem sistema de força de vendas via celular, realizando os pedidos de forma online._x000a_Joel me passou o contato do Edinho, gestor comercial. Enviei mensagem com o objetivo de agendarmos uma apresentação da solução._x000a_(14/05) Em ligação, Tatiana (financeiro) informou que a empresa utiliza o ERP Sankhya há cerca de 4 anos. Atualmente não possuem equipe de vendas externa, e o site é utilizado apenas para demonstração dos produtos/pedidos._x000a_Solicitou uma apresentação inicial por e-mail e também deixou o WhatsApp (11 97334-5254) para um novo contato, a fim de apresentarmos nossas soluções._x000a_Comentou ainda que considera a mensalidade atual do ERP elevada."/>
    <s v=""/>
    <x v="683"/>
    <n v="3717565000182"/>
    <s v="NEWLAR DISTRIBUIDORA DE UTILIDADES DOMESTICAS LTDA"/>
    <s v="Edinho"/>
    <s v="(11) 96123-5967"/>
    <s v="11961235967"/>
    <s v="newlar@newlar.com.br"/>
    <s v="Matriz"/>
    <s v=""/>
    <s v="AV VAUTIER 649"/>
    <s v="SAO PAULO"/>
    <s v="SP"/>
    <s v=""/>
    <s v=""/>
    <s v=""/>
    <s v="Dentro Perfil"/>
    <s v="Pipeline de Vendas"/>
    <s v="Qualificação de Vendas (SQL) (25%)"/>
    <s v=""/>
    <m/>
    <m/>
    <m/>
    <n v="6"/>
    <s v="Ronaldo Nascimento"/>
    <d v="2026-05-14T00:00:00"/>
    <d v="1899-12-30T11:56:50"/>
    <s v=""/>
    <s v="Ativo"/>
    <m/>
    <m/>
    <s v=""/>
    <s v=""/>
    <s v=""/>
    <x v="0"/>
    <s v=""/>
    <x v="0"/>
    <s v=""/>
    <m/>
    <n v="30"/>
    <s v=""/>
    <s v=""/>
    <s v=""/>
    <s v=""/>
    <n v="1"/>
  </r>
  <r>
    <x v="2"/>
    <n v="1217"/>
    <m/>
    <n v="3814"/>
    <s v=""/>
    <s v=""/>
    <x v="684"/>
    <n v="11587676000140"/>
    <s v=""/>
    <s v="Gifran Industria De Artigos Texteis Ltda"/>
    <s v="(24) 2255-5069"/>
    <s v=""/>
    <s v="comercial@gifran.com.br"/>
    <s v=""/>
    <s v=""/>
    <s v=""/>
    <s v="TRES RIOS"/>
    <s v="RJ"/>
    <s v="Base de empresas Leads2b"/>
    <s v=""/>
    <s v=""/>
    <s v=""/>
    <s v="Pipeline de Vendas"/>
    <s v="Qualificação de Vendas (SQL) (25%)"/>
    <s v=""/>
    <m/>
    <m/>
    <m/>
    <n v="6"/>
    <s v="Rayssa Karapeticov"/>
    <d v="2026-05-14T00:00:00"/>
    <d v="1899-12-30T14:46:19"/>
    <s v=""/>
    <s v="Ativo"/>
    <m/>
    <m/>
    <s v=""/>
    <s v=""/>
    <s v=""/>
    <x v="0"/>
    <s v=""/>
    <x v="0"/>
    <s v=""/>
    <d v="2026-05-14T00:00:00"/>
    <n v="30"/>
    <s v=""/>
    <s v=""/>
    <s v=""/>
    <s v=""/>
    <n v="1"/>
  </r>
  <r>
    <x v="2"/>
    <n v="1218"/>
    <m/>
    <n v="3817"/>
    <s v=""/>
    <s v=""/>
    <x v="685"/>
    <n v="3640671000105"/>
    <s v=""/>
    <s v="Plasnew Utilidades Domesticas Ltda."/>
    <s v="(19) 3852-9000"/>
    <s v=""/>
    <s v="plasnew@plasnew.ind.br"/>
    <s v=""/>
    <s v=""/>
    <s v=""/>
    <s v="PEDREIRA"/>
    <s v="SP"/>
    <s v="Base de empresas Leads2b"/>
    <s v=""/>
    <s v=""/>
    <s v=""/>
    <s v="Pipeline de Vendas"/>
    <s v="Qualificação de Vendas (SQL) (25%)"/>
    <s v=""/>
    <m/>
    <m/>
    <m/>
    <n v="6"/>
    <s v="Rayssa Karapeticov"/>
    <d v="2026-05-14T00:00:00"/>
    <d v="1899-12-30T14:49:03"/>
    <s v=""/>
    <s v="Ativo"/>
    <m/>
    <m/>
    <s v=""/>
    <s v=""/>
    <s v=""/>
    <x v="0"/>
    <s v=""/>
    <x v="0"/>
    <s v=""/>
    <m/>
    <m/>
    <s v=""/>
    <s v=""/>
    <s v=""/>
    <s v=""/>
    <n v="1"/>
  </r>
  <r>
    <x v="2"/>
    <n v="1219"/>
    <m/>
    <n v="3820"/>
    <s v=""/>
    <s v=""/>
    <x v="686"/>
    <n v="14892407000185"/>
    <s v=""/>
    <s v="Ambiente Verde Industria Ltda"/>
    <s v="(51) 3541-7491"/>
    <s v=""/>
    <s v="ambienteverde@ambienteverde.ind.br"/>
    <s v=""/>
    <s v=""/>
    <s v=""/>
    <s v="IGREJINHA"/>
    <s v="RS"/>
    <s v="Base de empresas Leads2b"/>
    <s v=""/>
    <s v=""/>
    <s v=""/>
    <s v="Pipeline de Vendas"/>
    <s v="Qualificação de Vendas (SQL) (25%)"/>
    <s v=""/>
    <m/>
    <m/>
    <m/>
    <n v="6"/>
    <s v="Rayssa Karapeticov"/>
    <d v="2026-05-14T00:00:00"/>
    <d v="1899-12-30T14:49:45"/>
    <s v=""/>
    <s v="Ativo"/>
    <m/>
    <m/>
    <s v=""/>
    <s v=""/>
    <s v=""/>
    <x v="0"/>
    <s v=""/>
    <x v="0"/>
    <s v=""/>
    <m/>
    <m/>
    <s v=""/>
    <s v=""/>
    <s v=""/>
    <s v=""/>
    <n v="1"/>
  </r>
  <r>
    <x v="1"/>
    <n v="1220"/>
    <m/>
    <n v="3824"/>
    <s v=""/>
    <s v=""/>
    <x v="687"/>
    <m/>
    <s v=""/>
    <s v="Baag - Horas"/>
    <s v="75981337574"/>
    <s v=""/>
    <s v="cleber@baag.com.br"/>
    <s v=""/>
    <s v=""/>
    <s v=""/>
    <s v=""/>
    <s v=""/>
    <s v=""/>
    <s v=""/>
    <s v=""/>
    <s v=""/>
    <s v="Pipeline de Vendas"/>
    <s v="Em negociação (75%)"/>
    <s v=""/>
    <m/>
    <n v="25228"/>
    <n v="0"/>
    <n v="6"/>
    <s v="Junior Lopes"/>
    <d v="2026-05-14T00:00:00"/>
    <d v="1899-12-30T14:51:10"/>
    <s v=""/>
    <s v="Ativo"/>
    <m/>
    <m/>
    <s v=""/>
    <s v=""/>
    <s v=""/>
    <x v="212"/>
    <s v=""/>
    <x v="0"/>
    <s v=""/>
    <m/>
    <n v="50"/>
    <s v=""/>
    <s v=""/>
    <s v=""/>
    <s v=""/>
    <n v="1"/>
  </r>
  <r>
    <x v="2"/>
    <n v="1221"/>
    <m/>
    <n v="3826"/>
    <s v=""/>
    <s v=""/>
    <x v="688"/>
    <n v="79846465000207"/>
    <s v=""/>
    <s v="Goedert Ltda"/>
    <s v="(48) 3205-2140"/>
    <s v=""/>
    <s v="administracao@goedert.com.br"/>
    <s v=""/>
    <s v=""/>
    <s v=""/>
    <s v="PALHOCA"/>
    <s v="SC"/>
    <s v="Base de empresas Leads2b"/>
    <s v=""/>
    <s v=""/>
    <s v=""/>
    <s v="Pipeline de Vendas"/>
    <s v="Qualificação de Vendas (SQL) (25%)"/>
    <s v=""/>
    <m/>
    <m/>
    <m/>
    <n v="6"/>
    <s v="Rayssa Karapeticov"/>
    <d v="2026-05-14T00:00:00"/>
    <d v="1899-12-30T15:23:21"/>
    <s v=""/>
    <s v="Ativo"/>
    <m/>
    <m/>
    <s v=""/>
    <s v=""/>
    <s v=""/>
    <x v="0"/>
    <s v=""/>
    <x v="0"/>
    <s v=""/>
    <m/>
    <m/>
    <s v=""/>
    <s v=""/>
    <s v=""/>
    <s v=""/>
    <n v="1"/>
  </r>
  <r>
    <x v="2"/>
    <n v="1222"/>
    <m/>
    <n v="3827"/>
    <s v=""/>
    <s v=""/>
    <x v="89"/>
    <n v="5670513000123"/>
    <s v=""/>
    <s v="Jlk Industria E Comercio De Plasticos Ltda"/>
    <s v="(11) 2243-0117"/>
    <s v=""/>
    <s v="jlk@jlkplasticos.com.br"/>
    <s v=""/>
    <s v=""/>
    <s v=""/>
    <s v="SAO PAULO"/>
    <s v="SP"/>
    <s v="Base de empresas Leads2b"/>
    <s v=""/>
    <s v=""/>
    <s v=""/>
    <s v="Pipeline de Vendas"/>
    <s v="Agendamento (0%)"/>
    <s v=""/>
    <m/>
    <m/>
    <m/>
    <n v="6"/>
    <s v="Rayssa Karapeticov"/>
    <d v="2026-05-14T00:00:00"/>
    <d v="1899-12-30T15:24:59"/>
    <s v=""/>
    <s v="Ativo"/>
    <m/>
    <m/>
    <s v=""/>
    <s v=""/>
    <s v=""/>
    <x v="0"/>
    <s v=""/>
    <x v="0"/>
    <s v=""/>
    <m/>
    <m/>
    <s v=""/>
    <s v=""/>
    <s v=""/>
    <s v=""/>
    <n v="1"/>
  </r>
  <r>
    <x v="2"/>
    <n v="1223"/>
    <m/>
    <n v="3830"/>
    <s v=""/>
    <s v=""/>
    <x v="689"/>
    <n v="29946937000136"/>
    <s v=""/>
    <s v="Mercapet Comercio De Acessorios Para Animais Ltda"/>
    <s v="(11) 7162-4141"/>
    <s v=""/>
    <s v="marcosmercapet@gmail.com"/>
    <s v=""/>
    <s v=""/>
    <s v=""/>
    <s v="ITAQUAQUECETUBA"/>
    <s v="SP"/>
    <s v="Base de empresas Leads2b"/>
    <s v=""/>
    <s v=""/>
    <s v=""/>
    <s v="Pipeline de Vendas"/>
    <s v="Agendamento (0%)"/>
    <s v=""/>
    <m/>
    <m/>
    <m/>
    <n v="6"/>
    <s v="Rayssa Karapeticov"/>
    <d v="2026-05-14T00:00:00"/>
    <d v="1899-12-30T15:29:49"/>
    <s v=""/>
    <s v="Ativo"/>
    <m/>
    <m/>
    <s v=""/>
    <s v=""/>
    <s v=""/>
    <x v="0"/>
    <s v=""/>
    <x v="0"/>
    <s v=""/>
    <m/>
    <m/>
    <s v=""/>
    <s v=""/>
    <s v=""/>
    <s v=""/>
    <n v="1"/>
  </r>
  <r>
    <x v="2"/>
    <n v="1224"/>
    <m/>
    <n v="3832"/>
    <s v=""/>
    <s v=""/>
    <x v="690"/>
    <n v="90406117000162"/>
    <s v=""/>
    <s v="Future Industria Metalurgica Ltda"/>
    <s v="(54) 3535-8700"/>
    <s v=""/>
    <s v="future@futureutilidades.com.br"/>
    <s v=""/>
    <s v=""/>
    <s v=""/>
    <s v="CAXIAS DO SUL"/>
    <s v="RS"/>
    <s v="Base de empresas Leads2b"/>
    <s v=""/>
    <s v=""/>
    <s v=""/>
    <s v="Pipeline de Vendas"/>
    <s v="Agendamento (0%)"/>
    <s v=""/>
    <m/>
    <m/>
    <m/>
    <n v="6"/>
    <s v="Rayssa Karapeticov"/>
    <d v="2026-05-14T00:00:00"/>
    <d v="1899-12-30T15:31:13"/>
    <s v=""/>
    <s v="Ativo"/>
    <m/>
    <m/>
    <s v=""/>
    <s v=""/>
    <s v=""/>
    <x v="0"/>
    <s v=""/>
    <x v="0"/>
    <s v=""/>
    <m/>
    <m/>
    <s v=""/>
    <s v=""/>
    <s v=""/>
    <s v=""/>
    <n v="1"/>
  </r>
  <r>
    <x v="2"/>
    <n v="1225"/>
    <m/>
    <n v="3835"/>
    <s v=""/>
    <s v=""/>
    <x v="691"/>
    <n v="5020996000110"/>
    <s v=""/>
    <s v="Primavera Industria De Vassouras E Escovas Ltda"/>
    <s v="(54) 3344-1438"/>
    <s v=""/>
    <s v="primavera@primavera.ind.br"/>
    <s v=""/>
    <s v=""/>
    <s v=""/>
    <s v="TAPEJARA"/>
    <s v="RS"/>
    <s v="Base de empresas Leads2b"/>
    <s v=""/>
    <s v=""/>
    <s v=""/>
    <s v="Pipeline de Vendas"/>
    <s v="Agendamento (0%)"/>
    <s v=""/>
    <m/>
    <m/>
    <m/>
    <n v="6"/>
    <s v="Rayssa Karapeticov"/>
    <d v="2026-05-14T00:00:00"/>
    <d v="1899-12-30T15:32:28"/>
    <s v=""/>
    <s v="Ativo"/>
    <m/>
    <m/>
    <s v=""/>
    <s v=""/>
    <s v=""/>
    <x v="0"/>
    <s v=""/>
    <x v="0"/>
    <s v=""/>
    <m/>
    <m/>
    <s v=""/>
    <s v=""/>
    <s v=""/>
    <s v=""/>
    <n v="1"/>
  </r>
  <r>
    <x v="2"/>
    <n v="1226"/>
    <m/>
    <n v="3838"/>
    <s v=""/>
    <s v=""/>
    <x v="692"/>
    <n v="30365926000141"/>
    <s v=""/>
    <s v="Esponjas Evol Clean Ltda"/>
    <s v="(44) 3629-5720"/>
    <s v=""/>
    <s v="esponjasevolclean@gmail.com"/>
    <s v=""/>
    <s v=""/>
    <s v=""/>
    <s v="CIANORTE"/>
    <s v="PR"/>
    <s v="Base de empresas Leads2b"/>
    <s v=""/>
    <s v=""/>
    <s v=""/>
    <s v="Pipeline de Vendas"/>
    <s v="Agendamento (0%)"/>
    <s v=""/>
    <m/>
    <m/>
    <m/>
    <n v="6"/>
    <s v="Rayssa Karapeticov"/>
    <d v="2026-05-14T00:00:00"/>
    <d v="1899-12-30T15:33:49"/>
    <s v=""/>
    <s v="Ativo"/>
    <m/>
    <m/>
    <s v=""/>
    <s v=""/>
    <s v=""/>
    <x v="0"/>
    <s v=""/>
    <x v="0"/>
    <s v=""/>
    <m/>
    <m/>
    <s v=""/>
    <s v=""/>
    <s v=""/>
    <s v=""/>
    <n v="1"/>
  </r>
  <r>
    <x v="2"/>
    <n v="1227"/>
    <m/>
    <n v="3840"/>
    <s v=""/>
    <s v=""/>
    <x v="693"/>
    <n v="1355480000176"/>
    <s v=""/>
    <s v="Uninjet Industria E Comercio De Plasticos Ltda"/>
    <s v="(11) 2521-3011"/>
    <s v=""/>
    <s v="a.garcia@uninjet.com.br"/>
    <s v=""/>
    <s v=""/>
    <s v=""/>
    <s v="SAO PAULO"/>
    <s v="SP"/>
    <s v="Base de empresas Leads2b"/>
    <s v=""/>
    <s v=""/>
    <s v=""/>
    <s v="Pipeline de Vendas"/>
    <s v="Agendamento (0%)"/>
    <s v=""/>
    <m/>
    <m/>
    <m/>
    <n v="6"/>
    <s v="Rayssa Karapeticov"/>
    <d v="2026-05-14T00:00:00"/>
    <d v="1899-12-30T15:34:25"/>
    <s v=""/>
    <s v="Ativo"/>
    <m/>
    <m/>
    <s v=""/>
    <s v=""/>
    <s v=""/>
    <x v="0"/>
    <s v=""/>
    <x v="0"/>
    <s v=""/>
    <m/>
    <m/>
    <s v=""/>
    <s v=""/>
    <s v=""/>
    <s v=""/>
    <n v="1"/>
  </r>
  <r>
    <x v="2"/>
    <n v="1228"/>
    <m/>
    <n v="3877"/>
    <s v=""/>
    <s v=""/>
    <x v="694"/>
    <n v="3959052000188"/>
    <s v=""/>
    <s v="Gioplast Industria E Comercio Ltda"/>
    <s v="(11) 3132-9192"/>
    <s v=""/>
    <s v="contato@produtosgiotto.com.br"/>
    <s v=""/>
    <s v=""/>
    <s v=""/>
    <s v="NAZARE PAULISTA"/>
    <s v="SP"/>
    <s v="Base de empresas Leads2b"/>
    <s v=""/>
    <s v=""/>
    <s v=""/>
    <s v="Pipeline de Vendas"/>
    <s v="Agendamento (0%)"/>
    <s v=""/>
    <m/>
    <m/>
    <m/>
    <n v="6"/>
    <s v="Rayssa Karapeticov"/>
    <d v="2026-05-14T00:00:00"/>
    <d v="1899-12-30T15:51:54"/>
    <s v=""/>
    <s v="Ativo"/>
    <m/>
    <m/>
    <s v=""/>
    <s v=""/>
    <s v=""/>
    <x v="0"/>
    <s v=""/>
    <x v="0"/>
    <s v=""/>
    <m/>
    <m/>
    <s v=""/>
    <s v=""/>
    <s v=""/>
    <s v=""/>
    <n v="1"/>
  </r>
  <r>
    <x v="2"/>
    <n v="1229"/>
    <m/>
    <n v="3881"/>
    <s v=""/>
    <s v=""/>
    <x v="695"/>
    <n v="9149833000193"/>
    <s v=""/>
    <s v="Neoplas Industria E Comercio De Plasticos Ltda"/>
    <s v="(47) 3438-6970"/>
    <s v=""/>
    <s v="neoplas@neoplas.com.br"/>
    <s v=""/>
    <s v=""/>
    <s v=""/>
    <s v="JOINVILLE"/>
    <s v="SC"/>
    <s v="Base de empresas Leads2b"/>
    <s v=""/>
    <s v=""/>
    <s v=""/>
    <s v="Pipeline de Vendas"/>
    <s v="Agendamento (0%)"/>
    <s v=""/>
    <m/>
    <m/>
    <m/>
    <n v="6"/>
    <s v="Rayssa Karapeticov"/>
    <d v="2026-05-14T00:00:00"/>
    <d v="1899-12-30T15:52:32"/>
    <s v=""/>
    <s v="Ativo"/>
    <m/>
    <m/>
    <s v=""/>
    <s v=""/>
    <s v=""/>
    <x v="0"/>
    <s v=""/>
    <x v="0"/>
    <s v=""/>
    <m/>
    <m/>
    <s v=""/>
    <s v=""/>
    <s v=""/>
    <s v=""/>
    <n v="1"/>
  </r>
  <r>
    <x v="2"/>
    <n v="1230"/>
    <m/>
    <n v="3892"/>
    <s v=""/>
    <s v=""/>
    <x v="696"/>
    <n v="8696119000314"/>
    <s v=""/>
    <s v="Mix Sao Paulo Industria E Comercio Ltda"/>
    <s v="(11) 3013-1300"/>
    <s v=""/>
    <s v="contato@plastco.com.br"/>
    <s v=""/>
    <s v=""/>
    <s v=""/>
    <s v="SAO PAULO"/>
    <s v="SP"/>
    <s v="Base de empresas Leads2b"/>
    <s v=""/>
    <s v=""/>
    <s v=""/>
    <s v="Pipeline de Vendas"/>
    <s v="Agendamento (0%)"/>
    <s v=""/>
    <m/>
    <m/>
    <m/>
    <n v="6"/>
    <s v="Rayssa Karapeticov"/>
    <d v="2026-05-14T00:00:00"/>
    <d v="1899-12-30T16:06:06"/>
    <s v=""/>
    <s v="Ativo"/>
    <m/>
    <m/>
    <s v=""/>
    <s v=""/>
    <s v=""/>
    <x v="0"/>
    <s v=""/>
    <x v="0"/>
    <s v=""/>
    <m/>
    <m/>
    <s v=""/>
    <s v=""/>
    <s v=""/>
    <s v=""/>
    <n v="1"/>
  </r>
  <r>
    <x v="2"/>
    <n v="1231"/>
    <m/>
    <n v="3895"/>
    <s v=""/>
    <s v=""/>
    <x v="697"/>
    <n v="8266046000169"/>
    <s v=""/>
    <s v="Forfest Industria De Descartaveis Ltda"/>
    <s v="(48) 3466-2961"/>
    <s v=""/>
    <s v="atendimento@forfest.com.br"/>
    <s v=""/>
    <s v=""/>
    <s v=""/>
    <s v="ORLEANS"/>
    <s v="SC"/>
    <s v="Base de empresas Leads2b"/>
    <s v=""/>
    <s v=""/>
    <s v=""/>
    <s v="Pipeline de Vendas"/>
    <s v="Qualificação de Vendas (SQL) (25%)"/>
    <s v=""/>
    <m/>
    <m/>
    <m/>
    <n v="6"/>
    <s v="Rayssa Karapeticov"/>
    <d v="2026-05-14T00:00:00"/>
    <d v="1899-12-30T16:13:45"/>
    <s v=""/>
    <s v="Ativo"/>
    <m/>
    <m/>
    <s v=""/>
    <s v=""/>
    <s v=""/>
    <x v="0"/>
    <s v=""/>
    <x v="0"/>
    <s v=""/>
    <m/>
    <m/>
    <s v=""/>
    <s v=""/>
    <s v=""/>
    <s v=""/>
    <n v="1"/>
  </r>
  <r>
    <x v="2"/>
    <n v="1232"/>
    <m/>
    <n v="3898"/>
    <s v=""/>
    <s v=""/>
    <x v="698"/>
    <n v="18455453000178"/>
    <s v=""/>
    <s v="Comfort Door Importacao E Distribuicao De Utilidades Domesticas Ltda"/>
    <s v="(43) 3376-3000"/>
    <s v=""/>
    <s v="contato@comfortdoor.com.br"/>
    <s v=""/>
    <s v=""/>
    <s v=""/>
    <s v="LONDRINA"/>
    <s v="PR"/>
    <s v="Base de empresas Leads2b"/>
    <s v=""/>
    <s v=""/>
    <s v=""/>
    <s v="Pipeline de Vendas"/>
    <s v="Qualificação de Vendas (SQL) (25%)"/>
    <s v=""/>
    <m/>
    <m/>
    <m/>
    <n v="6"/>
    <s v="Rayssa Karapeticov"/>
    <d v="2026-05-14T00:00:00"/>
    <d v="1899-12-30T16:14:25"/>
    <s v=""/>
    <s v="Ativo"/>
    <m/>
    <m/>
    <s v=""/>
    <s v=""/>
    <s v=""/>
    <x v="0"/>
    <s v=""/>
    <x v="0"/>
    <s v=""/>
    <m/>
    <m/>
    <s v=""/>
    <s v=""/>
    <s v=""/>
    <s v=""/>
    <n v="1"/>
  </r>
  <r>
    <x v="1"/>
    <n v="1233"/>
    <m/>
    <n v="3918"/>
    <s v=""/>
    <s v=""/>
    <x v="699"/>
    <n v="35754976000215"/>
    <s v=""/>
    <s v="StarTools ferramaentas (Cloud)"/>
    <s v="1184724282"/>
    <s v=""/>
    <s v="controladoria@startoolsferramentas.com.br"/>
    <s v=""/>
    <s v=""/>
    <s v=""/>
    <s v="ARAQUARI"/>
    <s v="SC"/>
    <s v=""/>
    <s v=""/>
    <s v=""/>
    <s v=""/>
    <s v="Pipeline de Vendas"/>
    <s v="Apresentar Solução (35%)"/>
    <s v=""/>
    <m/>
    <m/>
    <m/>
    <n v="5"/>
    <s v="Junior Lopes"/>
    <d v="2026-05-15T00:00:00"/>
    <d v="1899-12-30T11:25:41"/>
    <s v=""/>
    <s v="Ativo"/>
    <m/>
    <m/>
    <s v=""/>
    <s v=""/>
    <s v=""/>
    <x v="0"/>
    <s v=""/>
    <x v="239"/>
    <s v=""/>
    <m/>
    <n v="50"/>
    <s v=""/>
    <s v=""/>
    <s v=""/>
    <s v=""/>
    <n v="1"/>
  </r>
  <r>
    <x v="3"/>
    <n v="1234"/>
    <m/>
    <n v="3917"/>
    <s v="Todos os dados preenchidos:name: William Zanini Brogni field_3: Diretor phone: 45988277667 email: william@abtec.eng.br nome_da_empresa: Abtec field_4: Sudeste site_ou_rede_social_da_empresa: https://abecommerce.com.br/ referrer: https://instagram.com/ _x000a_(15/05) Falei com William, que estava em reunião no momento. Solicitou novo contato na segunda-feira pela manhã."/>
    <s v=""/>
    <x v="700"/>
    <m/>
    <s v=""/>
    <s v="William Zanini Brogni"/>
    <s v="(45) 98827-7667"/>
    <s v=""/>
    <s v="william@abtec.eng.br"/>
    <s v=""/>
    <s v=""/>
    <s v=""/>
    <s v="Cascavel"/>
    <s v=""/>
    <s v="Inbound"/>
    <s v=""/>
    <s v=""/>
    <s v="Dentro Perfil;Instagram"/>
    <s v="Pipeline de Vendas"/>
    <s v="Qualificação de Vendas (SQL) (25%)"/>
    <s v=""/>
    <m/>
    <m/>
    <m/>
    <n v="5"/>
    <s v="Paulo Souza"/>
    <d v="2026-05-15T00:00:00"/>
    <d v="1899-12-30T12:17:45"/>
    <s v=""/>
    <s v="Ativo"/>
    <m/>
    <m/>
    <s v=""/>
    <s v=""/>
    <s v=""/>
    <x v="0"/>
    <s v="Ronaldo Nascimento"/>
    <x v="0"/>
    <s v=""/>
    <m/>
    <n v="30"/>
    <s v=""/>
    <s v=""/>
    <s v=""/>
    <s v=""/>
    <n v="1"/>
  </r>
  <r>
    <x v="1"/>
    <n v="1236"/>
    <m/>
    <n v="3921"/>
    <s v=""/>
    <s v=""/>
    <x v="701"/>
    <m/>
    <s v=""/>
    <s v="MDL - Comex"/>
    <s v="11910695515"/>
    <s v=""/>
    <s v="janaina@mdlimport.com.br"/>
    <s v=""/>
    <s v=""/>
    <s v=""/>
    <s v=""/>
    <s v=""/>
    <s v=""/>
    <s v=""/>
    <s v=""/>
    <s v=""/>
    <s v="Pipeline de Vendas"/>
    <s v="Apresentar Proposta (50%)"/>
    <s v=""/>
    <m/>
    <m/>
    <m/>
    <n v="2"/>
    <s v="Junior Lopes"/>
    <d v="2026-05-18T00:00:00"/>
    <d v="1899-12-30T08:19:14"/>
    <s v=""/>
    <s v="Ativo"/>
    <m/>
    <m/>
    <s v=""/>
    <s v=""/>
    <s v=""/>
    <x v="217"/>
    <s v=""/>
    <x v="0"/>
    <s v=""/>
    <m/>
    <n v="50"/>
    <s v=""/>
    <s v=""/>
    <s v=""/>
    <s v=""/>
    <n v="1"/>
  </r>
  <r>
    <x v="1"/>
    <n v="1237"/>
    <m/>
    <n v="3922"/>
    <s v=""/>
    <s v=""/>
    <x v="702"/>
    <m/>
    <s v=""/>
    <s v="MDL - Boleto Whats"/>
    <s v="11910695515"/>
    <s v=""/>
    <s v="janaina@mdlimport.com.br"/>
    <s v=""/>
    <s v=""/>
    <s v=""/>
    <s v=""/>
    <s v=""/>
    <s v=""/>
    <s v=""/>
    <s v=""/>
    <s v=""/>
    <s v="Pipeline de Vendas"/>
    <s v="Apresentar Proposta (50%)"/>
    <s v=""/>
    <m/>
    <m/>
    <m/>
    <n v="2"/>
    <s v="Junior Lopes"/>
    <d v="2026-05-18T00:00:00"/>
    <d v="1899-12-30T08:26:32"/>
    <s v=""/>
    <s v="Ativo"/>
    <m/>
    <m/>
    <s v=""/>
    <s v=""/>
    <s v=""/>
    <x v="217"/>
    <s v=""/>
    <x v="240"/>
    <s v=""/>
    <m/>
    <n v="50"/>
    <s v=""/>
    <s v=""/>
    <s v=""/>
    <s v=""/>
    <n v="1"/>
  </r>
  <r>
    <x v="1"/>
    <n v="1238"/>
    <m/>
    <n v="3923"/>
    <s v=""/>
    <s v=""/>
    <x v="703"/>
    <m/>
    <s v=""/>
    <s v="Star Distribuidora - Boleto Whats"/>
    <s v="17996266970"/>
    <s v=""/>
    <s v="administrativo@distribuidorastar.com.br"/>
    <s v=""/>
    <s v=""/>
    <s v=""/>
    <s v=""/>
    <s v=""/>
    <s v=""/>
    <s v=""/>
    <s v=""/>
    <s v=""/>
    <s v="Pipeline de Vendas"/>
    <s v="Apresentar Proposta (50%)"/>
    <s v=""/>
    <m/>
    <m/>
    <m/>
    <n v="2"/>
    <s v="Junior Lopes"/>
    <d v="2026-05-18T00:00:00"/>
    <d v="1899-12-30T08:39:29"/>
    <s v=""/>
    <s v="Ativo"/>
    <m/>
    <m/>
    <s v=""/>
    <s v=""/>
    <s v=""/>
    <x v="217"/>
    <s v=""/>
    <x v="240"/>
    <s v=""/>
    <m/>
    <n v="50"/>
    <s v=""/>
    <s v=""/>
    <s v=""/>
    <s v=""/>
    <n v="1"/>
  </r>
  <r>
    <x v="1"/>
    <n v="1240"/>
    <m/>
    <n v="3962"/>
    <s v=""/>
    <s v=""/>
    <x v="704"/>
    <m/>
    <s v=""/>
    <s v="fuzipar - ERP"/>
    <s v="54984185138"/>
    <s v=""/>
    <s v="null"/>
    <s v=""/>
    <s v=""/>
    <s v=""/>
    <s v=""/>
    <s v=""/>
    <s v=""/>
    <s v=""/>
    <s v=""/>
    <s v=""/>
    <s v="Pipeline de Vendas"/>
    <s v="Apresentar Solução (35%)"/>
    <s v=""/>
    <m/>
    <m/>
    <m/>
    <n v="1"/>
    <s v="Junior Lopes"/>
    <d v="2026-05-19T00:00:00"/>
    <d v="1899-12-30T17:02:34"/>
    <s v=""/>
    <s v="Ativo"/>
    <m/>
    <m/>
    <s v=""/>
    <s v=""/>
    <s v=""/>
    <x v="0"/>
    <s v=""/>
    <x v="0"/>
    <s v=""/>
    <m/>
    <n v="50"/>
    <s v=""/>
    <s v=""/>
    <s v=""/>
    <s v=""/>
    <n v="1"/>
  </r>
</pivotCacheRecords>
</file>

<file path=xl/pivotCache/pivotCacheRecords4.xml><?xml version="1.0" encoding="utf-8"?>
<pivotCacheRecords xmlns="http://schemas.openxmlformats.org/spreadsheetml/2006/main" count="716">
  <r>
    <x v="0"/>
    <n v="87"/>
    <m/>
    <n v="548"/>
    <s v=""/>
    <s v=""/>
    <x v="0"/>
    <m/>
    <s v=""/>
    <s v="Paulo Teste"/>
    <s v="16997181604"/>
    <s v=""/>
    <s v="paulo.souza@guaranisistemas.com.br"/>
    <s v=""/>
    <s v=""/>
    <s v=""/>
    <s v=""/>
    <s v=""/>
    <s v=""/>
    <s v=""/>
    <s v=""/>
    <s v="Guarani AFV;SDRPaulo"/>
    <s v="Pipeline de Vendas"/>
    <s v="Agendamento (0%)"/>
    <s v=""/>
    <m/>
    <n v="0"/>
    <n v="27562"/>
    <n v="540"/>
    <s v="Paulo Souza"/>
    <d v="2024-11-26T00:00:00"/>
    <d v="1899-12-30T17:25:50"/>
    <s v=""/>
    <s v="Ativo"/>
    <m/>
    <m/>
    <s v=""/>
    <s v=""/>
    <s v=""/>
    <x v="0"/>
    <s v="Paulo Souza"/>
    <x v="0"/>
    <s v=""/>
    <m/>
    <m/>
    <s v=""/>
    <s v=""/>
    <s v=""/>
    <s v=""/>
    <n v="1"/>
  </r>
  <r>
    <x v="1"/>
    <n v="88"/>
    <m/>
    <n v="269"/>
    <s v=""/>
    <s v="EDDI INDUSTRIA E COMERCIO DE ARTEFATOS PLASTICOS LTDA"/>
    <x v="1"/>
    <n v="24870219000100"/>
    <s v=""/>
    <s v="EDDI CASA"/>
    <s v="16997246190"/>
    <s v=""/>
    <s v="comercial@eddicasa.com"/>
    <s v=""/>
    <s v="EDDI CASA;Bruno"/>
    <s v=""/>
    <s v="Ibitinga - SP"/>
    <s v="SP"/>
    <s v="Outbound"/>
    <s v=""/>
    <s v=""/>
    <s v="Guarani AFV;Importado a partir de lista;SDRFernanda"/>
    <s v="Pipeline de Vendas"/>
    <s v="Apresentar Proposta (50%)"/>
    <s v=""/>
    <m/>
    <m/>
    <m/>
    <n v="55"/>
    <s v="Fernanda Santiago"/>
    <d v="2024-11-27T00:00:00"/>
    <d v="1899-12-30T14:28:37"/>
    <s v=""/>
    <s v="Perdido"/>
    <d v="2025-01-21T00:00:00"/>
    <d v="1899-12-30T11:55:50"/>
    <s v="Projeto adiado / sem prazo definido"/>
    <s v="sem retorno do cliente"/>
    <s v="27/11/2024"/>
    <x v="1"/>
    <s v="Fernanda Santiago"/>
    <x v="1"/>
    <s v=""/>
    <m/>
    <m/>
    <s v=""/>
    <s v=""/>
    <s v=""/>
    <s v=""/>
    <n v="1"/>
  </r>
  <r>
    <x v="0"/>
    <n v="89"/>
    <m/>
    <n v="439"/>
    <s v="APÓS PESQUISA ENCONTREI O TELEFONE 88 98114-7695 NO CATALAGO DIGITAL DA EMPRESA, MANDEI MSG PARA VALIDAR E CONVERSEI COM LUCAS, ELE DISSE QUE NO PASSADO JA NOS PROCUROU PARA CONHECER NOSSO ERP, POIS QUEREM MUDAR DE SISTEMA, O GERENTE DELES DE PRODUÇÃO JA TRABALHOU CONOSCO NA ARCA PLAST E INDICOU. ATUALMENTE USA SISTEMA CHAMADO WSHOP, MAS NÃO ATENDE ELES BEM. QUER VER TODA PARTE DE PRODUÇÃO, PRODUTOS, CUSTOS, FATURAMENTO... POSSUEM POUCOS REPRESENTANTES, FOCO NO MOMENTO É O ERP, APÓS ELE VE O FORÇA DE VENDAS._x000a_AGENDADO APRESENTAÇÃO COM O PAULO DIA 27/11 AS 15H"/>
    <s v=""/>
    <x v="2"/>
    <n v="51921277000198"/>
    <s v=""/>
    <s v="Lucas"/>
    <s v="(88) 98114-7695"/>
    <s v=""/>
    <s v="lucasnewway@gmail.com"/>
    <s v=""/>
    <s v=""/>
    <s v=""/>
    <s v=""/>
    <s v=""/>
    <s v="Base de empresas Leads2b"/>
    <s v=""/>
    <s v=""/>
    <s v="SDRDébora"/>
    <s v="Pipeline de Vendas"/>
    <s v="Em negociação (75%)"/>
    <s v=""/>
    <m/>
    <m/>
    <m/>
    <n v="63"/>
    <s v="Débora Duarte"/>
    <d v="2024-11-27T00:00:00"/>
    <d v="1899-12-30T14:29:05"/>
    <s v=""/>
    <s v="Perdido"/>
    <d v="2025-01-29T00:00:00"/>
    <d v="1899-12-30T01:04:01"/>
    <s v="Cliente não quer contato LGPD"/>
    <s v=""/>
    <s v="27/11/2024"/>
    <x v="0"/>
    <s v="Débora Duarte"/>
    <x v="0"/>
    <s v=""/>
    <m/>
    <m/>
    <s v=""/>
    <s v=""/>
    <s v=""/>
    <s v=""/>
    <n v="1"/>
  </r>
  <r>
    <x v="1"/>
    <n v="90"/>
    <m/>
    <n v="372"/>
    <s v="FALEI COM SILDÁCIO, ATUALMENTE USAM SISTEMA PROPRIO, MAS BUSCAM MELHORIAS E CONFORMA PLANEJAMENTO PARA 2025 ESTÁ COTANDO COM SOLUÇÕES DO MERCADO, OUVI DE OUTRAS IMPORTADORAS QUE USAM NOSSA SISTEMA PARA FORÇA DE VENDAS. HOJE SÃO 5 RCA, MAS ESTÃO EXPANDIDO O ATENDIMENTO PARA OUTROS ESTADOS E AUMENTANDO A EQUIPE. USAM ERP TOTVS. SÃO IMPORTADORA UD/BRINQUEDOS/DECOR_x000a_AGENDADO APRESENTAÇÃO DIA 21/11 AS 11H30_x000a_INCLUIR NO INVITE jacqueline.santos@casafreitas.com.br"/>
    <s v=""/>
    <x v="3"/>
    <n v="1740627000575"/>
    <s v=""/>
    <s v="Sildácio Amaral"/>
    <s v="(85) 99797-0405"/>
    <s v=""/>
    <s v="sildacio.amaral@casafreitas.com.br"/>
    <s v=""/>
    <s v=""/>
    <s v=""/>
    <s v=""/>
    <s v=""/>
    <s v="Site"/>
    <s v=""/>
    <s v=""/>
    <s v="90%;Guarani AFV;SDRDébora;SDRInbound"/>
    <s v="Pipeline de Vendas"/>
    <s v="Em Fechamento (100%)"/>
    <s v="6x sem juros (0/30/60/90/120/150...)"/>
    <m/>
    <n v="14416"/>
    <n v="18072"/>
    <n v="266"/>
    <s v="Débora Duarte"/>
    <d v="2024-11-27T00:00:00"/>
    <d v="1899-12-30T15:32:35"/>
    <s v=""/>
    <s v="Ganho"/>
    <d v="2025-08-20T00:00:00"/>
    <d v="1899-12-30T09:37:28"/>
    <s v=""/>
    <s v=""/>
    <s v="19/11/2024 00:00"/>
    <x v="2"/>
    <s v="Débora Duarte"/>
    <x v="2"/>
    <s v="07/03/2025"/>
    <m/>
    <m/>
    <s v=""/>
    <s v=""/>
    <s v=""/>
    <s v=""/>
    <n v="1"/>
  </r>
  <r>
    <x v="1"/>
    <n v="91"/>
    <m/>
    <n v="502"/>
    <s v="Então, eu conheci o sistema AFV por um fornecedor nosso e ficamos interessados pelo recursos que você possui em realizar vendas e consultar estoques pelo celular_x000a_Somos um grupo o KWI, que é composto por 3 empresas, 2 é varejista e não fazemos vendas externas e nem representantes. E 1 é Atacadista, no momento é uma empresa nova, mas estamos nos organizando para incorporar vendas externas_x000a_Varejista e Atacadista_x000a_Porque ficamos interessamos em por exemplo quando estamos na feira para expor ao invés de fazer pedido no papel, utilizar um celular que é mais pratico_x000a_Ultimamos o ERP Verup_x000a_Ah então pode ser quinta 10hrs? Sou Supervisora do T.I_x000a_Recebi. Muito obrigada!!"/>
    <s v=""/>
    <x v="4"/>
    <n v="8196258000117"/>
    <s v=""/>
    <s v="Giovanna Seguette"/>
    <s v="(11) 94444-8474"/>
    <s v=""/>
    <s v="suppliers@bongmoon.com"/>
    <s v=""/>
    <s v=""/>
    <s v=""/>
    <s v=""/>
    <s v=""/>
    <s v="Site"/>
    <s v=""/>
    <s v=""/>
    <s v="Guarani AFV;SDRDébora;SDRInbound"/>
    <s v="Pipeline de Vendas"/>
    <s v="Apresentar Proposta (50%)"/>
    <s v=""/>
    <m/>
    <m/>
    <m/>
    <n v="55"/>
    <s v="Débora Duarte"/>
    <d v="2024-11-27T00:00:00"/>
    <d v="1899-12-30T15:34:41"/>
    <s v=""/>
    <s v="Perdido"/>
    <d v="2025-01-21T00:00:00"/>
    <d v="1899-12-30T11:59:45"/>
    <s v="Projeto adiado / sem prazo definido"/>
    <s v="sem retorno do cliente"/>
    <s v="25/11/2024 00:00"/>
    <x v="3"/>
    <s v="Débora Duarte"/>
    <x v="3"/>
    <s v=""/>
    <m/>
    <m/>
    <s v=""/>
    <s v=""/>
    <s v=""/>
    <s v=""/>
    <n v="1"/>
  </r>
  <r>
    <x v="1"/>
    <n v="92"/>
    <m/>
    <n v="360"/>
    <s v="APÓS INDICAÇÃO DO TEL 16 99776-7635 CONTATO PASSOU O Nº DA JESSICA, FALEI COM ELA POR WHATS, ATUALMENTE USAM SISTEMA DA IDEIA, MAS ELA ACEITOU VER UMA DEMONSTRAÇÃO DO NOSSO FORÇA DE VENDAS._x000a_EMPRESA É DE ARARAQUARA, INDUSTRIA DE UD_x000a_AGENDADO APRESENTAÇÃO DIA 03/12 AS 10H COM O JUCA"/>
    <s v="Utiliplas Fabricacao E Comercio De Artefatos Plasticos Ltda"/>
    <x v="5"/>
    <n v="32364538000171"/>
    <s v=""/>
    <s v="Jessica Edevania"/>
    <s v="(16) 3332-7378"/>
    <s v=""/>
    <s v="comercialutiliplas@gmail.com"/>
    <s v=""/>
    <s v=""/>
    <s v=""/>
    <s v="ARARAQUARA"/>
    <s v="SP"/>
    <s v="Base de empresas Leads2b"/>
    <s v=""/>
    <s v=""/>
    <s v="Guarani AFV;SDRDébora"/>
    <s v="Pipeline de Vendas"/>
    <s v="Em negociação (75%)"/>
    <s v=""/>
    <m/>
    <n v="2496"/>
    <m/>
    <n v="62"/>
    <s v="Débora Duarte"/>
    <d v="2024-11-27T00:00:00"/>
    <d v="1899-12-30T15:37:15"/>
    <s v=""/>
    <s v="Perdido"/>
    <d v="2025-01-28T00:00:00"/>
    <d v="1899-12-30T15:33:32"/>
    <s v="Projeto adiado / sem prazo definido"/>
    <s v="cliente não da retorno"/>
    <s v="26/11/2024 00:00"/>
    <x v="4"/>
    <s v="Débora Duarte"/>
    <x v="2"/>
    <s v=""/>
    <m/>
    <m/>
    <s v=""/>
    <s v=""/>
    <s v=""/>
    <s v=""/>
    <n v="1"/>
  </r>
  <r>
    <x v="0"/>
    <n v="93"/>
    <m/>
    <n v="598"/>
    <s v="A Primu's Rio é uma rede de lojas especializada em Brinquedos, Cama, Mesa e Banho, Utensílios domésticos, Papelaria, Plástico, Vidro, Alumínio e muito mais._x000a_São mais de 25 anos no mercado, oferecendo os melhores produtos com os melhores preços, tanto para o consumidor varejista, quanto para o atacadista._x000a_Site: Loja online de Primu's Rio - Quem Somos_x000a_O Grupo primus é um grupo econômico com 7 empresas, e estão divididas da seguinte maneira:_x000a_Distribuidora/Importadora_x000a_ERP = 10_x000a_AFV = 2_x000a_PDV = 10_x000a_7 CNPJ_x000a_Produtos de Interesse (ERP, AFV, PDV, MDFE, MDE, B2B)_x000a_Atacado e Lojas_x000a_4 lojas com 28 PDV, sendo que uma dessa loja é atacado._x000a_ASSUNTOS A SER DETALHANDOS NA APRESENTAÇÃO:_x000a_Política de preço, eles fazer 3 tipos de preço T1 (9,90), T2 (8,90), T3 (7,90), a regra é que com determinado volume financeiro na compra o preço flute entre as tabelas;_x000a_Tem dois tipos de custo quando a mercadoria entra pela importadora é um e pela distribuidora é outro, entender melhor isso_x000a_A apresentação dever ser focada na distribuidora e seus processos diários. Seguir o fluxo apresentando a Estoque, Financeiro, Fiscal, Politicas de Preço, Faturamento e Gerenciamento da Operação."/>
    <s v=""/>
    <x v="6"/>
    <n v="3375396000492"/>
    <s v=""/>
    <s v="Celso"/>
    <s v="21964236193"/>
    <s v=""/>
    <s v="celsomsc@gmail.com"/>
    <s v=""/>
    <s v=""/>
    <s v=""/>
    <s v="RIO DE JANEIRO"/>
    <s v="RJ"/>
    <s v="Outbound"/>
    <s v=""/>
    <s v=""/>
    <s v="Guarani AFV;Guarani B2B;Guarani ERP;Guarani PDV;MORNO;SDRPaulo"/>
    <s v="Pipeline de Vendas"/>
    <s v="Em negociação (75%)"/>
    <s v=""/>
    <m/>
    <n v="0"/>
    <n v="0"/>
    <n v="61"/>
    <s v="Paulo Souza"/>
    <d v="2024-11-28T00:00:00"/>
    <d v="1899-12-30T08:47:53"/>
    <s v=""/>
    <s v="Perdido"/>
    <d v="2025-01-28T00:00:00"/>
    <d v="1899-12-30T16:47:21"/>
    <s v="Projeto adiado / sem prazo definido"/>
    <s v="cliente não tem mais interesse."/>
    <s v=""/>
    <x v="0"/>
    <s v="Paulo Souza"/>
    <x v="0"/>
    <s v=""/>
    <m/>
    <m/>
    <s v=""/>
    <s v=""/>
    <s v=""/>
    <s v=""/>
    <n v="1"/>
  </r>
  <r>
    <x v="1"/>
    <n v="94"/>
    <m/>
    <n v="378"/>
    <s v=""/>
    <s v="GA CERAMICA ARTISTICA"/>
    <x v="7"/>
    <n v="11650898000160"/>
    <s v=""/>
    <s v="GA CERAMICA"/>
    <s v="1935815351"/>
    <s v=""/>
    <s v="atendimento@gaceramica.com.br"/>
    <s v=""/>
    <s v="GA CERAMICA;GA CERAMICA, Jorge"/>
    <s v=""/>
    <s v=""/>
    <s v=""/>
    <s v="Outbound"/>
    <s v=""/>
    <s v=""/>
    <s v="Guarani AFV;Importado a partir de lista;SDRFernanda"/>
    <s v="Pipeline de Vendas"/>
    <s v="Apresentar Solução (35%)"/>
    <s v=""/>
    <m/>
    <n v="0"/>
    <n v="0"/>
    <n v="61"/>
    <s v="Fernanda Santiago"/>
    <d v="2024-11-28T00:00:00"/>
    <d v="1899-12-30T15:01:56"/>
    <s v=""/>
    <s v="Perdido"/>
    <d v="2025-01-28T00:00:00"/>
    <d v="1899-12-30T13:56:56"/>
    <s v="Não quer mudar a solução atual"/>
    <s v="Falei com o Jorge, ele disse que esta acontecendo umas mudanças administrativas um dos socios esta saindo, então toda previsao de alterar sistemas ficou em stand by, disse para falarmos em fevereiro. Até a feira ele falou que pode ser que ja tenha resolvido entao falamos depois."/>
    <s v="02/12/2024 10:00"/>
    <x v="0"/>
    <s v="Fernanda Santiago"/>
    <x v="0"/>
    <s v=""/>
    <m/>
    <m/>
    <s v=""/>
    <s v=""/>
    <s v=""/>
    <s v=""/>
    <n v="1"/>
  </r>
  <r>
    <x v="0"/>
    <n v="95"/>
    <m/>
    <n v="778"/>
    <s v="Resumo de envio do Formulário Web_x000a_Produtos:_x000a_Guarani ERP_x000a_Nome_x000a_Viviane Gomes_x000a_E-mail_x000a_fiscal@aloebaf.com.br_x000a_Telefone / Whatsapp_x000a_38 99127-5338_x000a_Nome da Empresa_x000a_ALOEBAF COMERCIO DE COSMETICOS_x000a_Segmento_x000a_Distribuidor_x000a_Descrição da necessidade_x000a_Precisamos do Força de vendas"/>
    <s v=""/>
    <x v="8"/>
    <n v="15211327000180"/>
    <s v=""/>
    <s v="Viviane Gomes"/>
    <s v="38991275338"/>
    <s v=""/>
    <s v="fiscal@aloebaf.com.br"/>
    <s v=""/>
    <s v=""/>
    <s v=""/>
    <s v=""/>
    <s v=""/>
    <s v="Outbound"/>
    <s v=""/>
    <s v=""/>
    <s v="Adicionais ERP;Guarani AFV;Guarani ERP;Pausado;SDRDébora"/>
    <s v="Pipeline de Vendas"/>
    <s v="Apresentar Proposta (50%)"/>
    <s v=""/>
    <m/>
    <m/>
    <m/>
    <n v="39"/>
    <s v="Paulo Souza"/>
    <d v="2024-11-29T00:00:00"/>
    <d v="1899-12-30T14:07:35"/>
    <s v=""/>
    <s v="Perdido"/>
    <d v="2025-01-07T00:00:00"/>
    <d v="1899-12-30T17:01:29"/>
    <s v="Preço muito alto - fora do budget de investimento"/>
    <s v=""/>
    <s v=""/>
    <x v="0"/>
    <s v="Débora Duarte"/>
    <x v="4"/>
    <s v=""/>
    <m/>
    <m/>
    <s v=""/>
    <s v=""/>
    <s v=""/>
    <s v=""/>
    <n v="1"/>
  </r>
  <r>
    <x v="1"/>
    <n v="96"/>
    <n v="155"/>
    <n v="812"/>
    <s v=""/>
    <s v=""/>
    <x v="9"/>
    <n v="13609763000186"/>
    <s v="BAAG (Bahia Artes Gráficas)"/>
    <s v="BAAG (Bahia Artes Gráficas)"/>
    <s v="7532217777"/>
    <s v=""/>
    <s v="cleber@bahiagrafica.com.br"/>
    <s v=""/>
    <s v=""/>
    <s v=""/>
    <s v="Feira de Santana"/>
    <s v="BA"/>
    <s v="Outbound"/>
    <s v=""/>
    <s v=""/>
    <s v="Guarani AFV;Guarani ERP;QUENTE"/>
    <s v="Pipeline de Vendas"/>
    <s v="Em Fechamento (100%)"/>
    <s v="6x sem juros (0/30/60/90/120/150...)"/>
    <d v="2025-01-31T00:00:00"/>
    <n v="8479884"/>
    <n v="630984"/>
    <n v="62"/>
    <s v="Paulo Souza"/>
    <d v="2024-12-01T00:00:00"/>
    <d v="1899-12-30T20:30:36"/>
    <s v=""/>
    <s v="Ganho"/>
    <d v="2025-02-01T00:00:00"/>
    <d v="1899-12-30T01:40:07"/>
    <s v=""/>
    <s v=""/>
    <s v=""/>
    <x v="5"/>
    <s v="Junior Lopes"/>
    <x v="5"/>
    <s v=""/>
    <m/>
    <m/>
    <s v=""/>
    <s v=""/>
    <s v=""/>
    <s v=""/>
    <n v="1"/>
  </r>
  <r>
    <x v="1"/>
    <n v="97"/>
    <n v="155"/>
    <n v="813"/>
    <s v=""/>
    <s v=""/>
    <x v="10"/>
    <n v="13609763000186"/>
    <s v="BAAG (Bahia Artes Gráficas)"/>
    <s v="Cleber Chagas"/>
    <s v="75981337574"/>
    <s v=""/>
    <s v="cleber@bahiagrafica.com.br"/>
    <s v=""/>
    <s v=""/>
    <s v=""/>
    <s v="Feira de Santana"/>
    <s v="BA"/>
    <s v=""/>
    <s v=""/>
    <s v=""/>
    <s v="Guarani CLOUD;QUENTE"/>
    <s v="Pipeline de Vendas"/>
    <s v="Em negociação (75%)"/>
    <s v=""/>
    <m/>
    <m/>
    <m/>
    <n v="82"/>
    <s v="Paulo Souza"/>
    <d v="2024-12-01T00:00:00"/>
    <d v="1899-12-30T20:30:37"/>
    <s v=""/>
    <s v="Perdido"/>
    <d v="2025-02-21T00:00:00"/>
    <d v="1899-12-30T12:13:20"/>
    <s v="Não quer mudar a solução atual"/>
    <s v="servidor local"/>
    <s v=""/>
    <x v="5"/>
    <s v=""/>
    <x v="5"/>
    <s v=""/>
    <m/>
    <m/>
    <s v=""/>
    <s v=""/>
    <s v=""/>
    <s v=""/>
    <n v="1"/>
  </r>
  <r>
    <x v="1"/>
    <n v="98"/>
    <n v="156"/>
    <n v="816"/>
    <s v=""/>
    <s v=""/>
    <x v="11"/>
    <n v="3921447000272"/>
    <s v="Vaso Forte"/>
    <s v="Clovis &amp; Heli"/>
    <s v="11912422620"/>
    <s v=""/>
    <s v="heli@vasoforte.com.br"/>
    <s v=""/>
    <s v=""/>
    <s v=""/>
    <s v="Vargem Grande Paulista"/>
    <s v="SP"/>
    <s v=""/>
    <s v=""/>
    <s v=""/>
    <s v="Guarani ERP"/>
    <s v="Pipeline de Vendas"/>
    <s v="Em Fechamento (100%)"/>
    <s v=""/>
    <m/>
    <n v="532332"/>
    <n v="292918"/>
    <n v="110"/>
    <s v="Paulo Souza"/>
    <d v="2024-12-01T00:00:00"/>
    <d v="1899-12-30T20:30:37"/>
    <s v=""/>
    <s v="Ganho"/>
    <d v="2025-03-21T00:00:00"/>
    <d v="1899-12-30T10:49:38"/>
    <s v=""/>
    <s v=""/>
    <s v=""/>
    <x v="6"/>
    <s v=""/>
    <x v="6"/>
    <s v="24/01/2025"/>
    <m/>
    <m/>
    <s v=""/>
    <s v=""/>
    <s v=""/>
    <s v=""/>
    <n v="1"/>
  </r>
  <r>
    <x v="1"/>
    <n v="99"/>
    <n v="157"/>
    <n v="818"/>
    <s v=""/>
    <s v=""/>
    <x v="12"/>
    <n v="55773964000164"/>
    <s v="Plásticos Santana Ltda"/>
    <s v="Celso"/>
    <s v="19974093075"/>
    <s v=""/>
    <s v="comercial1@plasticossantana.com.br"/>
    <s v=""/>
    <s v=""/>
    <s v=""/>
    <s v="Artur Nogueira"/>
    <s v="SP"/>
    <s v=""/>
    <s v=""/>
    <s v=""/>
    <s v="Guarani AFV;Guarani ERP"/>
    <s v="Pipeline de Vendas"/>
    <s v="Qualificação de Vendas (SQL) (25%)"/>
    <s v=""/>
    <m/>
    <m/>
    <m/>
    <n v="11"/>
    <s v="Paulo Souza"/>
    <d v="2024-12-01T00:00:00"/>
    <d v="1899-12-30T20:30:37"/>
    <s v=""/>
    <s v="Perdido"/>
    <d v="2024-12-12T00:00:00"/>
    <d v="1899-12-30T10:02:11"/>
    <s v="Não informou motivo da desistência"/>
    <s v="retornar contato em 2025"/>
    <s v=""/>
    <x v="0"/>
    <s v=""/>
    <x v="0"/>
    <s v=""/>
    <m/>
    <m/>
    <s v=""/>
    <s v=""/>
    <s v=""/>
    <s v=""/>
    <n v="1"/>
  </r>
  <r>
    <x v="1"/>
    <n v="100"/>
    <n v="156"/>
    <n v="816"/>
    <s v=""/>
    <s v=""/>
    <x v="13"/>
    <n v="3921447000272"/>
    <s v="Vaso Forte"/>
    <s v="Clovis &amp; Heli"/>
    <s v="11912422620"/>
    <s v=""/>
    <s v="heli@vasoforte.com.br"/>
    <s v=""/>
    <s v=""/>
    <s v=""/>
    <s v="Vargem Grande Paulista"/>
    <s v="SP"/>
    <s v=""/>
    <s v=""/>
    <s v=""/>
    <s v="Guarani CLOUD"/>
    <s v="Pipeline de Vendas"/>
    <s v="Em Fechamento (100%)"/>
    <s v=""/>
    <m/>
    <n v="1600"/>
    <n v="256119"/>
    <n v="110"/>
    <s v="Paulo Souza"/>
    <d v="2024-12-01T00:00:00"/>
    <d v="1899-12-30T20:30:37"/>
    <s v=""/>
    <s v="Perdido"/>
    <d v="2025-03-21T00:00:00"/>
    <d v="1899-12-30T10:21:47"/>
    <s v="Projeto adiado / sem prazo definido"/>
    <s v="atualmente tem muita instabilidade de internet"/>
    <s v=""/>
    <x v="6"/>
    <s v=""/>
    <x v="7"/>
    <s v="24/01/2025"/>
    <m/>
    <m/>
    <s v=""/>
    <s v=""/>
    <s v=""/>
    <s v=""/>
    <n v="1"/>
  </r>
  <r>
    <x v="1"/>
    <n v="101"/>
    <n v="158"/>
    <n v="821"/>
    <s v=""/>
    <s v=""/>
    <x v="14"/>
    <n v="4207648000194"/>
    <s v="EDITORA ONLINE"/>
    <s v="João Carlos Gomes Brasil"/>
    <s v="11993739551"/>
    <s v=""/>
    <s v="joao@editoraonline.com.br"/>
    <s v=""/>
    <s v=""/>
    <s v=""/>
    <s v="Barueri"/>
    <s v="SP"/>
    <s v=""/>
    <s v=""/>
    <s v=""/>
    <s v="Guarani AFV;SDRDébora"/>
    <s v="Pipeline de Vendas"/>
    <s v="Em negociação (75%)"/>
    <s v=""/>
    <d v="2025-01-31T00:00:00"/>
    <n v="3928"/>
    <m/>
    <n v="51"/>
    <s v="Paulo Souza"/>
    <d v="2024-12-01T00:00:00"/>
    <d v="1899-12-30T20:30:37"/>
    <s v=""/>
    <s v="Perdido"/>
    <d v="2025-01-21T00:00:00"/>
    <d v="1899-12-30T11:56:46"/>
    <s v="Projeto adiado / sem prazo definido"/>
    <s v="sem retorno do cliente"/>
    <s v="14/10/2024"/>
    <x v="7"/>
    <s v="Débora Duarte"/>
    <x v="8"/>
    <s v=""/>
    <m/>
    <m/>
    <s v=""/>
    <s v=""/>
    <s v=""/>
    <s v=""/>
    <n v="1"/>
  </r>
  <r>
    <x v="1"/>
    <n v="102"/>
    <n v="159"/>
    <n v="823"/>
    <s v=""/>
    <s v=""/>
    <x v="15"/>
    <n v="43526090000161"/>
    <s v="Precisa Import"/>
    <s v="Carlos"/>
    <s v="11972961489"/>
    <s v=""/>
    <s v="comercial@prorepresentacao.com.nr"/>
    <s v=""/>
    <s v=""/>
    <s v=""/>
    <s v="Barueri"/>
    <s v="SP"/>
    <s v=""/>
    <s v=""/>
    <s v=""/>
    <s v="Guarani AFV;Guarani ERP"/>
    <s v="Pipeline de Vendas"/>
    <s v="Em Fechamento (100%)"/>
    <s v=""/>
    <d v="2024-12-06T00:00:00"/>
    <n v="49012"/>
    <m/>
    <n v="18"/>
    <s v="Paulo Souza"/>
    <d v="2024-12-01T00:00:00"/>
    <d v="1899-12-30T20:30:37"/>
    <s v=""/>
    <s v="Ganho"/>
    <d v="2024-12-19T00:00:00"/>
    <d v="1899-12-30T14:38:30"/>
    <s v=""/>
    <s v=""/>
    <s v=""/>
    <x v="8"/>
    <s v=""/>
    <x v="9"/>
    <s v=""/>
    <m/>
    <m/>
    <s v=""/>
    <s v=""/>
    <s v=""/>
    <s v=""/>
    <n v="1"/>
  </r>
  <r>
    <x v="1"/>
    <n v="103"/>
    <n v="160"/>
    <n v="825"/>
    <s v=""/>
    <s v=""/>
    <x v="16"/>
    <n v="4949701000122"/>
    <s v="Polimax"/>
    <s v="Valen Lesinelli"/>
    <s v="11998367755"/>
    <s v=""/>
    <s v="comercial@polimaxpolimeros.com.br"/>
    <s v=""/>
    <s v=""/>
    <s v=""/>
    <s v="São Paulo"/>
    <s v="SP"/>
    <s v=""/>
    <s v=""/>
    <s v=""/>
    <s v="Guarani AFV;Guarani ERP;QUENTE"/>
    <s v="Pipeline de Vendas"/>
    <s v="Em Fechamento (100%)"/>
    <s v="6x sem juros (0/30/60/90/120/150...)"/>
    <d v="2025-01-31T00:00:00"/>
    <n v="46854"/>
    <n v="348312"/>
    <n v="54"/>
    <s v="Paulo Souza"/>
    <d v="2024-12-01T00:00:00"/>
    <d v="1899-12-30T20:30:37"/>
    <s v=""/>
    <s v="Ganho"/>
    <d v="2025-01-24T00:00:00"/>
    <d v="1899-12-30T12:08:20"/>
    <s v=""/>
    <s v=""/>
    <s v=""/>
    <x v="9"/>
    <s v=""/>
    <x v="10"/>
    <s v="15/01/2025"/>
    <m/>
    <m/>
    <s v=""/>
    <s v=""/>
    <s v=""/>
    <s v=""/>
    <n v="1"/>
  </r>
  <r>
    <x v="1"/>
    <n v="104"/>
    <n v="161"/>
    <n v="843"/>
    <s v=""/>
    <s v=""/>
    <x v="17"/>
    <n v="2609426000172"/>
    <s v="MD Importação"/>
    <s v="Juliana"/>
    <s v="47991450725"/>
    <s v=""/>
    <s v="mdimposrtacao@gmail.com"/>
    <s v=""/>
    <s v=""/>
    <s v=""/>
    <s v="Rio do Sul"/>
    <s v="SC"/>
    <s v="Indicação"/>
    <s v=""/>
    <s v=""/>
    <s v="Guarani AFV;Guarani ERP"/>
    <s v="Pipeline de Vendas"/>
    <s v="Em negociação (75%)"/>
    <s v=""/>
    <m/>
    <m/>
    <m/>
    <n v="120"/>
    <s v="Paulo Souza"/>
    <d v="2024-12-01T00:00:00"/>
    <d v="1899-12-30T20:30:37"/>
    <s v=""/>
    <s v="Perdido"/>
    <d v="2025-03-31T00:00:00"/>
    <d v="1899-12-30T15:45:45"/>
    <s v="Não houve aprovação financeira"/>
    <s v="cliente esfriou após proposta comercial"/>
    <s v=""/>
    <x v="10"/>
    <s v=""/>
    <x v="11"/>
    <s v=""/>
    <m/>
    <m/>
    <s v=""/>
    <s v=""/>
    <s v=""/>
    <s v=""/>
    <n v="1"/>
  </r>
  <r>
    <x v="1"/>
    <n v="105"/>
    <n v="162"/>
    <n v="829"/>
    <s v=""/>
    <s v=""/>
    <x v="18"/>
    <n v="17545517000169"/>
    <s v="DPOT PLASTICOS"/>
    <s v="Michel Stracci"/>
    <s v="19997264646"/>
    <s v=""/>
    <s v="dpot.plasticos@gmail.com"/>
    <s v=""/>
    <s v=""/>
    <s v=""/>
    <s v="Pedreira"/>
    <s v="SP"/>
    <s v=""/>
    <s v=""/>
    <s v=""/>
    <s v="Guarani AFV;Guarani ERP;SDRDébora"/>
    <s v="Pipeline de Vendas"/>
    <s v="Em negociação (75%)"/>
    <s v=""/>
    <m/>
    <m/>
    <m/>
    <n v="58"/>
    <s v="Paulo Souza"/>
    <d v="2024-12-01T00:00:00"/>
    <d v="1899-12-30T20:30:37"/>
    <s v=""/>
    <s v="Perdido"/>
    <d v="2025-01-28T00:00:00"/>
    <d v="1899-12-30T15:31:14"/>
    <s v="Projeto adiado / sem prazo definido"/>
    <s v="sem retorno do cliente"/>
    <s v="04/11/2024"/>
    <x v="11"/>
    <s v="Débora Duarte"/>
    <x v="12"/>
    <s v=""/>
    <m/>
    <m/>
    <s v=""/>
    <s v=""/>
    <s v=""/>
    <s v=""/>
    <n v="1"/>
  </r>
  <r>
    <x v="1"/>
    <n v="106"/>
    <n v="162"/>
    <n v="829"/>
    <s v=""/>
    <s v=""/>
    <x v="19"/>
    <n v="17545517000169"/>
    <s v="DPOT PLASTICOS"/>
    <s v="Michel Stracci"/>
    <s v="19997264646"/>
    <s v=""/>
    <s v="dpot.plasticos@gmail.com"/>
    <s v=""/>
    <s v=""/>
    <s v=""/>
    <s v="Pedreira"/>
    <s v="SP"/>
    <s v=""/>
    <s v=""/>
    <s v=""/>
    <s v="Guarani CLOUD;SDRDébora"/>
    <s v="Pipeline de Vendas"/>
    <s v="Em negociação (75%)"/>
    <s v=""/>
    <m/>
    <m/>
    <m/>
    <n v="58"/>
    <s v="Paulo Souza"/>
    <d v="2024-12-01T00:00:00"/>
    <d v="1899-12-30T20:30:37"/>
    <s v=""/>
    <s v="Perdido"/>
    <d v="2025-01-28T00:00:00"/>
    <d v="1899-12-30T15:31:50"/>
    <s v="Projeto adiado / sem prazo definido"/>
    <s v="sem retorno do cliente"/>
    <s v="04/11/2024"/>
    <x v="11"/>
    <s v="Débora Duarte"/>
    <x v="12"/>
    <s v=""/>
    <m/>
    <m/>
    <s v=""/>
    <s v=""/>
    <s v=""/>
    <s v=""/>
    <n v="1"/>
  </r>
  <r>
    <x v="1"/>
    <n v="107"/>
    <n v="163"/>
    <n v="832"/>
    <s v=""/>
    <s v=""/>
    <x v="20"/>
    <n v="5861238000125"/>
    <s v="GRUPO GALA"/>
    <s v="Diego"/>
    <s v="6735659555"/>
    <s v=""/>
    <s v="diego@gala.com.br"/>
    <s v=""/>
    <s v=""/>
    <s v=""/>
    <s v="Aparecida do Taboado"/>
    <s v="MS"/>
    <s v=""/>
    <s v=""/>
    <s v=""/>
    <s v="Guarani B2B"/>
    <s v="Pipeline de Vendas"/>
    <s v="Em negociação (75%)"/>
    <s v=""/>
    <m/>
    <m/>
    <m/>
    <n v="58"/>
    <s v="Paulo Souza"/>
    <d v="2024-12-01T00:00:00"/>
    <d v="1899-12-30T20:30:37"/>
    <s v=""/>
    <s v="Perdido"/>
    <d v="2025-01-28T00:00:00"/>
    <d v="1899-12-30T15:32:41"/>
    <s v="Não houve aprovação financeira"/>
    <s v=""/>
    <s v=""/>
    <x v="12"/>
    <s v=""/>
    <x v="13"/>
    <s v=""/>
    <m/>
    <m/>
    <s v=""/>
    <s v=""/>
    <s v=""/>
    <s v=""/>
    <n v="1"/>
  </r>
  <r>
    <x v="1"/>
    <n v="108"/>
    <n v="160"/>
    <n v="825"/>
    <s v=""/>
    <s v=""/>
    <x v="21"/>
    <n v="4949701000122"/>
    <s v="Polimax"/>
    <s v="Valen Lesinelli"/>
    <s v="11998367755"/>
    <s v=""/>
    <s v="comercial@polimaxpolimeros.com.br"/>
    <s v=""/>
    <s v=""/>
    <s v=""/>
    <s v="São Paulo"/>
    <s v="SP"/>
    <s v=""/>
    <s v=""/>
    <s v=""/>
    <s v="Guarani CLOUD;QUENTE"/>
    <s v="Pipeline de Vendas"/>
    <s v="Em Fechamento (100%)"/>
    <s v="8x sem juros (0/30/60/90/120/150...)"/>
    <d v="2025-01-31T00:00:00"/>
    <n v="1600"/>
    <n v="224819"/>
    <n v="60"/>
    <s v="Paulo Souza"/>
    <d v="2024-12-01T00:00:00"/>
    <d v="1899-12-30T20:30:37"/>
    <s v=""/>
    <s v="Ganho"/>
    <d v="2025-01-30T00:00:00"/>
    <d v="1899-12-30T09:31:52"/>
    <s v=""/>
    <s v=""/>
    <s v=""/>
    <x v="13"/>
    <s v=""/>
    <x v="14"/>
    <s v="15/01/2025"/>
    <m/>
    <m/>
    <s v=""/>
    <s v=""/>
    <s v=""/>
    <s v=""/>
    <n v="1"/>
  </r>
  <r>
    <x v="1"/>
    <n v="109"/>
    <n v="164"/>
    <n v="835"/>
    <s v=""/>
    <s v=""/>
    <x v="22"/>
    <n v="2531826000102"/>
    <s v="Fosboi da Bahia"/>
    <s v="Marcelo Luz"/>
    <s v="75991975073"/>
    <s v=""/>
    <s v="marceloluizlimafilho@outlook.com"/>
    <s v=""/>
    <s v=""/>
    <s v=""/>
    <s v="Feira de Santana"/>
    <s v="BA"/>
    <s v=""/>
    <s v=""/>
    <s v=""/>
    <s v="Guarani AFV;Guarani ERP"/>
    <s v="Pipeline de Vendas"/>
    <s v="Apresentar Solução (35%)"/>
    <s v=""/>
    <m/>
    <m/>
    <m/>
    <n v="18"/>
    <s v="Paulo Souza"/>
    <d v="2024-12-01T00:00:00"/>
    <d v="1899-12-30T20:30:37"/>
    <s v=""/>
    <s v="Perdido"/>
    <d v="2024-12-19T00:00:00"/>
    <d v="1899-12-30T15:08:41"/>
    <s v="Não informou motivo da desistência"/>
    <s v="sem retorno"/>
    <s v=""/>
    <x v="1"/>
    <s v=""/>
    <x v="1"/>
    <s v=""/>
    <m/>
    <m/>
    <s v=""/>
    <s v=""/>
    <s v=""/>
    <s v=""/>
    <n v="1"/>
  </r>
  <r>
    <x v="1"/>
    <n v="110"/>
    <n v="165"/>
    <n v="836"/>
    <s v=""/>
    <s v=""/>
    <x v="23"/>
    <n v="29341068000116"/>
    <s v="TEK MIX DISTRIBUICAO"/>
    <s v="TEK MIX DISTRIBUICAO"/>
    <s v="62991561717"/>
    <s v=""/>
    <s v="Wolneyaraujolino@gmail.com"/>
    <s v=""/>
    <s v=""/>
    <s v=""/>
    <s v="Anapólis"/>
    <s v="GO"/>
    <s v=""/>
    <s v=""/>
    <s v=""/>
    <s v="Guarani AFV;Guarani ERP"/>
    <s v="Pipeline de Vendas"/>
    <s v="Apresentar Proposta (50%)"/>
    <s v=""/>
    <m/>
    <m/>
    <m/>
    <n v="57"/>
    <s v="Paulo Souza"/>
    <d v="2024-12-01T00:00:00"/>
    <d v="1899-12-30T20:30:37"/>
    <s v=""/>
    <s v="Perdido"/>
    <d v="2025-01-27T00:00:00"/>
    <d v="1899-12-30T11:52:01"/>
    <s v="Fechou com o concorrente - preço"/>
    <s v="Devido a localização e proposta do concorrente (Target) perdemos a concorrência"/>
    <s v=""/>
    <x v="1"/>
    <s v=""/>
    <x v="1"/>
    <s v=""/>
    <m/>
    <m/>
    <s v=""/>
    <s v=""/>
    <s v=""/>
    <s v=""/>
    <n v="1"/>
  </r>
  <r>
    <x v="1"/>
    <n v="111"/>
    <n v="165"/>
    <n v="837"/>
    <s v=""/>
    <s v=""/>
    <x v="24"/>
    <n v="29341068000116"/>
    <s v="TEK MIX DISTRIBUICAO"/>
    <s v="Wolden"/>
    <s v="62991561717"/>
    <s v=""/>
    <s v="Wolneyaraujolino@gmail.com"/>
    <s v=""/>
    <s v=""/>
    <s v=""/>
    <s v="Anapólis"/>
    <s v="GO"/>
    <s v=""/>
    <s v=""/>
    <s v=""/>
    <s v="Guarani CLOUD"/>
    <s v="Pipeline de Vendas"/>
    <s v="Apresentar Proposta (50%)"/>
    <s v=""/>
    <m/>
    <m/>
    <m/>
    <n v="57"/>
    <s v="Paulo Souza"/>
    <d v="2024-12-01T00:00:00"/>
    <d v="1899-12-30T20:30:37"/>
    <s v=""/>
    <s v="Perdido"/>
    <d v="2025-01-27T00:00:00"/>
    <d v="1899-12-30T11:52:59"/>
    <s v="Fechou com o concorrente - preço"/>
    <s v="Devido a localização e proposta do concorrente (Target) perdemos a concorrência"/>
    <s v=""/>
    <x v="1"/>
    <s v=""/>
    <x v="1"/>
    <s v=""/>
    <m/>
    <m/>
    <s v=""/>
    <s v=""/>
    <s v=""/>
    <s v=""/>
    <n v="1"/>
  </r>
  <r>
    <x v="1"/>
    <n v="113"/>
    <n v="167"/>
    <n v="842"/>
    <s v=""/>
    <s v=""/>
    <x v="25"/>
    <n v="7973104000121"/>
    <s v="ELMO ATACADO"/>
    <s v="João Carlos Tasca"/>
    <s v="47999949301"/>
    <s v=""/>
    <s v="joao@atacadoelmo.com.br"/>
    <s v=""/>
    <s v=""/>
    <s v=""/>
    <s v="Joinville"/>
    <s v="SC"/>
    <s v=""/>
    <s v=""/>
    <s v=""/>
    <s v="Adicionais ERP"/>
    <s v="Pipeline de Vendas"/>
    <s v="Em negociação (75%)"/>
    <s v=""/>
    <m/>
    <m/>
    <m/>
    <n v="81"/>
    <s v="Paulo Souza"/>
    <d v="2024-12-01T00:00:00"/>
    <d v="1899-12-30T20:30:38"/>
    <s v=""/>
    <s v="Perdido"/>
    <d v="2025-02-20T00:00:00"/>
    <d v="1899-12-30T11:26:46"/>
    <s v="Projeto adiado / sem prazo definido"/>
    <s v="cliente ainda não decidiu"/>
    <s v=""/>
    <x v="14"/>
    <s v=""/>
    <x v="0"/>
    <s v=""/>
    <m/>
    <m/>
    <s v=""/>
    <s v=""/>
    <s v=""/>
    <s v=""/>
    <n v="1"/>
  </r>
  <r>
    <x v="1"/>
    <n v="114"/>
    <n v="161"/>
    <n v="827"/>
    <s v=""/>
    <s v=""/>
    <x v="26"/>
    <n v="2609426000172"/>
    <s v="MD Importação"/>
    <s v="Juliana"/>
    <s v="47991450725"/>
    <s v=""/>
    <s v="mdimposrtacao@gmail.com"/>
    <s v=""/>
    <s v=""/>
    <s v=""/>
    <s v="Rio do Sul"/>
    <s v="SC"/>
    <s v="Indicação"/>
    <s v=""/>
    <s v=""/>
    <s v="Guarani CLOUD"/>
    <s v="Pipeline de Vendas"/>
    <s v="Em negociação (75%)"/>
    <s v=""/>
    <m/>
    <m/>
    <m/>
    <n v="120"/>
    <s v="Paulo Souza"/>
    <d v="2024-12-01T00:00:00"/>
    <d v="1899-12-30T20:30:38"/>
    <s v=""/>
    <s v="Perdido"/>
    <d v="2025-03-31T00:00:00"/>
    <d v="1899-12-30T15:46:33"/>
    <s v="Não houve aprovação financeira"/>
    <s v="cliente esfriou após envio da proposta comercial"/>
    <s v=""/>
    <x v="10"/>
    <s v=""/>
    <x v="11"/>
    <s v=""/>
    <m/>
    <m/>
    <s v=""/>
    <s v=""/>
    <s v=""/>
    <s v=""/>
    <n v="1"/>
  </r>
  <r>
    <x v="1"/>
    <n v="116"/>
    <m/>
    <n v="847"/>
    <s v=""/>
    <s v=""/>
    <x v="27"/>
    <n v="58151616000143"/>
    <s v=""/>
    <s v="Pedro"/>
    <s v="19993040768"/>
    <s v=""/>
    <s v="pehpbroglio@gmail.com"/>
    <s v=""/>
    <s v=""/>
    <s v=""/>
    <s v="ITAJAI"/>
    <s v="SC"/>
    <s v=""/>
    <s v=""/>
    <s v=""/>
    <s v="QUENTE"/>
    <s v="Pipeline de Vendas"/>
    <s v="Em Fechamento (100%)"/>
    <s v="10x sem juros (0/30/60/90/120/150...)"/>
    <d v="2025-01-31T00:00:00"/>
    <n v="4736912"/>
    <n v="98326"/>
    <n v="53"/>
    <s v="Junior Lopes"/>
    <d v="2024-12-02T00:00:00"/>
    <d v="1899-12-30T09:35:49"/>
    <s v=""/>
    <s v="Ganho"/>
    <d v="2025-01-24T00:00:00"/>
    <d v="1899-12-30T11:23:35"/>
    <s v=""/>
    <s v=""/>
    <s v=""/>
    <x v="15"/>
    <s v="Junior Lopes"/>
    <x v="15"/>
    <s v=""/>
    <m/>
    <m/>
    <s v=""/>
    <s v=""/>
    <s v=""/>
    <s v=""/>
    <n v="1"/>
  </r>
  <r>
    <x v="1"/>
    <n v="118"/>
    <m/>
    <n v="851"/>
    <s v=""/>
    <s v=""/>
    <x v="28"/>
    <n v="64582232000188"/>
    <s v=""/>
    <s v="Edi"/>
    <s v="11981337574"/>
    <s v=""/>
    <s v="ggealdo@injeplastec.com.br"/>
    <s v=""/>
    <s v=""/>
    <s v=""/>
    <s v=""/>
    <s v=""/>
    <s v=""/>
    <s v=""/>
    <s v=""/>
    <s v=""/>
    <s v="Pipeline de Vendas"/>
    <s v="Em negociação (75%)"/>
    <s v=""/>
    <d v="2025-01-31T00:00:00"/>
    <n v="202945"/>
    <m/>
    <n v="64"/>
    <s v="Junior Lopes"/>
    <d v="2024-12-04T00:00:00"/>
    <d v="1899-12-30T11:49:15"/>
    <s v=""/>
    <s v="Perdido"/>
    <d v="2025-02-06T00:00:00"/>
    <d v="1899-12-30T15:53:07"/>
    <s v="Não quer mudar a solução atual"/>
    <s v="cliente não decidiu seguir"/>
    <s v="02/12/2024"/>
    <x v="16"/>
    <s v="Junior Lopes"/>
    <x v="16"/>
    <s v=""/>
    <m/>
    <m/>
    <s v=""/>
    <s v=""/>
    <s v=""/>
    <s v=""/>
    <n v="1"/>
  </r>
  <r>
    <x v="1"/>
    <n v="122"/>
    <m/>
    <n v="855"/>
    <s v="Após a visita realizada em 10/12/2025, foi agendada uma nova reunião para tratar de assuntos técnicos em 12/12/2025 às 14h._x000a_13:47, 27/01/2026 Fabio Porto Brasil: Boa tarde Junior_x000a_13:47, 27/01/2026 Fabio Porto Brasil: tudo certo ?_x000a_13:47, 27/01/2026 Junior Lopes: Olá ! Sou Junior Lopes, consultor comercial Guarani sistemas _x000a_Como posso te ajudar ?_x000a_13:47, 27/01/2026 Fabio Porto Brasil: Antes de mais nada (e ainda em tempo kkkk), obrigado pela mensagem. Desejo um ótimo 2026_x000a_13:47, 27/01/2026 Fabio Porto Brasil: somente alinhado o status, a PBC deve iniciar em março/26, porém vou revisitar o cronograma de aprovação com eles para podermos nos alinhar._x000a_13:53, 27/01/2026 Junior Lopes: Olá Fábio, boa tarde ! Obrigado pelo retorno _x000a_Ficamos no aguardo então ! Caso necessário pode me chamar _x000a_Abraços"/>
    <s v=""/>
    <x v="29"/>
    <n v="8520654000158"/>
    <s v=""/>
    <s v="Marina"/>
    <s v="19999128074"/>
    <s v=""/>
    <s v="marina@portobrasilceramica.com.br"/>
    <s v=""/>
    <s v=""/>
    <s v=""/>
    <s v=""/>
    <s v=""/>
    <s v="Outbound"/>
    <s v=""/>
    <s v=""/>
    <s v="80%;Fabio Indica;Guarani AFV"/>
    <s v="Pipeline de Vendas"/>
    <s v="Em Fechamento (100%)"/>
    <s v="6x sem juros (0/30/60/90/120/150...)"/>
    <d v="2026-03-31T00:00:00"/>
    <n v="4519984"/>
    <n v="522464"/>
    <n v="512"/>
    <s v="Débora Duarte"/>
    <d v="2024-12-04T00:00:00"/>
    <d v="1899-12-30T14:40:54"/>
    <s v=""/>
    <s v="Ganho"/>
    <d v="2026-04-30T00:00:00"/>
    <d v="1899-12-30T14:25:28"/>
    <s v=""/>
    <s v=""/>
    <s v="04/12/2024 00:00"/>
    <x v="17"/>
    <s v="Junior Lopes"/>
    <x v="17"/>
    <s v="30/01/2025"/>
    <d v="2026-01-27T00:00:00"/>
    <n v="80"/>
    <s v=""/>
    <s v=""/>
    <s v=""/>
    <s v=""/>
    <n v="1"/>
  </r>
  <r>
    <x v="1"/>
    <n v="125"/>
    <m/>
    <n v="860"/>
    <s v=""/>
    <s v=""/>
    <x v="30"/>
    <m/>
    <s v=""/>
    <s v="GB Importadora - Clou"/>
    <s v="19993040768"/>
    <s v=""/>
    <s v="pehpbroglio@gmail.com"/>
    <s v=""/>
    <s v=""/>
    <s v=""/>
    <s v=""/>
    <s v=""/>
    <s v=""/>
    <s v=""/>
    <s v=""/>
    <s v="QUENTE"/>
    <s v="Pipeline de Vendas"/>
    <s v="Em Fechamento (100%)"/>
    <s v=""/>
    <d v="2025-01-31T00:00:00"/>
    <n v="1600"/>
    <n v="157626"/>
    <n v="49"/>
    <s v="Junior Lopes"/>
    <d v="2024-12-06T00:00:00"/>
    <d v="1899-12-30T16:28:22"/>
    <s v=""/>
    <s v="Ganho"/>
    <d v="2025-01-24T00:00:00"/>
    <d v="1899-12-30T11:42:08"/>
    <s v=""/>
    <s v=""/>
    <s v=""/>
    <x v="15"/>
    <s v=""/>
    <x v="18"/>
    <s v=""/>
    <m/>
    <m/>
    <s v=""/>
    <s v=""/>
    <s v=""/>
    <s v=""/>
    <n v="1"/>
  </r>
  <r>
    <x v="1"/>
    <n v="127"/>
    <m/>
    <n v="981"/>
    <s v=""/>
    <s v=""/>
    <x v="31"/>
    <n v="48885921000105"/>
    <s v=""/>
    <s v="Helder"/>
    <s v="(11) 3098-7840"/>
    <s v=""/>
    <s v="helder@ssdistribuidora.com.br"/>
    <s v=""/>
    <s v=""/>
    <s v=""/>
    <s v=""/>
    <s v=""/>
    <s v="Outbound"/>
    <s v=""/>
    <s v=""/>
    <s v=""/>
    <s v="Pipeline de Vendas"/>
    <s v="Em Fechamento (100%)"/>
    <s v=""/>
    <d v="2024-12-31T00:00:00"/>
    <n v="450"/>
    <m/>
    <n v="2"/>
    <s v="Junior Lopes"/>
    <d v="2024-12-10T00:00:00"/>
    <d v="1899-12-30T10:37:47"/>
    <s v=""/>
    <s v="Ganho"/>
    <d v="2024-12-12T00:00:00"/>
    <d v="1899-12-30T16:15:01"/>
    <s v=""/>
    <s v=""/>
    <s v="03/12/2024"/>
    <x v="18"/>
    <s v="Junior Lopes"/>
    <x v="16"/>
    <s v="11/12/2024"/>
    <m/>
    <m/>
    <s v=""/>
    <s v=""/>
    <s v=""/>
    <s v=""/>
    <n v="1"/>
  </r>
  <r>
    <x v="1"/>
    <n v="130"/>
    <m/>
    <n v="987"/>
    <s v=""/>
    <s v=""/>
    <x v="32"/>
    <n v="5691820000190"/>
    <s v=""/>
    <s v="Culturama"/>
    <s v="54996596274"/>
    <s v=""/>
    <s v="vinicius.mathyas@culturama.com.br"/>
    <s v=""/>
    <s v=""/>
    <s v=""/>
    <s v="CAXIAS DO SUL"/>
    <s v="RS"/>
    <s v=""/>
    <s v=""/>
    <s v=""/>
    <s v="QUENTE"/>
    <s v="Pipeline de Vendas"/>
    <s v="Em Fechamento (100%)"/>
    <s v=""/>
    <d v="2025-01-31T00:00:00"/>
    <n v="0"/>
    <n v="3564"/>
    <n v="43"/>
    <s v="Junior Lopes"/>
    <d v="2024-12-12T00:00:00"/>
    <d v="1899-12-30T09:14:28"/>
    <s v=""/>
    <s v="Ganho"/>
    <d v="2025-01-24T00:00:00"/>
    <d v="1899-12-30T11:07:30"/>
    <s v=""/>
    <s v=""/>
    <s v="05/12/2024"/>
    <x v="19"/>
    <s v="Junior Lopes"/>
    <x v="2"/>
    <s v=""/>
    <m/>
    <m/>
    <s v=""/>
    <s v=""/>
    <s v=""/>
    <s v=""/>
    <n v="1"/>
  </r>
  <r>
    <x v="1"/>
    <n v="131"/>
    <m/>
    <n v="990"/>
    <s v=""/>
    <s v=""/>
    <x v="33"/>
    <m/>
    <s v=""/>
    <s v="Rigomal"/>
    <s v="16997486376"/>
    <s v=""/>
    <s v="junior@rigomel.com.br"/>
    <s v=""/>
    <s v=""/>
    <s v=""/>
    <s v=""/>
    <s v=""/>
    <s v=""/>
    <s v=""/>
    <s v=""/>
    <s v=""/>
    <s v="Pipeline de Vendas"/>
    <s v="Apresentar Solução (35%)"/>
    <s v=""/>
    <m/>
    <n v="37964"/>
    <m/>
    <n v="7"/>
    <s v="Junior Lopes"/>
    <d v="2024-12-12T00:00:00"/>
    <d v="1899-12-30T10:50:50"/>
    <s v=""/>
    <s v="Perdido"/>
    <d v="2024-12-19T00:00:00"/>
    <d v="1899-12-30T09:39:21"/>
    <s v="Fechou com o concorrente - preço"/>
    <s v="junior informou que vai seguir com Mercus ! indicaçãom do seu atual ERP Triplus"/>
    <s v=""/>
    <x v="20"/>
    <s v=""/>
    <x v="19"/>
    <s v="16/12/2024"/>
    <m/>
    <m/>
    <s v=""/>
    <s v=""/>
    <s v=""/>
    <s v=""/>
    <n v="1"/>
  </r>
  <r>
    <x v="1"/>
    <n v="135"/>
    <m/>
    <n v="996"/>
    <s v=""/>
    <s v=""/>
    <x v="34"/>
    <m/>
    <s v=""/>
    <s v="Viva Vidros"/>
    <s v="11988839646"/>
    <s v=""/>
    <s v="comercial@vivavidros.com.br"/>
    <s v=""/>
    <s v=""/>
    <s v=""/>
    <s v=""/>
    <s v=""/>
    <s v=""/>
    <s v=""/>
    <s v=""/>
    <s v="QUENTE"/>
    <s v="Pipeline de Vendas"/>
    <s v="Em Fechamento (100%)"/>
    <s v=""/>
    <m/>
    <n v="28832"/>
    <n v="110248"/>
    <n v="83"/>
    <s v="Junior Lopes"/>
    <d v="2024-12-12T00:00:00"/>
    <d v="1899-12-30T17:20:55"/>
    <s v=""/>
    <s v="Perdido"/>
    <d v="2025-03-05T00:00:00"/>
    <d v="1899-12-30T11:12:51"/>
    <s v="Projeto adiado / sem prazo definido"/>
    <s v="cliente com situação de pendencias financeiras"/>
    <s v=""/>
    <x v="21"/>
    <s v=""/>
    <x v="0"/>
    <s v=""/>
    <m/>
    <m/>
    <s v=""/>
    <s v=""/>
    <s v=""/>
    <s v=""/>
    <n v="1"/>
  </r>
  <r>
    <x v="1"/>
    <n v="138"/>
    <m/>
    <n v="1103"/>
    <s v=""/>
    <s v=""/>
    <x v="35"/>
    <n v="54734384000103"/>
    <s v=""/>
    <s v="Star Distribuidora"/>
    <s v="17997793113"/>
    <s v=""/>
    <s v="comercial@distribuidorastar.com.br"/>
    <s v=""/>
    <s v=""/>
    <s v=""/>
    <s v=""/>
    <s v=""/>
    <s v=""/>
    <s v=""/>
    <s v=""/>
    <s v="QUENTE"/>
    <s v="Pipeline de Vendas"/>
    <s v="Em negociação (75%)"/>
    <s v=""/>
    <m/>
    <n v="49588"/>
    <m/>
    <n v="23"/>
    <s v="Junior Lopes"/>
    <d v="2024-12-17T00:00:00"/>
    <d v="1899-12-30T12:22:38"/>
    <s v=""/>
    <s v="Perdido"/>
    <d v="2025-01-09T00:00:00"/>
    <d v="1899-12-30T15:57:21"/>
    <s v="Projeto adiado / sem prazo definido"/>
    <s v="estamos fechando solução completa"/>
    <s v=""/>
    <x v="22"/>
    <s v=""/>
    <x v="20"/>
    <s v=""/>
    <m/>
    <m/>
    <s v=""/>
    <s v=""/>
    <s v=""/>
    <s v=""/>
    <n v="1"/>
  </r>
  <r>
    <x v="1"/>
    <n v="139"/>
    <m/>
    <n v="1113"/>
    <s v=""/>
    <s v=""/>
    <x v="36"/>
    <m/>
    <s v=""/>
    <s v="DCL Editora"/>
    <s v="11991297401"/>
    <s v=""/>
    <s v="administrativo@editoradcl.com.br"/>
    <s v=""/>
    <s v=""/>
    <s v=""/>
    <s v=""/>
    <s v=""/>
    <s v=""/>
    <s v=""/>
    <s v=""/>
    <s v=""/>
    <s v="Pipeline de Vendas"/>
    <s v="Apresentar Proposta (50%)"/>
    <s v=""/>
    <d v="2025-01-31T00:00:00"/>
    <n v="168592"/>
    <n v="6426"/>
    <n v="40"/>
    <s v="Junior Lopes"/>
    <d v="2024-12-19T00:00:00"/>
    <d v="1899-12-30T09:42:19"/>
    <s v=""/>
    <s v="Perdido"/>
    <d v="2025-01-28T00:00:00"/>
    <d v="1899-12-30T14:28:25"/>
    <s v="Não houve aprovação financeira"/>
    <s v="cliente não deu sequencia em nossa negociação"/>
    <s v="12/12/2024"/>
    <x v="16"/>
    <s v=""/>
    <x v="21"/>
    <s v=""/>
    <m/>
    <m/>
    <s v=""/>
    <s v=""/>
    <s v=""/>
    <s v=""/>
    <n v="1"/>
  </r>
  <r>
    <x v="1"/>
    <n v="140"/>
    <m/>
    <n v="1114"/>
    <s v=""/>
    <s v=""/>
    <x v="37"/>
    <m/>
    <s v=""/>
    <s v="Everson"/>
    <s v="17997793113"/>
    <s v=""/>
    <s v="comercial@distribuidorastar.com.br"/>
    <s v=""/>
    <s v=""/>
    <s v=""/>
    <s v=""/>
    <s v=""/>
    <s v=""/>
    <s v=""/>
    <s v=""/>
    <s v=""/>
    <s v="Pipeline de Vendas"/>
    <s v="Em Fechamento (100%)"/>
    <s v="10x sem juros (0/30/60/90/120/150...)"/>
    <d v="2025-01-31T00:00:00"/>
    <n v="4587892"/>
    <n v="628168"/>
    <n v="36"/>
    <s v="Junior Lopes"/>
    <d v="2024-12-19T00:00:00"/>
    <d v="1899-12-30T10:01:34"/>
    <s v=""/>
    <s v="Ganho"/>
    <d v="2025-01-24T00:00:00"/>
    <d v="1899-12-30T12:26:37"/>
    <s v=""/>
    <s v=""/>
    <s v=""/>
    <x v="23"/>
    <s v=""/>
    <x v="22"/>
    <s v="09/01/2025"/>
    <m/>
    <m/>
    <s v=""/>
    <s v=""/>
    <s v=""/>
    <s v=""/>
    <n v="1"/>
  </r>
  <r>
    <x v="1"/>
    <n v="141"/>
    <n v="159"/>
    <n v="1115"/>
    <s v=""/>
    <s v=""/>
    <x v="38"/>
    <n v="43526090000161"/>
    <s v="Precisa Import"/>
    <s v="Tony"/>
    <s v="11972961489"/>
    <s v=""/>
    <s v="comercial@prorepresentacao.com.nr"/>
    <s v=""/>
    <s v=""/>
    <s v=""/>
    <s v="Barueri"/>
    <s v="SP"/>
    <s v=""/>
    <s v=""/>
    <s v=""/>
    <s v=""/>
    <s v="Pipeline de Vendas"/>
    <s v="Em Fechamento (100%)"/>
    <s v="8x sem juros (0/30/60/90/120/150...)"/>
    <d v="2025-01-31T00:00:00"/>
    <n v="1600"/>
    <n v="2500"/>
    <n v="42"/>
    <s v="Junior Lopes"/>
    <d v="2024-12-19T00:00:00"/>
    <d v="1899-12-30T14:40:15"/>
    <s v=""/>
    <s v="Ganho"/>
    <d v="2025-01-28T00:00:00"/>
    <d v="1899-12-30T16:21:11"/>
    <s v=""/>
    <s v="0"/>
    <s v="20/01/2025"/>
    <x v="24"/>
    <s v=""/>
    <x v="0"/>
    <s v=""/>
    <m/>
    <m/>
    <s v=""/>
    <s v=""/>
    <s v=""/>
    <s v=""/>
    <n v="1"/>
  </r>
  <r>
    <x v="1"/>
    <n v="142"/>
    <m/>
    <n v="1117"/>
    <s v=""/>
    <s v=""/>
    <x v="39"/>
    <m/>
    <s v=""/>
    <s v="Everson"/>
    <s v="17997793113"/>
    <s v=""/>
    <s v="comercial@distribuidorastar.com.br"/>
    <s v=""/>
    <s v=""/>
    <s v=""/>
    <s v=""/>
    <s v=""/>
    <s v=""/>
    <s v=""/>
    <s v=""/>
    <s v=""/>
    <s v="Pipeline de Vendas"/>
    <s v="Em Fechamento (100%)"/>
    <s v=""/>
    <d v="2025-01-31T00:00:00"/>
    <n v="1600"/>
    <n v="243721"/>
    <n v="35"/>
    <s v="Junior Lopes"/>
    <d v="2024-12-20T00:00:00"/>
    <d v="1899-12-30T14:30:10"/>
    <s v=""/>
    <s v="Ganho"/>
    <d v="2025-01-24T00:00:00"/>
    <d v="1899-12-30T14:02:50"/>
    <s v=""/>
    <s v=""/>
    <s v=""/>
    <x v="23"/>
    <s v=""/>
    <x v="22"/>
    <s v="09/01/2025"/>
    <m/>
    <m/>
    <s v=""/>
    <s v=""/>
    <s v=""/>
    <s v=""/>
    <n v="1"/>
  </r>
  <r>
    <x v="0"/>
    <n v="144"/>
    <m/>
    <n v="181"/>
    <s v="Me chamou no whatsapp, possível indicação."/>
    <s v=""/>
    <x v="40"/>
    <n v="27805256000122"/>
    <s v=""/>
    <s v="Jefeerson"/>
    <s v="(83) 3441-1738 / (83) 9882-5004"/>
    <s v=""/>
    <s v=""/>
    <s v=""/>
    <s v=""/>
    <s v=""/>
    <s v="CATOLE DO ROCHA"/>
    <s v="PB"/>
    <s v="Feiras"/>
    <s v=""/>
    <s v=""/>
    <s v="Abup2025Fevereiro;GELADO"/>
    <s v="Pipeline de Vendas"/>
    <s v="Em Fechamento (100%)"/>
    <s v="6x sem juros (0/30/60/90/120/150...)"/>
    <m/>
    <n v="146772"/>
    <n v="1102804"/>
    <n v="154"/>
    <s v="Paulo Souza"/>
    <d v="2025-01-07T00:00:00"/>
    <d v="1899-12-30T16:58:48"/>
    <s v=""/>
    <s v="Ganho"/>
    <d v="2025-01-29T00:00:00"/>
    <d v="1899-12-30T01:04:49"/>
    <s v=""/>
    <s v="0"/>
    <s v=""/>
    <x v="25"/>
    <s v="Paulo Souza"/>
    <x v="23"/>
    <s v=""/>
    <m/>
    <m/>
    <s v=""/>
    <s v=""/>
    <s v=""/>
    <s v=""/>
    <n v="1"/>
  </r>
  <r>
    <x v="0"/>
    <n v="145"/>
    <m/>
    <n v="12"/>
    <s v="Indústria de alumínio atualmente utiliza um ERP local, junto com o EPR do mesmo fornecedor. Porém a principal dificuldade esta no processo produtivo, que ainda não foi implantado. Por este motivo a empresa necessita de um módulo de PCP (Planejamento e controle da produção) e o AFV atual não atende as necessidades comerciais._x000a_MBA Alumínios_x000a_Com mais de 38 anos de atuação no setor de alumínios, a MBA Alumínios é uma fábrica consolidada que abrange toda a cadeia produtiva de panelas de alumínio, desde a compra de sucata, produção de discos, estamparia, pintura, montagem, até embalagem e armazenamento._x000a_A empresa adotará os seguintes produtos:_x000a_ERP + PCP: 10 usuários_x000a_Checkout (ERP): 4 usuários_x000a_AFV: 14 usuários_x000a_MDe_x000a_MDFe_x000a_Possui dois CNPJs enquadrados no Simples Nacional e está localizada na cidade de Itaúna - MG."/>
    <s v="MBA ALUMINIOS LTDA."/>
    <x v="41"/>
    <n v="22752240000185"/>
    <s v=""/>
    <s v="Selmo Fernandes"/>
    <s v="(37) 99856-9457"/>
    <s v=""/>
    <s v="selmofilho@mbaluminios.com.br"/>
    <s v=""/>
    <s v=""/>
    <s v=""/>
    <s v="ITAUNA"/>
    <s v=""/>
    <s v="Outbound"/>
    <s v=""/>
    <s v=""/>
    <s v="SDRDébora"/>
    <s v="Pipeline de Vendas"/>
    <s v="Em negociação (75%)"/>
    <s v=""/>
    <m/>
    <m/>
    <m/>
    <n v="38"/>
    <s v="Paulo Souza"/>
    <d v="2025-01-07T00:00:00"/>
    <d v="1899-12-30T17:36:41"/>
    <s v=""/>
    <s v="Perdido"/>
    <d v="2025-02-14T00:00:00"/>
    <d v="1899-12-30T15:35:32"/>
    <s v="Projeto adiado / sem prazo definido"/>
    <s v=""/>
    <s v=""/>
    <x v="0"/>
    <s v=""/>
    <x v="24"/>
    <s v=""/>
    <m/>
    <m/>
    <s v=""/>
    <s v=""/>
    <s v=""/>
    <s v=""/>
    <n v="1"/>
  </r>
  <r>
    <x v="1"/>
    <n v="148"/>
    <m/>
    <n v="270"/>
    <s v="Carlos informou que possui hoje 50 RCA, e utilizam o ERP Solides."/>
    <s v="ETRURIA INDUSTRIA DE FIBRAS E FIOS SINTETICOS LTDA"/>
    <x v="42"/>
    <n v="45723541000186"/>
    <s v=""/>
    <s v="ETRURIA"/>
    <s v="1147188700"/>
    <s v=""/>
    <s v="etruria@etruria.com.br"/>
    <s v=""/>
    <s v="ETRURIA;Carlos"/>
    <s v=""/>
    <s v="Mairinque - SP"/>
    <s v="SP"/>
    <s v="Outbound"/>
    <s v=""/>
    <s v=""/>
    <s v="Importado a partir de lista;SDRFernanda"/>
    <s v="Pipeline de Vendas"/>
    <s v="Em negociação (75%)"/>
    <s v=""/>
    <m/>
    <n v="16960"/>
    <n v="4714"/>
    <n v="72"/>
    <s v="Fernanda Santiago"/>
    <d v="2025-01-08T00:00:00"/>
    <d v="1899-12-30T11:08:30"/>
    <s v=""/>
    <s v="Perdido"/>
    <d v="2025-03-21T00:00:00"/>
    <d v="1899-12-30T10:20:05"/>
    <s v="Não quer mudar a solução atual"/>
    <s v="decidiu não mudar força de vendas nesse momento"/>
    <s v=""/>
    <x v="26"/>
    <s v="Fernanda Santiago"/>
    <x v="25"/>
    <s v="21/01/2025"/>
    <m/>
    <m/>
    <s v=""/>
    <s v=""/>
    <s v=""/>
    <s v=""/>
    <n v="1"/>
  </r>
  <r>
    <x v="1"/>
    <n v="151"/>
    <m/>
    <n v="1540"/>
    <s v=""/>
    <s v=""/>
    <x v="43"/>
    <n v="21733807000103"/>
    <s v=""/>
    <s v="News aviamentos"/>
    <s v="(11) 3229-6911"/>
    <s v=""/>
    <s v="caiotls@hotmail.com"/>
    <s v=""/>
    <s v=""/>
    <s v=""/>
    <s v="SAO PAULO"/>
    <s v="SP"/>
    <s v=""/>
    <s v=""/>
    <s v=""/>
    <s v=""/>
    <s v="Pipeline de Vendas"/>
    <s v="Em negociação (75%)"/>
    <s v=""/>
    <m/>
    <n v="4830624"/>
    <n v="384549"/>
    <n v="43"/>
    <s v="Junior Lopes"/>
    <d v="2025-01-09T00:00:00"/>
    <d v="1899-12-30T16:01:24"/>
    <s v=""/>
    <s v="Perdido"/>
    <d v="2025-02-21T00:00:00"/>
    <d v="1899-12-30T14:27:38"/>
    <s v="Não houve aprovação financeira"/>
    <s v="achou investimento fora para o momento"/>
    <s v=""/>
    <x v="26"/>
    <s v=""/>
    <x v="26"/>
    <s v="20/01/2025"/>
    <m/>
    <m/>
    <s v=""/>
    <s v=""/>
    <s v=""/>
    <s v=""/>
    <n v="1"/>
  </r>
  <r>
    <x v="0"/>
    <n v="154"/>
    <n v="177"/>
    <n v="1546"/>
    <s v=""/>
    <s v=""/>
    <x v="44"/>
    <n v="58636773000149"/>
    <s v="GLOBAL MIX ATACADISTA LTDA."/>
    <s v="Juan Charles Brandão Bastos"/>
    <s v="(32) 98458-5164"/>
    <s v=""/>
    <s v="afonso@assecon.net.br"/>
    <s v="Matriz"/>
    <s v=""/>
    <s v="R DOM LUIZ ORIONE 577"/>
    <s v="Juiz de Fora"/>
    <s v="MG"/>
    <s v="Site"/>
    <s v="Site"/>
    <s v=""/>
    <s v="GELADO;Pausado;Solicita demo"/>
    <s v="Pipeline de Vendas"/>
    <s v="Em negociação (75%)"/>
    <s v="6x sem juros (0/30/60/90/120/150...)"/>
    <m/>
    <n v="5689656"/>
    <n v="259936"/>
    <n v="151"/>
    <s v="Fernanda Santiago"/>
    <d v="2025-01-10T00:00:00"/>
    <d v="1899-12-30T12:12:42"/>
    <s v=""/>
    <s v="Perdido"/>
    <d v="2025-06-10T00:00:00"/>
    <d v="1899-12-30T14:40:29"/>
    <s v="Não quer mudar a solução atual"/>
    <s v=""/>
    <s v="10/01/2025 16:00"/>
    <x v="13"/>
    <s v="Paulo Souza"/>
    <x v="27"/>
    <s v=""/>
    <m/>
    <m/>
    <s v=""/>
    <s v=""/>
    <s v=""/>
    <s v=""/>
    <n v="1"/>
  </r>
  <r>
    <x v="0"/>
    <n v="155"/>
    <m/>
    <n v="1547"/>
    <s v=""/>
    <s v=""/>
    <x v="45"/>
    <m/>
    <s v=""/>
    <s v="Bruce"/>
    <s v="21995977179"/>
    <s v=""/>
    <s v="null"/>
    <s v=""/>
    <s v=""/>
    <s v=""/>
    <s v=""/>
    <s v=""/>
    <s v=""/>
    <s v=""/>
    <s v=""/>
    <s v=""/>
    <s v="Pipeline de Vendas"/>
    <s v="Apresentar Solução (35%)"/>
    <s v=""/>
    <m/>
    <m/>
    <m/>
    <n v="18"/>
    <s v="Paulo Souza"/>
    <d v="2025-01-10T00:00:00"/>
    <d v="1899-12-30T14:48:28"/>
    <s v=""/>
    <s v="Perdido"/>
    <d v="2025-01-28T00:00:00"/>
    <d v="1899-12-30T16:53:34"/>
    <s v="Projeto adiado / sem prazo definido"/>
    <s v="Rayssa, está tratando no funil de pós-venda"/>
    <s v=""/>
    <x v="27"/>
    <s v="Paulo Souza"/>
    <x v="28"/>
    <s v=""/>
    <m/>
    <m/>
    <s v=""/>
    <s v=""/>
    <s v=""/>
    <s v=""/>
    <n v="1"/>
  </r>
  <r>
    <x v="0"/>
    <n v="164"/>
    <m/>
    <n v="1582"/>
    <s v=""/>
    <s v=""/>
    <x v="46"/>
    <n v="2675142000184"/>
    <s v=""/>
    <s v="Thiago"/>
    <s v="(11) 98534-8231"/>
    <s v=""/>
    <s v="thiago.ramos@sltexpress.com.br"/>
    <s v=""/>
    <s v=""/>
    <s v=""/>
    <s v="São Paulo"/>
    <s v=""/>
    <s v="Site"/>
    <s v=""/>
    <s v=""/>
    <s v="Contato;QUENTE"/>
    <s v="Pipeline de Vendas"/>
    <s v="Em negociação (75%)"/>
    <s v=""/>
    <m/>
    <m/>
    <m/>
    <n v="65"/>
    <s v="Fernanda Santiago"/>
    <d v="2025-01-15T00:00:00"/>
    <d v="1899-12-30T17:35:14"/>
    <s v=""/>
    <s v="Perdido"/>
    <d v="2025-03-21T00:00:00"/>
    <d v="1899-12-30T14:37:57"/>
    <s v="Fora do segmento atendido"/>
    <s v=""/>
    <s v="15/01/2025 17:00"/>
    <x v="13"/>
    <s v="Fernanda Santiago"/>
    <x v="29"/>
    <s v=""/>
    <m/>
    <m/>
    <s v=""/>
    <s v=""/>
    <s v=""/>
    <s v=""/>
    <n v="1"/>
  </r>
  <r>
    <x v="1"/>
    <n v="166"/>
    <m/>
    <n v="745"/>
    <s v=""/>
    <s v="VERSIVA COMERCIAL VERSIVA DISTRIBUIDORA"/>
    <x v="47"/>
    <n v="48314771000180"/>
    <s v=""/>
    <s v="Gilberto"/>
    <s v="11984587496"/>
    <s v=""/>
    <s v="gilberto.brito@quantiva.com.br"/>
    <s v=""/>
    <s v="Gilberto;null"/>
    <s v=""/>
    <s v=""/>
    <s v=""/>
    <s v=""/>
    <s v=""/>
    <s v=""/>
    <s v="SDRFernanda;TAG1SEM"/>
    <s v="Pipeline de Vendas"/>
    <s v="Apresentar Solução (35%)"/>
    <s v=""/>
    <m/>
    <m/>
    <m/>
    <n v="36"/>
    <s v="Fernanda Santiago"/>
    <d v="2025-01-16T00:00:00"/>
    <d v="1899-12-30T11:04:39"/>
    <s v=""/>
    <s v="Perdido"/>
    <d v="2025-02-21T00:00:00"/>
    <d v="1899-12-30T12:11:57"/>
    <s v="Projeto adiado / sem prazo definido"/>
    <s v="cliente não tem tempo para apresentação"/>
    <s v="16/01/2025 11:00"/>
    <x v="0"/>
    <s v="Fernanda Santiago"/>
    <x v="30"/>
    <s v=""/>
    <m/>
    <m/>
    <s v=""/>
    <s v=""/>
    <s v=""/>
    <s v=""/>
    <n v="1"/>
  </r>
  <r>
    <x v="0"/>
    <n v="167"/>
    <m/>
    <n v="1599"/>
    <s v=""/>
    <s v=""/>
    <x v="48"/>
    <m/>
    <s v=""/>
    <s v="Felipe"/>
    <s v="11975126999"/>
    <s v=""/>
    <s v="null"/>
    <s v=""/>
    <s v=""/>
    <s v=""/>
    <s v=""/>
    <s v=""/>
    <s v="Indicação"/>
    <s v=""/>
    <s v=""/>
    <s v="GELADO"/>
    <s v="Pipeline de Vendas"/>
    <s v="Em negociação (75%)"/>
    <s v="6x sem juros (0/30/60/90/120/150...)"/>
    <d v="2025-05-31T00:00:00"/>
    <n v="46000"/>
    <n v="308546"/>
    <n v="82"/>
    <s v="Paulo Souza"/>
    <d v="2025-01-16T00:00:00"/>
    <d v="1899-12-30T14:02:22"/>
    <s v=""/>
    <s v="Perdido"/>
    <d v="2025-04-08T00:00:00"/>
    <d v="1899-12-30T09:30:31"/>
    <s v="Não quer mudar a solução atual"/>
    <s v=""/>
    <s v=""/>
    <x v="28"/>
    <s v="Paulo Souza"/>
    <x v="31"/>
    <s v=""/>
    <m/>
    <m/>
    <s v=""/>
    <s v=""/>
    <s v=""/>
    <s v=""/>
    <n v="1"/>
  </r>
  <r>
    <x v="1"/>
    <n v="169"/>
    <m/>
    <n v="735"/>
    <s v=""/>
    <s v="ECOLIMP DISTRIBUIDORA ATACADISTA DE PRODUTOS DE HIGIENE - EIRELI"/>
    <x v="49"/>
    <n v="16941656000149"/>
    <s v=""/>
    <s v="Ecolimp Distribuidora"/>
    <s v="11956368569"/>
    <s v=""/>
    <s v="adrianarosa@ecolimpatacadista.com.br"/>
    <s v=""/>
    <s v="Ecolimp Distribuidora;null, Adriana"/>
    <s v=""/>
    <s v=""/>
    <s v=""/>
    <s v=""/>
    <s v=""/>
    <s v=""/>
    <s v=""/>
    <s v="Pipeline de Vendas"/>
    <s v="Apresentar Proposta (50%)"/>
    <s v=""/>
    <m/>
    <n v="16700"/>
    <n v="18186"/>
    <n v="6"/>
    <s v="Fernanda Santiago"/>
    <d v="2025-01-16T00:00:00"/>
    <d v="1899-12-30T17:13:16"/>
    <s v=""/>
    <s v="Perdido"/>
    <d v="2025-01-22T00:00:00"/>
    <d v="1899-12-30T12:12:09"/>
    <s v="Projeto adiado / sem prazo definido"/>
    <s v="pediu para retornar no futuro"/>
    <s v="16/01/2025 17:00"/>
    <x v="29"/>
    <s v="Fernanda Santiago"/>
    <x v="32"/>
    <s v=""/>
    <m/>
    <m/>
    <s v=""/>
    <s v=""/>
    <s v=""/>
    <s v=""/>
    <n v="1"/>
  </r>
  <r>
    <x v="1"/>
    <n v="174"/>
    <m/>
    <n v="734"/>
    <s v=""/>
    <s v="DISTRIBUIDORA CHAMPION LIMITADA"/>
    <x v="50"/>
    <n v="66559436000123"/>
    <s v=""/>
    <s v="Distribuidora Champion"/>
    <s v="1155237947"/>
    <s v=""/>
    <s v="andre@distribuidorachampion.com.br"/>
    <s v=""/>
    <s v="Distribuidora Champion;null"/>
    <s v=""/>
    <s v=""/>
    <s v=""/>
    <s v=""/>
    <s v=""/>
    <s v=""/>
    <s v=""/>
    <s v="Pipeline de Vendas"/>
    <s v="Agendamento (0%)"/>
    <s v=""/>
    <m/>
    <m/>
    <m/>
    <n v="31"/>
    <s v="Fernanda Santiago"/>
    <d v="2025-01-21T00:00:00"/>
    <d v="1899-12-30T10:39:04"/>
    <s v=""/>
    <s v="Perdido"/>
    <d v="2025-02-21T00:00:00"/>
    <d v="1899-12-30T10:55:19"/>
    <s v="Projeto adiado / sem prazo definido"/>
    <s v="sem resposta do cliente"/>
    <s v="21/01/2025 10:37"/>
    <x v="0"/>
    <s v="Fernanda Santiago"/>
    <x v="33"/>
    <s v=""/>
    <m/>
    <m/>
    <s v=""/>
    <s v=""/>
    <s v=""/>
    <s v=""/>
    <n v="1"/>
  </r>
  <r>
    <x v="1"/>
    <n v="178"/>
    <m/>
    <n v="1619"/>
    <s v=""/>
    <s v=""/>
    <x v="51"/>
    <n v="2306559000331"/>
    <s v=""/>
    <s v="Royal Toys"/>
    <s v="44999065000"/>
    <s v=""/>
    <s v="ney@royaltoys.com.br"/>
    <s v=""/>
    <s v=""/>
    <s v=""/>
    <s v=""/>
    <s v=""/>
    <s v=""/>
    <s v=""/>
    <s v=""/>
    <s v=""/>
    <s v="Pipeline de Vendas"/>
    <s v="Em negociação (75%)"/>
    <s v="6x sem juros (0/30/60/90/120/150...)"/>
    <m/>
    <n v="11520"/>
    <n v="14114"/>
    <n v="30"/>
    <s v="Junior Lopes"/>
    <d v="2025-01-22T00:00:00"/>
    <d v="1899-12-30T12:15:34"/>
    <s v=""/>
    <s v="Perdido"/>
    <d v="2025-02-21T00:00:00"/>
    <d v="1899-12-30T12:14:01"/>
    <s v="Fechou com o concorrente - preço"/>
    <s v="fechou com Mercus"/>
    <s v=""/>
    <x v="29"/>
    <s v=""/>
    <x v="34"/>
    <s v=""/>
    <m/>
    <m/>
    <s v=""/>
    <s v=""/>
    <s v=""/>
    <s v=""/>
    <n v="1"/>
  </r>
  <r>
    <x v="1"/>
    <n v="179"/>
    <m/>
    <n v="1621"/>
    <s v=""/>
    <s v=""/>
    <x v="52"/>
    <m/>
    <s v=""/>
    <s v="Atacado Junior"/>
    <s v="65984636358"/>
    <s v=""/>
    <s v="atacadojunior@uol.com.br"/>
    <s v=""/>
    <s v=""/>
    <s v=""/>
    <s v=""/>
    <s v=""/>
    <s v=""/>
    <s v=""/>
    <s v=""/>
    <s v=""/>
    <s v="Pipeline de Vendas"/>
    <s v="Apresentar Proposta (50%)"/>
    <s v="6x sem juros (0/30/60/90/120/150...)"/>
    <m/>
    <n v="61056"/>
    <n v="625045"/>
    <n v="14"/>
    <s v="Junior Lopes"/>
    <d v="2025-01-23T00:00:00"/>
    <d v="1899-12-30T09:32:50"/>
    <s v=""/>
    <s v="Perdido"/>
    <d v="2025-02-06T00:00:00"/>
    <d v="1899-12-30T16:03:00"/>
    <s v="Preço muito alto - fora do budget de investimento"/>
    <s v="valor alto para investimento"/>
    <s v=""/>
    <x v="30"/>
    <s v=""/>
    <x v="35"/>
    <s v="27/01/2025"/>
    <m/>
    <m/>
    <s v=""/>
    <s v=""/>
    <s v=""/>
    <s v=""/>
    <n v="1"/>
  </r>
  <r>
    <x v="1"/>
    <n v="183"/>
    <m/>
    <n v="1631"/>
    <s v=""/>
    <s v=""/>
    <x v="53"/>
    <m/>
    <s v=""/>
    <s v="Multiflon"/>
    <s v="54981117994"/>
    <s v=""/>
    <s v="cesar@multiflon.com.br"/>
    <s v=""/>
    <s v=""/>
    <s v=""/>
    <s v=""/>
    <s v=""/>
    <s v="Feiras"/>
    <s v=""/>
    <s v=""/>
    <s v=""/>
    <s v="Pipeline de Vendas"/>
    <s v="Em Fechamento (100%)"/>
    <s v="6x sem juros (0/30/60/90/120/150...)"/>
    <m/>
    <n v="16960"/>
    <n v="863104"/>
    <n v="103"/>
    <s v="Junior Lopes"/>
    <d v="2025-01-24T00:00:00"/>
    <d v="1899-12-30T10:40:09"/>
    <s v=""/>
    <s v="Ganho"/>
    <d v="2025-05-07T00:00:00"/>
    <d v="1899-12-30T08:53:35"/>
    <s v=""/>
    <s v=""/>
    <s v=""/>
    <x v="31"/>
    <s v=""/>
    <x v="35"/>
    <s v=""/>
    <m/>
    <m/>
    <s v=""/>
    <s v=""/>
    <s v=""/>
    <s v=""/>
    <n v="1"/>
  </r>
  <r>
    <x v="1"/>
    <n v="187"/>
    <m/>
    <n v="1642"/>
    <s v=""/>
    <s v=""/>
    <x v="54"/>
    <m/>
    <s v=""/>
    <s v="Metalmix tanque"/>
    <s v="16997631389"/>
    <s v=""/>
    <s v="metalmix.ibate@hotmail.com"/>
    <s v=""/>
    <s v=""/>
    <s v=""/>
    <s v=""/>
    <s v=""/>
    <s v=""/>
    <s v=""/>
    <s v=""/>
    <s v=""/>
    <s v="Pipeline de Vendas"/>
    <s v="Apresentar Solução (35%)"/>
    <s v=""/>
    <m/>
    <m/>
    <m/>
    <n v="49"/>
    <s v="Junior Lopes"/>
    <d v="2025-01-27T00:00:00"/>
    <d v="1899-12-30T14:53:37"/>
    <s v=""/>
    <s v="Perdido"/>
    <d v="2025-03-17T00:00:00"/>
    <d v="1899-12-30T09:55:20"/>
    <s v="Projeto adiado / sem prazo definido"/>
    <s v="Cliente fora do segmento"/>
    <s v=""/>
    <x v="0"/>
    <s v=""/>
    <x v="36"/>
    <s v=""/>
    <m/>
    <m/>
    <s v=""/>
    <s v=""/>
    <s v=""/>
    <s v=""/>
    <n v="1"/>
  </r>
  <r>
    <x v="1"/>
    <n v="188"/>
    <m/>
    <n v="1643"/>
    <s v=""/>
    <s v=""/>
    <x v="55"/>
    <m/>
    <s v=""/>
    <s v="C.a Teles Armarinhos E Papelaria Ltda"/>
    <s v="11999279928"/>
    <s v=""/>
    <s v="caiotls@hotmail.com"/>
    <s v=""/>
    <s v=""/>
    <s v=""/>
    <s v=""/>
    <s v=""/>
    <s v=""/>
    <s v=""/>
    <s v=""/>
    <s v=""/>
    <s v="Pipeline de Vendas"/>
    <s v="Em negociação (75%)"/>
    <s v=""/>
    <m/>
    <n v="1600"/>
    <n v="314528"/>
    <n v="25"/>
    <s v="Junior Lopes"/>
    <d v="2025-01-27T00:00:00"/>
    <d v="1899-12-30T15:48:35"/>
    <s v=""/>
    <s v="Perdido"/>
    <d v="2025-02-21T00:00:00"/>
    <d v="1899-12-30T14:28:44"/>
    <s v="Não houve aprovação financeira"/>
    <s v=""/>
    <s v=""/>
    <x v="29"/>
    <s v=""/>
    <x v="26"/>
    <s v=""/>
    <m/>
    <m/>
    <s v=""/>
    <s v=""/>
    <s v=""/>
    <s v=""/>
    <n v="1"/>
  </r>
  <r>
    <x v="1"/>
    <n v="191"/>
    <m/>
    <n v="1651"/>
    <s v=""/>
    <s v=""/>
    <x v="56"/>
    <m/>
    <s v=""/>
    <s v="Atacado Junior"/>
    <s v="65984636358"/>
    <s v=""/>
    <s v="atacadojunior@uol.com.br"/>
    <s v=""/>
    <s v=""/>
    <s v=""/>
    <s v=""/>
    <s v=""/>
    <s v=""/>
    <s v=""/>
    <s v=""/>
    <s v=""/>
    <s v="Pipeline de Vendas"/>
    <s v="Apresentar Proposta (50%)"/>
    <s v=""/>
    <m/>
    <n v="1600"/>
    <n v="4063"/>
    <n v="9"/>
    <s v="Junior Lopes"/>
    <d v="2025-01-28T00:00:00"/>
    <d v="1899-12-30T15:02:42"/>
    <s v=""/>
    <s v="Perdido"/>
    <d v="2025-02-06T00:00:00"/>
    <d v="1899-12-30T16:04:47"/>
    <s v="Preço muito alto - fora do budget de investimento"/>
    <s v="valor alto para investimento"/>
    <s v=""/>
    <x v="0"/>
    <s v=""/>
    <x v="0"/>
    <s v=""/>
    <m/>
    <m/>
    <s v=""/>
    <s v=""/>
    <s v=""/>
    <s v=""/>
    <n v="1"/>
  </r>
  <r>
    <x v="0"/>
    <n v="193"/>
    <m/>
    <n v="1608"/>
    <s v=""/>
    <s v=""/>
    <x v="57"/>
    <n v="2142286000175"/>
    <s v=""/>
    <s v="giovanna sesso"/>
    <s v="(11) 3777-2416"/>
    <s v=""/>
    <s v="giovanna@bolplast.com.br"/>
    <s v=""/>
    <s v=""/>
    <s v=""/>
    <s v="São Paulo"/>
    <s v=""/>
    <s v="Site"/>
    <s v=""/>
    <s v=""/>
    <s v="Solicita demo"/>
    <s v="Pipeline de Vendas"/>
    <s v="Em negociação (75%)"/>
    <s v=""/>
    <m/>
    <m/>
    <m/>
    <n v="9"/>
    <s v="Paulo Souza"/>
    <d v="2025-01-28T00:00:00"/>
    <d v="1899-12-30T16:45:54"/>
    <s v=""/>
    <s v="Perdido"/>
    <d v="2025-02-06T00:00:00"/>
    <d v="1899-12-30T17:27:05"/>
    <s v="Preço muito alto - fora do budget de investimento"/>
    <s v=""/>
    <s v=""/>
    <x v="32"/>
    <s v=""/>
    <x v="37"/>
    <s v=""/>
    <m/>
    <m/>
    <s v=""/>
    <s v=""/>
    <s v=""/>
    <s v=""/>
    <n v="1"/>
  </r>
  <r>
    <x v="0"/>
    <n v="195"/>
    <m/>
    <n v="1603"/>
    <s v=""/>
    <s v=""/>
    <x v="58"/>
    <m/>
    <s v=""/>
    <s v="Stanley Neves"/>
    <s v="(16) 99788-8387"/>
    <s v=""/>
    <s v="null"/>
    <s v=""/>
    <s v=""/>
    <s v=""/>
    <s v=""/>
    <s v=""/>
    <s v="Inbound"/>
    <s v=""/>
    <s v=""/>
    <s v=""/>
    <s v="Pipeline de Vendas"/>
    <s v="Em negociação (75%)"/>
    <s v=""/>
    <m/>
    <m/>
    <m/>
    <n v="9"/>
    <s v="Paulo Souza"/>
    <d v="2025-01-28T00:00:00"/>
    <d v="1899-12-30T17:10:34"/>
    <s v=""/>
    <s v="Perdido"/>
    <d v="2025-02-06T00:00:00"/>
    <d v="1899-12-30T17:32:16"/>
    <s v="Não quer mudar a solução atual"/>
    <s v=""/>
    <s v=""/>
    <x v="32"/>
    <s v=""/>
    <x v="37"/>
    <s v=""/>
    <m/>
    <m/>
    <s v=""/>
    <s v=""/>
    <s v=""/>
    <s v=""/>
    <n v="1"/>
  </r>
  <r>
    <x v="0"/>
    <n v="196"/>
    <m/>
    <n v="1596"/>
    <s v=""/>
    <s v="Vigi Ltda"/>
    <x v="59"/>
    <n v="56884678000139"/>
    <s v=""/>
    <s v="Vinicius Oliveira"/>
    <s v="(19) 98275-0709"/>
    <s v=""/>
    <s v="societario@gmcontabil.com.br"/>
    <s v=""/>
    <s v=""/>
    <s v=""/>
    <s v="CAMPINAS"/>
    <s v="SP"/>
    <s v="Inbound"/>
    <s v=""/>
    <s v=""/>
    <s v="Contato"/>
    <s v="Pipeline de Vendas"/>
    <s v="Em negociação (75%)"/>
    <s v=""/>
    <m/>
    <m/>
    <m/>
    <n v="1"/>
    <s v="Paulo Souza"/>
    <d v="2025-01-28T00:00:00"/>
    <d v="1899-12-30T17:12:05"/>
    <s v=""/>
    <s v="Perdido"/>
    <d v="2025-01-29T00:00:00"/>
    <d v="1899-12-30T01:00:16"/>
    <s v="Preço muito alto - fora do budget de investimento"/>
    <s v=""/>
    <s v=""/>
    <x v="32"/>
    <s v="Paulo Souza"/>
    <x v="37"/>
    <s v=""/>
    <m/>
    <m/>
    <s v=""/>
    <s v=""/>
    <s v=""/>
    <s v=""/>
    <n v="1"/>
  </r>
  <r>
    <x v="0"/>
    <n v="197"/>
    <m/>
    <n v="1598"/>
    <s v=""/>
    <s v=""/>
    <x v="60"/>
    <m/>
    <s v=""/>
    <s v="Isaias"/>
    <s v="(15) 99747-1187"/>
    <s v=""/>
    <s v="null"/>
    <s v=""/>
    <s v=""/>
    <s v=""/>
    <s v=""/>
    <s v=""/>
    <s v="Inbound"/>
    <s v=""/>
    <s v=""/>
    <s v="Contato"/>
    <s v="Pipeline de Vendas"/>
    <s v="Em negociação (75%)"/>
    <s v=""/>
    <m/>
    <m/>
    <m/>
    <n v="1"/>
    <s v="Paulo Souza"/>
    <d v="2025-01-28T00:00:00"/>
    <d v="1899-12-30T17:12:39"/>
    <s v=""/>
    <s v="Perdido"/>
    <d v="2025-01-29T00:00:00"/>
    <d v="1899-12-30T01:02:09"/>
    <s v="Preço muito alto - fora do budget de investimento"/>
    <s v=""/>
    <s v=""/>
    <x v="32"/>
    <s v=""/>
    <x v="37"/>
    <s v=""/>
    <m/>
    <m/>
    <s v=""/>
    <s v=""/>
    <s v=""/>
    <s v=""/>
    <n v="1"/>
  </r>
  <r>
    <x v="0"/>
    <n v="198"/>
    <m/>
    <n v="1600"/>
    <s v=""/>
    <s v=""/>
    <x v="61"/>
    <m/>
    <s v=""/>
    <s v="pz presentes"/>
    <s v="(31) 99735-8058"/>
    <s v=""/>
    <s v="administrativo@tempori.com.br"/>
    <s v=""/>
    <s v=""/>
    <s v=""/>
    <s v="Belo Horizonte"/>
    <s v=""/>
    <s v="Site"/>
    <s v=""/>
    <s v=""/>
    <s v="Contato"/>
    <s v="Pipeline de Vendas"/>
    <s v="Em negociação (75%)"/>
    <s v=""/>
    <m/>
    <m/>
    <m/>
    <n v="1"/>
    <s v="Paulo Souza"/>
    <d v="2025-01-28T00:00:00"/>
    <d v="1899-12-30T17:13:17"/>
    <s v=""/>
    <s v="Perdido"/>
    <d v="2025-01-29T00:00:00"/>
    <d v="1899-12-30T01:05:46"/>
    <s v="Preço muito alto - fora do budget de investimento"/>
    <s v=""/>
    <s v=""/>
    <x v="32"/>
    <s v=""/>
    <x v="37"/>
    <s v=""/>
    <m/>
    <m/>
    <s v=""/>
    <s v=""/>
    <s v=""/>
    <s v=""/>
    <n v="1"/>
  </r>
  <r>
    <x v="0"/>
    <n v="199"/>
    <m/>
    <n v="1623"/>
    <s v="Todos os dados preenchidos:_x000a_name: Eliedson Alves _x000a_phone: 81988636626 _x000a_email: eliedsonrepresentante@gmail.com _x000a_referrer: https://www.guaranisistemas.com.br/"/>
    <s v=""/>
    <x v="62"/>
    <m/>
    <s v=""/>
    <s v="Eliedson Alves"/>
    <s v="81988636626"/>
    <s v=""/>
    <s v="eliedsonrepresentante@gmail.com"/>
    <s v=""/>
    <s v=""/>
    <s v=""/>
    <s v="Recife"/>
    <s v=""/>
    <s v="Feiras"/>
    <s v=""/>
    <s v=""/>
    <s v="Feiras"/>
    <s v="Pipeline de Vendas"/>
    <s v="Em negociação (75%)"/>
    <s v=""/>
    <m/>
    <m/>
    <m/>
    <n v="9"/>
    <s v="Paulo Souza"/>
    <d v="2025-01-28T00:00:00"/>
    <d v="1899-12-30T17:14:04"/>
    <s v=""/>
    <s v="Perdido"/>
    <d v="2025-02-06T00:00:00"/>
    <d v="1899-12-30T17:40:07"/>
    <s v="Preço muito alto - fora do budget de investimento"/>
    <s v=""/>
    <s v=""/>
    <x v="32"/>
    <s v=""/>
    <x v="0"/>
    <s v="28/01/2025 00:00"/>
    <m/>
    <m/>
    <s v=""/>
    <s v=""/>
    <s v=""/>
    <s v=""/>
    <n v="1"/>
  </r>
  <r>
    <x v="1"/>
    <n v="200"/>
    <m/>
    <n v="1660"/>
    <s v=""/>
    <s v=""/>
    <x v="63"/>
    <m/>
    <s v=""/>
    <s v="Alumínio Higsberg"/>
    <s v="1935513873"/>
    <s v=""/>
    <s v="adm@aluminiohigsberg.com.br"/>
    <s v=""/>
    <s v=""/>
    <s v=""/>
    <s v=""/>
    <s v=""/>
    <s v=""/>
    <s v=""/>
    <s v=""/>
    <s v=""/>
    <s v="Pipeline de Vendas"/>
    <s v="Qualificação de Vendas (SQL) (25%)"/>
    <s v=""/>
    <m/>
    <m/>
    <m/>
    <n v="51"/>
    <s v="Junior Lopes"/>
    <d v="2025-01-29T00:00:00"/>
    <d v="1899-12-30T09:30:56"/>
    <s v=""/>
    <s v="Perdido"/>
    <d v="2025-03-21T00:00:00"/>
    <d v="1899-12-30T14:43:11"/>
    <s v="Não quer mudar a solução atual"/>
    <s v="cliente não respondeu mais aos contatos"/>
    <s v=""/>
    <x v="0"/>
    <s v=""/>
    <x v="38"/>
    <s v=""/>
    <m/>
    <m/>
    <s v=""/>
    <s v=""/>
    <s v=""/>
    <s v=""/>
    <n v="1"/>
  </r>
  <r>
    <x v="0"/>
    <n v="201"/>
    <m/>
    <n v="198"/>
    <s v=""/>
    <s v="REGIS PECLAT BASTOS"/>
    <x v="64"/>
    <n v="13474916000125"/>
    <s v=""/>
    <s v="REGIS"/>
    <s v="13997252966"/>
    <s v=""/>
    <s v="VR_DISTRIBUIDORA@YAHOO.COM.BR"/>
    <s v=""/>
    <s v="REGIS;REGIS, Roni"/>
    <s v=""/>
    <s v="JACUPIRANGA"/>
    <s v="SP"/>
    <s v="Outbound"/>
    <s v=""/>
    <s v=""/>
    <s v="Importado a partir de lista;TAG1SEM"/>
    <s v="Pipeline de Vendas"/>
    <s v="Apresentar Solução (35%)"/>
    <s v=""/>
    <m/>
    <m/>
    <m/>
    <n v="8"/>
    <s v="Fernanda Santiago"/>
    <d v="2025-01-29T00:00:00"/>
    <d v="1899-12-30T11:59:53"/>
    <s v=""/>
    <s v="Perdido"/>
    <d v="2025-02-06T00:00:00"/>
    <d v="1899-12-30T13:53:38"/>
    <s v="Fora do porte mínimo (sem fit estrutural)"/>
    <s v=""/>
    <s v="29/01/2025 11:58"/>
    <x v="0"/>
    <s v="Fernanda Santiago"/>
    <x v="39"/>
    <s v=""/>
    <m/>
    <m/>
    <s v=""/>
    <s v=""/>
    <s v=""/>
    <s v=""/>
    <n v="1"/>
  </r>
  <r>
    <x v="1"/>
    <n v="202"/>
    <m/>
    <n v="1665"/>
    <s v=""/>
    <s v=""/>
    <x v="65"/>
    <m/>
    <s v=""/>
    <s v="Viva Vidros"/>
    <s v="11988839646"/>
    <s v=""/>
    <s v="comercial@vivavidros.com.br"/>
    <s v=""/>
    <s v=""/>
    <s v=""/>
    <s v=""/>
    <s v=""/>
    <s v=""/>
    <s v=""/>
    <s v=""/>
    <s v=""/>
    <s v="Pipeline de Vendas"/>
    <s v="Em Fechamento (100%)"/>
    <s v=""/>
    <m/>
    <n v="1600"/>
    <n v="1824"/>
    <n v="34"/>
    <s v="Junior Lopes"/>
    <d v="2025-01-30T00:00:00"/>
    <d v="1899-12-30T09:58:14"/>
    <s v=""/>
    <s v="Perdido"/>
    <d v="2025-03-05T00:00:00"/>
    <d v="1899-12-30T11:11:54"/>
    <s v="Projeto adiado / sem prazo definido"/>
    <s v="cliente com situação de pendencias financeiras"/>
    <s v=""/>
    <x v="21"/>
    <s v=""/>
    <x v="0"/>
    <s v=""/>
    <m/>
    <m/>
    <s v=""/>
    <s v=""/>
    <s v=""/>
    <s v=""/>
    <n v="1"/>
  </r>
  <r>
    <x v="1"/>
    <n v="203"/>
    <m/>
    <n v="1666"/>
    <s v=""/>
    <s v=""/>
    <x v="66"/>
    <m/>
    <s v=""/>
    <s v="Stamaco"/>
    <s v="11967327458"/>
    <s v=""/>
    <s v="felipe@stamaco.com.br"/>
    <s v=""/>
    <s v=""/>
    <s v=""/>
    <s v=""/>
    <s v=""/>
    <s v=""/>
    <s v=""/>
    <s v=""/>
    <s v=""/>
    <s v="Pipeline de Vendas"/>
    <s v="Apresentar Solução (35%)"/>
    <s v=""/>
    <m/>
    <m/>
    <m/>
    <n v="22"/>
    <s v="Junior Lopes"/>
    <d v="2025-01-30T00:00:00"/>
    <d v="1899-12-30T10:59:59"/>
    <s v=""/>
    <s v="Perdido"/>
    <d v="2025-02-21T00:00:00"/>
    <d v="1899-12-30T12:09:49"/>
    <s v="Não quer mudar a solução atual"/>
    <s v="Aguardará Retaguarda Web"/>
    <s v=""/>
    <x v="0"/>
    <s v=""/>
    <x v="40"/>
    <s v=""/>
    <m/>
    <m/>
    <s v=""/>
    <s v=""/>
    <s v=""/>
    <s v=""/>
    <n v="1"/>
  </r>
  <r>
    <x v="1"/>
    <n v="204"/>
    <m/>
    <n v="1669"/>
    <s v=""/>
    <s v=""/>
    <x v="67"/>
    <m/>
    <s v=""/>
    <s v="Fabio"/>
    <s v="47988469270"/>
    <s v=""/>
    <s v="Fabio@atacadoelmo.com.br"/>
    <s v=""/>
    <s v=""/>
    <s v=""/>
    <s v=""/>
    <s v=""/>
    <s v=""/>
    <s v=""/>
    <s v=""/>
    <s v=""/>
    <s v="Pipeline de Vendas"/>
    <s v="Agendamento (0%)"/>
    <s v=""/>
    <m/>
    <n v="837998"/>
    <n v="516364"/>
    <n v="0"/>
    <s v="Paulo Souza"/>
    <d v="2025-02-01T00:00:00"/>
    <d v="1899-12-30T01:46:53"/>
    <s v=""/>
    <s v="Ganho"/>
    <d v="2025-02-01T00:00:00"/>
    <d v="1899-12-30T03:23:37"/>
    <s v=""/>
    <s v=""/>
    <s v=""/>
    <x v="0"/>
    <s v=""/>
    <x v="0"/>
    <s v=""/>
    <m/>
    <m/>
    <s v=""/>
    <s v=""/>
    <s v=""/>
    <s v=""/>
    <n v="1"/>
  </r>
  <r>
    <x v="0"/>
    <n v="205"/>
    <m/>
    <n v="1670"/>
    <s v=""/>
    <s v=""/>
    <x v="68"/>
    <m/>
    <s v=""/>
    <s v="Alexandre"/>
    <s v="75999540838"/>
    <s v=""/>
    <s v="terraboaespeciarias@hotmail.com"/>
    <s v=""/>
    <s v=""/>
    <s v=""/>
    <s v=""/>
    <s v=""/>
    <s v=""/>
    <s v=""/>
    <s v=""/>
    <s v=""/>
    <s v="Pipeline de Vendas"/>
    <s v="Em Fechamento (100%)"/>
    <s v=""/>
    <m/>
    <n v="299984"/>
    <n v="0"/>
    <n v="0"/>
    <s v="Paulo Souza"/>
    <d v="2025-02-01T00:00:00"/>
    <d v="1899-12-30T02:11:10"/>
    <s v=""/>
    <s v="Ganho"/>
    <d v="2025-02-01T00:00:00"/>
    <d v="1899-12-30T02:22:51"/>
    <s v=""/>
    <s v=""/>
    <s v=""/>
    <x v="6"/>
    <s v="Paulo Souza"/>
    <x v="41"/>
    <s v=""/>
    <m/>
    <m/>
    <s v=""/>
    <s v=""/>
    <s v=""/>
    <s v=""/>
    <n v="1"/>
  </r>
  <r>
    <x v="0"/>
    <n v="206"/>
    <m/>
    <n v="1671"/>
    <s v=""/>
    <s v=""/>
    <x v="69"/>
    <m/>
    <s v=""/>
    <s v="Helvecio"/>
    <s v="55479993859"/>
    <s v=""/>
    <s v="Helvecio.Deitos@newellco.com"/>
    <s v=""/>
    <s v=""/>
    <s v=""/>
    <s v=""/>
    <s v=""/>
    <s v=""/>
    <s v=""/>
    <s v=""/>
    <s v=""/>
    <s v="Pipeline de Vendas"/>
    <s v="Em Fechamento (100%)"/>
    <s v=""/>
    <m/>
    <n v="1936"/>
    <n v="0"/>
    <n v="0"/>
    <s v="Paulo Souza"/>
    <d v="2025-02-01T00:00:00"/>
    <d v="1899-12-30T02:12:42"/>
    <s v=""/>
    <s v="Ganho"/>
    <d v="2025-02-01T00:00:00"/>
    <d v="1899-12-30T02:19:45"/>
    <s v=""/>
    <s v=""/>
    <s v=""/>
    <x v="33"/>
    <s v="Paulo Souza"/>
    <x v="42"/>
    <s v=""/>
    <m/>
    <m/>
    <s v=""/>
    <s v=""/>
    <s v=""/>
    <s v=""/>
    <n v="1"/>
  </r>
  <r>
    <x v="0"/>
    <n v="207"/>
    <m/>
    <n v="1672"/>
    <s v=""/>
    <s v=""/>
    <x v="70"/>
    <m/>
    <s v=""/>
    <s v="Marcelha"/>
    <s v=""/>
    <s v=""/>
    <s v="marcelha@paramountplasticos.com.br"/>
    <s v=""/>
    <s v=""/>
    <s v=""/>
    <s v=""/>
    <s v=""/>
    <s v=""/>
    <s v=""/>
    <s v=""/>
    <s v=""/>
    <s v="Pipeline de Vendas"/>
    <s v="Em Fechamento (100%)"/>
    <s v=""/>
    <m/>
    <n v="6160"/>
    <n v="0"/>
    <n v="0"/>
    <s v="Paulo Souza"/>
    <d v="2025-02-01T00:00:00"/>
    <d v="1899-12-30T02:13:12"/>
    <s v=""/>
    <s v="Ganho"/>
    <d v="2025-02-01T00:00:00"/>
    <d v="1899-12-30T02:20:51"/>
    <s v=""/>
    <s v=""/>
    <s v=""/>
    <x v="34"/>
    <s v="Paulo Souza"/>
    <x v="43"/>
    <s v=""/>
    <m/>
    <m/>
    <s v=""/>
    <s v=""/>
    <s v=""/>
    <s v=""/>
    <n v="1"/>
  </r>
  <r>
    <x v="0"/>
    <n v="208"/>
    <m/>
    <n v="1673"/>
    <s v=""/>
    <s v=""/>
    <x v="71"/>
    <m/>
    <s v=""/>
    <s v="Giftutil"/>
    <s v=""/>
    <s v=""/>
    <s v="eduardapaivapaula@hotmail.com"/>
    <s v=""/>
    <s v=""/>
    <s v=""/>
    <s v=""/>
    <s v=""/>
    <s v=""/>
    <s v=""/>
    <s v=""/>
    <s v=""/>
    <s v="Pipeline de Vendas"/>
    <s v="Em Fechamento (100%)"/>
    <s v=""/>
    <m/>
    <n v="486308"/>
    <n v="3564"/>
    <n v="0"/>
    <s v="Paulo Souza"/>
    <d v="2025-02-01T00:00:00"/>
    <d v="1899-12-30T02:14:22"/>
    <s v=""/>
    <s v="Ganho"/>
    <d v="2025-02-01T00:00:00"/>
    <d v="1899-12-30T02:18:18"/>
    <s v=""/>
    <s v=""/>
    <s v=""/>
    <x v="25"/>
    <s v="Paulo Souza"/>
    <x v="23"/>
    <s v=""/>
    <m/>
    <m/>
    <s v=""/>
    <s v=""/>
    <s v=""/>
    <s v=""/>
    <n v="1"/>
  </r>
  <r>
    <x v="1"/>
    <n v="209"/>
    <m/>
    <n v="1710"/>
    <s v=""/>
    <s v=""/>
    <x v="72"/>
    <m/>
    <s v=""/>
    <s v="Maxximo Utilidades"/>
    <s v="11999804489"/>
    <s v=""/>
    <s v="flavio@maxximo.com.br"/>
    <s v=""/>
    <s v=""/>
    <s v=""/>
    <s v=""/>
    <s v=""/>
    <s v="Feiras"/>
    <s v=""/>
    <s v=""/>
    <s v=""/>
    <s v="Pipeline de Vendas"/>
    <s v="Apresentar Solução (35%)"/>
    <s v="6x sem juros (0/30/60/90/120/150...)"/>
    <m/>
    <m/>
    <m/>
    <n v="68"/>
    <s v="Junior Lopes"/>
    <d v="2025-02-06T00:00:00"/>
    <d v="1899-12-30T10:24:33"/>
    <s v=""/>
    <s v="Perdido"/>
    <d v="2025-04-15T00:00:00"/>
    <d v="1899-12-30T16:38:15"/>
    <s v="Projeto adiado / sem prazo definido"/>
    <s v="cliente não responde as mensagens, continuarei a prospectar em paralelo"/>
    <s v=""/>
    <x v="0"/>
    <s v=""/>
    <x v="44"/>
    <s v=""/>
    <m/>
    <m/>
    <s v=""/>
    <s v=""/>
    <s v=""/>
    <s v=""/>
    <n v="1"/>
  </r>
  <r>
    <x v="1"/>
    <n v="210"/>
    <m/>
    <n v="1711"/>
    <s v=""/>
    <s v=""/>
    <x v="73"/>
    <n v="12792269000137"/>
    <s v=""/>
    <s v="Plastutti"/>
    <s v="11983334304"/>
    <s v=""/>
    <s v="Thiago@plastutti.com.br"/>
    <s v=""/>
    <s v=""/>
    <s v=""/>
    <s v=""/>
    <s v=""/>
    <s v=""/>
    <s v=""/>
    <s v=""/>
    <s v="Abup2025Fevereiro"/>
    <s v="Pipeline de Vendas"/>
    <s v="Em Fechamento (100%)"/>
    <s v="10x sem juros (0/30/60/90/120/150...)"/>
    <m/>
    <n v="65920"/>
    <n v="481924"/>
    <n v="25"/>
    <s v="Junior Lopes"/>
    <d v="2025-02-06T00:00:00"/>
    <d v="1899-12-30T10:53:24"/>
    <s v=""/>
    <s v="Ganho"/>
    <d v="2025-03-03T00:00:00"/>
    <d v="1899-12-30T11:32:48"/>
    <s v=""/>
    <s v=""/>
    <s v=""/>
    <x v="35"/>
    <s v=""/>
    <x v="44"/>
    <s v="18/02/2025"/>
    <m/>
    <m/>
    <s v=""/>
    <s v=""/>
    <s v=""/>
    <s v=""/>
    <n v="1"/>
  </r>
  <r>
    <x v="1"/>
    <n v="211"/>
    <m/>
    <n v="1712"/>
    <s v=""/>
    <s v=""/>
    <x v="74"/>
    <m/>
    <s v=""/>
    <s v="Plastutti - Clou"/>
    <s v="11983334304"/>
    <s v=""/>
    <s v="Thiago@plastutti.com.br"/>
    <s v=""/>
    <s v=""/>
    <s v=""/>
    <s v=""/>
    <s v=""/>
    <s v=""/>
    <s v=""/>
    <s v=""/>
    <s v="Abup2025Fevereiro"/>
    <s v="Pipeline de Vendas"/>
    <s v="Em Fechamento (100%)"/>
    <s v=""/>
    <m/>
    <n v="1600"/>
    <n v="25908"/>
    <n v="14"/>
    <s v="Junior Lopes"/>
    <d v="2025-02-06T00:00:00"/>
    <d v="1899-12-30T11:39:54"/>
    <s v=""/>
    <s v="Perdido"/>
    <d v="2025-02-20T00:00:00"/>
    <d v="1899-12-30T15:57:59"/>
    <s v="Não quer mudar a solução atual"/>
    <s v="atualmente tem servidor local"/>
    <s v=""/>
    <x v="35"/>
    <s v=""/>
    <x v="44"/>
    <s v="18/02/2025"/>
    <m/>
    <m/>
    <s v=""/>
    <s v=""/>
    <s v=""/>
    <s v=""/>
    <n v="1"/>
  </r>
  <r>
    <x v="1"/>
    <n v="212"/>
    <m/>
    <n v="1713"/>
    <s v=""/>
    <s v=""/>
    <x v="75"/>
    <m/>
    <s v=""/>
    <s v="Cozzillar"/>
    <s v="1935479372"/>
    <s v=""/>
    <s v="gilberto@cozzillar.com.br"/>
    <s v=""/>
    <s v=""/>
    <s v=""/>
    <s v=""/>
    <s v=""/>
    <s v="Feiras"/>
    <s v=""/>
    <s v=""/>
    <s v=""/>
    <s v="Pipeline de Vendas"/>
    <s v="Apresentar Solução (35%)"/>
    <s v="6x sem juros (0/30/60/90/120/150...)"/>
    <m/>
    <m/>
    <m/>
    <n v="60"/>
    <s v="Junior Lopes"/>
    <d v="2025-02-06T00:00:00"/>
    <d v="1899-12-30T12:23:29"/>
    <s v=""/>
    <s v="Perdido"/>
    <d v="2025-04-07T00:00:00"/>
    <d v="1899-12-30T11:50:11"/>
    <s v="Projeto adiado / sem prazo definido"/>
    <s v="10:07, 02/04/2025 Junior Lopes: Olá Gilberto, Junior da Guarani sistemas por aqui _x000a_Espero que esteja bem _x000a_Ficamos de organizar uma visita com vocês para apresentação da solução Guarani sistemas_x000a_10:07, 02/04/2025 Junior Lopes: Vamos avançar?_x000a_09:21, 07/04/2025 Junior Lopes: Olá Gilberto! Infelizmente não consigo seu retorno _x000a_Entendo que deve estar bem corrido para você _x000a_De qualquer forma fico a disposição no momento que vc puder _x000a_Forte abraço e ótimos negócios _x000a_Jr Guarani sistemas"/>
    <s v=""/>
    <x v="0"/>
    <s v=""/>
    <x v="44"/>
    <s v=""/>
    <m/>
    <m/>
    <s v=""/>
    <s v=""/>
    <s v=""/>
    <s v=""/>
    <n v="1"/>
  </r>
  <r>
    <x v="1"/>
    <n v="213"/>
    <m/>
    <n v="1714"/>
    <s v=""/>
    <s v=""/>
    <x v="76"/>
    <m/>
    <s v=""/>
    <s v="Marca Textil"/>
    <s v="1168296999"/>
    <s v=""/>
    <s v="atendimento@markatextil.com.br"/>
    <s v=""/>
    <s v=""/>
    <s v=""/>
    <s v=""/>
    <s v=""/>
    <s v=""/>
    <s v=""/>
    <s v=""/>
    <s v=""/>
    <s v="Pipeline de Vendas"/>
    <s v="Qualificação de Vendas (SQL) (25%)"/>
    <s v=""/>
    <m/>
    <n v="14400"/>
    <n v="18034"/>
    <n v="43"/>
    <s v="Junior Lopes"/>
    <d v="2025-02-06T00:00:00"/>
    <d v="1899-12-30T12:36:48"/>
    <s v=""/>
    <s v="Perdido"/>
    <d v="2025-03-21T00:00:00"/>
    <d v="1899-12-30T14:36:30"/>
    <s v="Não quer mudar a solução atual"/>
    <s v="não seguirá no momento"/>
    <s v=""/>
    <x v="36"/>
    <s v=""/>
    <x v="44"/>
    <s v=""/>
    <m/>
    <m/>
    <s v=""/>
    <s v=""/>
    <s v=""/>
    <s v=""/>
    <n v="1"/>
  </r>
  <r>
    <x v="0"/>
    <n v="214"/>
    <m/>
    <n v="1661"/>
    <s v=""/>
    <s v=""/>
    <x v="77"/>
    <m/>
    <s v=""/>
    <s v="Carlos"/>
    <s v="(13) 99770-3018"/>
    <s v=""/>
    <s v="opa.eskinao.compras@gmail.com"/>
    <s v=""/>
    <s v=""/>
    <s v=""/>
    <s v="São Vicente"/>
    <s v=""/>
    <s v="Site"/>
    <s v=""/>
    <s v=""/>
    <s v=""/>
    <s v="Pipeline de Vendas"/>
    <s v="Em negociação (75%)"/>
    <s v=""/>
    <m/>
    <m/>
    <m/>
    <n v="0"/>
    <s v="Paulo Souza"/>
    <d v="2025-02-06T00:00:00"/>
    <d v="1899-12-30T13:55:00"/>
    <s v=""/>
    <s v="Perdido"/>
    <d v="2025-02-06T00:00:00"/>
    <d v="1899-12-30T17:30:59"/>
    <s v="Preço muito alto - fora do budget de investimento"/>
    <s v=""/>
    <s v=""/>
    <x v="37"/>
    <s v=""/>
    <x v="45"/>
    <s v=""/>
    <m/>
    <m/>
    <s v=""/>
    <s v=""/>
    <s v=""/>
    <s v=""/>
    <n v="1"/>
  </r>
  <r>
    <x v="0"/>
    <n v="215"/>
    <m/>
    <n v="1715"/>
    <s v=""/>
    <s v=""/>
    <x v="78"/>
    <m/>
    <s v=""/>
    <s v="João"/>
    <s v="(11) 94793-3497"/>
    <s v=""/>
    <s v="jvprocacino@gmail.com"/>
    <s v=""/>
    <s v=""/>
    <s v=""/>
    <s v=""/>
    <s v=""/>
    <s v="Site"/>
    <s v=""/>
    <s v=""/>
    <s v="Abcasa2025fevereiro;Solicita demo"/>
    <s v="Pipeline de Vendas"/>
    <s v="Em negociação (75%)"/>
    <s v=""/>
    <m/>
    <n v="43740"/>
    <n v="158239"/>
    <n v="13"/>
    <s v="Paulo Souza"/>
    <d v="2025-02-06T00:00:00"/>
    <d v="1899-12-30T13:55:44"/>
    <s v=""/>
    <s v="Perdido"/>
    <d v="2025-02-19T00:00:00"/>
    <d v="1899-12-30T09:18:02"/>
    <s v="Preço muito alto - fora do budget de investimento"/>
    <s v=""/>
    <s v=""/>
    <x v="38"/>
    <s v=""/>
    <x v="46"/>
    <s v=""/>
    <m/>
    <m/>
    <s v=""/>
    <s v=""/>
    <s v=""/>
    <s v=""/>
    <n v="1"/>
  </r>
  <r>
    <x v="0"/>
    <n v="219"/>
    <m/>
    <n v="1720"/>
    <s v=""/>
    <s v=""/>
    <x v="79"/>
    <m/>
    <s v=""/>
    <s v="Nassib Saleh"/>
    <s v="11951945790"/>
    <s v=""/>
    <s v="nassib.saleh58@gmail.com"/>
    <s v=""/>
    <s v=""/>
    <s v=""/>
    <s v=""/>
    <s v=""/>
    <s v=""/>
    <s v=""/>
    <s v=""/>
    <s v=""/>
    <s v="Pipeline de Vendas"/>
    <s v="Em Fechamento (100%)"/>
    <s v=""/>
    <m/>
    <n v="14400"/>
    <n v="122984"/>
    <n v="8"/>
    <s v="Paulo Souza"/>
    <d v="2025-02-06T00:00:00"/>
    <d v="1899-12-30T17:42:46"/>
    <s v=""/>
    <s v="Ganho"/>
    <d v="2025-02-14T00:00:00"/>
    <d v="1899-12-30T11:16:20"/>
    <s v=""/>
    <s v=""/>
    <s v=""/>
    <x v="39"/>
    <s v="Paulo Souza"/>
    <x v="46"/>
    <s v=""/>
    <m/>
    <m/>
    <s v=""/>
    <s v=""/>
    <s v=""/>
    <s v=""/>
    <n v="1"/>
  </r>
  <r>
    <x v="1"/>
    <n v="230"/>
    <m/>
    <n v="1734"/>
    <s v=""/>
    <s v=""/>
    <x v="80"/>
    <m/>
    <s v=""/>
    <s v="Oikos"/>
    <s v="21968201725"/>
    <s v=""/>
    <s v="michele.pepalia@grupoecoa.com.br"/>
    <s v=""/>
    <s v=""/>
    <s v=""/>
    <s v=""/>
    <s v=""/>
    <s v="Feiras"/>
    <s v=""/>
    <s v=""/>
    <s v="90%;Abcasa2025fevereiro"/>
    <s v="Pipeline de Vendas"/>
    <s v="Em Fechamento (100%)"/>
    <s v="6x sem juros (0/30/60/90/120/150...)"/>
    <m/>
    <n v="56000"/>
    <n v="2101739"/>
    <n v="161"/>
    <s v="Junior Lopes"/>
    <d v="2025-02-10T00:00:00"/>
    <d v="1899-12-30T07:54:34"/>
    <s v=""/>
    <s v="Perdido"/>
    <d v="2025-07-21T00:00:00"/>
    <d v="1899-12-30T09:46:56"/>
    <s v="Projeto adiado / sem prazo definido"/>
    <s v="cliente não responde sobre a continuidade"/>
    <s v=""/>
    <x v="40"/>
    <s v=""/>
    <x v="47"/>
    <s v=""/>
    <m/>
    <m/>
    <s v=""/>
    <s v=""/>
    <s v=""/>
    <s v=""/>
    <n v="1"/>
  </r>
  <r>
    <x v="0"/>
    <n v="231"/>
    <m/>
    <n v="1733"/>
    <s v="Todos os dados preenchidos:_x000a_name: Ana Beatriz Costa dos Santos  _x000a_phone: 12997420947 _x000a_email: administrativo@camposdiaromas.com"/>
    <s v="Stefanie Forsterling"/>
    <x v="81"/>
    <n v="14936505000258"/>
    <s v=""/>
    <s v="Ana Beatriz Costa dos Santos"/>
    <s v="(12) 3662-5043"/>
    <s v=""/>
    <s v="administrativo@camposdiaromas.com"/>
    <s v=""/>
    <s v=""/>
    <s v=""/>
    <s v="CAMPOS DO JORDAO"/>
    <s v="SP"/>
    <s v="Feiras"/>
    <s v=""/>
    <s v=""/>
    <s v="Feiras"/>
    <s v="Pipeline de Vendas"/>
    <s v="Qualificação de Vendas (SQL) (25%)"/>
    <s v=""/>
    <m/>
    <m/>
    <m/>
    <n v="38"/>
    <s v="Fernanda Santiago"/>
    <d v="2025-02-11T00:00:00"/>
    <d v="1899-12-30T15:36:50"/>
    <s v=""/>
    <s v="Perdido"/>
    <d v="2025-03-21T00:00:00"/>
    <d v="1899-12-30T15:15:41"/>
    <s v="Fora do porte mínimo (sem fite estrutural)"/>
    <s v="Lojas muitos pequenas"/>
    <s v="11/02/2025 15:30"/>
    <x v="0"/>
    <s v="Fernanda Santiago"/>
    <x v="48"/>
    <s v=""/>
    <m/>
    <m/>
    <s v=""/>
    <s v=""/>
    <s v=""/>
    <s v=""/>
    <n v="1"/>
  </r>
  <r>
    <x v="0"/>
    <n v="232"/>
    <m/>
    <n v="1704"/>
    <s v=""/>
    <s v=""/>
    <x v="82"/>
    <n v="29432229000187"/>
    <s v=""/>
    <s v="Adriana"/>
    <s v="(41) 99861-1071"/>
    <s v=""/>
    <s v="contato@euromats.com.br"/>
    <s v=""/>
    <s v=""/>
    <s v=""/>
    <s v=""/>
    <s v=""/>
    <s v="Base de empresas Leads2b"/>
    <s v=""/>
    <s v=""/>
    <s v="msgabupfevereiro2025;REP+"/>
    <s v="Pipeline de Vendas"/>
    <s v="Qualificação de Vendas (SQL) (25%)"/>
    <s v=""/>
    <m/>
    <m/>
    <m/>
    <n v="42"/>
    <s v="Fernanda Santiago"/>
    <d v="2025-02-12T00:00:00"/>
    <d v="1899-12-30T10:51:17"/>
    <s v=""/>
    <s v="Perdido"/>
    <d v="2025-03-26T00:00:00"/>
    <d v="1899-12-30T17:34:58"/>
    <s v="Preço muito alto - fora do budget de investimento"/>
    <s v=""/>
    <s v="12/02/2025 08:00"/>
    <x v="0"/>
    <s v="Fernanda Santiago"/>
    <x v="49"/>
    <s v=""/>
    <m/>
    <m/>
    <s v=""/>
    <s v=""/>
    <s v=""/>
    <s v=""/>
    <n v="1"/>
  </r>
  <r>
    <x v="1"/>
    <n v="233"/>
    <m/>
    <n v="1747"/>
    <s v=""/>
    <s v=""/>
    <x v="83"/>
    <m/>
    <s v=""/>
    <s v="Ad &amp; Ad Comercio de Importacao"/>
    <s v="14996930353"/>
    <s v=""/>
    <s v="daniel@adimportacao.com.br"/>
    <s v=""/>
    <s v=""/>
    <s v=""/>
    <s v=""/>
    <s v=""/>
    <s v=""/>
    <s v=""/>
    <s v=""/>
    <s v="Abcasa2025fevereiro"/>
    <s v="Pipeline de Vendas"/>
    <s v="Em Fechamento (100%)"/>
    <s v=""/>
    <m/>
    <n v="60534"/>
    <n v="27562"/>
    <n v="18"/>
    <s v="Junior Lopes"/>
    <d v="2025-02-13T00:00:00"/>
    <d v="1899-12-30T10:18:19"/>
    <s v=""/>
    <s v="Ganho"/>
    <d v="2025-03-03T00:00:00"/>
    <d v="1899-12-30T11:33:34"/>
    <s v=""/>
    <s v=""/>
    <s v=""/>
    <x v="41"/>
    <s v=""/>
    <x v="47"/>
    <s v=""/>
    <m/>
    <m/>
    <s v=""/>
    <s v=""/>
    <s v=""/>
    <s v=""/>
    <n v="1"/>
  </r>
  <r>
    <x v="1"/>
    <n v="234"/>
    <m/>
    <n v="1748"/>
    <s v=""/>
    <s v=""/>
    <x v="84"/>
    <n v="26981837000152"/>
    <s v=""/>
    <s v="Chamma Festas (PDV)"/>
    <s v="(61) 9145-0480"/>
    <s v=""/>
    <s v="chammasuprimentos@hotmail.com"/>
    <s v=""/>
    <s v=""/>
    <s v=""/>
    <s v="BRASILIA"/>
    <s v="DF"/>
    <s v=""/>
    <s v=""/>
    <s v=""/>
    <s v="Abcasa2025fevereiro"/>
    <s v="Pipeline de Vendas"/>
    <s v="Apresentar Proposta (50%)"/>
    <s v=""/>
    <m/>
    <n v="40440"/>
    <n v="340574"/>
    <n v="11"/>
    <s v="Junior Lopes"/>
    <d v="2025-02-13T00:00:00"/>
    <d v="1899-12-30T10:49:31"/>
    <s v=""/>
    <s v="Perdido"/>
    <d v="2025-02-24T00:00:00"/>
    <d v="1899-12-30T16:44:24"/>
    <s v="Preço muito alto - fora do budget de investimento"/>
    <s v="14:59, 14/02/2025 Robson Chamma Festa: Obrigado júnior_x000a_14:59, 17/02/2025 Robson Chamma Festa: Oi Junior, ficou bem fora do nosso orçamento. No momento não vamos levar adiante. Fico grato pela sua atenção."/>
    <s v=""/>
    <x v="41"/>
    <s v=""/>
    <x v="50"/>
    <s v=""/>
    <m/>
    <m/>
    <s v=""/>
    <s v=""/>
    <s v=""/>
    <s v=""/>
    <n v="1"/>
  </r>
  <r>
    <x v="1"/>
    <n v="235"/>
    <m/>
    <n v="1750"/>
    <s v=""/>
    <s v=""/>
    <x v="85"/>
    <n v="43530585000164"/>
    <s v=""/>
    <s v="P10 Importadora"/>
    <s v="(49) 8817-6299"/>
    <s v=""/>
    <s v="prioridade10e20financeiro@hotmail.com"/>
    <s v=""/>
    <s v=""/>
    <s v=""/>
    <s v="CUNHA PORA"/>
    <s v="SC"/>
    <s v=""/>
    <s v=""/>
    <s v=""/>
    <s v="Abcasa2025fevereiro"/>
    <s v="Pipeline de Vendas"/>
    <s v="Apresentar Proposta (50%)"/>
    <s v=""/>
    <m/>
    <n v="4663152"/>
    <n v="15528"/>
    <n v="11"/>
    <s v="Junior Lopes"/>
    <d v="2025-02-13T00:00:00"/>
    <d v="1899-12-30T11:07:42"/>
    <s v=""/>
    <s v="Perdido"/>
    <d v="2025-02-24T00:00:00"/>
    <d v="1899-12-30T17:13:56"/>
    <s v="Preço muito alto - fora do budget de investimento"/>
    <s v="Bom dia_x000a_Junior, achei o sistema completo, não foge do que outras empresas proporcionam no mercado… no entanto, achei o valor de implantação muito elevado, da próximo de 80 mil reais pra fazer a implantação de um sistema"/>
    <s v=""/>
    <x v="42"/>
    <s v=""/>
    <x v="50"/>
    <s v=""/>
    <m/>
    <m/>
    <s v=""/>
    <s v=""/>
    <s v=""/>
    <s v=""/>
    <n v="1"/>
  </r>
  <r>
    <x v="1"/>
    <n v="236"/>
    <m/>
    <n v="1754"/>
    <s v=""/>
    <s v=""/>
    <x v="86"/>
    <n v="43530585000164"/>
    <s v=""/>
    <s v="P10 IMPORTADORA"/>
    <s v="(49) 8817-6299"/>
    <s v=""/>
    <s v="prioridade10e20financeiro@hotmail.com"/>
    <s v=""/>
    <s v=""/>
    <s v=""/>
    <s v="CUNHA PORA"/>
    <s v="SC"/>
    <s v=""/>
    <s v=""/>
    <s v=""/>
    <s v="Abcasa2025fevereiro"/>
    <s v="Pipeline de Vendas"/>
    <s v="Apresentar Proposta (50%)"/>
    <s v=""/>
    <m/>
    <n v="23580"/>
    <n v="3060"/>
    <n v="11"/>
    <s v="Junior Lopes"/>
    <d v="2025-02-13T00:00:00"/>
    <d v="1899-12-30T11:14:38"/>
    <s v=""/>
    <s v="Perdido"/>
    <d v="2025-02-24T00:00:00"/>
    <d v="1899-12-30T17:14:25"/>
    <s v="Preço muito alto - fora do budget de investimento"/>
    <s v="Bom dia_x000a_Junior, achei o sistema completo, não foge do que outras empresas proporcionam no mercado… no entanto, achei o valor de implantação muito elevado, da próximo de 80 mil reais pra fazer a implantação de um sistema"/>
    <s v=""/>
    <x v="42"/>
    <s v=""/>
    <x v="50"/>
    <s v=""/>
    <m/>
    <m/>
    <s v=""/>
    <s v=""/>
    <s v=""/>
    <s v=""/>
    <n v="1"/>
  </r>
  <r>
    <x v="1"/>
    <n v="237"/>
    <m/>
    <n v="1758"/>
    <s v=""/>
    <s v=""/>
    <x v="87"/>
    <n v="12182313000197"/>
    <s v=""/>
    <s v="PLASBERG INDUSTRIA E COMERCIO"/>
    <s v="(75) 2102-2102 / (75) 2101-2101"/>
    <s v=""/>
    <s v="cadastro@asseplan.cnt.br"/>
    <s v=""/>
    <s v=""/>
    <s v=""/>
    <s v="Feira de Santana"/>
    <s v="BA"/>
    <s v="Feiras"/>
    <s v=""/>
    <s v=""/>
    <s v="Abcasa2025fevereiro"/>
    <s v="Pipeline de Vendas"/>
    <s v="Apresentar Proposta (50%)"/>
    <s v="6x sem juros (0/30/60/90/120/150...)"/>
    <m/>
    <n v="85500"/>
    <n v="769354"/>
    <n v="62"/>
    <s v="Junior Lopes"/>
    <d v="2025-02-13T00:00:00"/>
    <d v="1899-12-30T11:27:23"/>
    <s v=""/>
    <s v="Perdido"/>
    <d v="2025-04-16T00:00:00"/>
    <d v="1899-12-30T09:27:55"/>
    <s v="Projeto adiado / sem prazo definido"/>
    <s v="Breno não responde as mensagens ! estou fechando oportunidade mas continuo em busca da oportunidade"/>
    <s v=""/>
    <x v="43"/>
    <s v=""/>
    <x v="47"/>
    <s v=""/>
    <m/>
    <m/>
    <s v=""/>
    <s v=""/>
    <s v=""/>
    <s v=""/>
    <n v="1"/>
  </r>
  <r>
    <x v="0"/>
    <n v="242"/>
    <m/>
    <n v="1746"/>
    <s v=""/>
    <s v=""/>
    <x v="88"/>
    <n v="865166000170"/>
    <s v=""/>
    <s v="Renor Preto"/>
    <s v="(19) 99188-1436"/>
    <s v=""/>
    <s v="renor.preto@adere.com"/>
    <s v=""/>
    <s v=""/>
    <s v=""/>
    <s v="Juiz de Fora"/>
    <s v=""/>
    <s v="Site"/>
    <s v=""/>
    <s v=""/>
    <s v="MORNO;Solicita demo"/>
    <s v="Pipeline de Vendas"/>
    <s v="Em negociação (75%)"/>
    <s v=""/>
    <m/>
    <m/>
    <m/>
    <n v="25"/>
    <s v="Paulo Souza"/>
    <d v="2025-02-13T00:00:00"/>
    <d v="1899-12-30T17:39:49"/>
    <s v=""/>
    <s v="Perdido"/>
    <d v="2025-03-10T00:00:00"/>
    <d v="1899-12-30T17:37:28"/>
    <s v="Nossa solução não atende - falta funcionalidade"/>
    <s v=""/>
    <s v=""/>
    <x v="0"/>
    <s v="Paulo Souza"/>
    <x v="51"/>
    <s v=""/>
    <m/>
    <m/>
    <s v=""/>
    <s v=""/>
    <s v=""/>
    <s v=""/>
    <n v="1"/>
  </r>
  <r>
    <x v="0"/>
    <n v="245"/>
    <m/>
    <n v="1763"/>
    <s v=""/>
    <s v=""/>
    <x v="89"/>
    <n v="30164963000191"/>
    <s v=""/>
    <s v="FERNANDA ALVES"/>
    <s v="(11) 99763-3759"/>
    <s v=""/>
    <s v="fernanda@jlkplasticos.com.br"/>
    <s v=""/>
    <s v=""/>
    <s v=""/>
    <s v="São Paulo"/>
    <s v=""/>
    <s v="Site"/>
    <s v=""/>
    <s v=""/>
    <s v="Abcasa2025fevereiro;Solicita demo"/>
    <s v="Pipeline de Vendas"/>
    <s v="Em Fechamento (100%)"/>
    <s v=""/>
    <m/>
    <n v="46332"/>
    <n v="257546"/>
    <n v="35"/>
    <s v="Paulo Souza"/>
    <d v="2025-02-14T00:00:00"/>
    <d v="1899-12-30T11:03:12"/>
    <s v=""/>
    <s v="Ganho"/>
    <d v="2025-03-21T00:00:00"/>
    <d v="1899-12-30T14:50:46"/>
    <s v=""/>
    <s v=""/>
    <s v=""/>
    <x v="44"/>
    <s v="Paulo Souza"/>
    <x v="51"/>
    <s v=""/>
    <m/>
    <m/>
    <s v=""/>
    <s v=""/>
    <s v=""/>
    <s v=""/>
    <n v="1"/>
  </r>
  <r>
    <x v="0"/>
    <n v="246"/>
    <m/>
    <n v="1768"/>
    <s v=""/>
    <s v=""/>
    <x v="90"/>
    <m/>
    <s v=""/>
    <s v="Nacib"/>
    <s v="11951945790"/>
    <s v=""/>
    <s v="nassib.saleh58@gmail.com"/>
    <s v=""/>
    <s v=""/>
    <s v=""/>
    <s v=""/>
    <s v=""/>
    <s v=""/>
    <s v=""/>
    <s v=""/>
    <s v=""/>
    <s v="Pipeline de Vendas"/>
    <s v="Em Fechamento (100%)"/>
    <s v=""/>
    <m/>
    <n v="0"/>
    <n v="3062"/>
    <n v="0"/>
    <s v="Paulo Souza"/>
    <d v="2025-02-14T00:00:00"/>
    <d v="1899-12-30T11:22:59"/>
    <s v=""/>
    <s v="Ganho"/>
    <d v="2025-02-14T00:00:00"/>
    <d v="1899-12-30T11:27:19"/>
    <s v=""/>
    <s v=""/>
    <s v=""/>
    <x v="41"/>
    <s v="Paulo Souza"/>
    <x v="52"/>
    <s v=""/>
    <m/>
    <m/>
    <s v=""/>
    <s v=""/>
    <s v=""/>
    <s v=""/>
    <n v="1"/>
  </r>
  <r>
    <x v="0"/>
    <n v="248"/>
    <m/>
    <n v="1770"/>
    <s v=""/>
    <s v=""/>
    <x v="91"/>
    <m/>
    <s v=""/>
    <s v="Caetano"/>
    <s v="11941743784"/>
    <s v=""/>
    <s v="aflordk@gmail.com"/>
    <s v=""/>
    <s v=""/>
    <s v=""/>
    <s v=""/>
    <s v=""/>
    <s v="Feiras"/>
    <s v=""/>
    <s v=""/>
    <s v="Abcasa2025fevereiro"/>
    <s v="Pipeline de Vendas"/>
    <s v="Em negociação (75%)"/>
    <s v="6x sem juros (0/30/60/90/120/150...)"/>
    <m/>
    <n v="64600"/>
    <n v="199064"/>
    <n v="53"/>
    <s v="Paulo Souza"/>
    <d v="2025-02-14T00:00:00"/>
    <d v="1899-12-30T16:18:04"/>
    <s v=""/>
    <s v="Perdido"/>
    <d v="2025-04-08T00:00:00"/>
    <d v="1899-12-30T09:04:24"/>
    <s v="Não quer mudar a solução atual"/>
    <s v=""/>
    <s v=""/>
    <x v="42"/>
    <s v=""/>
    <x v="52"/>
    <s v=""/>
    <m/>
    <m/>
    <s v=""/>
    <s v=""/>
    <s v=""/>
    <s v=""/>
    <n v="1"/>
  </r>
  <r>
    <x v="0"/>
    <n v="249"/>
    <m/>
    <n v="1771"/>
    <s v=""/>
    <s v=""/>
    <x v="92"/>
    <m/>
    <s v=""/>
    <s v="Keila"/>
    <s v="11996600206"/>
    <s v=""/>
    <s v="null"/>
    <s v=""/>
    <s v=""/>
    <s v=""/>
    <s v=""/>
    <s v=""/>
    <s v="Indicação"/>
    <s v=""/>
    <s v=""/>
    <s v="Abcasa2025fevereiro"/>
    <s v="Pipeline de Vendas"/>
    <s v="Em negociação (75%)"/>
    <s v="6x sem juros (0/30/60/90/120/150...)"/>
    <m/>
    <n v="16000"/>
    <n v="3724"/>
    <n v="116"/>
    <s v="Paulo Souza"/>
    <d v="2025-02-14T00:00:00"/>
    <d v="1899-12-30T16:24:00"/>
    <s v=""/>
    <s v="Perdido"/>
    <d v="2025-06-10T00:00:00"/>
    <d v="1899-12-30T14:49:46"/>
    <s v="Não quer mudar a solução atual"/>
    <s v=""/>
    <s v=""/>
    <x v="45"/>
    <s v="Paulo Souza"/>
    <x v="53"/>
    <s v=""/>
    <m/>
    <m/>
    <s v=""/>
    <s v=""/>
    <s v=""/>
    <s v=""/>
    <n v="1"/>
  </r>
  <r>
    <x v="0"/>
    <n v="250"/>
    <m/>
    <n v="1772"/>
    <s v=""/>
    <s v=""/>
    <x v="93"/>
    <m/>
    <s v=""/>
    <s v="Fabio"/>
    <s v="11981721166"/>
    <s v=""/>
    <s v="null"/>
    <s v=""/>
    <s v=""/>
    <s v=""/>
    <s v=""/>
    <s v=""/>
    <s v="Feiras"/>
    <s v=""/>
    <s v=""/>
    <s v="30%;Abcasa2025fevereiro;Pausado"/>
    <s v="Pipeline de Vendas"/>
    <s v="Apresentar Solução (35%)"/>
    <s v="6x sem juros (0/30/60/90/120/150...)"/>
    <d v="2028-07-01T00:00:00"/>
    <m/>
    <m/>
    <n v="208"/>
    <s v="Paulo Souza"/>
    <d v="2025-02-14T00:00:00"/>
    <d v="1899-12-30T16:27:14"/>
    <s v=""/>
    <s v="Perdido"/>
    <d v="2025-09-10T00:00:00"/>
    <d v="1899-12-30T16:11:00"/>
    <s v="Projeto adiado / sem prazo definido"/>
    <s v=""/>
    <s v=""/>
    <x v="0"/>
    <s v="Paulo Souza"/>
    <x v="54"/>
    <s v=""/>
    <m/>
    <m/>
    <s v=""/>
    <s v=""/>
    <s v=""/>
    <s v=""/>
    <n v="1"/>
  </r>
  <r>
    <x v="0"/>
    <n v="253"/>
    <m/>
    <n v="1776"/>
    <s v=""/>
    <s v=""/>
    <x v="94"/>
    <m/>
    <s v=""/>
    <s v="Guga"/>
    <s v="31984513164"/>
    <s v=""/>
    <s v="null"/>
    <s v=""/>
    <s v=""/>
    <s v=""/>
    <s v=""/>
    <s v=""/>
    <s v="Feiras"/>
    <s v=""/>
    <s v=""/>
    <s v="Abcasa2025fevereiro;Pausado"/>
    <s v="Pipeline de Vendas"/>
    <s v="Em negociação (75%)"/>
    <s v="6x sem juros (0/30/60/90/120/150...)"/>
    <d v="2026-01-15T00:00:00"/>
    <n v="48000"/>
    <n v="1690959"/>
    <n v="299"/>
    <s v="Paulo Souza"/>
    <d v="2025-02-14T00:00:00"/>
    <d v="1899-12-30T17:28:04"/>
    <s v=""/>
    <s v="Perdido"/>
    <d v="2025-12-10T00:00:00"/>
    <d v="1899-12-30T17:09:31"/>
    <s v="Não quer mudar a solução atual"/>
    <s v=""/>
    <s v=""/>
    <x v="46"/>
    <s v="Paulo Souza"/>
    <x v="51"/>
    <s v=""/>
    <m/>
    <m/>
    <s v=""/>
    <s v=""/>
    <s v=""/>
    <s v=""/>
    <n v="1"/>
  </r>
  <r>
    <x v="0"/>
    <n v="254"/>
    <m/>
    <n v="1777"/>
    <s v=""/>
    <s v=""/>
    <x v="95"/>
    <m/>
    <s v=""/>
    <s v="Emilio"/>
    <s v="11947392525"/>
    <s v=""/>
    <s v="null"/>
    <s v=""/>
    <s v=""/>
    <s v=""/>
    <s v=""/>
    <s v=""/>
    <s v="Feiras"/>
    <s v=""/>
    <s v=""/>
    <s v="Abcasa2025fevereiro"/>
    <s v="Pipeline de Vendas"/>
    <s v="Qualificação de Vendas (SQL) (25%)"/>
    <s v="6x sem juros (0/30/60/90/120/150...)"/>
    <m/>
    <m/>
    <m/>
    <n v="40"/>
    <s v="Paulo Souza"/>
    <d v="2025-02-14T00:00:00"/>
    <d v="1899-12-30T17:35:16"/>
    <s v=""/>
    <s v="Perdido"/>
    <d v="2025-03-26T00:00:00"/>
    <d v="1899-12-30T17:30:46"/>
    <s v="Fora do porte mínimo (sem fit estrutural)"/>
    <s v=""/>
    <s v=""/>
    <x v="0"/>
    <s v=""/>
    <x v="51"/>
    <s v=""/>
    <m/>
    <m/>
    <s v=""/>
    <s v=""/>
    <s v=""/>
    <s v=""/>
    <n v="1"/>
  </r>
  <r>
    <x v="0"/>
    <n v="255"/>
    <m/>
    <n v="1778"/>
    <s v=""/>
    <s v=""/>
    <x v="96"/>
    <m/>
    <s v=""/>
    <s v="Tiago - Diretor da Empresa"/>
    <s v="54981340574"/>
    <s v=""/>
    <s v="null"/>
    <s v=""/>
    <s v=""/>
    <s v=""/>
    <s v=""/>
    <s v=""/>
    <s v="Feiras"/>
    <s v=""/>
    <s v=""/>
    <s v="Abcasa2025fevereiro"/>
    <s v="Pipeline de Vendas"/>
    <s v="Qualificação de Vendas (SQL) (25%)"/>
    <s v="6x sem juros (0/30/60/90/120/150...)"/>
    <m/>
    <m/>
    <m/>
    <n v="116"/>
    <s v="Paulo Souza"/>
    <d v="2025-02-14T00:00:00"/>
    <d v="1899-12-30T17:37:06"/>
    <s v=""/>
    <s v="Perdido"/>
    <d v="2025-06-10T00:00:00"/>
    <d v="1899-12-30T14:50:38"/>
    <s v="Projeto adiado / sem prazo definido"/>
    <s v=""/>
    <s v=""/>
    <x v="0"/>
    <s v=""/>
    <x v="54"/>
    <s v=""/>
    <m/>
    <m/>
    <s v=""/>
    <s v=""/>
    <s v=""/>
    <s v=""/>
    <n v="1"/>
  </r>
  <r>
    <x v="0"/>
    <n v="256"/>
    <m/>
    <n v="1781"/>
    <s v=""/>
    <s v=""/>
    <x v="97"/>
    <m/>
    <s v=""/>
    <s v="Wanessa"/>
    <s v="38998346343"/>
    <s v=""/>
    <s v="rh@xododeminasmoc.com.br"/>
    <s v=""/>
    <s v=""/>
    <s v=""/>
    <s v=""/>
    <s v=""/>
    <s v="Indicação"/>
    <s v=""/>
    <s v=""/>
    <s v=""/>
    <s v="Pipeline de Vendas"/>
    <s v="Apresentar Solução (35%)"/>
    <s v="6x sem juros (0/30/60/90/120/150...)"/>
    <m/>
    <m/>
    <m/>
    <n v="37"/>
    <s v="Paulo Souza"/>
    <d v="2025-02-17T00:00:00"/>
    <d v="1899-12-30T12:20:30"/>
    <s v=""/>
    <s v="Perdido"/>
    <d v="2025-03-26T00:00:00"/>
    <d v="1899-12-30T17:36:27"/>
    <s v="Não quer mudar a solução atual"/>
    <s v=""/>
    <s v=""/>
    <x v="47"/>
    <s v="Paulo Souza"/>
    <x v="54"/>
    <s v=""/>
    <m/>
    <m/>
    <s v=""/>
    <s v=""/>
    <s v=""/>
    <s v=""/>
    <n v="1"/>
  </r>
  <r>
    <x v="0"/>
    <n v="257"/>
    <m/>
    <n v="1780"/>
    <s v=""/>
    <s v=""/>
    <x v="98"/>
    <m/>
    <s v=""/>
    <s v="Waldemar"/>
    <s v="(43) 99141-6611"/>
    <s v=""/>
    <s v="ti@gelonisorvetes.com.br"/>
    <s v=""/>
    <s v=""/>
    <s v=""/>
    <s v="Flórida"/>
    <s v=""/>
    <s v="Site"/>
    <s v=""/>
    <s v=""/>
    <s v="Abcasa2025fevereiro;Contato;GELADO"/>
    <s v="Pipeline de Vendas"/>
    <s v="Em negociação (75%)"/>
    <s v="6x sem juros (0/30/60/90/120/150...)"/>
    <m/>
    <n v="1234935"/>
    <n v="833725"/>
    <n v="113"/>
    <s v="Paulo Souza"/>
    <d v="2025-02-17T00:00:00"/>
    <d v="1899-12-30T12:55:36"/>
    <s v=""/>
    <s v="Perdido"/>
    <d v="2025-06-10T00:00:00"/>
    <d v="1899-12-30T14:38:18"/>
    <s v="Fechou com o concorrente - preço"/>
    <s v=""/>
    <s v=""/>
    <x v="47"/>
    <s v="Paulo Souza"/>
    <x v="54"/>
    <s v=""/>
    <m/>
    <m/>
    <s v=""/>
    <s v=""/>
    <s v=""/>
    <s v=""/>
    <n v="1"/>
  </r>
  <r>
    <x v="0"/>
    <n v="258"/>
    <m/>
    <n v="1782"/>
    <s v=""/>
    <s v=""/>
    <x v="99"/>
    <m/>
    <s v=""/>
    <s v="Elton"/>
    <s v="73999081706"/>
    <s v=""/>
    <s v="frutyba.rh@hotmail.com"/>
    <s v=""/>
    <s v=""/>
    <s v=""/>
    <s v=""/>
    <s v=""/>
    <s v=""/>
    <s v=""/>
    <s v=""/>
    <s v="Abcasa2025fevereiro"/>
    <s v="Pipeline de Vendas"/>
    <s v="Em negociação (75%)"/>
    <s v=""/>
    <m/>
    <m/>
    <m/>
    <n v="21"/>
    <s v="Paulo Souza"/>
    <d v="2025-02-17T00:00:00"/>
    <d v="1899-12-30T12:57:36"/>
    <s v=""/>
    <s v="Perdido"/>
    <d v="2025-03-10T00:00:00"/>
    <d v="1899-12-30T17:40:22"/>
    <s v="Preço muito alto - fora do budget de investimento"/>
    <s v=""/>
    <s v=""/>
    <x v="47"/>
    <s v="Paulo Souza"/>
    <x v="54"/>
    <s v=""/>
    <m/>
    <m/>
    <s v=""/>
    <s v=""/>
    <s v=""/>
    <s v=""/>
    <n v="1"/>
  </r>
  <r>
    <x v="0"/>
    <n v="259"/>
    <m/>
    <n v="1783"/>
    <s v=""/>
    <s v=""/>
    <x v="100"/>
    <m/>
    <s v=""/>
    <s v="Jose e Felipe"/>
    <s v="11997681796"/>
    <s v=""/>
    <s v="null"/>
    <s v=""/>
    <s v=""/>
    <s v=""/>
    <s v=""/>
    <s v=""/>
    <s v="Feiras"/>
    <s v=""/>
    <s v=""/>
    <s v="Abup2025Fevereiro;Pausado"/>
    <s v="Pipeline de Vendas"/>
    <s v="Qualificação de Vendas (SQL) (25%)"/>
    <s v="6x sem juros (0/30/60/90/120/150...)"/>
    <m/>
    <m/>
    <m/>
    <n v="75"/>
    <s v="Paulo Souza"/>
    <d v="2025-02-17T00:00:00"/>
    <d v="1899-12-30T13:19:01"/>
    <s v=""/>
    <s v="Perdido"/>
    <d v="2025-05-03T00:00:00"/>
    <d v="1899-12-30T11:01:03"/>
    <s v="Projeto adiado / sem prazo definido"/>
    <s v=""/>
    <s v=""/>
    <x v="0"/>
    <s v="Paulo Souza"/>
    <x v="55"/>
    <s v=""/>
    <m/>
    <m/>
    <s v=""/>
    <s v=""/>
    <s v=""/>
    <s v=""/>
    <n v="1"/>
  </r>
  <r>
    <x v="0"/>
    <n v="260"/>
    <m/>
    <n v="1785"/>
    <s v=""/>
    <s v=""/>
    <x v="101"/>
    <m/>
    <s v=""/>
    <s v="Luis Felips"/>
    <s v="11964237222"/>
    <s v=""/>
    <s v="null"/>
    <s v=""/>
    <s v=""/>
    <s v=""/>
    <s v=""/>
    <s v=""/>
    <s v="Feiras"/>
    <s v=""/>
    <s v=""/>
    <s v="Abup2025Fevereiro"/>
    <s v="Pipeline de Vendas"/>
    <s v="Qualificação de Vendas (SQL) (25%)"/>
    <s v="6x sem juros (0/30/60/90/120/150...)"/>
    <m/>
    <m/>
    <m/>
    <n v="37"/>
    <s v="Paulo Souza"/>
    <d v="2025-02-17T00:00:00"/>
    <d v="1899-12-30T13:24:02"/>
    <s v=""/>
    <s v="Perdido"/>
    <d v="2025-03-26T00:00:00"/>
    <d v="1899-12-30T17:33:35"/>
    <s v="Preço muito alto - fora do budget de investimento"/>
    <s v=""/>
    <s v=""/>
    <x v="0"/>
    <s v="Paulo Souza"/>
    <x v="55"/>
    <s v=""/>
    <m/>
    <m/>
    <s v=""/>
    <s v=""/>
    <s v=""/>
    <s v=""/>
    <n v="1"/>
  </r>
  <r>
    <x v="1"/>
    <n v="261"/>
    <m/>
    <n v="1786"/>
    <s v=""/>
    <s v=""/>
    <x v="102"/>
    <m/>
    <s v=""/>
    <s v="Prioridade 10"/>
    <s v="49991999161"/>
    <s v=""/>
    <s v="prioridade10e20financeiro@hotmail.com"/>
    <s v=""/>
    <s v=""/>
    <s v=""/>
    <s v=""/>
    <s v=""/>
    <s v=""/>
    <s v=""/>
    <s v=""/>
    <s v="Abcasa2025fevereiro"/>
    <s v="Pipeline de Vendas"/>
    <s v="Apresentar Proposta (50%)"/>
    <s v=""/>
    <m/>
    <n v="1600"/>
    <n v="2101"/>
    <n v="7"/>
    <s v="Junior Lopes"/>
    <d v="2025-02-17T00:00:00"/>
    <d v="1899-12-30T14:58:43"/>
    <s v=""/>
    <s v="Perdido"/>
    <d v="2025-02-24T00:00:00"/>
    <d v="1899-12-30T17:14:55"/>
    <s v="Preço muito alto - fora do budget de investimento"/>
    <s v="Bom dia_x000a_Junior, achei o sistema completo, não foge do que outras empresas proporcionam no mercado… no entanto, achei o valor de implantação muito elevado, da próximo de 80 mil reais pra fazer a implantação de um sistema"/>
    <s v=""/>
    <x v="42"/>
    <s v=""/>
    <x v="50"/>
    <s v=""/>
    <m/>
    <m/>
    <s v=""/>
    <s v=""/>
    <s v=""/>
    <s v=""/>
    <n v="1"/>
  </r>
  <r>
    <x v="0"/>
    <n v="263"/>
    <m/>
    <n v="1790"/>
    <s v="Falei com a Suzana sobre a sequencia do projeto. Ela esta de férias e retorna na semana do dia 12/01e vamos retomar. _x000a_Ligar para Susana no dia 14/01._x000a_23/01 Fiz FUP com a Susana que estava de férias e retornou hoje. Combinamos de eu Enviar para ela o form para ela preencher e após fazer a proposta ._x000a_17/02 Por falta de interação e interesse, estou declinando o lead."/>
    <s v=""/>
    <x v="103"/>
    <m/>
    <s v=""/>
    <s v="Suzana"/>
    <s v="11914779683"/>
    <s v=""/>
    <s v="null"/>
    <s v=""/>
    <s v=""/>
    <s v=""/>
    <s v=""/>
    <s v=""/>
    <s v="Outbound"/>
    <s v=""/>
    <s v=""/>
    <s v="50%"/>
    <s v="Pipeline de Vendas"/>
    <s v="Apresentar Proposta (50%)"/>
    <s v="6x sem juros (0/30/60/90/120/150...)"/>
    <d v="2026-01-31T00:00:00"/>
    <m/>
    <m/>
    <n v="364"/>
    <s v="Paulo Souza"/>
    <d v="2025-02-18T00:00:00"/>
    <d v="1899-12-30T10:00:38"/>
    <s v=""/>
    <s v="Perdido"/>
    <d v="2026-02-17T00:00:00"/>
    <d v="1899-12-30T14:29:08"/>
    <s v="Projeto adiado / sem prazo definido"/>
    <s v="17/02 Por falta de interação e interesse, estou declinando o lead."/>
    <s v=""/>
    <x v="48"/>
    <s v="Paulo Souza"/>
    <x v="56"/>
    <s v="21/11/2025"/>
    <d v="2026-01-23T00:00:00"/>
    <n v="50"/>
    <s v=""/>
    <s v=""/>
    <s v=""/>
    <s v=""/>
    <n v="1"/>
  </r>
  <r>
    <x v="1"/>
    <n v="266"/>
    <m/>
    <n v="1866"/>
    <s v=""/>
    <s v=""/>
    <x v="104"/>
    <n v="8652421000109"/>
    <s v=""/>
    <s v="Berenardi &amp; Bernardi"/>
    <s v="(55) 3744-6412 / (55) 3744-3600"/>
    <s v=""/>
    <s v="pedidos@suifarma.com.br"/>
    <s v=""/>
    <s v=""/>
    <s v=""/>
    <s v="FREDERICO WESTPHALEN"/>
    <s v="RS"/>
    <s v=""/>
    <s v=""/>
    <s v=""/>
    <s v=""/>
    <s v="Pipeline de Vendas"/>
    <s v="Qualificação de Vendas (SQL) (25%)"/>
    <s v=""/>
    <m/>
    <n v="14400"/>
    <n v="18034"/>
    <n v="30"/>
    <s v="Junior Lopes"/>
    <d v="2025-02-19T00:00:00"/>
    <d v="1899-12-30T17:02:21"/>
    <s v=""/>
    <s v="Perdido"/>
    <d v="2025-03-21T00:00:00"/>
    <d v="1899-12-30T14:43:49"/>
    <s v="Não quer mudar a solução atual"/>
    <s v="cliente esfriou após envio da proposta"/>
    <s v=""/>
    <x v="49"/>
    <s v=""/>
    <x v="57"/>
    <s v=""/>
    <m/>
    <m/>
    <s v=""/>
    <s v=""/>
    <s v=""/>
    <s v=""/>
    <n v="1"/>
  </r>
  <r>
    <x v="1"/>
    <n v="267"/>
    <m/>
    <n v="1871"/>
    <s v=""/>
    <s v=""/>
    <x v="105"/>
    <n v="21969045000149"/>
    <s v=""/>
    <s v="Açomix"/>
    <s v="(18) 3638-8000"/>
    <s v=""/>
    <s v="paulo@acomix.net"/>
    <s v=""/>
    <s v=""/>
    <s v=""/>
    <s v="COROADOS"/>
    <s v="SP"/>
    <s v="Feiras"/>
    <s v=""/>
    <s v=""/>
    <s v="Abup2025Fevereiro"/>
    <s v="Pipeline de Vendas"/>
    <s v="Em Fechamento (100%)"/>
    <s v="6x sem juros (0/30/60/90/120/150...)"/>
    <m/>
    <n v="88000"/>
    <n v="450432"/>
    <n v="64"/>
    <s v="Junior Lopes"/>
    <d v="2025-02-19T00:00:00"/>
    <d v="1899-12-30T17:06:03"/>
    <s v=""/>
    <s v="Ganho"/>
    <d v="2025-04-24T00:00:00"/>
    <d v="1899-12-30T12:10:45"/>
    <s v=""/>
    <s v=""/>
    <s v=""/>
    <x v="50"/>
    <s v=""/>
    <x v="0"/>
    <s v=""/>
    <m/>
    <m/>
    <s v=""/>
    <s v=""/>
    <s v=""/>
    <s v=""/>
    <n v="1"/>
  </r>
  <r>
    <x v="1"/>
    <n v="268"/>
    <m/>
    <n v="1874"/>
    <s v=""/>
    <s v=""/>
    <x v="106"/>
    <n v="52556578000122"/>
    <s v=""/>
    <s v="Elgin S/A"/>
    <s v="(11) 3411-2010"/>
    <s v=""/>
    <s v="rogerio.machado@elgin.com.br"/>
    <s v=""/>
    <s v=""/>
    <s v=""/>
    <s v="MOGI DAS CRUZES"/>
    <s v="SP"/>
    <s v="Feiras"/>
    <s v=""/>
    <s v=""/>
    <s v="Abup2025Fevereiro"/>
    <s v="Pipeline de Vendas"/>
    <s v="Qualificação de Vendas (SQL) (25%)"/>
    <s v="6x sem juros (0/30/60/90/120/150...)"/>
    <m/>
    <m/>
    <m/>
    <n v="54"/>
    <s v="Junior Lopes"/>
    <d v="2025-02-20T00:00:00"/>
    <d v="1899-12-30T10:37:30"/>
    <s v=""/>
    <s v="Perdido"/>
    <d v="2025-04-15T00:00:00"/>
    <d v="1899-12-30T16:39:42"/>
    <s v="Projeto adiado / sem prazo definido"/>
    <s v="cliente não responde as mensagens continuarei a prospectar em paralelo"/>
    <s v=""/>
    <x v="0"/>
    <s v=""/>
    <x v="0"/>
    <s v=""/>
    <m/>
    <m/>
    <s v=""/>
    <s v=""/>
    <s v=""/>
    <s v=""/>
    <n v="1"/>
  </r>
  <r>
    <x v="1"/>
    <n v="270"/>
    <n v="167"/>
    <n v="1880"/>
    <s v=""/>
    <s v=""/>
    <x v="107"/>
    <n v="7973104000121"/>
    <s v="ELMO ATACADO"/>
    <s v="Fabio"/>
    <s v="47999949301"/>
    <s v=""/>
    <s v="joao@atacadoelmo.com.br"/>
    <s v=""/>
    <s v=""/>
    <s v=""/>
    <s v="Joinville"/>
    <s v="SC"/>
    <s v=""/>
    <s v=""/>
    <s v=""/>
    <s v=""/>
    <s v="Pipeline de Vendas"/>
    <s v="Em Fechamento (100%)"/>
    <s v=""/>
    <m/>
    <n v="0"/>
    <n v="49896"/>
    <n v="11"/>
    <s v="Junior Lopes"/>
    <d v="2025-02-20T00:00:00"/>
    <d v="1899-12-30T11:43:19"/>
    <s v=""/>
    <s v="Ganho"/>
    <d v="2025-03-03T00:00:00"/>
    <d v="1899-12-30T11:34:05"/>
    <s v=""/>
    <s v=""/>
    <s v=""/>
    <x v="50"/>
    <s v=""/>
    <x v="0"/>
    <s v=""/>
    <m/>
    <m/>
    <s v=""/>
    <s v=""/>
    <s v=""/>
    <s v=""/>
    <n v="1"/>
  </r>
  <r>
    <x v="1"/>
    <n v="272"/>
    <m/>
    <n v="1882"/>
    <s v=""/>
    <s v=""/>
    <x v="108"/>
    <m/>
    <s v=""/>
    <s v="123 util"/>
    <s v="31987570994"/>
    <s v=""/>
    <s v="123util@maxximusimportadora.com.br"/>
    <s v=""/>
    <s v=""/>
    <s v=""/>
    <s v=""/>
    <s v=""/>
    <s v="Feiras"/>
    <s v=""/>
    <s v=""/>
    <s v="Abcasa2025fevereiro"/>
    <s v="Pipeline de Vendas"/>
    <s v="Qualificação de Vendas (SQL) (25%)"/>
    <s v="6x sem juros (0/30/60/90/120/150...)"/>
    <m/>
    <m/>
    <m/>
    <n v="50"/>
    <s v="Junior Lopes"/>
    <d v="2025-02-24T00:00:00"/>
    <d v="1899-12-30T09:24:09"/>
    <s v=""/>
    <s v="Perdido"/>
    <d v="2025-04-15T00:00:00"/>
    <d v="1899-12-30T16:37:27"/>
    <s v="Projeto adiado / sem prazo definido"/>
    <s v="cliente não responde as mensagens , continuarei a prospectar em paralelo"/>
    <s v=""/>
    <x v="0"/>
    <s v=""/>
    <x v="44"/>
    <s v=""/>
    <m/>
    <m/>
    <s v=""/>
    <s v=""/>
    <s v=""/>
    <s v=""/>
    <n v="1"/>
  </r>
  <r>
    <x v="2"/>
    <n v="273"/>
    <m/>
    <n v="1883"/>
    <s v=""/>
    <s v=""/>
    <x v="109"/>
    <m/>
    <s v=""/>
    <s v="Ilan Couselo"/>
    <s v="11991554630"/>
    <s v=""/>
    <s v="ilan@couselo.com.br"/>
    <s v=""/>
    <s v=""/>
    <s v=""/>
    <s v=""/>
    <s v=""/>
    <s v="Feiras"/>
    <s v=""/>
    <s v=""/>
    <s v=""/>
    <s v="Pipeline de Vendas"/>
    <s v="Em Fechamento (100%)"/>
    <s v="6x sem juros (0/30/60/90/120/150...)"/>
    <m/>
    <n v="55440"/>
    <n v="560465"/>
    <n v="39"/>
    <s v="Rayssa Karapeticov"/>
    <d v="2025-02-24T00:00:00"/>
    <d v="1899-12-30T15:53:45"/>
    <s v=""/>
    <s v="Perdido"/>
    <d v="2025-04-04T00:00:00"/>
    <d v="1899-12-30T15:28:34"/>
    <s v="Preço muito alto - fora do budget de investimento"/>
    <s v=""/>
    <s v=""/>
    <x v="51"/>
    <s v="Rayssa Karapeticov"/>
    <x v="58"/>
    <s v="24/02/2025 00:00"/>
    <m/>
    <m/>
    <s v=""/>
    <s v=""/>
    <s v=""/>
    <s v=""/>
    <n v="1"/>
  </r>
  <r>
    <x v="1"/>
    <n v="277"/>
    <m/>
    <n v="1887"/>
    <s v=""/>
    <s v=""/>
    <x v="110"/>
    <m/>
    <s v=""/>
    <s v="Erca Aluminio"/>
    <s v="19997023116"/>
    <s v=""/>
    <s v="rafael@ercaaluminio.com.br"/>
    <s v=""/>
    <s v=""/>
    <s v=""/>
    <s v=""/>
    <s v=""/>
    <s v=""/>
    <s v=""/>
    <s v=""/>
    <s v=""/>
    <s v="Pipeline de Vendas"/>
    <s v="Em Fechamento (100%)"/>
    <s v=""/>
    <m/>
    <n v="0"/>
    <n v="3564"/>
    <n v="5"/>
    <s v="Junior Lopes"/>
    <d v="2025-02-26T00:00:00"/>
    <d v="1899-12-30T09:12:09"/>
    <s v=""/>
    <s v="Ganho"/>
    <d v="2025-03-03T00:00:00"/>
    <d v="1899-12-30T11:34:23"/>
    <s v=""/>
    <s v=""/>
    <s v=""/>
    <x v="52"/>
    <s v=""/>
    <x v="0"/>
    <s v=""/>
    <m/>
    <m/>
    <s v=""/>
    <s v=""/>
    <s v=""/>
    <s v=""/>
    <n v="1"/>
  </r>
  <r>
    <x v="1"/>
    <n v="279"/>
    <m/>
    <n v="1890"/>
    <s v=""/>
    <s v=""/>
    <x v="111"/>
    <m/>
    <s v=""/>
    <s v="Claudio"/>
    <s v="14997530243"/>
    <s v=""/>
    <s v="null"/>
    <s v=""/>
    <s v=""/>
    <s v=""/>
    <s v=""/>
    <s v=""/>
    <s v=""/>
    <s v=""/>
    <s v=""/>
    <s v=""/>
    <s v="Pipeline de Vendas"/>
    <s v="Qualificação de Vendas (SQL) (25%)"/>
    <s v=""/>
    <m/>
    <m/>
    <m/>
    <n v="2"/>
    <s v="Paulo Souza"/>
    <d v="2025-02-26T00:00:00"/>
    <d v="1899-12-30T17:34:49"/>
    <s v=""/>
    <s v="Perdido"/>
    <d v="2025-02-28T00:00:00"/>
    <d v="1899-12-30T17:04:22"/>
    <s v="Fora do porte mínimo (sem fit estrutural)"/>
    <s v="Representante"/>
    <s v=""/>
    <x v="0"/>
    <s v="Junior Lopes"/>
    <x v="0"/>
    <s v=""/>
    <m/>
    <m/>
    <s v=""/>
    <s v=""/>
    <s v=""/>
    <s v=""/>
    <n v="1"/>
  </r>
  <r>
    <x v="1"/>
    <n v="281"/>
    <m/>
    <n v="1892"/>
    <s v=""/>
    <s v=""/>
    <x v="112"/>
    <m/>
    <s v=""/>
    <s v="açomix soluções para o lar"/>
    <s v="17996266839"/>
    <s v=""/>
    <s v="fernando@acomix.net"/>
    <s v=""/>
    <s v=""/>
    <s v=""/>
    <s v=""/>
    <s v=""/>
    <s v="Feiras"/>
    <s v=""/>
    <s v=""/>
    <s v=""/>
    <s v="Pipeline de Vendas"/>
    <s v="Em Fechamento (100%)"/>
    <s v="6x sem juros (0/30/60/90/120/150...)"/>
    <m/>
    <n v="0"/>
    <n v="449635"/>
    <n v="55"/>
    <s v="Junior Lopes"/>
    <d v="2025-02-28T00:00:00"/>
    <d v="1899-12-30T10:13:32"/>
    <s v=""/>
    <s v="Ganho"/>
    <d v="2025-04-24T00:00:00"/>
    <d v="1899-12-30T12:11:29"/>
    <s v=""/>
    <s v=""/>
    <s v=""/>
    <x v="46"/>
    <s v=""/>
    <x v="59"/>
    <s v=""/>
    <m/>
    <m/>
    <s v=""/>
    <s v=""/>
    <s v=""/>
    <s v=""/>
    <n v="1"/>
  </r>
  <r>
    <x v="1"/>
    <n v="282"/>
    <m/>
    <n v="1894"/>
    <s v=""/>
    <s v=""/>
    <x v="113"/>
    <m/>
    <s v=""/>
    <s v="Plasberg"/>
    <s v="75981412000"/>
    <s v=""/>
    <s v="breno@plasberg.com.br"/>
    <s v=""/>
    <s v=""/>
    <s v=""/>
    <s v=""/>
    <s v=""/>
    <s v="Feiras"/>
    <s v=""/>
    <s v=""/>
    <s v=""/>
    <s v="Pipeline de Vendas"/>
    <s v="Apresentar Proposta (50%)"/>
    <s v="6x sem juros (0/30/60/90/120/150...)"/>
    <m/>
    <n v="1600"/>
    <n v="5"/>
    <n v="47"/>
    <s v="Junior Lopes"/>
    <d v="2025-02-28T00:00:00"/>
    <d v="1899-12-30T16:52:57"/>
    <s v=""/>
    <s v="Perdido"/>
    <d v="2025-04-16T00:00:00"/>
    <d v="1899-12-30T09:28:18"/>
    <s v="Projeto adiado / sem prazo definido"/>
    <s v="Breno não responde as mensagens ! estou fechando oportunidade mas continuo em busca da oportunidade"/>
    <s v=""/>
    <x v="43"/>
    <s v=""/>
    <x v="47"/>
    <s v=""/>
    <m/>
    <m/>
    <s v=""/>
    <s v=""/>
    <s v=""/>
    <s v=""/>
    <n v="1"/>
  </r>
  <r>
    <x v="2"/>
    <n v="283"/>
    <m/>
    <n v="1895"/>
    <s v=""/>
    <s v=""/>
    <x v="114"/>
    <n v="37075503000136"/>
    <s v=""/>
    <s v="Rafael"/>
    <s v="(48) 3380-3374"/>
    <s v=""/>
    <s v="pupiimports@gmail.com"/>
    <s v=""/>
    <s v=""/>
    <s v=""/>
    <s v="TIJUCAS"/>
    <s v="SC"/>
    <s v=""/>
    <s v=""/>
    <s v=""/>
    <s v=""/>
    <s v="Pipeline de Vendas"/>
    <s v="Em Fechamento (100%)"/>
    <s v=""/>
    <m/>
    <n v="63000"/>
    <n v="211328"/>
    <n v="20"/>
    <s v="Rayssa Karapeticov"/>
    <d v="2025-03-04T00:00:00"/>
    <d v="1899-12-30T09:43:38"/>
    <s v=""/>
    <s v="Ganho"/>
    <d v="2025-03-24T00:00:00"/>
    <d v="1899-12-30T19:14:21"/>
    <s v=""/>
    <s v=""/>
    <s v=""/>
    <x v="53"/>
    <s v="Rayssa Karapeticov"/>
    <x v="0"/>
    <s v=""/>
    <m/>
    <m/>
    <s v=""/>
    <s v=""/>
    <s v=""/>
    <s v=""/>
    <n v="1"/>
  </r>
  <r>
    <x v="2"/>
    <n v="284"/>
    <m/>
    <n v="1897"/>
    <s v=""/>
    <s v=""/>
    <x v="115"/>
    <n v="37075503000136"/>
    <s v=""/>
    <s v="Rafael"/>
    <s v="(48) 3380-3374"/>
    <s v=""/>
    <s v="pupiimports@gmail.com"/>
    <s v=""/>
    <s v=""/>
    <s v=""/>
    <s v="TIJUCAS"/>
    <s v="SC"/>
    <s v="Feiras"/>
    <s v=""/>
    <s v=""/>
    <s v=""/>
    <s v="Pipeline de Vendas"/>
    <s v="Em Fechamento (100%)"/>
    <s v=""/>
    <m/>
    <n v="1600"/>
    <n v="287073"/>
    <n v="22"/>
    <s v="Rayssa Karapeticov"/>
    <d v="2025-03-04T00:00:00"/>
    <d v="1899-12-30T15:18:52"/>
    <s v=""/>
    <s v="Ganho"/>
    <d v="2025-03-26T00:00:00"/>
    <d v="1899-12-30T10:41:15"/>
    <s v=""/>
    <s v=""/>
    <s v=""/>
    <x v="53"/>
    <s v="Rayssa Karapeticov"/>
    <x v="60"/>
    <s v=""/>
    <m/>
    <m/>
    <s v=""/>
    <s v=""/>
    <s v=""/>
    <s v=""/>
    <n v="1"/>
  </r>
  <r>
    <x v="2"/>
    <n v="286"/>
    <m/>
    <n v="1900"/>
    <s v=""/>
    <s v=""/>
    <x v="116"/>
    <n v="37075503000136"/>
    <s v=""/>
    <s v="Rafael"/>
    <s v="5196199231"/>
    <s v=""/>
    <s v="pupiimports@gmail.com"/>
    <s v=""/>
    <s v=""/>
    <s v=""/>
    <s v="TIJUCAS"/>
    <s v="SC"/>
    <s v="Outbound"/>
    <s v=""/>
    <s v=""/>
    <s v=""/>
    <s v="Pipeline de Vendas"/>
    <s v="Em negociação (75%)"/>
    <s v="6x sem juros (0/30/60/90/120/150...)"/>
    <m/>
    <n v="23580"/>
    <n v="1800"/>
    <n v="65"/>
    <s v="Rayssa Karapeticov"/>
    <d v="2025-03-10T00:00:00"/>
    <d v="1899-12-30T15:20:29"/>
    <s v=""/>
    <s v="Perdido"/>
    <d v="2025-05-14T00:00:00"/>
    <d v="1899-12-30T11:32:41"/>
    <s v="Não houve aprovação financeira"/>
    <s v=""/>
    <s v=""/>
    <x v="54"/>
    <s v="Rayssa Karapeticov"/>
    <x v="61"/>
    <s v=""/>
    <m/>
    <m/>
    <s v=""/>
    <s v=""/>
    <s v=""/>
    <s v=""/>
    <n v="1"/>
  </r>
  <r>
    <x v="0"/>
    <n v="287"/>
    <m/>
    <n v="1902"/>
    <s v=""/>
    <s v=""/>
    <x v="117"/>
    <n v="7764744000202"/>
    <s v=""/>
    <s v="Xeryus"/>
    <s v="11997802621"/>
    <s v=""/>
    <s v="jesica@xeryus.com.br"/>
    <s v=""/>
    <s v=""/>
    <s v=""/>
    <s v=""/>
    <s v=""/>
    <s v="Outbound"/>
    <s v=""/>
    <s v=""/>
    <s v="MORNO"/>
    <s v="Pipeline de Vendas"/>
    <s v="Em negociação (75%)"/>
    <s v="6x sem juros (0/30/60/90/120/150...)"/>
    <m/>
    <n v="16000"/>
    <n v="68607"/>
    <n v="54"/>
    <s v="Paulo Souza"/>
    <d v="2025-03-10T00:00:00"/>
    <d v="1899-12-30T16:44:02"/>
    <s v=""/>
    <s v="Perdido"/>
    <d v="2025-05-03T00:00:00"/>
    <d v="1899-12-30T10:37:26"/>
    <s v="Fechou com o concorrente - preço"/>
    <s v=""/>
    <s v=""/>
    <x v="55"/>
    <s v="Paulo Souza"/>
    <x v="62"/>
    <s v="11/03/2025 00:00"/>
    <m/>
    <m/>
    <s v=""/>
    <s v=""/>
    <s v=""/>
    <s v=""/>
    <n v="1"/>
  </r>
  <r>
    <x v="1"/>
    <n v="291"/>
    <m/>
    <n v="1904"/>
    <s v=""/>
    <s v=""/>
    <x v="118"/>
    <m/>
    <s v=""/>
    <s v="Ponto 10"/>
    <s v="7199841895"/>
    <s v=""/>
    <s v="gabriel@grupoponto10.com.br"/>
    <s v=""/>
    <s v=""/>
    <s v=""/>
    <s v=""/>
    <s v=""/>
    <s v="Parceiros"/>
    <s v=""/>
    <s v=""/>
    <s v=""/>
    <s v="Pipeline de Vendas"/>
    <s v="Em Fechamento (100%)"/>
    <s v="6x sem juros (0/30/60/90/120/150...)"/>
    <m/>
    <n v="12720"/>
    <n v="1764"/>
    <n v="47"/>
    <s v="Junior Lopes"/>
    <d v="2025-03-13T00:00:00"/>
    <d v="1899-12-30T14:19:18"/>
    <s v=""/>
    <s v="Ganho"/>
    <d v="2025-04-29T00:00:00"/>
    <d v="1899-12-30T14:35:30"/>
    <s v=""/>
    <s v=""/>
    <s v=""/>
    <x v="56"/>
    <s v=""/>
    <x v="63"/>
    <s v=""/>
    <m/>
    <m/>
    <s v=""/>
    <s v=""/>
    <s v=""/>
    <s v=""/>
    <n v="1"/>
  </r>
  <r>
    <x v="0"/>
    <n v="293"/>
    <m/>
    <n v="1907"/>
    <s v=""/>
    <s v=""/>
    <x v="119"/>
    <m/>
    <s v=""/>
    <s v="Rodrigo"/>
    <s v="(17) 99734-7687"/>
    <s v=""/>
    <s v="rodrigovaquerosilva@gmail.com"/>
    <s v=""/>
    <s v=""/>
    <s v=""/>
    <s v="Jales"/>
    <s v=""/>
    <s v="Site"/>
    <s v=""/>
    <s v=""/>
    <s v="Contato"/>
    <s v="Pipeline de Vendas"/>
    <s v="Apresentar Solução (35%)"/>
    <s v="6x sem juros (0/30/60/90/120/150...)"/>
    <m/>
    <m/>
    <m/>
    <n v="21"/>
    <s v="Paulo Souza"/>
    <d v="2025-03-17T00:00:00"/>
    <d v="1899-12-30T08:53:12"/>
    <s v=""/>
    <s v="Perdido"/>
    <d v="2025-04-07T00:00:00"/>
    <d v="1899-12-30T14:00:24"/>
    <s v="Não quer mudar a solução atual"/>
    <s v=""/>
    <s v=""/>
    <x v="57"/>
    <s v=""/>
    <x v="64"/>
    <s v=""/>
    <m/>
    <m/>
    <s v=""/>
    <s v=""/>
    <s v=""/>
    <s v=""/>
    <n v="1"/>
  </r>
  <r>
    <x v="0"/>
    <n v="294"/>
    <m/>
    <n v="1908"/>
    <s v=""/>
    <s v=""/>
    <x v="120"/>
    <m/>
    <s v=""/>
    <s v="Anne"/>
    <s v="31995069963"/>
    <s v=""/>
    <s v="null"/>
    <s v=""/>
    <s v=""/>
    <s v=""/>
    <s v=""/>
    <s v=""/>
    <s v="Inbound"/>
    <s v=""/>
    <s v=""/>
    <s v=""/>
    <s v="Pipeline de Vendas"/>
    <s v="Apresentar Solução (35%)"/>
    <s v="6x sem juros (0/30/60/90/120/150...)"/>
    <m/>
    <m/>
    <m/>
    <n v="21"/>
    <s v="Paulo Souza"/>
    <d v="2025-03-17T00:00:00"/>
    <d v="1899-12-30T08:58:27"/>
    <s v=""/>
    <s v="Perdido"/>
    <d v="2025-04-07T00:00:00"/>
    <d v="1899-12-30T11:48:49"/>
    <s v="Não quer mudar a solução atual"/>
    <s v=""/>
    <s v=""/>
    <x v="57"/>
    <s v="Paulo Souza"/>
    <x v="64"/>
    <s v=""/>
    <m/>
    <m/>
    <s v=""/>
    <s v=""/>
    <s v=""/>
    <s v=""/>
    <n v="1"/>
  </r>
  <r>
    <x v="1"/>
    <n v="295"/>
    <m/>
    <n v="1909"/>
    <s v=""/>
    <s v=""/>
    <x v="121"/>
    <m/>
    <s v=""/>
    <s v="GBL Import"/>
    <s v="21996127685"/>
    <s v=""/>
    <s v="gilberto@gblimport.com.br"/>
    <s v=""/>
    <s v=""/>
    <s v=""/>
    <s v=""/>
    <s v=""/>
    <s v="Indicação"/>
    <s v=""/>
    <s v=""/>
    <s v=""/>
    <s v="Pipeline de Vendas"/>
    <s v="Em negociação (75%)"/>
    <s v="6x sem juros (0/30/60/90/120/150...)"/>
    <m/>
    <n v="79920"/>
    <n v="33813"/>
    <n v="59"/>
    <s v="Junior Lopes"/>
    <d v="2025-03-17T00:00:00"/>
    <d v="1899-12-30T12:35:35"/>
    <s v=""/>
    <s v="Perdido"/>
    <d v="2025-05-15T00:00:00"/>
    <d v="1899-12-30T16:21:33"/>
    <s v="Projeto adiado / sem prazo definido"/>
    <s v="sem retorno do cliente"/>
    <s v=""/>
    <x v="58"/>
    <s v=""/>
    <x v="65"/>
    <s v=""/>
    <m/>
    <m/>
    <s v=""/>
    <s v=""/>
    <s v=""/>
    <s v=""/>
    <n v="1"/>
  </r>
  <r>
    <x v="1"/>
    <n v="298"/>
    <m/>
    <n v="1913"/>
    <s v=""/>
    <s v=""/>
    <x v="122"/>
    <m/>
    <s v=""/>
    <s v="GBL Import - Cloud"/>
    <s v="21996127685"/>
    <s v=""/>
    <s v="geraldolima@gblimport.com.br"/>
    <s v=""/>
    <s v=""/>
    <s v=""/>
    <s v=""/>
    <s v=""/>
    <s v="Indicação"/>
    <s v=""/>
    <s v=""/>
    <s v=""/>
    <s v="Pipeline de Vendas"/>
    <s v="Em negociação (75%)"/>
    <s v="6x sem juros (0/30/60/90/120/150...)"/>
    <m/>
    <n v="1600"/>
    <n v="3196"/>
    <n v="58"/>
    <s v="Junior Lopes"/>
    <d v="2025-03-18T00:00:00"/>
    <d v="1899-12-30T15:00:29"/>
    <s v=""/>
    <s v="Perdido"/>
    <d v="2025-05-15T00:00:00"/>
    <d v="1899-12-30T16:22:10"/>
    <s v="Projeto adiado / sem prazo definido"/>
    <s v="sem retorno do cliente"/>
    <s v=""/>
    <x v="58"/>
    <s v=""/>
    <x v="65"/>
    <s v=""/>
    <m/>
    <m/>
    <s v=""/>
    <s v=""/>
    <s v=""/>
    <s v=""/>
    <n v="1"/>
  </r>
  <r>
    <x v="1"/>
    <n v="301"/>
    <m/>
    <n v="1916"/>
    <s v=""/>
    <s v=""/>
    <x v="123"/>
    <m/>
    <s v=""/>
    <s v="Erca alumínio"/>
    <s v="19997023116"/>
    <s v=""/>
    <s v="rafael@ercaaluminio.com.br"/>
    <s v=""/>
    <s v=""/>
    <s v=""/>
    <s v=""/>
    <s v=""/>
    <s v="Outbound"/>
    <s v=""/>
    <s v=""/>
    <s v=""/>
    <s v="Pipeline de Vendas"/>
    <s v="Em Fechamento (100%)"/>
    <s v=""/>
    <m/>
    <n v="2339208"/>
    <n v="0"/>
    <n v="13"/>
    <s v="Junior Lopes"/>
    <d v="2025-03-20T00:00:00"/>
    <d v="1899-12-30T14:50:12"/>
    <s v=""/>
    <s v="Ganho"/>
    <d v="2025-04-02T00:00:00"/>
    <d v="1899-12-30T10:04:50"/>
    <s v=""/>
    <s v=""/>
    <s v=""/>
    <x v="59"/>
    <s v=""/>
    <x v="0"/>
    <s v=""/>
    <m/>
    <m/>
    <s v=""/>
    <s v=""/>
    <s v=""/>
    <s v=""/>
    <n v="1"/>
  </r>
  <r>
    <x v="1"/>
    <n v="303"/>
    <m/>
    <n v="1919"/>
    <s v=""/>
    <s v=""/>
    <x v="124"/>
    <m/>
    <s v=""/>
    <s v="Dayane"/>
    <s v="(62) 99360-9476"/>
    <s v=""/>
    <s v="dayane.tecelagemcastilho@gmail.com"/>
    <s v=""/>
    <s v=""/>
    <s v=""/>
    <s v="Goiânia"/>
    <s v=""/>
    <s v="Site"/>
    <s v=""/>
    <s v=""/>
    <s v="Solicita demo"/>
    <s v="Pipeline de Vendas"/>
    <s v="Em Fechamento (100%)"/>
    <s v="6x sem juros (0/30/60/90/120/150...)"/>
    <m/>
    <n v="583848"/>
    <n v="229112"/>
    <n v="57"/>
    <s v="Paulo Souza"/>
    <d v="2025-03-25T00:00:00"/>
    <d v="1899-12-30T09:13:21"/>
    <s v=""/>
    <s v="Ganho"/>
    <d v="2025-05-21T00:00:00"/>
    <d v="1899-12-30T09:01:18"/>
    <s v=""/>
    <s v=""/>
    <s v=""/>
    <x v="60"/>
    <s v=""/>
    <x v="66"/>
    <s v="28/03/2025"/>
    <m/>
    <m/>
    <s v=""/>
    <s v=""/>
    <s v=""/>
    <s v=""/>
    <n v="1"/>
  </r>
  <r>
    <x v="1"/>
    <n v="304"/>
    <m/>
    <n v="1922"/>
    <s v=""/>
    <s v=""/>
    <x v="125"/>
    <m/>
    <s v=""/>
    <s v="Erca Alumínio"/>
    <s v="19997023116"/>
    <s v=""/>
    <s v="rafael@ercaaluminio.com.br"/>
    <s v=""/>
    <s v=""/>
    <s v=""/>
    <s v=""/>
    <s v=""/>
    <s v=""/>
    <s v=""/>
    <s v=""/>
    <s v=""/>
    <s v="Pipeline de Vendas"/>
    <s v="Em Fechamento (100%)"/>
    <s v=""/>
    <m/>
    <n v="0"/>
    <n v="14256"/>
    <n v="0"/>
    <s v="Junior Lopes"/>
    <d v="2025-03-26T00:00:00"/>
    <d v="1899-12-30T12:26:05"/>
    <s v=""/>
    <s v="Ganho"/>
    <d v="2025-03-26T00:00:00"/>
    <d v="1899-12-30T12:28:36"/>
    <s v=""/>
    <s v=""/>
    <s v=""/>
    <x v="61"/>
    <s v=""/>
    <x v="0"/>
    <s v=""/>
    <m/>
    <m/>
    <s v=""/>
    <s v=""/>
    <s v=""/>
    <s v=""/>
    <n v="1"/>
  </r>
  <r>
    <x v="1"/>
    <n v="305"/>
    <m/>
    <n v="1923"/>
    <s v=""/>
    <s v=""/>
    <x v="126"/>
    <n v="49695060000165"/>
    <s v=""/>
    <s v="Sk Importacao e Exportacao"/>
    <s v="(11) 2171-0800"/>
    <s v=""/>
    <s v="legal@vrscontabil.com.br"/>
    <s v=""/>
    <s v=""/>
    <s v=""/>
    <s v="SAO PAULO"/>
    <s v="SP"/>
    <s v="Inbound"/>
    <s v=""/>
    <s v=""/>
    <s v=""/>
    <s v="Pipeline de Vendas"/>
    <s v="Apresentar Proposta (50%)"/>
    <s v="6x sem juros (0/30/60/90/120/150...)"/>
    <m/>
    <n v="64448"/>
    <n v="159326"/>
    <n v="50"/>
    <s v="Junior Lopes"/>
    <d v="2025-03-26T00:00:00"/>
    <d v="1899-12-30T12:54:52"/>
    <s v=""/>
    <s v="Perdido"/>
    <d v="2025-05-15T00:00:00"/>
    <d v="1899-12-30T15:25:04"/>
    <s v="Projeto adiado / sem prazo definido"/>
    <s v="14:31, 06/05/2025 Jamal: Tudo bem_x000a_14:34, 06/05/2025 Junior Lopes: por aqui td bem Jamal_x000a_14:35, 06/05/2025 Junior Lopes: sobre o Software Guarani, vamos dar sequencia ?_x000a_15:02, 06/05/2025 Jamal: Meu amigo pra ser sincero estou em mudanças e esta muita correria por aqui_x000a_15:02, 06/05/2025 Jamal: Mas depois vou estudar melhor sobre"/>
    <s v=""/>
    <x v="62"/>
    <s v=""/>
    <x v="67"/>
    <s v=""/>
    <m/>
    <m/>
    <s v=""/>
    <s v=""/>
    <s v=""/>
    <s v=""/>
    <n v="1"/>
  </r>
  <r>
    <x v="1"/>
    <n v="311"/>
    <m/>
    <n v="1942"/>
    <s v=""/>
    <s v=""/>
    <x v="127"/>
    <m/>
    <s v=""/>
    <s v="Tritec"/>
    <s v="47991900625"/>
    <s v=""/>
    <s v="gisele.ehlert@tritec.ind.com"/>
    <s v=""/>
    <s v=""/>
    <s v=""/>
    <s v=""/>
    <s v=""/>
    <s v=""/>
    <s v=""/>
    <s v=""/>
    <s v=""/>
    <s v="Pipeline de Vendas"/>
    <s v="Em Fechamento (100%)"/>
    <s v="4x sem juros (0/30/60/90)"/>
    <m/>
    <n v="16960"/>
    <n v="10810"/>
    <n v="43"/>
    <s v="Junior Lopes"/>
    <d v="2025-03-27T00:00:00"/>
    <d v="1899-12-30T12:48:43"/>
    <s v=""/>
    <s v="Ganho"/>
    <d v="2025-05-09T00:00:00"/>
    <d v="1899-12-30T12:02:54"/>
    <s v=""/>
    <s v=""/>
    <s v=""/>
    <x v="60"/>
    <s v=""/>
    <x v="66"/>
    <s v="24/04/2025"/>
    <m/>
    <m/>
    <s v=""/>
    <s v=""/>
    <s v=""/>
    <s v=""/>
    <n v="1"/>
  </r>
  <r>
    <x v="0"/>
    <n v="313"/>
    <m/>
    <n v="1944"/>
    <s v=""/>
    <s v=""/>
    <x v="128"/>
    <n v="1787082000129"/>
    <s v=""/>
    <s v="Marcos"/>
    <s v="(11) 99755-7094"/>
    <s v=""/>
    <s v="contato@styroform.com.br"/>
    <s v=""/>
    <s v=""/>
    <s v=""/>
    <s v=""/>
    <s v=""/>
    <s v="Indicação"/>
    <s v=""/>
    <s v=""/>
    <s v="MORNO"/>
    <s v="Pipeline de Vendas"/>
    <s v="Em Fechamento (100%)"/>
    <s v="6x sem juros (0/30/60/90/120/150...)"/>
    <d v="2028-05-31T00:00:00"/>
    <n v="51200"/>
    <n v="42262"/>
    <n v="75"/>
    <s v="Paulo Souza"/>
    <d v="2025-03-27T00:00:00"/>
    <d v="1899-12-30T15:59:16"/>
    <s v=""/>
    <s v="Perdido"/>
    <d v="2025-06-10T00:00:00"/>
    <d v="1899-12-30T12:16:08"/>
    <s v="Preço muito alto - fora do budget de investimento"/>
    <s v=""/>
    <s v=""/>
    <x v="45"/>
    <s v="Paulo Souza"/>
    <x v="68"/>
    <s v=""/>
    <m/>
    <m/>
    <s v=""/>
    <s v=""/>
    <s v=""/>
    <s v=""/>
    <n v="1"/>
  </r>
  <r>
    <x v="0"/>
    <n v="314"/>
    <m/>
    <n v="1948"/>
    <s v=""/>
    <s v=""/>
    <x v="129"/>
    <m/>
    <s v=""/>
    <s v="Claudio"/>
    <s v="12991051939"/>
    <s v=""/>
    <s v="null"/>
    <s v=""/>
    <s v=""/>
    <s v=""/>
    <s v=""/>
    <s v=""/>
    <s v=""/>
    <s v=""/>
    <s v=""/>
    <s v=""/>
    <s v="Pipeline de Vendas"/>
    <s v="Qualificação de Vendas (SQL) (25%)"/>
    <s v=""/>
    <m/>
    <m/>
    <m/>
    <n v="10"/>
    <s v="Paulo Souza"/>
    <d v="2025-03-28T00:00:00"/>
    <d v="1899-12-30T11:11:42"/>
    <s v=""/>
    <s v="Perdido"/>
    <d v="2025-04-07T00:00:00"/>
    <d v="1899-12-30T14:36:03"/>
    <s v="Fora do porte mínimo (sem fit estrutural)"/>
    <s v=""/>
    <s v=""/>
    <x v="0"/>
    <s v="Paulo Souza"/>
    <x v="69"/>
    <s v=""/>
    <m/>
    <m/>
    <s v=""/>
    <s v=""/>
    <s v=""/>
    <s v=""/>
    <n v="1"/>
  </r>
  <r>
    <x v="1"/>
    <n v="315"/>
    <m/>
    <n v="1949"/>
    <s v=""/>
    <s v=""/>
    <x v="130"/>
    <m/>
    <s v=""/>
    <s v="Tecelagem Castitho - Cloud"/>
    <s v="62993609476"/>
    <s v=""/>
    <s v="dayane.tecelagemcastilho@gmail.com"/>
    <s v=""/>
    <s v=""/>
    <s v=""/>
    <s v=""/>
    <s v=""/>
    <s v=""/>
    <s v=""/>
    <s v=""/>
    <s v=""/>
    <s v="Pipeline de Vendas"/>
    <s v="Em Fechamento (100%)"/>
    <s v="10x sem juros (0/30/60/90/120/150...)"/>
    <m/>
    <n v="1600"/>
    <n v="180443"/>
    <n v="54"/>
    <s v="Junior Lopes"/>
    <d v="2025-03-28T00:00:00"/>
    <d v="1899-12-30T11:49:45"/>
    <s v=""/>
    <s v="Ganho"/>
    <d v="2025-05-21T00:00:00"/>
    <d v="1899-12-30T09:02:37"/>
    <s v=""/>
    <s v=""/>
    <s v=""/>
    <x v="60"/>
    <s v=""/>
    <x v="66"/>
    <s v=""/>
    <m/>
    <m/>
    <s v=""/>
    <s v=""/>
    <s v=""/>
    <s v=""/>
    <n v="1"/>
  </r>
  <r>
    <x v="1"/>
    <n v="316"/>
    <m/>
    <n v="1950"/>
    <s v=""/>
    <s v=""/>
    <x v="131"/>
    <n v="49695060000165"/>
    <s v=""/>
    <s v="SK Importação - Cloud"/>
    <s v="(11) 2171-0800"/>
    <s v=""/>
    <s v="legal@vrscontabil.com.br"/>
    <s v=""/>
    <s v=""/>
    <s v=""/>
    <s v="SAO PAULO"/>
    <s v="SP"/>
    <s v=""/>
    <s v=""/>
    <s v=""/>
    <s v=""/>
    <s v="Pipeline de Vendas"/>
    <s v="Apresentar Proposta (50%)"/>
    <s v=""/>
    <m/>
    <n v="1600"/>
    <n v="2178"/>
    <n v="48"/>
    <s v="Junior Lopes"/>
    <d v="2025-03-28T00:00:00"/>
    <d v="1899-12-30T15:06:00"/>
    <s v=""/>
    <s v="Perdido"/>
    <d v="2025-05-15T00:00:00"/>
    <d v="1899-12-30T15:26:40"/>
    <s v="Projeto adiado / sem prazo definido"/>
    <s v="14:31, 06/05/2025 Jamal: Tudo bem_x000a_14:34, 06/05/2025 Junior Lopes: por aqui td bem Jamal_x000a_14:35, 06/05/2025 Junior Lopes: sobre o Software Guarani, vamos dar sequencia ?_x000a_15:02, 06/05/2025 Jamal: Meu amigo pra ser sincero estou em mudanças e esta muita correria por aqui_x000a_15:02, 06/05/2025 Jamal: Mas depois vou estudar melhor sobre"/>
    <s v="26/03/2025"/>
    <x v="61"/>
    <s v=""/>
    <x v="67"/>
    <s v=""/>
    <m/>
    <m/>
    <s v=""/>
    <s v=""/>
    <s v=""/>
    <s v=""/>
    <n v="1"/>
  </r>
  <r>
    <x v="1"/>
    <n v="317"/>
    <m/>
    <n v="1952"/>
    <s v=""/>
    <s v=""/>
    <x v="132"/>
    <n v="8652421000109"/>
    <s v=""/>
    <s v="Comércio de prod. vet. bernardi e bernardi"/>
    <s v="(55) 3744-6412"/>
    <s v=""/>
    <s v="pedidos@suifarma.com.br"/>
    <s v=""/>
    <s v=""/>
    <s v=""/>
    <s v="FREDERICO WESTPHALEN"/>
    <s v="RS"/>
    <s v=""/>
    <s v=""/>
    <s v=""/>
    <s v=""/>
    <s v="Pipeline de Vendas"/>
    <s v="Em negociação (75%)"/>
    <s v=""/>
    <m/>
    <n v="74860"/>
    <n v="641932"/>
    <n v="48"/>
    <s v="Junior Lopes"/>
    <d v="2025-03-28T00:00:00"/>
    <d v="1899-12-30T15:37:47"/>
    <s v=""/>
    <s v="Perdido"/>
    <d v="2025-05-15T00:00:00"/>
    <d v="1899-12-30T11:35:21"/>
    <s v="Projeto adiado / sem prazo definido"/>
    <s v="cliente ainda não definiu _x000a_estou baixando oportunidade mas manterei contato via WhatsApp"/>
    <s v=""/>
    <x v="60"/>
    <s v=""/>
    <x v="70"/>
    <s v=""/>
    <m/>
    <m/>
    <s v=""/>
    <s v=""/>
    <s v=""/>
    <s v=""/>
    <n v="1"/>
  </r>
  <r>
    <x v="1"/>
    <n v="318"/>
    <m/>
    <n v="1957"/>
    <s v=""/>
    <s v=""/>
    <x v="133"/>
    <n v="8652421000109"/>
    <s v=""/>
    <s v="Comércio Bernardi e Bernardi - Cloud"/>
    <s v="43991395000"/>
    <s v=""/>
    <s v="pedidos@suifarma.com.br"/>
    <s v=""/>
    <s v=""/>
    <s v=""/>
    <s v=""/>
    <s v=""/>
    <s v=""/>
    <s v=""/>
    <s v=""/>
    <s v=""/>
    <s v="Pipeline de Vendas"/>
    <s v="Apresentar Proposta (50%)"/>
    <s v=""/>
    <m/>
    <m/>
    <m/>
    <n v="19"/>
    <s v="Junior Lopes"/>
    <d v="2025-03-28T00:00:00"/>
    <d v="1899-12-30T15:40:43"/>
    <s v=""/>
    <s v="Perdido"/>
    <d v="2025-04-16T00:00:00"/>
    <d v="1899-12-30T09:39:03"/>
    <s v="Projeto adiado / sem prazo definido"/>
    <s v="cadastro em duplicidade"/>
    <s v=""/>
    <x v="60"/>
    <s v=""/>
    <x v="70"/>
    <s v=""/>
    <m/>
    <m/>
    <s v=""/>
    <s v=""/>
    <s v=""/>
    <s v=""/>
    <n v="1"/>
  </r>
  <r>
    <x v="1"/>
    <n v="319"/>
    <m/>
    <n v="1958"/>
    <s v=""/>
    <s v=""/>
    <x v="134"/>
    <m/>
    <s v=""/>
    <s v="culturama - Horas"/>
    <s v="54996596274"/>
    <s v=""/>
    <s v="vinicius.mathyas@culturama.com.br"/>
    <s v=""/>
    <s v=""/>
    <s v=""/>
    <s v=""/>
    <s v=""/>
    <s v=""/>
    <s v=""/>
    <s v=""/>
    <s v=""/>
    <s v="Pipeline de Vendas"/>
    <s v="Em Fechamento (100%)"/>
    <s v=""/>
    <m/>
    <n v="1760013"/>
    <n v="0"/>
    <n v="0"/>
    <s v="Junior Lopes"/>
    <d v="2025-03-31T00:00:00"/>
    <d v="1899-12-30T11:20:59"/>
    <s v=""/>
    <s v="Ganho"/>
    <d v="2025-03-31T00:00:00"/>
    <d v="1899-12-30T11:36:21"/>
    <s v=""/>
    <s v=""/>
    <s v=""/>
    <x v="56"/>
    <s v=""/>
    <x v="0"/>
    <s v=""/>
    <m/>
    <m/>
    <s v=""/>
    <s v=""/>
    <s v=""/>
    <s v=""/>
    <n v="1"/>
  </r>
  <r>
    <x v="1"/>
    <n v="321"/>
    <m/>
    <n v="1961"/>
    <s v=""/>
    <s v=""/>
    <x v="133"/>
    <m/>
    <s v=""/>
    <s v="Comércio Bernardi e Bernardi - Cloud"/>
    <s v="5537446412"/>
    <s v=""/>
    <s v="pedidos@suifarma.com.br"/>
    <s v=""/>
    <s v=""/>
    <s v=""/>
    <s v=""/>
    <s v=""/>
    <s v=""/>
    <s v=""/>
    <s v=""/>
    <s v=""/>
    <s v="Pipeline de Vendas"/>
    <s v="Em negociação (75%)"/>
    <s v=""/>
    <m/>
    <n v="1600"/>
    <n v="462522"/>
    <n v="45"/>
    <s v="Junior Lopes"/>
    <d v="2025-03-31T00:00:00"/>
    <d v="1899-12-30T15:10:22"/>
    <s v=""/>
    <s v="Perdido"/>
    <d v="2025-05-15T00:00:00"/>
    <d v="1899-12-30T11:36:48"/>
    <s v="Projeto adiado / sem prazo definido"/>
    <s v="cliente ainda não definiu _x000a_estou baixando oportunidade mas manterei contato via WhatsApp"/>
    <s v=""/>
    <x v="60"/>
    <s v=""/>
    <x v="70"/>
    <s v=""/>
    <m/>
    <m/>
    <s v=""/>
    <s v=""/>
    <s v=""/>
    <s v=""/>
    <n v="1"/>
  </r>
  <r>
    <x v="1"/>
    <n v="322"/>
    <m/>
    <n v="1962"/>
    <s v=""/>
    <s v=""/>
    <x v="135"/>
    <m/>
    <s v=""/>
    <s v="GB . Importadora - XML"/>
    <s v="19993040768"/>
    <s v=""/>
    <s v="pehpbroglio@gmail.com"/>
    <s v=""/>
    <s v=""/>
    <s v=""/>
    <s v=""/>
    <s v=""/>
    <s v=""/>
    <s v=""/>
    <s v=""/>
    <s v=""/>
    <s v="Pipeline de Vendas"/>
    <s v="Em Fechamento (100%)"/>
    <s v=""/>
    <m/>
    <n v="0"/>
    <n v="30002"/>
    <n v="24"/>
    <s v="Junior Lopes"/>
    <d v="2025-03-31T00:00:00"/>
    <d v="1899-12-30T16:37:55"/>
    <s v=""/>
    <s v="Ganho"/>
    <d v="2025-04-24T00:00:00"/>
    <d v="1899-12-30T12:03:46"/>
    <s v=""/>
    <s v=""/>
    <s v=""/>
    <x v="60"/>
    <s v=""/>
    <x v="0"/>
    <s v=""/>
    <m/>
    <m/>
    <s v=""/>
    <s v=""/>
    <s v=""/>
    <s v=""/>
    <n v="1"/>
  </r>
  <r>
    <x v="1"/>
    <n v="323"/>
    <m/>
    <n v="1963"/>
    <s v=""/>
    <s v=""/>
    <x v="136"/>
    <m/>
    <s v=""/>
    <s v="ARK Brasil"/>
    <s v="21964397621"/>
    <s v=""/>
    <s v="luana.dale@arkbrasil.com.br"/>
    <s v=""/>
    <s v=""/>
    <s v=""/>
    <s v=""/>
    <s v=""/>
    <s v=""/>
    <s v=""/>
    <s v=""/>
    <s v=""/>
    <s v="Pipeline de Vendas"/>
    <s v="Apresentar Proposta (50%)"/>
    <s v=""/>
    <m/>
    <n v="16960"/>
    <n v="1980"/>
    <n v="64"/>
    <s v="Junior Lopes"/>
    <d v="2025-03-31T00:00:00"/>
    <d v="1899-12-30T16:49:47"/>
    <s v=""/>
    <s v="Perdido"/>
    <d v="2025-06-03T00:00:00"/>
    <d v="1899-12-30T11:06:14"/>
    <s v="Não quer mudar a solução atual"/>
    <s v="estou mantendo contato para força de vendas"/>
    <s v=""/>
    <x v="60"/>
    <s v=""/>
    <x v="71"/>
    <s v=""/>
    <m/>
    <m/>
    <s v=""/>
    <s v=""/>
    <s v=""/>
    <s v=""/>
    <n v="1"/>
  </r>
  <r>
    <x v="1"/>
    <n v="328"/>
    <m/>
    <n v="1970"/>
    <s v=""/>
    <s v=""/>
    <x v="137"/>
    <m/>
    <s v=""/>
    <s v="Casa Ambiente"/>
    <s v="11983264135"/>
    <s v=""/>
    <s v="contato@casaambienteud.com.br"/>
    <s v=""/>
    <s v=""/>
    <s v=""/>
    <s v=""/>
    <s v=""/>
    <s v=""/>
    <s v=""/>
    <s v=""/>
    <s v=""/>
    <s v="Pipeline de Vendas"/>
    <s v="Qualificação de Vendas (SQL) (25%)"/>
    <s v=""/>
    <m/>
    <m/>
    <m/>
    <n v="71"/>
    <s v="Junior Lopes"/>
    <d v="2025-04-01T00:00:00"/>
    <d v="1899-12-30T15:57:21"/>
    <s v=""/>
    <s v="Perdido"/>
    <d v="2025-06-11T00:00:00"/>
    <d v="1899-12-30T14:35:24"/>
    <s v="Projeto adiado / sem prazo definido"/>
    <s v="sem resposta ao contato"/>
    <s v="09/04/2025"/>
    <x v="0"/>
    <s v=""/>
    <x v="0"/>
    <s v=""/>
    <m/>
    <m/>
    <s v=""/>
    <s v=""/>
    <s v=""/>
    <s v=""/>
    <n v="1"/>
  </r>
  <r>
    <x v="1"/>
    <n v="333"/>
    <m/>
    <n v="1977"/>
    <s v=""/>
    <s v=""/>
    <x v="138"/>
    <n v="32921219000110"/>
    <s v=""/>
    <s v="MDL Import"/>
    <s v="11910695515"/>
    <s v=""/>
    <s v="janaina@mdlimport.com.br"/>
    <s v=""/>
    <s v=""/>
    <s v=""/>
    <s v=""/>
    <s v=""/>
    <s v=""/>
    <s v=""/>
    <s v=""/>
    <s v="80%"/>
    <s v="Pipeline de Vendas"/>
    <s v="Em negociação (75%)"/>
    <s v=""/>
    <m/>
    <n v="69112"/>
    <n v="318388"/>
    <n v="88"/>
    <s v="Junior Lopes"/>
    <d v="2025-04-03T00:00:00"/>
    <d v="1899-12-30T15:52:15"/>
    <s v=""/>
    <s v="Perdido"/>
    <d v="2025-06-30T00:00:00"/>
    <d v="1899-12-30T15:11:40"/>
    <s v="Não houve aprovação financeira"/>
    <s v="integração com WMS inviabilizou o projeto"/>
    <s v=""/>
    <x v="63"/>
    <s v="Junior Lopes"/>
    <x v="72"/>
    <s v="15/04/2025"/>
    <m/>
    <m/>
    <s v=""/>
    <s v=""/>
    <s v=""/>
    <s v=""/>
    <n v="1"/>
  </r>
  <r>
    <x v="2"/>
    <n v="334"/>
    <m/>
    <n v="1978"/>
    <s v=""/>
    <s v=""/>
    <x v="139"/>
    <n v="55940574000131"/>
    <s v=""/>
    <s v="Herbert Felipe Monteiro"/>
    <s v="16994380062"/>
    <s v=""/>
    <s v="felipe.monteiro@pimpinella.com.br"/>
    <s v=""/>
    <s v=""/>
    <s v=""/>
    <s v=""/>
    <s v=""/>
    <s v="Indicação"/>
    <s v=""/>
    <s v=""/>
    <s v="80%"/>
    <s v="Pipeline de Vendas"/>
    <s v="Em negociação (75%)"/>
    <s v="10x sem juros (0/30/60/90/120/150...)"/>
    <d v="2026-01-31T00:00:00"/>
    <m/>
    <m/>
    <n v="228"/>
    <s v="Rayssa Karapeticov"/>
    <d v="2025-04-04T00:00:00"/>
    <d v="1899-12-30T15:30:02"/>
    <s v=""/>
    <s v="Perdido"/>
    <d v="2025-11-18T00:00:00"/>
    <d v="1899-12-30T09:22:52"/>
    <s v="Projeto adiado / sem prazo definido"/>
    <s v=""/>
    <s v=""/>
    <x v="64"/>
    <s v="Rayssa Karapeticov"/>
    <x v="73"/>
    <s v="16/04/2025"/>
    <m/>
    <m/>
    <s v=""/>
    <s v=""/>
    <s v=""/>
    <s v=""/>
    <n v="1"/>
  </r>
  <r>
    <x v="1"/>
    <n v="336"/>
    <m/>
    <n v="1980"/>
    <s v=""/>
    <s v=""/>
    <x v="140"/>
    <n v="56262451000151"/>
    <s v=""/>
    <s v="Mais Barato Brinquedos"/>
    <s v="(11) 2492-2763"/>
    <s v=""/>
    <s v="fbastosauditores@terra.com.br"/>
    <s v=""/>
    <s v=""/>
    <s v=""/>
    <s v="GUARULHOS"/>
    <s v="SP"/>
    <s v=""/>
    <s v=""/>
    <s v=""/>
    <s v=""/>
    <s v="Pipeline de Vendas"/>
    <s v="Em negociação (75%)"/>
    <s v=""/>
    <m/>
    <n v="110486"/>
    <n v="704412"/>
    <n v="16"/>
    <s v="Junior Lopes"/>
    <d v="2025-04-07T00:00:00"/>
    <d v="1899-12-30T10:11:44"/>
    <s v=""/>
    <s v="Perdido"/>
    <d v="2025-04-23T00:00:00"/>
    <d v="1899-12-30T15:03:14"/>
    <s v="Não houve aprovação financeira"/>
    <s v="Após envio da proposta comercial, não obtive mais retorno do Kaique, estou declinando a oportunidade mas continuarei tentando contato"/>
    <s v="10/04/2025"/>
    <x v="65"/>
    <s v=""/>
    <x v="0"/>
    <s v=""/>
    <m/>
    <m/>
    <s v=""/>
    <s v=""/>
    <s v=""/>
    <s v=""/>
    <n v="1"/>
  </r>
  <r>
    <x v="0"/>
    <n v="338"/>
    <m/>
    <n v="1983"/>
    <s v=""/>
    <s v=""/>
    <x v="141"/>
    <n v="750764000102"/>
    <s v=""/>
    <s v="Adavilson"/>
    <s v="4834332503"/>
    <s v=""/>
    <s v="adavilson@bruver.com.br"/>
    <s v=""/>
    <s v=""/>
    <s v=""/>
    <s v=""/>
    <s v=""/>
    <s v=""/>
    <s v=""/>
    <s v=""/>
    <s v=""/>
    <s v="Pipeline de Vendas"/>
    <s v="Em negociação (75%)"/>
    <s v=""/>
    <m/>
    <n v="50000"/>
    <n v="30502"/>
    <n v="26"/>
    <s v="Paulo Souza"/>
    <d v="2025-04-07T00:00:00"/>
    <d v="1899-12-30T14:24:21"/>
    <s v=""/>
    <s v="Perdido"/>
    <d v="2025-05-03T00:00:00"/>
    <d v="1899-12-30T10:41:00"/>
    <s v="Preço muito alto - fora do budget de investimento"/>
    <s v=""/>
    <s v=""/>
    <x v="66"/>
    <s v="Paulo Souza"/>
    <x v="74"/>
    <s v=""/>
    <m/>
    <m/>
    <s v=""/>
    <s v=""/>
    <s v=""/>
    <s v=""/>
    <n v="1"/>
  </r>
  <r>
    <x v="1"/>
    <n v="343"/>
    <m/>
    <n v="1988"/>
    <s v=""/>
    <s v=""/>
    <x v="142"/>
    <m/>
    <s v=""/>
    <s v="ALMAPY"/>
    <s v="11940062281"/>
    <s v=""/>
    <s v="projetos@almapy.com.br"/>
    <s v=""/>
    <s v=""/>
    <s v=""/>
    <s v=""/>
    <s v=""/>
    <s v=""/>
    <s v=""/>
    <s v=""/>
    <s v=""/>
    <s v="Pipeline de Vendas"/>
    <s v="Apresentar Proposta (50%)"/>
    <s v=""/>
    <m/>
    <n v="32400"/>
    <n v="104544"/>
    <n v="34"/>
    <s v="Junior Lopes"/>
    <d v="2025-04-11T00:00:00"/>
    <d v="1899-12-30T11:56:04"/>
    <s v=""/>
    <s v="Perdido"/>
    <d v="2025-05-15T00:00:00"/>
    <d v="1899-12-30T11:17:15"/>
    <s v="Projeto adiado / sem prazo definido"/>
    <s v="Não vai dar sequencia no momento"/>
    <s v=""/>
    <x v="67"/>
    <s v=""/>
    <x v="75"/>
    <s v=""/>
    <m/>
    <m/>
    <s v=""/>
    <s v=""/>
    <s v=""/>
    <s v=""/>
    <n v="1"/>
  </r>
  <r>
    <x v="1"/>
    <n v="346"/>
    <m/>
    <n v="1991"/>
    <s v=""/>
    <s v=""/>
    <x v="143"/>
    <m/>
    <s v=""/>
    <s v="Renovação Porcelanas"/>
    <s v="11965745182"/>
    <s v=""/>
    <s v="camila@rnporcelanas.com.br"/>
    <s v=""/>
    <s v=""/>
    <s v=""/>
    <s v=""/>
    <s v=""/>
    <s v=""/>
    <s v=""/>
    <s v=""/>
    <s v="30%;90%;Fabio Indica"/>
    <s v="Pipeline de Vendas"/>
    <s v="Em Fechamento (100%)"/>
    <s v=""/>
    <d v="2026-01-31T00:00:00"/>
    <n v="51306"/>
    <n v="2700"/>
    <n v="296"/>
    <s v="Junior Lopes"/>
    <d v="2025-04-15T00:00:00"/>
    <d v="1899-12-30T14:58:16"/>
    <s v=""/>
    <s v="Ganho"/>
    <d v="2025-05-06T00:00:00"/>
    <d v="1899-12-30T11:39:55"/>
    <s v=""/>
    <s v="0"/>
    <s v=""/>
    <x v="6"/>
    <s v=""/>
    <x v="41"/>
    <s v=""/>
    <d v="2026-01-06T00:00:00"/>
    <m/>
    <s v=""/>
    <s v=""/>
    <s v=""/>
    <s v=""/>
    <n v="1"/>
  </r>
  <r>
    <x v="1"/>
    <n v="347"/>
    <m/>
    <n v="1992"/>
    <s v=""/>
    <s v=""/>
    <x v="144"/>
    <m/>
    <s v=""/>
    <s v="Renovação Porcelanas - AFV"/>
    <s v="11965745182"/>
    <s v=""/>
    <s v="camila@rnporcelanas.com.br"/>
    <s v=""/>
    <s v=""/>
    <s v=""/>
    <s v=""/>
    <s v=""/>
    <s v=""/>
    <s v=""/>
    <s v=""/>
    <s v=""/>
    <s v="Pipeline de Vendas"/>
    <s v="Em negociação (75%)"/>
    <s v=""/>
    <m/>
    <n v="15216"/>
    <n v="37684"/>
    <n v="21"/>
    <s v="Junior Lopes"/>
    <d v="2025-04-15T00:00:00"/>
    <d v="1899-12-30T14:59:35"/>
    <s v=""/>
    <s v="Perdido"/>
    <d v="2025-05-06T00:00:00"/>
    <d v="1899-12-30T11:41:13"/>
    <s v="Preço muito alto - fora do budget de investimento"/>
    <s v="Camila ! Sobre o projeto, acredita que vamos dar sequência?_x000a_,_x000a_Camila ? Boa tarde ! Espero que esteja bem ._x000a_Acredita que vamos seguir !_x000a_Oi boa tarde_x000a_Olá Camila ! Bom dia _x000a_Sobre o software? Tem interesse em dar continuidade?_x000a_Oi Camila, acredito que não tenham interesse nesse momento e tudo bem ! fico a disposição caso queira voltar sobre o projeto em breve_x000a_Junior bom dia_x000a_estou te devendo um retorno_x000a_esse valor de investimento no momento não faz sentido pra nós_x000a_voces querem fazer uma contra proposta ? posso verificar com minha diretoria"/>
    <s v=""/>
    <x v="68"/>
    <s v=""/>
    <x v="76"/>
    <s v=""/>
    <m/>
    <m/>
    <s v=""/>
    <s v=""/>
    <s v=""/>
    <s v=""/>
    <n v="1"/>
  </r>
  <r>
    <x v="1"/>
    <n v="348"/>
    <m/>
    <n v="1993"/>
    <s v=""/>
    <s v=""/>
    <x v="145"/>
    <m/>
    <s v=""/>
    <s v="Unik"/>
    <s v="11997371774"/>
    <s v=""/>
    <s v="leonardo@unik.com.br"/>
    <s v=""/>
    <s v=""/>
    <s v=""/>
    <s v=""/>
    <s v=""/>
    <s v=""/>
    <s v=""/>
    <s v=""/>
    <s v=""/>
    <s v="Pipeline de Vendas"/>
    <s v="Em Fechamento (100%)"/>
    <s v="10x sem juros (0/30/60/90/120/150...)"/>
    <m/>
    <n v="15264"/>
    <n v="8210"/>
    <n v="22"/>
    <s v="Junior Lopes"/>
    <d v="2025-04-15T00:00:00"/>
    <d v="1899-12-30T17:21:27"/>
    <s v=""/>
    <s v="Ganho"/>
    <d v="2025-05-07T00:00:00"/>
    <d v="1899-12-30T08:54:54"/>
    <s v=""/>
    <s v=""/>
    <s v=""/>
    <x v="69"/>
    <s v=""/>
    <x v="0"/>
    <s v=""/>
    <m/>
    <m/>
    <s v=""/>
    <s v=""/>
    <s v=""/>
    <s v=""/>
    <n v="1"/>
  </r>
  <r>
    <x v="1"/>
    <n v="351"/>
    <m/>
    <n v="1997"/>
    <s v=""/>
    <s v=""/>
    <x v="146"/>
    <n v="56262451000151"/>
    <s v=""/>
    <s v="XieXie Com. de brinquedos - B2B"/>
    <s v="(11) 2492-2763"/>
    <s v=""/>
    <s v="fbastosauditores@terra.com.br"/>
    <s v=""/>
    <s v=""/>
    <s v=""/>
    <s v="GUARULHOS"/>
    <s v="SP"/>
    <s v=""/>
    <s v=""/>
    <s v=""/>
    <s v=""/>
    <s v="Pipeline de Vendas"/>
    <s v="Em negociação (75%)"/>
    <s v=""/>
    <m/>
    <n v="1620001"/>
    <n v="3400"/>
    <n v="6"/>
    <s v="Junior Lopes"/>
    <d v="2025-04-17T00:00:00"/>
    <d v="1899-12-30T10:20:26"/>
    <s v=""/>
    <s v="Perdido"/>
    <d v="2025-04-23T00:00:00"/>
    <d v="1899-12-30T15:04:23"/>
    <s v="Não houve aprovação financeira"/>
    <s v="Após envio da proposta comercial, não obtive mais retorno do Kaique, estou declinando a oportunidade mas continuarei tentando contato"/>
    <s v=""/>
    <x v="70"/>
    <s v=""/>
    <x v="77"/>
    <s v=""/>
    <m/>
    <m/>
    <s v=""/>
    <s v=""/>
    <s v=""/>
    <s v=""/>
    <n v="1"/>
  </r>
  <r>
    <x v="1"/>
    <n v="352"/>
    <m/>
    <n v="1999"/>
    <s v=""/>
    <s v=""/>
    <x v="147"/>
    <m/>
    <s v=""/>
    <s v="XieXie Com. de brinquedos - BI"/>
    <s v="11949590732"/>
    <s v=""/>
    <s v="fbastosauditores@terra.com.br"/>
    <s v=""/>
    <s v=""/>
    <s v=""/>
    <s v=""/>
    <s v=""/>
    <s v=""/>
    <s v=""/>
    <s v=""/>
    <s v=""/>
    <s v="Pipeline de Vendas"/>
    <s v="Em negociação (75%)"/>
    <s v=""/>
    <m/>
    <n v="16200"/>
    <n v="2160"/>
    <n v="6"/>
    <s v="Junior Lopes"/>
    <d v="2025-04-17T00:00:00"/>
    <d v="1899-12-30T11:11:07"/>
    <s v=""/>
    <s v="Perdido"/>
    <d v="2025-04-23T00:00:00"/>
    <d v="1899-12-30T15:05:19"/>
    <s v="Não houve aprovação financeira"/>
    <s v="Após envio da proposta comercial, não obtive mais retorno do Kaique, estou declinando a oportunidade mas continuarei tentando contato"/>
    <s v=""/>
    <x v="70"/>
    <s v=""/>
    <x v="77"/>
    <s v=""/>
    <m/>
    <m/>
    <s v=""/>
    <s v=""/>
    <s v=""/>
    <s v=""/>
    <n v="1"/>
  </r>
  <r>
    <x v="1"/>
    <n v="353"/>
    <m/>
    <n v="2000"/>
    <s v=""/>
    <s v=""/>
    <x v="148"/>
    <n v="8678467000105"/>
    <s v=""/>
    <s v="Y-888 - ERP"/>
    <s v="(21) 2784-2650"/>
    <s v=""/>
    <s v=""/>
    <s v=""/>
    <s v=""/>
    <s v=""/>
    <s v="DUQUE DE CAXIAS"/>
    <s v="RJ"/>
    <s v=""/>
    <s v=""/>
    <s v=""/>
    <s v="50%"/>
    <s v="Pipeline de Vendas"/>
    <s v="Em negociação (75%)"/>
    <s v=""/>
    <m/>
    <n v="5667184"/>
    <n v="539533"/>
    <n v="68"/>
    <s v="Junior Lopes"/>
    <d v="2025-04-17T00:00:00"/>
    <d v="1899-12-30T12:16:07"/>
    <s v=""/>
    <s v="Perdido"/>
    <d v="2025-06-24T00:00:00"/>
    <d v="1899-12-30T11:54:52"/>
    <s v="Não houve aprovação financeira"/>
    <s v="estou fechando oportunidade porem manterei contato com Victor"/>
    <s v=""/>
    <x v="63"/>
    <s v=""/>
    <x v="72"/>
    <s v=""/>
    <m/>
    <m/>
    <s v=""/>
    <s v=""/>
    <s v=""/>
    <s v=""/>
    <n v="1"/>
  </r>
  <r>
    <x v="1"/>
    <n v="354"/>
    <m/>
    <n v="2002"/>
    <s v=""/>
    <s v=""/>
    <x v="149"/>
    <n v="8678467000105"/>
    <s v=""/>
    <s v="Y 888 importação - AFV"/>
    <s v="(21) 2784-2650"/>
    <s v=""/>
    <s v=""/>
    <s v=""/>
    <s v=""/>
    <s v=""/>
    <s v="DUQUE DE CAXIAS"/>
    <s v="RJ"/>
    <s v=""/>
    <s v=""/>
    <s v=""/>
    <s v="50%"/>
    <s v="Pipeline de Vendas"/>
    <s v="Em negociação (75%)"/>
    <s v=""/>
    <m/>
    <n v="1600"/>
    <n v="28747"/>
    <n v="68"/>
    <s v="Junior Lopes"/>
    <d v="2025-04-17T00:00:00"/>
    <d v="1899-12-30T14:20:48"/>
    <s v=""/>
    <s v="Perdido"/>
    <d v="2025-06-24T00:00:00"/>
    <d v="1899-12-30T11:56:26"/>
    <s v="Não houve aprovação financeira"/>
    <s v="estou descartando oportunidade porem vou manter contato com Victor"/>
    <s v=""/>
    <x v="63"/>
    <s v=""/>
    <x v="72"/>
    <s v=""/>
    <m/>
    <m/>
    <s v=""/>
    <s v=""/>
    <s v=""/>
    <s v=""/>
    <n v="1"/>
  </r>
  <r>
    <x v="1"/>
    <n v="355"/>
    <m/>
    <n v="2004"/>
    <s v=""/>
    <s v=""/>
    <x v="150"/>
    <m/>
    <s v=""/>
    <s v="MDL Import - Cloud"/>
    <s v="11910695515"/>
    <s v=""/>
    <s v="janaina@mdlimpoort.com.br"/>
    <s v=""/>
    <s v=""/>
    <s v=""/>
    <s v=""/>
    <s v=""/>
    <s v=""/>
    <s v=""/>
    <s v=""/>
    <s v="80%"/>
    <s v="Pipeline de Vendas"/>
    <s v="Em negociação (75%)"/>
    <s v=""/>
    <m/>
    <n v="1600"/>
    <n v="32107"/>
    <n v="74"/>
    <s v="Junior Lopes"/>
    <d v="2025-04-17T00:00:00"/>
    <d v="1899-12-30T15:26:06"/>
    <s v=""/>
    <s v="Perdido"/>
    <d v="2025-06-30T00:00:00"/>
    <d v="1899-12-30T15:13:09"/>
    <s v="Não houve aprovação financeira"/>
    <s v="integração com WMS inviabilizou projeto"/>
    <s v=""/>
    <x v="63"/>
    <s v=""/>
    <x v="72"/>
    <s v="15/04/2025"/>
    <m/>
    <m/>
    <s v=""/>
    <s v=""/>
    <s v=""/>
    <s v=""/>
    <n v="1"/>
  </r>
  <r>
    <x v="1"/>
    <n v="358"/>
    <m/>
    <n v="2008"/>
    <s v=""/>
    <s v=""/>
    <x v="151"/>
    <m/>
    <s v=""/>
    <s v="Cassio"/>
    <s v="(22) 99967-1888"/>
    <s v=""/>
    <s v="ngcassio@gmail.com"/>
    <s v=""/>
    <s v=""/>
    <s v=""/>
    <s v="Nova Friburgo"/>
    <s v=""/>
    <s v="Site"/>
    <s v=""/>
    <s v=""/>
    <s v="Solicita demo"/>
    <s v="Pipeline de Vendas"/>
    <s v="Apresentar Proposta (50%)"/>
    <s v=""/>
    <m/>
    <n v="58088"/>
    <n v="112089"/>
    <n v="17"/>
    <s v="Paulo Souza"/>
    <d v="2025-04-28T00:00:00"/>
    <d v="1899-12-30T16:40:49"/>
    <s v=""/>
    <s v="Perdido"/>
    <d v="2025-05-15T00:00:00"/>
    <d v="1899-12-30T15:31:10"/>
    <s v="Projeto adiado / sem prazo definido"/>
    <s v="empresa ainda esta no zero ! cliente mentaliza algo fora da realidade !"/>
    <s v=""/>
    <x v="64"/>
    <s v="Junior Lopes"/>
    <x v="78"/>
    <s v=""/>
    <m/>
    <m/>
    <s v=""/>
    <s v=""/>
    <s v=""/>
    <s v=""/>
    <n v="1"/>
  </r>
  <r>
    <x v="0"/>
    <n v="359"/>
    <m/>
    <n v="2019"/>
    <s v=""/>
    <s v=""/>
    <x v="152"/>
    <m/>
    <s v=""/>
    <s v="Vagner"/>
    <s v="(16) 99126-8825"/>
    <s v=""/>
    <s v="flordesedaimportadora@outlook.com"/>
    <s v=""/>
    <s v=""/>
    <s v=""/>
    <s v=""/>
    <s v=""/>
    <s v=""/>
    <s v=""/>
    <s v=""/>
    <s v=""/>
    <s v="Pipeline de Vendas"/>
    <s v="Em Fechamento (100%)"/>
    <s v=""/>
    <m/>
    <n v="40000"/>
    <n v="23581"/>
    <n v="43"/>
    <s v="Paulo Souza"/>
    <d v="2025-04-28T00:00:00"/>
    <d v="1899-12-30T16:44:09"/>
    <s v=""/>
    <s v="Ganho"/>
    <d v="2025-06-10T00:00:00"/>
    <d v="1899-12-30T12:15:46"/>
    <s v=""/>
    <s v=""/>
    <s v=""/>
    <x v="71"/>
    <s v="Paulo Souza"/>
    <x v="79"/>
    <s v=""/>
    <m/>
    <m/>
    <s v=""/>
    <s v=""/>
    <s v=""/>
    <s v=""/>
    <n v="1"/>
  </r>
  <r>
    <x v="0"/>
    <n v="360"/>
    <m/>
    <n v="1986"/>
    <s v=""/>
    <s v=""/>
    <x v="153"/>
    <m/>
    <s v=""/>
    <s v="Gabrielle"/>
    <s v="(11) 93449-7333"/>
    <s v=""/>
    <s v="gabi.bertoni@outlook.com"/>
    <s v=""/>
    <s v=""/>
    <s v=""/>
    <s v="São Paulo"/>
    <s v=""/>
    <s v="Site"/>
    <s v=""/>
    <s v=""/>
    <s v="Solicita demo"/>
    <s v="Pipeline de Vendas"/>
    <s v="Em negociação (75%)"/>
    <s v=""/>
    <m/>
    <n v="68400"/>
    <n v="302046"/>
    <n v="43"/>
    <s v="Paulo Souza"/>
    <d v="2025-04-28T00:00:00"/>
    <d v="1899-12-30T16:51:09"/>
    <s v=""/>
    <s v="Perdido"/>
    <d v="2025-06-10T00:00:00"/>
    <d v="1899-12-30T14:43:33"/>
    <s v="Não quer mudar a solução atual"/>
    <s v=""/>
    <s v=""/>
    <x v="71"/>
    <s v="Paulo Souza"/>
    <x v="79"/>
    <s v=""/>
    <m/>
    <m/>
    <s v=""/>
    <s v=""/>
    <s v=""/>
    <s v=""/>
    <n v="1"/>
  </r>
  <r>
    <x v="1"/>
    <n v="361"/>
    <m/>
    <n v="2010"/>
    <s v=""/>
    <s v=""/>
    <x v="154"/>
    <m/>
    <s v=""/>
    <s v="Importadora Cassio - Cloud"/>
    <s v="22999671888"/>
    <s v=""/>
    <s v="ngcassio@gmail.com"/>
    <s v=""/>
    <s v=""/>
    <s v=""/>
    <s v=""/>
    <s v=""/>
    <s v=""/>
    <s v=""/>
    <s v=""/>
    <s v=""/>
    <s v="Pipeline de Vendas"/>
    <s v="Apresentar Proposta (50%)"/>
    <s v=""/>
    <m/>
    <n v="26200"/>
    <n v="3400"/>
    <n v="16"/>
    <s v="Junior Lopes"/>
    <d v="2025-04-29T00:00:00"/>
    <d v="1899-12-30T14:49:37"/>
    <s v=""/>
    <s v="Perdido"/>
    <d v="2025-05-15T00:00:00"/>
    <d v="1899-12-30T15:31:35"/>
    <s v="Projeto adiado / sem prazo definido"/>
    <s v="empresa ainda esta no zero ! cliente mentaliza algo fora da realidade !"/>
    <s v=""/>
    <x v="64"/>
    <s v=""/>
    <x v="78"/>
    <s v=""/>
    <m/>
    <m/>
    <s v=""/>
    <s v=""/>
    <s v=""/>
    <s v=""/>
    <n v="1"/>
  </r>
  <r>
    <x v="1"/>
    <n v="362"/>
    <m/>
    <n v="2011"/>
    <s v=""/>
    <s v=""/>
    <x v="155"/>
    <m/>
    <s v=""/>
    <s v="Renovação porcelanas - Cloud"/>
    <s v="11965745182"/>
    <s v=""/>
    <s v="camila@rnporcelanas.com.br"/>
    <s v=""/>
    <s v=""/>
    <s v=""/>
    <s v=""/>
    <s v=""/>
    <s v=""/>
    <s v=""/>
    <s v=""/>
    <s v=""/>
    <s v="Pipeline de Vendas"/>
    <s v="Em negociação (75%)"/>
    <s v=""/>
    <m/>
    <n v="1600"/>
    <n v="1026"/>
    <n v="7"/>
    <s v="Junior Lopes"/>
    <d v="2025-04-29T00:00:00"/>
    <d v="1899-12-30T16:51:32"/>
    <s v=""/>
    <s v="Perdido"/>
    <d v="2025-05-06T00:00:00"/>
    <d v="1899-12-30T15:02:15"/>
    <s v="Preço muito alto - fora do budget de investimento"/>
    <s v=""/>
    <s v=""/>
    <x v="68"/>
    <s v=""/>
    <x v="76"/>
    <s v=""/>
    <m/>
    <m/>
    <s v=""/>
    <s v=""/>
    <s v=""/>
    <s v=""/>
    <n v="1"/>
  </r>
  <r>
    <x v="2"/>
    <n v="366"/>
    <m/>
    <n v="2015"/>
    <s v=""/>
    <s v=""/>
    <x v="156"/>
    <m/>
    <s v=""/>
    <s v="Jose Roberto"/>
    <s v=""/>
    <s v=""/>
    <s v="diretoria@grupobeline.com.br"/>
    <s v=""/>
    <s v=""/>
    <s v=""/>
    <s v=""/>
    <s v=""/>
    <s v=""/>
    <s v=""/>
    <s v=""/>
    <s v=""/>
    <s v="Pipeline de Vendas"/>
    <s v="Em Fechamento (100%)"/>
    <s v=""/>
    <m/>
    <n v="3360"/>
    <n v="165372"/>
    <n v="19"/>
    <s v="Rayssa Karapeticov"/>
    <d v="2025-04-30T00:00:00"/>
    <d v="1899-12-30T15:10:38"/>
    <s v=""/>
    <s v="Ganho"/>
    <d v="2025-05-19T00:00:00"/>
    <d v="1899-12-30T09:02:32"/>
    <s v=""/>
    <s v=""/>
    <s v=""/>
    <x v="72"/>
    <s v=""/>
    <x v="80"/>
    <s v=""/>
    <m/>
    <m/>
    <s v=""/>
    <s v=""/>
    <s v=""/>
    <s v=""/>
    <n v="1"/>
  </r>
  <r>
    <x v="1"/>
    <n v="367"/>
    <m/>
    <n v="2016"/>
    <s v=""/>
    <s v=""/>
    <x v="157"/>
    <m/>
    <s v=""/>
    <s v="Cassio importadora - Cloud"/>
    <s v="22999671888"/>
    <s v=""/>
    <s v="ngcassio@gmail.com"/>
    <s v=""/>
    <s v=""/>
    <s v=""/>
    <s v=""/>
    <s v=""/>
    <s v=""/>
    <s v=""/>
    <s v=""/>
    <s v=""/>
    <s v="Pipeline de Vendas"/>
    <s v="Apresentar Proposta (50%)"/>
    <s v=""/>
    <m/>
    <n v="1600"/>
    <n v="210169"/>
    <n v="15"/>
    <s v="Junior Lopes"/>
    <d v="2025-04-30T00:00:00"/>
    <d v="1899-12-30T15:30:14"/>
    <s v=""/>
    <s v="Perdido"/>
    <d v="2025-05-15T00:00:00"/>
    <d v="1899-12-30T15:31:57"/>
    <s v="Projeto adiado / sem prazo definido"/>
    <s v="empresa ainda esta no zero ! cliente mentaliza algo fora da realidade !"/>
    <s v=""/>
    <x v="64"/>
    <s v=""/>
    <x v="78"/>
    <s v=""/>
    <m/>
    <m/>
    <s v=""/>
    <s v=""/>
    <s v=""/>
    <s v=""/>
    <n v="1"/>
  </r>
  <r>
    <x v="0"/>
    <n v="368"/>
    <m/>
    <n v="2017"/>
    <s v=""/>
    <s v=""/>
    <x v="158"/>
    <n v="18677964000134"/>
    <s v=""/>
    <s v="L&amp;T Importadora"/>
    <s v="1127696004"/>
    <s v=""/>
    <s v="financeiro@ltimportadora.com.br"/>
    <s v=""/>
    <s v=""/>
    <s v=""/>
    <s v=""/>
    <s v=""/>
    <s v=""/>
    <s v=""/>
    <s v=""/>
    <s v=""/>
    <s v="Pipeline de Vendas"/>
    <s v="Em Fechamento (100%)"/>
    <s v=""/>
    <m/>
    <n v="14000"/>
    <n v="886"/>
    <n v="0"/>
    <s v="Paulo Souza"/>
    <d v="2025-05-02T00:00:00"/>
    <d v="1899-12-30T13:58:07"/>
    <s v=""/>
    <s v="Ganho"/>
    <d v="2025-05-02T00:00:00"/>
    <d v="1899-12-30T14:04:33"/>
    <s v=""/>
    <s v=""/>
    <s v=""/>
    <x v="73"/>
    <s v="Paulo Souza"/>
    <x v="81"/>
    <s v=""/>
    <m/>
    <m/>
    <s v=""/>
    <s v=""/>
    <s v=""/>
    <s v=""/>
    <n v="1"/>
  </r>
  <r>
    <x v="0"/>
    <n v="369"/>
    <m/>
    <n v="2018"/>
    <s v=""/>
    <s v=""/>
    <x v="159"/>
    <n v="10906096000105"/>
    <s v=""/>
    <s v="Sakes"/>
    <s v="1133133243"/>
    <s v=""/>
    <s v="MARCIA@SAKES.COM.BR"/>
    <s v=""/>
    <s v=""/>
    <s v=""/>
    <s v=""/>
    <s v=""/>
    <s v=""/>
    <s v=""/>
    <s v=""/>
    <s v=""/>
    <s v="Pipeline de Vendas"/>
    <s v="Agendamento (0%)"/>
    <s v=""/>
    <m/>
    <n v="13600"/>
    <n v="886"/>
    <n v="0"/>
    <s v="Paulo Souza"/>
    <d v="2025-05-02T00:00:00"/>
    <d v="1899-12-30T14:06:04"/>
    <s v=""/>
    <s v="Ganho"/>
    <d v="2025-05-02T00:00:00"/>
    <d v="1899-12-30T14:08:29"/>
    <s v=""/>
    <s v=""/>
    <s v=""/>
    <x v="73"/>
    <s v="Paulo Souza"/>
    <x v="81"/>
    <s v=""/>
    <m/>
    <m/>
    <s v=""/>
    <s v=""/>
    <s v=""/>
    <s v=""/>
    <n v="1"/>
  </r>
  <r>
    <x v="0"/>
    <n v="370"/>
    <m/>
    <n v="2020"/>
    <s v=""/>
    <s v=""/>
    <x v="160"/>
    <m/>
    <s v=""/>
    <s v="Nathan"/>
    <s v="15998182143"/>
    <s v=""/>
    <s v="null"/>
    <s v=""/>
    <s v=""/>
    <s v=""/>
    <s v=""/>
    <s v=""/>
    <s v=""/>
    <s v=""/>
    <s v=""/>
    <s v="50%"/>
    <s v="Pipeline de Vendas"/>
    <s v="Em negociação (75%)"/>
    <s v=""/>
    <m/>
    <n v="51250"/>
    <n v="33381"/>
    <n v="114"/>
    <s v="Paulo Souza"/>
    <d v="2025-05-03T00:00:00"/>
    <d v="1899-12-30T11:03:22"/>
    <s v=""/>
    <s v="Perdido"/>
    <d v="2025-08-25T00:00:00"/>
    <d v="1899-12-30T14:34:31"/>
    <s v="Projeto adiado / sem prazo definido"/>
    <s v=""/>
    <s v=""/>
    <x v="0"/>
    <s v="Paulo Souza"/>
    <x v="82"/>
    <s v=""/>
    <m/>
    <m/>
    <s v=""/>
    <s v=""/>
    <s v=""/>
    <s v=""/>
    <n v="1"/>
  </r>
  <r>
    <x v="1"/>
    <n v="375"/>
    <m/>
    <n v="2024"/>
    <s v=""/>
    <s v=""/>
    <x v="161"/>
    <m/>
    <s v=""/>
    <s v="Mundial Log"/>
    <s v="11947482090"/>
    <s v=""/>
    <s v="rafael@mundiallog.com.br"/>
    <s v=""/>
    <s v=""/>
    <s v=""/>
    <s v=""/>
    <s v=""/>
    <s v=""/>
    <s v=""/>
    <s v=""/>
    <s v=""/>
    <s v="Pipeline de Vendas"/>
    <s v="Apresentar Proposta (50%)"/>
    <s v=""/>
    <m/>
    <n v="69112"/>
    <n v="508112"/>
    <n v="7"/>
    <s v="Junior Lopes"/>
    <d v="2025-05-08T00:00:00"/>
    <d v="1899-12-30T16:11:25"/>
    <s v=""/>
    <s v="Perdido"/>
    <d v="2025-05-15T00:00:00"/>
    <d v="1899-12-30T16:22:48"/>
    <s v="Não houve aprovação financeira"/>
    <s v=""/>
    <s v=""/>
    <x v="74"/>
    <s v=""/>
    <x v="83"/>
    <s v=""/>
    <m/>
    <m/>
    <s v=""/>
    <s v=""/>
    <s v=""/>
    <s v=""/>
    <n v="1"/>
  </r>
  <r>
    <x v="1"/>
    <n v="376"/>
    <m/>
    <n v="2025"/>
    <s v=""/>
    <s v=""/>
    <x v="162"/>
    <m/>
    <s v=""/>
    <s v="Mundial Log - Cloud"/>
    <s v="11947482090"/>
    <s v=""/>
    <s v="rafael@mundiallog.com.br"/>
    <s v=""/>
    <s v=""/>
    <s v=""/>
    <s v=""/>
    <s v=""/>
    <s v=""/>
    <s v=""/>
    <s v=""/>
    <s v=""/>
    <s v="Pipeline de Vendas"/>
    <s v="Apresentar Proposta (50%)"/>
    <s v=""/>
    <m/>
    <n v="1600"/>
    <n v="32107"/>
    <n v="7"/>
    <s v="Junior Lopes"/>
    <d v="2025-05-08T00:00:00"/>
    <d v="1899-12-30T16:29:40"/>
    <s v=""/>
    <s v="Perdido"/>
    <d v="2025-05-15T00:00:00"/>
    <d v="1899-12-30T16:23:14"/>
    <s v="Não houve aprovação financeira"/>
    <s v=""/>
    <s v=""/>
    <x v="74"/>
    <s v=""/>
    <x v="83"/>
    <s v=""/>
    <m/>
    <m/>
    <s v=""/>
    <s v=""/>
    <s v=""/>
    <s v=""/>
    <n v="1"/>
  </r>
  <r>
    <x v="0"/>
    <n v="379"/>
    <m/>
    <n v="2199"/>
    <s v=""/>
    <s v=""/>
    <x v="163"/>
    <m/>
    <s v=""/>
    <s v="Anderson"/>
    <s v="(16) 99707-0733"/>
    <s v=""/>
    <s v=""/>
    <s v=""/>
    <s v=""/>
    <s v=""/>
    <s v=""/>
    <s v=""/>
    <s v="Indicação"/>
    <s v=""/>
    <s v=""/>
    <s v="50%"/>
    <s v="Pipeline de Vendas"/>
    <s v="Em negociação (75%)"/>
    <s v=""/>
    <m/>
    <n v="68400"/>
    <n v="17345"/>
    <n v="108"/>
    <s v="Paulo Souza"/>
    <d v="2025-05-09T00:00:00"/>
    <d v="1899-12-30T16:01:00"/>
    <s v=""/>
    <s v="Perdido"/>
    <d v="2025-08-25T00:00:00"/>
    <d v="1899-12-30T14:28:20"/>
    <s v="Fechou com o concorrente - preço"/>
    <s v=""/>
    <s v=""/>
    <x v="0"/>
    <s v=""/>
    <x v="0"/>
    <s v=""/>
    <m/>
    <m/>
    <s v=""/>
    <s v=""/>
    <s v=""/>
    <s v=""/>
    <n v="1"/>
  </r>
  <r>
    <x v="1"/>
    <n v="382"/>
    <m/>
    <n v="2031"/>
    <s v=""/>
    <s v=""/>
    <x v="164"/>
    <n v="27173648000116"/>
    <s v=""/>
    <s v="Fest Buuble"/>
    <s v="(11) 9342-9915"/>
    <s v=""/>
    <s v="amandfast@gmail.com"/>
    <s v=""/>
    <s v=""/>
    <s v=""/>
    <s v="SAO PAULO"/>
    <s v="SP"/>
    <s v=""/>
    <s v=""/>
    <s v=""/>
    <s v=""/>
    <s v="Pipeline de Vendas"/>
    <s v="Agendamento (0%)"/>
    <s v=""/>
    <m/>
    <m/>
    <m/>
    <n v="50"/>
    <s v="Junior Lopes"/>
    <d v="2025-05-12T00:00:00"/>
    <d v="1899-12-30T15:21:57"/>
    <s v=""/>
    <s v="Perdido"/>
    <d v="2025-07-01T00:00:00"/>
    <d v="1899-12-30T09:46:00"/>
    <s v="Projeto adiado / sem prazo definido"/>
    <s v="Aguardar Rep Mais"/>
    <s v=""/>
    <x v="0"/>
    <s v=""/>
    <x v="84"/>
    <s v=""/>
    <m/>
    <m/>
    <s v=""/>
    <s v=""/>
    <s v=""/>
    <s v=""/>
    <n v="1"/>
  </r>
  <r>
    <x v="1"/>
    <n v="383"/>
    <m/>
    <n v="2033"/>
    <s v=""/>
    <s v=""/>
    <x v="165"/>
    <n v="86890639000105"/>
    <s v=""/>
    <s v="Arrtef Brasil - RMS"/>
    <s v=""/>
    <s v=""/>
    <s v=""/>
    <s v=""/>
    <s v=""/>
    <s v=""/>
    <s v="CURITIBA"/>
    <s v="PR"/>
    <s v=""/>
    <s v=""/>
    <s v=""/>
    <s v=""/>
    <s v="Pipeline de Vendas"/>
    <s v="Agendamento (0%)"/>
    <s v=""/>
    <m/>
    <m/>
    <m/>
    <n v="50"/>
    <s v="Junior Lopes"/>
    <d v="2025-05-12T00:00:00"/>
    <d v="1899-12-30T15:34:32"/>
    <s v=""/>
    <s v="Perdido"/>
    <d v="2025-07-01T00:00:00"/>
    <d v="1899-12-30T09:46:34"/>
    <s v="Projeto adiado / sem prazo definido"/>
    <s v="Aguardar Rep Mais"/>
    <s v=""/>
    <x v="0"/>
    <s v=""/>
    <x v="0"/>
    <s v=""/>
    <m/>
    <m/>
    <s v=""/>
    <s v=""/>
    <s v=""/>
    <s v=""/>
    <n v="1"/>
  </r>
  <r>
    <x v="1"/>
    <n v="384"/>
    <m/>
    <n v="2036"/>
    <s v=""/>
    <s v=""/>
    <x v="166"/>
    <m/>
    <s v=""/>
    <s v="Fa fa Import"/>
    <s v="21989290057"/>
    <s v=""/>
    <s v="lucianadsmoura@gmail.com"/>
    <s v=""/>
    <s v=""/>
    <s v=""/>
    <s v=""/>
    <s v=""/>
    <s v=""/>
    <s v=""/>
    <s v=""/>
    <s v="90%"/>
    <s v="Pipeline de Vendas"/>
    <s v="Em Fechamento (100%)"/>
    <s v=""/>
    <m/>
    <n v="3230634"/>
    <n v="17706"/>
    <n v="35"/>
    <s v="Junior Lopes"/>
    <d v="2025-05-13T00:00:00"/>
    <d v="1899-12-30T17:15:52"/>
    <s v=""/>
    <s v="Ganho"/>
    <d v="2025-06-17T00:00:00"/>
    <d v="1899-12-30T16:19:34"/>
    <s v=""/>
    <s v=""/>
    <s v=""/>
    <x v="75"/>
    <s v=""/>
    <x v="85"/>
    <s v=""/>
    <m/>
    <m/>
    <s v=""/>
    <s v=""/>
    <s v=""/>
    <s v=""/>
    <n v="1"/>
  </r>
  <r>
    <x v="1"/>
    <n v="385"/>
    <m/>
    <n v="2037"/>
    <s v=""/>
    <s v=""/>
    <x v="167"/>
    <m/>
    <s v=""/>
    <s v="Fa Fa Import - Cloud"/>
    <s v="21989290058"/>
    <s v=""/>
    <s v="lucianadsmoura@gmail.com"/>
    <s v=""/>
    <s v=""/>
    <s v=""/>
    <s v=""/>
    <s v=""/>
    <s v=""/>
    <s v=""/>
    <s v=""/>
    <s v="90%"/>
    <s v="Pipeline de Vendas"/>
    <s v="Em Fechamento (100%)"/>
    <s v=""/>
    <m/>
    <n v="0"/>
    <n v="208313"/>
    <n v="35"/>
    <s v="Junior Lopes"/>
    <d v="2025-05-13T00:00:00"/>
    <d v="1899-12-30T17:16:59"/>
    <s v=""/>
    <s v="Ganho"/>
    <d v="2025-06-17T00:00:00"/>
    <d v="1899-12-30T16:20:18"/>
    <s v=""/>
    <s v=""/>
    <s v=""/>
    <x v="75"/>
    <s v=""/>
    <x v="85"/>
    <s v=""/>
    <m/>
    <m/>
    <s v=""/>
    <s v=""/>
    <s v=""/>
    <s v=""/>
    <n v="1"/>
  </r>
  <r>
    <x v="1"/>
    <n v="405"/>
    <m/>
    <n v="2061"/>
    <s v=""/>
    <s v=""/>
    <x v="168"/>
    <m/>
    <s v=""/>
    <s v="Amazonia aromas"/>
    <s v="11991266405"/>
    <s v=""/>
    <s v="atendimento@amazoniaaromas.com.br"/>
    <s v=""/>
    <s v=""/>
    <s v=""/>
    <s v=""/>
    <s v=""/>
    <s v=""/>
    <s v=""/>
    <s v=""/>
    <s v="50%"/>
    <s v="Pipeline de Vendas"/>
    <s v="Em negociação (75%)"/>
    <s v=""/>
    <m/>
    <m/>
    <m/>
    <n v="20"/>
    <s v="Junior Lopes"/>
    <d v="2025-05-28T00:00:00"/>
    <d v="1899-12-30T09:32:20"/>
    <s v=""/>
    <s v="Perdido"/>
    <d v="2025-06-17T00:00:00"/>
    <d v="1899-12-30T16:21:42"/>
    <s v="Nossa solução não atende - falta funcionalidade"/>
    <s v="15:18, 3/6/2025 André Oliveira (Amazonia Aromas): Quanto?_x000a_15:21, 3/6/2025 Junior Lopes: acredito que uns 90 dias ! estamos em homologação em um cliente da nossa base_x000a_15:31, 3/6/2025 André Oliveira (Amazonia Aromas): Mobile Android e ios normal_x000a_15:34, 3/6/2025 Junior Lopes: Mobile Android Off-line _x000a_iOS e Windows on-line_x000a_15:37, 3/6/2025 André Oliveira (Amazonia Aromas): Hum ios ferra um pouco"/>
    <s v=""/>
    <x v="76"/>
    <s v=""/>
    <x v="86"/>
    <s v=""/>
    <m/>
    <m/>
    <s v=""/>
    <s v=""/>
    <s v=""/>
    <s v=""/>
    <n v="1"/>
  </r>
  <r>
    <x v="1"/>
    <n v="406"/>
    <m/>
    <n v="2062"/>
    <s v=""/>
    <s v=""/>
    <x v="169"/>
    <n v="5215210000110"/>
    <s v=""/>
    <s v="AZPR"/>
    <s v="(41) 3376-2439"/>
    <s v=""/>
    <s v=""/>
    <s v=""/>
    <s v=""/>
    <s v=""/>
    <s v="CURITIBA"/>
    <s v="PR"/>
    <s v=""/>
    <s v=""/>
    <s v=""/>
    <s v="30%"/>
    <s v="Pipeline de Vendas"/>
    <s v="Apresentar Solução (35%)"/>
    <s v=""/>
    <m/>
    <n v="622008"/>
    <n v="23661"/>
    <n v="26"/>
    <s v="Junior Lopes"/>
    <d v="2025-05-28T00:00:00"/>
    <d v="1899-12-30T09:50:40"/>
    <s v=""/>
    <s v="Perdido"/>
    <d v="2025-06-23T00:00:00"/>
    <d v="1899-12-30T08:51:59"/>
    <s v="Projeto adiado / sem prazo definido"/>
    <s v="voltar contato quando RepMais"/>
    <s v=""/>
    <x v="77"/>
    <s v=""/>
    <x v="87"/>
    <s v=""/>
    <m/>
    <m/>
    <s v=""/>
    <s v=""/>
    <s v=""/>
    <s v=""/>
    <n v="1"/>
  </r>
  <r>
    <x v="1"/>
    <n v="407"/>
    <m/>
    <n v="2065"/>
    <s v=""/>
    <s v=""/>
    <x v="170"/>
    <n v="5215210000110"/>
    <s v=""/>
    <s v="AZPR"/>
    <s v="(41) 3376-2439"/>
    <s v=""/>
    <s v=""/>
    <s v=""/>
    <s v=""/>
    <s v=""/>
    <s v="CURITIBA"/>
    <s v="PR"/>
    <s v=""/>
    <s v=""/>
    <s v=""/>
    <s v="30%"/>
    <s v="Pipeline de Vendas"/>
    <s v="Apresentar Solução (35%)"/>
    <s v=""/>
    <m/>
    <n v="1600"/>
    <n v="26507"/>
    <n v="26"/>
    <s v="Junior Lopes"/>
    <d v="2025-05-28T00:00:00"/>
    <d v="1899-12-30T09:54:27"/>
    <s v=""/>
    <s v="Perdido"/>
    <d v="2025-06-23T00:00:00"/>
    <d v="1899-12-30T08:53:19"/>
    <s v="Projeto adiado / sem prazo definido"/>
    <s v="Procurar quando RepMais"/>
    <s v=""/>
    <x v="77"/>
    <s v=""/>
    <x v="87"/>
    <s v=""/>
    <m/>
    <m/>
    <s v=""/>
    <s v=""/>
    <s v=""/>
    <s v=""/>
    <n v="1"/>
  </r>
  <r>
    <x v="1"/>
    <n v="408"/>
    <m/>
    <n v="2068"/>
    <s v=""/>
    <s v=""/>
    <x v="171"/>
    <m/>
    <s v=""/>
    <s v="Erca alumínio"/>
    <s v="19997023116"/>
    <s v=""/>
    <s v="rafael@ercaaluminio.com.br"/>
    <s v=""/>
    <s v=""/>
    <s v=""/>
    <s v=""/>
    <s v=""/>
    <s v=""/>
    <s v=""/>
    <s v=""/>
    <s v=""/>
    <s v="Pipeline de Vendas"/>
    <s v="Em Fechamento (100%)"/>
    <s v="10x sem juros (0/30/60/90/120/150...)"/>
    <m/>
    <n v="123066"/>
    <n v="0"/>
    <n v="0"/>
    <s v="Junior Lopes"/>
    <d v="2025-05-28T00:00:00"/>
    <d v="1899-12-30T10:09:38"/>
    <s v=""/>
    <s v="Ganho"/>
    <d v="2025-05-28T00:00:00"/>
    <d v="1899-12-30T10:22:07"/>
    <s v=""/>
    <s v=""/>
    <s v=""/>
    <x v="78"/>
    <s v=""/>
    <x v="0"/>
    <s v=""/>
    <m/>
    <m/>
    <s v=""/>
    <s v=""/>
    <s v=""/>
    <s v=""/>
    <n v="1"/>
  </r>
  <r>
    <x v="1"/>
    <n v="409"/>
    <m/>
    <n v="2069"/>
    <s v=""/>
    <s v=""/>
    <x v="172"/>
    <n v="56262451000151"/>
    <s v=""/>
    <s v="XieXie Mais barato"/>
    <s v="(11) 2492-2763"/>
    <s v=""/>
    <s v="fbastosauditores@terra.com.br"/>
    <s v=""/>
    <s v=""/>
    <s v=""/>
    <s v="GUARULHOS"/>
    <s v="SP"/>
    <s v=""/>
    <s v=""/>
    <s v=""/>
    <s v=""/>
    <s v="Pipeline de Vendas"/>
    <s v="Em negociação (75%)"/>
    <s v=""/>
    <m/>
    <n v="52258"/>
    <n v="606364"/>
    <n v="6"/>
    <s v="Junior Lopes"/>
    <d v="2025-05-28T00:00:00"/>
    <d v="1899-12-30T10:32:07"/>
    <s v=""/>
    <s v="Perdido"/>
    <d v="2025-06-03T00:00:00"/>
    <d v="1899-12-30T10:00:29"/>
    <s v="Preço muito alto - fora do budget de investimento"/>
    <s v="PROPOSTA RENOVCADA POREM CLIENTE NÃO DEU SEQUENCIA"/>
    <s v=""/>
    <x v="79"/>
    <s v=""/>
    <x v="0"/>
    <s v=""/>
    <m/>
    <m/>
    <s v=""/>
    <s v=""/>
    <s v=""/>
    <s v=""/>
    <n v="1"/>
  </r>
  <r>
    <x v="1"/>
    <n v="410"/>
    <m/>
    <n v="2071"/>
    <s v=""/>
    <s v=""/>
    <x v="173"/>
    <n v="56262451000151"/>
    <s v=""/>
    <s v="XieXie Mais Barato - BI B2B"/>
    <s v="(11) 2492-2763"/>
    <s v=""/>
    <s v="fbastosauditores@terra.com.br"/>
    <s v=""/>
    <s v=""/>
    <s v=""/>
    <s v="GUARULHOS"/>
    <s v="SP"/>
    <s v=""/>
    <s v=""/>
    <s v=""/>
    <s v=""/>
    <s v="Pipeline de Vendas"/>
    <s v="Em negociação (75%)"/>
    <s v=""/>
    <m/>
    <n v="42400"/>
    <n v="5560"/>
    <n v="6"/>
    <s v="Junior Lopes"/>
    <d v="2025-05-28T00:00:00"/>
    <d v="1899-12-30T10:38:48"/>
    <s v=""/>
    <s v="Perdido"/>
    <d v="2025-06-03T00:00:00"/>
    <d v="1899-12-30T10:01:26"/>
    <s v="Preço muito alto - fora do budget de investimento"/>
    <s v="PROPOSTA RENOVADA POREM CÇIENTE NÃO DEU SEQUENCIA"/>
    <s v=""/>
    <x v="79"/>
    <s v=""/>
    <x v="0"/>
    <s v=""/>
    <m/>
    <m/>
    <s v=""/>
    <s v=""/>
    <s v=""/>
    <s v=""/>
    <n v="1"/>
  </r>
  <r>
    <x v="1"/>
    <n v="412"/>
    <m/>
    <n v="2075"/>
    <s v=""/>
    <s v=""/>
    <x v="174"/>
    <m/>
    <s v=""/>
    <s v="Gala - B2B"/>
    <s v="67981004151"/>
    <s v=""/>
    <s v="diego@grupogala.com.br"/>
    <s v=""/>
    <s v=""/>
    <s v=""/>
    <s v=""/>
    <s v=""/>
    <s v=""/>
    <s v=""/>
    <s v=""/>
    <s v="50%"/>
    <s v="Pipeline de Vendas"/>
    <s v="Em negociação (75%)"/>
    <s v=""/>
    <m/>
    <n v="26200"/>
    <n v="3400"/>
    <n v="92"/>
    <s v="Junior Lopes"/>
    <d v="2025-05-28T00:00:00"/>
    <d v="1899-12-30T10:50:13"/>
    <s v=""/>
    <s v="Perdido"/>
    <d v="2025-08-28T00:00:00"/>
    <d v="1899-12-30T15:33:20"/>
    <s v="Não houve aprovação financeira"/>
    <s v=""/>
    <s v=""/>
    <x v="80"/>
    <s v=""/>
    <x v="87"/>
    <s v=""/>
    <m/>
    <m/>
    <s v=""/>
    <s v=""/>
    <s v=""/>
    <s v=""/>
    <n v="1"/>
  </r>
  <r>
    <x v="1"/>
    <n v="413"/>
    <m/>
    <n v="2076"/>
    <s v=""/>
    <s v=""/>
    <x v="175"/>
    <m/>
    <s v=""/>
    <s v="Flora Nectar - AFV"/>
    <s v="19971332893"/>
    <s v=""/>
    <s v="marina.dopekevicuz@v4company.com"/>
    <s v=""/>
    <s v=""/>
    <s v=""/>
    <s v=""/>
    <s v=""/>
    <s v=""/>
    <s v=""/>
    <s v=""/>
    <s v=""/>
    <s v="Pipeline de Vendas"/>
    <s v="Apresentar Solução (35%)"/>
    <s v=""/>
    <m/>
    <m/>
    <m/>
    <n v="12"/>
    <s v="Junior Lopes"/>
    <d v="2025-05-28T00:00:00"/>
    <d v="1899-12-30T11:12:16"/>
    <s v=""/>
    <s v="Perdido"/>
    <d v="2025-06-09T00:00:00"/>
    <d v="1899-12-30T15:53:56"/>
    <s v="Projeto adiado / sem prazo definido"/>
    <s v="Rayssa esta mantendo contato"/>
    <s v=""/>
    <x v="0"/>
    <s v=""/>
    <x v="88"/>
    <s v=""/>
    <m/>
    <m/>
    <s v=""/>
    <s v=""/>
    <s v=""/>
    <s v=""/>
    <n v="1"/>
  </r>
  <r>
    <x v="1"/>
    <n v="415"/>
    <m/>
    <n v="2127"/>
    <s v=""/>
    <s v=""/>
    <x v="176"/>
    <m/>
    <s v=""/>
    <s v="Xpert - ERP"/>
    <s v="11996219888"/>
    <s v=""/>
    <s v="manuela.xpert@gmail.com"/>
    <s v=""/>
    <s v=""/>
    <s v=""/>
    <s v=""/>
    <s v=""/>
    <s v=""/>
    <s v=""/>
    <s v=""/>
    <s v=""/>
    <s v="Pipeline de Vendas"/>
    <s v="Apresentar Solução (35%)"/>
    <s v=""/>
    <m/>
    <n v="622008"/>
    <n v="28481"/>
    <n v="12"/>
    <s v="Junior Lopes"/>
    <d v="2025-05-30T00:00:00"/>
    <d v="1899-12-30T09:10:03"/>
    <s v=""/>
    <s v="Perdido"/>
    <d v="2025-06-11T00:00:00"/>
    <d v="1899-12-30T14:24:50"/>
    <s v="Não houve aprovação financeira"/>
    <s v="informou que não tem verba de investimento"/>
    <s v=""/>
    <x v="76"/>
    <s v=""/>
    <x v="89"/>
    <s v=""/>
    <m/>
    <m/>
    <s v=""/>
    <s v=""/>
    <s v=""/>
    <s v=""/>
    <n v="1"/>
  </r>
  <r>
    <x v="1"/>
    <n v="416"/>
    <m/>
    <n v="2132"/>
    <s v=""/>
    <s v=""/>
    <x v="177"/>
    <m/>
    <s v=""/>
    <s v="Xpert - Cloud"/>
    <s v="11996219888"/>
    <s v=""/>
    <s v="manuela.xpert@gmail.com"/>
    <s v=""/>
    <s v=""/>
    <s v=""/>
    <s v=""/>
    <s v=""/>
    <s v=""/>
    <s v=""/>
    <s v=""/>
    <s v=""/>
    <s v="Pipeline de Vendas"/>
    <s v="Apresentar Proposta (50%)"/>
    <s v=""/>
    <m/>
    <n v="1600"/>
    <n v="28747"/>
    <n v="12"/>
    <s v="Junior Lopes"/>
    <d v="2025-05-30T00:00:00"/>
    <d v="1899-12-30T10:11:13"/>
    <s v=""/>
    <s v="Perdido"/>
    <d v="2025-06-11T00:00:00"/>
    <d v="1899-12-30T14:25:29"/>
    <s v="Não houve aprovação financeira"/>
    <s v="informou que não tem verba para investimento"/>
    <s v=""/>
    <x v="76"/>
    <s v=""/>
    <x v="89"/>
    <s v=""/>
    <m/>
    <m/>
    <s v=""/>
    <s v=""/>
    <s v=""/>
    <s v=""/>
    <n v="1"/>
  </r>
  <r>
    <x v="1"/>
    <n v="417"/>
    <m/>
    <n v="2133"/>
    <s v=""/>
    <s v=""/>
    <x v="178"/>
    <m/>
    <s v=""/>
    <s v="Ponto das festas"/>
    <s v="43988505997"/>
    <s v=""/>
    <s v="gerencia@pontodasfestas.com.br"/>
    <s v=""/>
    <s v=""/>
    <s v=""/>
    <s v=""/>
    <s v=""/>
    <s v=""/>
    <s v=""/>
    <s v=""/>
    <s v="30%"/>
    <s v="Pipeline de Vendas"/>
    <s v="Apresentar Proposta (50%)"/>
    <s v=""/>
    <m/>
    <n v="16960"/>
    <n v="40572"/>
    <n v="52"/>
    <s v="Junior Lopes"/>
    <d v="2025-05-30T00:00:00"/>
    <d v="1899-12-30T10:33:15"/>
    <s v=""/>
    <s v="Perdido"/>
    <d v="2025-07-21T00:00:00"/>
    <d v="1899-12-30T09:14:38"/>
    <s v="Projeto adiado / sem prazo definido"/>
    <s v="varias tentativas de contato sem retorno"/>
    <s v=""/>
    <x v="76"/>
    <s v=""/>
    <x v="89"/>
    <s v=""/>
    <m/>
    <m/>
    <s v=""/>
    <s v=""/>
    <s v=""/>
    <s v=""/>
    <n v="1"/>
  </r>
  <r>
    <x v="1"/>
    <n v="419"/>
    <m/>
    <n v="2144"/>
    <s v=""/>
    <s v=""/>
    <x v="179"/>
    <m/>
    <s v=""/>
    <s v="Oikos - Cloud"/>
    <s v="11987154112"/>
    <s v=""/>
    <s v="pedro@grupoecoa.com.br"/>
    <s v=""/>
    <s v=""/>
    <s v=""/>
    <s v=""/>
    <s v=""/>
    <s v=""/>
    <s v=""/>
    <s v=""/>
    <s v="90%"/>
    <s v="Pipeline de Vendas"/>
    <s v="Em Fechamento (100%)"/>
    <s v=""/>
    <m/>
    <n v="1600"/>
    <n v="1833334"/>
    <n v="52"/>
    <s v="Junior Lopes"/>
    <d v="2025-05-30T00:00:00"/>
    <d v="1899-12-30T14:05:15"/>
    <s v=""/>
    <s v="Perdido"/>
    <d v="2025-07-21T00:00:00"/>
    <d v="1899-12-30T09:47:38"/>
    <s v="Projeto adiado / sem prazo definido"/>
    <s v="cliente não responde sobre a continuidade"/>
    <s v=""/>
    <x v="80"/>
    <s v=""/>
    <x v="0"/>
    <s v=""/>
    <m/>
    <m/>
    <s v=""/>
    <s v=""/>
    <s v=""/>
    <s v=""/>
    <n v="1"/>
  </r>
  <r>
    <x v="1"/>
    <n v="422"/>
    <m/>
    <n v="2141"/>
    <s v=""/>
    <s v=""/>
    <x v="180"/>
    <n v="27898532000144"/>
    <s v=""/>
    <s v="Tainã"/>
    <s v="(14) 99811-7753"/>
    <s v=""/>
    <s v="atacadaodastripasfinanceiro@hotmail.com"/>
    <s v=""/>
    <s v=""/>
    <s v=""/>
    <s v="Tupã"/>
    <s v="SP"/>
    <s v="Inbound Opens"/>
    <s v=""/>
    <s v=""/>
    <s v=""/>
    <s v="Pipeline de Vendas"/>
    <s v="Apresentar Solução (35%)"/>
    <s v=""/>
    <m/>
    <n v="69592"/>
    <n v="23661"/>
    <n v="42"/>
    <s v="Débora Duarte"/>
    <d v="2025-06-02T00:00:00"/>
    <d v="1899-12-30T10:51:39"/>
    <s v=""/>
    <s v="Perdido"/>
    <d v="2025-07-14T00:00:00"/>
    <d v="1899-12-30T10:33:15"/>
    <s v="Projeto adiado / sem prazo definido"/>
    <s v="Descartando ! cliente não encontra tempo para seguir"/>
    <s v="30/05/2025 11:00"/>
    <x v="81"/>
    <s v="Débora Duarte"/>
    <x v="90"/>
    <s v="13/06/2025"/>
    <m/>
    <m/>
    <s v=""/>
    <s v=""/>
    <s v=""/>
    <s v=""/>
    <n v="1"/>
  </r>
  <r>
    <x v="2"/>
    <n v="423"/>
    <m/>
    <n v="2179"/>
    <s v=""/>
    <s v=""/>
    <x v="181"/>
    <n v="62182753000112"/>
    <s v=""/>
    <s v="Felipe"/>
    <s v="16994380062"/>
    <s v=""/>
    <s v="felipe.monteiro@pimpinella.com.br"/>
    <s v=""/>
    <s v=""/>
    <s v=""/>
    <s v=""/>
    <s v=""/>
    <s v="Indicação"/>
    <s v=""/>
    <s v=""/>
    <s v="80%"/>
    <s v="Pipeline de Vendas"/>
    <s v="Em negociação (75%)"/>
    <s v=""/>
    <m/>
    <n v="14280"/>
    <n v="127673"/>
    <n v="168"/>
    <s v="Rayssa Karapeticov"/>
    <d v="2025-06-03T00:00:00"/>
    <d v="1899-12-30T11:32:35"/>
    <s v=""/>
    <s v="Perdido"/>
    <d v="2025-11-18T00:00:00"/>
    <d v="1899-12-30T09:34:53"/>
    <s v="Projeto adiado / sem prazo definido"/>
    <s v=""/>
    <s v=""/>
    <x v="82"/>
    <s v="Rayssa Karapeticov"/>
    <x v="91"/>
    <s v=""/>
    <m/>
    <m/>
    <s v=""/>
    <s v=""/>
    <s v=""/>
    <s v=""/>
    <n v="1"/>
  </r>
  <r>
    <x v="1"/>
    <n v="425"/>
    <m/>
    <n v="2181"/>
    <s v=""/>
    <s v=""/>
    <x v="182"/>
    <n v="3971592000187"/>
    <s v=""/>
    <s v="Brinquedos Afv (RMS_AFV)"/>
    <s v="(51) 99840-3160"/>
    <s v=""/>
    <s v=""/>
    <s v=""/>
    <s v=""/>
    <s v=""/>
    <s v="PORTAO"/>
    <s v="RS"/>
    <s v=""/>
    <s v=""/>
    <s v=""/>
    <s v="30%"/>
    <s v="Pipeline de Vendas"/>
    <s v="Apresentar Solução (35%)"/>
    <s v=""/>
    <m/>
    <m/>
    <m/>
    <n v="26"/>
    <s v="Junior Lopes"/>
    <d v="2025-06-05T00:00:00"/>
    <d v="1899-12-30T10:52:19"/>
    <s v=""/>
    <s v="Perdido"/>
    <d v="2025-07-01T00:00:00"/>
    <d v="1899-12-30T09:56:25"/>
    <s v="Projeto adiado / sem prazo definido"/>
    <s v="Aguardar Rep Mais"/>
    <s v=""/>
    <x v="0"/>
    <s v=""/>
    <x v="0"/>
    <s v=""/>
    <m/>
    <m/>
    <s v=""/>
    <s v=""/>
    <s v=""/>
    <s v=""/>
    <n v="1"/>
  </r>
  <r>
    <x v="1"/>
    <n v="426"/>
    <m/>
    <n v="2186"/>
    <s v=""/>
    <s v=""/>
    <x v="183"/>
    <n v="480542000290"/>
    <s v=""/>
    <s v="Anjo brinquedos (RMS - AFV)"/>
    <s v="15997651713"/>
    <s v=""/>
    <s v="fat@brinquedosanjo.com.br"/>
    <s v=""/>
    <s v=""/>
    <s v=""/>
    <s v="LARANJAL PAULISTA"/>
    <s v="SP"/>
    <s v=""/>
    <s v=""/>
    <s v=""/>
    <s v=""/>
    <s v="Pipeline de Vendas"/>
    <s v="Agendamento (0%)"/>
    <s v=""/>
    <m/>
    <m/>
    <m/>
    <n v="26"/>
    <s v="Junior Lopes"/>
    <d v="2025-06-05T00:00:00"/>
    <d v="1899-12-30T11:03:34"/>
    <s v=""/>
    <s v="Perdido"/>
    <d v="2025-07-01T00:00:00"/>
    <d v="1899-12-30T09:47:14"/>
    <s v="Projeto adiado / sem prazo definido"/>
    <s v="Aguardar Rep Mais"/>
    <s v=""/>
    <x v="0"/>
    <s v=""/>
    <x v="0"/>
    <s v=""/>
    <m/>
    <m/>
    <s v=""/>
    <s v=""/>
    <s v=""/>
    <s v=""/>
    <n v="1"/>
  </r>
  <r>
    <x v="1"/>
    <n v="428"/>
    <m/>
    <n v="2189"/>
    <s v=""/>
    <s v=""/>
    <x v="184"/>
    <n v="10509268000107"/>
    <s v=""/>
    <s v="meio atacado"/>
    <s v="19997556622"/>
    <s v=""/>
    <s v="camila@meioatacado.com.br"/>
    <s v=""/>
    <s v=""/>
    <s v=""/>
    <s v="PIRACICABA"/>
    <s v="SP"/>
    <s v=""/>
    <s v=""/>
    <s v=""/>
    <s v="30%"/>
    <s v="Pipeline de Vendas"/>
    <s v="Apresentar Solução (35%)"/>
    <s v=""/>
    <m/>
    <n v="73430"/>
    <n v="37382"/>
    <n v="24"/>
    <s v="Junior Lopes"/>
    <d v="2025-06-06T00:00:00"/>
    <d v="1899-12-30T10:17:02"/>
    <s v=""/>
    <s v="Perdido"/>
    <d v="2025-06-30T00:00:00"/>
    <d v="1899-12-30T15:06:25"/>
    <s v="Projeto adiado / sem prazo definido"/>
    <s v="não responde mais aos contatos"/>
    <s v=""/>
    <x v="83"/>
    <s v=""/>
    <x v="92"/>
    <s v="16/06/2025"/>
    <m/>
    <m/>
    <s v=""/>
    <s v=""/>
    <s v=""/>
    <s v=""/>
    <n v="1"/>
  </r>
  <r>
    <x v="1"/>
    <n v="431"/>
    <m/>
    <n v="2194"/>
    <s v=""/>
    <s v=""/>
    <x v="185"/>
    <n v="28646036000166"/>
    <s v=""/>
    <s v="Goal comercial"/>
    <s v="11938010304"/>
    <s v=""/>
    <s v="juraci@goalcomercial.com.br"/>
    <s v=""/>
    <s v=""/>
    <s v=""/>
    <s v="SAO CAETANO DO SUL"/>
    <s v="SP"/>
    <s v=""/>
    <s v=""/>
    <s v=""/>
    <s v="30%"/>
    <s v="Pipeline de Vendas"/>
    <s v="Em negociação (75%)"/>
    <s v=""/>
    <m/>
    <n v="16960"/>
    <n v="70432"/>
    <n v="80"/>
    <s v="Junior Lopes"/>
    <d v="2025-06-09T00:00:00"/>
    <d v="1899-12-30T11:25:17"/>
    <s v=""/>
    <s v="Perdido"/>
    <d v="2025-08-28T00:00:00"/>
    <d v="1899-12-30T15:35:05"/>
    <s v="Projeto adiado / sem prazo definido"/>
    <s v="sem retorno do cliente"/>
    <s v=""/>
    <x v="84"/>
    <s v=""/>
    <x v="93"/>
    <s v="13/03/2026"/>
    <m/>
    <m/>
    <s v=""/>
    <s v=""/>
    <s v=""/>
    <s v=""/>
    <n v="1"/>
  </r>
  <r>
    <x v="1"/>
    <n v="433"/>
    <m/>
    <n v="2197"/>
    <s v=""/>
    <s v=""/>
    <x v="186"/>
    <m/>
    <s v=""/>
    <s v="Galpão importadora"/>
    <s v="81992522279"/>
    <s v=""/>
    <s v="null"/>
    <s v=""/>
    <s v=""/>
    <s v=""/>
    <s v=""/>
    <s v=""/>
    <s v=""/>
    <s v=""/>
    <s v=""/>
    <s v=""/>
    <s v="Pipeline de Vendas"/>
    <s v="Apresentar Solução (35%)"/>
    <s v=""/>
    <m/>
    <n v="16960"/>
    <n v="998"/>
    <n v="20"/>
    <s v="Junior Lopes"/>
    <d v="2025-06-11T00:00:00"/>
    <d v="1899-12-30T09:05:28"/>
    <s v=""/>
    <s v="Perdido"/>
    <d v="2025-07-01T00:00:00"/>
    <d v="1899-12-30T09:59:28"/>
    <s v="Projeto adiado / sem prazo definido"/>
    <s v="cliente não encontra tempo para apresentação"/>
    <s v=""/>
    <x v="85"/>
    <s v=""/>
    <x v="94"/>
    <s v=""/>
    <m/>
    <m/>
    <s v=""/>
    <s v=""/>
    <s v=""/>
    <s v=""/>
    <n v="1"/>
  </r>
  <r>
    <x v="0"/>
    <n v="434"/>
    <m/>
    <n v="2198"/>
    <s v=""/>
    <s v=""/>
    <x v="187"/>
    <m/>
    <s v=""/>
    <s v="Alexandre"/>
    <s v="11976806556"/>
    <s v=""/>
    <s v="vendas@finaideia.com.br"/>
    <s v=""/>
    <s v=""/>
    <s v=""/>
    <s v=""/>
    <s v=""/>
    <s v="Indicação"/>
    <s v=""/>
    <s v=""/>
    <s v="30%"/>
    <s v="Pipeline de Vendas"/>
    <s v="Apresentar Solução (35%)"/>
    <s v="6x sem juros (0/30/60/90/120/150...)"/>
    <m/>
    <m/>
    <m/>
    <n v="90"/>
    <s v="Paulo Souza"/>
    <d v="2025-06-12T00:00:00"/>
    <d v="1899-12-30T15:13:20"/>
    <s v=""/>
    <s v="Perdido"/>
    <d v="2025-09-10T00:00:00"/>
    <d v="1899-12-30T16:13:03"/>
    <s v="Projeto adiado / sem prazo definido"/>
    <s v=""/>
    <s v=""/>
    <x v="0"/>
    <s v="Paulo Souza"/>
    <x v="0"/>
    <s v=""/>
    <m/>
    <m/>
    <s v=""/>
    <s v=""/>
    <s v=""/>
    <s v=""/>
    <n v="1"/>
  </r>
  <r>
    <x v="0"/>
    <n v="435"/>
    <m/>
    <n v="2200"/>
    <s v=""/>
    <s v=""/>
    <x v="188"/>
    <m/>
    <s v=""/>
    <s v="Gustavo"/>
    <s v="16996352359"/>
    <s v=""/>
    <s v="null"/>
    <s v=""/>
    <s v=""/>
    <s v=""/>
    <s v=""/>
    <s v=""/>
    <s v="Indicação"/>
    <s v=""/>
    <s v=""/>
    <s v="50%"/>
    <s v="Pipeline de Vendas"/>
    <s v="Em Fechamento (100%)"/>
    <s v=""/>
    <m/>
    <n v="28800"/>
    <n v="201012"/>
    <n v="56"/>
    <s v="Paulo Souza"/>
    <d v="2025-06-12T00:00:00"/>
    <d v="1899-12-30T16:24:50"/>
    <s v=""/>
    <s v="Ganho"/>
    <d v="2025-08-07T00:00:00"/>
    <d v="1899-12-30T12:06:18"/>
    <s v=""/>
    <s v=""/>
    <s v=""/>
    <x v="0"/>
    <s v="Paulo Souza"/>
    <x v="0"/>
    <s v=""/>
    <m/>
    <m/>
    <s v=""/>
    <s v=""/>
    <s v=""/>
    <s v=""/>
    <n v="1"/>
  </r>
  <r>
    <x v="1"/>
    <n v="447"/>
    <m/>
    <n v="2213"/>
    <s v=""/>
    <s v=""/>
    <x v="189"/>
    <m/>
    <s v=""/>
    <s v="Vitoria cortinas"/>
    <s v="53999594657"/>
    <s v=""/>
    <s v="compras@vitoriacortinasdecoracoes.com.br"/>
    <s v=""/>
    <s v=""/>
    <s v=""/>
    <s v=""/>
    <s v=""/>
    <s v=""/>
    <s v=""/>
    <s v=""/>
    <s v=""/>
    <s v="Pipeline de Vendas"/>
    <s v="Em Fechamento (100%)"/>
    <s v=""/>
    <m/>
    <n v="1782"/>
    <n v="3564"/>
    <n v="2"/>
    <s v="Junior Lopes"/>
    <d v="2025-06-16T00:00:00"/>
    <d v="1899-12-30T15:57:47"/>
    <s v=""/>
    <s v="Ganho"/>
    <d v="2025-06-18T00:00:00"/>
    <d v="1899-12-30T14:49:21"/>
    <s v=""/>
    <s v=""/>
    <s v=""/>
    <x v="86"/>
    <s v=""/>
    <x v="93"/>
    <s v=""/>
    <m/>
    <m/>
    <s v=""/>
    <s v=""/>
    <s v=""/>
    <s v=""/>
    <n v="1"/>
  </r>
  <r>
    <x v="1"/>
    <n v="451"/>
    <m/>
    <n v="2217"/>
    <s v=""/>
    <s v=""/>
    <x v="190"/>
    <n v="27898532000144"/>
    <s v=""/>
    <s v="Atacadão das Tripas (cloud)"/>
    <s v="14998117753"/>
    <s v=""/>
    <s v="atacadaodastripasfinanceiro@hotmail.com"/>
    <s v=""/>
    <s v=""/>
    <s v=""/>
    <s v="TUPA"/>
    <s v="SP"/>
    <s v=""/>
    <s v=""/>
    <s v=""/>
    <s v=""/>
    <s v="Pipeline de Vendas"/>
    <s v="Apresentar Solução (35%)"/>
    <s v=""/>
    <m/>
    <n v="1600"/>
    <n v="26507"/>
    <n v="26"/>
    <s v="Junior Lopes"/>
    <d v="2025-06-18T00:00:00"/>
    <d v="1899-12-30T14:31:48"/>
    <s v=""/>
    <s v="Perdido"/>
    <d v="2025-07-14T00:00:00"/>
    <d v="1899-12-30T10:34:04"/>
    <s v="Projeto adiado / sem prazo definido"/>
    <s v="Descartando ! cliente não encontra tempo para seguir"/>
    <s v=""/>
    <x v="81"/>
    <s v=""/>
    <x v="93"/>
    <s v=""/>
    <m/>
    <m/>
    <s v=""/>
    <s v=""/>
    <s v=""/>
    <s v=""/>
    <n v="1"/>
  </r>
  <r>
    <x v="1"/>
    <n v="453"/>
    <m/>
    <n v="2219"/>
    <s v=""/>
    <s v=""/>
    <x v="191"/>
    <m/>
    <s v=""/>
    <s v="MDL Import - int.WMS"/>
    <s v="11910695515"/>
    <s v=""/>
    <s v="janaina@mdlimport.com.br"/>
    <s v=""/>
    <s v=""/>
    <s v=""/>
    <s v=""/>
    <s v=""/>
    <s v=""/>
    <s v=""/>
    <s v=""/>
    <s v="30%"/>
    <s v="Pipeline de Vendas"/>
    <s v="Em negociação (75%)"/>
    <s v=""/>
    <m/>
    <n v="29680"/>
    <n v="0"/>
    <n v="7"/>
    <s v="Junior Lopes"/>
    <d v="2025-06-23T00:00:00"/>
    <d v="1899-12-30T09:14:24"/>
    <s v=""/>
    <s v="Perdido"/>
    <d v="2025-06-30T00:00:00"/>
    <d v="1899-12-30T15:12:28"/>
    <s v="Não houve aprovação financeira"/>
    <s v="orçamento não foi aprovado"/>
    <s v=""/>
    <x v="83"/>
    <s v=""/>
    <x v="95"/>
    <s v=""/>
    <m/>
    <m/>
    <s v=""/>
    <s v=""/>
    <s v=""/>
    <s v=""/>
    <n v="1"/>
  </r>
  <r>
    <x v="1"/>
    <n v="455"/>
    <m/>
    <n v="2221"/>
    <s v=""/>
    <s v=""/>
    <x v="192"/>
    <n v="1537246000160"/>
    <s v=""/>
    <s v="BS Toys (RMS)"/>
    <s v="15997551770"/>
    <s v=""/>
    <s v="atendimento@bstoys.com.br"/>
    <s v=""/>
    <s v=""/>
    <s v=""/>
    <s v="BOITUVA"/>
    <s v="SP"/>
    <s v=""/>
    <s v=""/>
    <s v=""/>
    <s v=""/>
    <s v="Pipeline de Vendas"/>
    <s v="Agendamento (0%)"/>
    <s v=""/>
    <m/>
    <m/>
    <m/>
    <n v="7"/>
    <s v="Junior Lopes"/>
    <d v="2025-06-24T00:00:00"/>
    <d v="1899-12-30T11:14:18"/>
    <s v=""/>
    <s v="Perdido"/>
    <d v="2025-07-01T00:00:00"/>
    <d v="1899-12-30T09:49:52"/>
    <s v="Projeto adiado / sem prazo definido"/>
    <s v="Aguardar Rep Mais"/>
    <s v=""/>
    <x v="0"/>
    <s v=""/>
    <x v="0"/>
    <s v=""/>
    <m/>
    <m/>
    <s v=""/>
    <s v=""/>
    <s v=""/>
    <s v=""/>
    <n v="1"/>
  </r>
  <r>
    <x v="1"/>
    <n v="456"/>
    <m/>
    <n v="2226"/>
    <s v=""/>
    <s v=""/>
    <x v="193"/>
    <n v="1684187000152"/>
    <s v=""/>
    <s v="Dielu"/>
    <s v="11947837975"/>
    <s v=""/>
    <s v=""/>
    <s v=""/>
    <s v=""/>
    <s v=""/>
    <s v="SAO PAULO"/>
    <s v="SP"/>
    <s v=""/>
    <s v=""/>
    <s v=""/>
    <s v=""/>
    <s v="Pipeline de Vendas"/>
    <s v="Agendamento (0%)"/>
    <s v=""/>
    <m/>
    <m/>
    <m/>
    <n v="7"/>
    <s v="Junior Lopes"/>
    <d v="2025-06-24T00:00:00"/>
    <d v="1899-12-30T11:20:52"/>
    <s v=""/>
    <s v="Perdido"/>
    <d v="2025-07-01T00:00:00"/>
    <d v="1899-12-30T09:50:21"/>
    <s v="Projeto adiado / sem prazo definido"/>
    <s v="Aguardar Rep Mais"/>
    <s v=""/>
    <x v="0"/>
    <s v=""/>
    <x v="0"/>
    <s v=""/>
    <m/>
    <m/>
    <s v=""/>
    <s v=""/>
    <s v=""/>
    <s v=""/>
    <n v="1"/>
  </r>
  <r>
    <x v="1"/>
    <n v="457"/>
    <m/>
    <n v="2230"/>
    <s v=""/>
    <s v=""/>
    <x v="194"/>
    <n v="28895260000191"/>
    <s v=""/>
    <s v="ceramica salute"/>
    <s v="19999094519"/>
    <s v=""/>
    <s v="comercial@ceramicasalute.com.br"/>
    <s v=""/>
    <s v=""/>
    <s v=""/>
    <s v="JABOTICABAL"/>
    <s v="SP"/>
    <s v=""/>
    <s v=""/>
    <s v=""/>
    <s v=""/>
    <s v="Pipeline de Vendas"/>
    <s v="Agendamento (0%)"/>
    <s v=""/>
    <m/>
    <m/>
    <m/>
    <n v="7"/>
    <s v="Junior Lopes"/>
    <d v="2025-06-24T00:00:00"/>
    <d v="1899-12-30T11:28:08"/>
    <s v=""/>
    <s v="Perdido"/>
    <d v="2025-07-01T00:00:00"/>
    <d v="1899-12-30T09:50:51"/>
    <s v="Projeto adiado / sem prazo definido"/>
    <s v="Aguardar Rep Mais"/>
    <s v=""/>
    <x v="0"/>
    <s v=""/>
    <x v="0"/>
    <s v=""/>
    <m/>
    <m/>
    <s v=""/>
    <s v=""/>
    <s v=""/>
    <s v=""/>
    <n v="1"/>
  </r>
  <r>
    <x v="1"/>
    <n v="462"/>
    <m/>
    <n v="2237"/>
    <s v=""/>
    <s v=""/>
    <x v="195"/>
    <n v="61630786000115"/>
    <s v=""/>
    <s v="Palete Chiari"/>
    <s v="16993303692"/>
    <s v=""/>
    <s v=""/>
    <s v=""/>
    <s v=""/>
    <s v=""/>
    <s v="SAO CARLOS"/>
    <s v="SP"/>
    <s v=""/>
    <s v=""/>
    <s v=""/>
    <s v=""/>
    <s v="Pipeline de Vendas"/>
    <s v="Apresentar Solução (35%)"/>
    <s v=""/>
    <m/>
    <n v="80560"/>
    <n v="249008"/>
    <n v="1"/>
    <s v="Junior Lopes"/>
    <d v="2025-06-25T00:00:00"/>
    <d v="1899-12-30T10:30:51"/>
    <s v=""/>
    <s v="Perdido"/>
    <d v="2025-06-26T00:00:00"/>
    <d v="1899-12-30T10:45:55"/>
    <s v="Projeto adiado / sem prazo definido"/>
    <s v="cliente não respondeu mais aos contatos ! estou decertando e manterei contato"/>
    <s v=""/>
    <x v="86"/>
    <s v=""/>
    <x v="96"/>
    <s v=""/>
    <m/>
    <m/>
    <s v=""/>
    <s v=""/>
    <s v=""/>
    <s v=""/>
    <n v="1"/>
  </r>
  <r>
    <x v="1"/>
    <n v="463"/>
    <m/>
    <n v="2239"/>
    <s v=""/>
    <s v=""/>
    <x v="196"/>
    <n v="61630786000115"/>
    <s v=""/>
    <s v="Chiare Palete - Cloud"/>
    <s v="16993303692"/>
    <s v=""/>
    <s v=""/>
    <s v=""/>
    <s v=""/>
    <s v=""/>
    <s v="SAO CARLOS"/>
    <s v="SP"/>
    <s v=""/>
    <s v=""/>
    <s v=""/>
    <s v=""/>
    <s v="Pipeline de Vendas"/>
    <s v="Apresentar Solução (35%)"/>
    <s v=""/>
    <m/>
    <n v="1600"/>
    <n v="278556"/>
    <n v="1"/>
    <s v="Junior Lopes"/>
    <d v="2025-06-25T00:00:00"/>
    <d v="1899-12-30T10:37:01"/>
    <s v=""/>
    <s v="Perdido"/>
    <d v="2025-06-26T00:00:00"/>
    <d v="1899-12-30T10:46:25"/>
    <s v="Projeto adiado / sem prazo definido"/>
    <s v="cliente não respondeu mais aos contatos ! estou decertando e manterei contato"/>
    <s v=""/>
    <x v="86"/>
    <s v=""/>
    <x v="96"/>
    <s v=""/>
    <m/>
    <m/>
    <s v=""/>
    <s v=""/>
    <s v=""/>
    <s v=""/>
    <n v="1"/>
  </r>
  <r>
    <x v="1"/>
    <n v="466"/>
    <m/>
    <n v="2243"/>
    <s v=""/>
    <s v=""/>
    <x v="197"/>
    <m/>
    <s v=""/>
    <s v="vitoria cortinas - User AFV"/>
    <s v="3599959465"/>
    <s v=""/>
    <s v="comercial@vitoriacortninasdecoracoes.com.br"/>
    <s v=""/>
    <s v=""/>
    <s v=""/>
    <s v=""/>
    <s v=""/>
    <s v=""/>
    <s v=""/>
    <s v=""/>
    <s v=""/>
    <s v="Pipeline de Vendas"/>
    <s v="Em Fechamento (100%)"/>
    <s v=""/>
    <m/>
    <n v="0"/>
    <n v="54887"/>
    <n v="5"/>
    <s v="Junior Lopes"/>
    <d v="2025-06-25T00:00:00"/>
    <d v="1899-12-30T14:32:40"/>
    <s v=""/>
    <s v="Ganho"/>
    <d v="2025-06-30T00:00:00"/>
    <d v="1899-12-30T08:34:12"/>
    <s v=""/>
    <s v=""/>
    <s v=""/>
    <x v="87"/>
    <s v=""/>
    <x v="97"/>
    <s v=""/>
    <m/>
    <m/>
    <s v=""/>
    <s v=""/>
    <s v=""/>
    <s v=""/>
    <n v="1"/>
  </r>
  <r>
    <x v="1"/>
    <n v="467"/>
    <m/>
    <n v="2244"/>
    <s v=""/>
    <s v=""/>
    <x v="198"/>
    <m/>
    <s v=""/>
    <s v="Meio atacado - Cloud"/>
    <s v="19997556622"/>
    <s v=""/>
    <s v="camila@meioatacado.com.br"/>
    <s v=""/>
    <s v=""/>
    <s v=""/>
    <s v=""/>
    <s v=""/>
    <s v=""/>
    <s v=""/>
    <s v=""/>
    <s v=""/>
    <s v="Pipeline de Vendas"/>
    <s v="Apresentar Solução (35%)"/>
    <s v=""/>
    <m/>
    <n v="1600"/>
    <n v="309656"/>
    <n v="5"/>
    <s v="Junior Lopes"/>
    <d v="2025-06-25T00:00:00"/>
    <d v="1899-12-30T15:54:02"/>
    <s v=""/>
    <s v="Perdido"/>
    <d v="2025-06-30T00:00:00"/>
    <d v="1899-12-30T15:06:57"/>
    <s v="Projeto adiado / sem prazo definido"/>
    <s v="não responde mais aos contatos"/>
    <s v=""/>
    <x v="83"/>
    <s v=""/>
    <x v="98"/>
    <s v=""/>
    <m/>
    <m/>
    <s v=""/>
    <s v=""/>
    <s v=""/>
    <s v=""/>
    <n v="1"/>
  </r>
  <r>
    <x v="1"/>
    <n v="468"/>
    <m/>
    <n v="2245"/>
    <s v=""/>
    <s v=""/>
    <x v="199"/>
    <n v="9509581000166"/>
    <s v=""/>
    <s v="Emporio Villamarin"/>
    <s v="11999265872"/>
    <s v=""/>
    <s v="alfonso@emporiovillamarin.com.br"/>
    <s v=""/>
    <s v=""/>
    <s v=""/>
    <s v="SAO PAULO"/>
    <s v="SP"/>
    <s v=""/>
    <s v=""/>
    <s v=""/>
    <s v=""/>
    <s v="Pipeline de Vendas"/>
    <s v="Apresentar Proposta (50%)"/>
    <s v=""/>
    <m/>
    <n v="10800"/>
    <n v="450"/>
    <n v="5"/>
    <s v="Junior Lopes"/>
    <d v="2025-06-25T00:00:00"/>
    <d v="1899-12-30T16:08:55"/>
    <s v=""/>
    <s v="Perdido"/>
    <d v="2025-06-30T00:00:00"/>
    <d v="1899-12-30T15:05:29"/>
    <s v="Projeto adiado / sem prazo definido"/>
    <s v="não ira dar continuidade no momento"/>
    <s v=""/>
    <x v="88"/>
    <s v=""/>
    <x v="92"/>
    <s v=""/>
    <m/>
    <m/>
    <s v=""/>
    <s v=""/>
    <s v=""/>
    <s v=""/>
    <n v="1"/>
  </r>
  <r>
    <x v="1"/>
    <n v="469"/>
    <m/>
    <n v="2250"/>
    <s v=""/>
    <s v=""/>
    <x v="200"/>
    <m/>
    <s v=""/>
    <s v="Elmo atacado (horas exc)"/>
    <s v="47984366161"/>
    <s v=""/>
    <s v="fabio@elmoatacado.com.br"/>
    <s v=""/>
    <s v=""/>
    <s v=""/>
    <s v=""/>
    <s v=""/>
    <s v=""/>
    <s v=""/>
    <s v=""/>
    <s v=""/>
    <s v="Pipeline de Vendas"/>
    <s v="Em Fechamento (100%)"/>
    <s v=""/>
    <m/>
    <n v="607121"/>
    <n v="0"/>
    <n v="25"/>
    <s v="Junior Lopes"/>
    <d v="2025-06-26T00:00:00"/>
    <d v="1899-12-30T11:58:43"/>
    <s v=""/>
    <s v="Ganho"/>
    <d v="2025-07-21T00:00:00"/>
    <d v="1899-12-30T09:16:58"/>
    <s v=""/>
    <s v=""/>
    <s v=""/>
    <x v="89"/>
    <s v=""/>
    <x v="99"/>
    <s v=""/>
    <m/>
    <m/>
    <s v=""/>
    <s v=""/>
    <s v=""/>
    <s v=""/>
    <n v="1"/>
  </r>
  <r>
    <x v="1"/>
    <n v="470"/>
    <m/>
    <n v="2272"/>
    <s v=""/>
    <s v=""/>
    <x v="201"/>
    <n v="912882000161"/>
    <s v=""/>
    <s v="Grupo K1"/>
    <s v="51980225006"/>
    <s v=""/>
    <s v="angela@kappersberg.com.br"/>
    <s v=""/>
    <s v=""/>
    <s v=""/>
    <s v="TUPANDI"/>
    <s v="RS"/>
    <s v=""/>
    <s v=""/>
    <s v=""/>
    <s v="30%"/>
    <s v="Pipeline de Vendas"/>
    <s v="Em negociação (75%)"/>
    <s v=""/>
    <m/>
    <n v="16960"/>
    <n v="14034"/>
    <n v="84"/>
    <s v="Junior Lopes"/>
    <d v="2025-06-30T00:00:00"/>
    <d v="1899-12-30T11:52:50"/>
    <s v=""/>
    <s v="Perdido"/>
    <d v="2025-09-22T00:00:00"/>
    <d v="1899-12-30T11:28:00"/>
    <s v="Projeto adiado / sem prazo definido"/>
    <s v="em contato com Ângela, nao esta descartado porem não seguirá nesse momento"/>
    <s v=""/>
    <x v="90"/>
    <s v=""/>
    <x v="100"/>
    <s v=""/>
    <m/>
    <m/>
    <s v=""/>
    <s v=""/>
    <s v=""/>
    <s v=""/>
    <n v="1"/>
  </r>
  <r>
    <x v="2"/>
    <n v="475"/>
    <m/>
    <n v="2299"/>
    <s v=""/>
    <s v=""/>
    <x v="202"/>
    <n v="3436772000169"/>
    <s v=""/>
    <s v="Julia Soares"/>
    <s v="11983386298"/>
    <s v=""/>
    <s v="vendas@trilharty.com.br"/>
    <s v=""/>
    <s v=""/>
    <s v=""/>
    <s v="SAO PAULO"/>
    <s v="SP"/>
    <s v=""/>
    <s v=""/>
    <s v=""/>
    <s v=""/>
    <s v="Pipeline de Vendas"/>
    <s v="Apresentar Proposta (50%)"/>
    <s v=""/>
    <m/>
    <m/>
    <m/>
    <n v="60"/>
    <s v="Rayssa Karapeticov"/>
    <d v="2025-07-04T00:00:00"/>
    <d v="1899-12-30T09:23:22"/>
    <s v=""/>
    <s v="Perdido"/>
    <d v="2025-09-02T00:00:00"/>
    <d v="1899-12-30T09:58:39"/>
    <s v="Projeto adiado / sem prazo definido"/>
    <s v=""/>
    <s v=""/>
    <x v="91"/>
    <s v=""/>
    <x v="101"/>
    <s v=""/>
    <m/>
    <m/>
    <s v=""/>
    <s v=""/>
    <s v=""/>
    <s v=""/>
    <n v="1"/>
  </r>
  <r>
    <x v="1"/>
    <n v="485"/>
    <m/>
    <n v="2341"/>
    <s v=""/>
    <s v=""/>
    <x v="203"/>
    <n v="20750928000109"/>
    <s v=""/>
    <s v="Tiago eletrodomésticos"/>
    <s v="(48) 9960-6091"/>
    <s v=""/>
    <s v="financeiro@saeletronicos.com.br"/>
    <s v=""/>
    <s v=""/>
    <s v=""/>
    <s v="ICARA"/>
    <s v="SC"/>
    <s v=""/>
    <s v=""/>
    <s v=""/>
    <s v="50%"/>
    <s v="Pipeline de Vendas"/>
    <s v="Em Fechamento (100%)"/>
    <s v=""/>
    <m/>
    <n v="6429976"/>
    <n v="399322"/>
    <n v="73"/>
    <s v="Junior Lopes"/>
    <d v="2025-07-14T00:00:00"/>
    <d v="1899-12-30T10:10:19"/>
    <s v=""/>
    <s v="Ganho"/>
    <d v="2025-09-25T00:00:00"/>
    <d v="1899-12-30T15:08:43"/>
    <s v=""/>
    <s v=""/>
    <s v=""/>
    <x v="92"/>
    <s v=""/>
    <x v="102"/>
    <s v=""/>
    <m/>
    <m/>
    <s v=""/>
    <s v=""/>
    <s v=""/>
    <s v=""/>
    <n v="1"/>
  </r>
  <r>
    <x v="1"/>
    <n v="486"/>
    <m/>
    <n v="2343"/>
    <s v=""/>
    <s v=""/>
    <x v="204"/>
    <n v="20750928000109"/>
    <s v=""/>
    <s v="Tiago eleytonicos"/>
    <s v="(48) 9960-6091"/>
    <s v=""/>
    <s v="financeiro@saeletronicos.com.br"/>
    <s v=""/>
    <s v=""/>
    <s v=""/>
    <s v="ICARA"/>
    <s v="SC"/>
    <s v=""/>
    <s v=""/>
    <s v=""/>
    <s v=""/>
    <s v="Pipeline de Vendas"/>
    <s v="Em Fechamento (100%)"/>
    <s v=""/>
    <m/>
    <n v="1600"/>
    <n v="2325"/>
    <n v="73"/>
    <s v="Junior Lopes"/>
    <d v="2025-07-14T00:00:00"/>
    <d v="1899-12-30T10:59:03"/>
    <s v=""/>
    <s v="Perdido"/>
    <d v="2025-09-25T00:00:00"/>
    <d v="1899-12-30T14:59:17"/>
    <s v="Não quer mudar a solução atual"/>
    <s v="cliente decidiu manter o servidor local"/>
    <s v=""/>
    <x v="92"/>
    <s v=""/>
    <x v="102"/>
    <s v=""/>
    <m/>
    <m/>
    <s v=""/>
    <s v=""/>
    <s v=""/>
    <s v=""/>
    <n v="1"/>
  </r>
  <r>
    <x v="1"/>
    <n v="487"/>
    <m/>
    <n v="2345"/>
    <s v=""/>
    <s v=""/>
    <x v="205"/>
    <m/>
    <s v=""/>
    <s v="Star distribuidora - Expede"/>
    <s v="17997793113"/>
    <s v=""/>
    <s v="comercial@distribuidorastar.com.br"/>
    <s v=""/>
    <s v=""/>
    <s v=""/>
    <s v=""/>
    <s v=""/>
    <s v=""/>
    <s v=""/>
    <s v=""/>
    <s v=""/>
    <s v="Pipeline de Vendas"/>
    <s v="Em Fechamento (100%)"/>
    <s v=""/>
    <m/>
    <n v="0"/>
    <n v="14256"/>
    <n v="7"/>
    <s v="Junior Lopes"/>
    <d v="2025-07-14T00:00:00"/>
    <d v="1899-12-30T14:38:51"/>
    <s v=""/>
    <s v="Ganho"/>
    <d v="2025-07-21T00:00:00"/>
    <d v="1899-12-30T09:23:38"/>
    <s v=""/>
    <s v=""/>
    <s v=""/>
    <x v="93"/>
    <s v=""/>
    <x v="103"/>
    <s v=""/>
    <m/>
    <m/>
    <s v=""/>
    <s v=""/>
    <s v=""/>
    <s v=""/>
    <n v="1"/>
  </r>
  <r>
    <x v="1"/>
    <n v="488"/>
    <m/>
    <n v="2346"/>
    <s v="O projeto B2B já está fechado, porém a continuidade dependerá da finalização da carga de dados na implantação do ERP. Assim que essa etapa for concluída, Junior Lopes deve retomar o contato com o cliente, verificar pendências e alinhar os próximos passos com data definida."/>
    <s v=""/>
    <x v="206"/>
    <n v="20750928000109"/>
    <s v=""/>
    <s v="Tiago eletrônicos - B2B"/>
    <s v="4899606091"/>
    <s v=""/>
    <s v="financeiro@saeletronicos.com.br"/>
    <s v=""/>
    <s v=""/>
    <s v=""/>
    <s v=""/>
    <s v=""/>
    <s v=""/>
    <s v=""/>
    <s v=""/>
    <s v="90%"/>
    <s v="Pipeline de Vendas"/>
    <s v="Em Fechamento (100%)"/>
    <s v=""/>
    <d v="2026-02-02T00:00:00"/>
    <n v="26200"/>
    <n v="3400"/>
    <n v="206"/>
    <s v="Junior Lopes"/>
    <d v="2025-07-15T00:00:00"/>
    <d v="1899-12-30T17:26:45"/>
    <s v=""/>
    <s v="Ganho"/>
    <d v="2026-02-06T00:00:00"/>
    <d v="1899-12-30T12:10:05"/>
    <s v=""/>
    <s v=""/>
    <s v=""/>
    <x v="92"/>
    <s v="Junior Lopes"/>
    <x v="102"/>
    <s v=""/>
    <d v="2025-12-10T00:00:00"/>
    <m/>
    <s v=""/>
    <s v=""/>
    <s v=""/>
    <s v=""/>
    <n v="1"/>
  </r>
  <r>
    <x v="1"/>
    <n v="493"/>
    <m/>
    <n v="2352"/>
    <s v=""/>
    <s v=""/>
    <x v="207"/>
    <n v="39750889000160"/>
    <s v=""/>
    <s v="MDL Comércio importação (ERP+AFV"/>
    <s v="(11) 91069-5515"/>
    <s v=""/>
    <s v="janaina@mdlimport.com.br"/>
    <s v=""/>
    <s v=""/>
    <s v=""/>
    <s v="SAO CAETANO DO SUL"/>
    <s v="SP"/>
    <s v=""/>
    <s v=""/>
    <s v=""/>
    <s v=""/>
    <s v="Pipeline de Vendas"/>
    <s v="Em Fechamento (100%)"/>
    <s v="10x sem juros (0/30/60/90/120/150...)"/>
    <m/>
    <n v="4327344"/>
    <n v="37442"/>
    <n v="42"/>
    <s v="Junior Lopes"/>
    <d v="2025-07-17T00:00:00"/>
    <d v="1899-12-30T14:23:39"/>
    <s v=""/>
    <s v="Ganho"/>
    <d v="2025-08-28T00:00:00"/>
    <d v="1899-12-30T15:08:55"/>
    <s v=""/>
    <s v=""/>
    <s v=""/>
    <x v="94"/>
    <s v=""/>
    <x v="104"/>
    <s v=""/>
    <m/>
    <m/>
    <s v=""/>
    <s v=""/>
    <s v=""/>
    <s v=""/>
    <n v="1"/>
  </r>
  <r>
    <x v="1"/>
    <n v="494"/>
    <m/>
    <n v="2354"/>
    <s v=""/>
    <s v=""/>
    <x v="208"/>
    <m/>
    <s v=""/>
    <s v="MDL comércio de importação (Int.WMS)"/>
    <s v="11910695515"/>
    <s v=""/>
    <s v="janaina@mdlimport.com.br"/>
    <s v=""/>
    <s v=""/>
    <s v=""/>
    <s v=""/>
    <s v=""/>
    <s v=""/>
    <s v=""/>
    <s v=""/>
    <s v=""/>
    <s v="Pipeline de Vendas"/>
    <s v="Em Fechamento (100%)"/>
    <s v="10x sem juros (0/30/60/90/120/150...)"/>
    <m/>
    <n v="1167696"/>
    <n v="0"/>
    <n v="42"/>
    <s v="Junior Lopes"/>
    <d v="2025-07-17T00:00:00"/>
    <d v="1899-12-30T14:38:09"/>
    <s v=""/>
    <s v="Ganho"/>
    <d v="2025-08-28T00:00:00"/>
    <d v="1899-12-30T15:11:27"/>
    <s v=""/>
    <s v=""/>
    <s v=""/>
    <x v="94"/>
    <s v=""/>
    <x v="104"/>
    <s v=""/>
    <m/>
    <m/>
    <s v=""/>
    <s v=""/>
    <s v=""/>
    <s v=""/>
    <n v="1"/>
  </r>
  <r>
    <x v="1"/>
    <n v="495"/>
    <m/>
    <n v="2356"/>
    <s v=""/>
    <s v=""/>
    <x v="209"/>
    <m/>
    <s v=""/>
    <s v="Germer porcenalas"/>
    <s v="41984816685"/>
    <s v=""/>
    <s v="ti@germerporcelanas.com.br"/>
    <s v=""/>
    <s v=""/>
    <s v=""/>
    <s v=""/>
    <s v=""/>
    <s v=""/>
    <s v=""/>
    <s v=""/>
    <s v="30%"/>
    <s v="Pipeline de Vendas"/>
    <s v="Em negociação (75%)"/>
    <s v=""/>
    <m/>
    <n v="16960"/>
    <n v="10748"/>
    <n v="67"/>
    <s v="Junior Lopes"/>
    <d v="2025-07-17T00:00:00"/>
    <d v="1899-12-30T16:01:44"/>
    <s v=""/>
    <s v="Perdido"/>
    <d v="2025-09-22T00:00:00"/>
    <d v="1899-12-30T11:35:25"/>
    <s v="Não quer mudar a solução atual"/>
    <s v="em contato com Claudinei projeto está estagnado"/>
    <s v=""/>
    <x v="93"/>
    <s v=""/>
    <x v="103"/>
    <s v="10/07/2025"/>
    <m/>
    <m/>
    <s v=""/>
    <s v=""/>
    <s v=""/>
    <s v=""/>
    <n v="1"/>
  </r>
  <r>
    <x v="1"/>
    <n v="496"/>
    <m/>
    <n v="2361"/>
    <s v="O próximo passo é Junior Lopes alinhar com o cliente o objetivo final da oportunidade, considerando que o cliente ainda está negociando o desenvolvimento da integração técnica que o ERP deles precisa construir. Somente após essa definição e após os ajustes técnicos com a Marília será possível retomar as conversas em janeiro de 2026 e avançar para o fechamento, previsto para 31/01/2026."/>
    <s v="Editora Dcl - Difusao Cultural Do Livro Ltda"/>
    <x v="210"/>
    <n v="60444098000521"/>
    <s v=""/>
    <s v="Editora Dcl - Difusao Cultural Do Livro Ltda"/>
    <s v="(11) 3932-5222"/>
    <s v=""/>
    <s v="welington@editoradcl.com.br"/>
    <s v=""/>
    <s v=""/>
    <s v=""/>
    <s v="ITUPEVA"/>
    <s v="SP"/>
    <s v="Base de empresas Leads2b"/>
    <s v=""/>
    <s v=""/>
    <s v="80%"/>
    <s v="Pipeline de Vendas"/>
    <s v="Em Fechamento (100%)"/>
    <s v="4x sem juros (0/30/60/90)"/>
    <d v="2026-01-30T00:00:00"/>
    <n v="16960"/>
    <n v="37395"/>
    <n v="166"/>
    <s v="Junior Lopes"/>
    <d v="2025-07-23T00:00:00"/>
    <d v="1899-12-30T11:53:55"/>
    <s v=""/>
    <s v="Ganho"/>
    <d v="2026-01-05T00:00:00"/>
    <d v="1899-12-30T14:50:49"/>
    <s v=""/>
    <s v=""/>
    <s v=""/>
    <x v="93"/>
    <s v="Junior Lopes"/>
    <x v="105"/>
    <s v="11/07/2025"/>
    <d v="2025-12-12T00:00:00"/>
    <m/>
    <s v=""/>
    <s v=""/>
    <s v=""/>
    <s v=""/>
    <n v="1"/>
  </r>
  <r>
    <x v="1"/>
    <n v="497"/>
    <m/>
    <n v="2363"/>
    <s v=""/>
    <s v="Associacao Medianeira Fuzipar"/>
    <x v="211"/>
    <n v="8306975000154"/>
    <s v=""/>
    <s v="Associacao Medianeira Fuzipar"/>
    <s v="(54) 3321-5456"/>
    <s v=""/>
    <s v=""/>
    <s v=""/>
    <s v=""/>
    <s v=""/>
    <s v="ERECHIM"/>
    <s v="RS"/>
    <s v="Base de empresas Leads2b"/>
    <s v=""/>
    <s v=""/>
    <s v=""/>
    <s v="Pipeline de Vendas"/>
    <s v="Em Fechamento (100%)"/>
    <s v=""/>
    <m/>
    <n v="16960"/>
    <n v="2455"/>
    <n v="64"/>
    <s v="Junior Lopes"/>
    <d v="2025-07-23T00:00:00"/>
    <d v="1899-12-30T12:05:00"/>
    <s v=""/>
    <s v="Ganho"/>
    <d v="2025-09-25T00:00:00"/>
    <d v="1899-12-30T14:58:22"/>
    <s v=""/>
    <s v=""/>
    <s v=""/>
    <x v="95"/>
    <s v=""/>
    <x v="105"/>
    <s v="18/08/2025"/>
    <m/>
    <m/>
    <s v=""/>
    <s v=""/>
    <s v=""/>
    <s v=""/>
    <n v="1"/>
  </r>
  <r>
    <x v="1"/>
    <n v="503"/>
    <m/>
    <n v="2433"/>
    <s v=""/>
    <s v=""/>
    <x v="212"/>
    <n v="46083438000181"/>
    <s v=""/>
    <s v="Adelmo Jeronimo"/>
    <s v="(81) 99252-2279"/>
    <s v=""/>
    <s v="adelmoo.jeronimo@gmail.com"/>
    <s v=""/>
    <s v=""/>
    <s v=""/>
    <s v=""/>
    <s v=""/>
    <s v="Base de empresas Leads2b"/>
    <s v=""/>
    <s v=""/>
    <s v=""/>
    <s v="Pipeline de Vendas"/>
    <s v="Apresentar Solução (35%)"/>
    <s v=""/>
    <m/>
    <n v="16960"/>
    <n v="998"/>
    <n v="29"/>
    <s v="Junior Lopes"/>
    <d v="2025-07-30T00:00:00"/>
    <d v="1899-12-30T11:50:21"/>
    <s v=""/>
    <s v="Perdido"/>
    <d v="2025-08-28T00:00:00"/>
    <d v="1899-12-30T16:43:54"/>
    <s v="Projeto adiado / sem prazo definido"/>
    <s v="após vários contatos não obtivemos retorno"/>
    <s v=""/>
    <x v="96"/>
    <s v=""/>
    <x v="106"/>
    <s v=""/>
    <m/>
    <m/>
    <s v=""/>
    <s v=""/>
    <s v=""/>
    <s v=""/>
    <n v="1"/>
  </r>
  <r>
    <x v="1"/>
    <n v="504"/>
    <m/>
    <n v="2434"/>
    <s v=""/>
    <s v=""/>
    <x v="213"/>
    <n v="8306975000154"/>
    <s v=""/>
    <s v="Fuzipar (ERP)"/>
    <s v="5499823395"/>
    <s v=""/>
    <s v=""/>
    <s v=""/>
    <s v=""/>
    <s v=""/>
    <s v="ERECHIM"/>
    <s v="RS"/>
    <s v=""/>
    <s v=""/>
    <s v=""/>
    <s v="50%"/>
    <s v="Pipeline de Vendas"/>
    <s v="Em negociação (75%)"/>
    <s v=""/>
    <m/>
    <n v="87344"/>
    <n v="514788"/>
    <n v="41"/>
    <s v="Junior Lopes"/>
    <d v="2025-07-30T00:00:00"/>
    <d v="1899-12-30T15:13:04"/>
    <s v=""/>
    <s v="Perdido"/>
    <d v="2025-09-09T00:00:00"/>
    <d v="1899-12-30T15:35:44"/>
    <s v="Não quer mudar a solução atual"/>
    <s v="cliente vai seguir somente com força de vendas"/>
    <s v=""/>
    <x v="97"/>
    <s v=""/>
    <x v="0"/>
    <s v=""/>
    <m/>
    <m/>
    <s v=""/>
    <s v=""/>
    <s v=""/>
    <s v=""/>
    <n v="1"/>
  </r>
  <r>
    <x v="1"/>
    <n v="505"/>
    <m/>
    <n v="2436"/>
    <s v=""/>
    <s v=""/>
    <x v="214"/>
    <n v="8306975000154"/>
    <s v=""/>
    <s v="Fuzipar (Cloud)"/>
    <s v="5499823395"/>
    <s v=""/>
    <s v=""/>
    <s v=""/>
    <s v=""/>
    <s v=""/>
    <s v="ERECHIM"/>
    <s v="RS"/>
    <s v=""/>
    <s v=""/>
    <s v=""/>
    <s v=""/>
    <s v="Pipeline de Vendas"/>
    <s v="Apresentar Solução (35%)"/>
    <s v=""/>
    <m/>
    <n v="1600"/>
    <n v="334556"/>
    <n v="30"/>
    <s v="Junior Lopes"/>
    <d v="2025-07-30T00:00:00"/>
    <d v="1899-12-30T16:07:10"/>
    <s v=""/>
    <s v="Perdido"/>
    <d v="2025-08-29T00:00:00"/>
    <d v="1899-12-30T15:49:29"/>
    <s v="Não quer mudar a solução atual"/>
    <s v="vai seguir somente com força de vendas"/>
    <s v=""/>
    <x v="96"/>
    <s v=""/>
    <x v="0"/>
    <s v=""/>
    <m/>
    <m/>
    <s v=""/>
    <s v=""/>
    <s v=""/>
    <s v=""/>
    <n v="1"/>
  </r>
  <r>
    <x v="1"/>
    <n v="506"/>
    <m/>
    <n v="2439"/>
    <s v=""/>
    <s v=""/>
    <x v="215"/>
    <n v="30924882000142"/>
    <s v=""/>
    <s v="PEDRO DE ROZENDO PACO DA SILVEIRA"/>
    <s v=""/>
    <s v=""/>
    <s v="pedro@grupoecoa.com.br"/>
    <s v=""/>
    <s v=""/>
    <s v=""/>
    <s v=""/>
    <s v=""/>
    <s v="Base de empresas Leads2b"/>
    <s v=""/>
    <s v=""/>
    <s v="90%"/>
    <s v="Pipeline de Vendas"/>
    <s v="Em Fechamento (100%)"/>
    <s v=""/>
    <m/>
    <n v="72240"/>
    <n v="2167539"/>
    <n v="56"/>
    <s v="Junior Lopes"/>
    <d v="2025-07-30T00:00:00"/>
    <d v="1899-12-30T16:26:43"/>
    <s v=""/>
    <s v="Perdido"/>
    <d v="2025-09-24T00:00:00"/>
    <d v="1899-12-30T09:34:51"/>
    <s v="Não quer mudar a solução atual"/>
    <s v="Pedro não responde mais aos contatos"/>
    <s v=""/>
    <x v="96"/>
    <s v=""/>
    <x v="0"/>
    <s v=""/>
    <m/>
    <m/>
    <s v=""/>
    <s v=""/>
    <s v=""/>
    <s v=""/>
    <n v="1"/>
  </r>
  <r>
    <x v="1"/>
    <n v="507"/>
    <m/>
    <n v="2440"/>
    <s v=""/>
    <s v=""/>
    <x v="216"/>
    <n v="30924882000142"/>
    <s v=""/>
    <s v="Grupo Ecoa"/>
    <s v="11987154112"/>
    <s v=""/>
    <s v="pedro@grupoecoa.com"/>
    <s v=""/>
    <s v=""/>
    <s v=""/>
    <s v="DUQUE DE CAXIAS"/>
    <s v="RJ"/>
    <s v=""/>
    <s v=""/>
    <s v=""/>
    <s v="80%"/>
    <s v="Pipeline de Vendas"/>
    <s v="Em Fechamento (100%)"/>
    <s v=""/>
    <m/>
    <n v="1620001"/>
    <n v="2900"/>
    <n v="56"/>
    <s v="Junior Lopes"/>
    <d v="2025-07-30T00:00:00"/>
    <d v="1899-12-30T17:20:05"/>
    <s v=""/>
    <s v="Perdido"/>
    <d v="2025-09-24T00:00:00"/>
    <d v="1899-12-30T09:17:39"/>
    <s v="Não quer mudar a solução atual"/>
    <s v="Pedro não responde mais os contatos"/>
    <s v=""/>
    <x v="96"/>
    <s v=""/>
    <x v="0"/>
    <s v=""/>
    <m/>
    <m/>
    <s v=""/>
    <s v=""/>
    <s v=""/>
    <s v=""/>
    <n v="1"/>
  </r>
  <r>
    <x v="1"/>
    <n v="508"/>
    <m/>
    <n v="2442"/>
    <s v=""/>
    <s v=""/>
    <x v="217"/>
    <m/>
    <s v=""/>
    <s v="Vitoria cortinas"/>
    <s v="35993445286"/>
    <s v=""/>
    <s v="compras@vitoriacortinasdecoracoes.com.br"/>
    <s v=""/>
    <s v=""/>
    <s v=""/>
    <s v=""/>
    <s v=""/>
    <s v=""/>
    <s v=""/>
    <s v=""/>
    <s v=""/>
    <s v="Pipeline de Vendas"/>
    <s v="Em Fechamento (100%)"/>
    <s v=""/>
    <m/>
    <n v="62169"/>
    <n v="0"/>
    <n v="53"/>
    <s v="Junior Lopes"/>
    <d v="2025-07-31T00:00:00"/>
    <d v="1899-12-30T09:07:55"/>
    <s v=""/>
    <s v="Ganho"/>
    <d v="2025-09-22T00:00:00"/>
    <d v="1899-12-30T10:43:58"/>
    <s v=""/>
    <s v=""/>
    <s v=""/>
    <x v="98"/>
    <s v=""/>
    <x v="107"/>
    <s v=""/>
    <m/>
    <m/>
    <s v=""/>
    <s v=""/>
    <s v=""/>
    <s v=""/>
    <n v="1"/>
  </r>
  <r>
    <x v="1"/>
    <n v="509"/>
    <m/>
    <n v="2443"/>
    <s v=""/>
    <s v="Maxsoy Alimentos Ltda"/>
    <x v="218"/>
    <n v="6346005000157"/>
    <s v=""/>
    <s v="Maxsoy Alimentos Ltda"/>
    <s v="(19) 3809-5454"/>
    <s v=""/>
    <s v="vendas@maxsoy.com.br"/>
    <s v=""/>
    <s v=""/>
    <s v=""/>
    <s v="HORTOLANDIA"/>
    <s v="SP"/>
    <s v="Base de empresas Leads2b"/>
    <s v=""/>
    <s v=""/>
    <s v=""/>
    <s v="Pipeline de Vendas"/>
    <s v="Apresentar Solução (35%)"/>
    <s v=""/>
    <m/>
    <n v="16960"/>
    <n v="67275"/>
    <n v="28"/>
    <s v="Junior Lopes"/>
    <d v="2025-07-31T00:00:00"/>
    <d v="1899-12-30T11:57:17"/>
    <s v=""/>
    <s v="Perdido"/>
    <d v="2025-08-28T00:00:00"/>
    <d v="1899-12-30T16:25:26"/>
    <s v="Preço muito alto - fora do budget de investimento"/>
    <s v="cliente não quer dar sequencia no momento por conta do valor"/>
    <s v=""/>
    <x v="99"/>
    <s v=""/>
    <x v="108"/>
    <s v="01/08/2025"/>
    <m/>
    <m/>
    <s v=""/>
    <s v=""/>
    <s v=""/>
    <s v=""/>
    <n v="1"/>
  </r>
  <r>
    <x v="1"/>
    <n v="510"/>
    <m/>
    <n v="2446"/>
    <s v=""/>
    <s v="Brinquemix Industria E Comercio Ltda"/>
    <x v="219"/>
    <n v="60315995000101"/>
    <s v=""/>
    <s v="Brinquemix Industria E Comercio Ltda"/>
    <s v="(11) 4116-5272"/>
    <s v=""/>
    <s v="fiscal@codepcontabilidade.com.br"/>
    <s v=""/>
    <s v=""/>
    <s v=""/>
    <s v="ITAQUAQUECETUBA"/>
    <s v="SP"/>
    <s v="Base de empresas Leads2b"/>
    <s v=""/>
    <s v=""/>
    <s v=""/>
    <s v="Pipeline de Vendas"/>
    <s v="Apresentar Solução (35%)"/>
    <s v=""/>
    <m/>
    <n v="94976"/>
    <n v="566152"/>
    <n v="29"/>
    <s v="Junior Lopes"/>
    <d v="2025-07-31T00:00:00"/>
    <d v="1899-12-30T17:09:31"/>
    <s v=""/>
    <s v="Perdido"/>
    <d v="2025-08-29T00:00:00"/>
    <d v="1899-12-30T11:05:45"/>
    <s v="Projeto adiado / sem prazo definido"/>
    <s v="16:26, 28/8/2025 Junior Lopes: Olá Simone, boa tarde_x000a_17:06, 28/8/2025 Simone Brinquemix : Olá Dra_x000a_17:06, 28/8/2025 Simone Brinquemix : Olá_x000a_11:03, 29/8/2025 Junior Lopes: Olá Simone ! Como não tive retorno de sua parte, vou encerrar este atendimento! _x000a_Caso mude de ideia ou precise de algo no futuro pode me chamar por aqui _x000a_Estimo sucesso para vocês 🤝"/>
    <s v=""/>
    <x v="100"/>
    <s v=""/>
    <x v="109"/>
    <s v="05/08/2025"/>
    <m/>
    <m/>
    <s v=""/>
    <s v=""/>
    <s v=""/>
    <s v=""/>
    <n v="1"/>
  </r>
  <r>
    <x v="0"/>
    <n v="516"/>
    <m/>
    <n v="2454"/>
    <s v=""/>
    <s v=""/>
    <x v="220"/>
    <n v="72677693000162"/>
    <s v=""/>
    <s v="Milene Fonseca"/>
    <s v="(11) 2431-1432"/>
    <s v=""/>
    <s v="compras@tapetesoasis.com.br"/>
    <s v=""/>
    <s v=""/>
    <s v=""/>
    <s v="Campinas"/>
    <s v=""/>
    <s v="Site"/>
    <s v=""/>
    <s v=""/>
    <s v="Solicita demo"/>
    <s v="Pipeline de Vendas"/>
    <s v="Em negociação (75%)"/>
    <s v=""/>
    <m/>
    <m/>
    <m/>
    <n v="53"/>
    <s v="Paulo Souza"/>
    <d v="2025-08-07T00:00:00"/>
    <d v="1899-12-30T12:08:11"/>
    <s v=""/>
    <s v="Perdido"/>
    <d v="2025-09-29T00:00:00"/>
    <d v="1899-12-30T16:35:41"/>
    <s v="Projeto adiado / sem prazo definido"/>
    <s v=""/>
    <s v=""/>
    <x v="0"/>
    <s v="Paulo Souza"/>
    <x v="110"/>
    <s v=""/>
    <m/>
    <m/>
    <s v=""/>
    <s v=""/>
    <s v=""/>
    <s v=""/>
    <n v="1"/>
  </r>
  <r>
    <x v="0"/>
    <n v="517"/>
    <m/>
    <n v="2453"/>
    <s v=""/>
    <s v=""/>
    <x v="221"/>
    <n v="38470026000176"/>
    <s v=""/>
    <s v="Matheus Ambrosi"/>
    <s v="(51) 99658-9275"/>
    <s v=""/>
    <s v="matheus.ambrosi@sanremo.com.br"/>
    <s v=""/>
    <s v=""/>
    <s v=""/>
    <s v="São Paulo"/>
    <s v=""/>
    <s v="Site"/>
    <s v=""/>
    <s v=""/>
    <s v=""/>
    <s v="Pipeline de Vendas"/>
    <s v="Qualificação de Vendas (SQL) (25%)"/>
    <s v=""/>
    <m/>
    <m/>
    <m/>
    <n v="53"/>
    <s v="Paulo Souza"/>
    <d v="2025-08-07T00:00:00"/>
    <d v="1899-12-30T12:08:57"/>
    <s v=""/>
    <s v="Perdido"/>
    <d v="2025-09-29T00:00:00"/>
    <d v="1899-12-30T16:37:57"/>
    <s v="Projeto adiado / sem prazo definido"/>
    <s v=""/>
    <s v=""/>
    <x v="0"/>
    <s v="Paulo Souza"/>
    <x v="0"/>
    <s v=""/>
    <m/>
    <m/>
    <s v=""/>
    <s v=""/>
    <s v=""/>
    <s v=""/>
    <n v="1"/>
  </r>
  <r>
    <x v="0"/>
    <n v="518"/>
    <m/>
    <n v="2456"/>
    <s v="Falei hoje com o Gomes consultor Totvs da empresa Oyshi e o mesmo que agendar uma reunião técnica de alinhamento para integrar o AFV com Protheus._x000a_19-01; Após nossa reunião na sexta-feira para alinhar sobre a integração, o Gomes ficou de providências uma agenda com o Rodrigo para fechar a negociação._x000a_22/01 - Cobrei novamente o Evandro para ele me posicionar se conseguiu falar com o Rodrigo para avançar com o contrato e fechamento e assim dar sequencias no projeto. Ele falou que estava envolvido em tarefas adicionais e isso atrasou a conversa que vai ocorrer na próxima semana._x000a_26/02 Fiz FUP com o Evandro hoje perguntando uma posição, no aguardo. Já falei com a Isabella diretor comercial, e até agora nada de retorno._x000a_12/03 Fiz FUP com o Evandro e ele falou que a decisão para seguir ou não vai ser tomada na próxima sexta-feira 13/03._x000a_23/03 Falei com a Isabella a mesma me avisou que semana que vem vai"/>
    <s v=""/>
    <x v="222"/>
    <n v="30340720000167"/>
    <s v=""/>
    <s v="Rodrigo"/>
    <s v="4491813443"/>
    <s v=""/>
    <s v="rodrigo.fongari@oyshi.com.br"/>
    <s v=""/>
    <s v=""/>
    <s v=""/>
    <s v=""/>
    <s v=""/>
    <s v="Outbound"/>
    <s v=""/>
    <s v=""/>
    <s v="80%"/>
    <s v="Pipeline de Vendas"/>
    <s v="Em Fechamento (100%)"/>
    <s v=""/>
    <d v="2026-03-31T00:00:00"/>
    <n v="27340"/>
    <n v="32992"/>
    <n v="246"/>
    <s v="Paulo Souza"/>
    <d v="2025-08-07T00:00:00"/>
    <d v="1899-12-30T13:57:39"/>
    <s v=""/>
    <s v="Perdido"/>
    <d v="2026-04-10T00:00:00"/>
    <d v="1899-12-30T16:56:59"/>
    <s v="Projeto adiado / sem prazo definido"/>
    <s v=""/>
    <s v=""/>
    <x v="101"/>
    <s v="Paulo Souza"/>
    <x v="111"/>
    <s v=""/>
    <d v="2026-04-10T00:00:00"/>
    <n v="90"/>
    <s v="80"/>
    <s v="AFV, BI"/>
    <s v="R$ 16.000"/>
    <s v="R$ 1.558"/>
    <n v="1"/>
  </r>
  <r>
    <x v="0"/>
    <n v="519"/>
    <m/>
    <n v="2457"/>
    <s v=""/>
    <s v=""/>
    <x v="223"/>
    <m/>
    <s v=""/>
    <s v="Fernanda"/>
    <s v="11997633759"/>
    <s v=""/>
    <s v="fernanda@jlkplasticos.com"/>
    <s v=""/>
    <s v=""/>
    <s v=""/>
    <s v=""/>
    <s v=""/>
    <s v=""/>
    <s v=""/>
    <s v=""/>
    <s v=""/>
    <s v="Pipeline de Vendas"/>
    <s v="Em negociação (75%)"/>
    <s v=""/>
    <m/>
    <m/>
    <m/>
    <n v="34"/>
    <s v="Paulo Souza"/>
    <d v="2025-08-07T00:00:00"/>
    <d v="1899-12-30T14:05:56"/>
    <s v=""/>
    <s v="Perdido"/>
    <d v="2025-09-10T00:00:00"/>
    <d v="1899-12-30T16:14:07"/>
    <s v="Preço muito alto - fora do budget de investimento"/>
    <s v=""/>
    <s v=""/>
    <x v="99"/>
    <s v="Paulo Souza"/>
    <x v="110"/>
    <s v=""/>
    <m/>
    <m/>
    <s v=""/>
    <s v=""/>
    <s v=""/>
    <s v=""/>
    <n v="1"/>
  </r>
  <r>
    <x v="0"/>
    <n v="521"/>
    <m/>
    <n v="2459"/>
    <s v=""/>
    <s v=""/>
    <x v="224"/>
    <n v="7380599000428"/>
    <s v=""/>
    <s v="Raymond"/>
    <s v="11982685555"/>
    <s v=""/>
    <s v="raymond@deltaimport.com.br"/>
    <s v=""/>
    <s v=""/>
    <s v=""/>
    <s v=""/>
    <s v=""/>
    <s v=""/>
    <s v=""/>
    <s v=""/>
    <s v=""/>
    <s v="Pipeline de Vendas"/>
    <s v="Em Fechamento (100%)"/>
    <s v=""/>
    <m/>
    <n v="55500"/>
    <n v="53662"/>
    <n v="17"/>
    <s v="Paulo Souza"/>
    <d v="2025-08-08T00:00:00"/>
    <d v="1899-12-30T11:45:56"/>
    <s v=""/>
    <s v="Ganho"/>
    <d v="2025-08-25T00:00:00"/>
    <d v="1899-12-30T14:26:43"/>
    <s v=""/>
    <s v=""/>
    <s v=""/>
    <x v="102"/>
    <s v="Paulo Souza"/>
    <x v="112"/>
    <s v=""/>
    <m/>
    <m/>
    <s v=""/>
    <s v=""/>
    <s v=""/>
    <s v=""/>
    <n v="1"/>
  </r>
  <r>
    <x v="2"/>
    <n v="531"/>
    <m/>
    <n v="2475"/>
    <s v=""/>
    <s v=""/>
    <x v="225"/>
    <n v="19733550000148"/>
    <s v=""/>
    <s v="Naiara"/>
    <s v="(19) 3496-7474 / (19) 3885-1725"/>
    <s v=""/>
    <s v="renatapalace@impal.ind.br"/>
    <s v=""/>
    <s v=""/>
    <s v=""/>
    <s v="RAFARD"/>
    <s v="SP"/>
    <s v=""/>
    <s v=""/>
    <s v=""/>
    <s v=""/>
    <s v="Pipeline de Vendas"/>
    <s v="Em negociação (75%)"/>
    <s v=""/>
    <m/>
    <n v="84420"/>
    <n v="4137"/>
    <n v="34"/>
    <s v="Rayssa Karapeticov"/>
    <d v="2025-08-20T00:00:00"/>
    <d v="1899-12-30T09:16:59"/>
    <s v=""/>
    <s v="Perdido"/>
    <d v="2025-09-23T00:00:00"/>
    <d v="1899-12-30T11:10:15"/>
    <s v="Preço muito alto - fora do budget de investimento"/>
    <s v=""/>
    <s v=""/>
    <x v="103"/>
    <s v=""/>
    <x v="113"/>
    <s v=""/>
    <m/>
    <m/>
    <s v=""/>
    <s v=""/>
    <s v=""/>
    <s v=""/>
    <n v="1"/>
  </r>
  <r>
    <x v="1"/>
    <n v="532"/>
    <m/>
    <n v="2478"/>
    <s v=""/>
    <s v="Distribuidora Tropical Aromas Ltda"/>
    <x v="226"/>
    <n v="12902777000120"/>
    <s v=""/>
    <s v="Distribuidora Tropical Aromas Ltda"/>
    <s v="(13) 3329-5855"/>
    <s v=""/>
    <s v="contato@keurequimica.com.br"/>
    <s v=""/>
    <s v=""/>
    <s v=""/>
    <s v="ITAQUAQUECETUBA"/>
    <s v="SP"/>
    <s v="Base de empresas Leads2b"/>
    <s v=""/>
    <s v=""/>
    <s v=""/>
    <s v="Pipeline de Vendas"/>
    <s v="Apresentar Solução (35%)"/>
    <s v=""/>
    <m/>
    <n v="16960"/>
    <n v="4910"/>
    <n v="69"/>
    <s v="Junior Lopes"/>
    <d v="2025-08-20T00:00:00"/>
    <d v="1899-12-30T09:53:51"/>
    <s v=""/>
    <s v="Perdido"/>
    <d v="2025-10-28T00:00:00"/>
    <d v="1899-12-30T10:23:56"/>
    <s v="Projeto adiado / sem prazo definido"/>
    <s v="Voltar contato em Janeiro 2026"/>
    <s v=""/>
    <x v="95"/>
    <s v=""/>
    <x v="114"/>
    <s v=""/>
    <m/>
    <m/>
    <s v=""/>
    <s v=""/>
    <s v=""/>
    <s v=""/>
    <n v="1"/>
  </r>
  <r>
    <x v="1"/>
    <n v="534"/>
    <m/>
    <n v="2481"/>
    <s v=""/>
    <s v="Usual Plastic - Utilidade Domestica E Comercio Ltda"/>
    <x v="227"/>
    <n v="12589391000291"/>
    <s v=""/>
    <s v="Usual Plastic - Utilidade Domestica E Comercio Ltda"/>
    <s v="(15) 3283-3659"/>
    <s v=""/>
    <s v="adm@usualutilidades.com.br"/>
    <s v=""/>
    <s v=""/>
    <s v=""/>
    <s v="CESARIO LANGE"/>
    <s v="SP"/>
    <s v="Base de empresas Leads2b"/>
    <s v=""/>
    <s v=""/>
    <s v="30%;50%"/>
    <s v="Pipeline de Vendas"/>
    <s v="Apresentar Solução (35%)"/>
    <s v=""/>
    <m/>
    <n v="16960"/>
    <n v="56568"/>
    <n v="20"/>
    <s v="Junior Lopes"/>
    <d v="2025-08-20T00:00:00"/>
    <d v="1899-12-30T09:59:57"/>
    <s v=""/>
    <s v="Perdido"/>
    <d v="2025-09-09T00:00:00"/>
    <d v="1899-12-30T15:34:30"/>
    <s v="Não quer mudar a solução atual"/>
    <s v="Gustavo conversou com os sócios e decidiu por não trocar de software no momento"/>
    <s v=""/>
    <x v="104"/>
    <s v=""/>
    <x v="115"/>
    <s v=""/>
    <m/>
    <m/>
    <s v=""/>
    <s v=""/>
    <s v=""/>
    <s v=""/>
    <n v="1"/>
  </r>
  <r>
    <x v="1"/>
    <n v="537"/>
    <m/>
    <n v="2486"/>
    <s v="O projeto já está fechado; porém, devido ao fim de ano e à alta demanda interna do cliente, a assinatura do contrato foi adiada. O cliente preferiu formalizar tudo na primeira semana de janeiro, com assinatura prevista para 05/01/2026."/>
    <s v=""/>
    <x v="228"/>
    <n v="4049280000183"/>
    <s v=""/>
    <s v="AmilPlast indústria"/>
    <s v="11973107041"/>
    <s v=""/>
    <s v="amilplast@amilplastt.com.br"/>
    <s v=""/>
    <s v=""/>
    <s v=""/>
    <s v="GUARULHOS"/>
    <s v="SP"/>
    <s v=""/>
    <s v=""/>
    <s v=""/>
    <s v="90%"/>
    <s v="Pipeline de Vendas"/>
    <s v="Em Fechamento (100%)"/>
    <s v=""/>
    <d v="2026-01-16T00:00:00"/>
    <n v="51300"/>
    <n v="17345"/>
    <n v="160"/>
    <s v="Junior Lopes"/>
    <d v="2025-08-20T00:00:00"/>
    <d v="1899-12-30T10:42:44"/>
    <s v=""/>
    <s v="Ganho"/>
    <d v="2026-01-27T00:00:00"/>
    <d v="1899-12-30T17:02:07"/>
    <s v=""/>
    <s v=""/>
    <s v="21/10/2025"/>
    <x v="105"/>
    <s v="Junior Lopes"/>
    <x v="116"/>
    <s v=""/>
    <d v="2026-01-06T00:00:00"/>
    <m/>
    <s v=""/>
    <s v=""/>
    <s v=""/>
    <s v=""/>
    <n v="1"/>
  </r>
  <r>
    <x v="1"/>
    <n v="539"/>
    <m/>
    <n v="2490"/>
    <s v=""/>
    <s v="Pracaza Decor Comercio Importacao E Exportacao De Artigos Para Decoracao Ltda."/>
    <x v="229"/>
    <n v="39679781000128"/>
    <s v=""/>
    <s v="Pracaza Decor Comercio Importacao E Exportacao De Artigos Para Decoracao Ltda."/>
    <s v="(11) 4395-7650"/>
    <s v=""/>
    <s v="contato@acrosscontabil.com.br"/>
    <s v=""/>
    <s v=""/>
    <s v=""/>
    <s v="SAO PAULO"/>
    <s v="SP"/>
    <s v="Base de empresas Leads2b"/>
    <s v=""/>
    <s v=""/>
    <s v=""/>
    <s v="Pipeline de Vendas"/>
    <s v="Apresentar Solução (35%)"/>
    <s v=""/>
    <m/>
    <n v="67840"/>
    <n v="13781"/>
    <n v="69"/>
    <s v="Junior Lopes"/>
    <d v="2025-08-20T00:00:00"/>
    <d v="1899-12-30T11:16:16"/>
    <s v=""/>
    <s v="Perdido"/>
    <d v="2025-10-28T00:00:00"/>
    <d v="1899-12-30T10:24:21"/>
    <s v="Não quer mudar a solução atual"/>
    <s v="sem retorno"/>
    <s v=""/>
    <x v="106"/>
    <s v=""/>
    <x v="0"/>
    <s v=""/>
    <m/>
    <m/>
    <s v=""/>
    <s v=""/>
    <s v=""/>
    <s v=""/>
    <n v="1"/>
  </r>
  <r>
    <x v="1"/>
    <n v="540"/>
    <m/>
    <n v="2493"/>
    <s v=""/>
    <s v="Aluminio Marcolar Ltda"/>
    <x v="230"/>
    <n v="43066372000204"/>
    <s v=""/>
    <s v="Aluminio Marcolar Ltda"/>
    <s v="(11) 2067-1299"/>
    <s v=""/>
    <s v="sac@marcolar.com.br"/>
    <s v=""/>
    <s v=""/>
    <s v=""/>
    <s v="RIBEIRAO PIRES"/>
    <s v="SP"/>
    <s v="Base de empresas Leads2b"/>
    <s v=""/>
    <s v=""/>
    <s v=""/>
    <s v="Pipeline de Vendas"/>
    <s v="Apresentar Solução (35%)"/>
    <s v=""/>
    <m/>
    <n v="16960"/>
    <n v="37712"/>
    <n v="71"/>
    <s v="Junior Lopes"/>
    <d v="2025-08-20T00:00:00"/>
    <d v="1899-12-30T11:29:31"/>
    <s v=""/>
    <s v="Perdido"/>
    <d v="2025-10-30T00:00:00"/>
    <d v="1899-12-30T10:08:50"/>
    <s v="Projeto adiado / sem prazo definido"/>
    <s v="Rogerio pediu para aguardar um pouco mais"/>
    <s v=""/>
    <x v="107"/>
    <s v=""/>
    <x v="117"/>
    <s v=""/>
    <m/>
    <m/>
    <s v=""/>
    <s v=""/>
    <s v=""/>
    <s v=""/>
    <n v="1"/>
  </r>
  <r>
    <x v="1"/>
    <n v="542"/>
    <m/>
    <n v="2496"/>
    <s v=""/>
    <s v=""/>
    <x v="231"/>
    <n v="1715468000125"/>
    <s v=""/>
    <s v="Off Paper"/>
    <s v="35984074473"/>
    <s v=""/>
    <s v="jessica@papeisoffpaper.com.br"/>
    <s v=""/>
    <s v=""/>
    <s v=""/>
    <s v="LAMBARI"/>
    <s v="MG"/>
    <s v=""/>
    <s v=""/>
    <s v=""/>
    <s v="30%"/>
    <s v="Pipeline de Vendas"/>
    <s v="Apresentar Proposta (50%)"/>
    <s v=""/>
    <m/>
    <n v="212"/>
    <n v="69045"/>
    <n v="41"/>
    <s v="Junior Lopes"/>
    <d v="2025-08-21T00:00:00"/>
    <d v="1899-12-30T09:33:37"/>
    <s v=""/>
    <s v="Perdido"/>
    <d v="2025-10-01T00:00:00"/>
    <d v="1899-12-30T15:59:20"/>
    <s v="Fechou com o concorrente - preço"/>
    <s v="fechou sem mesmo falar com Guarani"/>
    <s v=""/>
    <x v="106"/>
    <s v=""/>
    <x v="115"/>
    <s v="22/08/2025"/>
    <m/>
    <m/>
    <s v=""/>
    <s v=""/>
    <s v=""/>
    <s v=""/>
    <n v="1"/>
  </r>
  <r>
    <x v="0"/>
    <n v="545"/>
    <m/>
    <n v="2464"/>
    <s v=""/>
    <s v=""/>
    <x v="232"/>
    <m/>
    <s v=""/>
    <s v="Carlos"/>
    <s v="(11) 91852-0852"/>
    <s v=""/>
    <s v="cpedro@shinyt.com.br"/>
    <s v=""/>
    <s v=""/>
    <s v=""/>
    <s v="São Paulo"/>
    <s v=""/>
    <s v="Site"/>
    <s v=""/>
    <s v=""/>
    <s v=""/>
    <s v="Pipeline de Vendas"/>
    <s v="Apresentar Proposta (50%)"/>
    <s v=""/>
    <m/>
    <n v="47500"/>
    <n v="28571"/>
    <n v="3"/>
    <s v="Paulo Souza"/>
    <d v="2025-08-22T00:00:00"/>
    <d v="1899-12-30T16:30:14"/>
    <s v=""/>
    <s v="Perdido"/>
    <d v="2025-08-25T00:00:00"/>
    <d v="1899-12-30T14:44:29"/>
    <s v="Preço muito alto - fora do budget de investimento"/>
    <s v=""/>
    <s v=""/>
    <x v="99"/>
    <s v="Paulo Souza"/>
    <x v="113"/>
    <s v=""/>
    <m/>
    <m/>
    <s v=""/>
    <s v=""/>
    <s v=""/>
    <s v=""/>
    <n v="1"/>
  </r>
  <r>
    <x v="0"/>
    <n v="546"/>
    <m/>
    <n v="2463"/>
    <s v=""/>
    <s v=""/>
    <x v="233"/>
    <n v="27616615000101"/>
    <s v=""/>
    <s v="Raquel"/>
    <s v="(47) 99227-7535"/>
    <s v=""/>
    <s v="comercial@dgbcomex.com.br"/>
    <s v=""/>
    <s v=""/>
    <s v=""/>
    <s v="Santa Bárbara d'Oeste"/>
    <s v=""/>
    <s v="Site"/>
    <s v=""/>
    <s v=""/>
    <s v="Contato"/>
    <s v="Pipeline de Vendas"/>
    <s v="Em negociação (75%)"/>
    <s v=""/>
    <m/>
    <n v="56000"/>
    <n v="340834"/>
    <n v="38"/>
    <s v="Paulo Souza"/>
    <d v="2025-08-22T00:00:00"/>
    <d v="1899-12-30T16:30:46"/>
    <s v=""/>
    <s v="Perdido"/>
    <d v="2025-09-29T00:00:00"/>
    <d v="1899-12-30T16:42:31"/>
    <s v="Projeto adiado / sem prazo definido"/>
    <s v=""/>
    <s v=""/>
    <x v="108"/>
    <s v="Paulo Souza"/>
    <x v="118"/>
    <s v=""/>
    <m/>
    <m/>
    <s v=""/>
    <s v=""/>
    <s v=""/>
    <s v=""/>
    <n v="1"/>
  </r>
  <r>
    <x v="0"/>
    <n v="550"/>
    <m/>
    <n v="2506"/>
    <s v=""/>
    <s v=""/>
    <x v="234"/>
    <n v="7225431000103"/>
    <s v=""/>
    <s v="Ezequiel"/>
    <s v="49999523158"/>
    <s v=""/>
    <s v="adm@duarteestofaria.com.br"/>
    <s v=""/>
    <s v=""/>
    <s v=""/>
    <s v=""/>
    <s v=""/>
    <s v=""/>
    <s v=""/>
    <s v=""/>
    <s v=""/>
    <s v="Pipeline de Vendas"/>
    <s v="Em negociação (75%)"/>
    <s v=""/>
    <m/>
    <n v="519984"/>
    <n v="15378"/>
    <n v="0"/>
    <s v="Paulo Souza"/>
    <d v="2025-08-25T00:00:00"/>
    <d v="1899-12-30T14:30:34"/>
    <s v=""/>
    <s v="Perdido"/>
    <d v="2025-08-25T00:00:00"/>
    <d v="1899-12-30T14:33:38"/>
    <s v="Preço muito alto - fora do budget de investimento"/>
    <s v=""/>
    <s v=""/>
    <x v="109"/>
    <s v="Paulo Souza"/>
    <x v="119"/>
    <s v=""/>
    <m/>
    <m/>
    <s v=""/>
    <s v=""/>
    <s v=""/>
    <s v=""/>
    <n v="1"/>
  </r>
  <r>
    <x v="0"/>
    <n v="552"/>
    <m/>
    <n v="2508"/>
    <s v="Falei hoje 09/01/2026 com Helton e questionei ele sobre a sequência ou não do projeto sistema._x000a_Esta oportunidade encontra-se pausado durante 2026._x000a_22/01 - Retorno do Helton:  Paulo, bom dia! Peço desculpas pelo atraso na resposta. Desejo um ótimo 2026 para você também! _x000a_Analisamos as opções para uma possível troca, mas infelizmente não obtivemos a adesão esperada. Portanto, por enquanto, vamos manter o ERP atual."/>
    <s v=""/>
    <x v="235"/>
    <n v="17739326000138"/>
    <s v=""/>
    <s v="Helton"/>
    <s v="1633347333"/>
    <s v=""/>
    <s v="helton@ramos.com.br"/>
    <s v=""/>
    <s v=""/>
    <s v=""/>
    <s v=""/>
    <s v=""/>
    <s v=""/>
    <s v=""/>
    <s v=""/>
    <s v="30%"/>
    <s v="Pipeline de Vendas"/>
    <s v="Em negociação (75%)"/>
    <s v=""/>
    <d v="2026-01-22T00:00:00"/>
    <n v="15359994"/>
    <n v="924744"/>
    <n v="151"/>
    <s v="Paulo Souza"/>
    <d v="2025-08-25T00:00:00"/>
    <d v="1899-12-30T14:49:40"/>
    <s v=""/>
    <s v="Perdido"/>
    <d v="2026-01-23T00:00:00"/>
    <d v="1899-12-30T11:11:59"/>
    <s v="Não quer mudar a solução atual"/>
    <s v=""/>
    <s v=""/>
    <x v="110"/>
    <s v="Paulo Souza"/>
    <x v="120"/>
    <s v=""/>
    <d v="2026-01-22T00:00:00"/>
    <m/>
    <s v=""/>
    <s v=""/>
    <s v=""/>
    <s v=""/>
    <n v="1"/>
  </r>
  <r>
    <x v="0"/>
    <n v="553"/>
    <m/>
    <n v="2509"/>
    <s v=""/>
    <s v=""/>
    <x v="236"/>
    <m/>
    <s v=""/>
    <s v="Fabiana e Gilson"/>
    <s v="11950946784"/>
    <s v=""/>
    <s v="null"/>
    <s v=""/>
    <s v=""/>
    <s v=""/>
    <s v=""/>
    <s v=""/>
    <s v=""/>
    <s v=""/>
    <s v=""/>
    <s v=""/>
    <s v="Pipeline de Vendas"/>
    <s v="Em Fechamento (100%)"/>
    <s v=""/>
    <m/>
    <n v="9600"/>
    <n v="412064"/>
    <n v="84"/>
    <s v="Paulo Souza"/>
    <d v="2025-08-25T00:00:00"/>
    <d v="1899-12-30T14:58:26"/>
    <s v=""/>
    <s v="Ganho"/>
    <d v="2025-11-17T00:00:00"/>
    <d v="1899-12-30T15:27:00"/>
    <s v=""/>
    <s v=""/>
    <s v=""/>
    <x v="110"/>
    <s v="Paulo Souza"/>
    <x v="120"/>
    <s v=""/>
    <m/>
    <m/>
    <s v=""/>
    <s v=""/>
    <s v=""/>
    <s v=""/>
    <n v="1"/>
  </r>
  <r>
    <x v="1"/>
    <n v="557"/>
    <m/>
    <n v="2516"/>
    <s v=""/>
    <s v=""/>
    <x v="237"/>
    <n v="59716480000134"/>
    <s v=""/>
    <s v="Plastutti - Cloud"/>
    <s v="1146311986"/>
    <s v=""/>
    <s v="thiago@plasstutti.com.br"/>
    <s v=""/>
    <s v=""/>
    <s v=""/>
    <s v="DIADEMA"/>
    <s v="SP"/>
    <s v=""/>
    <s v=""/>
    <s v=""/>
    <s v=""/>
    <s v="Pipeline de Vendas"/>
    <s v="Apresentar Proposta (50%)"/>
    <s v=""/>
    <m/>
    <m/>
    <m/>
    <n v="0"/>
    <s v="Junior Lopes"/>
    <d v="2025-08-28T00:00:00"/>
    <d v="1899-12-30T16:54:42"/>
    <s v=""/>
    <s v="Perdido"/>
    <d v="2025-08-28T00:00:00"/>
    <d v="1899-12-30T17:00:14"/>
    <s v="Preço muito alto - fora do budget de investimento"/>
    <s v="achou valores acima"/>
    <s v=""/>
    <x v="111"/>
    <s v=""/>
    <x v="121"/>
    <s v=""/>
    <m/>
    <m/>
    <s v=""/>
    <s v=""/>
    <s v=""/>
    <s v=""/>
    <n v="1"/>
  </r>
  <r>
    <x v="1"/>
    <n v="558"/>
    <m/>
    <n v="2518"/>
    <s v=""/>
    <s v=""/>
    <x v="238"/>
    <n v="60315995000101"/>
    <s v=""/>
    <s v="Brinquemix - Cloud"/>
    <s v="11996823494"/>
    <s v=""/>
    <s v="simonee@brinquemix.com.br"/>
    <s v=""/>
    <s v=""/>
    <s v=""/>
    <s v="ITAQUAQUECETUBA"/>
    <s v="SP"/>
    <s v=""/>
    <s v=""/>
    <s v=""/>
    <s v=""/>
    <s v="Pipeline de Vendas"/>
    <s v="Apresentar Solução (35%)"/>
    <s v=""/>
    <m/>
    <n v="1600"/>
    <n v="323356"/>
    <n v="0"/>
    <s v="Junior Lopes"/>
    <d v="2025-08-29T00:00:00"/>
    <d v="1899-12-30T10:43:20"/>
    <s v=""/>
    <s v="Perdido"/>
    <d v="2025-08-29T00:00:00"/>
    <d v="1899-12-30T11:06:35"/>
    <s v="Projeto adiado / sem prazo definido"/>
    <s v="16:26, 28/8/2025 Junior Lopes: Olá Simone, boa tarde_x000a_17:06, 28/8/2025 Simone Brinquemix : Olá Dra_x000a_17:06, 28/8/2025 Simone Brinquemix : Olá_x000a_11:03, 29/8/2025 Junior Lopes: Olá Simone ! Como não tive retorno de sua parte, vou encerrar este atendimento! _x000a_Caso mude de ideia ou precise de algo no futuro pode me chamar por aqui _x000a_Estimo sucesso para vocês 🤝"/>
    <s v=""/>
    <x v="112"/>
    <s v=""/>
    <x v="109"/>
    <s v=""/>
    <m/>
    <m/>
    <s v=""/>
    <s v=""/>
    <s v=""/>
    <s v=""/>
    <n v="1"/>
  </r>
  <r>
    <x v="1"/>
    <n v="559"/>
    <n v="155"/>
    <m/>
    <s v=""/>
    <s v=""/>
    <x v="239"/>
    <n v="13609763000186"/>
    <s v="BAAG (Bahia Artes Gráficas)"/>
    <s v=""/>
    <s v=""/>
    <s v=""/>
    <s v="cleber@bahiagrafica.com.br"/>
    <s v=""/>
    <s v=""/>
    <s v=""/>
    <s v="Feira de Santana"/>
    <s v="BA"/>
    <s v=""/>
    <s v=""/>
    <s v=""/>
    <s v=""/>
    <s v="Pipeline de Vendas"/>
    <s v="Apresentar Solução (35%)"/>
    <s v=""/>
    <m/>
    <n v="16960"/>
    <n v="14256"/>
    <n v="32"/>
    <s v="Junior Lopes"/>
    <d v="2025-08-29T00:00:00"/>
    <d v="1899-12-30T15:55:01"/>
    <s v=""/>
    <s v="Perdido"/>
    <d v="2025-09-30T00:00:00"/>
    <d v="1899-12-30T16:26:43"/>
    <s v="Projeto adiado / sem prazo definido"/>
    <s v="em analise do consultor Munhoz, cliente não esta no momento  certo"/>
    <s v=""/>
    <x v="113"/>
    <s v=""/>
    <x v="0"/>
    <s v=""/>
    <m/>
    <m/>
    <s v=""/>
    <s v=""/>
    <s v=""/>
    <s v=""/>
    <n v="1"/>
  </r>
  <r>
    <x v="1"/>
    <n v="561"/>
    <m/>
    <n v="2523"/>
    <s v=""/>
    <s v=""/>
    <x v="240"/>
    <n v="4049280000183"/>
    <s v=""/>
    <s v="Amilplast - Cloud"/>
    <s v="11973107041"/>
    <s v=""/>
    <s v="amilplast@amilplastt.com.br"/>
    <s v=""/>
    <s v=""/>
    <s v=""/>
    <s v="GUARULHOS"/>
    <s v="SP"/>
    <s v=""/>
    <s v=""/>
    <s v=""/>
    <s v=""/>
    <s v="Pipeline de Vendas"/>
    <s v="Em Fechamento (100%)"/>
    <s v=""/>
    <m/>
    <n v="1600"/>
    <n v="390556"/>
    <n v="61"/>
    <s v="Junior Lopes"/>
    <d v="2025-08-29T00:00:00"/>
    <d v="1899-12-30T16:40:34"/>
    <s v=""/>
    <s v="Perdido"/>
    <d v="2025-10-29T00:00:00"/>
    <d v="1899-12-30T10:37:03"/>
    <s v="Não quer mudar a solução atual"/>
    <s v="Amilplast continuará com servidor físico"/>
    <s v="21/10/2025"/>
    <x v="105"/>
    <s v=""/>
    <x v="116"/>
    <s v=""/>
    <m/>
    <m/>
    <s v=""/>
    <s v=""/>
    <s v=""/>
    <s v=""/>
    <n v="1"/>
  </r>
  <r>
    <x v="1"/>
    <n v="562"/>
    <m/>
    <n v="2526"/>
    <s v=""/>
    <s v=""/>
    <x v="241"/>
    <n v="1715468000125"/>
    <s v=""/>
    <s v="Off Paper (ERP)"/>
    <s v="35984074473"/>
    <s v=""/>
    <s v="jessica@papeisoffpaper.com.br"/>
    <s v=""/>
    <s v=""/>
    <s v=""/>
    <s v="LAMBARI"/>
    <s v="MG"/>
    <s v=""/>
    <s v=""/>
    <s v=""/>
    <s v=""/>
    <s v="Pipeline de Vendas"/>
    <s v="Apresentar Solução (35%)"/>
    <s v=""/>
    <m/>
    <n v="1600"/>
    <n v="480156"/>
    <n v="33"/>
    <s v="Junior Lopes"/>
    <d v="2025-08-29T00:00:00"/>
    <d v="1899-12-30T16:52:44"/>
    <s v=""/>
    <s v="Perdido"/>
    <d v="2025-10-01T00:00:00"/>
    <d v="1899-12-30T15:58:53"/>
    <s v="Fechou com o concorrente - preço"/>
    <s v="fechou sem mesmo falar com Guarani"/>
    <s v=""/>
    <x v="106"/>
    <s v=""/>
    <x v="0"/>
    <s v=""/>
    <m/>
    <m/>
    <s v=""/>
    <s v=""/>
    <s v=""/>
    <s v=""/>
    <n v="1"/>
  </r>
  <r>
    <x v="1"/>
    <n v="563"/>
    <m/>
    <n v="2530"/>
    <s v=""/>
    <s v=""/>
    <x v="242"/>
    <n v="1715468000125"/>
    <s v=""/>
    <s v="Off Paper (Cloud)"/>
    <s v="35984074473"/>
    <s v=""/>
    <s v="jessica@papeisoffpaper.com.br"/>
    <s v=""/>
    <s v=""/>
    <s v=""/>
    <s v="LAMBARI"/>
    <s v="MG"/>
    <s v=""/>
    <s v=""/>
    <s v=""/>
    <s v=""/>
    <s v="Pipeline de Vendas"/>
    <s v="Apresentar Solução (35%)"/>
    <s v=""/>
    <m/>
    <n v="93280"/>
    <n v="1163416"/>
    <n v="33"/>
    <s v="Junior Lopes"/>
    <d v="2025-08-29T00:00:00"/>
    <d v="1899-12-30T16:55:00"/>
    <s v=""/>
    <s v="Perdido"/>
    <d v="2025-10-01T00:00:00"/>
    <d v="1899-12-30T15:58:22"/>
    <s v="Fechou com o concorrente - preço"/>
    <s v="fechou sem mesmo falar com Guarani"/>
    <s v=""/>
    <x v="106"/>
    <s v=""/>
    <x v="0"/>
    <s v=""/>
    <m/>
    <m/>
    <s v=""/>
    <s v=""/>
    <s v=""/>
    <s v=""/>
    <n v="1"/>
  </r>
  <r>
    <x v="1"/>
    <n v="564"/>
    <m/>
    <n v="2534"/>
    <s v=""/>
    <s v=""/>
    <x v="243"/>
    <m/>
    <s v=""/>
    <s v="Usual plastic (BI)"/>
    <s v="1532833659"/>
    <s v=""/>
    <s v="adm@usualutilidades.com.br"/>
    <s v=""/>
    <s v=""/>
    <s v=""/>
    <s v=""/>
    <s v=""/>
    <s v=""/>
    <s v=""/>
    <s v=""/>
    <s v=""/>
    <s v="Pipeline de Vendas"/>
    <s v="Apresentar Solução (35%)"/>
    <s v=""/>
    <m/>
    <n v="16200"/>
    <n v="2160"/>
    <n v="11"/>
    <s v="Junior Lopes"/>
    <d v="2025-08-29T00:00:00"/>
    <d v="1899-12-30T17:43:06"/>
    <s v=""/>
    <s v="Perdido"/>
    <d v="2025-09-09T00:00:00"/>
    <d v="1899-12-30T15:32:46"/>
    <s v="Não quer mudar a solução atual"/>
    <s v="Gustavo conversou com os sócios e decidiu por não trocar de software no momento"/>
    <s v=""/>
    <x v="104"/>
    <s v=""/>
    <x v="0"/>
    <s v=""/>
    <m/>
    <m/>
    <s v=""/>
    <s v=""/>
    <s v=""/>
    <s v=""/>
    <n v="1"/>
  </r>
  <r>
    <x v="2"/>
    <n v="566"/>
    <m/>
    <n v="2538"/>
    <s v=""/>
    <s v="Jr Comercio De Motos E Pecas Ltda"/>
    <x v="244"/>
    <n v="46964028000140"/>
    <s v=""/>
    <s v="Jr Comercio De Motos E Pecas Ltda"/>
    <s v="(67) 9121-3638"/>
    <s v=""/>
    <s v="custodiojadi@gmail.com"/>
    <s v=""/>
    <s v=""/>
    <s v=""/>
    <s v="CAMPO GRANDE"/>
    <s v="MS"/>
    <s v="Base de empresas Leads2b"/>
    <s v=""/>
    <s v=""/>
    <s v=""/>
    <s v="Pipeline de Vendas"/>
    <s v="Apresentar Solução (35%)"/>
    <s v=""/>
    <m/>
    <m/>
    <m/>
    <n v="28"/>
    <s v="Rayssa Karapeticov"/>
    <d v="2025-09-02T00:00:00"/>
    <d v="1899-12-30T09:34:13"/>
    <s v=""/>
    <s v="Perdido"/>
    <d v="2025-09-30T00:00:00"/>
    <d v="1899-12-30T09:44:47"/>
    <s v="Preço muito alto - fora do budget de investimento"/>
    <s v=""/>
    <s v=""/>
    <x v="0"/>
    <s v=""/>
    <x v="0"/>
    <s v=""/>
    <m/>
    <m/>
    <s v=""/>
    <s v=""/>
    <s v=""/>
    <s v=""/>
    <n v="1"/>
  </r>
  <r>
    <x v="2"/>
    <n v="567"/>
    <m/>
    <n v="2541"/>
    <s v=""/>
    <s v="Jomafe Brasil - Comercio De Utensilios Domesticos E Cutelarias Ltda."/>
    <x v="245"/>
    <n v="13039863000203"/>
    <s v=""/>
    <s v="Jomafe Brasil - Comercio De Utensilios Domesticos E Cutelarias Ltda."/>
    <s v="(11) 3283-3767"/>
    <s v=""/>
    <s v="vendas.br@jomafe.pt"/>
    <s v=""/>
    <s v=""/>
    <s v=""/>
    <s v="SAO PAULO"/>
    <s v="SP"/>
    <s v="Base de empresas Leads2b"/>
    <s v=""/>
    <s v=""/>
    <s v="WhatsappRayssa"/>
    <s v="Pipeline de Vendas"/>
    <s v="Agendamento (0%)"/>
    <s v=""/>
    <m/>
    <m/>
    <m/>
    <n v="98"/>
    <s v="Rayssa Karapeticov"/>
    <d v="2025-09-02T00:00:00"/>
    <d v="1899-12-30T10:57:13"/>
    <s v=""/>
    <s v="Perdido"/>
    <d v="2025-12-09T00:00:00"/>
    <d v="1899-12-30T11:48:37"/>
    <s v="Projeto adiado / sem prazo definido"/>
    <s v=""/>
    <s v=""/>
    <x v="0"/>
    <s v=""/>
    <x v="0"/>
    <s v=""/>
    <m/>
    <m/>
    <s v=""/>
    <s v=""/>
    <s v=""/>
    <s v=""/>
    <n v="1"/>
  </r>
  <r>
    <x v="0"/>
    <n v="575"/>
    <m/>
    <n v="2547"/>
    <s v=""/>
    <s v=""/>
    <x v="246"/>
    <m/>
    <s v=""/>
    <s v="NATALIA GABRIELA DAMACENO MOTA"/>
    <s v="(11) 9667-2094"/>
    <s v=""/>
    <s v="naty-gabriela@hotmail.com"/>
    <s v=""/>
    <s v=""/>
    <s v=""/>
    <s v="São Paulo"/>
    <s v=""/>
    <s v="Site"/>
    <s v=""/>
    <s v=""/>
    <s v="Contato"/>
    <s v="Pipeline de Vendas"/>
    <s v="Apresentar Proposta (50%)"/>
    <s v=""/>
    <m/>
    <m/>
    <m/>
    <n v="19"/>
    <s v="Paulo Souza"/>
    <d v="2025-09-10T00:00:00"/>
    <d v="1899-12-30T15:39:28"/>
    <s v=""/>
    <s v="Perdido"/>
    <d v="2025-09-29T00:00:00"/>
    <d v="1899-12-30T16:41:35"/>
    <s v="Fora do porte mínimo (sem fit estrutural)"/>
    <s v=""/>
    <s v=""/>
    <x v="108"/>
    <s v="Paulo Souza"/>
    <x v="118"/>
    <s v=""/>
    <m/>
    <m/>
    <s v=""/>
    <s v=""/>
    <s v=""/>
    <s v=""/>
    <n v="1"/>
  </r>
  <r>
    <x v="1"/>
    <n v="576"/>
    <m/>
    <n v="2551"/>
    <s v=""/>
    <s v="Natalia Gabriela Damaceno Mota"/>
    <x v="247"/>
    <n v="36621794000158"/>
    <s v=""/>
    <s v="Natalia Gabriela Damaceno Mota"/>
    <s v="(11) 4292-3358"/>
    <s v=""/>
    <s v="catocontabilidade@gmail.com"/>
    <s v=""/>
    <s v=""/>
    <s v=""/>
    <s v="SUZANO"/>
    <s v="SP"/>
    <s v="Base de empresas Leads2b"/>
    <s v=""/>
    <s v=""/>
    <s v=""/>
    <s v="Pipeline de Vendas"/>
    <s v="Apresentar Solução (35%)"/>
    <s v=""/>
    <m/>
    <n v="10176"/>
    <n v="2060"/>
    <n v="23"/>
    <s v="Junior Lopes"/>
    <d v="2025-09-10T00:00:00"/>
    <d v="1899-12-30T15:53:14"/>
    <s v=""/>
    <s v="Perdido"/>
    <d v="2025-10-03T00:00:00"/>
    <d v="1899-12-30T09:59:47"/>
    <s v="Não houve aprovação financeira"/>
    <s v="Após proposta cliente não respondeu mais"/>
    <s v=""/>
    <x v="114"/>
    <s v=""/>
    <x v="122"/>
    <s v=""/>
    <m/>
    <m/>
    <s v=""/>
    <s v=""/>
    <s v=""/>
    <s v=""/>
    <n v="1"/>
  </r>
  <r>
    <x v="0"/>
    <n v="577"/>
    <m/>
    <n v="2502"/>
    <s v=""/>
    <s v=""/>
    <x v="248"/>
    <m/>
    <s v=""/>
    <s v="Lara"/>
    <s v="(19) 99985-2953"/>
    <s v=""/>
    <s v="lfabian.pereira@gmail.com"/>
    <s v=""/>
    <s v=""/>
    <s v=""/>
    <s v="Pedreira"/>
    <s v=""/>
    <s v="Site"/>
    <s v=""/>
    <s v=""/>
    <s v="Contato"/>
    <s v="Pipeline de Vendas"/>
    <s v="Em negociação (75%)"/>
    <s v=""/>
    <m/>
    <m/>
    <m/>
    <n v="0"/>
    <s v="Paulo Souza"/>
    <d v="2025-09-10T00:00:00"/>
    <d v="1899-12-30T15:54:51"/>
    <s v=""/>
    <s v="Perdido"/>
    <d v="2025-09-10T00:00:00"/>
    <d v="1899-12-30T15:56:27"/>
    <s v="Preço muito alto - fora do budget de investimento"/>
    <s v=""/>
    <s v=""/>
    <x v="115"/>
    <s v="Paulo Souza"/>
    <x v="123"/>
    <s v=""/>
    <m/>
    <m/>
    <s v=""/>
    <s v=""/>
    <s v=""/>
    <s v=""/>
    <n v="1"/>
  </r>
  <r>
    <x v="0"/>
    <n v="578"/>
    <m/>
    <n v="2515"/>
    <s v=""/>
    <s v=""/>
    <x v="249"/>
    <m/>
    <s v=""/>
    <s v="Sidney Stabile"/>
    <s v="(11) 98122-0797"/>
    <s v=""/>
    <s v="sidneysmr1@gmail.com"/>
    <s v=""/>
    <s v=""/>
    <s v=""/>
    <s v="São Paulo"/>
    <s v=""/>
    <s v="Site"/>
    <s v=""/>
    <s v=""/>
    <s v="Solicita demo"/>
    <s v="Pipeline de Vendas"/>
    <s v="Apresentar Proposta (50%)"/>
    <s v=""/>
    <m/>
    <m/>
    <m/>
    <n v="0"/>
    <s v="Paulo Souza"/>
    <d v="2025-09-11T00:00:00"/>
    <d v="1899-12-30T08:35:20"/>
    <s v=""/>
    <s v="Perdido"/>
    <d v="2025-09-11T00:00:00"/>
    <d v="1899-12-30T08:38:05"/>
    <s v="Preço muito alto - fora do budget de investimento"/>
    <s v=""/>
    <s v=""/>
    <x v="116"/>
    <s v=""/>
    <x v="124"/>
    <s v=""/>
    <m/>
    <m/>
    <s v=""/>
    <s v=""/>
    <s v=""/>
    <s v=""/>
    <n v="1"/>
  </r>
  <r>
    <x v="1"/>
    <n v="582"/>
    <m/>
    <n v="2555"/>
    <s v="O projeto só avançará após o ERP entrar em produção. É necessário alinhar com o Mário e o Fernando para confirmar a data exata de go-live, pois o projeto permanece aguardando essa etapa da implantação para seguir com as próximas fases."/>
    <s v=""/>
    <x v="150"/>
    <n v="32921219000110"/>
    <s v=""/>
    <s v="MDL Import - Cloud"/>
    <s v="1190695515"/>
    <s v=""/>
    <s v="janaina@mdlimport.com.br"/>
    <s v=""/>
    <s v=""/>
    <s v=""/>
    <s v=""/>
    <s v=""/>
    <s v=""/>
    <s v=""/>
    <s v=""/>
    <s v="80%"/>
    <s v="Pipeline de Vendas"/>
    <s v="Em Fechamento (100%)"/>
    <s v=""/>
    <d v="2026-02-02T00:00:00"/>
    <n v="1600"/>
    <n v="256856"/>
    <n v="231"/>
    <s v="Junior Lopes"/>
    <d v="2025-09-11T00:00:00"/>
    <d v="1899-12-30T13:00:08"/>
    <s v=""/>
    <s v="Perdido"/>
    <d v="2026-04-30T00:00:00"/>
    <d v="1899-12-30T14:30:32"/>
    <s v="Não quer mudar a solução atual"/>
    <s v="esta em uso de servidor próprio"/>
    <s v=""/>
    <x v="117"/>
    <s v="Junior Lopes"/>
    <x v="125"/>
    <s v=""/>
    <d v="2025-12-12T00:00:00"/>
    <n v="80"/>
    <s v=""/>
    <s v=""/>
    <s v=""/>
    <s v=""/>
    <n v="1"/>
  </r>
  <r>
    <x v="0"/>
    <n v="583"/>
    <m/>
    <n v="578"/>
    <s v="A empresa está enfrentando uma situação delicada com a Receita Federal e, por isso, decidiu aguardar antes de assinar o contrato, já que não sabe se manterá a operação de atacado. O plano é retomar o contato na primeira semana de janeiro de 2026._x000a_06/02 A Michele me ligou retomando o projeto, agora estamos na fase de negociação."/>
    <s v="Futuro Brasil Importacao E Exportacao Ltda"/>
    <x v="250"/>
    <n v="7664689000289"/>
    <s v=""/>
    <s v="Futuro Brasil Importacao E Exportacao Ltda"/>
    <s v="(11) 3312-3990"/>
    <s v=""/>
    <s v="financeiro.michele@futurobrasil.com"/>
    <s v=""/>
    <s v=""/>
    <s v=""/>
    <s v="EXTREMA"/>
    <s v="MG"/>
    <s v="Base de empresas Leads2b"/>
    <s v=""/>
    <s v=""/>
    <s v="30%;Pausado"/>
    <s v="Pipeline de Vendas"/>
    <s v="Em negociação (75%)"/>
    <s v=""/>
    <d v="2026-04-30T00:00:00"/>
    <n v="100800"/>
    <n v="5484"/>
    <n v="249"/>
    <s v="Paulo Souza"/>
    <d v="2025-09-11T00:00:00"/>
    <d v="1899-12-30T15:56:45"/>
    <s v=""/>
    <s v="Perdido"/>
    <d v="2026-05-18T00:00:00"/>
    <d v="1899-12-30T16:49:23"/>
    <s v="Projeto adiado / sem prazo definido"/>
    <s v=""/>
    <s v=""/>
    <x v="118"/>
    <s v="Paulo Souza"/>
    <x v="126"/>
    <s v=""/>
    <d v="2026-03-31T00:00:00"/>
    <n v="30"/>
    <s v="504"/>
    <s v="ERP, AFV, ADICIONAIS, CLOUD, WMS"/>
    <s v="R$ 100.800"/>
    <s v="R$ 5.484"/>
    <n v="1"/>
  </r>
  <r>
    <x v="1"/>
    <n v="585"/>
    <m/>
    <n v="2557"/>
    <s v=""/>
    <s v=""/>
    <x v="251"/>
    <m/>
    <s v=""/>
    <s v="Fantoys comércio de brinquedos ltda"/>
    <s v="44999841977"/>
    <s v=""/>
    <s v="Fantoyscomercial@gmail.com"/>
    <s v=""/>
    <s v=""/>
    <s v=""/>
    <s v=""/>
    <s v=""/>
    <s v=""/>
    <s v=""/>
    <s v=""/>
    <s v=""/>
    <s v="Pipeline de Vendas"/>
    <s v="Apresentar Proposta (50%)"/>
    <s v=""/>
    <m/>
    <n v="58088"/>
    <n v="645602"/>
    <n v="13"/>
    <s v="Junior Lopes"/>
    <d v="2025-09-12T00:00:00"/>
    <d v="1899-12-30T14:48:47"/>
    <s v=""/>
    <s v="Perdido"/>
    <d v="2025-09-25T00:00:00"/>
    <d v="1899-12-30T16:14:01"/>
    <s v="Não houve aprovação financeira"/>
    <s v="cliente achou investimento muito alto"/>
    <s v=""/>
    <x v="119"/>
    <s v=""/>
    <x v="127"/>
    <s v=""/>
    <m/>
    <m/>
    <s v=""/>
    <s v=""/>
    <s v=""/>
    <s v=""/>
    <n v="1"/>
  </r>
  <r>
    <x v="2"/>
    <n v="587"/>
    <m/>
    <n v="2559"/>
    <s v=""/>
    <s v=""/>
    <x v="252"/>
    <m/>
    <s v=""/>
    <s v="Junior"/>
    <s v="19987126669"/>
    <s v=""/>
    <s v="null"/>
    <s v=""/>
    <s v=""/>
    <s v=""/>
    <s v=""/>
    <s v=""/>
    <s v=""/>
    <s v=""/>
    <s v=""/>
    <s v=""/>
    <s v="Pipeline de Vendas"/>
    <s v="Em Fechamento (100%)"/>
    <s v=""/>
    <m/>
    <n v="64200"/>
    <n v="254344"/>
    <n v="78"/>
    <s v="Rayssa Karapeticov"/>
    <d v="2025-09-15T00:00:00"/>
    <d v="1899-12-30T10:48:08"/>
    <s v=""/>
    <s v="Ganho"/>
    <d v="2025-12-02T00:00:00"/>
    <d v="1899-12-30T11:19:47"/>
    <s v=""/>
    <s v=""/>
    <s v=""/>
    <x v="120"/>
    <s v=""/>
    <x v="128"/>
    <s v="17/09/2025 00:00"/>
    <m/>
    <m/>
    <s v=""/>
    <s v=""/>
    <s v=""/>
    <s v=""/>
    <n v="1"/>
  </r>
  <r>
    <x v="1"/>
    <n v="589"/>
    <m/>
    <n v="2561"/>
    <s v=""/>
    <s v=""/>
    <x v="253"/>
    <n v="7548592000120"/>
    <s v=""/>
    <s v="KAIQUE ARAUJO"/>
    <s v="(67) 99250-3056"/>
    <s v=""/>
    <s v="comercial.centralracoes@hotmail.com"/>
    <s v=""/>
    <s v=""/>
    <s v=""/>
    <s v="CAMPO GRANDE"/>
    <s v="MS"/>
    <s v="Site"/>
    <s v=""/>
    <s v=""/>
    <s v="Solicita demo"/>
    <s v="Pipeline de Vendas"/>
    <s v="Apresentar Proposta (50%)"/>
    <s v=""/>
    <m/>
    <n v="103032"/>
    <n v="696032"/>
    <n v="30"/>
    <s v="Paulo Souza"/>
    <d v="2025-09-16T00:00:00"/>
    <d v="1899-12-30T09:41:24"/>
    <s v=""/>
    <s v="Perdido"/>
    <d v="2025-10-16T00:00:00"/>
    <d v="1899-12-30T12:01:25"/>
    <s v="Projeto adiado / sem prazo definido"/>
    <s v="informações salvo em notas"/>
    <s v=""/>
    <x v="121"/>
    <s v="Junior Lopes"/>
    <x v="129"/>
    <s v="30/09/2025"/>
    <m/>
    <m/>
    <s v=""/>
    <s v=""/>
    <s v=""/>
    <s v=""/>
    <n v="1"/>
  </r>
  <r>
    <x v="1"/>
    <n v="590"/>
    <m/>
    <n v="2561"/>
    <s v=""/>
    <s v=""/>
    <x v="254"/>
    <n v="7548592000120"/>
    <s v=""/>
    <s v="KAIQUE ARAUJO"/>
    <s v="(67) 99250-3056"/>
    <s v=""/>
    <s v="comercial.centralracoes@hotmail.com"/>
    <s v=""/>
    <s v=""/>
    <s v=""/>
    <s v="CAMPO GRANDE"/>
    <s v="MS"/>
    <s v="Site"/>
    <s v=""/>
    <s v=""/>
    <s v="Solicita demo"/>
    <s v="Pipeline de Vendas"/>
    <s v="Agendamento (0%)"/>
    <s v=""/>
    <m/>
    <m/>
    <m/>
    <n v="0"/>
    <s v="Junior Lopes"/>
    <d v="2025-09-16T00:00:00"/>
    <d v="1899-12-30T09:45:26"/>
    <s v=""/>
    <s v="Perdido"/>
    <d v="2025-09-16T00:00:00"/>
    <d v="1899-12-30T09:58:11"/>
    <s v="Fora do porte mínimo (sem fit estrutural)"/>
    <s v="cadastro duplicado"/>
    <s v=""/>
    <x v="0"/>
    <s v=""/>
    <x v="0"/>
    <s v=""/>
    <m/>
    <m/>
    <s v=""/>
    <s v=""/>
    <s v=""/>
    <s v=""/>
    <n v="1"/>
  </r>
  <r>
    <x v="1"/>
    <n v="597"/>
    <m/>
    <n v="2571"/>
    <s v=""/>
    <s v="Ilumac Industria Comercio E Servicos Ltda"/>
    <x v="255"/>
    <n v="49872306000127"/>
    <s v=""/>
    <s v="Ilumac Industria Comercio E Servicos Ltda"/>
    <s v="(14) 3213-1100"/>
    <s v=""/>
    <s v="direcao@safeway.ind.br"/>
    <s v=""/>
    <s v=""/>
    <s v=""/>
    <s v="BAURU"/>
    <s v="SP"/>
    <s v="Base de empresas Leads2b"/>
    <s v=""/>
    <s v=""/>
    <s v=""/>
    <s v="Pipeline de Vendas"/>
    <s v="Apresentar Proposta (50%)"/>
    <s v=""/>
    <m/>
    <n v="7021439"/>
    <n v="37362"/>
    <n v="14"/>
    <s v="Junior Lopes"/>
    <d v="2025-09-19T00:00:00"/>
    <d v="1899-12-30T15:49:06"/>
    <s v=""/>
    <s v="Perdido"/>
    <d v="2025-10-03T00:00:00"/>
    <d v="1899-12-30T09:41:38"/>
    <s v="Não quer mudar a solução atual"/>
    <s v="cliente não responde as mensagens e ligações"/>
    <s v=""/>
    <x v="114"/>
    <s v=""/>
    <x v="130"/>
    <s v=""/>
    <m/>
    <m/>
    <s v=""/>
    <s v=""/>
    <s v=""/>
    <s v=""/>
    <n v="1"/>
  </r>
  <r>
    <x v="0"/>
    <n v="600"/>
    <m/>
    <n v="2477"/>
    <s v=""/>
    <s v=""/>
    <x v="256"/>
    <m/>
    <s v=""/>
    <s v="Lucas"/>
    <s v="(11) 98527-7256"/>
    <s v=""/>
    <s v="marketing@mewoof.com.br"/>
    <s v=""/>
    <s v=""/>
    <s v=""/>
    <s v="São Paulo"/>
    <s v=""/>
    <s v="Site"/>
    <s v=""/>
    <s v=""/>
    <s v="Solicita demo"/>
    <s v="Pipeline de Vendas"/>
    <s v="Em negociação (75%)"/>
    <s v=""/>
    <m/>
    <m/>
    <m/>
    <n v="43"/>
    <s v="Paulo Souza"/>
    <d v="2025-09-23T00:00:00"/>
    <d v="1899-12-30T16:50:25"/>
    <s v=""/>
    <s v="Perdido"/>
    <d v="2025-11-05T00:00:00"/>
    <d v="1899-12-30T09:56:42"/>
    <s v="Fora do porte mínimo (sem fit estrutural)"/>
    <s v=""/>
    <s v=""/>
    <x v="108"/>
    <s v="Paulo Souza"/>
    <x v="131"/>
    <s v=""/>
    <m/>
    <m/>
    <s v=""/>
    <s v=""/>
    <s v=""/>
    <s v=""/>
    <n v="1"/>
  </r>
  <r>
    <x v="1"/>
    <n v="601"/>
    <m/>
    <n v="2579"/>
    <s v=""/>
    <s v=""/>
    <x v="257"/>
    <m/>
    <s v=""/>
    <s v="Fantoys Brinquedos - Cloud"/>
    <s v="44999841977"/>
    <s v=""/>
    <s v="Fantoyscomercial@gmail.com"/>
    <s v=""/>
    <s v=""/>
    <s v=""/>
    <s v=""/>
    <s v=""/>
    <s v=""/>
    <s v=""/>
    <s v=""/>
    <s v=""/>
    <s v="Pipeline de Vendas"/>
    <s v="Apresentar Proposta (50%)"/>
    <s v=""/>
    <m/>
    <n v="1600"/>
    <n v="2396"/>
    <n v="1"/>
    <s v="Junior Lopes"/>
    <d v="2025-09-24T00:00:00"/>
    <d v="1899-12-30T09:48:02"/>
    <s v=""/>
    <s v="Perdido"/>
    <d v="2025-09-25T00:00:00"/>
    <d v="1899-12-30T16:14:54"/>
    <s v="Não houve aprovação financeira"/>
    <s v="cliente achou investimento muito  alto"/>
    <s v=""/>
    <x v="119"/>
    <s v=""/>
    <x v="127"/>
    <s v=""/>
    <m/>
    <m/>
    <s v=""/>
    <s v=""/>
    <s v=""/>
    <s v=""/>
    <n v="1"/>
  </r>
  <r>
    <x v="1"/>
    <n v="602"/>
    <m/>
    <n v="2582"/>
    <s v=""/>
    <s v="Principios Representacoes De Artigos De Uso Domestico Ltda"/>
    <x v="258"/>
    <n v="11392803000155"/>
    <s v=""/>
    <s v="Principios Representacoes De Artigos De Uso Domestico Ltda"/>
    <s v="(48) 9123-3777"/>
    <s v=""/>
    <s v="fabiane.principios@gmail.com"/>
    <s v=""/>
    <s v=""/>
    <s v=""/>
    <s v="ARARANGUA"/>
    <s v="SC"/>
    <s v="Base de empresas Leads2b"/>
    <s v=""/>
    <s v=""/>
    <s v=""/>
    <s v="Pipeline de Vendas"/>
    <s v="Apresentar Proposta (50%)"/>
    <s v=""/>
    <m/>
    <m/>
    <m/>
    <n v="42"/>
    <s v="Junior Lopes"/>
    <d v="2025-09-24T00:00:00"/>
    <d v="1899-12-30T14:10:49"/>
    <s v=""/>
    <s v="Perdido"/>
    <d v="2025-11-05T00:00:00"/>
    <d v="1899-12-30T09:29:11"/>
    <s v="Projeto adiado / sem prazo definido"/>
    <s v="cliente Rep Mais"/>
    <s v=""/>
    <x v="0"/>
    <s v=""/>
    <x v="118"/>
    <s v=""/>
    <m/>
    <m/>
    <s v=""/>
    <s v=""/>
    <s v=""/>
    <s v=""/>
    <n v="1"/>
  </r>
  <r>
    <x v="1"/>
    <n v="603"/>
    <m/>
    <n v="2581"/>
    <s v=""/>
    <s v=""/>
    <x v="259"/>
    <n v="8019257000105"/>
    <s v=""/>
    <s v="Ramão"/>
    <s v=""/>
    <s v=""/>
    <s v="diego.barcelli@guaranisistemas.com.br"/>
    <s v=""/>
    <s v=""/>
    <s v=""/>
    <s v="Brumadinho"/>
    <s v=""/>
    <s v="Indicação"/>
    <s v=""/>
    <s v=""/>
    <s v=""/>
    <s v="Pipeline de Vendas"/>
    <s v="Agendamento (0%)"/>
    <s v=""/>
    <m/>
    <m/>
    <m/>
    <n v="13"/>
    <s v="Paulo Souza"/>
    <d v="2025-09-24T00:00:00"/>
    <d v="1899-12-30T16:01:16"/>
    <s v=""/>
    <s v="Perdido"/>
    <d v="2025-10-07T00:00:00"/>
    <d v="1899-12-30T14:43:39"/>
    <s v="Não quer mudar a solução atual"/>
    <s v="Sem retorno dos contatos"/>
    <s v=""/>
    <x v="0"/>
    <s v="Junior Lopes"/>
    <x v="132"/>
    <s v=""/>
    <m/>
    <m/>
    <s v=""/>
    <s v=""/>
    <s v=""/>
    <s v=""/>
    <n v="1"/>
  </r>
  <r>
    <x v="1"/>
    <n v="604"/>
    <m/>
    <n v="2580"/>
    <s v="Todos os dados preenchidos:_x000a_name: Ramão _x000a_phone: 67 9 9169-7702 _x000a_email: ramaodlara@gmail.com _x000a_nome_da_empresa_indicada: LUZIA LARA GUILHEN- MEI _x000a_field_6: Guarani ERP, PDV _x000a_nome_de_quem_indica: Diego Luis Barcelli _x000a_e_mail_de_quem_indica: diego.barcelli@guaranisistemas.com.br _x000a_telefone_de_quem_indica: 16 9 9265-3506 _x000a_Quais_produtos_Guarani_você_indica_para_essa_empresa?: Guarani ERP, PDV _x000a_0: Guarani ERP, PDV"/>
    <s v=""/>
    <x v="260"/>
    <m/>
    <s v=""/>
    <s v="Ramão"/>
    <s v="67 9 9169-7702"/>
    <s v=""/>
    <s v="ramaodlara@gmail.com"/>
    <s v=""/>
    <s v=""/>
    <s v=""/>
    <s v=""/>
    <s v=""/>
    <s v="Indicação"/>
    <s v=""/>
    <s v=""/>
    <s v=""/>
    <s v="Pipeline de Vendas"/>
    <s v="Agendamento (0%)"/>
    <s v=""/>
    <m/>
    <m/>
    <m/>
    <n v="13"/>
    <s v="Paulo Souza"/>
    <d v="2025-09-24T00:00:00"/>
    <d v="1899-12-30T16:02:08"/>
    <s v=""/>
    <s v="Perdido"/>
    <d v="2025-10-07T00:00:00"/>
    <d v="1899-12-30T09:36:27"/>
    <s v="Não quer mudar a solução atual"/>
    <s v="não responde ao contato"/>
    <s v=""/>
    <x v="0"/>
    <s v="Junior Lopes"/>
    <x v="132"/>
    <s v=""/>
    <m/>
    <m/>
    <s v=""/>
    <s v=""/>
    <s v=""/>
    <s v=""/>
    <n v="1"/>
  </r>
  <r>
    <x v="1"/>
    <n v="607"/>
    <m/>
    <n v="2590"/>
    <s v=""/>
    <s v=""/>
    <x v="261"/>
    <n v="1099426000107"/>
    <s v=""/>
    <s v="Chame Rio (Cloud)"/>
    <s v="21996087296"/>
    <s v=""/>
    <s v="leon@chamerio.com.br"/>
    <s v=""/>
    <s v=""/>
    <s v=""/>
    <s v=""/>
    <s v=""/>
    <s v=""/>
    <s v=""/>
    <s v=""/>
    <s v=""/>
    <s v="Pipeline de Vendas"/>
    <s v="Em negociação (75%)"/>
    <s v=""/>
    <m/>
    <n v="1600"/>
    <n v="3360"/>
    <n v="62"/>
    <s v="Junior Lopes"/>
    <d v="2025-09-25T00:00:00"/>
    <d v="1899-12-30T15:54:00"/>
    <s v=""/>
    <s v="Perdido"/>
    <d v="2025-11-26T00:00:00"/>
    <d v="1899-12-30T14:16:02"/>
    <s v="Projeto adiado / sem prazo definido"/>
    <s v="Aguardar ativação das lojas"/>
    <s v=""/>
    <x v="122"/>
    <s v=""/>
    <x v="133"/>
    <s v=""/>
    <m/>
    <m/>
    <s v=""/>
    <s v=""/>
    <s v=""/>
    <s v=""/>
    <n v="1"/>
  </r>
  <r>
    <x v="1"/>
    <n v="608"/>
    <m/>
    <n v="2591"/>
    <s v=""/>
    <s v=""/>
    <x v="262"/>
    <n v="6302372000159"/>
    <s v=""/>
    <s v="DVidros (CNPJ)"/>
    <s v="31992324071"/>
    <s v=""/>
    <s v="comercial@dvidros.com.br"/>
    <s v=""/>
    <s v=""/>
    <s v=""/>
    <s v=""/>
    <s v=""/>
    <s v=""/>
    <s v=""/>
    <s v=""/>
    <s v=""/>
    <s v="Pipeline de Vendas"/>
    <s v="Em Fechamento (100%)"/>
    <s v=""/>
    <m/>
    <n v="260148"/>
    <n v="0"/>
    <n v="0"/>
    <s v="Junior Lopes"/>
    <d v="2025-09-25T00:00:00"/>
    <d v="1899-12-30T16:03:28"/>
    <s v=""/>
    <s v="Ganho"/>
    <d v="2025-09-25T00:00:00"/>
    <d v="1899-12-30T16:12:47"/>
    <s v=""/>
    <s v=""/>
    <s v=""/>
    <x v="115"/>
    <s v=""/>
    <x v="123"/>
    <s v=""/>
    <m/>
    <m/>
    <s v=""/>
    <s v=""/>
    <s v=""/>
    <s v=""/>
    <n v="1"/>
  </r>
  <r>
    <x v="1"/>
    <n v="609"/>
    <m/>
    <n v="2592"/>
    <s v=""/>
    <s v=""/>
    <x v="263"/>
    <n v="7548592000120"/>
    <s v=""/>
    <s v="Central Rações - BI"/>
    <s v="67992503056"/>
    <s v=""/>
    <s v="comercial.centralracoes@hotmail.com"/>
    <s v=""/>
    <s v=""/>
    <s v=""/>
    <s v="CAMPO GRANDE"/>
    <s v="MS"/>
    <s v=""/>
    <s v=""/>
    <s v=""/>
    <s v=""/>
    <s v="Pipeline de Vendas"/>
    <s v="Apresentar Proposta (50%)"/>
    <s v=""/>
    <m/>
    <n v="16200"/>
    <n v="2160"/>
    <n v="21"/>
    <s v="Junior Lopes"/>
    <d v="2025-09-25T00:00:00"/>
    <d v="1899-12-30T16:39:10"/>
    <s v=""/>
    <s v="Perdido"/>
    <d v="2025-10-16T00:00:00"/>
    <d v="1899-12-30T12:02:57"/>
    <s v="Projeto adiado / sem prazo definido"/>
    <s v="informações salvo em notas"/>
    <s v=""/>
    <x v="121"/>
    <s v=""/>
    <x v="134"/>
    <s v=""/>
    <m/>
    <m/>
    <s v=""/>
    <s v=""/>
    <s v=""/>
    <s v=""/>
    <n v="1"/>
  </r>
  <r>
    <x v="1"/>
    <n v="610"/>
    <m/>
    <n v="2595"/>
    <s v=""/>
    <s v=""/>
    <x v="264"/>
    <n v="7548592000120"/>
    <s v=""/>
    <s v="Central Rações - Cloud"/>
    <s v="67992503056"/>
    <s v=""/>
    <s v="comercial.centralracoes@hotmail.com"/>
    <s v=""/>
    <s v=""/>
    <s v=""/>
    <s v="CAMPO GRANDE"/>
    <s v="MS"/>
    <s v=""/>
    <s v=""/>
    <s v=""/>
    <s v=""/>
    <s v="Pipeline de Vendas"/>
    <s v="Apresentar Proposta (50%)"/>
    <s v=""/>
    <m/>
    <n v="1600"/>
    <n v="405552"/>
    <n v="21"/>
    <s v="Junior Lopes"/>
    <d v="2025-09-25T00:00:00"/>
    <d v="1899-12-30T16:41:53"/>
    <s v=""/>
    <s v="Perdido"/>
    <d v="2025-10-16T00:00:00"/>
    <d v="1899-12-30T12:02:06"/>
    <s v="Projeto adiado / sem prazo definido"/>
    <s v="informações salvo em notas"/>
    <s v=""/>
    <x v="121"/>
    <s v=""/>
    <x v="134"/>
    <s v=""/>
    <m/>
    <m/>
    <s v=""/>
    <s v=""/>
    <s v=""/>
    <s v=""/>
    <n v="1"/>
  </r>
  <r>
    <x v="2"/>
    <n v="611"/>
    <m/>
    <n v="2598"/>
    <s v=""/>
    <s v=""/>
    <x v="265"/>
    <n v="11861121000306"/>
    <s v=""/>
    <s v="Emerson Silva"/>
    <s v="(55) 11941-3524"/>
    <s v=""/>
    <s v="operacional@facinato.com.br"/>
    <s v=""/>
    <s v=""/>
    <s v=""/>
    <s v="São Paulo"/>
    <s v=""/>
    <s v="Site"/>
    <s v=""/>
    <s v=""/>
    <s v="Solicita demo"/>
    <s v="Pipeline de Vendas"/>
    <s v="Apresentar Proposta (50%)"/>
    <s v=""/>
    <m/>
    <m/>
    <m/>
    <n v="28"/>
    <s v="Paulo Souza"/>
    <d v="2025-09-26T00:00:00"/>
    <d v="1899-12-30T10:12:27"/>
    <s v=""/>
    <s v="Perdido"/>
    <d v="2025-10-24T00:00:00"/>
    <d v="1899-12-30T12:02:58"/>
    <s v="Preço muito alto - fora do budget de investimento"/>
    <s v=""/>
    <s v=""/>
    <x v="0"/>
    <s v="Rayssa Karapeticov"/>
    <x v="135"/>
    <s v=""/>
    <m/>
    <m/>
    <s v=""/>
    <s v=""/>
    <s v=""/>
    <s v=""/>
    <n v="1"/>
  </r>
  <r>
    <x v="1"/>
    <n v="613"/>
    <m/>
    <n v="2600"/>
    <s v="11:51, 06/01/2026 Junior Lopes: lá Wilkerson, bom dia_x000a_11:51, 06/01/2026 Junior Lopes: Um Feliz 2026 para vc e toda equipe 🙏🙏_x000a_11:51, 06/01/2026 Junior Lopes: Me recebe aí para discutirmos sobre a proposta comercial?_x000a_15:32, 23/01/2026 Junior Lopes: Olá Wilkerson, boa tarde_x000a_13:34, 27/01/2026 Wilkerson Plasbrin: Ola_x000a_13:34, 27/01/2026 Wilkerson Plasbrin: Estou analisando a proposta sina_x000a_13:34, 27/01/2026 Wilkerson Plasbrin: Ainda_x000a_13:35, 27/01/2026 Wilkerson Plasbrin: Creio que em fevereiro te contato sobre uma negociação_x000a_13:36, 27/01/2026 Junior Lopes: Olá meu amigo! Ótimo _x000a_Veja o que precisa para fecharmos! Nossa solução vai ajudar muito em seus processos _x000a_Te aguardo 👊_x000a_14:25, 27/01/2026 Wilkerson Plasbrin: Pode deixar_x000a_14:25, 27/01/2026 Wilkerson Plasbrin: Vamos avaliar_x000a_08:53, 24/02/2026 Junior Lopes: Olá Wilkerson, bom dia , Td bem ?_x000a_08:54, 24/02/2026 Junior Lopes: Vamos agendar um bate papo para próxima semana ? _x000a_Se sim vou até você !"/>
    <s v=""/>
    <x v="266"/>
    <n v="221294000181"/>
    <s v=""/>
    <s v="PlasBink"/>
    <s v="11997580006"/>
    <s v=""/>
    <s v="falgat@terra.com.br"/>
    <s v=""/>
    <s v=""/>
    <s v=""/>
    <s v="CABREUVA"/>
    <s v="SP"/>
    <s v=""/>
    <s v=""/>
    <s v=""/>
    <s v="50%"/>
    <s v="Pipeline de Vendas"/>
    <s v="Em negociação (75%)"/>
    <s v=""/>
    <d v="2026-03-31T00:00:00"/>
    <n v="81786"/>
    <n v="79654"/>
    <n v="233"/>
    <s v="Junior Lopes"/>
    <d v="2025-09-29T00:00:00"/>
    <d v="1899-12-30T11:41:56"/>
    <s v=""/>
    <s v="Ativo"/>
    <m/>
    <m/>
    <s v=""/>
    <s v=""/>
    <s v="08/10/2025"/>
    <x v="123"/>
    <s v="Junior Lopes"/>
    <x v="118"/>
    <s v=""/>
    <d v="2026-02-24T00:00:00"/>
    <n v="50"/>
    <s v=""/>
    <s v=""/>
    <s v=""/>
    <s v=""/>
    <n v="1"/>
  </r>
  <r>
    <x v="0"/>
    <n v="614"/>
    <m/>
    <n v="2603"/>
    <s v="Indefinido se vamos ou não seguir . O Wellington esta em analise se vamos evoluir!_x000a_Esta oportunidade encontra-se pausado durante 2026._x000a_07/02 Por motivo de gerenciamento do meu CRM, estou declinando a proposta e futuramente quando o cliente demonstrar interesse novamente retornamos com a proposta."/>
    <s v=""/>
    <x v="267"/>
    <n v="9517464000144"/>
    <s v=""/>
    <s v="Wellington"/>
    <s v=""/>
    <s v=""/>
    <s v="well@wellmix.com.br"/>
    <s v=""/>
    <s v=""/>
    <s v=""/>
    <s v=""/>
    <s v=""/>
    <s v=""/>
    <s v=""/>
    <s v=""/>
    <s v="30%;Pausado"/>
    <s v="Pipeline de Vendas"/>
    <s v="Em negociação (75%)"/>
    <s v=""/>
    <d v="2026-03-31T00:00:00"/>
    <n v="254760"/>
    <n v="1578632"/>
    <n v="131"/>
    <s v="Paulo Souza"/>
    <d v="2025-09-29T00:00:00"/>
    <d v="1899-12-30T17:19:09"/>
    <s v=""/>
    <s v="Perdido"/>
    <d v="2026-02-07T00:00:00"/>
    <d v="1899-12-30T08:47:53"/>
    <s v="Não quer mudar a solução atual"/>
    <s v="07/02 Por motivo de gerenciamento do meu CRM, estou declinando a proposta e futuramente quando o cliente demonstrar interesse novamente retornamos com a proposta."/>
    <s v=""/>
    <x v="124"/>
    <s v="Paulo Souza"/>
    <x v="136"/>
    <s v=""/>
    <d v="2026-02-07T00:00:00"/>
    <n v="30"/>
    <s v=""/>
    <s v=""/>
    <s v=""/>
    <s v=""/>
    <n v="1"/>
  </r>
  <r>
    <x v="0"/>
    <n v="615"/>
    <m/>
    <n v="2604"/>
    <s v=""/>
    <s v=""/>
    <x v="268"/>
    <n v="73114894000114"/>
    <s v=""/>
    <s v="Sidney"/>
    <s v=""/>
    <s v=""/>
    <s v="sidney@unikhome.com.br"/>
    <s v=""/>
    <s v=""/>
    <s v=""/>
    <s v=""/>
    <s v=""/>
    <s v=""/>
    <s v=""/>
    <s v=""/>
    <s v=""/>
    <s v="Pipeline de Vendas"/>
    <s v="Em negociação (75%)"/>
    <s v=""/>
    <m/>
    <m/>
    <m/>
    <n v="0"/>
    <s v="Paulo Souza"/>
    <d v="2025-09-29T00:00:00"/>
    <d v="1899-12-30T17:22:41"/>
    <s v=""/>
    <s v="Perdido"/>
    <d v="2025-09-29T00:00:00"/>
    <d v="1899-12-30T17:22:55"/>
    <s v="Preço muito alto - fora do budget de investimento"/>
    <s v=""/>
    <s v=""/>
    <x v="125"/>
    <s v="Paulo Souza"/>
    <x v="137"/>
    <s v=""/>
    <m/>
    <m/>
    <s v=""/>
    <s v=""/>
    <s v=""/>
    <s v=""/>
    <n v="1"/>
  </r>
  <r>
    <x v="0"/>
    <n v="616"/>
    <m/>
    <n v="2605"/>
    <s v=""/>
    <s v=""/>
    <x v="269"/>
    <n v="18628799000120"/>
    <s v=""/>
    <s v="Gabeirl"/>
    <s v="(11) 3567-5470"/>
    <s v=""/>
    <s v="atendimento@dolcehome.com.br"/>
    <s v=""/>
    <s v=""/>
    <s v=""/>
    <s v="SAO PAULO"/>
    <s v="SP"/>
    <s v=""/>
    <s v=""/>
    <s v=""/>
    <s v=""/>
    <s v="Pipeline de Vendas"/>
    <s v="Em negociação (75%)"/>
    <s v=""/>
    <m/>
    <m/>
    <m/>
    <n v="37"/>
    <s v="Paulo Souza"/>
    <d v="2025-09-29T00:00:00"/>
    <d v="1899-12-30T17:28:50"/>
    <s v=""/>
    <s v="Perdido"/>
    <d v="2025-11-05T00:00:00"/>
    <d v="1899-12-30T09:54:48"/>
    <s v="Fora do porte mínimo (sem fit estrutural)"/>
    <s v=""/>
    <s v=""/>
    <x v="126"/>
    <s v="Paulo Souza"/>
    <x v="136"/>
    <s v=""/>
    <m/>
    <m/>
    <s v=""/>
    <s v=""/>
    <s v=""/>
    <s v=""/>
    <n v="1"/>
  </r>
  <r>
    <x v="1"/>
    <n v="618"/>
    <m/>
    <n v="2609"/>
    <s v=""/>
    <s v=""/>
    <x v="270"/>
    <n v="49872306000127"/>
    <s v=""/>
    <s v="Illumac Industria - Cloud"/>
    <s v="1432131100"/>
    <s v=""/>
    <s v="direcao@safeway.ind.br"/>
    <s v=""/>
    <s v=""/>
    <s v=""/>
    <s v="BAURU"/>
    <s v="SP"/>
    <s v=""/>
    <s v=""/>
    <s v=""/>
    <s v=""/>
    <s v="Pipeline de Vendas"/>
    <s v="Apresentar Proposta (50%)"/>
    <s v=""/>
    <m/>
    <n v="1600"/>
    <n v="2468"/>
    <n v="3"/>
    <s v="Junior Lopes"/>
    <d v="2025-09-30T00:00:00"/>
    <d v="1899-12-30T14:38:16"/>
    <s v=""/>
    <s v="Perdido"/>
    <d v="2025-10-03T00:00:00"/>
    <d v="1899-12-30T09:42:31"/>
    <s v="Não quer mudar a solução atual"/>
    <s v="cliente não responde as mensagens e ligações"/>
    <s v=""/>
    <x v="114"/>
    <s v=""/>
    <x v="130"/>
    <s v=""/>
    <m/>
    <m/>
    <s v=""/>
    <s v=""/>
    <s v=""/>
    <s v=""/>
    <n v="1"/>
  </r>
  <r>
    <x v="1"/>
    <n v="619"/>
    <m/>
    <n v="2614"/>
    <s v=""/>
    <s v=""/>
    <x v="271"/>
    <n v="1099426000107"/>
    <s v=""/>
    <s v="Chame Rio - Horas"/>
    <s v="21996087296"/>
    <s v=""/>
    <s v="leon@chamerio.com.br"/>
    <s v=""/>
    <s v=""/>
    <s v=""/>
    <s v=""/>
    <s v=""/>
    <s v=""/>
    <s v=""/>
    <s v=""/>
    <s v=""/>
    <s v="Pipeline de Vendas"/>
    <s v="Em Fechamento (100%)"/>
    <s v=""/>
    <m/>
    <n v="2527318"/>
    <n v="0"/>
    <n v="29"/>
    <s v="Junior Lopes"/>
    <d v="2025-09-30T00:00:00"/>
    <d v="1899-12-30T15:58:34"/>
    <s v=""/>
    <s v="Ganho"/>
    <d v="2025-10-29T00:00:00"/>
    <d v="1899-12-30T10:50:59"/>
    <s v=""/>
    <s v=""/>
    <s v=""/>
    <x v="127"/>
    <s v=""/>
    <x v="0"/>
    <s v=""/>
    <m/>
    <m/>
    <s v=""/>
    <s v=""/>
    <s v=""/>
    <s v=""/>
    <n v="1"/>
  </r>
  <r>
    <x v="0"/>
    <n v="620"/>
    <m/>
    <n v="2615"/>
    <s v=""/>
    <s v=""/>
    <x v="272"/>
    <n v="5856090000130"/>
    <s v=""/>
    <s v="José Luiz Gomes Junior"/>
    <s v=""/>
    <s v=""/>
    <s v="controladoria@bionov.com.br"/>
    <s v=""/>
    <s v=""/>
    <s v=""/>
    <s v=""/>
    <s v=""/>
    <s v=""/>
    <s v=""/>
    <s v=""/>
    <s v=""/>
    <s v="Pipeline de Vendas"/>
    <s v="Em negociação (75%)"/>
    <s v=""/>
    <m/>
    <m/>
    <m/>
    <n v="36"/>
    <s v="Paulo Souza"/>
    <d v="2025-09-30T00:00:00"/>
    <d v="1899-12-30T16:04:40"/>
    <s v=""/>
    <s v="Perdido"/>
    <d v="2025-11-05T00:00:00"/>
    <d v="1899-12-30T09:53:42"/>
    <s v="Preço muito alto - fora do budget de investimento"/>
    <s v=""/>
    <s v=""/>
    <x v="128"/>
    <s v="Paulo Souza"/>
    <x v="138"/>
    <s v=""/>
    <m/>
    <m/>
    <s v=""/>
    <s v=""/>
    <s v=""/>
    <s v=""/>
    <n v="1"/>
  </r>
  <r>
    <x v="1"/>
    <n v="621"/>
    <m/>
    <n v="2616"/>
    <s v=""/>
    <s v=""/>
    <x v="273"/>
    <m/>
    <s v=""/>
    <s v="Vitoria cortinas - Horas"/>
    <s v="35999594857"/>
    <s v=""/>
    <s v="financeiro@vitoriacortinas.com.br"/>
    <s v=""/>
    <s v=""/>
    <s v=""/>
    <s v=""/>
    <s v=""/>
    <s v=""/>
    <s v=""/>
    <s v=""/>
    <s v=""/>
    <s v="Pipeline de Vendas"/>
    <s v="Em Fechamento (100%)"/>
    <s v=""/>
    <m/>
    <n v="5406"/>
    <n v="0"/>
    <n v="0"/>
    <s v="Junior Lopes"/>
    <d v="2025-09-30T00:00:00"/>
    <d v="1899-12-30T16:31:01"/>
    <s v=""/>
    <s v="Ganho"/>
    <d v="2025-09-30T00:00:00"/>
    <d v="1899-12-30T16:32:13"/>
    <s v=""/>
    <s v=""/>
    <s v=""/>
    <x v="121"/>
    <s v=""/>
    <x v="0"/>
    <s v=""/>
    <m/>
    <m/>
    <s v=""/>
    <s v=""/>
    <s v=""/>
    <s v=""/>
    <n v="1"/>
  </r>
  <r>
    <x v="1"/>
    <n v="622"/>
    <m/>
    <n v="2617"/>
    <s v=""/>
    <s v=""/>
    <x v="274"/>
    <m/>
    <s v=""/>
    <s v="Casa Bonitta - Cloud"/>
    <s v="1142923358"/>
    <s v=""/>
    <s v="catocontabilidade@gmail.com"/>
    <s v=""/>
    <s v=""/>
    <s v=""/>
    <s v=""/>
    <s v=""/>
    <s v=""/>
    <s v=""/>
    <s v=""/>
    <s v=""/>
    <s v="Pipeline de Vendas"/>
    <s v="Apresentar Solução (35%)"/>
    <s v=""/>
    <m/>
    <n v="1600"/>
    <n v="2468"/>
    <n v="3"/>
    <s v="Junior Lopes"/>
    <d v="2025-09-30T00:00:00"/>
    <d v="1899-12-30T16:35:41"/>
    <s v=""/>
    <s v="Perdido"/>
    <d v="2025-10-03T00:00:00"/>
    <d v="1899-12-30T09:59:20"/>
    <s v="Não houve aprovação financeira"/>
    <s v="Após proposta cliente não respondeu mais"/>
    <s v=""/>
    <x v="114"/>
    <s v=""/>
    <x v="122"/>
    <s v=""/>
    <m/>
    <m/>
    <s v=""/>
    <s v=""/>
    <s v=""/>
    <s v=""/>
    <n v="1"/>
  </r>
  <r>
    <x v="1"/>
    <n v="623"/>
    <m/>
    <n v="2618"/>
    <s v=""/>
    <s v=""/>
    <x v="275"/>
    <m/>
    <s v=""/>
    <s v="Casa Bonitta - PDV"/>
    <s v="1142923358"/>
    <s v=""/>
    <s v="catocontabilidade@gmail.com"/>
    <s v=""/>
    <s v=""/>
    <s v=""/>
    <s v=""/>
    <s v=""/>
    <s v=""/>
    <s v=""/>
    <s v=""/>
    <s v=""/>
    <s v="Pipeline de Vendas"/>
    <s v="Apresentar Solução (35%)"/>
    <s v=""/>
    <m/>
    <n v="59360"/>
    <n v="27562"/>
    <n v="3"/>
    <s v="Junior Lopes"/>
    <d v="2025-09-30T00:00:00"/>
    <d v="1899-12-30T16:38:47"/>
    <s v=""/>
    <s v="Perdido"/>
    <d v="2025-10-03T00:00:00"/>
    <d v="1899-12-30T09:58:51"/>
    <s v="Não houve aprovação financeira"/>
    <s v="Após proposta cliente não respondeu mais"/>
    <s v=""/>
    <x v="114"/>
    <s v=""/>
    <x v="122"/>
    <s v=""/>
    <m/>
    <m/>
    <s v=""/>
    <s v=""/>
    <s v=""/>
    <s v=""/>
    <n v="1"/>
  </r>
  <r>
    <x v="0"/>
    <n v="624"/>
    <m/>
    <n v="2619"/>
    <s v=""/>
    <s v=""/>
    <x v="276"/>
    <m/>
    <s v=""/>
    <s v="Hussein"/>
    <s v="96170057610"/>
    <s v=""/>
    <s v="null"/>
    <s v=""/>
    <s v=""/>
    <s v=""/>
    <s v=""/>
    <s v=""/>
    <s v=""/>
    <s v=""/>
    <s v=""/>
    <s v=""/>
    <s v="Pipeline de Vendas"/>
    <s v="Em negociação (75%)"/>
    <s v=""/>
    <m/>
    <m/>
    <m/>
    <n v="36"/>
    <s v="Paulo Souza"/>
    <d v="2025-09-30T00:00:00"/>
    <d v="1899-12-30T17:35:39"/>
    <s v=""/>
    <s v="Perdido"/>
    <d v="2025-11-05T00:00:00"/>
    <d v="1899-12-30T09:51:43"/>
    <s v="Projeto adiado / sem prazo definido"/>
    <s v=""/>
    <s v=""/>
    <x v="128"/>
    <s v="Paulo Souza"/>
    <x v="138"/>
    <s v=""/>
    <m/>
    <m/>
    <s v=""/>
    <s v=""/>
    <s v=""/>
    <s v=""/>
    <n v="1"/>
  </r>
  <r>
    <x v="1"/>
    <n v="628"/>
    <m/>
    <n v="2622"/>
    <s v=""/>
    <s v=""/>
    <x v="277"/>
    <m/>
    <s v=""/>
    <s v="Leandro carlos gonçalves"/>
    <s v="(16) 99270-3152"/>
    <s v=""/>
    <s v="solpratae@gmail.com"/>
    <s v=""/>
    <s v=""/>
    <s v=""/>
    <s v="São Carlos"/>
    <s v=""/>
    <s v="Site"/>
    <s v=""/>
    <s v=""/>
    <s v="Solicita demo"/>
    <s v="Pipeline de Vendas"/>
    <s v="Qualificação de Vendas (SQL) (25%)"/>
    <s v=""/>
    <m/>
    <m/>
    <m/>
    <n v="4"/>
    <s v="Paulo Souza"/>
    <d v="2025-10-03T00:00:00"/>
    <d v="1899-12-30T11:10:44"/>
    <s v=""/>
    <s v="Perdido"/>
    <d v="2025-10-07T00:00:00"/>
    <d v="1899-12-30T09:34:17"/>
    <s v="Nossa solução não atende - falta funcionalidade"/>
    <s v="cliente fora do perfil"/>
    <s v=""/>
    <x v="0"/>
    <s v="Junior Lopes"/>
    <x v="0"/>
    <s v=""/>
    <m/>
    <m/>
    <s v=""/>
    <s v=""/>
    <s v=""/>
    <s v=""/>
    <n v="1"/>
  </r>
  <r>
    <x v="1"/>
    <n v="634"/>
    <m/>
    <n v="2631"/>
    <s v=""/>
    <s v="Artesanato Uni-art Industria E Comercio Ltda"/>
    <x v="278"/>
    <n v="43400571000126"/>
    <s v=""/>
    <s v="Artesanato Uni-art Industria E Comercio Ltda"/>
    <s v="(19) 3876-4260"/>
    <s v=""/>
    <s v="thiago@uniartrelogios.com.br"/>
    <s v=""/>
    <s v=""/>
    <s v=""/>
    <s v="VINHEDO"/>
    <s v="SP"/>
    <s v="Base de empresas Leads2b"/>
    <s v=""/>
    <s v=""/>
    <s v=""/>
    <s v="Pipeline de Vendas"/>
    <s v="Apresentar Proposta (50%)"/>
    <s v=""/>
    <m/>
    <n v="7021439"/>
    <n v="417338"/>
    <n v="20"/>
    <s v="Junior Lopes"/>
    <d v="2025-10-09T00:00:00"/>
    <d v="1899-12-30T15:47:08"/>
    <s v=""/>
    <s v="Perdido"/>
    <d v="2025-10-29T00:00:00"/>
    <d v="1899-12-30T10:23:53"/>
    <s v="Projeto adiado / sem prazo definido"/>
    <s v="sem retorno do cliente"/>
    <s v=""/>
    <x v="129"/>
    <s v=""/>
    <x v="139"/>
    <s v=""/>
    <m/>
    <m/>
    <s v=""/>
    <s v=""/>
    <s v=""/>
    <s v=""/>
    <n v="1"/>
  </r>
  <r>
    <x v="1"/>
    <n v="638"/>
    <m/>
    <n v="2640"/>
    <s v=""/>
    <s v=""/>
    <x v="279"/>
    <m/>
    <s v=""/>
    <s v="Star Distribuidora (WMS)"/>
    <s v="17996266970"/>
    <s v=""/>
    <s v="null"/>
    <s v=""/>
    <s v=""/>
    <s v=""/>
    <s v=""/>
    <s v=""/>
    <s v=""/>
    <s v=""/>
    <s v=""/>
    <s v=""/>
    <s v="Pipeline de Vendas"/>
    <s v="Em negociação (75%)"/>
    <s v=""/>
    <m/>
    <m/>
    <m/>
    <n v="62"/>
    <s v="Junior Lopes"/>
    <d v="2025-10-10T00:00:00"/>
    <d v="1899-12-30T15:25:31"/>
    <s v=""/>
    <s v="Perdido"/>
    <d v="2025-12-11T00:00:00"/>
    <d v="1899-12-30T15:22:39"/>
    <s v="Projeto adiado / sem prazo definido"/>
    <s v=""/>
    <s v=""/>
    <x v="0"/>
    <s v=""/>
    <x v="139"/>
    <s v=""/>
    <m/>
    <m/>
    <s v=""/>
    <s v=""/>
    <s v=""/>
    <s v=""/>
    <n v="1"/>
  </r>
  <r>
    <x v="0"/>
    <n v="639"/>
    <m/>
    <n v="2644"/>
    <s v=""/>
    <s v=""/>
    <x v="280"/>
    <m/>
    <s v=""/>
    <s v="Alexsandro"/>
    <s v="75988472625"/>
    <s v=""/>
    <s v="null"/>
    <s v=""/>
    <s v=""/>
    <s v=""/>
    <s v=""/>
    <s v=""/>
    <s v=""/>
    <s v=""/>
    <s v=""/>
    <s v=""/>
    <s v="Pipeline de Vendas"/>
    <s v="Em negociação (75%)"/>
    <s v=""/>
    <m/>
    <m/>
    <m/>
    <n v="33"/>
    <s v="Paulo Souza"/>
    <d v="2025-10-15T00:00:00"/>
    <d v="1899-12-30T17:33:19"/>
    <s v=""/>
    <s v="Perdido"/>
    <d v="2025-11-17T00:00:00"/>
    <d v="1899-12-30T15:27:20"/>
    <s v="Não houve aprovação financeira"/>
    <s v=""/>
    <s v=""/>
    <x v="130"/>
    <s v="Paulo Souza"/>
    <x v="140"/>
    <s v=""/>
    <m/>
    <m/>
    <s v=""/>
    <s v=""/>
    <s v=""/>
    <s v=""/>
    <n v="1"/>
  </r>
  <r>
    <x v="1"/>
    <n v="640"/>
    <m/>
    <n v="2646"/>
    <s v=""/>
    <s v=""/>
    <x v="281"/>
    <m/>
    <s v=""/>
    <s v="Preciza Import"/>
    <s v="11947600755"/>
    <s v=""/>
    <s v="financeiro@precizaimports.com.br"/>
    <s v=""/>
    <s v=""/>
    <s v=""/>
    <s v=""/>
    <s v=""/>
    <s v=""/>
    <s v=""/>
    <s v=""/>
    <s v=""/>
    <s v="Pipeline de Vendas"/>
    <s v="Em Fechamento (100%)"/>
    <s v=""/>
    <m/>
    <n v="1380825"/>
    <n v="0"/>
    <n v="0"/>
    <s v="Junior Lopes"/>
    <d v="2025-10-16T00:00:00"/>
    <d v="1899-12-30T14:48:50"/>
    <s v=""/>
    <s v="Ganho"/>
    <d v="2025-10-16T00:00:00"/>
    <d v="1899-12-30T14:51:47"/>
    <s v=""/>
    <s v=""/>
    <s v=""/>
    <x v="131"/>
    <s v=""/>
    <x v="0"/>
    <s v=""/>
    <m/>
    <m/>
    <s v=""/>
    <s v=""/>
    <s v=""/>
    <s v=""/>
    <n v="1"/>
  </r>
  <r>
    <x v="1"/>
    <n v="641"/>
    <m/>
    <n v="2647"/>
    <s v=""/>
    <s v=""/>
    <x v="282"/>
    <m/>
    <s v=""/>
    <s v="Artesanato Uni-art Ind.- Cloud"/>
    <s v="1938764260"/>
    <s v=""/>
    <s v="thiago@uniartrelogios.com.br"/>
    <s v=""/>
    <s v=""/>
    <s v=""/>
    <s v=""/>
    <s v=""/>
    <s v=""/>
    <s v=""/>
    <s v=""/>
    <s v=""/>
    <s v="Pipeline de Vendas"/>
    <s v="Apresentar Proposta (50%)"/>
    <s v=""/>
    <m/>
    <n v="1600"/>
    <n v="3695"/>
    <n v="13"/>
    <s v="Junior Lopes"/>
    <d v="2025-10-16T00:00:00"/>
    <d v="1899-12-30T16:42:09"/>
    <s v=""/>
    <s v="Perdido"/>
    <d v="2025-10-29T00:00:00"/>
    <d v="1899-12-30T10:25:19"/>
    <s v="Projeto adiado / sem prazo definido"/>
    <s v="cliente não atende aos contatos"/>
    <s v=""/>
    <x v="129"/>
    <s v=""/>
    <x v="139"/>
    <s v=""/>
    <m/>
    <m/>
    <s v=""/>
    <s v=""/>
    <s v=""/>
    <s v=""/>
    <n v="1"/>
  </r>
  <r>
    <x v="1"/>
    <n v="642"/>
    <m/>
    <n v="2648"/>
    <s v="11:51, 06/01/2026 Junior Lopes: lá Wilkerson, bom dia_x000a_11:51, 06/01/2026 Junior Lopes: Um Feliz 2026 para vc e toda equipe 🙏🙏_x000a_11:51, 06/01/2026 Junior Lopes: Me recebe aí para discutirmos sobre a proposta comercial?_x000a_15:32, 23/01/2026 Junior Lopes: Olá Wilkerson, boa tarde_x000a_13:34, 27/01/2026 Wilkerson Plasbrin: Ola_x000a_13:34, 27/01/2026 Wilkerson Plasbrin: Estou analisando a proposta sina_x000a_13:34, 27/01/2026 Wilkerson Plasbrin: Ainda_x000a_13:35, 27/01/2026 Wilkerson Plasbrin: Creio que em fevereiro te contato sobre uma negociação_x000a_13:36, 27/01/2026 Junior Lopes: Olá meu amigo! Ótimo _x000a_Veja o que precisa para fecharmos! Nossa solução vai ajudar muito em seus processos _x000a_Te aguardo 👊_x000a_14:25, 27/01/2026 Wilkerson Plasbrin: Pode deixar_x000a_14:25, 27/01/2026 Wilkerson Plasbrin: Vamos avaliar_x000a_08:53, 24/02/2026 Junior Lopes: Olá Wilkerson, bom dia , Td bem ?_x000a_08:54, 24/02/2026 Junior Lopes: Vamos agendar um bate papo para próxima semana ? _x000a_Se sim vou até você !"/>
    <s v=""/>
    <x v="283"/>
    <m/>
    <s v=""/>
    <s v="Plasbrink Embalagens Plasticas Ltda - Cloud"/>
    <s v="11997580006"/>
    <s v=""/>
    <s v="falgat@terra.com.br"/>
    <s v=""/>
    <s v=""/>
    <s v=""/>
    <s v=""/>
    <s v=""/>
    <s v=""/>
    <s v=""/>
    <s v=""/>
    <s v="50%"/>
    <s v="Pipeline de Vendas"/>
    <s v="Em negociação (75%)"/>
    <s v=""/>
    <d v="2026-03-31T00:00:00"/>
    <n v="1600"/>
    <n v="335607"/>
    <n v="215"/>
    <s v="Junior Lopes"/>
    <d v="2025-10-17T00:00:00"/>
    <d v="1899-12-30T09:45:53"/>
    <s v=""/>
    <s v="Ativo"/>
    <m/>
    <m/>
    <s v=""/>
    <s v=""/>
    <s v=""/>
    <x v="123"/>
    <s v="Junior Lopes"/>
    <x v="141"/>
    <s v=""/>
    <d v="2026-02-24T00:00:00"/>
    <n v="50"/>
    <s v=""/>
    <s v=""/>
    <s v=""/>
    <s v=""/>
    <n v="1"/>
  </r>
  <r>
    <x v="1"/>
    <n v="643"/>
    <m/>
    <n v="2649"/>
    <s v="O cliente está utilizando o módulo em período de degustação de 7 dias, com término em 16/12/2025. Após essa data, ele deverá decidir se seguirá com a contratação ou se irá declinar."/>
    <s v=""/>
    <x v="284"/>
    <n v="43028557000143"/>
    <s v=""/>
    <s v="Preciza Import - Boleto WhatsApp"/>
    <s v="11947600755"/>
    <s v=""/>
    <s v="financeiro@precizaimports.com.br"/>
    <s v=""/>
    <s v=""/>
    <s v=""/>
    <s v=""/>
    <s v=""/>
    <s v=""/>
    <s v=""/>
    <s v=""/>
    <s v="80%"/>
    <s v="Pipeline de Vendas"/>
    <s v="Em Fechamento (100%)"/>
    <s v=""/>
    <d v="2025-11-28T00:00:00"/>
    <n v="0"/>
    <n v="3564"/>
    <n v="129"/>
    <s v="Junior Lopes"/>
    <d v="2025-10-17T00:00:00"/>
    <d v="1899-12-30T09:48:43"/>
    <s v=""/>
    <s v="Perdido"/>
    <d v="2026-02-23T00:00:00"/>
    <d v="1899-12-30T10:22:57"/>
    <s v="Projeto adiado / sem prazo definido"/>
    <s v="cliente não assinou contrato"/>
    <s v=""/>
    <x v="132"/>
    <s v="Junior Lopes"/>
    <x v="142"/>
    <s v=""/>
    <d v="2025-12-12T00:00:00"/>
    <n v="80"/>
    <s v=""/>
    <s v=""/>
    <s v=""/>
    <s v=""/>
    <n v="1"/>
  </r>
  <r>
    <x v="1"/>
    <n v="644"/>
    <m/>
    <n v="2650"/>
    <s v="Após a apresentação de 10/12/2025, ficou definido que a equipe da Marka Têxtil se reunirá para decidir sobre a continuidade do projeto. Farei um follow-up em 15/12/2025 para obter a definição._x000a_16:22, 27/01/2026 Junior Lopes: Olá Regina ! Boa tarde_x000a_16:22, 27/01/2026 Regina Chagas: Boa tarde_x000a_16:27, 27/01/2026 Junior Lopes: Como está a evolução do projeto?_x000a_16:29, 27/01/2026 Junior Lopes: Sei que vcs estão em contato com outras ferramentas! E que está tudo bem _x000a_Porém fico preocupado com valor que já negociamos! A proposta é do ano passado ! Viramos a nossa tabela _x000a_Estou segurando os valores aqui ! Mas preciso de um feedback_x000a_16:49, 27/01/2026 Regina Chagas: Entendo, acredito que até sexta feira eu te dou um retorno final_x000a_(03/02/2026) em contato com a Bruna na feira Abup informou que decidiu seguir com ERP que apresentou uma proposta mais atrativa em questão de valores ! abaixo mensagem da Regina com mesmo contexto : _x000a_07:57, 09/02/2026 Regina Chagas: Bom dia Junior, desculpe a demora no retorno._x000a_Fechamos com outra empresa, em reunião foi decidido que seria mais vantajoso além do custo/beneficio._x000a_Muito obrigada pelo seu ótimo atendimento_x000a_08:59, 09/02/2026 Junior Lopes: Olá Regina bom dia ! Falei com a Bruna na feira _x000a_Desejo sucesso para vocês"/>
    <s v=""/>
    <x v="285"/>
    <n v="62499934000177"/>
    <s v=""/>
    <s v="Marka Textil"/>
    <s v="11975444564"/>
    <s v=""/>
    <s v="brunaantonelli@markatextil.com.br"/>
    <s v=""/>
    <s v=""/>
    <s v=""/>
    <s v="GUARAREMA"/>
    <s v="SP"/>
    <s v=""/>
    <s v=""/>
    <s v=""/>
    <s v="80%"/>
    <s v="Pipeline de Vendas"/>
    <s v="Em negociação (75%)"/>
    <s v=""/>
    <d v="2026-02-28T00:00:00"/>
    <n v="118908"/>
    <n v="1304844"/>
    <n v="117"/>
    <s v="Junior Lopes"/>
    <d v="2025-10-17T00:00:00"/>
    <d v="1899-12-30T10:09:46"/>
    <s v=""/>
    <s v="Perdido"/>
    <d v="2026-02-11T00:00:00"/>
    <d v="1899-12-30T17:32:54"/>
    <s v="Fechou com o concorrente - preço"/>
    <s v="fechou por preço"/>
    <s v=""/>
    <x v="133"/>
    <s v="Junior Lopes"/>
    <x v="142"/>
    <s v="05/11/2025"/>
    <d v="2026-02-03T00:00:00"/>
    <n v="80"/>
    <s v=""/>
    <s v=""/>
    <s v=""/>
    <s v=""/>
    <n v="1"/>
  </r>
  <r>
    <x v="1"/>
    <n v="645"/>
    <m/>
    <n v="2654"/>
    <s v="Após a apresentação de 10/12/2025, ficou definido que a equipe da Marka Têxtil se reunirá para decidir sobre a continuidade do projeto. Farei um follow-up em 15/12/2025 para obter a definição._x000a_16:22, 27/01/2026 Junior Lopes: Olá Regina ! Boa tarde_x000a_16:22, 27/01/2026 Regina Chagas: Boa tarde_x000a_16:27, 27/01/2026 Junior Lopes: Como está a evolução do projeto?_x000a_16:29, 27/01/2026 Junior Lopes: Sei que vcs estão em contato com outras ferramentas! E que está tudo bem _x000a_Porém fico preocupado com valor que já negociamos! A proposta é do ano passado ! Viramos a nossa tabela _x000a_Estou segurando os valores aqui ! Mas preciso de um feedback_x000a_16:49, 27/01/2026 Regina Chagas: Entendo, acredito que até sexta feira eu te dou um retorno final_x000a_(03/02/2026) em contato com a Bruna na feira Abup informou que decidiu seguir com ERP que apresentou uma proposta mais atrativa em questão de valores ! abaixo mensagem da Regina com mesmo contexto : _x000a_07:57, 09/02/2026 Regina Chagas: Bom dia Junior, desculpe a demora no retorno._x000a_Fechamos com outra empresa, em reunião foi decidido que seria mais vantajoso além do custo/beneficio._x000a_Muito obrigada pelo seu ótimo atendimento_x000a_08:59, 09/02/2026 Junior Lopes: Olá Regina bom dia ! Falei com a Bruna na feira _x000a_Desejo sucesso para vocês"/>
    <s v=""/>
    <x v="286"/>
    <n v="62499934000177"/>
    <s v=""/>
    <s v="Marka Textil - Cloud"/>
    <s v="11975444564"/>
    <s v=""/>
    <s v="brunaantonelli@markatextil.com.br"/>
    <s v=""/>
    <s v=""/>
    <s v=""/>
    <s v="GUARAREMA"/>
    <s v="SP"/>
    <s v=""/>
    <s v=""/>
    <s v=""/>
    <s v="80%"/>
    <s v="Pipeline de Vendas"/>
    <s v="Em negociação (75%)"/>
    <s v=""/>
    <d v="2026-02-28T00:00:00"/>
    <n v="1600"/>
    <n v="68466"/>
    <n v="117"/>
    <s v="Junior Lopes"/>
    <d v="2025-10-17T00:00:00"/>
    <d v="1899-12-30T10:12:49"/>
    <s v=""/>
    <s v="Perdido"/>
    <d v="2026-02-11T00:00:00"/>
    <d v="1899-12-30T17:34:29"/>
    <s v="Fechou com o concorrente - preço"/>
    <s v="fechou por preço"/>
    <s v=""/>
    <x v="134"/>
    <s v="Junior Lopes"/>
    <x v="143"/>
    <s v=""/>
    <d v="2026-02-03T00:00:00"/>
    <n v="80"/>
    <s v=""/>
    <s v=""/>
    <s v=""/>
    <s v=""/>
    <n v="1"/>
  </r>
  <r>
    <x v="1"/>
    <n v="656"/>
    <m/>
    <n v="2261"/>
    <s v=""/>
    <s v="Imprime Industria E Comercio De Plasticos Ltda"/>
    <x v="287"/>
    <n v="37905383000157"/>
    <s v=""/>
    <s v="Imprime Industria E Comercio De Plasticos Ltda"/>
    <s v="(11) 4552-8400"/>
    <s v=""/>
    <s v="sac@ascampoli.com.br"/>
    <s v=""/>
    <s v=""/>
    <s v=""/>
    <s v="SAO PAULO"/>
    <s v="SP"/>
    <s v="Base de empresas Leads2b"/>
    <s v=""/>
    <s v=""/>
    <s v=""/>
    <s v="Pipeline de Vendas"/>
    <s v="Apresentar Solução (35%)"/>
    <s v=""/>
    <m/>
    <m/>
    <m/>
    <n v="34"/>
    <s v="Junior Lopes"/>
    <d v="2025-10-22T00:00:00"/>
    <d v="1899-12-30T17:04:38"/>
    <s v=""/>
    <s v="Perdido"/>
    <d v="2025-11-25T00:00:00"/>
    <d v="1899-12-30T16:56:11"/>
    <s v="Não quer mudar a solução atual"/>
    <s v=""/>
    <s v=""/>
    <x v="0"/>
    <s v=""/>
    <x v="0"/>
    <s v=""/>
    <m/>
    <m/>
    <s v=""/>
    <s v=""/>
    <s v=""/>
    <s v=""/>
    <n v="1"/>
  </r>
  <r>
    <x v="1"/>
    <n v="657"/>
    <m/>
    <n v="2659"/>
    <s v=""/>
    <s v=""/>
    <x v="288"/>
    <m/>
    <s v=""/>
    <s v="Jones da Costa Grance"/>
    <s v="(67) 99147-9660"/>
    <s v=""/>
    <s v="distribuidoraprime067@gmail.com"/>
    <s v=""/>
    <s v=""/>
    <s v=""/>
    <s v="Campo Grande"/>
    <s v=""/>
    <s v="Site"/>
    <s v=""/>
    <s v=""/>
    <s v="Solicita demo"/>
    <s v="Pipeline de Vendas"/>
    <s v="Apresentar Solução (35%)"/>
    <s v=""/>
    <m/>
    <n v="38380"/>
    <n v="107526"/>
    <n v="32"/>
    <s v="Paulo Souza"/>
    <d v="2025-10-23T00:00:00"/>
    <d v="1899-12-30T15:08:08"/>
    <s v=""/>
    <s v="Perdido"/>
    <d v="2025-11-24T00:00:00"/>
    <d v="1899-12-30T16:49:44"/>
    <s v="Preço muito alto - fora do budget de investimento"/>
    <s v="cliente não esta no tempo certo, achou investimento muito alto"/>
    <s v=""/>
    <x v="123"/>
    <s v="Junior Lopes"/>
    <x v="144"/>
    <s v=""/>
    <m/>
    <m/>
    <s v=""/>
    <s v=""/>
    <s v=""/>
    <s v=""/>
    <n v="1"/>
  </r>
  <r>
    <x v="1"/>
    <n v="659"/>
    <m/>
    <n v="2680"/>
    <s v=""/>
    <s v=""/>
    <x v="289"/>
    <m/>
    <s v=""/>
    <s v="Karam kaiss"/>
    <s v="(11) 98348-6116"/>
    <s v=""/>
    <s v="mbcontatokaram@gmail.com"/>
    <s v=""/>
    <s v=""/>
    <s v=""/>
    <s v="São Paulo"/>
    <s v=""/>
    <s v="Site"/>
    <s v=""/>
    <s v=""/>
    <s v="Solicita demo"/>
    <s v="Pipeline de Vendas"/>
    <s v="Qualificação de Vendas (SQL) (25%)"/>
    <s v=""/>
    <m/>
    <m/>
    <m/>
    <n v="9"/>
    <s v="Paulo Souza"/>
    <d v="2025-10-27T00:00:00"/>
    <d v="1899-12-30T15:37:34"/>
    <s v=""/>
    <s v="Perdido"/>
    <d v="2025-11-05T00:00:00"/>
    <d v="1899-12-30T09:12:53"/>
    <s v="Nossa solução não atende - falta funcionalidade"/>
    <s v="cliente busca apenas módulo de compras"/>
    <s v=""/>
    <x v="0"/>
    <s v="Junior Lopes"/>
    <x v="0"/>
    <s v=""/>
    <m/>
    <m/>
    <s v=""/>
    <s v=""/>
    <s v=""/>
    <s v=""/>
    <n v="1"/>
  </r>
  <r>
    <x v="1"/>
    <n v="662"/>
    <m/>
    <n v="2684"/>
    <s v="(16/01/2026) Bruno decidiu por não fazer o investimento nesse momento ! esta estruturando a equipe de vendas"/>
    <s v="Sevilha Comercio Internacional Ltda"/>
    <x v="290"/>
    <n v="44628219000105"/>
    <s v=""/>
    <s v="Sevilha Comercio Internacional Ltda"/>
    <s v="(11) 4115-0797"/>
    <s v=""/>
    <s v="diego@gruposevilha.com"/>
    <s v=""/>
    <s v=""/>
    <s v=""/>
    <s v="NAVEGANTES"/>
    <s v="SC"/>
    <s v="Base de empresas Leads2b"/>
    <s v=""/>
    <s v=""/>
    <s v="30%"/>
    <s v="Pipeline de Vendas"/>
    <s v="Em negociação (75%)"/>
    <s v=""/>
    <d v="2026-01-30T00:00:00"/>
    <n v="38380"/>
    <n v="107526"/>
    <n v="80"/>
    <s v="Junior Lopes"/>
    <d v="2025-10-28T00:00:00"/>
    <d v="1899-12-30T10:15:43"/>
    <s v=""/>
    <s v="Perdido"/>
    <d v="2026-01-16T00:00:00"/>
    <d v="1899-12-30T15:59:13"/>
    <s v="Não houve aprovação financeira"/>
    <s v="(16/01/2026) Bruno decidiu por não fazer o investimento nesse momento ! esta estruturando a equipe de vendas"/>
    <s v=""/>
    <x v="135"/>
    <s v=""/>
    <x v="145"/>
    <s v=""/>
    <d v="2026-01-16T00:00:00"/>
    <m/>
    <s v=""/>
    <s v=""/>
    <s v=""/>
    <s v=""/>
    <n v="1"/>
  </r>
  <r>
    <x v="1"/>
    <n v="665"/>
    <m/>
    <n v="2692"/>
    <s v="(16/01/2026) Bruno decidiu por não fazer o investimento nesse momento ! esta estruturando a equipe de vendas"/>
    <s v=""/>
    <x v="291"/>
    <m/>
    <s v=""/>
    <s v="Sevilha Trade - Cloud"/>
    <s v="1141150797"/>
    <s v=""/>
    <s v="diego@gruposevilha.com"/>
    <s v=""/>
    <s v=""/>
    <s v=""/>
    <s v=""/>
    <s v=""/>
    <s v=""/>
    <s v=""/>
    <s v=""/>
    <s v="30%"/>
    <s v="Pipeline de Vendas"/>
    <s v="Em negociação (75%)"/>
    <s v=""/>
    <d v="2026-01-30T00:00:00"/>
    <n v="1600"/>
    <n v="2174"/>
    <n v="79"/>
    <s v="Junior Lopes"/>
    <d v="2025-10-29T00:00:00"/>
    <d v="1899-12-30T17:01:18"/>
    <s v=""/>
    <s v="Perdido"/>
    <d v="2026-01-16T00:00:00"/>
    <d v="1899-12-30T16:00:32"/>
    <s v="Não houve aprovação financeira"/>
    <s v="(16/01/2026) Bruno decidiu por não fazer o investimento nesse momento ! esta estruturando a equipe de vendas"/>
    <s v=""/>
    <x v="135"/>
    <s v=""/>
    <x v="145"/>
    <s v=""/>
    <d v="2026-01-16T00:00:00"/>
    <m/>
    <s v=""/>
    <s v=""/>
    <s v=""/>
    <s v=""/>
    <n v="1"/>
  </r>
  <r>
    <x v="1"/>
    <n v="667"/>
    <m/>
    <n v="2698"/>
    <s v=""/>
    <s v=""/>
    <x v="292"/>
    <m/>
    <s v=""/>
    <s v="Distribuidora Prime - Cloud"/>
    <s v="67991479660"/>
    <s v=""/>
    <s v="distribuidoraprime067@gmail.com"/>
    <s v=""/>
    <s v=""/>
    <s v=""/>
    <s v=""/>
    <s v=""/>
    <s v=""/>
    <s v=""/>
    <s v=""/>
    <s v=""/>
    <s v="Pipeline de Vendas"/>
    <s v="Apresentar Solução (35%)"/>
    <s v=""/>
    <m/>
    <n v="1600"/>
    <n v="21746"/>
    <n v="25"/>
    <s v="Junior Lopes"/>
    <d v="2025-10-30T00:00:00"/>
    <d v="1899-12-30T10:55:07"/>
    <s v=""/>
    <s v="Perdido"/>
    <d v="2025-11-24T00:00:00"/>
    <d v="1899-12-30T16:50:34"/>
    <s v="Preço muito alto - fora do budget de investimento"/>
    <s v="cliente não esta no tempo certo, achou investimento muito alto"/>
    <s v=""/>
    <x v="123"/>
    <s v=""/>
    <x v="144"/>
    <s v=""/>
    <m/>
    <m/>
    <s v=""/>
    <s v=""/>
    <s v=""/>
    <s v=""/>
    <n v="1"/>
  </r>
  <r>
    <x v="1"/>
    <n v="669"/>
    <m/>
    <n v="2718"/>
    <s v=""/>
    <s v=""/>
    <x v="293"/>
    <m/>
    <s v=""/>
    <s v="Tritec - Proposta Web"/>
    <s v="4791025652"/>
    <s v=""/>
    <s v="null"/>
    <s v=""/>
    <s v=""/>
    <s v=""/>
    <s v=""/>
    <s v=""/>
    <s v=""/>
    <s v=""/>
    <s v=""/>
    <s v=""/>
    <s v="Pipeline de Vendas"/>
    <s v="Apresentar Proposta (50%)"/>
    <s v=""/>
    <m/>
    <n v="0"/>
    <n v="2185"/>
    <n v="26"/>
    <s v="Junior Lopes"/>
    <d v="2025-10-31T00:00:00"/>
    <d v="1899-12-30T11:46:34"/>
    <s v=""/>
    <s v="Perdido"/>
    <d v="2025-11-26T00:00:00"/>
    <d v="1899-12-30T14:03:26"/>
    <s v="Projeto adiado / sem prazo definido"/>
    <s v="por enquanto nao vai adicionar proposta web"/>
    <s v=""/>
    <x v="133"/>
    <s v=""/>
    <x v="146"/>
    <s v=""/>
    <m/>
    <m/>
    <s v=""/>
    <s v=""/>
    <s v=""/>
    <s v=""/>
    <n v="1"/>
  </r>
  <r>
    <x v="2"/>
    <n v="672"/>
    <m/>
    <n v="2729"/>
    <s v="Realizei hoje, 12/12/2025, a apresentação do AFV para os gerentes comerciais e atualizei a proposta com os valores de licença do APP. O próximo passo será negociar a proposta, o que deve ocorrer somente na primeira quinzena de janeiro._x000a_05.02 Iniciaram a importação agora,previsão permace para março_x000a_18.03 tinham previsão para iniciar as importações, mas ainda não deu certo, retomar o contato daqui 3 meses"/>
    <s v=""/>
    <x v="294"/>
    <m/>
    <s v=""/>
    <s v="Lucas Pivetta"/>
    <s v="15996012600"/>
    <s v=""/>
    <s v="null"/>
    <s v=""/>
    <s v=""/>
    <s v=""/>
    <s v=""/>
    <s v=""/>
    <s v="Indicação"/>
    <s v=""/>
    <s v=""/>
    <s v="50%"/>
    <s v="Pipeline de Vendas"/>
    <s v="Em negociação (75%)"/>
    <s v=""/>
    <d v="2026-06-30T00:00:00"/>
    <n v="46200"/>
    <n v="146047"/>
    <n v="191"/>
    <s v="Rayssa Karapeticov"/>
    <d v="2025-11-03T00:00:00"/>
    <d v="1899-12-30T15:43:05"/>
    <s v=""/>
    <s v="Perdido"/>
    <d v="2026-05-13T00:00:00"/>
    <d v="1899-12-30T09:39:49"/>
    <s v="Projeto adiado / sem prazo definido"/>
    <s v=""/>
    <s v=""/>
    <x v="136"/>
    <s v="Rayssa Karapeticov"/>
    <x v="147"/>
    <s v="12/12/2025"/>
    <d v="2026-03-16T00:00:00"/>
    <n v="50"/>
    <s v=""/>
    <s v=""/>
    <s v=""/>
    <s v=""/>
    <n v="1"/>
  </r>
  <r>
    <x v="0"/>
    <n v="673"/>
    <m/>
    <n v="2730"/>
    <s v="Feito vários contatos com o cliente sem sucesso. _x000a_12/01/2026_x000a_23-01 Fiz Fups com o Jairo hoje para saber se ele vai seguir ou não com o projeto. Caso não me responda vou encerrar a oportunidade , prazo 31/01._x000a_06/02 Fiz FUP com  o Jairo e por falta de interesse estou declinando a proposta._x000a_07/02 Jairo me respondeu e avisou que vai implantar o Totvs lá. E futuramente retorna a falar comigo sobre Força de Venda."/>
    <s v=""/>
    <x v="295"/>
    <n v="22949063000121"/>
    <s v=""/>
    <s v="MEDIHOSP"/>
    <s v="(11) 2506-6323/ (11) 2506-6589"/>
    <s v=""/>
    <s v="medihosp@medihosp.com.br"/>
    <s v=""/>
    <s v=""/>
    <s v=""/>
    <s v="SAO PAULO"/>
    <s v="SP"/>
    <s v="Outbound"/>
    <s v=""/>
    <s v=""/>
    <s v="30%"/>
    <s v="Pipeline de Vendas"/>
    <s v="Em negociação (75%)"/>
    <s v=""/>
    <d v="2026-01-31T00:00:00"/>
    <n v="20000"/>
    <n v="5880"/>
    <n v="94"/>
    <s v="Paulo Souza"/>
    <d v="2025-11-05T00:00:00"/>
    <d v="1899-12-30T10:49:02"/>
    <s v=""/>
    <s v="Perdido"/>
    <d v="2026-02-07T00:00:00"/>
    <d v="1899-12-30T08:42:30"/>
    <s v="Fechou com o concorrente - preço"/>
    <s v="07/02 Jairo me respondeu e avisou que vai implantar o Totvs lá. E futuramente retorna a falar comigo sobre Força de Venda."/>
    <s v=""/>
    <x v="137"/>
    <s v="Paulo Souza"/>
    <x v="148"/>
    <s v=""/>
    <d v="2026-01-23T00:00:00"/>
    <n v="30"/>
    <s v=""/>
    <s v=""/>
    <s v=""/>
    <s v=""/>
    <n v="1"/>
  </r>
  <r>
    <x v="1"/>
    <n v="674"/>
    <m/>
    <n v="2733"/>
    <s v=""/>
    <s v="Salopet Embalagens Plasticas Ltda"/>
    <x v="296"/>
    <n v="4911908000370"/>
    <s v=""/>
    <s v="Salopet Embalagens Plasticas Ltda"/>
    <s v="(11) 2575-1800"/>
    <s v=""/>
    <s v="paralegal10@mgcontecnica.com.br"/>
    <s v=""/>
    <s v=""/>
    <s v=""/>
    <s v="EMBU DAS ARTES"/>
    <s v="SP"/>
    <s v="Base de empresas Leads2b"/>
    <s v=""/>
    <s v=""/>
    <s v=""/>
    <s v="Pipeline de Vendas"/>
    <s v="Apresentar Proposta (50%)"/>
    <s v=""/>
    <m/>
    <n v="81786"/>
    <n v="914979"/>
    <n v="21"/>
    <s v="Junior Lopes"/>
    <d v="2025-11-05T00:00:00"/>
    <d v="1899-12-30T15:31:21"/>
    <s v=""/>
    <s v="Perdido"/>
    <d v="2025-11-26T00:00:00"/>
    <d v="1899-12-30T12:30:08"/>
    <s v="Não quer mudar a solução atual"/>
    <s v="estou descartando por falta de atividades do André, já agendou varias vezes e não aparece nas reuniões _x000a_Fala chefe, boa tarde _x000a_Está uma loucura esse final de ano_x000a_Mais vamos lá_x000a_Hoje uso o sistema Areco ele é gigante e tem tudo o que precisamos mais está em falta com o suporte e o preço está ficando alto_x000a_Vou tentar finalizar algumas coisa e na sexta-feira na parte da manhã estarei mais tranquilo ai chamo pra que possamos conversar"/>
    <s v=""/>
    <x v="134"/>
    <s v=""/>
    <x v="149"/>
    <s v=""/>
    <m/>
    <m/>
    <s v=""/>
    <s v=""/>
    <s v=""/>
    <s v=""/>
    <n v="1"/>
  </r>
  <r>
    <x v="1"/>
    <n v="680"/>
    <m/>
    <n v="2755"/>
    <s v=""/>
    <s v=""/>
    <x v="297"/>
    <m/>
    <s v=""/>
    <s v="Tecelegam Castilho - MDFe"/>
    <s v="62993609476"/>
    <s v=""/>
    <s v="dayane.tecelagemcastilho@gmail.com"/>
    <s v=""/>
    <s v=""/>
    <s v=""/>
    <s v=""/>
    <s v=""/>
    <s v=""/>
    <s v=""/>
    <s v=""/>
    <s v=""/>
    <s v="Pipeline de Vendas"/>
    <s v="Em Fechamento (100%)"/>
    <s v=""/>
    <m/>
    <n v="0"/>
    <n v="3564"/>
    <n v="13"/>
    <s v="Junior Lopes"/>
    <d v="2025-11-12T00:00:00"/>
    <d v="1899-12-30T10:20:21"/>
    <s v=""/>
    <s v="Ganho"/>
    <d v="2025-11-25T00:00:00"/>
    <d v="1899-12-30T15:23:44"/>
    <s v=""/>
    <s v=""/>
    <s v=""/>
    <x v="138"/>
    <s v=""/>
    <x v="149"/>
    <s v=""/>
    <m/>
    <m/>
    <s v=""/>
    <s v=""/>
    <s v=""/>
    <s v=""/>
    <n v="1"/>
  </r>
  <r>
    <x v="1"/>
    <n v="681"/>
    <m/>
    <n v="2756"/>
    <s v="O projeto já está fechado e o contrato está com o cliente aguardando assinatura. O follow-up está sendo feito diariamente e a previsão de fechamento é até 19/12/2025."/>
    <s v=""/>
    <x v="298"/>
    <n v="43252675000130"/>
    <s v=""/>
    <s v="Atacadão MOntebello"/>
    <s v="(19) 3377-2746 / (19) 3426-1450"/>
    <s v=""/>
    <s v="administracao@atacadaoamontebello.com.br"/>
    <s v=""/>
    <s v=""/>
    <s v=""/>
    <s v="PIRACICABA"/>
    <s v="SP"/>
    <s v=""/>
    <s v=""/>
    <s v=""/>
    <s v="80%"/>
    <s v="Pipeline de Vendas"/>
    <s v="Em Fechamento (100%)"/>
    <s v=""/>
    <d v="2025-12-31T00:00:00"/>
    <n v="22000"/>
    <n v="1800"/>
    <n v="54"/>
    <s v="Junior Lopes"/>
    <d v="2025-11-12T00:00:00"/>
    <d v="1899-12-30T14:32:23"/>
    <s v=""/>
    <s v="Ganho"/>
    <d v="2026-01-05T00:00:00"/>
    <d v="1899-12-30T14:51:32"/>
    <s v=""/>
    <s v=""/>
    <s v=""/>
    <x v="138"/>
    <s v="Junior Lopes"/>
    <x v="149"/>
    <s v="28/11/2025"/>
    <d v="2025-12-12T00:00:00"/>
    <m/>
    <s v=""/>
    <s v=""/>
    <s v=""/>
    <s v=""/>
    <n v="1"/>
  </r>
  <r>
    <x v="1"/>
    <n v="684"/>
    <m/>
    <n v="2760"/>
    <s v=""/>
    <s v=""/>
    <x v="299"/>
    <m/>
    <s v=""/>
    <s v="NewBaby - ERP"/>
    <s v="11979734057"/>
    <s v=""/>
    <s v="dani@3lrepresentacoes.com.br"/>
    <s v=""/>
    <s v=""/>
    <s v=""/>
    <s v=""/>
    <s v=""/>
    <s v=""/>
    <s v=""/>
    <s v=""/>
    <s v="30%"/>
    <s v="Pipeline de Vendas"/>
    <s v="Apresentar Proposta (50%)"/>
    <s v=""/>
    <m/>
    <n v="106400"/>
    <n v="1419164"/>
    <n v="13"/>
    <s v="Junior Lopes"/>
    <d v="2025-11-13T00:00:00"/>
    <d v="1899-12-30T12:09:17"/>
    <s v=""/>
    <s v="Perdido"/>
    <d v="2025-11-26T00:00:00"/>
    <d v="1899-12-30T12:48:22"/>
    <s v="Projeto adiado / sem prazo definido"/>
    <s v="Em contato com Dani ! _x000a_eles só queriam a priori uma estimativa de investimento nas soluções Guarani ! a ideia é aos poucos convencer a Giselia na troca do sistema"/>
    <s v=""/>
    <x v="139"/>
    <s v=""/>
    <x v="150"/>
    <s v=""/>
    <m/>
    <m/>
    <s v=""/>
    <s v=""/>
    <s v=""/>
    <s v=""/>
    <n v="1"/>
  </r>
  <r>
    <x v="2"/>
    <n v="685"/>
    <m/>
    <n v="2761"/>
    <s v=""/>
    <s v="Kitay Industria E Comercio De Alimentos Ltda"/>
    <x v="300"/>
    <n v="42517186000109"/>
    <s v=""/>
    <s v="Kitay Industria E Comercio De Alimentos Ltda"/>
    <s v="(11) 4018-3764"/>
    <s v=""/>
    <s v="claudiorcsalles@gmail.com"/>
    <s v=""/>
    <s v=""/>
    <s v=""/>
    <s v="VARGEM GRANDE PAULISTA"/>
    <s v="SP"/>
    <s v="Base de empresas Leads2b"/>
    <s v=""/>
    <s v=""/>
    <s v=""/>
    <s v="Pipeline de Vendas"/>
    <s v="Agendamento (0%)"/>
    <s v=""/>
    <m/>
    <m/>
    <m/>
    <n v="0"/>
    <s v="Rayssa Karapeticov"/>
    <d v="2025-11-13T00:00:00"/>
    <d v="1899-12-30T16:09:55"/>
    <s v=""/>
    <s v="Perdido"/>
    <d v="2025-11-13T00:00:00"/>
    <d v="1899-12-30T16:12:25"/>
    <s v="Preço muito alto - fora do budget de investimento"/>
    <s v=""/>
    <s v=""/>
    <x v="0"/>
    <s v="Rayssa Karapeticov"/>
    <x v="0"/>
    <s v=""/>
    <m/>
    <m/>
    <s v=""/>
    <s v=""/>
    <s v=""/>
    <s v=""/>
    <n v="1"/>
  </r>
  <r>
    <x v="1"/>
    <n v="690"/>
    <m/>
    <n v="2872"/>
    <s v=""/>
    <s v=""/>
    <x v="301"/>
    <m/>
    <s v=""/>
    <s v="MDL - WMS"/>
    <s v="11910695515"/>
    <s v=""/>
    <s v="null"/>
    <s v=""/>
    <s v=""/>
    <s v=""/>
    <s v=""/>
    <s v=""/>
    <s v=""/>
    <s v=""/>
    <s v=""/>
    <s v="90%"/>
    <s v="Pipeline de Vendas"/>
    <s v="Em Fechamento (100%)"/>
    <s v=""/>
    <d v="2025-11-26T00:00:00"/>
    <n v="0"/>
    <n v="114048"/>
    <n v="16"/>
    <s v="Junior Lopes"/>
    <d v="2025-11-24T00:00:00"/>
    <d v="1899-12-30T16:53:16"/>
    <s v=""/>
    <s v="Ganho"/>
    <d v="2025-12-10T00:00:00"/>
    <d v="1899-12-30T10:14:04"/>
    <s v=""/>
    <s v=""/>
    <s v=""/>
    <x v="140"/>
    <s v=""/>
    <x v="151"/>
    <s v=""/>
    <m/>
    <m/>
    <s v=""/>
    <s v=""/>
    <s v=""/>
    <s v=""/>
    <n v="1"/>
  </r>
  <r>
    <x v="1"/>
    <n v="692"/>
    <m/>
    <n v="2880"/>
    <s v=""/>
    <s v=""/>
    <x v="302"/>
    <m/>
    <s v=""/>
    <s v="NewBaby - Cloud"/>
    <s v="11979734057"/>
    <s v=""/>
    <s v="dani@3lrepresentacoes.com.br"/>
    <s v=""/>
    <s v=""/>
    <s v=""/>
    <s v=""/>
    <s v=""/>
    <s v=""/>
    <s v=""/>
    <s v=""/>
    <s v="30%"/>
    <s v="Pipeline de Vendas"/>
    <s v="Apresentar Proposta (50%)"/>
    <s v=""/>
    <m/>
    <n v="1600"/>
    <n v="860304"/>
    <n v="1"/>
    <s v="Junior Lopes"/>
    <d v="2025-11-25T00:00:00"/>
    <d v="1899-12-30T15:03:40"/>
    <s v=""/>
    <s v="Perdido"/>
    <d v="2025-11-26T00:00:00"/>
    <d v="1899-12-30T12:49:30"/>
    <s v="Projeto adiado / sem prazo definido"/>
    <s v="Em contato com Dani ! _x000a_eles só queriam a priori uma estimativa de investimento nas soluções Guarani ! a ideia é aos poucos convencer a Giselia na troca do sistema"/>
    <s v=""/>
    <x v="139"/>
    <s v=""/>
    <x v="150"/>
    <s v=""/>
    <m/>
    <m/>
    <s v=""/>
    <s v=""/>
    <s v=""/>
    <s v=""/>
    <n v="1"/>
  </r>
  <r>
    <x v="1"/>
    <n v="693"/>
    <m/>
    <n v="2881"/>
    <s v=""/>
    <s v=""/>
    <x v="303"/>
    <m/>
    <s v=""/>
    <s v="Baag - Incl.CNPJ"/>
    <s v="7530217768"/>
    <s v=""/>
    <s v="null"/>
    <s v=""/>
    <s v=""/>
    <s v=""/>
    <s v=""/>
    <s v=""/>
    <s v=""/>
    <s v=""/>
    <s v=""/>
    <s v=""/>
    <s v="Pipeline de Vendas"/>
    <s v="Agendamento (0%)"/>
    <s v=""/>
    <m/>
    <n v="330714"/>
    <n v="0"/>
    <n v="0"/>
    <s v="Junior Lopes"/>
    <d v="2025-11-25T00:00:00"/>
    <d v="1899-12-30T15:44:44"/>
    <s v=""/>
    <s v="Ganho"/>
    <d v="2025-11-25T00:00:00"/>
    <d v="1899-12-30T15:47:26"/>
    <s v=""/>
    <s v=""/>
    <s v=""/>
    <x v="141"/>
    <s v=""/>
    <x v="152"/>
    <s v=""/>
    <m/>
    <m/>
    <s v=""/>
    <s v=""/>
    <s v=""/>
    <s v=""/>
    <n v="1"/>
  </r>
  <r>
    <x v="1"/>
    <n v="694"/>
    <m/>
    <n v="2882"/>
    <s v=""/>
    <s v=""/>
    <x v="304"/>
    <m/>
    <s v=""/>
    <s v="E.S Maia"/>
    <s v="11969325678"/>
    <s v=""/>
    <s v="null"/>
    <s v=""/>
    <s v=""/>
    <s v=""/>
    <s v=""/>
    <s v=""/>
    <s v=""/>
    <s v=""/>
    <s v=""/>
    <s v="30%"/>
    <s v="Pipeline de Vendas"/>
    <s v="Apresentar Proposta (50%)"/>
    <s v=""/>
    <d v="2026-01-01T00:00:00"/>
    <n v="16960"/>
    <n v="450"/>
    <n v="15"/>
    <s v="Junior Lopes"/>
    <d v="2025-11-25T00:00:00"/>
    <d v="1899-12-30T15:59:24"/>
    <s v=""/>
    <s v="Perdido"/>
    <d v="2025-12-10T00:00:00"/>
    <d v="1899-12-30T09:26:00"/>
    <s v="Projeto adiado / sem prazo definido"/>
    <s v="nao esta no momento certo"/>
    <s v=""/>
    <x v="134"/>
    <s v=""/>
    <x v="143"/>
    <s v=""/>
    <m/>
    <m/>
    <s v=""/>
    <s v=""/>
    <s v=""/>
    <s v=""/>
    <n v="1"/>
  </r>
  <r>
    <x v="1"/>
    <n v="695"/>
    <m/>
    <n v="2883"/>
    <s v=""/>
    <s v=""/>
    <x v="305"/>
    <n v="57524096000104"/>
    <s v=""/>
    <s v="Phabllo Parambu Atacado - ERP"/>
    <s v="88996365702"/>
    <s v=""/>
    <s v="phabllo2022@gmail.com"/>
    <s v=""/>
    <s v=""/>
    <s v=""/>
    <s v="COCAL"/>
    <s v="PI"/>
    <s v=""/>
    <s v=""/>
    <s v=""/>
    <s v="30%"/>
    <s v="Pipeline de Vendas"/>
    <s v="Apresentar Solução (35%)"/>
    <s v=""/>
    <m/>
    <m/>
    <m/>
    <n v="8"/>
    <s v="Junior Lopes"/>
    <d v="2025-11-25T00:00:00"/>
    <d v="1899-12-30T16:25:17"/>
    <s v=""/>
    <s v="Perdido"/>
    <d v="2025-12-03T00:00:00"/>
    <d v="1899-12-30T15:53:51"/>
    <s v="Projeto adiado / sem prazo definido"/>
    <s v="Cliente não tem tempo para fazermos apresentação"/>
    <s v=""/>
    <x v="142"/>
    <s v=""/>
    <x v="153"/>
    <s v=""/>
    <m/>
    <m/>
    <s v=""/>
    <s v=""/>
    <s v=""/>
    <s v=""/>
    <n v="1"/>
  </r>
  <r>
    <x v="1"/>
    <n v="696"/>
    <m/>
    <n v="2885"/>
    <s v=""/>
    <s v=""/>
    <x v="306"/>
    <n v="57524096000104"/>
    <s v=""/>
    <s v="Phabllo Parambu Atacado - Cloud"/>
    <s v="88996365702"/>
    <s v=""/>
    <s v="phabllo2022@gmail.com"/>
    <s v=""/>
    <s v=""/>
    <s v=""/>
    <s v=""/>
    <s v=""/>
    <s v=""/>
    <s v=""/>
    <s v=""/>
    <s v="30%"/>
    <s v="Pipeline de Vendas"/>
    <s v="Apresentar Solução (35%)"/>
    <s v=""/>
    <m/>
    <m/>
    <m/>
    <n v="8"/>
    <s v="Junior Lopes"/>
    <d v="2025-11-25T00:00:00"/>
    <d v="1899-12-30T16:48:26"/>
    <s v=""/>
    <s v="Perdido"/>
    <d v="2025-12-03T00:00:00"/>
    <d v="1899-12-30T15:53:19"/>
    <s v="Projeto adiado / sem prazo definido"/>
    <s v="Cliente não tem tempo para fazermos apresentação"/>
    <s v=""/>
    <x v="142"/>
    <s v=""/>
    <x v="153"/>
    <s v=""/>
    <m/>
    <m/>
    <s v=""/>
    <s v=""/>
    <s v=""/>
    <s v=""/>
    <n v="1"/>
  </r>
  <r>
    <x v="1"/>
    <n v="697"/>
    <m/>
    <n v="2887"/>
    <s v=""/>
    <s v=""/>
    <x v="307"/>
    <m/>
    <s v=""/>
    <s v="Salopet Embalagens Plasticas - Cloud"/>
    <s v="1125751800"/>
    <s v=""/>
    <s v="paralegal10@mgcontecnica.com.br"/>
    <s v=""/>
    <s v=""/>
    <s v=""/>
    <s v=""/>
    <s v=""/>
    <s v=""/>
    <s v=""/>
    <s v=""/>
    <s v=""/>
    <s v="Pipeline de Vendas"/>
    <s v="Apresentar Solução (35%)"/>
    <s v=""/>
    <m/>
    <n v="1600"/>
    <n v="335607"/>
    <n v="1"/>
    <s v="Junior Lopes"/>
    <d v="2025-11-25T00:00:00"/>
    <d v="1899-12-30T17:07:06"/>
    <s v=""/>
    <s v="Perdido"/>
    <d v="2025-11-26T00:00:00"/>
    <d v="1899-12-30T12:32:26"/>
    <s v="Não quer mudar a solução atual"/>
    <s v="estou descartando por falta de atividades do André, já agendou varias vezes e não aparece nas reuniões _x000a_Fala chefe, boa tarde _x000a_Está uma loucura esse final de ano_x000a_Mais vamos lá_x000a_Hoje uso o sistema Areco ele é gigante e tem tudo o que precisamos mais está em falta com o suporte e o preço está ficando alto_x000a_Vou tentar finalizar algumas coisa e na sexta-feira na parte da manhã estarei mais tranquilo ai chamo pra que possamos conversar"/>
    <s v=""/>
    <x v="134"/>
    <s v=""/>
    <x v="149"/>
    <s v=""/>
    <m/>
    <m/>
    <s v=""/>
    <s v=""/>
    <s v=""/>
    <s v=""/>
    <n v="1"/>
  </r>
  <r>
    <x v="0"/>
    <n v="700"/>
    <m/>
    <n v="2874"/>
    <s v=""/>
    <s v=""/>
    <x v="308"/>
    <m/>
    <s v=""/>
    <s v="Samuel Ferreira"/>
    <s v="(38) 99741-8594"/>
    <s v=""/>
    <s v="lojastem.financeiro@gmail.com"/>
    <s v=""/>
    <s v=""/>
    <s v=""/>
    <s v="Montes Claros"/>
    <s v=""/>
    <s v="Site"/>
    <s v=""/>
    <s v=""/>
    <s v="30%;Solicita demo"/>
    <s v="Pipeline de Vendas"/>
    <s v="Apresentar Proposta (50%)"/>
    <s v=""/>
    <d v="2026-01-31T00:00:00"/>
    <m/>
    <m/>
    <n v="14"/>
    <s v="Paulo Souza"/>
    <d v="2025-11-26T00:00:00"/>
    <d v="1899-12-30T11:24:38"/>
    <s v=""/>
    <s v="Perdido"/>
    <d v="2025-12-10T00:00:00"/>
    <d v="1899-12-30T23:13:47"/>
    <s v="Não houve aprovação financeira"/>
    <s v=""/>
    <s v=""/>
    <x v="143"/>
    <s v="Paulo Souza"/>
    <x v="154"/>
    <s v=""/>
    <m/>
    <m/>
    <s v=""/>
    <s v=""/>
    <s v=""/>
    <s v=""/>
    <n v="1"/>
  </r>
  <r>
    <x v="0"/>
    <n v="701"/>
    <m/>
    <n v="2829"/>
    <s v="Cobrei a Luciana sobre a sequência do projeto ou não (09/01/2026)_x000a_23/01 - Fiz FUPs hoje com a Lucimeire, chamando ela para retomar as negociações, aguardar ele responder para saber se vamos seguir ou não? R: Ela retornou avisando que a negociação está pausada por enquanto."/>
    <s v=""/>
    <x v="309"/>
    <n v="5825017000100"/>
    <s v=""/>
    <s v="Lucimeire Jardim"/>
    <s v="(17) 99270-5941"/>
    <s v=""/>
    <s v="gerencia.adm@belaflor.com.br"/>
    <s v=""/>
    <s v=""/>
    <s v=""/>
    <s v="São José do Rio Preto"/>
    <s v=""/>
    <s v="Site"/>
    <s v=""/>
    <s v=""/>
    <s v="30%;Pausado;Solicita demo"/>
    <s v="Pipeline de Vendas"/>
    <s v="Em negociação (75%)"/>
    <s v=""/>
    <d v="2026-03-31T00:00:00"/>
    <n v="130600"/>
    <n v="1680982"/>
    <n v="173"/>
    <s v="Paulo Souza"/>
    <d v="2025-11-26T00:00:00"/>
    <d v="1899-12-30T11:25:27"/>
    <s v=""/>
    <s v="Perdido"/>
    <d v="2026-05-18T00:00:00"/>
    <d v="1899-12-30T16:51:17"/>
    <s v="Projeto adiado / sem prazo definido"/>
    <s v=""/>
    <s v=""/>
    <x v="143"/>
    <s v="Paulo Souza"/>
    <x v="154"/>
    <s v=""/>
    <d v="2026-03-31T00:00:00"/>
    <n v="30"/>
    <s v="653"/>
    <s v="ERP, AFV, BI, WMS"/>
    <s v="R$ 130.600"/>
    <s v="R$ 16.809,82"/>
    <n v="1"/>
  </r>
  <r>
    <x v="0"/>
    <n v="702"/>
    <m/>
    <n v="2890"/>
    <s v="Falei com Rodrigo CFO, e vamos negociar a proposta na semana do dia 12/01/2025._x000a_Falei hoje 12/01 com Rodrigo cobrando um aposição dele._x000a_14/01 - Hoje o Jeferson TI me ligou avisando que a diretoria reprovou o valor mensal. Porém a equipe interna gostou muito do sistema e esta batalhando para seguir. Com isso ele apresentou um valor base de R$60,00 por usuário estou estudando uma estratégia para responder. Acionei o Fábio._x000a_19/01: No dia 15/01 foi resolvido a questão da proposta. A pendência agora é em relação a integração com Sênior, ou seja, Jeferson esta fazendo orçamento com pessoal da Sênior, só após daremos andamento. Previsto uma conversa para sexta-feira próxima, dia 23/01."/>
    <s v=""/>
    <x v="310"/>
    <m/>
    <s v=""/>
    <s v="Wellington"/>
    <s v="43996624014"/>
    <s v=""/>
    <s v="null"/>
    <s v=""/>
    <s v=""/>
    <s v=""/>
    <s v=""/>
    <s v=""/>
    <s v=""/>
    <s v=""/>
    <s v=""/>
    <s v="90%;Fabio Indica"/>
    <s v="Pipeline de Vendas"/>
    <s v="Em Fechamento (100%)"/>
    <s v=""/>
    <d v="2026-01-31T00:00:00"/>
    <n v="16000"/>
    <n v="5880"/>
    <n v="57"/>
    <s v="Paulo Souza"/>
    <d v="2025-11-26T00:00:00"/>
    <d v="1899-12-30T11:28:10"/>
    <s v=""/>
    <s v="Perdido"/>
    <d v="2026-01-22T00:00:00"/>
    <d v="1899-12-30T16:27:10"/>
    <s v="Não houve aprovação financeira"/>
    <s v="A diretoria não aprovou o projeto devido o total da implantação ficar na casa dos 32k. Somando o projeto do Sênior 15-20k e Guarani 16k"/>
    <s v=""/>
    <x v="144"/>
    <s v="Paulo Souza"/>
    <x v="155"/>
    <s v=""/>
    <d v="2026-01-09T00:00:00"/>
    <m/>
    <s v=""/>
    <s v=""/>
    <s v=""/>
    <s v=""/>
    <n v="1"/>
  </r>
  <r>
    <x v="0"/>
    <n v="703"/>
    <m/>
    <n v="2891"/>
    <s v="Falei hoje com o Abdallah, o mesmo esta fora do Brasil. Combinamos de falar na sua volta que é em 15/01/2026!_x000a_23/01 - Após conversa com o Abdallah, o mesmo ainda continua fora do brasil e em nossa conversa falou que não tem resposta se vai ou não mudar. Com base no histórico das conversa ele não tem interesse de mudança no curto prazo. Sendo assim, estou declinando a proposta e futuramente voltamos a falar."/>
    <s v=""/>
    <x v="311"/>
    <n v="7728812000105"/>
    <s v=""/>
    <s v="Abdallah"/>
    <s v="(11) 3228-9751"/>
    <s v=""/>
    <s v="aihfinanceiro@gmail.com"/>
    <s v=""/>
    <s v=""/>
    <s v=""/>
    <s v="SAO PAULO"/>
    <s v="SP"/>
    <s v=""/>
    <s v=""/>
    <s v=""/>
    <s v="30%"/>
    <s v="Pipeline de Vendas"/>
    <s v="Em negociação (75%)"/>
    <s v=""/>
    <d v="2026-01-23T00:00:00"/>
    <n v="72000"/>
    <n v="8045"/>
    <n v="58"/>
    <s v="Paulo Souza"/>
    <d v="2025-11-26T00:00:00"/>
    <d v="1899-12-30T11:30:14"/>
    <s v=""/>
    <s v="Perdido"/>
    <d v="2026-01-23T00:00:00"/>
    <d v="1899-12-30T11:38:34"/>
    <s v="Projeto adiado / sem prazo definido"/>
    <s v=""/>
    <s v=""/>
    <x v="48"/>
    <s v="Paulo Souza"/>
    <x v="156"/>
    <s v=""/>
    <d v="2026-01-23T00:00:00"/>
    <m/>
    <s v=""/>
    <s v=""/>
    <s v=""/>
    <s v=""/>
    <n v="1"/>
  </r>
  <r>
    <x v="0"/>
    <n v="704"/>
    <m/>
    <n v="2894"/>
    <s v="Hoje foi realizada a apresentação do PDV do ERP ao cliente. O fechamento está previsto para ocorrer até 19/12/2025."/>
    <s v=""/>
    <x v="312"/>
    <n v="3761404000196"/>
    <s v=""/>
    <s v="Jose Eduardo"/>
    <s v="(19) 3492-9944"/>
    <s v=""/>
    <s v="adm@plastcap.com.br"/>
    <s v=""/>
    <s v=""/>
    <s v=""/>
    <s v="CAPIVARI"/>
    <s v="SP"/>
    <s v=""/>
    <s v=""/>
    <s v=""/>
    <s v="90%"/>
    <s v="Pipeline de Vendas"/>
    <s v="Em Fechamento (100%)"/>
    <s v=""/>
    <d v="2026-01-15T00:00:00"/>
    <n v="17829"/>
    <n v="83997"/>
    <n v="44"/>
    <s v="Paulo Souza"/>
    <d v="2025-11-26T00:00:00"/>
    <d v="1899-12-30T11:36:11"/>
    <s v=""/>
    <s v="Ganho"/>
    <d v="2026-01-09T00:00:00"/>
    <d v="1899-12-30T14:02:37"/>
    <s v=""/>
    <s v=""/>
    <s v=""/>
    <x v="145"/>
    <s v="Paulo Souza"/>
    <x v="154"/>
    <s v=""/>
    <d v="2025-12-12T00:00:00"/>
    <m/>
    <s v=""/>
    <s v=""/>
    <s v=""/>
    <s v=""/>
    <n v="1"/>
  </r>
  <r>
    <x v="0"/>
    <n v="705"/>
    <m/>
    <n v="2896"/>
    <s v="Não vai seguir com esse projeto no momento! Primeiro vai fazer a reciclagem e no meio do ano de 2026, voltamos a falar."/>
    <s v=""/>
    <x v="313"/>
    <n v="3761404000196"/>
    <s v=""/>
    <s v="Jose Eduardo"/>
    <s v="(19) 3492-9944"/>
    <s v=""/>
    <s v="adm@plastcap.com.br"/>
    <s v=""/>
    <s v=""/>
    <s v=""/>
    <s v="CAPIVARI"/>
    <s v="SP"/>
    <s v=""/>
    <s v=""/>
    <s v=""/>
    <s v="30%"/>
    <s v="Pipeline de Vendas"/>
    <s v="Em negociação (75%)"/>
    <s v=""/>
    <d v="2025-12-31T00:00:00"/>
    <n v="1600"/>
    <n v="384454"/>
    <n v="44"/>
    <s v="Paulo Souza"/>
    <d v="2025-11-26T00:00:00"/>
    <d v="1899-12-30T11:54:10"/>
    <s v=""/>
    <s v="Perdido"/>
    <d v="2026-01-09T00:00:00"/>
    <d v="1899-12-30T14:22:58"/>
    <s v="Projeto adiado / sem prazo definido"/>
    <s v=""/>
    <s v=""/>
    <x v="143"/>
    <s v="Paulo Souza"/>
    <x v="154"/>
    <s v=""/>
    <d v="2026-01-09T00:00:00"/>
    <m/>
    <s v=""/>
    <s v=""/>
    <s v=""/>
    <s v=""/>
    <n v="1"/>
  </r>
  <r>
    <x v="0"/>
    <n v="706"/>
    <m/>
    <n v="2897"/>
    <s v=""/>
    <s v=""/>
    <x v="314"/>
    <m/>
    <s v=""/>
    <s v="Kaue Prado"/>
    <s v="49998169464"/>
    <s v=""/>
    <s v="null"/>
    <s v=""/>
    <s v=""/>
    <s v=""/>
    <s v=""/>
    <s v=""/>
    <s v=""/>
    <s v=""/>
    <s v=""/>
    <s v=""/>
    <s v="Pipeline de Vendas"/>
    <s v="Em negociação (75%)"/>
    <s v=""/>
    <d v="2026-01-15T00:00:00"/>
    <n v="50000"/>
    <n v="2355"/>
    <n v="14"/>
    <s v="Paulo Souza"/>
    <d v="2025-11-26T00:00:00"/>
    <d v="1899-12-30T11:57:13"/>
    <s v=""/>
    <s v="Perdido"/>
    <d v="2025-12-10T00:00:00"/>
    <d v="1899-12-30T17:18:17"/>
    <s v="Não houve aprovação financeira"/>
    <s v=""/>
    <s v=""/>
    <x v="146"/>
    <s v="Paulo Souza"/>
    <x v="157"/>
    <s v=""/>
    <m/>
    <m/>
    <s v=""/>
    <s v=""/>
    <s v=""/>
    <s v=""/>
    <n v="1"/>
  </r>
  <r>
    <x v="0"/>
    <n v="707"/>
    <m/>
    <n v="2898"/>
    <s v="Após retorno do Jeferson fui informado que ele não vai seguir com o projeto no momento."/>
    <s v=""/>
    <x v="315"/>
    <m/>
    <s v=""/>
    <s v="Jeferson"/>
    <s v="83998878069"/>
    <s v=""/>
    <s v="null"/>
    <s v=""/>
    <s v=""/>
    <s v=""/>
    <s v=""/>
    <s v=""/>
    <s v="Outbound"/>
    <s v=""/>
    <s v=""/>
    <s v="90%"/>
    <s v="Pipeline de Vendas"/>
    <s v="Em negociação (75%)"/>
    <s v=""/>
    <d v="2026-01-31T00:00:00"/>
    <n v="14400"/>
    <n v="185328"/>
    <n v="47"/>
    <s v="Paulo Souza"/>
    <d v="2025-11-26T00:00:00"/>
    <d v="1899-12-30T11:59:12"/>
    <s v=""/>
    <s v="Perdido"/>
    <d v="2026-01-12T00:00:00"/>
    <d v="1899-12-30T22:24:16"/>
    <s v="Projeto adiado / sem prazo definido"/>
    <s v=""/>
    <s v=""/>
    <x v="147"/>
    <s v="Paulo Souza"/>
    <x v="158"/>
    <s v=""/>
    <d v="2026-01-12T00:00:00"/>
    <m/>
    <s v=""/>
    <s v=""/>
    <s v=""/>
    <s v=""/>
    <n v="1"/>
  </r>
  <r>
    <x v="0"/>
    <n v="708"/>
    <m/>
    <n v="2899"/>
    <s v=""/>
    <s v=""/>
    <x v="236"/>
    <m/>
    <s v=""/>
    <s v="Fabiana"/>
    <s v="16996352359"/>
    <s v=""/>
    <s v="null"/>
    <s v=""/>
    <s v=""/>
    <s v=""/>
    <s v=""/>
    <s v=""/>
    <s v=""/>
    <s v=""/>
    <s v=""/>
    <s v=""/>
    <s v="Pipeline de Vendas"/>
    <s v="Em Fechamento (100%)"/>
    <s v=""/>
    <m/>
    <m/>
    <m/>
    <n v="12"/>
    <s v="Paulo Souza"/>
    <d v="2025-11-26T00:00:00"/>
    <d v="1899-12-30T12:01:20"/>
    <s v=""/>
    <s v="Ganho"/>
    <d v="2025-12-08T00:00:00"/>
    <d v="1899-12-30T13:53:33"/>
    <s v=""/>
    <s v=""/>
    <s v=""/>
    <x v="148"/>
    <s v="Paulo Souza"/>
    <x v="159"/>
    <s v=""/>
    <m/>
    <m/>
    <s v=""/>
    <s v=""/>
    <s v=""/>
    <s v=""/>
    <n v="1"/>
  </r>
  <r>
    <x v="0"/>
    <n v="709"/>
    <m/>
    <n v="2900"/>
    <s v=""/>
    <s v=""/>
    <x v="316"/>
    <m/>
    <s v=""/>
    <s v="Gustavo"/>
    <s v="16996352359"/>
    <s v=""/>
    <s v="null"/>
    <s v=""/>
    <s v=""/>
    <s v=""/>
    <s v=""/>
    <s v=""/>
    <s v=""/>
    <s v=""/>
    <s v=""/>
    <s v=""/>
    <s v="Pipeline de Vendas"/>
    <s v="Em Fechamento (100%)"/>
    <s v=""/>
    <m/>
    <m/>
    <m/>
    <n v="12"/>
    <s v="Paulo Souza"/>
    <d v="2025-11-26T00:00:00"/>
    <d v="1899-12-30T12:02:41"/>
    <s v=""/>
    <s v="Ganho"/>
    <d v="2025-12-08T00:00:00"/>
    <d v="1899-12-30T14:21:05"/>
    <s v=""/>
    <s v=""/>
    <s v=""/>
    <x v="149"/>
    <s v="Paulo Souza"/>
    <x v="160"/>
    <s v=""/>
    <m/>
    <m/>
    <s v=""/>
    <s v=""/>
    <s v=""/>
    <s v=""/>
    <n v="1"/>
  </r>
  <r>
    <x v="1"/>
    <n v="711"/>
    <m/>
    <n v="2902"/>
    <s v="O próximo passo é Junior Lopes contatar a Tânia para confirmar o envio do vídeo do armazém e obter uma data definida para isso. Ele também deve atualizar no sistema o campo “O que falta para atingir o objetivo” com os requisitos pendentes e registrar um próximo passo com data, como analisar o vídeo ou agendar uma reunião para discutir sua avaliação."/>
    <s v=""/>
    <x v="317"/>
    <m/>
    <s v=""/>
    <s v="FaFa Import - WMS"/>
    <s v="86188758539"/>
    <s v=""/>
    <s v="null"/>
    <s v=""/>
    <s v=""/>
    <s v=""/>
    <s v=""/>
    <s v=""/>
    <s v=""/>
    <s v=""/>
    <s v=""/>
    <s v="50%"/>
    <s v="Pipeline de Vendas"/>
    <s v="Em Fechamento (100%)"/>
    <s v=""/>
    <d v="2026-02-09T00:00:00"/>
    <n v="235848"/>
    <n v="14256"/>
    <n v="65"/>
    <s v="Junior Lopes"/>
    <d v="2025-11-26T00:00:00"/>
    <d v="1899-12-30T15:05:11"/>
    <s v=""/>
    <s v="Perdido"/>
    <d v="2026-01-30T00:00:00"/>
    <d v="1899-12-30T15:36:59"/>
    <s v="Projeto adiado / sem prazo definido"/>
    <s v="sem retorno"/>
    <s v=""/>
    <x v="132"/>
    <s v="Junior Lopes"/>
    <x v="153"/>
    <s v=""/>
    <d v="2025-12-12T00:00:00"/>
    <m/>
    <s v=""/>
    <s v=""/>
    <s v=""/>
    <s v=""/>
    <n v="1"/>
  </r>
  <r>
    <x v="1"/>
    <n v="714"/>
    <m/>
    <n v="2910"/>
    <s v=""/>
    <s v=""/>
    <x v="318"/>
    <m/>
    <s v=""/>
    <s v="Tecelagem Castilho - Proposta Web"/>
    <s v="6293622662"/>
    <s v=""/>
    <s v="null"/>
    <s v=""/>
    <s v=""/>
    <s v=""/>
    <s v=""/>
    <s v=""/>
    <s v=""/>
    <s v=""/>
    <s v=""/>
    <s v=""/>
    <s v="Pipeline de Vendas"/>
    <s v="Em negociação (75%)"/>
    <s v=""/>
    <m/>
    <n v="0"/>
    <n v="209"/>
    <n v="12"/>
    <s v="Junior Lopes"/>
    <d v="2025-11-28T00:00:00"/>
    <d v="1899-12-30T14:27:28"/>
    <s v=""/>
    <s v="Perdido"/>
    <d v="2025-12-10T00:00:00"/>
    <d v="1899-12-30T10:00:03"/>
    <s v="Não quer mudar a solução atual"/>
    <s v="por enquanto vai fazer as aprovações via ERP"/>
    <s v=""/>
    <x v="142"/>
    <s v=""/>
    <x v="161"/>
    <s v=""/>
    <m/>
    <m/>
    <s v=""/>
    <s v=""/>
    <s v=""/>
    <s v=""/>
    <n v="1"/>
  </r>
  <r>
    <x v="0"/>
    <n v="717"/>
    <m/>
    <n v="2945"/>
    <s v="Falei hoje 09/01/2026 com o Mario para saber se seguiremos. Ele está fora do brasil retomar contato em 15/01._x000a_23/01 fazer proposta e enviar ao mario._x000a_06/02 Fiz FUP e não evoluiu a conversa pois o Mario está estruturando a empresa e nesse momento vai aguardar."/>
    <s v=""/>
    <x v="319"/>
    <m/>
    <s v=""/>
    <s v="Mario Perez"/>
    <s v="(11) 99471-3332"/>
    <s v=""/>
    <s v="mariovperez@hotmail.com"/>
    <s v=""/>
    <s v=""/>
    <s v=""/>
    <s v="São Paulo"/>
    <s v=""/>
    <s v="Site"/>
    <s v=""/>
    <s v=""/>
    <s v="30%"/>
    <s v="Pipeline de Vendas"/>
    <s v="Apresentar Proposta (50%)"/>
    <s v=""/>
    <d v="2026-01-31T00:00:00"/>
    <m/>
    <m/>
    <n v="68"/>
    <s v="Paulo Souza"/>
    <d v="2025-12-01T00:00:00"/>
    <d v="1899-12-30T15:50:11"/>
    <s v=""/>
    <s v="Perdido"/>
    <d v="2026-02-07T00:00:00"/>
    <d v="1899-12-30T08:22:44"/>
    <s v="Não quer mudar a solução atual"/>
    <s v=""/>
    <s v=""/>
    <x v="150"/>
    <s v="Paulo Souza"/>
    <x v="162"/>
    <s v=""/>
    <d v="2026-01-23T00:00:00"/>
    <n v="30"/>
    <s v=""/>
    <s v=""/>
    <s v=""/>
    <s v=""/>
    <n v="1"/>
  </r>
  <r>
    <x v="0"/>
    <n v="718"/>
    <m/>
    <n v="2913"/>
    <s v="Falei com a Valeria hoje 09/01/26 para saber sobre a retomada do projeto._x000a_23/01 Fiz FUP hoje com a Valeria cobrando se seguiremos ou não com o projeto, prazo para declinar 31/01."/>
    <s v=""/>
    <x v="320"/>
    <m/>
    <s v=""/>
    <s v="Valéria Honorato da Silva"/>
    <s v="(45) 99903-2312"/>
    <s v=""/>
    <s v="valeriahonoratomkt@gmail.com"/>
    <s v=""/>
    <s v=""/>
    <s v=""/>
    <s v="Santa Tereza do Oeste"/>
    <s v=""/>
    <s v="Site"/>
    <s v=""/>
    <s v=""/>
    <s v="30%;Pausado;Solicita demo"/>
    <s v="Pipeline de Vendas"/>
    <s v="Qualificação de Vendas (SQL) (25%)"/>
    <s v=""/>
    <d v="2026-04-30T00:00:00"/>
    <m/>
    <m/>
    <n v="161"/>
    <s v="Paulo Souza"/>
    <d v="2025-12-01T00:00:00"/>
    <d v="1899-12-30T16:23:02"/>
    <s v=""/>
    <s v="Perdido"/>
    <d v="2026-05-11T00:00:00"/>
    <d v="1899-12-30T11:55:42"/>
    <s v="Projeto adiado / sem prazo definido"/>
    <s v=""/>
    <s v=""/>
    <x v="151"/>
    <s v="Paulo Souza"/>
    <x v="162"/>
    <s v=""/>
    <d v="2026-04-10T00:00:00"/>
    <n v="30"/>
    <s v=""/>
    <s v=""/>
    <s v=""/>
    <s v=""/>
    <n v="1"/>
  </r>
  <r>
    <x v="0"/>
    <n v="719"/>
    <m/>
    <n v="2904"/>
    <s v="Falei com a Kelly hoje que me passou as informações que faltava para formular a proposta. Agora e falar com o Fernando e montar a proposta e apresentar._x000a_23/01 Falei com a Kelly em 19/01, e ela avisou que estava de férias e que retorno essa semana , e que só vai conseguir analisar a proposta na semana do dia 26/01, quando retornarei o contato._x000a_07/02 Fiz FUP com a Kelly e perguntei se ela vai ou não seguir com o projeto, não retornou ainda._x000a_12/03 12/03 Fiz FUP com a Kelly e a mesma esta analisando a proposta. Como esta semana ela tá fazendo compra de natal, vai conseguir parar e ver a proposta amanhã 13/03._x000a_20/03 Cobrando a Kelly para ir para o fechamento."/>
    <s v=""/>
    <x v="321"/>
    <n v="3674537000125"/>
    <s v=""/>
    <s v="kelly"/>
    <s v="(12) 97403-0134"/>
    <s v=""/>
    <s v="mkt@valport.com.br"/>
    <s v=""/>
    <s v=""/>
    <s v=""/>
    <s v="São Paulo"/>
    <s v=""/>
    <s v="Site"/>
    <s v=""/>
    <s v=""/>
    <s v="50%;Solicita demo"/>
    <s v="Pipeline de Vendas"/>
    <s v="Em negociação (75%)"/>
    <s v=""/>
    <d v="2026-03-31T00:00:00"/>
    <n v="104490"/>
    <n v="111957"/>
    <n v="130"/>
    <s v="Paulo Souza"/>
    <d v="2025-12-01T00:00:00"/>
    <d v="1899-12-30T16:37:54"/>
    <s v=""/>
    <s v="Perdido"/>
    <d v="2026-04-10T00:00:00"/>
    <d v="1899-12-30T15:54:49"/>
    <s v="Projeto adiado / sem prazo definido"/>
    <s v=""/>
    <s v=""/>
    <x v="151"/>
    <s v="Paulo Souza"/>
    <x v="163"/>
    <s v=""/>
    <d v="2026-03-20T00:00:00"/>
    <n v="30"/>
    <s v="416"/>
    <s v="ERP, AFV, BI, PDV, ADICIONAIS"/>
    <s v="R$ 104.490"/>
    <s v="R$ 11.195,70"/>
    <n v="1"/>
  </r>
  <r>
    <x v="0"/>
    <n v="725"/>
    <m/>
    <n v="2970"/>
    <s v="Cobrei hoje 09/01 o Alex, para saber sobre a evolução do projeto em 2026._x000a_14/01 - O Alex me ligou hoje avisando que a empresa optou pelo mais barato e fechou com a RioSoft."/>
    <s v=""/>
    <x v="322"/>
    <m/>
    <s v=""/>
    <s v="Alex"/>
    <s v="1799137617"/>
    <s v=""/>
    <s v="null"/>
    <s v=""/>
    <s v=""/>
    <s v=""/>
    <s v=""/>
    <s v=""/>
    <s v=""/>
    <s v=""/>
    <s v=""/>
    <s v="30%;Pausado"/>
    <s v="Pipeline de Vendas"/>
    <s v="Em negociação (75%)"/>
    <s v=""/>
    <d v="2026-03-31T00:00:00"/>
    <n v="315000"/>
    <n v="32575"/>
    <n v="37"/>
    <s v="Paulo Souza"/>
    <d v="2025-12-08T00:00:00"/>
    <d v="1899-12-30T13:58:57"/>
    <s v=""/>
    <s v="Perdido"/>
    <d v="2026-01-14T00:00:00"/>
    <d v="1899-12-30T18:52:38"/>
    <s v="Fechou com o concorrente - preço"/>
    <s v="O Alex me ligou hoje avisando que a empresa optou pelo mais barato e fechou com a RioSoft."/>
    <s v=""/>
    <x v="151"/>
    <s v="Paulo Souza"/>
    <x v="164"/>
    <s v=""/>
    <d v="2026-01-09T00:00:00"/>
    <m/>
    <s v=""/>
    <s v=""/>
    <s v=""/>
    <s v=""/>
    <n v="1"/>
  </r>
  <r>
    <x v="0"/>
    <n v="726"/>
    <m/>
    <n v="2971"/>
    <s v=""/>
    <s v=""/>
    <x v="323"/>
    <m/>
    <s v=""/>
    <s v="Raymond"/>
    <s v="11982685555"/>
    <s v=""/>
    <s v="null"/>
    <s v=""/>
    <s v=""/>
    <s v=""/>
    <s v=""/>
    <s v=""/>
    <s v=""/>
    <s v=""/>
    <s v=""/>
    <s v=""/>
    <s v="Pipeline de Vendas"/>
    <s v="Em Fechamento (100%)"/>
    <s v=""/>
    <m/>
    <n v="0"/>
    <n v="57024"/>
    <n v="0"/>
    <s v="Paulo Souza"/>
    <d v="2025-12-08T00:00:00"/>
    <d v="1899-12-30T14:06:46"/>
    <s v=""/>
    <s v="Ganho"/>
    <d v="2025-12-08T00:00:00"/>
    <d v="1899-12-30T14:09:01"/>
    <s v=""/>
    <s v=""/>
    <s v=""/>
    <x v="152"/>
    <s v="Paulo Souza"/>
    <x v="162"/>
    <s v=""/>
    <m/>
    <m/>
    <s v=""/>
    <s v=""/>
    <s v=""/>
    <s v=""/>
    <n v="1"/>
  </r>
  <r>
    <x v="0"/>
    <n v="727"/>
    <m/>
    <n v="2969"/>
    <s v="Hoje 09/01/26 cobrei a Michelli para saber se ela vai seguir ou não com o projeto._x000a_23/01 - Fiz FUp com a Michelle hoje para saber se vamos ou não seguir com o projeto. _x000a_R: Falou que a proposta esta sobe analise da diretoria e que para a próxima semana já terá um retorno. _x000a_07/02 Fiz FUP com a Michelle e ela me posicionou que não vai trocar de sistema por enquanto."/>
    <s v=""/>
    <x v="324"/>
    <m/>
    <s v=""/>
    <s v="MICHELE"/>
    <s v="(12) 99635-6502"/>
    <s v=""/>
    <s v="flavia.honorato@hotmail.com"/>
    <s v=""/>
    <s v=""/>
    <s v=""/>
    <s v="Guaratinguetá"/>
    <s v=""/>
    <s v="Site"/>
    <s v=""/>
    <s v=""/>
    <s v="30%;Solicita demo"/>
    <s v="Pipeline de Vendas"/>
    <s v="Em negociação (75%)"/>
    <s v=""/>
    <d v="2026-01-31T00:00:00"/>
    <n v="47200"/>
    <n v="22981"/>
    <n v="60"/>
    <s v="Paulo Souza"/>
    <d v="2025-12-09T00:00:00"/>
    <d v="1899-12-30T14:14:17"/>
    <s v=""/>
    <s v="Perdido"/>
    <d v="2026-02-07T00:00:00"/>
    <d v="1899-12-30T08:55:56"/>
    <s v="Não quer mudar a solução atual"/>
    <s v="07/02 Fiz FUP com a Michelle e ela me posicionou que não vai trocar de sistema por enquanto."/>
    <s v=""/>
    <x v="153"/>
    <s v="Paulo Souza"/>
    <x v="165"/>
    <s v=""/>
    <d v="2026-02-07T00:00:00"/>
    <n v="30"/>
    <s v=""/>
    <s v=""/>
    <s v=""/>
    <s v=""/>
    <n v="1"/>
  </r>
  <r>
    <x v="0"/>
    <n v="728"/>
    <m/>
    <n v="2973"/>
    <s v="Falei com a Kelly hoje que me passou as informações que faltava para formular a proposta. Agora e falar com o Fernando e montar a proposta e apresentar._x000a_13/01/2026 - Apresentar proposta_x000a_23/01 Falei com a Kelly em 19/01, e ela avisou que estava de férias e que retorno essa semana , e que só vai conseguir analisar a proposta na semana do dia 26/01, quando retornarei o contato._x000a_07/02 Fiz FUP com a Kelly e perguntei se ela vai ou não seguir com o projeto, não retornou ainda._x000a_12/03 12/03 Fiz FUP com a Kelly e a mesma esta analisando a proposta. Como esta semana ela tá fazendo compra de natal, vai conseguir parar e ver a proposta amanhã 13/03._x000a_20/03 Cobrando a Kelly para ir para o fechamento."/>
    <s v=""/>
    <x v="325"/>
    <n v="3674537000125"/>
    <s v=""/>
    <s v="Kelly"/>
    <s v="(12) 3204-5200"/>
    <s v=""/>
    <s v="financeiro@valport.com.br"/>
    <s v=""/>
    <s v=""/>
    <s v=""/>
    <s v="SAO JOSE DOS CAMPOS"/>
    <s v="SP"/>
    <s v="Outbound"/>
    <s v=""/>
    <s v=""/>
    <s v="50%"/>
    <s v="Pipeline de Vendas"/>
    <s v="Em negociação (75%)"/>
    <s v=""/>
    <d v="2026-03-31T00:00:00"/>
    <n v="1700"/>
    <n v="13100"/>
    <n v="121"/>
    <s v="Paulo Souza"/>
    <d v="2025-12-10T00:00:00"/>
    <d v="1899-12-30T17:33:41"/>
    <s v=""/>
    <s v="Perdido"/>
    <d v="2026-04-10T00:00:00"/>
    <d v="1899-12-30T15:55:20"/>
    <s v="Projeto adiado / sem prazo definido"/>
    <s v=""/>
    <s v=""/>
    <x v="153"/>
    <s v="Paulo Souza"/>
    <x v="165"/>
    <s v=""/>
    <d v="2026-03-20T00:00:00"/>
    <n v="30"/>
    <s v="80"/>
    <s v="B2B"/>
    <s v="R$ 13.100"/>
    <s v="R$ 1.700"/>
    <n v="1"/>
  </r>
  <r>
    <x v="0"/>
    <n v="729"/>
    <m/>
    <n v="2972"/>
    <s v="Falei com o Dalvan que esta devendo os dados para fazer a proposta. Segundo ele até o dia 09/01/26 ele termina de preencher. Após receber fazer proposta junto ao Fernando._x000a_23/01 Fiz FUP hoje com o DALVAN, o bicho é enrolado não responde os questionamentos que preciso para fazer a proposta._x000a_06/02 Estou declinando a proposta por falta de interação. o Dalvan, não me responde."/>
    <s v=""/>
    <x v="326"/>
    <m/>
    <s v=""/>
    <s v="Dalvan barros"/>
    <s v="(99) 98265-8209"/>
    <s v=""/>
    <s v="atualmiix@gmail.com"/>
    <s v=""/>
    <s v=""/>
    <s v=""/>
    <s v="Porto Franco"/>
    <s v=""/>
    <s v="Site"/>
    <s v=""/>
    <s v=""/>
    <s v="30%;Solicita demo"/>
    <s v="Pipeline de Vendas"/>
    <s v="Apresentar Proposta (50%)"/>
    <s v=""/>
    <d v="2026-01-31T00:00:00"/>
    <m/>
    <m/>
    <n v="59"/>
    <s v="Paulo Souza"/>
    <d v="2025-12-10T00:00:00"/>
    <d v="1899-12-30T22:55:29"/>
    <s v=""/>
    <s v="Perdido"/>
    <d v="2026-02-07T00:00:00"/>
    <d v="1899-12-30T08:20:54"/>
    <s v="Projeto adiado / sem prazo definido"/>
    <s v="06/02 Estou declinando a proposta por falta de interação. o Dalvan, não me responde."/>
    <s v=""/>
    <x v="154"/>
    <s v="Paulo Souza"/>
    <x v="166"/>
    <s v=""/>
    <d v="2026-02-06T00:00:00"/>
    <n v="30"/>
    <s v=""/>
    <s v=""/>
    <s v=""/>
    <s v=""/>
    <n v="1"/>
  </r>
  <r>
    <x v="1"/>
    <n v="730"/>
    <m/>
    <n v="2977"/>
    <s v="(07/01/2026) visita comercial _x000a_(14/01/2026) Visita apresentação com Max _x000a_(29/01/2026) cliente esta ligando para nossos clientes  _x000a_(24/04/2026) Bassel não responde , não esta no momento certo"/>
    <s v="Vic Import, Comercio, Importacao E Exportacao De Brinquedos E Utilidades Em Geral Ltda"/>
    <x v="327"/>
    <n v="50828915000168"/>
    <s v=""/>
    <s v="Vic Import, Comercio, Importacao E Exportacao De Brinquedos E Utilidades Em Geral Ltda"/>
    <s v="(11) 2171-0800"/>
    <s v=""/>
    <s v="legal@vrscontabil.com.br"/>
    <s v=""/>
    <s v=""/>
    <s v=""/>
    <s v="SAO PAULO"/>
    <s v="SP"/>
    <s v="Base de empresas Leads2b"/>
    <s v=""/>
    <s v=""/>
    <s v="50%;Fabio Indica"/>
    <s v="Pipeline de Vendas"/>
    <s v="Em negociação (75%)"/>
    <s v=""/>
    <d v="2026-02-28T00:00:00"/>
    <n v="44000"/>
    <n v="13781"/>
    <n v="134"/>
    <s v="Junior Lopes"/>
    <d v="2025-12-11T00:00:00"/>
    <d v="1899-12-30T10:06:06"/>
    <s v=""/>
    <s v="Perdido"/>
    <d v="2026-04-24T00:00:00"/>
    <d v="1899-12-30T09:24:13"/>
    <s v="Projeto adiado / sem prazo definido"/>
    <s v="(24/04/2026) Bassel não responde , não esta no momento certo"/>
    <s v=""/>
    <x v="155"/>
    <s v="Junior Lopes"/>
    <x v="167"/>
    <s v="14/01/2026"/>
    <d v="2026-04-24T00:00:00"/>
    <n v="50"/>
    <s v=""/>
    <s v=""/>
    <s v=""/>
    <s v=""/>
    <n v="1"/>
  </r>
  <r>
    <x v="1"/>
    <n v="731"/>
    <m/>
    <n v="2980"/>
    <s v=""/>
    <s v=""/>
    <x v="328"/>
    <m/>
    <s v=""/>
    <s v="Vic Import - AFV"/>
    <s v="1121710800"/>
    <s v=""/>
    <s v="legal@vrscontabil.com.br"/>
    <s v=""/>
    <s v=""/>
    <s v=""/>
    <s v=""/>
    <s v=""/>
    <s v=""/>
    <s v=""/>
    <s v=""/>
    <s v="50%"/>
    <s v="Pipeline de Vendas"/>
    <s v="Em negociação (75%)"/>
    <s v=""/>
    <d v="2026-01-31T00:00:00"/>
    <n v="8000"/>
    <n v="19642"/>
    <n v="49"/>
    <s v="Junior Lopes"/>
    <d v="2025-12-11T00:00:00"/>
    <d v="1899-12-30T10:21:27"/>
    <s v=""/>
    <s v="Perdido"/>
    <d v="2026-01-29T00:00:00"/>
    <d v="1899-12-30T15:51:08"/>
    <s v="Não quer mudar a solução atual"/>
    <s v="seguindo com ERP"/>
    <s v=""/>
    <x v="156"/>
    <s v=""/>
    <x v="168"/>
    <s v=""/>
    <d v="2026-01-09T00:00:00"/>
    <m/>
    <s v=""/>
    <s v=""/>
    <s v=""/>
    <s v=""/>
    <n v="1"/>
  </r>
  <r>
    <x v="1"/>
    <n v="732"/>
    <m/>
    <n v="2981"/>
    <s v="(07/01/2026) visita comercial _x000a_(14/01/2026) Visita apresentação com Max _x000a_(29/01/2026) cliente esta ligando para nossos clientes"/>
    <s v=""/>
    <x v="329"/>
    <m/>
    <s v=""/>
    <s v="Vic Import - Cloud"/>
    <s v="1121710800"/>
    <s v=""/>
    <s v="legal@vrscontabil.com.br"/>
    <s v=""/>
    <s v=""/>
    <s v=""/>
    <s v=""/>
    <s v=""/>
    <s v=""/>
    <s v=""/>
    <s v=""/>
    <s v="50%"/>
    <s v="Pipeline de Vendas"/>
    <s v="Em negociação (75%)"/>
    <s v=""/>
    <d v="2026-02-28T00:00:00"/>
    <n v="1600"/>
    <n v="34428"/>
    <n v="134"/>
    <s v="Junior Lopes"/>
    <d v="2025-12-11T00:00:00"/>
    <d v="1899-12-30T10:23:08"/>
    <s v=""/>
    <s v="Perdido"/>
    <d v="2026-04-24T00:00:00"/>
    <d v="1899-12-30T09:35:19"/>
    <s v="Projeto adiado / sem prazo definido"/>
    <s v="(24/04/2026) Bassel não responde , não esta no momento certo"/>
    <s v=""/>
    <x v="155"/>
    <s v="Junior Lopes"/>
    <x v="167"/>
    <s v="14/01/2026"/>
    <d v="2026-04-24T00:00:00"/>
    <n v="50"/>
    <s v=""/>
    <s v=""/>
    <s v=""/>
    <s v=""/>
    <n v="1"/>
  </r>
  <r>
    <x v="1"/>
    <n v="733"/>
    <m/>
    <n v="2982"/>
    <s v=""/>
    <s v="Conthey Presentes E Decoracoes Ltda"/>
    <x v="330"/>
    <n v="96280292000809"/>
    <s v=""/>
    <s v="Conthey Presentes E Decoracoes Ltda"/>
    <s v="(11) 2081-7750"/>
    <s v=""/>
    <s v="sc@conthey.com.br"/>
    <s v=""/>
    <s v=""/>
    <s v=""/>
    <s v="PALHOCA"/>
    <s v="SC"/>
    <s v="Base de empresas Leads2b"/>
    <s v=""/>
    <s v=""/>
    <s v="90%;Fabio Indica"/>
    <s v="Pipeline de Vendas"/>
    <s v="Em Fechamento (100%)"/>
    <s v=""/>
    <d v="2026-02-28T00:00:00"/>
    <n v="580005"/>
    <n v="7230"/>
    <n v="62"/>
    <s v="Junior Lopes"/>
    <d v="2025-12-11T00:00:00"/>
    <d v="1899-12-30T11:21:41"/>
    <s v=""/>
    <s v="Ganho"/>
    <d v="2026-02-11T00:00:00"/>
    <d v="1899-12-30T17:49:12"/>
    <s v=""/>
    <s v=""/>
    <s v=""/>
    <x v="157"/>
    <s v="Junior Lopes"/>
    <x v="169"/>
    <s v=""/>
    <d v="2026-01-16T00:00:00"/>
    <n v="90"/>
    <s v=""/>
    <s v=""/>
    <s v=""/>
    <s v=""/>
    <n v="1"/>
  </r>
  <r>
    <x v="1"/>
    <n v="734"/>
    <m/>
    <n v="2985"/>
    <s v="fechamos ERP , estou descartando essa oportunidade"/>
    <s v=""/>
    <x v="331"/>
    <m/>
    <s v=""/>
    <s v="Conthey - AFV"/>
    <s v="11982163176"/>
    <s v=""/>
    <s v="sc@conthey.com.br"/>
    <s v=""/>
    <s v=""/>
    <s v=""/>
    <s v=""/>
    <s v=""/>
    <s v=""/>
    <s v=""/>
    <s v=""/>
    <s v="50%"/>
    <s v="Pipeline de Vendas"/>
    <s v="Em negociação (75%)"/>
    <s v=""/>
    <d v="2026-01-16T00:00:00"/>
    <n v="0"/>
    <n v="19642"/>
    <n v="47"/>
    <s v="Junior Lopes"/>
    <d v="2025-12-11T00:00:00"/>
    <d v="1899-12-30T11:31:04"/>
    <s v=""/>
    <s v="Perdido"/>
    <d v="2026-01-27T00:00:00"/>
    <d v="1899-12-30T16:32:05"/>
    <s v="Cliente não quer contato LGPD"/>
    <s v="fechamos ERP , estou descartando essa oportunidade"/>
    <s v=""/>
    <x v="157"/>
    <s v=""/>
    <x v="169"/>
    <s v=""/>
    <d v="2026-01-27T00:00:00"/>
    <m/>
    <s v=""/>
    <s v=""/>
    <s v=""/>
    <s v=""/>
    <n v="1"/>
  </r>
  <r>
    <x v="1"/>
    <n v="735"/>
    <m/>
    <n v="2986"/>
    <s v="(24/04/2026) Conthey vai manter o servidor local , em breve caso necessário irá migrar para cloud"/>
    <s v=""/>
    <x v="332"/>
    <m/>
    <s v=""/>
    <s v="Conthey - Cloud"/>
    <s v="11982163176"/>
    <s v=""/>
    <s v="sc@conthey.com.br"/>
    <s v=""/>
    <s v=""/>
    <s v=""/>
    <s v=""/>
    <s v=""/>
    <s v=""/>
    <s v=""/>
    <s v=""/>
    <s v="80%"/>
    <s v="Pipeline de Vendas"/>
    <s v="Em Fechamento (100%)"/>
    <s v=""/>
    <d v="2026-01-16T00:00:00"/>
    <n v="1600"/>
    <n v="524246"/>
    <n v="134"/>
    <s v="Junior Lopes"/>
    <d v="2025-12-11T00:00:00"/>
    <d v="1899-12-30T11:33:08"/>
    <s v=""/>
    <s v="Perdido"/>
    <d v="2026-04-24T00:00:00"/>
    <d v="1899-12-30T09:04:14"/>
    <s v="Não quer mudar a solução atual"/>
    <s v="(24/04/2026) Conthey vai manter o servidor local , em breve caso necessário irá migrar para cloud"/>
    <s v=""/>
    <x v="157"/>
    <s v="Junior Lopes"/>
    <x v="169"/>
    <s v=""/>
    <d v="2026-04-24T00:00:00"/>
    <n v="80"/>
    <s v=""/>
    <s v=""/>
    <s v=""/>
    <s v=""/>
    <n v="1"/>
  </r>
  <r>
    <x v="1"/>
    <n v="736"/>
    <m/>
    <n v="2988"/>
    <s v=""/>
    <s v=""/>
    <x v="333"/>
    <m/>
    <s v=""/>
    <s v="Star - B2B"/>
    <s v="17997793113"/>
    <s v=""/>
    <s v="comercial@distribuidorastar.com.br"/>
    <s v=""/>
    <s v=""/>
    <s v=""/>
    <s v=""/>
    <s v=""/>
    <s v=""/>
    <s v=""/>
    <s v=""/>
    <s v="30%"/>
    <s v="Pipeline de Vendas"/>
    <s v="Em negociação (75%)"/>
    <s v=""/>
    <d v="2025-12-17T00:00:00"/>
    <n v="26200"/>
    <n v="3400"/>
    <n v="50"/>
    <s v="Junior Lopes"/>
    <d v="2025-12-11T00:00:00"/>
    <d v="1899-12-30T15:26:26"/>
    <s v=""/>
    <s v="Perdido"/>
    <d v="2026-01-30T00:00:00"/>
    <d v="1899-12-30T15:36:18"/>
    <s v="Projeto adiado / sem prazo definido"/>
    <s v="sem retorno"/>
    <s v=""/>
    <x v="158"/>
    <s v=""/>
    <x v="170"/>
    <s v="15/12/2025"/>
    <d v="2026-01-09T00:00:00"/>
    <m/>
    <s v=""/>
    <s v=""/>
    <s v=""/>
    <s v=""/>
    <n v="1"/>
  </r>
  <r>
    <x v="1"/>
    <n v="737"/>
    <m/>
    <n v="2989"/>
    <s v=""/>
    <s v=""/>
    <x v="334"/>
    <m/>
    <s v=""/>
    <s v="Tecelagem Castilho - Contábil"/>
    <s v="62993609476"/>
    <s v=""/>
    <s v="null"/>
    <s v=""/>
    <s v=""/>
    <s v=""/>
    <s v=""/>
    <s v=""/>
    <s v=""/>
    <s v=""/>
    <s v=""/>
    <s v="30%"/>
    <s v="Pipeline de Vendas"/>
    <s v="Em negociação (75%)"/>
    <s v=""/>
    <d v="2025-12-17T00:00:00"/>
    <n v="22824"/>
    <n v="68904"/>
    <n v="1"/>
    <s v="Junior Lopes"/>
    <d v="2025-12-11T00:00:00"/>
    <d v="1899-12-30T15:56:07"/>
    <s v=""/>
    <s v="Perdido"/>
    <d v="2025-12-12T00:00:00"/>
    <d v="1899-12-30T16:41:43"/>
    <s v="Projeto adiado / sem prazo definido"/>
    <s v="rto, obrigada_x000a_Dayane ! O módulo contábil faz sentido para vocês  ?_x000a_No momento não_x000a_Olá Dayane ! perfeito , ficamos a disposição ! um ótimo final de semana"/>
    <s v=""/>
    <x v="157"/>
    <s v=""/>
    <x v="171"/>
    <s v=""/>
    <d v="2025-12-12T00:00:00"/>
    <m/>
    <s v=""/>
    <s v=""/>
    <s v=""/>
    <s v=""/>
    <n v="1"/>
  </r>
  <r>
    <x v="1"/>
    <n v="739"/>
    <m/>
    <n v="2991"/>
    <s v=""/>
    <s v=""/>
    <x v="335"/>
    <m/>
    <s v=""/>
    <s v="Erca Alumínio - Imp.XML"/>
    <s v="19999989392"/>
    <s v=""/>
    <s v="null"/>
    <s v=""/>
    <s v=""/>
    <s v=""/>
    <s v=""/>
    <s v=""/>
    <s v=""/>
    <s v=""/>
    <s v=""/>
    <s v="30%"/>
    <s v="Pipeline de Vendas"/>
    <s v="Apresentar Proposta (50%)"/>
    <s v=""/>
    <d v="2025-12-31T00:00:00"/>
    <n v="3392"/>
    <n v="3564"/>
    <n v="76"/>
    <s v="Junior Lopes"/>
    <d v="2025-12-12T00:00:00"/>
    <d v="1899-12-30T12:21:40"/>
    <s v=""/>
    <s v="Perdido"/>
    <d v="2026-02-26T00:00:00"/>
    <d v="1899-12-30T09:21:39"/>
    <s v="Projeto adiado / sem prazo definido"/>
    <s v="sem retorno do cliente"/>
    <s v=""/>
    <x v="159"/>
    <s v="Junior Lopes"/>
    <x v="172"/>
    <s v=""/>
    <d v="2025-12-12T00:00:00"/>
    <n v="30"/>
    <s v=""/>
    <s v=""/>
    <s v=""/>
    <s v=""/>
    <n v="1"/>
  </r>
  <r>
    <x v="0"/>
    <n v="740"/>
    <m/>
    <n v="2994"/>
    <s v="Em conversa com o Valter ficou combinado de falar no dia 19/01, pois ele esta em viagem._x000a_23/01 Fiz contato com o Walter hoje para cobrar ele nossa agenda para a próxima semana._x000a_11/03 Fiz FUP com Valter, ele tem resistência em aceitar a proposta devido aos valores._x000a_20/03 Após tentativas de negociar não evoluiu porque o preço ficou fora do que o cliente gostaria de investir."/>
    <s v=""/>
    <x v="336"/>
    <m/>
    <s v=""/>
    <s v="Valter"/>
    <s v="11996577830"/>
    <s v=""/>
    <s v="vppeliciari@gmail.com"/>
    <s v=""/>
    <s v=""/>
    <s v=""/>
    <s v=""/>
    <s v=""/>
    <s v="Campanha"/>
    <s v=""/>
    <s v=""/>
    <s v="30%;Dentro Perfil;Instagram"/>
    <s v="Pipeline de Vendas"/>
    <s v="Em negociação (75%)"/>
    <s v=""/>
    <d v="2026-03-31T00:00:00"/>
    <n v="115520"/>
    <n v="65721"/>
    <n v="94"/>
    <s v="Paulo Souza"/>
    <d v="2025-12-16T00:00:00"/>
    <d v="1899-12-30T12:13:29"/>
    <s v=""/>
    <s v="Perdido"/>
    <d v="2026-03-20T00:00:00"/>
    <d v="1899-12-30T16:59:02"/>
    <s v="Preço muito alto - fora do budget de investimento"/>
    <s v=""/>
    <s v=""/>
    <x v="160"/>
    <s v="Paulo Souza"/>
    <x v="173"/>
    <s v=""/>
    <d v="2026-03-20T00:00:00"/>
    <n v="30"/>
    <s v=""/>
    <s v="ERP, PCP"/>
    <s v=""/>
    <s v=""/>
    <n v="1"/>
  </r>
  <r>
    <x v="1"/>
    <n v="741"/>
    <m/>
    <n v="2995"/>
    <s v="(16/01/2026) Entrei em contato com Allan ! segundo ele esta verificando com a diretoria sobre a sequencia no projeto ! informei que nossa proposta está vencida e que preciso de uma decisão urgente para nao  perdemos o valor _x000a_16/01/2026 em contato com Allan ! decidiu por nao dar sequencia nesse momento ! o motivo é por conta do investimento"/>
    <s v=""/>
    <x v="337"/>
    <m/>
    <s v=""/>
    <s v="Allan Kaynã Vargas"/>
    <s v="(49) 99929-0242"/>
    <s v=""/>
    <s v="comercial2@topten.net.br"/>
    <s v=""/>
    <s v=""/>
    <s v=""/>
    <s v="Guarujá do Sul"/>
    <s v=""/>
    <s v="Site"/>
    <s v=""/>
    <s v=""/>
    <s v="30%;Solicita demo"/>
    <s v="Pipeline de Vendas"/>
    <s v="Em negociação (75%)"/>
    <s v=""/>
    <d v="2026-01-31T00:00:00"/>
    <n v="44000"/>
    <n v="110248"/>
    <n v="31"/>
    <s v="Junior Lopes"/>
    <d v="2025-12-16T00:00:00"/>
    <d v="1899-12-30T17:29:27"/>
    <s v=""/>
    <s v="Perdido"/>
    <d v="2026-01-16T00:00:00"/>
    <d v="1899-12-30T15:55:46"/>
    <s v="Não houve aprovação financeira"/>
    <s v="16/01/2026 em contato com Allan ! decidiu por nao dar sequencia nesse momento ! o motivo é por conta do investimento"/>
    <s v=""/>
    <x v="161"/>
    <s v=""/>
    <x v="174"/>
    <s v="19/12/2025"/>
    <d v="2026-01-16T00:00:00"/>
    <m/>
    <s v=""/>
    <s v=""/>
    <s v=""/>
    <s v=""/>
    <n v="1"/>
  </r>
  <r>
    <x v="1"/>
    <n v="742"/>
    <m/>
    <n v="2996"/>
    <s v="(16/01/2026) Entrei em contato com Allan ! segundo ele esta verificando com a diretoria sobre a sequencia no projeto ! informei que nossa proposta está vencida e que preciso de uma decisão urgente para nao  perdemos o valor _x000a_16/01/2026 em contato com Allan ! decidiu por nao dar sequencia nesse momento ! o motivo é por conta do investimento"/>
    <s v=""/>
    <x v="338"/>
    <m/>
    <s v=""/>
    <s v="TopTem - AFV"/>
    <s v="49999290242"/>
    <s v=""/>
    <s v="comercial2@topten.net.br"/>
    <s v=""/>
    <s v=""/>
    <s v=""/>
    <s v=""/>
    <s v=""/>
    <s v=""/>
    <s v=""/>
    <s v=""/>
    <s v="30%"/>
    <s v="Pipeline de Vendas"/>
    <s v="Em negociação (75%)"/>
    <s v=""/>
    <d v="2026-01-31T00:00:00"/>
    <n v="8000"/>
    <n v="186599"/>
    <n v="31"/>
    <s v="Junior Lopes"/>
    <d v="2025-12-16T00:00:00"/>
    <d v="1899-12-30T17:31:43"/>
    <s v=""/>
    <s v="Perdido"/>
    <d v="2026-01-16T00:00:00"/>
    <d v="1899-12-30T15:56:44"/>
    <s v="Não houve aprovação financeira"/>
    <s v="16/01/2026 em contato com Allan ! decidiu por nao dar sequencia nesse momento ! o motivo é por conta do investimento"/>
    <s v=""/>
    <x v="161"/>
    <s v=""/>
    <x v="174"/>
    <s v="19/12/2025"/>
    <d v="2026-01-16T00:00:00"/>
    <m/>
    <s v=""/>
    <s v=""/>
    <s v=""/>
    <s v=""/>
    <n v="1"/>
  </r>
  <r>
    <x v="1"/>
    <n v="746"/>
    <m/>
    <n v="3004"/>
    <s v=""/>
    <s v=""/>
    <x v="339"/>
    <m/>
    <s v=""/>
    <s v="Atacado Sibras 1.99"/>
    <s v="4191190775"/>
    <s v=""/>
    <s v="andrearnpauli@hotmail.com"/>
    <s v=""/>
    <s v=""/>
    <s v=""/>
    <s v=""/>
    <s v=""/>
    <s v="Campanha"/>
    <s v=""/>
    <s v=""/>
    <s v="Fora Perfil;Instagram"/>
    <s v="Pipeline de Vendas"/>
    <s v="Agendamento (0%)"/>
    <s v=""/>
    <m/>
    <m/>
    <m/>
    <n v="135"/>
    <s v="Junior Lopes"/>
    <d v="2025-12-22T00:00:00"/>
    <d v="1899-12-30T08:30:48"/>
    <s v=""/>
    <s v="Perdido"/>
    <d v="2026-05-06T00:00:00"/>
    <d v="1899-12-30T16:31:41"/>
    <s v="Fora do porte mínimo (sem fit estrutural)"/>
    <s v="lojista"/>
    <s v=""/>
    <x v="0"/>
    <s v=""/>
    <x v="0"/>
    <s v=""/>
    <m/>
    <m/>
    <s v=""/>
    <s v=""/>
    <s v=""/>
    <s v=""/>
    <n v="1"/>
  </r>
  <r>
    <x v="1"/>
    <n v="747"/>
    <m/>
    <n v="3003"/>
    <s v=""/>
    <s v=""/>
    <x v="340"/>
    <m/>
    <s v=""/>
    <s v="BJ Engenharia"/>
    <s v="6195770926"/>
    <s v=""/>
    <s v="eduaniceto@engenhariabomjesus.com.br"/>
    <s v=""/>
    <s v=""/>
    <s v=""/>
    <s v=""/>
    <s v=""/>
    <s v="Campanha"/>
    <s v=""/>
    <s v=""/>
    <s v="Fora Perfil;Instagram"/>
    <s v="Pipeline de Vendas"/>
    <s v="Agendamento (0%)"/>
    <s v=""/>
    <m/>
    <m/>
    <m/>
    <n v="138"/>
    <s v="Junior Lopes"/>
    <d v="2025-12-22T00:00:00"/>
    <d v="1899-12-30T08:35:32"/>
    <s v=""/>
    <s v="Perdido"/>
    <d v="2026-05-09T00:00:00"/>
    <d v="1899-12-30T08:04:32"/>
    <s v="Fora do segmento atendido"/>
    <s v=""/>
    <s v=""/>
    <x v="0"/>
    <s v=""/>
    <x v="0"/>
    <s v=""/>
    <m/>
    <m/>
    <s v=""/>
    <s v=""/>
    <s v=""/>
    <s v=""/>
    <n v="1"/>
  </r>
  <r>
    <x v="1"/>
    <n v="748"/>
    <m/>
    <n v="3011"/>
    <s v="Lead entrou em contato no Whatsapp Business do Damián._x000a_(21/01/2026) 09:14, 21/01/2026 Junior Lopes: Olá Dário ! Bom dia , Td bem ?_x000a_09:30, 21/01/2026 Chavetas: Bom dia Júnior, td bem ? Estou a analisar as diversas empresas que tive contato, os prós e contras, porém com calma, para fazer algo que realmente atenda a necessidades._x000a_(21/01/2026) além do material que enviei para Dário , sugeri a ele uma visita comercial para apresentar nossas soluções _x000a_(29/01/2026) Estou alinhando com Dário mais uma rodada de apresentação ! ele esta indeciso em algumas opções concorrentes _x000a_(02/03/2026) em contato com Dário _x000a_Esta em analise com alguns ERPs, porem nada com previsão imediata devido a outras prioridades ! estou descartando e manterei contato via WhatsApp"/>
    <s v=""/>
    <x v="341"/>
    <n v="9260618000165"/>
    <s v=""/>
    <s v="Chavetas Comércio de Peças e Ferramentas Ltda."/>
    <s v="(11) 98183-5003"/>
    <s v=""/>
    <s v="dario@chavetasecia.com.br"/>
    <s v=""/>
    <s v=""/>
    <s v=""/>
    <s v=""/>
    <s v=""/>
    <s v="Campanha"/>
    <s v=""/>
    <s v=""/>
    <s v="30%;Dentro Perfil;Instagram"/>
    <s v="Pipeline de Vendas"/>
    <s v="Apresentar Solução (35%)"/>
    <s v=""/>
    <d v="2026-01-31T00:00:00"/>
    <m/>
    <m/>
    <n v="62"/>
    <s v="Junior Lopes"/>
    <d v="2025-12-30T00:00:00"/>
    <d v="1899-12-30T11:08:44"/>
    <s v=""/>
    <s v="Perdido"/>
    <d v="2026-03-02T00:00:00"/>
    <d v="1899-12-30T11:31:09"/>
    <s v="Não quer mudar a solução atual"/>
    <s v="(02/03/2026) em contato com Dário _x000a_Esta em analise com alguns ERPs, porem nada com previsão imediata devido a outras prioridades ! estou descartando e manterei contato via WhatsApp"/>
    <s v=""/>
    <x v="0"/>
    <s v="Junior Lopes"/>
    <x v="167"/>
    <s v=""/>
    <d v="2026-03-02T00:00:00"/>
    <n v="30"/>
    <s v=""/>
    <s v=""/>
    <s v=""/>
    <s v=""/>
    <n v="1"/>
  </r>
  <r>
    <x v="1"/>
    <n v="749"/>
    <m/>
    <n v="3006"/>
    <s v="(21/01/2026) em contato com Edilson _x000a_pediu para retornar contato no dia 26/01 pois esta bem corrido devido a um feriado na cidade ! ele pediu para enviar material sobre nossas soluções _x000a_(29/01/2026) Cliente esta analisando demais ferramentas ! estamos organizando apresentação do AFV _x000a_(18/02/2026) Edilson declinou por conta do valor acima da expectativa de investimento ! não ofertou contra proposta pq valor estava bem acima do esperado"/>
    <s v=""/>
    <x v="342"/>
    <n v="34667612000154"/>
    <s v=""/>
    <s v="ColorUnhas"/>
    <s v="(44) 9706-9580"/>
    <s v=""/>
    <s v="colorunhas@uol.com.br"/>
    <s v=""/>
    <s v=""/>
    <s v=""/>
    <s v="TELEMACO BORBA"/>
    <s v="PR"/>
    <s v="Campanha"/>
    <s v=""/>
    <s v=""/>
    <s v="30%;Dentro Perfil;Instagram"/>
    <s v="Pipeline de Vendas"/>
    <s v="Apresentar Proposta (50%)"/>
    <s v=""/>
    <d v="2026-02-28T00:00:00"/>
    <n v="1117015"/>
    <n v="468739"/>
    <n v="50"/>
    <s v="Junior Lopes"/>
    <d v="2025-12-30T00:00:00"/>
    <d v="1899-12-30T11:28:58"/>
    <s v=""/>
    <s v="Perdido"/>
    <d v="2026-02-18T00:00:00"/>
    <d v="1899-12-30T08:52:33"/>
    <s v="Não houve aprovação financeira"/>
    <s v="(18/02/2026) Edilson declinou por conta do valor acima da expectativa de investimento ! não ofertou contra proposta pq valor estava bem acima do esperado"/>
    <s v=""/>
    <x v="162"/>
    <s v="Junior Lopes"/>
    <x v="175"/>
    <s v="05/02/2026"/>
    <d v="2026-02-18T00:00:00"/>
    <n v="30"/>
    <s v=""/>
    <s v=""/>
    <s v=""/>
    <s v=""/>
    <n v="1"/>
  </r>
  <r>
    <x v="2"/>
    <n v="750"/>
    <m/>
    <n v="3016"/>
    <s v="Reunião agendada para o dia 23/01 _x000a_17-02 Cliente deu negativa no avanço do projeto,pois o valor ficou fora do que estão planejando _x000a_E receberam uma proposta comercial de 30mil de implantação e 4mil de mensalidade do sistema webmais_x000a_https://webmaissistemas.com.br/"/>
    <s v=""/>
    <x v="343"/>
    <n v="1574467000108"/>
    <s v=""/>
    <s v="Doce festa"/>
    <s v="17981152060"/>
    <s v=""/>
    <s v="paulopedroso@produtosdocefesta.com.br"/>
    <s v=""/>
    <s v=""/>
    <s v=""/>
    <s v=""/>
    <s v=""/>
    <s v="Campanha"/>
    <s v=""/>
    <s v=""/>
    <s v="50%;Dentro Perfil;Instagram"/>
    <s v="Pipeline de Vendas"/>
    <s v="Em negociação (75%)"/>
    <s v=""/>
    <d v="2026-03-31T00:00:00"/>
    <n v="12996348"/>
    <n v="860884"/>
    <n v="43"/>
    <s v="Rayssa Karapeticov"/>
    <d v="2026-01-05T00:00:00"/>
    <d v="1899-12-30T11:50:01"/>
    <s v=""/>
    <s v="Perdido"/>
    <d v="2026-02-17T00:00:00"/>
    <d v="1899-12-30T16:19:52"/>
    <s v="Preço muito alto - fora do budget de investimento"/>
    <s v=""/>
    <s v=""/>
    <x v="0"/>
    <s v="Rayssa Karapeticov"/>
    <x v="167"/>
    <s v="05/02/2026"/>
    <d v="2026-02-05T00:00:00"/>
    <n v="50"/>
    <s v=""/>
    <s v=""/>
    <s v=""/>
    <s v=""/>
    <n v="1"/>
  </r>
  <r>
    <x v="2"/>
    <n v="754"/>
    <m/>
    <n v="3017"/>
    <s v="Proposta feita,aguardando agenda do cliente para apresentar_x000a_Oi, Rayssa, tudo bem?_x000a_Estamos em processo de mudança de local e, por isso, essa semana está bem corrida por aqui. Acabei ficando sem tempo para conseguir conversar com calma agora."/>
    <s v="Irriga House Irrigacao Comercial Agricola Ltda"/>
    <x v="344"/>
    <n v="61516270000144"/>
    <s v=""/>
    <s v="Irriga house"/>
    <s v="11973112176"/>
    <s v=""/>
    <s v="vendas@irrigahouse.com.br"/>
    <s v=""/>
    <s v=""/>
    <s v=""/>
    <s v="JUNDIAI"/>
    <s v="SP"/>
    <s v="Campanha"/>
    <s v=""/>
    <s v=""/>
    <s v="30%;Dentro Perfil;Instagram"/>
    <s v="Pipeline de Vendas"/>
    <s v="Apresentar Proposta (50%)"/>
    <s v=""/>
    <d v="2026-04-30T00:00:00"/>
    <m/>
    <m/>
    <n v="13"/>
    <s v="Rayssa Karapeticov"/>
    <d v="2026-01-07T00:00:00"/>
    <d v="1899-12-30T10:16:04"/>
    <s v=""/>
    <s v="Perdido"/>
    <d v="2026-01-20T00:00:00"/>
    <d v="1899-12-30T17:15:42"/>
    <s v="Não quer mudar a solução atual"/>
    <s v=""/>
    <s v=""/>
    <x v="163"/>
    <s v="Rayssa Karapeticov"/>
    <x v="176"/>
    <s v=""/>
    <d v="2026-01-19T00:00:00"/>
    <m/>
    <s v=""/>
    <s v=""/>
    <s v=""/>
    <s v=""/>
    <n v="1"/>
  </r>
  <r>
    <x v="0"/>
    <n v="757"/>
    <m/>
    <n v="3046"/>
    <s v="Hoje (12/01/26) cobrei o Allan se ele tem interesse nas soluções da Guarani Sim ou Não. Por ele não atende minhas ligações. (13/01 - Chamei e liguei para o Allan, sem retorno._x000a_12/01 Fiz FUP, com Allan, fechou com uma empresa de menor e falou que se não se adaptar volta a fazer contato."/>
    <s v=""/>
    <x v="345"/>
    <m/>
    <s v=""/>
    <s v="Allan"/>
    <s v="12982018157"/>
    <s v=""/>
    <s v="e.mazala@hotmail.com"/>
    <s v=""/>
    <s v=""/>
    <s v=""/>
    <s v=""/>
    <s v=""/>
    <s v="Campanha"/>
    <s v=""/>
    <s v=""/>
    <s v="30%;Dentro Perfil;Instagram"/>
    <s v="Pipeline de Vendas"/>
    <s v="Qualificação de Vendas (SQL) (25%)"/>
    <s v=""/>
    <d v="2026-01-12T00:00:00"/>
    <m/>
    <m/>
    <n v="15"/>
    <s v="Paulo Souza"/>
    <d v="2026-01-08T00:00:00"/>
    <d v="1899-12-30T15:56:57"/>
    <s v=""/>
    <s v="Perdido"/>
    <d v="2026-01-23T00:00:00"/>
    <d v="1899-12-30T17:53:36"/>
    <s v="Fechou com o concorrente - preço"/>
    <s v="optou por uma empresa menor neste momento."/>
    <s v=""/>
    <x v="0"/>
    <s v="Paulo Souza"/>
    <x v="0"/>
    <s v=""/>
    <d v="2026-01-12T00:00:00"/>
    <m/>
    <s v=""/>
    <s v=""/>
    <s v=""/>
    <s v=""/>
    <n v="1"/>
  </r>
  <r>
    <x v="0"/>
    <n v="758"/>
    <m/>
    <n v="3048"/>
    <s v="Liberado em degustação por 7 dias e depois efetivar vendas ._x000a_Liberado a degustação em 12/01._x000a_19/01: Cobrei o Mario pra saber se esta tudo ok. E se iremos seguir ou não com a contratação._x000a_23/01 - Em conversa com o Mario, o suporte ainda esta configurando e após vai treinar e assim vou conseguir contabilizar os 7 dias de degustação e fechar o negocio._x000a_26/02 Não avançou."/>
    <s v=""/>
    <x v="346"/>
    <m/>
    <s v=""/>
    <s v="Mario"/>
    <s v="11982243773"/>
    <s v=""/>
    <s v="vendas1.jpdistribuidora@gmail.com"/>
    <s v=""/>
    <s v=""/>
    <s v=""/>
    <s v=""/>
    <s v=""/>
    <s v=""/>
    <s v=""/>
    <s v=""/>
    <s v="50%"/>
    <s v="Pipeline de Vendas"/>
    <s v="Em negociação (75%)"/>
    <s v=""/>
    <d v="2026-02-26T00:00:00"/>
    <n v="0"/>
    <n v="66"/>
    <n v="49"/>
    <s v="Paulo Souza"/>
    <d v="2026-01-08T00:00:00"/>
    <d v="1899-12-30T16:54:28"/>
    <s v=""/>
    <s v="Perdido"/>
    <d v="2026-02-26T00:00:00"/>
    <d v="1899-12-30T22:15:54"/>
    <s v="Não houve aprovação financeira"/>
    <s v=""/>
    <s v=""/>
    <x v="164"/>
    <s v="Paulo Souza"/>
    <x v="177"/>
    <s v=""/>
    <d v="2026-02-26T00:00:00"/>
    <n v="50"/>
    <s v="2"/>
    <s v="ADICIONAIS"/>
    <s v="R$ 0"/>
    <s v="R$ 66"/>
    <n v="1"/>
  </r>
  <r>
    <x v="0"/>
    <n v="759"/>
    <m/>
    <n v="3049"/>
    <s v="Fechado."/>
    <s v=""/>
    <x v="347"/>
    <n v="10345472000130"/>
    <s v=""/>
    <s v="Walter"/>
    <s v="19983040748"/>
    <s v=""/>
    <s v="walter@akitembembarato.com"/>
    <s v=""/>
    <s v=""/>
    <s v=""/>
    <s v=""/>
    <s v=""/>
    <s v=""/>
    <s v=""/>
    <s v=""/>
    <s v="90%"/>
    <s v="Pipeline de Vendas"/>
    <s v="Em Fechamento (100%)"/>
    <s v=""/>
    <d v="2026-01-31T00:00:00"/>
    <n v="1505387"/>
    <n v="27562"/>
    <n v="4"/>
    <s v="Paulo Souza"/>
    <d v="2026-01-08T00:00:00"/>
    <d v="1899-12-30T17:14:43"/>
    <s v=""/>
    <s v="Ganho"/>
    <d v="2026-01-12T00:00:00"/>
    <d v="1899-12-30T14:36:45"/>
    <s v=""/>
    <s v=""/>
    <s v=""/>
    <x v="164"/>
    <s v="Paulo Souza"/>
    <x v="177"/>
    <s v=""/>
    <m/>
    <m/>
    <s v=""/>
    <s v=""/>
    <s v=""/>
    <s v=""/>
    <n v="1"/>
  </r>
  <r>
    <x v="0"/>
    <n v="760"/>
    <m/>
    <n v="3050"/>
    <s v="Falei com o Robson hoje , questionando sobre a proposta e se tem alguma dúvida._x000a_23/01 - Fiz FUPs hoje com o Robson :_x000a_R: Bom dia Paulo, fiz umas considerações na proposta e farei uma reunia com os diretores para apresentação, na sequência quero marcar uma reunião com vocês para conversarmos._x000a_Eu espero te posicionar na próxima terça-feira._x000a_26/02 Alinhar com o Fernando a sequência dos itens que será abordados. E qual item já foi entregue e horas consumidas!_x000a_12/03 O projeto já iniciou e o combinado é que vai cobrar conforme entrega de etapas._x000a_12/03 O projeto já iniciou e o combinado é que vai cobrar conforme entrega de etapas._x000a_20/03 Após alinhamento foi criado pela implantação 10 etapas no projeto, para o acompanhamento e posterior fechamento de horas."/>
    <s v=""/>
    <x v="348"/>
    <n v="3204281000192"/>
    <s v=""/>
    <s v="Robson"/>
    <s v="(11) 4677-6249/ (11) 4677-6250"/>
    <s v=""/>
    <s v="contato@aluminionacional.com.br"/>
    <s v=""/>
    <s v=""/>
    <s v=""/>
    <s v="FERRAZ DE VASCONCELOS"/>
    <s v="SP"/>
    <s v=""/>
    <s v=""/>
    <s v=""/>
    <s v="90%"/>
    <s v="Pipeline de Vendas"/>
    <s v="Em Fechamento (100%)"/>
    <s v=""/>
    <d v="2026-03-31T00:00:00"/>
    <n v="58000"/>
    <n v="0"/>
    <n v="132"/>
    <s v="Paulo Souza"/>
    <d v="2026-01-08T00:00:00"/>
    <d v="1899-12-30T17:22:05"/>
    <s v=""/>
    <s v="Ativo"/>
    <m/>
    <m/>
    <s v=""/>
    <s v=""/>
    <s v=""/>
    <x v="165"/>
    <s v="Paulo Souza"/>
    <x v="178"/>
    <s v=""/>
    <d v="2026-03-20T00:00:00"/>
    <n v="90"/>
    <s v="290"/>
    <s v="TREINAMENTO"/>
    <s v="R$ 58.000,00"/>
    <s v="R$ 0"/>
    <n v="1"/>
  </r>
  <r>
    <x v="0"/>
    <n v="761"/>
    <m/>
    <n v="3053"/>
    <s v="Falei com a Enila e cobrei uma posição se vamos avançar ou não com o projeto. Ela ficou de conversar com o Glayson e me dar um retorno até 12/01/2026."/>
    <s v=""/>
    <x v="349"/>
    <n v="12585697000199"/>
    <s v=""/>
    <s v="Enila"/>
    <s v="(16) 3412-8794"/>
    <s v=""/>
    <s v="operacao@pcp.eng.br"/>
    <s v=""/>
    <s v=""/>
    <s v=""/>
    <s v="SAO CARLOS"/>
    <s v="SP"/>
    <s v=""/>
    <s v=""/>
    <s v=""/>
    <s v=""/>
    <s v="Pipeline de Vendas"/>
    <s v="Em negociação (75%)"/>
    <s v=""/>
    <d v="2026-01-31T00:00:00"/>
    <n v="8100"/>
    <n v="1080"/>
    <n v="4"/>
    <s v="Paulo Souza"/>
    <d v="2026-01-08T00:00:00"/>
    <d v="1899-12-30T17:28:40"/>
    <s v=""/>
    <s v="Perdido"/>
    <d v="2026-01-12T00:00:00"/>
    <d v="1899-12-30T14:31:42"/>
    <s v="Não quer mudar a solução atual"/>
    <s v=""/>
    <s v=""/>
    <x v="164"/>
    <s v="Paulo Souza"/>
    <x v="177"/>
    <s v=""/>
    <d v="2026-01-09T00:00:00"/>
    <m/>
    <s v=""/>
    <s v=""/>
    <s v=""/>
    <s v=""/>
    <n v="1"/>
  </r>
  <r>
    <x v="0"/>
    <n v="762"/>
    <m/>
    <n v="3040"/>
    <s v="Falei com o Ivan hoje que não me deu atenção avisou que estava no transito e não podia atender. Falou para chamar ele no zap e combinar um horário semana que vem. 13/01 - Retomei contato com o IVan e não obtive retorno._x000a_23/01 declinei a proposta por falta de interesse por parte do cliente, não me atendeu e nem respondeu meus contatos."/>
    <s v=""/>
    <x v="350"/>
    <m/>
    <s v=""/>
    <s v="Ivan"/>
    <s v="11930305063"/>
    <s v=""/>
    <s v="liraivan2000@yahoo.com.br"/>
    <s v=""/>
    <s v=""/>
    <s v=""/>
    <s v=""/>
    <s v=""/>
    <s v="Campanha"/>
    <s v=""/>
    <s v=""/>
    <s v="30%;Fora Perfil;Instagram"/>
    <s v="Pipeline de Vendas"/>
    <s v="Qualificação de Vendas (SQL) (25%)"/>
    <s v=""/>
    <d v="2026-01-23T00:00:00"/>
    <m/>
    <m/>
    <n v="15"/>
    <s v="Paulo Souza"/>
    <d v="2026-01-08T00:00:00"/>
    <d v="1899-12-30T17:34:33"/>
    <s v=""/>
    <s v="Perdido"/>
    <d v="2026-01-23T00:00:00"/>
    <d v="1899-12-30T17:56:12"/>
    <s v="Fora do porte mínimo (sem fit estrutural)"/>
    <s v=""/>
    <s v=""/>
    <x v="0"/>
    <s v="Paulo Souza"/>
    <x v="0"/>
    <s v=""/>
    <d v="2026-01-23T00:00:00"/>
    <m/>
    <s v=""/>
    <s v=""/>
    <s v=""/>
    <s v=""/>
    <n v="1"/>
  </r>
  <r>
    <x v="1"/>
    <n v="763"/>
    <m/>
    <n v="3058"/>
    <s v="(12/01/2026) Em contato com Bruno realizamos uma apresentação do força de vendas em 12/01/2026 e falamos um pouco sobre nosso ERP ! logo pediu uma ideia de investimento para seguir _x000a_(29/01/2026) Após envio de proposta cliente não respondeu mais"/>
    <s v=""/>
    <x v="351"/>
    <n v="55042933000133"/>
    <s v=""/>
    <s v="Folha Dourada Tabacos Ltda"/>
    <s v="(32) 8408-3586"/>
    <s v=""/>
    <s v="atacabaco@gmail.com"/>
    <s v=""/>
    <s v=""/>
    <s v=""/>
    <s v="JUIZ DE FORA"/>
    <s v="MG"/>
    <s v="Campanha"/>
    <s v=""/>
    <s v=""/>
    <s v="30%;Dentro Perfil;Instagram"/>
    <s v="Pipeline de Vendas"/>
    <s v="Apresentar Solução (35%)"/>
    <s v=""/>
    <d v="2026-01-31T00:00:00"/>
    <n v="61904"/>
    <n v="13156"/>
    <n v="20"/>
    <s v="Junior Lopes"/>
    <d v="2026-01-09T00:00:00"/>
    <d v="1899-12-30T11:15:37"/>
    <s v=""/>
    <s v="Perdido"/>
    <d v="2026-01-29T00:00:00"/>
    <d v="1899-12-30T14:30:59"/>
    <s v="Projeto adiado / sem prazo definido"/>
    <s v="(29/01/2026) Após envio de proposta cliente não respondeu mais"/>
    <s v=""/>
    <x v="166"/>
    <s v=""/>
    <x v="179"/>
    <s v=""/>
    <d v="2026-01-29T00:00:00"/>
    <m/>
    <s v=""/>
    <s v=""/>
    <s v=""/>
    <s v=""/>
    <n v="1"/>
  </r>
  <r>
    <x v="2"/>
    <n v="764"/>
    <m/>
    <n v="3007"/>
    <s v="Realizamos a apresentação do ERP junto com o  Max seguindo o documento deles de chekilist d aderencia do software, tiraram duvidas dos processos e seguiemos para uma segunda apresentação do AFV e Do BI_x000a_26/01 Video do AFV encaminhado ao cliente, _x000a_Precisamos de mais uma agenda para demonstração das demais soluções_x000a_26.01 - aguardando Fernando passar horas do projeto_x000a_05.02 estou tentando falar com o cliente a algum tempo,fizemos uma reunião para discutir pontos sobre o ERP. E após isso cliente pediu uma proposta comercial, porém para seguir eu precisava levantar alguns dados que não me foram enviados e depois de várias tentativas cliente não me respondeu_x000a_Após nossa reunião sobre o ERP, preparei os pontos necessários para avançarmos com a proposta comercial. No entanto, não recebi os dados solicitados para dar continuidade e, sem eles, não conseguimos evoluir._x000a_Gostaria de reforçar que esta solução representa uma oportunidade única de crescimento e ganho de eficiência para sua empresa. Cada semana de Como não tive nenhum retorno, entendo que não há interesse em seguir neste momento e encerrarei o processo. Ainda assim, permanecerei à disposição para retomar quando considerar oportuno._x000a_Atenciosamente,"/>
    <s v=""/>
    <x v="352"/>
    <n v="51776465000170"/>
    <s v=""/>
    <s v="CLS Química"/>
    <s v="16996298460"/>
    <s v=""/>
    <s v="keila.graciele@clsquimica.com.br"/>
    <s v=""/>
    <s v=""/>
    <s v=""/>
    <s v=""/>
    <s v=""/>
    <s v="Campanha"/>
    <s v=""/>
    <s v=""/>
    <s v="30%;Dentro Perfil;Instagram"/>
    <s v="Pipeline de Vendas"/>
    <s v="Apresentar Proposta (50%)"/>
    <s v=""/>
    <d v="2026-03-31T00:00:00"/>
    <m/>
    <m/>
    <n v="120"/>
    <s v="Rayssa Karapeticov"/>
    <d v="2026-01-09T00:00:00"/>
    <d v="1899-12-30T11:44:25"/>
    <s v=""/>
    <s v="Perdido"/>
    <d v="2026-05-09T00:00:00"/>
    <d v="1899-12-30T08:32:37"/>
    <s v="Não quer mudar a solução atual"/>
    <s v=""/>
    <s v=""/>
    <x v="0"/>
    <s v="Rayssa Karapeticov"/>
    <x v="180"/>
    <s v=""/>
    <d v="2026-01-28T00:00:00"/>
    <m/>
    <s v=""/>
    <s v=""/>
    <s v=""/>
    <s v=""/>
    <n v="1"/>
  </r>
  <r>
    <x v="0"/>
    <n v="766"/>
    <m/>
    <n v="3063"/>
    <s v="Tiago, retorna apena no dia 15/01, data que retomo o contato com ele._x000a_23/01 - Fechamos negocio."/>
    <s v=""/>
    <x v="353"/>
    <m/>
    <s v=""/>
    <s v="Tiago"/>
    <s v="11971597112"/>
    <s v=""/>
    <s v="null"/>
    <s v=""/>
    <s v=""/>
    <s v=""/>
    <s v=""/>
    <s v=""/>
    <s v=""/>
    <s v=""/>
    <s v=""/>
    <s v="90%;Fabio Indica"/>
    <s v="Pipeline de Vendas"/>
    <s v="Em Fechamento (100%)"/>
    <s v=""/>
    <d v="2026-01-15T00:00:00"/>
    <n v="56100"/>
    <n v="67334"/>
    <n v="14"/>
    <s v="Paulo Souza"/>
    <d v="2026-01-09T00:00:00"/>
    <d v="1899-12-30T15:28:21"/>
    <s v=""/>
    <s v="Ganho"/>
    <d v="2026-01-23T00:00:00"/>
    <d v="1899-12-30T11:05:59"/>
    <s v=""/>
    <s v=""/>
    <s v=""/>
    <x v="164"/>
    <s v="Paulo Souza"/>
    <x v="181"/>
    <s v=""/>
    <d v="2026-01-15T00:00:00"/>
    <m/>
    <s v=""/>
    <s v=""/>
    <s v=""/>
    <s v=""/>
    <n v="1"/>
  </r>
  <r>
    <x v="0"/>
    <n v="767"/>
    <m/>
    <n v="3064"/>
    <s v="Cobrei o André hoje aguardando o retorno sobre a evolução do projeto._x000a_19/01 Fiz FUP com o Andre ele me posicionou que o presidente esta afastado por motivos de saúde e que como ele que decide, só na volta dele para avança. A previsão e que ele retorne na semana do dia 26/1._x000a_07/02 Fiz fup hoje com o André e aguardo a posição dele se a diretoria retornou e se vamos seguir ou não com o projeto._x000a_27/02 Por falta de retorno por parte do cliente, estou declinando a proposta."/>
    <s v=""/>
    <x v="354"/>
    <m/>
    <s v=""/>
    <s v="Andre"/>
    <s v="11982745856"/>
    <s v=""/>
    <s v="andrefelipone@olealimentos.com.br"/>
    <s v=""/>
    <s v=""/>
    <s v=""/>
    <s v=""/>
    <s v=""/>
    <s v=""/>
    <s v=""/>
    <s v=""/>
    <s v="30%;Fabio Indica"/>
    <s v="Pipeline de Vendas"/>
    <s v="Em negociação (75%)"/>
    <s v=""/>
    <d v="2026-01-31T00:00:00"/>
    <n v="16000"/>
    <n v="18330"/>
    <n v="49"/>
    <s v="Paulo Souza"/>
    <d v="2026-01-09T00:00:00"/>
    <d v="1899-12-30T15:38:45"/>
    <s v=""/>
    <s v="Perdido"/>
    <d v="2026-02-27T00:00:00"/>
    <d v="1899-12-30T21:22:05"/>
    <s v="Preço muito alto - fora do budget de investimento"/>
    <s v=""/>
    <s v=""/>
    <x v="167"/>
    <s v="Paulo Souza"/>
    <x v="178"/>
    <s v=""/>
    <d v="2026-01-19T00:00:00"/>
    <n v="30"/>
    <s v="80"/>
    <s v="AFV"/>
    <s v="R$ 16.000"/>
    <s v="R$ 18.330"/>
    <n v="1"/>
  </r>
  <r>
    <x v="2"/>
    <n v="768"/>
    <m/>
    <n v="2107"/>
    <s v="11:25, 1/13/2026 +55 47 8834-5510: Bom dia Rayssa. Tudo bem?_x000a_11:25, 1/13/2026 +55 47 8834-5510: Aguarde um pouco antes de continuar a RFP._x000a_11:25, 1/13/2026 Rayssa Karapeticov - Comercial - Guarani Sistemas: Tudo otimo e  você?_x000a_Blzinha_x000a_11:28, 1/13/2026 +55 47 8834-5510: Existem alguns itens que observei e conversei com as áreas envolvidas, e que são difícil de negociar, comparado com outros fabricantes que já estão também participando._x000a_11:29, 1/13/2026 +55 47 8834-5510: Vamos deixar nesse momento suspenso o processo de RFP com vcs, e caso ocorra alguma mudança muito grande com aqueles que estão participando, eu aviso a necessidade de retomar ok?_x000a_11:29, 1/13/2026 +55 47 8834-5510: Agradeço demais seu tempo até aqui, e é realmente para evitar um trabalho maior agora, que tz não seja possível avançar depois._x000a_11:30, 1/13/2026 +55 47 8834-5510: 🙏🏻🙏🏻🙏🏻🙏🏻_x000a_11:30, 1/13/2026 Rayssa Karapeticov - Comercial - Guarani Sistemas: Entendo perfeitamente, para resgistro de feedback, quais são esses pontos?_x000a_11:32, 1/13/2026 +55 47 8834-5510: Em especial itens de tecnologia, e alguns pontos das áreas de negócio já preenchidas. _x000a_Fiz um bate papo com a equipe para olharmos oq já foi preenchido, e relacionamos com os demais fabricantes que estão participando._x000a_11:33, 1/13/2026 Rayssa Karapeticov - Comercial - Guarani Sistemas: Certo, fico a disposição aqui caso queira continuar. _x000a_Qualquer duvida também pode me chamar_x000a_11:33, 1/13/2026 +55 47 8834-5510: Como o objetivo é seguir a prox fase com no máx 3 fabricantes, outros fabricantes já se enquadraram melhor no que estamos buscando._x000a_11:33, 1/13/2026 +55 47 8834-5510: Mas se algo mudar durante o processo, eu aviso. Muito obrigadoooo!!!_x000a_11:34, 1/13/2026 Rayssa Karapeticov - Comercial - Guarani Sistemas: Combinado"/>
    <s v="Maral Industria E Comercio De Brinquedos Ltda"/>
    <x v="355"/>
    <n v="10469551000152"/>
    <s v=""/>
    <s v="Carlos Alberto Kuehl"/>
    <s v="(47) 3387-5400/ (47) 3394-0982"/>
    <s v=""/>
    <s v="contato@maral.ind.br"/>
    <s v=""/>
    <s v=""/>
    <s v=""/>
    <s v="POMERODE"/>
    <s v="SC"/>
    <s v="Base de empresas Leads2b"/>
    <s v=""/>
    <s v=""/>
    <s v="30%;Dentro Perfil;Feiras"/>
    <s v="Pipeline de Vendas"/>
    <s v="Qualificação de Vendas (SQL) (25%)"/>
    <s v=""/>
    <d v="2026-04-30T00:00:00"/>
    <m/>
    <m/>
    <n v="11"/>
    <s v="Rayssa Karapeticov"/>
    <d v="2026-01-09T00:00:00"/>
    <d v="1899-12-30T16:53:32"/>
    <s v=""/>
    <s v="Perdido"/>
    <d v="2026-01-20T00:00:00"/>
    <d v="1899-12-30T17:10:21"/>
    <s v="Fechou com o concorrente - preço"/>
    <s v=""/>
    <s v=""/>
    <x v="0"/>
    <s v=""/>
    <x v="0"/>
    <s v=""/>
    <d v="2026-01-13T00:00:00"/>
    <m/>
    <s v=""/>
    <s v=""/>
    <s v=""/>
    <s v=""/>
    <n v="1"/>
  </r>
  <r>
    <x v="0"/>
    <n v="769"/>
    <m/>
    <n v="2997"/>
    <s v="Falei com o Kleber hoje novamente e estou aguardando ele me dar um retorno sobre agenda. 13/01 - Fiz contato com o Kleber para saber se tem interesse ou não em seguir,"/>
    <s v=""/>
    <x v="356"/>
    <m/>
    <s v=""/>
    <s v="Kleber"/>
    <s v="11991898161"/>
    <s v=""/>
    <s v="kleber.ppbh@gmail.com"/>
    <s v=""/>
    <s v=""/>
    <s v=""/>
    <s v=""/>
    <s v=""/>
    <s v="Campanha"/>
    <s v=""/>
    <s v=""/>
    <s v="30%;Dentro Perfil;Instagram"/>
    <s v="Pipeline de Vendas"/>
    <s v="Qualificação de Vendas (SQL) (25%)"/>
    <s v=""/>
    <d v="2026-01-31T00:00:00"/>
    <m/>
    <m/>
    <n v="1"/>
    <s v="Paulo Souza"/>
    <d v="2026-01-12T00:00:00"/>
    <d v="1899-12-30T17:30:01"/>
    <s v=""/>
    <s v="Perdido"/>
    <d v="2026-01-13T00:00:00"/>
    <d v="1899-12-30T17:30:51"/>
    <s v="Não quer mudar a solução atual"/>
    <s v=""/>
    <s v=""/>
    <x v="0"/>
    <s v="Paulo Souza"/>
    <x v="0"/>
    <s v=""/>
    <m/>
    <m/>
    <s v=""/>
    <s v=""/>
    <s v=""/>
    <s v=""/>
    <n v="1"/>
  </r>
  <r>
    <x v="0"/>
    <n v="770"/>
    <m/>
    <n v="3005"/>
    <s v="Falei Com Omar hoje 12/01 e ele falou que retorna de viagem dia 15/01 e é para procurá-lo._x000a_23/01 Fiz FUP hoje como o Omar, para avançar com uma agenda na quinta ou sexta da semana do dia 26/01. Aguardando o retorno do cleinte._x000a_09/02/26 Fiz fup e ele acabou fechando com um sistema pequeno."/>
    <s v=""/>
    <x v="357"/>
    <n v="18190972000151"/>
    <s v=""/>
    <s v="Zini home"/>
    <s v="12997937887"/>
    <s v=""/>
    <s v="omar@zinihome.com.br"/>
    <s v=""/>
    <s v=""/>
    <s v=""/>
    <s v=""/>
    <s v=""/>
    <s v="Campanha"/>
    <s v=""/>
    <s v=""/>
    <s v="30%;Dentro Perfil;Instagram"/>
    <s v="Pipeline de Vendas"/>
    <s v="Qualificação de Vendas (SQL) (25%)"/>
    <s v=""/>
    <d v="2026-01-31T00:00:00"/>
    <m/>
    <m/>
    <n v="38"/>
    <s v="Paulo Souza"/>
    <d v="2026-01-12T00:00:00"/>
    <d v="1899-12-30T17:33:46"/>
    <s v=""/>
    <s v="Perdido"/>
    <d v="2026-02-19T00:00:00"/>
    <d v="1899-12-30T17:50:16"/>
    <s v="Fechou com o concorrente - preço"/>
    <s v=""/>
    <s v=""/>
    <x v="0"/>
    <s v="Paulo Souza"/>
    <x v="0"/>
    <s v=""/>
    <d v="2026-01-23T00:00:00"/>
    <n v="30"/>
    <s v=""/>
    <s v=""/>
    <s v=""/>
    <s v=""/>
    <n v="1"/>
  </r>
  <r>
    <x v="0"/>
    <n v="771"/>
    <m/>
    <n v="3001"/>
    <s v="Fernando , esta de féria e só vamos conseguir realizar o bate-papo após o seu retorno. O previsto é no dia 16/01/2026._x000a_23/01 Fiz FUP hoje com o Fernando para agendar uma reunião na semana que vem , na quarta ou quinta._x000a_05/02 Fiz FUP hoje com o Fernando, e ele cancelou a nossa reunião das 10h. Fiz uma nova agenda para o dia 11/02 às 15h!_x000a_12/03  Fiz FUP com o Fernando afim de saber se ele vai querer continuar ou nao._x000a_12/03 Por falta de interesse estou declinando o lead. Após apresentar a solução o cliente esfriou e sumiu não dando retorno._x000a_20/03 Fiz FUP e cobrei o Fernando se seguiremos ou não com o projeto."/>
    <s v=""/>
    <x v="358"/>
    <m/>
    <s v=""/>
    <s v="Russa Diatribuidora"/>
    <s v="11991303160"/>
    <s v=""/>
    <s v="fernando@russadistribuidora.com.br"/>
    <s v=""/>
    <s v=""/>
    <s v=""/>
    <s v=""/>
    <s v=""/>
    <s v="Campanha"/>
    <s v=""/>
    <s v=""/>
    <s v="30%;Dentro Perfil;Instagram"/>
    <s v="Pipeline de Vendas"/>
    <s v="Em negociação (75%)"/>
    <s v=""/>
    <d v="2026-03-31T00:00:00"/>
    <n v="6840289"/>
    <n v="44907"/>
    <n v="126"/>
    <s v="Paulo Souza"/>
    <d v="2026-01-12T00:00:00"/>
    <d v="1899-12-30T17:38:29"/>
    <s v=""/>
    <s v="Perdido"/>
    <d v="2026-05-18T00:00:00"/>
    <d v="1899-12-30T16:52:10"/>
    <s v="Não era o decisor - sem acesso"/>
    <s v=""/>
    <s v=""/>
    <x v="168"/>
    <s v="Paulo Souza"/>
    <x v="182"/>
    <s v=""/>
    <d v="2026-04-20T00:00:00"/>
    <n v="30"/>
    <s v=""/>
    <s v="ERP, AFV"/>
    <s v=""/>
    <s v=""/>
    <n v="1"/>
  </r>
  <r>
    <x v="0"/>
    <n v="772"/>
    <m/>
    <n v="3008"/>
    <s v="Após conversa com Everaldo ele informou que el loja de varejo e não vamos atender varejo em 2026"/>
    <s v=""/>
    <x v="359"/>
    <m/>
    <s v=""/>
    <s v="Everaldo"/>
    <s v="(21) 96439-0742"/>
    <s v=""/>
    <s v="e.leonardojr@hotmail.com"/>
    <s v=""/>
    <s v=""/>
    <s v=""/>
    <s v="Rio de Janeiro"/>
    <s v=""/>
    <s v="Site"/>
    <s v=""/>
    <s v=""/>
    <s v="30%"/>
    <s v="Pipeline de Vendas"/>
    <s v="Qualificação de Vendas (SQL) (25%)"/>
    <s v=""/>
    <d v="2026-01-31T00:00:00"/>
    <m/>
    <m/>
    <n v="0"/>
    <s v="Paulo Souza"/>
    <d v="2026-01-12T00:00:00"/>
    <d v="1899-12-30T17:43:14"/>
    <s v=""/>
    <s v="Perdido"/>
    <d v="2026-01-12T00:00:00"/>
    <d v="1899-12-30T22:28:23"/>
    <s v="Fora do porte mínimo (sem fit estrutural)"/>
    <s v=""/>
    <s v=""/>
    <x v="0"/>
    <s v="Paulo Souza"/>
    <x v="0"/>
    <s v=""/>
    <m/>
    <m/>
    <s v=""/>
    <s v=""/>
    <s v=""/>
    <s v=""/>
    <n v="1"/>
  </r>
  <r>
    <x v="0"/>
    <n v="773"/>
    <m/>
    <n v="3000"/>
    <s v="Falei com o Joao hoje 12/01 e combinamos de conversa na segunda dia 15/01._x000a_23/01 Fiz FUP hoje com o João para agendar uma apresentação na próxima semana."/>
    <s v=""/>
    <x v="360"/>
    <m/>
    <s v=""/>
    <s v="João"/>
    <s v="(17) 98126-9337"/>
    <s v=""/>
    <s v="joao@stokfrios.com.br"/>
    <s v=""/>
    <s v=""/>
    <s v=""/>
    <s v="São José do Rio Preto"/>
    <s v=""/>
    <s v="Site"/>
    <s v=""/>
    <s v=""/>
    <s v="30%;Contato;Solicita demo"/>
    <s v="Inbound"/>
    <s v="Novos Leads (0%)"/>
    <s v=""/>
    <d v="2026-01-31T00:00:00"/>
    <m/>
    <m/>
    <n v="128"/>
    <s v="Paulo Souza"/>
    <d v="2026-01-12T00:00:00"/>
    <d v="1899-12-30T17:46:12"/>
    <s v=""/>
    <s v="Ativo"/>
    <m/>
    <m/>
    <s v=""/>
    <s v=""/>
    <s v=""/>
    <x v="0"/>
    <s v="Paulo Souza"/>
    <x v="0"/>
    <s v=""/>
    <d v="2026-01-23T00:00:00"/>
    <n v="30"/>
    <s v=""/>
    <s v=""/>
    <s v=""/>
    <s v=""/>
    <n v="1"/>
  </r>
  <r>
    <x v="1"/>
    <n v="774"/>
    <m/>
    <n v="3067"/>
    <s v="(14/01/2026)Em contato com Marcelo para entender mais sobre sua empresa e necessidades _x000a_(20/01/2026) em contato com André, sua confecção é de camisetas, uniformes, bonés ! existem algumas particularidades que necessitam no software como grades de cores e tamanhos e algumas particularidades para confecção ! atende cliente final B2C ! cliente de operação pequena que não esta na hora de embarcar com Guarani devido ao valor de investimento"/>
    <s v=""/>
    <x v="361"/>
    <m/>
    <s v=""/>
    <s v="Atacado Delfino"/>
    <s v="51986006121"/>
    <s v=""/>
    <s v="dhcamisetas@terra.com.br"/>
    <s v=""/>
    <s v=""/>
    <s v=""/>
    <s v=""/>
    <s v=""/>
    <s v="Campanha"/>
    <s v=""/>
    <s v=""/>
    <s v="30%;Fora Perfil;Instagram"/>
    <s v="Pipeline de Vendas"/>
    <s v="Qualificação de Vendas (SQL) (25%)"/>
    <s v=""/>
    <d v="2026-01-31T00:00:00"/>
    <m/>
    <m/>
    <n v="26"/>
    <s v="Paulo Souza"/>
    <d v="2026-01-12T00:00:00"/>
    <d v="1899-12-30T21:53:02"/>
    <s v=""/>
    <s v="Perdido"/>
    <d v="2026-02-07T00:00:00"/>
    <d v="1899-12-30T07:42:39"/>
    <s v="Fora do porte mínimo (sem fit estrutural)"/>
    <s v=""/>
    <s v=""/>
    <x v="0"/>
    <s v="Junior Lopes"/>
    <x v="0"/>
    <s v=""/>
    <d v="2026-01-20T00:00:00"/>
    <m/>
    <s v=""/>
    <s v=""/>
    <s v=""/>
    <s v=""/>
    <n v="1"/>
  </r>
  <r>
    <x v="1"/>
    <n v="775"/>
    <m/>
    <n v="3069"/>
    <s v="(14/01/2026) Após tentativa por ligação foi efetuado tentativa de contato via WhatsApp conforme mensagem abaixo : _x000a_(16/01/2026) tentei novamente contato via telefone com Nykollas porem sem retorno ! estou declinando oportunidade_x000a_16:31, 12/01/2026 Junior Lopes: Olá Nycollas , boa tarde_x000a_16:32, 12/01/2026 Junior Lopes: Sou Junior Lopes da Guarani sistemas! Td bem ?_x000a_11:56, 14/01/2026 Junior Lopes: Olá Boa tarde !  _x000a_Estamos retornando seu contato sobre nossas soluções em ERP ! Qual melhor horário para falarmos ?"/>
    <s v=""/>
    <x v="362"/>
    <m/>
    <s v=""/>
    <s v="BK COMÉRCIO LTDA"/>
    <s v="92988541804"/>
    <s v=""/>
    <s v="nykollaskelvyn86@gmail.com"/>
    <s v=""/>
    <s v=""/>
    <s v=""/>
    <s v=""/>
    <s v=""/>
    <s v="Campanha"/>
    <s v=""/>
    <s v=""/>
    <s v="30%;Fora Perfil;Instagram"/>
    <s v="Pipeline de Vendas"/>
    <s v="Qualificação de Vendas (SQL) (25%)"/>
    <s v=""/>
    <d v="2026-01-31T00:00:00"/>
    <m/>
    <m/>
    <n v="26"/>
    <s v="Paulo Souza"/>
    <d v="2026-01-12T00:00:00"/>
    <d v="1899-12-30T21:53:50"/>
    <s v=""/>
    <s v="Perdido"/>
    <d v="2026-02-07T00:00:00"/>
    <d v="1899-12-30T07:50:15"/>
    <s v="Fora do porte mínimo (sem fit estrutural)"/>
    <s v=""/>
    <s v=""/>
    <x v="0"/>
    <s v="Junior Lopes"/>
    <x v="0"/>
    <s v=""/>
    <d v="2026-01-16T00:00:00"/>
    <m/>
    <s v=""/>
    <s v=""/>
    <s v=""/>
    <s v=""/>
    <n v="1"/>
  </r>
  <r>
    <x v="2"/>
    <n v="776"/>
    <m/>
    <n v="3041"/>
    <s v="Não consegui retorno nem contato"/>
    <s v=""/>
    <x v="363"/>
    <m/>
    <s v=""/>
    <s v="Fisiohosp"/>
    <s v="6596658787"/>
    <s v=""/>
    <s v="contabilfisio2024@gmail.com"/>
    <s v=""/>
    <s v=""/>
    <s v=""/>
    <s v=""/>
    <s v=""/>
    <s v="Campanha"/>
    <s v=""/>
    <s v=""/>
    <s v="30%;Fora Perfil;Instagram"/>
    <s v="Pipeline de Vendas"/>
    <s v="Qualificação de Vendas (SQL) (25%)"/>
    <s v=""/>
    <d v="2026-01-31T00:00:00"/>
    <m/>
    <m/>
    <n v="105"/>
    <s v="Paulo Souza"/>
    <d v="2026-01-12T00:00:00"/>
    <d v="1899-12-30T21:57:54"/>
    <s v=""/>
    <s v="Perdido"/>
    <d v="2026-04-27T00:00:00"/>
    <d v="1899-12-30T16:00:34"/>
    <s v="Fora do porte mínimo (sem fit estrutural)"/>
    <s v=""/>
    <s v=""/>
    <x v="0"/>
    <s v="Junior Lopes"/>
    <x v="0"/>
    <s v=""/>
    <d v="2026-04-13T00:00:00"/>
    <n v="30"/>
    <s v=""/>
    <s v=""/>
    <s v=""/>
    <s v=""/>
    <n v="1"/>
  </r>
  <r>
    <x v="2"/>
    <n v="777"/>
    <m/>
    <n v="3047"/>
    <s v="cliente marcou uma reunião na sexta porém não entrou no link estou tentando reagendar mas não deu retorno"/>
    <s v=""/>
    <x v="364"/>
    <m/>
    <s v=""/>
    <s v="Vida Fitness"/>
    <s v="71996614629"/>
    <s v=""/>
    <s v="vidafitness@outlook.com.br"/>
    <s v=""/>
    <s v=""/>
    <s v=""/>
    <s v=""/>
    <s v=""/>
    <s v="Campanha"/>
    <s v=""/>
    <s v=""/>
    <s v="30%;Fora Perfil;Instagram"/>
    <s v="Pipeline de Vendas"/>
    <s v="Qualificação de Vendas (SQL) (25%)"/>
    <s v=""/>
    <d v="2026-01-31T00:00:00"/>
    <m/>
    <m/>
    <n v="26"/>
    <s v="Paulo Souza"/>
    <d v="2026-01-12T00:00:00"/>
    <d v="1899-12-30T21:58:55"/>
    <s v=""/>
    <s v="Perdido"/>
    <d v="2026-02-07T00:00:00"/>
    <d v="1899-12-30T07:47:45"/>
    <s v="Fora do porte mínimo (sem fit estrutural)"/>
    <s v=""/>
    <s v=""/>
    <x v="0"/>
    <s v="Rayssa Karapeticov"/>
    <x v="0"/>
    <s v=""/>
    <d v="2026-01-16T00:00:00"/>
    <m/>
    <s v=""/>
    <s v=""/>
    <s v=""/>
    <s v=""/>
    <n v="1"/>
  </r>
  <r>
    <x v="2"/>
    <n v="778"/>
    <m/>
    <n v="3059"/>
    <s v="Bom dia Luan, como vai?_x000a_Estou tentando contato com você para entender sua solicitação para conhecer nossos sistemas._x000a_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_x000a_Vou deixar uma apresentação de nossa empresa e quando tiver um tempo disponivel por retornar o contato"/>
    <s v=""/>
    <x v="365"/>
    <n v="30250062000112"/>
    <s v=""/>
    <s v="HORTODASACACIAS"/>
    <s v="21966014543"/>
    <s v=""/>
    <s v="financeiro1@hortodasacacias.com.br"/>
    <s v=""/>
    <s v=""/>
    <s v=""/>
    <s v="RIO DE JANEIRO"/>
    <s v="RJ"/>
    <s v="Campanha"/>
    <s v=""/>
    <s v=""/>
    <s v="30%;Fora Perfil;Instagram"/>
    <s v="Pipeline de Vendas"/>
    <s v="Qualificação de Vendas (SQL) (25%)"/>
    <s v=""/>
    <d v="2026-01-31T00:00:00"/>
    <m/>
    <m/>
    <n v="2"/>
    <s v="Paulo Souza"/>
    <d v="2026-01-12T00:00:00"/>
    <d v="1899-12-30T22:00:47"/>
    <s v=""/>
    <s v="Perdido"/>
    <d v="2026-01-14T00:00:00"/>
    <d v="1899-12-30T11:54:09"/>
    <s v="Fora do porte mínimo (sem fit estrutural)"/>
    <s v=""/>
    <s v=""/>
    <x v="0"/>
    <s v="Rayssa Karapeticov"/>
    <x v="0"/>
    <s v=""/>
    <d v="2026-01-13T00:00:00"/>
    <m/>
    <s v=""/>
    <s v=""/>
    <s v=""/>
    <s v=""/>
    <n v="1"/>
  </r>
  <r>
    <x v="2"/>
    <n v="779"/>
    <m/>
    <n v="3066"/>
    <s v="Empresa fora do perfil, vendem produto porta a porta e o contato é  vendedor"/>
    <s v=""/>
    <x v="366"/>
    <n v="22422233000115"/>
    <s v=""/>
    <s v="Devons Hair"/>
    <s v="(41) 9900-2255 / (41) 8428-6900 / (18) 3361-4423"/>
    <s v=""/>
    <s v="denilribeiro@gmail.com"/>
    <s v=""/>
    <s v=""/>
    <s v=""/>
    <s v="CAMPO LARGO"/>
    <s v="PR"/>
    <s v="Campanha"/>
    <s v=""/>
    <s v=""/>
    <s v="30%;Fora Perfil;Instagram"/>
    <s v="Pipeline de Vendas"/>
    <s v="Qualificação de Vendas (SQL) (25%)"/>
    <s v=""/>
    <d v="2026-01-31T00:00:00"/>
    <m/>
    <m/>
    <n v="4"/>
    <s v="Paulo Souza"/>
    <d v="2026-01-12T00:00:00"/>
    <d v="1899-12-30T22:01:35"/>
    <s v=""/>
    <s v="Perdido"/>
    <d v="2026-01-16T00:00:00"/>
    <d v="1899-12-30T09:34:44"/>
    <s v="Fora do porte mínimo (sem fit estrutural)"/>
    <s v=""/>
    <s v=""/>
    <x v="0"/>
    <s v="Rayssa Karapeticov"/>
    <x v="0"/>
    <s v=""/>
    <d v="2026-01-16T00:00:00"/>
    <m/>
    <s v=""/>
    <s v=""/>
    <s v=""/>
    <s v=""/>
    <n v="1"/>
  </r>
  <r>
    <x v="0"/>
    <n v="780"/>
    <m/>
    <n v="3068"/>
    <s v="Hoje 13/01 busquei agenda com o Ricardo sem sucesso._x000a_23/01 Fiz FUP hoje com o Ricardo para saber se ele quer ou nao seguir , pois ele não retorna os mus contatos._x000a_23/01 o numero estava errado , consegui o numero certo e retomei os contatos sem sucesso no retorno ainda. _x000a_07/02 Após diversas tentativa de contato com o Ricardo sem sucesso estou declinando a oportunidade."/>
    <s v=""/>
    <x v="367"/>
    <m/>
    <s v=""/>
    <s v="Deltamed Comércio e Servicos Ltda"/>
    <s v="51997766708"/>
    <s v=""/>
    <s v="rrnnaa@gmail.com"/>
    <s v=""/>
    <s v=""/>
    <s v=""/>
    <s v=""/>
    <s v=""/>
    <s v="Campanha"/>
    <s v=""/>
    <s v=""/>
    <s v="30%;Fora Perfil;Instagram"/>
    <s v="Pipeline de Vendas"/>
    <s v="Qualificação de Vendas (SQL) (25%)"/>
    <s v=""/>
    <d v="2026-01-31T00:00:00"/>
    <m/>
    <m/>
    <n v="26"/>
    <s v="Paulo Souza"/>
    <d v="2026-01-12T00:00:00"/>
    <d v="1899-12-30T22:02:28"/>
    <s v=""/>
    <s v="Perdido"/>
    <d v="2026-02-07T00:00:00"/>
    <d v="1899-12-30T07:27:31"/>
    <s v="Fora do porte mínimo (sem fit estrutural)"/>
    <s v="07/02 Após diversas tentativa de contato com o Ricardo sem sucesso estou declinando a oportunidade."/>
    <s v=""/>
    <x v="0"/>
    <s v="Paulo Souza"/>
    <x v="0"/>
    <s v=""/>
    <d v="2026-01-23T00:00:00"/>
    <n v="30"/>
    <s v=""/>
    <s v=""/>
    <s v=""/>
    <s v=""/>
    <n v="1"/>
  </r>
  <r>
    <x v="2"/>
    <n v="781"/>
    <m/>
    <n v="3070"/>
    <s v="Bom dia Adelita, como vai?_x000a_Estou tentando contato com você para entender sua solicitação para conhecer nossos sistemas._x000a_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_x000a_Vou deixar uma apresentação de nossa empresa e quando tiver um tempo disponivel por retornar o contato_x000a_tentie contato no celular cadastrado e no telefone fixo da empresa 35) 3067-8566"/>
    <s v=""/>
    <x v="368"/>
    <n v="29495831000163"/>
    <s v=""/>
    <s v="Alpinpro"/>
    <s v="(35) 9125-9412"/>
    <s v=""/>
    <s v="adelita@alpinpro.com.br"/>
    <s v=""/>
    <s v=""/>
    <s v=""/>
    <s v="VARGINHA"/>
    <s v="MG"/>
    <s v="Campanha"/>
    <s v=""/>
    <s v=""/>
    <s v="30%;Fora Perfil;Instagram"/>
    <s v="Pipeline de Vendas"/>
    <s v="Qualificação de Vendas (SQL) (25%)"/>
    <s v=""/>
    <d v="2026-01-31T00:00:00"/>
    <m/>
    <m/>
    <n v="101"/>
    <s v="Paulo Souza"/>
    <d v="2026-01-12T00:00:00"/>
    <d v="1899-12-30T22:03:10"/>
    <s v=""/>
    <s v="Perdido"/>
    <d v="2026-04-23T00:00:00"/>
    <d v="1899-12-30T09:18:28"/>
    <s v="Fora do porte mínimo (sem fit estrutural)"/>
    <s v=""/>
    <s v=""/>
    <x v="0"/>
    <s v="Rayssa Karapeticov"/>
    <x v="0"/>
    <s v=""/>
    <d v="2026-04-23T00:00:00"/>
    <m/>
    <s v=""/>
    <s v=""/>
    <s v=""/>
    <s v=""/>
    <n v="1"/>
  </r>
  <r>
    <x v="2"/>
    <n v="782"/>
    <m/>
    <n v="3009"/>
    <s v=""/>
    <s v=""/>
    <x v="369"/>
    <n v="10942276000142"/>
    <s v=""/>
    <s v="Suprema"/>
    <s v="4130959299"/>
    <s v=""/>
    <s v="ordelo01@jotmail.com"/>
    <s v=""/>
    <s v=""/>
    <s v=""/>
    <s v=""/>
    <s v=""/>
    <s v="Campanha"/>
    <s v=""/>
    <s v=""/>
    <s v="Fora Perfil;Instagram"/>
    <s v="Pipeline de Vendas"/>
    <s v="Agendamento (0%)"/>
    <s v=""/>
    <m/>
    <m/>
    <m/>
    <n v="0"/>
    <s v="Paulo Souza"/>
    <d v="2026-01-12T00:00:00"/>
    <d v="1899-12-30T22:36:32"/>
    <s v=""/>
    <s v="Perdido"/>
    <d v="2026-01-12T00:00:00"/>
    <d v="1899-12-30T22:36:54"/>
    <s v="Fora do porte mínimo (sem fit estrutural)"/>
    <s v=""/>
    <s v=""/>
    <x v="0"/>
    <s v="Rayssa Karapeticov"/>
    <x v="0"/>
    <s v=""/>
    <m/>
    <m/>
    <s v=""/>
    <s v=""/>
    <s v=""/>
    <s v=""/>
    <n v="1"/>
  </r>
  <r>
    <x v="0"/>
    <n v="783"/>
    <m/>
    <n v="3010"/>
    <s v=""/>
    <s v=""/>
    <x v="370"/>
    <m/>
    <s v=""/>
    <s v="Carlinhos Doces Artesanais"/>
    <s v="41997238911"/>
    <s v=""/>
    <s v="carlinhosrepresentacao24@gmail.com"/>
    <s v=""/>
    <s v=""/>
    <s v=""/>
    <s v=""/>
    <s v=""/>
    <s v="Campanha"/>
    <s v=""/>
    <s v=""/>
    <s v="Fora Perfil;Instagram"/>
    <s v="Pipeline de Vendas"/>
    <s v="Agendamento (0%)"/>
    <s v=""/>
    <m/>
    <m/>
    <m/>
    <n v="0"/>
    <s v="Paulo Souza"/>
    <d v="2026-01-12T00:00:00"/>
    <d v="1899-12-30T22:37:42"/>
    <s v=""/>
    <s v="Perdido"/>
    <d v="2026-01-12T00:00:00"/>
    <d v="1899-12-30T22:37:58"/>
    <s v="Fora do porte mínimo (sem fit estrutural)"/>
    <s v=""/>
    <s v=""/>
    <x v="0"/>
    <s v="Rayssa Karapeticov"/>
    <x v="0"/>
    <s v=""/>
    <m/>
    <m/>
    <s v=""/>
    <s v=""/>
    <s v=""/>
    <s v=""/>
    <n v="1"/>
  </r>
  <r>
    <x v="0"/>
    <n v="784"/>
    <m/>
    <n v="3015"/>
    <s v=""/>
    <s v=""/>
    <x v="371"/>
    <m/>
    <s v=""/>
    <s v="Kuff Consultoria"/>
    <s v="42998191259"/>
    <s v=""/>
    <s v="thiagokuf@hotmail.com"/>
    <s v=""/>
    <s v=""/>
    <s v=""/>
    <s v=""/>
    <s v=""/>
    <s v="Campanha"/>
    <s v=""/>
    <s v=""/>
    <s v="Fora Perfil;Instagram"/>
    <s v="Pipeline de Vendas"/>
    <s v="Agendamento (0%)"/>
    <s v=""/>
    <m/>
    <m/>
    <m/>
    <n v="0"/>
    <s v="Paulo Souza"/>
    <d v="2026-01-12T00:00:00"/>
    <d v="1899-12-30T22:38:54"/>
    <s v=""/>
    <s v="Perdido"/>
    <d v="2026-01-12T00:00:00"/>
    <d v="1899-12-30T22:39:05"/>
    <s v="Fora do porte mínimo (sem fit estrutural)"/>
    <s v=""/>
    <s v=""/>
    <x v="0"/>
    <s v="Junior Lopes"/>
    <x v="0"/>
    <s v=""/>
    <m/>
    <m/>
    <s v=""/>
    <s v=""/>
    <s v=""/>
    <s v=""/>
    <n v="1"/>
  </r>
  <r>
    <x v="0"/>
    <n v="785"/>
    <m/>
    <n v="2669"/>
    <s v=""/>
    <s v=""/>
    <x v="372"/>
    <m/>
    <s v=""/>
    <s v="RENATO DE MATTOS MALAQUIAS"/>
    <s v="(21) 99470-2428"/>
    <s v=""/>
    <s v="representacoesvendas02@gmail.com"/>
    <s v=""/>
    <s v=""/>
    <s v=""/>
    <s v="Nova Iguaçu"/>
    <s v=""/>
    <s v="Site"/>
    <s v=""/>
    <s v=""/>
    <s v="Contato;Fora Perfil;Instagram"/>
    <s v="Pipeline de Vendas"/>
    <s v="Agendamento (0%)"/>
    <s v=""/>
    <m/>
    <m/>
    <m/>
    <n v="0"/>
    <s v="Paulo Souza"/>
    <d v="2026-01-12T00:00:00"/>
    <d v="1899-12-30T22:39:38"/>
    <s v=""/>
    <s v="Perdido"/>
    <d v="2026-01-12T00:00:00"/>
    <d v="1899-12-30T22:39:50"/>
    <s v="Fora do porte mínimo (sem fit estrutural)"/>
    <s v=""/>
    <s v=""/>
    <x v="0"/>
    <s v="Junior Lopes"/>
    <x v="0"/>
    <s v=""/>
    <m/>
    <m/>
    <s v=""/>
    <s v=""/>
    <s v=""/>
    <s v=""/>
    <n v="1"/>
  </r>
  <r>
    <x v="0"/>
    <n v="786"/>
    <m/>
    <n v="3045"/>
    <s v=""/>
    <s v=""/>
    <x v="373"/>
    <m/>
    <s v=""/>
    <s v="Ana Maria Fonseca Garcia"/>
    <s v="18998215566"/>
    <s v=""/>
    <s v="garciacontabilidade15@gmail.com"/>
    <s v=""/>
    <s v=""/>
    <s v=""/>
    <s v=""/>
    <s v=""/>
    <s v="Campanha"/>
    <s v=""/>
    <s v=""/>
    <s v="Fora Perfil;Instagram"/>
    <s v="Pipeline de Vendas"/>
    <s v="Agendamento (0%)"/>
    <s v=""/>
    <m/>
    <m/>
    <m/>
    <n v="0"/>
    <s v="Paulo Souza"/>
    <d v="2026-01-12T00:00:00"/>
    <d v="1899-12-30T22:40:26"/>
    <s v=""/>
    <s v="Perdido"/>
    <d v="2026-01-12T00:00:00"/>
    <d v="1899-12-30T22:40:38"/>
    <s v="Fora do porte mínimo (sem fit estrutural)"/>
    <s v=""/>
    <s v=""/>
    <x v="0"/>
    <s v="Junior Lopes"/>
    <x v="0"/>
    <s v=""/>
    <m/>
    <m/>
    <s v=""/>
    <s v=""/>
    <s v=""/>
    <s v=""/>
    <n v="1"/>
  </r>
  <r>
    <x v="1"/>
    <n v="787"/>
    <m/>
    <n v="3057"/>
    <s v=""/>
    <s v=""/>
    <x v="374"/>
    <n v="10269690000132"/>
    <s v=""/>
    <s v="Ricieri Locacoes e Serviços"/>
    <s v="27999479659"/>
    <s v=""/>
    <s v="diego@ricieri.net.br"/>
    <s v=""/>
    <s v=""/>
    <s v=""/>
    <s v=""/>
    <s v=""/>
    <s v="Campanha"/>
    <s v=""/>
    <s v=""/>
    <s v="Fora Perfil;Instagram"/>
    <s v="Pipeline de Vendas"/>
    <s v="Agendamento (0%)"/>
    <s v=""/>
    <m/>
    <m/>
    <m/>
    <n v="117"/>
    <s v="Paulo Souza"/>
    <d v="2026-01-12T00:00:00"/>
    <d v="1899-12-30T22:41:13"/>
    <s v=""/>
    <s v="Perdido"/>
    <d v="2026-05-09T00:00:00"/>
    <d v="1899-12-30T08:08:37"/>
    <s v="Fora do segmento atendido"/>
    <s v=""/>
    <s v=""/>
    <x v="0"/>
    <s v="Junior Lopes"/>
    <x v="0"/>
    <s v=""/>
    <m/>
    <m/>
    <s v=""/>
    <s v=""/>
    <s v=""/>
    <s v=""/>
    <n v="1"/>
  </r>
  <r>
    <x v="2"/>
    <n v="788"/>
    <m/>
    <n v="3083"/>
    <s v="Cliente entrou em contato pedindo apresentação de nossas solução de AFV _x000a_Reuão agendada para segunda as 14h_x000a_26-01 proposta está em analise pela diretoria _x000a_29-01 Boa tarde, Tiago! Espero que esteja bem._x000a_No dia 19/01 encaminhamos à sua equipe a proposta comercial da Guarani Sistemas, que contempla uma condição exclusiva para evolução tecnológica e automação da força de vendas._x000a_Com o Guarani AFV, aliado à assistente virtual Iara e ao módulo de orçamento web, sua empresa terá:_x000a_Automação completa da equipe de vendas, com acompanhamento de objetivos e indicadores em tempo real;_x000a_Aumento de produtividade e faturamento, reduzindo rupturas no ponto de venda;_x000a_Dashboard inteligente para análise de desempenho e curva ABC de produtos;_x000a_Integração simplificada com o ERP, garantindo maior agilidade e menos retrabalho._x000a_Além disso, oferecemos condições comerciais diferenciadas, incluindo implantação com mentoria especializada e mensalidade ajustada ao perfil da sua operação._x000a_Diante de todos esses benefícios, gostaria de entender: o que falta para avançarmos juntos e garantir essas vantagens para sua equipe?_x000a_05.02Retornou que estão em analise pela diretoria previsão de retorno para proxima semana _x000a_18.03 - Estão tratando internamento com o ERP, porque precisam entende rse o sistema atual terá capacidade de atender a necessidade deles para integrar com o AFV_x000a_15.04 09:24, 15/04/2026 Rayssa Karapeticov - Comercial - Guarani Sistemas: Oi Tiago, como você está.?_x000a_Na última troca, você comentou que eles devem manter o sistema atual por mais tempo, e eu fiquei de marcar uma reunião presencial para detalharmos a integração e forma de trabalho._x000a_Queria entender contigo se ainda faz sentido seguirmos com esse alinhamento agora. Se sim, me indica por favor dois horários que funcionem para você"/>
    <s v="Alfa Seven Embalagens Industria E Comercio Ltda"/>
    <x v="375"/>
    <n v="14078994000254"/>
    <s v=""/>
    <s v="Alfa Seven Embalagens Industria E Comercio Ltda"/>
    <s v="(35) 3435-2255"/>
    <s v=""/>
    <s v="luizhenrique@julianicontabilidade.com.br"/>
    <s v=""/>
    <s v=""/>
    <s v=""/>
    <s v="EXTREMA"/>
    <s v="MG"/>
    <s v="Base de empresas Leads2b"/>
    <s v=""/>
    <s v=""/>
    <s v="50%;Dentro Perfil"/>
    <s v="Pipeline de Vendas"/>
    <s v="Em negociação (75%)"/>
    <s v=""/>
    <d v="2026-04-30T00:00:00"/>
    <n v="16800"/>
    <n v="73717"/>
    <n v="120"/>
    <s v="Rayssa Karapeticov"/>
    <d v="2026-01-13T00:00:00"/>
    <d v="1899-12-30T16:09:19"/>
    <s v=""/>
    <s v="Perdido"/>
    <d v="2026-05-13T00:00:00"/>
    <d v="1899-12-30T10:51:39"/>
    <s v="Não quer mudar a solução atual"/>
    <s v=""/>
    <s v=""/>
    <x v="163"/>
    <s v="Rayssa Karapeticov"/>
    <x v="183"/>
    <s v="02/03/2026"/>
    <d v="2026-05-13T00:00:00"/>
    <n v="50"/>
    <s v=""/>
    <s v="AFV"/>
    <s v=""/>
    <s v=""/>
    <n v="1"/>
  </r>
  <r>
    <x v="0"/>
    <n v="789"/>
    <m/>
    <n v="3084"/>
    <s v="Fernando, esta avaliando outros produtos e terei um retorno na próxima semana dia 15/01, que decide é a Luciana._x000a_23/01 Fiz FUP hoje com o Fernando o mesmo ainda não respondeu, perguntei o que nos impede de seguir?_x000a_26/02 Fernando me procurou essa semana , pedido atualização de informações sobre o projeto. Hoje fiz novo FUP solicitando informações se seguiremos ou não com o projeto._x000a_20/03 Fernando me passou que a proposta ainda continua na direção sem definição."/>
    <s v=""/>
    <x v="376"/>
    <n v="31507103000176"/>
    <s v=""/>
    <s v="Fernando e Luciana"/>
    <s v="18997715980"/>
    <s v=""/>
    <s v="comercial@casamiga.com.br"/>
    <s v=""/>
    <s v=""/>
    <s v=""/>
    <s v=""/>
    <s v=""/>
    <s v=""/>
    <s v=""/>
    <s v=""/>
    <s v="50%"/>
    <s v="Pipeline de Vendas"/>
    <s v="Em negociação (75%)"/>
    <s v=""/>
    <d v="2026-03-31T00:00:00"/>
    <n v="13100"/>
    <n v="1700"/>
    <n v="87"/>
    <s v="Paulo Souza"/>
    <d v="2026-01-13T00:00:00"/>
    <d v="1899-12-30T16:12:50"/>
    <s v=""/>
    <s v="Perdido"/>
    <d v="2026-04-10T00:00:00"/>
    <d v="1899-12-30T17:16:03"/>
    <s v="Nossa solução não atende - falta funcionalidade"/>
    <s v=""/>
    <s v=""/>
    <x v="169"/>
    <s v="Paulo Souza"/>
    <x v="184"/>
    <s v=""/>
    <d v="2026-03-20T00:00:00"/>
    <n v="50"/>
    <s v="80"/>
    <s v="B2B"/>
    <s v="R$ 13.100"/>
    <s v="R$ 1.700"/>
    <n v="1"/>
  </r>
  <r>
    <x v="1"/>
    <n v="790"/>
    <m/>
    <n v="3071"/>
    <s v="em contato com Sr. Barbosa !_x000a_atualmente tem 02 lojas físicas e esta fora do nosso perfil de atendimento"/>
    <s v=""/>
    <x v="377"/>
    <m/>
    <s v=""/>
    <s v="Casa bom dia bricolagem ltda"/>
    <s v="16981830404"/>
    <s v=""/>
    <s v="casabomdiabricolagem@gmail.com"/>
    <s v=""/>
    <s v=""/>
    <s v=""/>
    <s v=""/>
    <s v=""/>
    <s v="Campanha"/>
    <s v=""/>
    <s v=""/>
    <s v="Fora Perfil;Instagram"/>
    <s v="Pipeline de Vendas"/>
    <s v="Qualificação de Vendas (SQL) (25%)"/>
    <s v=""/>
    <d v="2026-01-31T00:00:00"/>
    <m/>
    <m/>
    <n v="23"/>
    <s v="Paulo Souza"/>
    <d v="2026-01-13T00:00:00"/>
    <d v="1899-12-30T16:54:22"/>
    <s v=""/>
    <s v="Perdido"/>
    <d v="2026-02-05T00:00:00"/>
    <d v="1899-12-30T14:15:34"/>
    <s v="Fora do porte mínimo (sem fit estrutural)"/>
    <s v=""/>
    <s v=""/>
    <x v="0"/>
    <s v="Junior Lopes"/>
    <x v="0"/>
    <s v=""/>
    <d v="2026-01-16T00:00:00"/>
    <m/>
    <s v=""/>
    <s v=""/>
    <s v=""/>
    <s v=""/>
    <n v="1"/>
  </r>
  <r>
    <x v="2"/>
    <n v="792"/>
    <m/>
    <n v="3072"/>
    <s v="Boa tarde Rogério, como vai? _x000a_Meu nome é Rayssa, sou do setor comercial e relacionamento da Guarani Sistemas._x000a_Recebi seu contato interessado em nossas soluções, você prefere que eu te ligue ou quer tratar por aqui?_x000a_Aguardando retorno,liguei e não atendeu_x000a_13.02 novamente disse que não podia falar que era para entrar em contato em outro momento"/>
    <s v=""/>
    <x v="378"/>
    <n v="6037707000230"/>
    <s v=""/>
    <s v="WB Engenharia"/>
    <s v="67999299440"/>
    <s v=""/>
    <s v="rogerio@wbmanutencao.com.br"/>
    <s v=""/>
    <s v=""/>
    <s v=""/>
    <s v=""/>
    <s v=""/>
    <s v="Campanha"/>
    <s v=""/>
    <s v=""/>
    <s v="Fora Perfil;Instagram"/>
    <s v="Pipeline de Vendas"/>
    <s v="Qualificação de Vendas (SQL) (25%)"/>
    <s v=""/>
    <d v="2026-01-31T00:00:00"/>
    <m/>
    <m/>
    <n v="31"/>
    <s v="Paulo Souza"/>
    <d v="2026-01-13T00:00:00"/>
    <d v="1899-12-30T16:56:09"/>
    <s v=""/>
    <s v="Perdido"/>
    <d v="2026-02-13T00:00:00"/>
    <d v="1899-12-30T11:46:12"/>
    <s v="Fora do porte mínimo (sem fit estrutural)"/>
    <s v=""/>
    <s v=""/>
    <x v="0"/>
    <s v="Rayssa Karapeticov"/>
    <x v="0"/>
    <s v=""/>
    <d v="2026-02-12T00:00:00"/>
    <n v="30"/>
    <s v=""/>
    <s v=""/>
    <s v=""/>
    <s v=""/>
    <n v="1"/>
  </r>
  <r>
    <x v="0"/>
    <n v="793"/>
    <m/>
    <n v="3082"/>
    <s v="Fiz contato hoje mais o cliente já não estava na empresa, vamos falar amanha 14/01_x000a_23/01 Fiz FUp hoje com a Jessica, para buscar agenda na proxima semana._x000a_19/02 Fiz varias tentativa sem retorno e por isso declinei a proposta."/>
    <s v=""/>
    <x v="379"/>
    <m/>
    <s v=""/>
    <s v="JESSICA"/>
    <s v="(38) 99730-0736"/>
    <s v=""/>
    <s v="centraleletricasolar@gmail.com"/>
    <s v=""/>
    <s v=""/>
    <s v=""/>
    <s v="São Paulo"/>
    <s v=""/>
    <s v="Site"/>
    <s v=""/>
    <s v=""/>
    <s v="30%;Solicita demo"/>
    <s v="Pipeline de Vendas"/>
    <s v="Qualificação de Vendas (SQL) (25%)"/>
    <s v=""/>
    <d v="2026-01-31T00:00:00"/>
    <m/>
    <m/>
    <n v="37"/>
    <s v="Paulo Souza"/>
    <d v="2026-01-13T00:00:00"/>
    <d v="1899-12-30T16:59:23"/>
    <s v=""/>
    <s v="Perdido"/>
    <d v="2026-02-19T00:00:00"/>
    <d v="1899-12-30T17:51:50"/>
    <s v="Fora do porte mínimo (sem fit estrutural)"/>
    <s v=""/>
    <s v=""/>
    <x v="0"/>
    <s v="Paulo Souza"/>
    <x v="0"/>
    <s v=""/>
    <d v="2026-01-23T00:00:00"/>
    <n v="30"/>
    <s v=""/>
    <s v=""/>
    <s v=""/>
    <s v=""/>
    <n v="1"/>
  </r>
  <r>
    <x v="2"/>
    <n v="794"/>
    <m/>
    <n v="3086"/>
    <s v="Falei com o cliente ele possui uma loja de embalagens (estilo Plasticap), levantei as informações dele e agendamos uma demonstração para amanhã as 9h_x000a_19/01- Olá Ederaldo, tudo bem?_x000a_No dia 15/01 encaminhamos a proposta de investimento para o Guarani ERP, contemplando os serviços de ERP + PDV, com foco na evolução tecnológica e no crescimento da sua empresa._x000a_Para avançarmos, gostaria de entender como foi sua análise e qual o investimento previsto para o software, assim conseguimos alinhar expectativas e próximos passos._x000a_Quando seria um bom momento para conversarmos?_x000a_26/01 - Após envio e apresentação da proposta comercial cliente não deu retorno. _x000a_Encerrando contato_x000a_Oi Ederaldo, tudo bem?_x000a_No dia 15/01 te enviei uma proposta que poderia mudar os rumos do seu negócio. Como não tivemos retorno, estou encerrando nosso contato._x000a_Quero deixar claro: essa não era apenas mais uma oferta, mas uma oportunidade única que dificilmente vai se repetir. Ao não avançar, você está deixando escapar aquilo que poderia ser o divisor de águas para sua empresa._x000a_Desejo sucesso nos seus próximos passos!"/>
    <s v=""/>
    <x v="380"/>
    <m/>
    <s v=""/>
    <s v="Marques Embalagens"/>
    <s v="16992159372"/>
    <s v=""/>
    <s v="marquesembalagens@hotmail.com"/>
    <s v=""/>
    <s v=""/>
    <s v=""/>
    <s v=""/>
    <s v=""/>
    <s v="Campanha"/>
    <s v=""/>
    <s v=""/>
    <s v="Dentro Perfil;Instagram"/>
    <s v="Pipeline de Vendas"/>
    <s v="Apresentar Proposta (50%)"/>
    <s v=""/>
    <d v="2026-01-31T00:00:00"/>
    <n v="6168744"/>
    <n v="149828"/>
    <n v="13"/>
    <s v="Paulo Souza"/>
    <d v="2026-01-13T00:00:00"/>
    <d v="1899-12-30T17:42:00"/>
    <s v=""/>
    <s v="Perdido"/>
    <d v="2026-01-26T00:00:00"/>
    <d v="1899-12-30T09:26:12"/>
    <s v="Preço muito alto - fora do budget de investimento"/>
    <s v=""/>
    <s v=""/>
    <x v="170"/>
    <s v="Rayssa Karapeticov"/>
    <x v="180"/>
    <s v=""/>
    <d v="2026-01-26T00:00:00"/>
    <m/>
    <s v=""/>
    <s v=""/>
    <s v=""/>
    <s v=""/>
    <n v="1"/>
  </r>
  <r>
    <x v="0"/>
    <n v="795"/>
    <m/>
    <n v="3088"/>
    <s v="Falei com a Kelly hoje que me passou as informações que faltava para formular a proposta. Agora e falar com o Fernando e montar a proposta e apresentar._x000a_23/01 Falei com a Kelly em 19/01, e ela avisou que estava de férias e que retorno essa semana , e que só vai conseguir analisar a proposta na semana do dia 26/01, quando retornarei o contato._x000a_07/02 Fiz FUP com a Kelly e perguntei se ela vai ou não seguir com o projeto, não retornou ainda._x000a_12/03 12/03 Fiz FUP com a Kelly e a mesma esta analisando a proposta. Como esta semana ela tá fazendo compra de natal, vai conseguir parar e ver a proposta amanhã 13/03._x000a_20/03 Cobrei a Kelly a evolução da negociação."/>
    <s v=""/>
    <x v="381"/>
    <n v="3674537000125"/>
    <s v=""/>
    <s v="Kelly"/>
    <s v="12974030134"/>
    <s v=""/>
    <s v="MKT@VALPORT.COM.BR"/>
    <s v=""/>
    <s v=""/>
    <s v=""/>
    <s v=""/>
    <s v=""/>
    <s v=""/>
    <s v=""/>
    <s v=""/>
    <s v="50%"/>
    <s v="Pipeline de Vendas"/>
    <s v="Em negociação (75%)"/>
    <s v=""/>
    <d v="2026-03-31T00:00:00"/>
    <n v="1600"/>
    <n v="384454"/>
    <n v="87"/>
    <s v="Paulo Souza"/>
    <d v="2026-01-13T00:00:00"/>
    <d v="1899-12-30T22:55:41"/>
    <s v=""/>
    <s v="Perdido"/>
    <d v="2026-04-10T00:00:00"/>
    <d v="1899-12-30T15:55:43"/>
    <s v="Projeto adiado / sem prazo definido"/>
    <s v=""/>
    <s v=""/>
    <x v="0"/>
    <s v="Paulo Souza"/>
    <x v="0"/>
    <s v=""/>
    <d v="2026-03-20T00:00:00"/>
    <n v="30"/>
    <s v="7"/>
    <s v="CLOUD"/>
    <s v="R$ 1.600"/>
    <s v="R$ 3.844,54"/>
    <n v="1"/>
  </r>
  <r>
    <x v="0"/>
    <n v="796"/>
    <m/>
    <n v="3087"/>
    <s v="Feito contato com o Vinicius afim de qualificar o LEAD._x000a_23/01 Fiz FUp hoje com o Vinicius para saber se e possível a nossa agenda na semana que vem na quinta feira._x000a_07/02 Fiz FUP com o Vinicius e avise que por falta de contato estou declinando a oportunidade e em caso de interesse retornamos o contato."/>
    <s v=""/>
    <x v="382"/>
    <m/>
    <s v=""/>
    <s v="MVF Lavadoras"/>
    <s v="35998687836"/>
    <s v=""/>
    <s v="ti@mvflavadoras.com.br"/>
    <s v=""/>
    <s v=""/>
    <s v=""/>
    <s v=""/>
    <s v=""/>
    <s v="Campanha"/>
    <s v=""/>
    <s v=""/>
    <s v="Dentro Perfil;Instagram"/>
    <s v="Pipeline de Vendas"/>
    <s v="Qualificação de Vendas (SQL) (25%)"/>
    <s v=""/>
    <d v="2026-01-31T00:00:00"/>
    <m/>
    <m/>
    <n v="24"/>
    <s v="Paulo Souza"/>
    <d v="2026-01-14T00:00:00"/>
    <d v="1899-12-30T10:15:54"/>
    <s v=""/>
    <s v="Perdido"/>
    <d v="2026-02-07T00:00:00"/>
    <d v="1899-12-30T07:35:17"/>
    <s v="Fora do porte mínimo (sem fit estrutural)"/>
    <s v="07/02 Fiz FUP com o Vinicius e avise que por falta de contato estou declinando a oportunidade e em caso de interesse retornamos o contato."/>
    <s v=""/>
    <x v="0"/>
    <s v="Paulo Souza"/>
    <x v="0"/>
    <s v=""/>
    <d v="2026-02-07T00:00:00"/>
    <n v="30"/>
    <s v=""/>
    <s v=""/>
    <s v=""/>
    <s v=""/>
    <n v="1"/>
  </r>
  <r>
    <x v="0"/>
    <n v="799"/>
    <m/>
    <n v="3091"/>
    <s v="Visita amanha em São Paulo no cliente_x000a_23/01 - fechamos negocio."/>
    <s v=""/>
    <x v="383"/>
    <m/>
    <s v=""/>
    <s v="Tiago"/>
    <s v="11971597112"/>
    <s v=""/>
    <s v="null"/>
    <s v=""/>
    <s v=""/>
    <s v=""/>
    <s v=""/>
    <s v=""/>
    <s v=""/>
    <s v=""/>
    <s v=""/>
    <s v="90%;Fabio Indica"/>
    <s v="Pipeline de Vendas"/>
    <s v="Em Fechamento (100%)"/>
    <s v=""/>
    <d v="2026-01-15T00:00:00"/>
    <n v="1600"/>
    <n v="252471"/>
    <n v="9"/>
    <s v="Paulo Souza"/>
    <d v="2026-01-14T00:00:00"/>
    <d v="1899-12-30T18:55:04"/>
    <s v=""/>
    <s v="Ganho"/>
    <d v="2026-01-23T00:00:00"/>
    <d v="1899-12-30T11:04:46"/>
    <s v=""/>
    <s v=""/>
    <s v="14/01/2026 00:00"/>
    <x v="171"/>
    <s v="Paulo Souza"/>
    <x v="185"/>
    <s v=""/>
    <d v="2026-01-15T00:00:00"/>
    <m/>
    <s v=""/>
    <s v=""/>
    <s v=""/>
    <s v=""/>
    <n v="1"/>
  </r>
  <r>
    <x v="2"/>
    <n v="800"/>
    <m/>
    <n v="3092"/>
    <s v=""/>
    <s v=""/>
    <x v="384"/>
    <n v="9205460000120"/>
    <s v=""/>
    <s v="Panveiga"/>
    <s v="(83) 3343-3391 / (83) 3343-3391"/>
    <s v=""/>
    <s v="null"/>
    <s v=""/>
    <s v=""/>
    <s v=""/>
    <s v="CAMPINA GRANDE"/>
    <s v="PB"/>
    <s v="Campanha"/>
    <s v=""/>
    <s v=""/>
    <s v="Fora Perfil;Instagram"/>
    <s v="Pipeline de Vendas"/>
    <s v="Agendamento (0%)"/>
    <s v=""/>
    <d v="2026-01-31T00:00:00"/>
    <m/>
    <m/>
    <n v="7"/>
    <s v="Paulo Souza"/>
    <d v="2026-01-16T00:00:00"/>
    <d v="1899-12-30T09:31:20"/>
    <s v=""/>
    <s v="Perdido"/>
    <d v="2026-01-23T00:00:00"/>
    <d v="1899-12-30T17:12:19"/>
    <s v="Fora do porte mínimo (sem fit estrutural)"/>
    <s v=""/>
    <s v=""/>
    <x v="0"/>
    <s v="Rayssa Karapeticov"/>
    <x v="0"/>
    <s v=""/>
    <d v="2026-01-23T00:00:00"/>
    <m/>
    <s v=""/>
    <s v=""/>
    <s v=""/>
    <s v=""/>
    <n v="1"/>
  </r>
  <r>
    <x v="1"/>
    <n v="803"/>
    <m/>
    <n v="3094"/>
    <s v="(20/01/2026) efetuei tentativa de ligação e mensagem no WhatsApp a fim de alinhar em bate papo com Ismael e entender suas necessidades , porem cliente não responde aos contatos"/>
    <s v=""/>
    <x v="385"/>
    <m/>
    <s v=""/>
    <s v="Autônomo"/>
    <s v="27999362925"/>
    <s v=""/>
    <s v="continente.of@gmail.com"/>
    <s v=""/>
    <s v=""/>
    <s v=""/>
    <s v=""/>
    <s v=""/>
    <s v="Campanha"/>
    <s v=""/>
    <s v=""/>
    <s v="Fora Perfil;Instagram"/>
    <s v="Pipeline de Vendas"/>
    <s v="Qualificação de Vendas (SQL) (25%)"/>
    <s v=""/>
    <d v="2026-01-31T00:00:00"/>
    <m/>
    <m/>
    <n v="113"/>
    <s v="Paulo Souza"/>
    <d v="2026-01-16T00:00:00"/>
    <d v="1899-12-30T16:05:09"/>
    <s v=""/>
    <s v="Perdido"/>
    <d v="2026-05-09T00:00:00"/>
    <d v="1899-12-30T07:39:04"/>
    <s v="Fora do porte mínimo (sem fit estrutural)"/>
    <s v=""/>
    <s v=""/>
    <x v="0"/>
    <s v="Junior Lopes"/>
    <x v="0"/>
    <s v=""/>
    <d v="2026-01-20T00:00:00"/>
    <m/>
    <s v=""/>
    <s v=""/>
    <s v=""/>
    <s v=""/>
    <n v="1"/>
  </r>
  <r>
    <x v="2"/>
    <n v="804"/>
    <m/>
    <n v="3099"/>
    <s v=""/>
    <s v=""/>
    <x v="386"/>
    <n v="33036815000180"/>
    <s v=""/>
    <s v="Haller Farmacêutica"/>
    <s v="21994011336"/>
    <s v=""/>
    <s v="marcelo.uchoa@haller.ind.br"/>
    <s v=""/>
    <s v=""/>
    <s v=""/>
    <s v=""/>
    <s v=""/>
    <s v="Campanha"/>
    <s v=""/>
    <s v=""/>
    <s v="Fora Perfil;Instagram"/>
    <s v="Pipeline de Vendas"/>
    <s v="Agendamento (0%)"/>
    <s v=""/>
    <d v="2026-01-31T00:00:00"/>
    <m/>
    <m/>
    <n v="5"/>
    <s v="Paulo Souza"/>
    <d v="2026-01-16T00:00:00"/>
    <d v="1899-12-30T16:06:39"/>
    <s v=""/>
    <s v="Perdido"/>
    <d v="2026-01-21T00:00:00"/>
    <d v="1899-12-30T11:42:22"/>
    <s v="Fora do porte mínimo (sem fit estrutural)"/>
    <s v=""/>
    <s v=""/>
    <x v="0"/>
    <s v="Rayssa Karapeticov"/>
    <x v="0"/>
    <s v=""/>
    <d v="2026-01-21T00:00:00"/>
    <m/>
    <s v=""/>
    <s v=""/>
    <s v=""/>
    <s v=""/>
    <n v="1"/>
  </r>
  <r>
    <x v="1"/>
    <n v="805"/>
    <m/>
    <n v="3093"/>
    <s v="(20/01/2026)  09:04, 20/01/2026 Junior Lopes: Olá Cláudio ! Bom dia_x000a_17:23, 27/01/2026 Claudio Teixeira: Boa tarde essa semana estou fora da empresa_x000a_17:23, 27/01/2026 Claudio Teixeira: Semana que vem falamos_x000a_17:32, 27/01/2026 Junior Lopes: Perfeito Claudio ! abraço _x000a_09:06, 20/01/2026 Claudio Teixeira: Bom dia_x000a_09:07, 20/01/2026 Junior Lopes: Td bem ? Vc entrou em contato com a Guarani sistemas, gostaria de marcar um horário para batermos um papo e entender melhor suas necessidades_x000a_09:08, 20/01/2026 Junior Lopes: Qual melhor horário para você?_x000a_09:08, 20/01/2026 Claudio Teixeira: Pode ser às 11:30_x000a_09:10, 20/01/2026 Junior Lopes: Ótimo, vou Estar terminando uma apresentação! Pode ser que atrase uns 15 minutos para ligar_x000a_09:11, 20/01/2026 Claudio Teixeira: Ok_x000a_Perfeito Cláudio ! Abraço_x000a_Olá Cláudio! Como vai ?_x000a_Olá Cláudio Td bem ? _x000a_Como não recebi seu retorno nos últimos dias, entendo que talvez não seja o melhor momento para seguirmos com projeto Guarani _x000a_Para nao lotar seu WhatsApp de mensagens estou encerrando o contato! _x000a_Caso suas prioridades mudem sigo a disposição _x000a_Abraço"/>
    <s v=""/>
    <x v="387"/>
    <n v="53629067000156"/>
    <s v=""/>
    <s v="Claudio Teixeira"/>
    <s v="(43) 99669-3593"/>
    <s v=""/>
    <s v="claudioteixeirasap@hotmail.com"/>
    <s v=""/>
    <s v=""/>
    <s v=""/>
    <s v="CONSELHEIRO MAIRINCK"/>
    <s v="PR"/>
    <s v="Site"/>
    <s v=""/>
    <s v=""/>
    <s v="Solicita demo"/>
    <s v="Pipeline de Vendas"/>
    <s v="Apresentar Proposta (50%)"/>
    <s v=""/>
    <d v="2026-01-31T00:00:00"/>
    <n v="72080"/>
    <n v="18676"/>
    <n v="52"/>
    <s v="Paulo Souza"/>
    <d v="2026-01-16T00:00:00"/>
    <d v="1899-12-30T16:08:11"/>
    <s v=""/>
    <s v="Perdido"/>
    <d v="2026-03-09T00:00:00"/>
    <d v="1899-12-30T11:02:30"/>
    <s v="Projeto adiado / sem prazo definido"/>
    <s v="Perfeito Cláudio ! Abraço_x000a_Olá Cláudio! Como vai ?_x000a_Olá Cláudio Td bem ? _x000a_Como não recebi seu retorno nos últimos dias, entendo que talvez não seja o melhor momento para seguirmos com projeto Guarani _x000a_Para nao lotar seu WhatsApp de mensagens estou encerrando o contato! _x000a_Caso suas prioridades mudem sigo a disposição _x000a_Abraço"/>
    <s v=""/>
    <x v="172"/>
    <s v="Junior Lopes"/>
    <x v="186"/>
    <s v=""/>
    <d v="2026-02-09T00:00:00"/>
    <m/>
    <s v=""/>
    <s v=""/>
    <s v=""/>
    <s v=""/>
    <n v="1"/>
  </r>
  <r>
    <x v="2"/>
    <n v="818"/>
    <m/>
    <n v="3101"/>
    <s v="Apresentação agendada para 27/01/2026 - 15:00 horas_x000a_26/01 - reunião agendada para amanhã, aguardand confirmação_x000a_27/01 - cliente não confirmou nem entrou na reunião_x000a_28/01 - Oi Renato, tudo bem?_x000a_No dia 27/01 tinhamos uma agenda de apresentação que poderia mudar os rumos do seu negócio. Como não tivemos retorno, estou encerrando nosso contato._x000a_Quero deixar claro: essa não era apenas mais uma oferta, mas uma oportunidade única que dificilmente vai se repetir. Ao não avançar, você está deixando escapar aquilo que poderia ser o divisor de águas para sua empresa._x000a_Desejo sucesso nos seus próximos passos!"/>
    <s v=""/>
    <x v="388"/>
    <m/>
    <s v=""/>
    <s v="Recanto Agricola"/>
    <s v="17999791171"/>
    <s v=""/>
    <s v="recantoagricola@gmail.com"/>
    <s v=""/>
    <s v=""/>
    <s v=""/>
    <s v=""/>
    <s v=""/>
    <s v="Campanha"/>
    <s v=""/>
    <s v=""/>
    <s v="Dentro Perfil;Instagram"/>
    <s v="Pipeline de Vendas"/>
    <s v="Apresentar Solução (35%)"/>
    <s v=""/>
    <d v="2026-03-31T00:00:00"/>
    <m/>
    <m/>
    <n v="9"/>
    <s v="Paulo Souza"/>
    <d v="2026-01-19T00:00:00"/>
    <d v="1899-12-30T11:30:57"/>
    <s v=""/>
    <s v="Perdido"/>
    <d v="2026-01-28T00:00:00"/>
    <d v="1899-12-30T16:29:00"/>
    <s v="Não quer mudar a solução atual"/>
    <s v=""/>
    <s v=""/>
    <x v="0"/>
    <s v="Rayssa Karapeticov"/>
    <x v="0"/>
    <s v=""/>
    <d v="2026-01-28T00:00:00"/>
    <m/>
    <s v=""/>
    <s v=""/>
    <s v=""/>
    <s v=""/>
    <n v="1"/>
  </r>
  <r>
    <x v="1"/>
    <n v="819"/>
    <m/>
    <n v="3102"/>
    <s v="(19/01/2026) reunião de apresentação agendada para 20/01/2026_x000a_(26/01/2026) _x000a_Olá Mauricio ! tudo bem ?_x000a_Como não recebi o seu retorno sobre o questionário após nossa apresentação, imagino que as prioridades tenham mudado por aí ou que este não seja o momento ideal para avançarmos com a proposta da Guarani Sistemas._x000a_Para não sobrecarregar sua caixa de entrada, estou encerrando o seu processo aqui no meu sistema por enquanto._x000a_Caso seus planos mudem no futuro, meus contatos continuam os mesmos. Desejo sucesso em seus projetos._x000a_Após mensagem enviada Mauricio compartilhou áudio dizendo que achou investimento muito alto e que no futuro vamos voltar a falar"/>
    <s v=""/>
    <x v="389"/>
    <n v="49827202000109"/>
    <s v=""/>
    <s v="Maurício Jorge lima"/>
    <s v="(93) 8406-4995"/>
    <s v=""/>
    <s v="mauriciojlatm@gmail.com"/>
    <s v=""/>
    <s v=""/>
    <s v=""/>
    <s v="ITAITUBA"/>
    <s v="PA"/>
    <s v="Site"/>
    <s v=""/>
    <s v=""/>
    <s v="Contato;Dentro Perfil"/>
    <s v="Pipeline de Vendas"/>
    <s v="Apresentar Solução (35%)"/>
    <s v=""/>
    <d v="2026-01-31T00:00:00"/>
    <n v="72080"/>
    <n v="881079"/>
    <n v="17"/>
    <s v="Paulo Souza"/>
    <d v="2026-01-19T00:00:00"/>
    <d v="1899-12-30T11:33:47"/>
    <s v=""/>
    <s v="Perdido"/>
    <d v="2026-02-05T00:00:00"/>
    <d v="1899-12-30T14:12:46"/>
    <s v="Preço muito alto - fora do budget de investimento"/>
    <s v=": Preço muito alto"/>
    <s v=""/>
    <x v="172"/>
    <s v="Junior Lopes"/>
    <x v="183"/>
    <s v=""/>
    <d v="2026-01-26T00:00:00"/>
    <m/>
    <s v=""/>
    <s v=""/>
    <s v=""/>
    <s v=""/>
    <n v="1"/>
  </r>
  <r>
    <x v="2"/>
    <n v="820"/>
    <m/>
    <n v="3103"/>
    <s v=""/>
    <s v=""/>
    <x v="390"/>
    <m/>
    <s v=""/>
    <s v="Max club"/>
    <s v="3194371833"/>
    <s v=""/>
    <s v="willian.portodasilva8@gmail.com"/>
    <s v=""/>
    <s v=""/>
    <s v=""/>
    <s v=""/>
    <s v=""/>
    <s v="Campanha"/>
    <s v=""/>
    <s v=""/>
    <s v="Fora Perfil;Instagram"/>
    <s v="Pipeline de Vendas"/>
    <s v="Agendamento (0%)"/>
    <s v=""/>
    <d v="2026-01-31T00:00:00"/>
    <m/>
    <m/>
    <n v="19"/>
    <s v="Paulo Souza"/>
    <d v="2026-01-19T00:00:00"/>
    <d v="1899-12-30T11:34:55"/>
    <s v=""/>
    <s v="Perdido"/>
    <d v="2026-02-07T00:00:00"/>
    <d v="1899-12-30T07:45:07"/>
    <s v="Fora do porte mínimo (sem fit estrutural)"/>
    <s v=""/>
    <s v=""/>
    <x v="0"/>
    <s v="Rayssa Karapeticov"/>
    <x v="0"/>
    <s v=""/>
    <d v="2026-01-27T00:00:00"/>
    <m/>
    <s v=""/>
    <s v=""/>
    <s v=""/>
    <s v=""/>
    <n v="1"/>
  </r>
  <r>
    <x v="0"/>
    <n v="821"/>
    <m/>
    <n v="3119"/>
    <s v="Liguei para o Gerson o mesmo não atendeu deixei msg no whatsapp._x000a_23/01 Foi feito apresentação para o cliente do institucional e AFV.  em resumo, a apresentação foi direcionada para a importadora DINATALE (Diego). Porém entrou na reunião a CASAART (William) e também o Mauricio cuja a empresa ainda não conheço. O Gerson (consultor0 que esta conduzindo o projeto participou e informou que são 5 empresa no total, a ideia é conseguir colocar o sistema nas 5 empresas. _x000a_O próximo passo é fazer uma nova agenda para a semana do dia 26/01, para apresentar o sistema novamente para uma equipe maior e expandido com o módulo OCMEX, ERP, REP+ E CONTABIL._x000a_13/02 Esse negócio está sendo tratado nas proposta da Iracema, Dinatale, Casart e MCFlores."/>
    <s v=""/>
    <x v="391"/>
    <n v="7658378000126"/>
    <s v=""/>
    <s v="Gerson Baesso"/>
    <s v="(49) 98872-0298"/>
    <s v=""/>
    <s v="consultor01@visionway.com.br"/>
    <s v=""/>
    <s v=""/>
    <s v=""/>
    <s v="Nova Aurora"/>
    <s v=""/>
    <s v="Site"/>
    <s v=""/>
    <s v=""/>
    <s v="30%;Solicita demo"/>
    <s v="Pipeline de Vendas"/>
    <s v="Apresentar Solução (35%)"/>
    <s v=""/>
    <d v="2026-01-31T00:00:00"/>
    <m/>
    <m/>
    <n v="24"/>
    <s v="Paulo Souza"/>
    <d v="2026-01-20T00:00:00"/>
    <d v="1899-12-30T08:41:55"/>
    <s v=""/>
    <s v="Perdido"/>
    <d v="2026-02-13T00:00:00"/>
    <d v="1899-12-30T17:34:46"/>
    <s v="Projeto adiado / sem prazo definido"/>
    <s v=""/>
    <s v=""/>
    <x v="173"/>
    <s v="Paulo Souza"/>
    <x v="187"/>
    <s v=""/>
    <d v="2026-01-23T00:00:00"/>
    <n v="30"/>
    <s v=""/>
    <s v="ERP, AFV, BI"/>
    <s v=""/>
    <s v=""/>
    <n v="1"/>
  </r>
  <r>
    <x v="2"/>
    <n v="823"/>
    <m/>
    <n v="3118"/>
    <s v="29/01 - retornar após o carnaval_x000a_18.03 - agendando um contato para negociação, sugeri hoje as 16:30_x000a_30.03 Boa tarde, Helena. Espero que esteja bem._x000a_Conversamos anteriormente sobre o software de gestão da Guarani Sistemas, empresa consolidada e referência no mercado de utilidades e abastecimento de artigos para o lar._x000a_Acreditamos que, com o potencial da sua empresa aliado à experiência da Guarani, seria possível alcançar resultados ainda mais expressivos. No entanto, após diversas tentativas de contato, não obtivemos retorno para avançar com esse projeto._x000a_Diante disso, estamos encerrando nosso contato neste momento, entendendo que não há interesse da Purai Suvinirs em seguir com essa oportunidade de crescimento. Permaneço à disposição para retomar a conversa quando fizer sentido para vocês._x000a_Atenciosamente,"/>
    <s v=""/>
    <x v="392"/>
    <n v="44530589000105"/>
    <s v=""/>
    <s v="Helena reis"/>
    <s v="(47) 3344-3239"/>
    <s v=""/>
    <s v="vendas@diceart.com.br"/>
    <s v=""/>
    <s v=""/>
    <s v=""/>
    <s v="ITAJAI"/>
    <s v="SC"/>
    <s v="Site"/>
    <s v=""/>
    <s v=""/>
    <s v="30%;Dentro Perfil"/>
    <s v="Pipeline de Vendas"/>
    <s v="Em negociação (75%)"/>
    <s v=""/>
    <d v="2026-05-31T00:00:00"/>
    <n v="579843"/>
    <n v="28845"/>
    <n v="69"/>
    <s v="Paulo Souza"/>
    <d v="2026-01-20T00:00:00"/>
    <d v="1899-12-30T08:46:51"/>
    <s v=""/>
    <s v="Perdido"/>
    <d v="2026-03-30T00:00:00"/>
    <d v="1899-12-30T15:47:48"/>
    <s v="Projeto adiado / sem prazo definido"/>
    <s v=""/>
    <s v=""/>
    <x v="174"/>
    <s v="Rayssa Karapeticov"/>
    <x v="188"/>
    <s v="12/03/2026"/>
    <d v="2026-03-30T00:00:00"/>
    <n v="30"/>
    <s v=""/>
    <s v="ERP, AFV"/>
    <s v=""/>
    <s v=""/>
    <n v="1"/>
  </r>
  <r>
    <x v="2"/>
    <n v="847"/>
    <m/>
    <n v="3129"/>
    <s v="Telefone cadastrado eé de um mercado"/>
    <s v=""/>
    <x v="393"/>
    <m/>
    <s v=""/>
    <s v="Bem bom pescados"/>
    <s v="6233899200"/>
    <s v=""/>
    <s v="edinho@grupo3ebr.com.br"/>
    <s v=""/>
    <s v=""/>
    <s v=""/>
    <s v=""/>
    <s v=""/>
    <s v="Campanha"/>
    <s v=""/>
    <s v=""/>
    <s v="Fora Perfil;Instagram"/>
    <s v="Pipeline de Vendas"/>
    <s v="Agendamento (0%)"/>
    <s v=""/>
    <d v="2026-01-31T00:00:00"/>
    <m/>
    <m/>
    <n v="0"/>
    <s v="Paulo Souza"/>
    <d v="2026-01-21T00:00:00"/>
    <d v="1899-12-30T10:51:15"/>
    <s v=""/>
    <s v="Perdido"/>
    <d v="2026-01-21T00:00:00"/>
    <d v="1899-12-30T11:14:02"/>
    <s v="Fora do porte mínimo (sem fit estrutural)"/>
    <s v=""/>
    <s v=""/>
    <x v="0"/>
    <s v="Rayssa Karapeticov"/>
    <x v="0"/>
    <s v=""/>
    <m/>
    <m/>
    <s v=""/>
    <s v=""/>
    <s v=""/>
    <s v=""/>
    <n v="1"/>
  </r>
  <r>
    <x v="1"/>
    <n v="848"/>
    <m/>
    <n v="3148"/>
    <s v="(23/01/2026) Sérgio não respondeu as minhas mensagens ! estou descartando de falta de retorno do cliente"/>
    <s v=""/>
    <x v="394"/>
    <m/>
    <s v=""/>
    <s v="Possani mix"/>
    <s v="11971375421"/>
    <s v=""/>
    <s v="possanimix@gmail.com"/>
    <s v=""/>
    <s v=""/>
    <s v=""/>
    <s v=""/>
    <s v=""/>
    <s v="Campanha"/>
    <s v=""/>
    <s v=""/>
    <s v="Fora Perfil;Instagram"/>
    <s v="Pipeline de Vendas"/>
    <s v="Agendamento (0%)"/>
    <s v=""/>
    <d v="2026-01-31T00:00:00"/>
    <m/>
    <m/>
    <n v="108"/>
    <s v="Paulo Souza"/>
    <d v="2026-01-21T00:00:00"/>
    <d v="1899-12-30T10:54:34"/>
    <s v=""/>
    <s v="Perdido"/>
    <d v="2026-05-09T00:00:00"/>
    <d v="1899-12-30T08:48:17"/>
    <s v="Fora do segmento atendido"/>
    <s v=""/>
    <s v=""/>
    <x v="0"/>
    <s v="Junior Lopes"/>
    <x v="0"/>
    <s v=""/>
    <d v="2026-01-23T00:00:00"/>
    <m/>
    <s v=""/>
    <s v=""/>
    <s v=""/>
    <s v=""/>
    <n v="1"/>
  </r>
  <r>
    <x v="2"/>
    <n v="849"/>
    <m/>
    <n v="3149"/>
    <s v=""/>
    <s v=""/>
    <x v="395"/>
    <n v="27343071000143"/>
    <s v=""/>
    <s v="Bombemi"/>
    <s v="11959925385"/>
    <s v=""/>
    <s v="adminitrativo@bombemi.com.br"/>
    <s v=""/>
    <s v=""/>
    <s v=""/>
    <s v=""/>
    <s v=""/>
    <s v="Campanha"/>
    <s v=""/>
    <s v=""/>
    <s v="Fora Perfil;Instagram"/>
    <s v="Pipeline de Vendas"/>
    <s v="Agendamento (0%)"/>
    <s v=""/>
    <d v="2026-01-31T00:00:00"/>
    <m/>
    <m/>
    <n v="17"/>
    <s v="Paulo Souza"/>
    <d v="2026-01-21T00:00:00"/>
    <d v="1899-12-30T12:23:03"/>
    <s v=""/>
    <s v="Perdido"/>
    <d v="2026-02-07T00:00:00"/>
    <d v="1899-12-30T07:43:30"/>
    <s v="Fora do porte mínimo (sem fit estrutural)"/>
    <s v=""/>
    <s v=""/>
    <x v="0"/>
    <s v="Rayssa Karapeticov"/>
    <x v="0"/>
    <s v=""/>
    <m/>
    <m/>
    <s v=""/>
    <s v=""/>
    <s v=""/>
    <s v=""/>
    <n v="1"/>
  </r>
  <r>
    <x v="2"/>
    <n v="850"/>
    <m/>
    <n v="3150"/>
    <s v=""/>
    <s v=""/>
    <x v="395"/>
    <n v="27343071000143"/>
    <s v=""/>
    <s v="MILENE DIAS"/>
    <s v="(11) 95992-5385"/>
    <s v=""/>
    <s v="administrativo@bombemi.com.br"/>
    <s v=""/>
    <s v=""/>
    <s v=""/>
    <s v="São Paulo"/>
    <s v=""/>
    <s v="Site"/>
    <s v=""/>
    <s v=""/>
    <s v="Dentro Perfil;Solicita demo"/>
    <s v="Pipeline de Vendas"/>
    <s v="Qualificação de Vendas (SQL) (25%)"/>
    <s v=""/>
    <d v="2026-01-31T00:00:00"/>
    <m/>
    <m/>
    <n v="1"/>
    <s v="Paulo Souza"/>
    <d v="2026-01-21T00:00:00"/>
    <d v="1899-12-30T12:24:02"/>
    <s v=""/>
    <s v="Perdido"/>
    <d v="2026-01-22T00:00:00"/>
    <d v="1899-12-30T10:03:56"/>
    <s v="Preço muito alto - fora do budget de investimento"/>
    <s v=""/>
    <s v=""/>
    <x v="0"/>
    <s v="Rayssa Karapeticov"/>
    <x v="0"/>
    <s v=""/>
    <m/>
    <m/>
    <s v=""/>
    <s v=""/>
    <s v=""/>
    <s v=""/>
    <n v="1"/>
  </r>
  <r>
    <x v="1"/>
    <n v="851"/>
    <m/>
    <n v="3151"/>
    <s v="14:08, 21/01/2026 Junior Lopes: Olá Edmilson, boa tarde ! Aqui é Junior da Guarani sistemas, Td bem ?_x000a_(26/01/2026) Ola Edmilson, bom dia tudo bem ? _x000a_Sobre as soluções em software ERP e Força de vendas Guarani ! Tem interesse em conhecer? _x000a_21/01/2026 - envio de Aúdio me apresentando e solicitando data para falarmos _x000a_15:30, 23/01/2026 Junior Lopes: Olá Edmilson, boa tarde_x000a_17:08, 27/01/2026 Junior Lopes: Olá, Edmilson! Como não conseguimos evoluir nossa conversa nos últimos dias, entendo que talvez este não seja o momento ideal para focarmos na Solução ERP e Força de vendas. Estou encerrando o seu processo por aqui para não lotar sua caixa de entrada. Vou deixar seu contato salvo e, assim que suas prioridades mudarem, sinta-se à vontade para me chamar_x000a_(18/05/2026) Após varias tentativas de contato , sem sucesso ! estou declinando oportunidade"/>
    <s v=""/>
    <x v="396"/>
    <m/>
    <s v=""/>
    <s v="Édy Distribuidora de Alimentos"/>
    <s v="12997313349"/>
    <s v=""/>
    <s v="edmilson.goulart1@gmail.com"/>
    <s v=""/>
    <s v=""/>
    <s v=""/>
    <s v=""/>
    <s v=""/>
    <s v="Campanha"/>
    <s v=""/>
    <s v=""/>
    <s v="Dentro Perfil;Instagram"/>
    <s v="Pipeline de Vendas"/>
    <s v="Qualificação de Vendas (SQL) (25%)"/>
    <s v=""/>
    <d v="2026-01-31T00:00:00"/>
    <m/>
    <m/>
    <n v="117"/>
    <s v="Paulo Souza"/>
    <d v="2026-01-21T00:00:00"/>
    <d v="1899-12-30T12:30:13"/>
    <s v=""/>
    <s v="Perdido"/>
    <d v="2026-05-18T00:00:00"/>
    <d v="1899-12-30T14:43:41"/>
    <s v="Sem qualificação — contato não atende ligações nem responde msg"/>
    <s v="(18/05/2026) Após varias tentativas de contato , sem sucesso ! estou declinando oportunidade"/>
    <s v=""/>
    <x v="0"/>
    <s v="Junior Lopes"/>
    <x v="0"/>
    <s v=""/>
    <d v="2026-05-18T00:00:00"/>
    <m/>
    <s v=""/>
    <s v=""/>
    <s v=""/>
    <s v=""/>
    <n v="1"/>
  </r>
  <r>
    <x v="2"/>
    <n v="853"/>
    <m/>
    <n v="3154"/>
    <s v="22/01/2026 Rayssa Karapeticov - Comercial - Guarani Sistemas: Bom dia Roberto, como vai? _x000a_29/01 Ok, entendi o objeto. Vejo que não estaremos aptos a fazer o investimento com a sua empresa._x000a_Fica agradecido._x000a_Obrigado pela franqueza e informações._x000a_É a Rayssa da Guarani Sistemas _x000a_recebi seu contato para falar de nossas soluções, você prefere que eu te ligue ou trate por aqui?_x000a_12:34, 22/01/2026 +55 62 8181-2473: Bom dia!_x000a_Pode ser por aqui..._x000a_15:40, 22/01/2026 Rayssa Karapeticov - Comercial - Guarani Sistemas: Perfeito, me passa o que esta procurando de solução de software e como posso te ajudar?_x000a_26/01/2026 Rayssa Karapeticov - Comercial - Guarani Sistemas: Bom dia Roberto como vai?_x000a_Para que possamos avançar, preciso entende um pouco da sua empresa e como as soluções da Guarani Sistemas podem potencializar seus processos e faturamento. _x000a_Podemos conversar?_x000a_27-01 Bom dia Roberto, tudo bem?_x000a_Ainda tem interesse em seguir com uma solução técnologica para sua empresa?_x000a_28/01 Somos uma empresa distribuição de secos e molhados._x000a_Faturamento médio de 350 mil mês_x000a_Trabalhamos com venda direta e pré-venda._x000a_7 vendedores externos_x000a_5 usuário do ERP interno._x000a_Certo, quantos CNPJs?_x000a_2 CNPJ_x000a_vocês precisam controlar lote e validade?_x000a_É interessante, embora não estamos fazendo. Por isso a mudança de ERP..."/>
    <s v=""/>
    <x v="397"/>
    <n v="8439142000161"/>
    <s v=""/>
    <s v="MSRAC"/>
    <s v="62981812473"/>
    <s v=""/>
    <s v="roberto@msrac.com.br"/>
    <s v=""/>
    <s v=""/>
    <s v=""/>
    <s v=""/>
    <s v=""/>
    <s v="Campanha"/>
    <s v=""/>
    <s v=""/>
    <s v="Dentro Perfil;Instagram"/>
    <s v="Pipeline de Vendas"/>
    <s v="Apresentar Proposta (50%)"/>
    <s v=""/>
    <d v="2026-03-31T00:00:00"/>
    <n v="58800"/>
    <n v="873144"/>
    <n v="8"/>
    <s v="Paulo Souza"/>
    <d v="2026-01-21T00:00:00"/>
    <d v="1899-12-30T21:58:26"/>
    <s v=""/>
    <s v="Perdido"/>
    <d v="2026-01-29T00:00:00"/>
    <d v="1899-12-30T16:08:35"/>
    <s v="Preço muito alto - fora do budget de investimento"/>
    <s v=""/>
    <s v=""/>
    <x v="175"/>
    <s v="Rayssa Karapeticov"/>
    <x v="189"/>
    <s v="29/01/2026"/>
    <d v="2026-01-28T00:00:00"/>
    <m/>
    <s v=""/>
    <s v=""/>
    <s v=""/>
    <s v=""/>
    <n v="1"/>
  </r>
  <r>
    <x v="2"/>
    <n v="854"/>
    <m/>
    <n v="3155"/>
    <s v=""/>
    <s v=""/>
    <x v="398"/>
    <m/>
    <s v=""/>
    <s v="Mundo Das Águas Turismo"/>
    <s v="4599648080"/>
    <s v=""/>
    <s v="mundodasaguasturismo@gmail.com"/>
    <s v=""/>
    <s v=""/>
    <s v=""/>
    <s v=""/>
    <s v=""/>
    <s v="Campanha"/>
    <s v=""/>
    <s v=""/>
    <s v="Fora Perfil;Instagram"/>
    <s v="Pipeline de Vendas"/>
    <s v="Agendamento (0%)"/>
    <s v=""/>
    <d v="2026-01-22T00:00:00"/>
    <m/>
    <m/>
    <n v="0"/>
    <s v="Paulo Souza"/>
    <d v="2026-01-22T00:00:00"/>
    <d v="1899-12-30T15:01:30"/>
    <s v=""/>
    <s v="Perdido"/>
    <d v="2026-01-22T00:00:00"/>
    <d v="1899-12-30T15:42:36"/>
    <s v="Fora do porte mínimo (sem fit estrutural)"/>
    <s v=""/>
    <s v=""/>
    <x v="0"/>
    <s v="Rayssa Karapeticov"/>
    <x v="0"/>
    <s v=""/>
    <m/>
    <m/>
    <s v=""/>
    <s v=""/>
    <s v=""/>
    <s v=""/>
    <n v="1"/>
  </r>
  <r>
    <x v="1"/>
    <n v="860"/>
    <m/>
    <n v="3164"/>
    <s v="23/01/2026 Enviei mensagem para Adriano me apresentando, aguardando resposta para agendar um bate papo _x000a_(26/01/2026) buscando contato, enviei áudio buscando o melhor momento para falarmos sobre as soluções _x000a_(29/01/2026) Após tentativas de contato sem sucesso estou desacatando oportunidade !_x000a_Olá Adriano ! Td bem ? _x000a_Tentei contato com você sobre nossas soluções ! Porém não tivemos sucesso no contato, acredito que você esteja com outras prioridades nesse momento _x000a_Para não ficar incomodando vou descartar nosso contato por aqui ! Vou deixar seu contato salvo se suas prioridades mudarem me chame por favor _x000a_Abraço"/>
    <s v=""/>
    <x v="399"/>
    <n v="1399482000167"/>
    <s v=""/>
    <s v="Bral-Max Ind.Com.Plasticos Ltda"/>
    <s v="24999136531"/>
    <s v=""/>
    <s v="adriano@bral-max.com.br"/>
    <s v=""/>
    <s v=""/>
    <s v=""/>
    <s v=""/>
    <s v=""/>
    <s v="Campanha"/>
    <s v=""/>
    <s v=""/>
    <s v="Dentro Perfil;Instagram"/>
    <s v="Pipeline de Vendas"/>
    <s v="Qualificação de Vendas (SQL) (25%)"/>
    <s v=""/>
    <d v="2026-01-31T00:00:00"/>
    <m/>
    <m/>
    <n v="106"/>
    <s v="Paulo Souza"/>
    <d v="2026-01-23T00:00:00"/>
    <d v="1899-12-30T10:04:40"/>
    <s v=""/>
    <s v="Perdido"/>
    <d v="2026-05-09T00:00:00"/>
    <d v="1899-12-30T07:44:36"/>
    <s v="Sem qualificação — contato não atende ligações nem responde msg"/>
    <s v=""/>
    <s v=""/>
    <x v="0"/>
    <s v="Junior Lopes"/>
    <x v="0"/>
    <s v=""/>
    <d v="2026-01-29T00:00:00"/>
    <m/>
    <s v=""/>
    <s v=""/>
    <s v=""/>
    <s v=""/>
    <n v="1"/>
  </r>
  <r>
    <x v="2"/>
    <n v="861"/>
    <m/>
    <n v="3165"/>
    <s v="tentativa de contato_x000a_26/01 - Faz venda porta a porta e tem PDV _x000a_13.02 Tentei contato por ligação e não atendeu_x000a_É um cliente que eu já havia conversado e faz venda PAP, atualmente o Guarani não atende ao que procura _x000a_Fora do perfil"/>
    <s v=""/>
    <x v="400"/>
    <m/>
    <s v=""/>
    <s v="Multiple business service"/>
    <s v="19971619676"/>
    <s v=""/>
    <s v="thomazdistribuidora@gmail.com"/>
    <s v=""/>
    <s v=""/>
    <s v=""/>
    <s v=""/>
    <s v=""/>
    <s v="Campanha"/>
    <s v=""/>
    <s v=""/>
    <s v="Fora Perfil;Instagram"/>
    <s v="Pipeline de Vendas"/>
    <s v="Agendamento (0%)"/>
    <s v=""/>
    <d v="2026-01-31T00:00:00"/>
    <m/>
    <m/>
    <n v="21"/>
    <s v="Paulo Souza"/>
    <d v="2026-01-23T00:00:00"/>
    <d v="1899-12-30T10:37:23"/>
    <s v=""/>
    <s v="Perdido"/>
    <d v="2026-02-13T00:00:00"/>
    <d v="1899-12-30T17:25:09"/>
    <s v="Fora do porte mínimo (sem fit estrutural)"/>
    <s v=""/>
    <s v=""/>
    <x v="0"/>
    <s v="Rayssa Karapeticov"/>
    <x v="0"/>
    <s v=""/>
    <d v="2026-02-13T00:00:00"/>
    <m/>
    <s v=""/>
    <s v=""/>
    <s v=""/>
    <s v=""/>
    <n v="1"/>
  </r>
  <r>
    <x v="0"/>
    <n v="862"/>
    <m/>
    <n v="3166"/>
    <s v="23/01 Apresentar o sistema ERP + AFV hoje as 14h para o Gerson (consultor)_x000a_23/01 23/01 Foi feito apresentação para o cliente do institucional e AFV.  em resumo, a apresentação foi direcionada para a importadora DINATALE (Diego). Porém entrou na reunião a CASAART (William) e também o Mauricio cuja a empresa ainda não conheço. O Gerson (consultor0 que esta conduzindo o projeto participou e informou que são 5 empresa no total, a ideia é conseguir colocar o sistema nas 5 empresas. _x000a_O próximo passo é fazer uma nova agenda para a semana do dia 26/01, para apresentar o sistema novamente para uma equipe maior e expandido com o módulo OCMEX, ERP, REP+ E CONTABIL._x000a_06/02 Fiz FUP hoje com o Gerson consultor e apresentei a proposta.  Na sequência ele vai falar com o a diretoria para agendar uma nova reunião de discursão de valores."/>
    <s v=""/>
    <x v="401"/>
    <n v="82808122000173"/>
    <s v=""/>
    <s v="Gerson"/>
    <s v="(49) 9945-2608"/>
    <s v=""/>
    <s v="contabilizar.atendimento@gmail.com"/>
    <s v=""/>
    <s v=""/>
    <s v=""/>
    <s v="FLOR DO SERTAO"/>
    <s v="SC"/>
    <s v=""/>
    <s v=""/>
    <s v=""/>
    <s v="50%"/>
    <s v="Pipeline de Vendas"/>
    <s v="Em negociação (75%)"/>
    <s v=""/>
    <d v="2026-02-28T00:00:00"/>
    <n v="987029"/>
    <n v="1811884"/>
    <n v="34"/>
    <s v="Paulo Souza"/>
    <d v="2026-01-23T00:00:00"/>
    <d v="1899-12-30T11:23:43"/>
    <s v=""/>
    <s v="Ganho"/>
    <d v="2026-02-26T00:00:00"/>
    <d v="1899-12-30T21:52:56"/>
    <s v=""/>
    <s v=""/>
    <s v=""/>
    <x v="118"/>
    <s v="Paulo Souza"/>
    <x v="126"/>
    <s v=""/>
    <d v="2026-02-27T00:00:00"/>
    <n v="50"/>
    <s v="270"/>
    <s v="ERP, AFV, BI, WMS, COMEX, ADICIONAIS"/>
    <s v="R$ 65.502,90"/>
    <s v="R$ 17.071,80"/>
    <n v="1"/>
  </r>
  <r>
    <x v="0"/>
    <n v="864"/>
    <m/>
    <n v="3169"/>
    <s v="23/01 Fiz FUP hoje com o Junior e o mesmo mencionou que a diretoria achou o valor da mensalidade alta. falou que tem contrato fechado com a GETT com mensal de R$900,00._x000a_Falar com o Fábio e negociar melhor essa questão._x000a_20/03 Hoje foi aberto um ticket para acompanhar dar apoio nas configurações do comex para que o pessoal consiga usar."/>
    <s v=""/>
    <x v="402"/>
    <m/>
    <s v=""/>
    <s v="Junior"/>
    <s v="19987126669"/>
    <s v=""/>
    <s v="junior@tiinfra.com.br"/>
    <s v=""/>
    <s v=""/>
    <s v=""/>
    <s v=""/>
    <s v=""/>
    <s v="BaseGua"/>
    <s v=""/>
    <s v=""/>
    <s v="30%"/>
    <s v="Pipeline de Vendas"/>
    <s v="Em Fechamento (100%)"/>
    <s v=""/>
    <d v="2026-01-31T00:00:00"/>
    <n v="10000"/>
    <n v="2000"/>
    <n v="117"/>
    <s v="Paulo Souza"/>
    <d v="2026-01-23T00:00:00"/>
    <d v="1899-12-30T16:24:12"/>
    <s v=""/>
    <s v="Ativo"/>
    <m/>
    <m/>
    <s v=""/>
    <s v=""/>
    <s v=""/>
    <x v="176"/>
    <s v="Paulo Souza"/>
    <x v="190"/>
    <s v=""/>
    <d v="2026-03-20T00:00:00"/>
    <n v="30"/>
    <s v="20"/>
    <s v="COMEX"/>
    <s v="R$ 10.000"/>
    <s v="R$ 2.000"/>
    <n v="1"/>
  </r>
  <r>
    <x v="0"/>
    <n v="865"/>
    <m/>
    <n v="3170"/>
    <s v="23/01 Fiz FUP com a Simone e o próximo asso e fazer a proposta._x000a_A principal dor do cliente é centralizar a operação em um único sistema, garantindo maior fluidez nos processos, redução de falhas de integração e ganho de produtividade, principalmente nas áreas comercial, faturamento e backoffice._x000a_06/02 Foi apresentado a proposta, que esta sob-analsie da diretoria._x000a_26/02 Fiz FUP com a Simone para saber se vamos seguir ou não._x000a_20/03 Estou cobrando a Simone se vamos seguir ou não."/>
    <s v=""/>
    <x v="403"/>
    <n v="13303103000172"/>
    <s v=""/>
    <s v="Simone"/>
    <s v="(49) 3322-8576 / (49) 3644-0850"/>
    <s v=""/>
    <s v="toyehome@toyehome.com.br"/>
    <s v=""/>
    <s v=""/>
    <s v=""/>
    <s v="CHAPECO"/>
    <s v="SC"/>
    <s v="Inbound"/>
    <s v=""/>
    <s v=""/>
    <s v="50%"/>
    <s v="Pipeline de Vendas"/>
    <s v="Em negociação (75%)"/>
    <s v=""/>
    <d v="2026-03-31T00:00:00"/>
    <n v="59184"/>
    <n v="488139"/>
    <n v="77"/>
    <s v="Paulo Souza"/>
    <d v="2026-01-23T00:00:00"/>
    <d v="1899-12-30T16:52:07"/>
    <s v=""/>
    <s v="Perdido"/>
    <d v="2026-04-10T00:00:00"/>
    <d v="1899-12-30T17:22:13"/>
    <s v="Projeto adiado / sem prazo definido"/>
    <s v=""/>
    <s v=""/>
    <x v="176"/>
    <s v="Paulo Souza"/>
    <x v="190"/>
    <s v=""/>
    <d v="2026-03-20T00:00:00"/>
    <n v="50"/>
    <s v="320"/>
    <s v="ERP, AFV, ADICIONAIS"/>
    <s v="R$ 79.311,16"/>
    <s v="R$ 6.145,44"/>
    <n v="1"/>
  </r>
  <r>
    <x v="2"/>
    <n v="866"/>
    <m/>
    <n v="3177"/>
    <s v="26/01 - é uma industria e esta buscando software de gestão da empresa. _x000a_Estou tentando marcar reunião mas o cliente não atende_x000a_27/01 - Bom dia Micael, tudo bem?_x000a_Ainda tem interesse em seguir com uma solução técnologica para sua empresa?"/>
    <s v=""/>
    <x v="404"/>
    <m/>
    <s v=""/>
    <s v="Lcosmeticos"/>
    <s v="11957608058"/>
    <s v=""/>
    <s v="carriaomicael@gmail.com"/>
    <s v=""/>
    <s v=""/>
    <s v=""/>
    <s v=""/>
    <s v=""/>
    <s v="Campanha"/>
    <s v=""/>
    <s v=""/>
    <s v="Dentro Perfil;Instagram"/>
    <s v="Pipeline de Vendas"/>
    <s v="Agendamento (0%)"/>
    <s v=""/>
    <d v="2026-01-31T00:00:00"/>
    <m/>
    <m/>
    <n v="3"/>
    <s v="Paulo Souza"/>
    <d v="2026-01-26T00:00:00"/>
    <d v="1899-12-30T13:12:42"/>
    <s v=""/>
    <s v="Perdido"/>
    <d v="2026-01-29T00:00:00"/>
    <d v="1899-12-30T16:04:41"/>
    <s v="Não houve aprovação financeira"/>
    <s v=""/>
    <s v=""/>
    <x v="0"/>
    <s v="Rayssa Karapeticov"/>
    <x v="0"/>
    <s v=""/>
    <d v="2026-01-27T00:00:00"/>
    <m/>
    <s v=""/>
    <s v=""/>
    <s v=""/>
    <s v=""/>
    <n v="1"/>
  </r>
  <r>
    <x v="1"/>
    <n v="867"/>
    <m/>
    <n v="3176"/>
    <s v="(27/01/2026) em contato com Thales , ficamos de falar por telefone as 11;30 horas do dia 27/01_x000a_(27/01/2026) Reunião de apresentação primeira Etapa AFV em 28/01/2026 as 14 horas _x000a_(28/01/2026) apresentação do força de vendas na integra e vídeos do força de vendas _x000a_cliente pediu para seguirmos com proposta comercial para ver se está dentro do sua previsão de investimento _x000a_(19/02/2026) Thales achou valor acima para o momento"/>
    <s v=""/>
    <x v="405"/>
    <n v="16743404000105"/>
    <s v=""/>
    <s v="MINAS MIX"/>
    <s v="3194143043"/>
    <s v=""/>
    <s v="thales_david@hotmail.com"/>
    <s v=""/>
    <s v=""/>
    <s v=""/>
    <s v="BELO HORIZONTE"/>
    <s v="MG"/>
    <s v="Campanha"/>
    <s v=""/>
    <s v=""/>
    <s v="30%;Dentro Perfil;Instagram"/>
    <s v="Pipeline de Vendas"/>
    <s v="Apresentar Proposta (50%)"/>
    <s v=""/>
    <d v="2026-02-28T00:00:00"/>
    <n v="61904"/>
    <n v="10192"/>
    <n v="24"/>
    <s v="Paulo Souza"/>
    <d v="2026-01-26T00:00:00"/>
    <d v="1899-12-30T13:15:19"/>
    <s v=""/>
    <s v="Perdido"/>
    <d v="2026-02-19T00:00:00"/>
    <d v="1899-12-30T16:36:15"/>
    <s v="Não houve aprovação financeira"/>
    <s v="(19/02/2026) Thales achou valor acima para o momento"/>
    <s v=""/>
    <x v="175"/>
    <s v="Junior Lopes"/>
    <x v="191"/>
    <s v=""/>
    <d v="2026-02-19T00:00:00"/>
    <n v="30"/>
    <s v=""/>
    <s v=""/>
    <s v=""/>
    <s v=""/>
    <n v="1"/>
  </r>
  <r>
    <x v="2"/>
    <n v="868"/>
    <m/>
    <n v="3174"/>
    <s v="Usa o sistema da Linx, é um armazem de bebida e fazvendas por Zé delivery e Ifood."/>
    <s v=""/>
    <x v="406"/>
    <m/>
    <s v=""/>
    <s v="Brasa e Malte"/>
    <s v="31997703979"/>
    <s v=""/>
    <s v="jsamaurin@gmail.com"/>
    <s v=""/>
    <s v=""/>
    <s v=""/>
    <s v=""/>
    <s v=""/>
    <s v="Campanha"/>
    <s v=""/>
    <s v=""/>
    <s v="Fora Perfil;Instagram"/>
    <s v="Pipeline de Vendas"/>
    <s v="Agendamento (0%)"/>
    <s v=""/>
    <d v="2026-01-31T00:00:00"/>
    <m/>
    <m/>
    <n v="0"/>
    <s v="Paulo Souza"/>
    <d v="2026-01-26T00:00:00"/>
    <d v="1899-12-30T13:17:49"/>
    <s v=""/>
    <s v="Perdido"/>
    <d v="2026-01-26T00:00:00"/>
    <d v="1899-12-30T14:29:56"/>
    <s v="Fora do porte mínimo (sem fit estrutural)"/>
    <s v=""/>
    <s v=""/>
    <x v="0"/>
    <s v="Rayssa Karapeticov"/>
    <x v="0"/>
    <s v=""/>
    <m/>
    <m/>
    <s v=""/>
    <s v=""/>
    <s v=""/>
    <s v=""/>
    <n v="1"/>
  </r>
  <r>
    <x v="1"/>
    <n v="869"/>
    <m/>
    <n v="3175"/>
    <s v="17:09, 26/01/2026 Junior Lopes: Olá Leonan ! Boa tarde _x000a_Sou Junior Lopes da Guarani sistemas, Td bem ?_x000a_17:11, 26/01/2026 Leonan: opa boa tarde_x000a_09:05, 27/01/2026 Junior Lopes: Olá Leonan, bom dia tudo bem ?_x000a_09:06, 27/01/2026 Junior Lopes: podemos bater um papo por telefone hoje as 14 horas ? a ideia é entender suas necessidades e te apresentar uma solução para te ajudar_x000a_17:25, 27/01/2026 Junior Lopes: Olá, Leonan! Como não conseguimos evoluir nossa conversa nos últimos dias, entendo que talvez este não seja o momento ideal para focarmos na Solução ERP e Força de vendas. Estou encerrando o seu processo por aqui para não lotar sua caixa de entrada. Vou deixar seu contato salvo e, assim que suas prioridades mudarem, sinta-se à vontade para me chamar"/>
    <s v=""/>
    <x v="407"/>
    <m/>
    <s v=""/>
    <s v="Leme"/>
    <s v="11976239673"/>
    <s v=""/>
    <s v="leonamj@gmail.com"/>
    <s v=""/>
    <s v=""/>
    <s v=""/>
    <s v=""/>
    <s v=""/>
    <s v="Campanha"/>
    <s v=""/>
    <s v=""/>
    <s v="Dentro Perfil;Instagram"/>
    <s v="Pipeline de Vendas"/>
    <s v="Agendamento (0%)"/>
    <s v=""/>
    <d v="2026-01-31T00:00:00"/>
    <m/>
    <m/>
    <n v="103"/>
    <s v="Paulo Souza"/>
    <d v="2026-01-26T00:00:00"/>
    <d v="1899-12-30T13:19:44"/>
    <s v=""/>
    <s v="Perdido"/>
    <d v="2026-05-09T00:00:00"/>
    <d v="1899-12-30T08:11:38"/>
    <s v="Sem qualificação — contato não atende ligações nem responde msg"/>
    <s v=""/>
    <s v=""/>
    <x v="0"/>
    <s v="Junior Lopes"/>
    <x v="0"/>
    <s v=""/>
    <d v="2026-01-27T00:00:00"/>
    <m/>
    <s v=""/>
    <s v=""/>
    <s v=""/>
    <s v=""/>
    <n v="1"/>
  </r>
  <r>
    <x v="2"/>
    <n v="870"/>
    <m/>
    <n v="3173"/>
    <s v="14:32, 1/26/2026 Rayssa Karapeticov - Comercial - Guarani Sistemas: Boa tarde, Adriano, como vai? _x000a_É a Rayssa da Guarani Sistemas _x000a_recebi seu contato para falar de nossas soluções, você prefere que eu te ligue ou trate por aqui?_x000a_15:53, 1/26/2026 +55 16 99614-4458: AMANHÃ ENTRO EM CONTATO_x000a_15:54, 1/26/2026 Rayssa Karapeticov - Comercial - Guarani Sistemas: Perfeito, aguardo retorno_x000a_09:53, 1/27/2026 Rayssa Karapeticov - Comercial - Guarani Sistemas: Bom dia Adriano, tudo bem? _x000a_Conseguimos falar hoje?_x000a_05.02 - Sem retorno do cliente Sem retorno do cliente _x000a_17.02Usa um  sistema do Rio grande do Sul Nova gestor e tem duas dificuldades _x000a_Não comunica com o banco C6Bank _x000a_Ordem de produção _x000a_São uma indústria química por batelada _x000a_Várias tipos de embalagem _x000a_Adesivos industriais _x000a_Minas Gerais - _x000a_8 RCA _x000a_3 pessoas _x000a_Atualmente pagar R$290,00 por mes com todos esses acessos, então fica inviavel a contratação"/>
    <s v=""/>
    <x v="408"/>
    <m/>
    <s v=""/>
    <s v="Kicollaadesivos.com.br"/>
    <s v="16996144458"/>
    <s v=""/>
    <s v="adrianosoaresm@yahoo.com.br"/>
    <s v=""/>
    <s v=""/>
    <s v=""/>
    <s v=""/>
    <s v=""/>
    <s v="Campanha"/>
    <s v=""/>
    <s v=""/>
    <s v="30%;Dentro Perfil;Instagram"/>
    <s v="Pipeline de Vendas"/>
    <s v="Qualificação de Vendas (SQL) (25%)"/>
    <s v=""/>
    <d v="2026-01-31T00:00:00"/>
    <m/>
    <m/>
    <n v="22"/>
    <s v="Paulo Souza"/>
    <d v="2026-01-26T00:00:00"/>
    <d v="1899-12-30T13:21:08"/>
    <s v=""/>
    <s v="Perdido"/>
    <d v="2026-02-17T00:00:00"/>
    <d v="1899-12-30T16:11:30"/>
    <s v="Preço muito alto - fora do budget de investimento"/>
    <s v=""/>
    <s v=""/>
    <x v="0"/>
    <s v="Rayssa Karapeticov"/>
    <x v="0"/>
    <s v=""/>
    <d v="2026-02-17T00:00:00"/>
    <n v="30"/>
    <s v=""/>
    <s v=""/>
    <s v=""/>
    <s v=""/>
    <n v="1"/>
  </r>
  <r>
    <x v="0"/>
    <n v="871"/>
    <m/>
    <n v="3172"/>
    <s v="contato realizado com o Alexanre, sem sucesso. Deixei msg no zap para faalrmos amanha!_x000a_28/01 Fiz FUP hoje com o Alexandre, sem sucesso. Deixei novamente recado no whatsapp e e-mail!_x000a_12/03 Por falta de retorno e interesse estou declinando o lead foi feita diversas tentativa de comunicação sem sucesso."/>
    <s v=""/>
    <x v="409"/>
    <n v="19933187000104"/>
    <s v=""/>
    <s v="Giacom Distribuidora Ltda"/>
    <s v="11918764203"/>
    <s v=""/>
    <s v="alexandre@giacomdistribuidora.com.br"/>
    <s v=""/>
    <s v=""/>
    <s v=""/>
    <s v=""/>
    <s v=""/>
    <s v="Campanha"/>
    <s v=""/>
    <s v=""/>
    <s v="30%;Dentro Perfil;Instagram"/>
    <s v="Pipeline de Vendas"/>
    <s v="Qualificação de Vendas (SQL) (25%)"/>
    <s v=""/>
    <d v="2026-01-31T00:00:00"/>
    <m/>
    <m/>
    <n v="45"/>
    <s v="Paulo Souza"/>
    <d v="2026-01-26T00:00:00"/>
    <d v="1899-12-30T13:21:53"/>
    <s v=""/>
    <s v="Perdido"/>
    <d v="2026-03-12T00:00:00"/>
    <d v="1899-12-30T17:29:31"/>
    <s v="Fora do porte mínimo (sem fit estrutural)"/>
    <s v=""/>
    <s v=""/>
    <x v="0"/>
    <s v="Paulo Souza"/>
    <x v="0"/>
    <s v=""/>
    <d v="2026-03-12T00:00:00"/>
    <n v="30"/>
    <s v=""/>
    <s v=""/>
    <s v=""/>
    <s v=""/>
    <n v="1"/>
  </r>
  <r>
    <x v="0"/>
    <n v="872"/>
    <m/>
    <n v="3178"/>
    <s v="Fiz o primeiro contato com a Maria e agendamos amanhã às 14h._x000a_28/01 Fiz FUP hoje com a maria sem sucesso. Liguei não atendeu , deixei recado no whats app e estou aguardando retorno._x000a_28/01 Consegui fazer a apresentação institucional para a Maria. O próximo passo é enviar a proposta !_x000a_06/02 Fiz uma reunião onde apresentei a proposta. A Maria, foi bem objetiva e falou que o valor ficou bem acima dos demais concorrentes, mesmo assim ela vai ter uma reunião com a diretoria na próxima semana e me retorna se seguiremos ou não!_x000a_26/02 Fiz FUP com a Maria cobrando uma posição se seguiremos ou não._x000a_27/02 Por falta de interação e retorno do cliente estou declinando a proposta."/>
    <s v=""/>
    <x v="410"/>
    <m/>
    <s v=""/>
    <s v="Maria"/>
    <s v="(11) 97129-2472"/>
    <s v=""/>
    <s v="financeiro@autovolth.com.br"/>
    <s v=""/>
    <s v=""/>
    <s v=""/>
    <s v="São Paulo"/>
    <s v=""/>
    <s v="Site"/>
    <s v=""/>
    <s v=""/>
    <s v="50%;Solicita demo"/>
    <s v="Pipeline de Vendas"/>
    <s v="Em negociação (75%)"/>
    <s v=""/>
    <d v="2026-02-28T00:00:00"/>
    <n v="701343"/>
    <n v="17345"/>
    <n v="32"/>
    <s v="Paulo Souza"/>
    <d v="2026-01-26T00:00:00"/>
    <d v="1899-12-30T17:09:40"/>
    <s v=""/>
    <s v="Perdido"/>
    <d v="2026-02-27T00:00:00"/>
    <d v="1899-12-30T21:20:57"/>
    <s v="Projeto adiado / sem prazo definido"/>
    <s v=""/>
    <s v=""/>
    <x v="177"/>
    <s v="Paulo Souza"/>
    <x v="192"/>
    <s v=""/>
    <d v="2026-02-26T00:00:00"/>
    <n v="50"/>
    <s v="330"/>
    <s v="ERP, PCP, ADICIONAIS"/>
    <s v="R$ 66.000"/>
    <s v="R$ 5.868,80"/>
    <n v="1"/>
  </r>
  <r>
    <x v="1"/>
    <n v="873"/>
    <m/>
    <n v="3179"/>
    <s v="(27/01/2026) Olá Fábio ! Bom dia _x000a_Sou Junior Lopes da Guarani sistemas, Td bem ?_x000a_acrescentei um áudio me apresentando e sugerindo um bate papo hoje as 14 horas _x000a_(29/01/2026) tentativa de contato sem retorno do Fabio !_x000a_Olá Fábio ! Estou tentando contato para falarmos sobre as soluções Guarani ! _x000a_Porém devido a falta de retorno acredito que você está com outras prioridades _x000a_Vou deixar seu contato salvo caso em breve queira conversar _x000a_Um grande abraço"/>
    <s v=""/>
    <x v="411"/>
    <m/>
    <s v=""/>
    <s v="FB dis"/>
    <s v="11992758370"/>
    <s v=""/>
    <s v="fabiojb80@gmail.com"/>
    <s v=""/>
    <s v=""/>
    <s v=""/>
    <s v=""/>
    <s v=""/>
    <s v="Campanha"/>
    <s v=""/>
    <s v=""/>
    <s v="Dentro Perfil;Instagram"/>
    <s v="Pipeline de Vendas"/>
    <s v="Agendamento (0%)"/>
    <s v=""/>
    <m/>
    <m/>
    <m/>
    <n v="102"/>
    <s v="Paulo Souza"/>
    <d v="2026-01-27T00:00:00"/>
    <d v="1899-12-30T08:39:12"/>
    <s v=""/>
    <s v="Perdido"/>
    <d v="2026-05-09T00:00:00"/>
    <d v="1899-12-30T08:13:07"/>
    <s v="Sem qualificação — contato não atende ligações nem responde msg"/>
    <s v=""/>
    <s v=""/>
    <x v="0"/>
    <s v="Junior Lopes"/>
    <x v="0"/>
    <s v=""/>
    <d v="2026-01-29T00:00:00"/>
    <m/>
    <s v=""/>
    <s v=""/>
    <s v=""/>
    <s v=""/>
    <n v="1"/>
  </r>
  <r>
    <x v="2"/>
    <n v="874"/>
    <m/>
    <n v="3180"/>
    <s v=""/>
    <s v=""/>
    <x v="412"/>
    <m/>
    <s v=""/>
    <s v="Scientech Ambiental"/>
    <s v="11999733410"/>
    <s v=""/>
    <s v="luissscaro@hotmail.com"/>
    <s v=""/>
    <s v=""/>
    <s v=""/>
    <s v=""/>
    <s v=""/>
    <s v="Campanha"/>
    <s v=""/>
    <s v=""/>
    <s v="Fora Perfil;Instagram"/>
    <s v="Pipeline de Vendas"/>
    <s v="Agendamento (0%)"/>
    <s v=""/>
    <d v="2026-01-31T00:00:00"/>
    <m/>
    <m/>
    <n v="2"/>
    <s v="Paulo Souza"/>
    <d v="2026-01-27T00:00:00"/>
    <d v="1899-12-30T08:40:17"/>
    <s v=""/>
    <s v="Perdido"/>
    <d v="2026-01-29T00:00:00"/>
    <d v="1899-12-30T15:59:33"/>
    <s v="Fora do porte mínimo (sem fit estrutural)"/>
    <s v=""/>
    <s v=""/>
    <x v="0"/>
    <s v="Rayssa Karapeticov"/>
    <x v="0"/>
    <s v=""/>
    <m/>
    <m/>
    <s v=""/>
    <s v=""/>
    <s v=""/>
    <s v=""/>
    <n v="1"/>
  </r>
  <r>
    <x v="1"/>
    <n v="876"/>
    <m/>
    <n v="3182"/>
    <s v=""/>
    <s v="Orbhes Espumas E Colchoes Ltda"/>
    <x v="413"/>
    <n v="5937946000100"/>
    <s v=""/>
    <s v="Orbhes Espumas E Colchoes Ltda"/>
    <s v="(47) 3376-8400"/>
    <s v=""/>
    <s v="orbhes@orbhes.com.br"/>
    <s v=""/>
    <s v=""/>
    <s v=""/>
    <s v="JARAGUA DO SUL"/>
    <s v="SC"/>
    <s v="Base de empresas Leads2b"/>
    <s v=""/>
    <s v=""/>
    <s v="80%"/>
    <s v="Pipeline de Vendas"/>
    <s v="Em Fechamento (100%)"/>
    <s v=""/>
    <d v="2026-02-28T00:00:00"/>
    <n v="16960"/>
    <n v="32775"/>
    <n v="16"/>
    <s v="Junior Lopes"/>
    <d v="2026-01-28T00:00:00"/>
    <d v="1899-12-30T09:06:40"/>
    <s v=""/>
    <s v="Ganho"/>
    <d v="2026-02-13T00:00:00"/>
    <d v="1899-12-30T12:16:48"/>
    <s v=""/>
    <s v=""/>
    <s v=""/>
    <x v="178"/>
    <s v="Junior Lopes"/>
    <x v="193"/>
    <s v=""/>
    <m/>
    <n v="80"/>
    <s v=""/>
    <s v=""/>
    <s v=""/>
    <s v=""/>
    <n v="1"/>
  </r>
  <r>
    <x v="0"/>
    <n v="877"/>
    <m/>
    <n v="3187"/>
    <s v="28/01 Apresentar o sistema B2B para Clevis o responsável de TI e Alessandro gerente de loja. _x000a_05/02/2026 Fiz apresentação do produto e da proposta, agora negociado._x000a_26/02 Fiz FUP com o CLEVIS, hoje cobrando a reunião para negociar!_x000a_10/03 Fiz reunião ontem com o Clevis e expliquei que o que e possível em relação a isenção da mensalidade é : 4 meses da assinatura ou qdo sistema em produção._x000a_12/03 Negociando o fechamento reunião técnica para o dia 17/03 as 15h._x000a_12/03 Fiz FUP hoje com o Clevis para firmar uma agenda de uma conversa técnica para terça feira dia 17/03 as 15h. Será feito nessa reunião um alinhamento de integração do nosso B2B com o JJsistema  . _x000a_A proposta ficou em 13k e a mensalidade iniciar com com 4 meses da assinatura do contrato ou sistema em produção._x000a_20/03 Esta na fase de coleta de documentação para assinar o contrato."/>
    <s v=""/>
    <x v="414"/>
    <m/>
    <s v=""/>
    <s v="Clevis"/>
    <s v="47992119052"/>
    <s v=""/>
    <s v="null"/>
    <s v=""/>
    <s v=""/>
    <s v=""/>
    <s v=""/>
    <s v=""/>
    <s v="BaseGua"/>
    <s v=""/>
    <s v=""/>
    <s v="90%"/>
    <s v="Pipeline de Vendas"/>
    <s v="Em Fechamento (100%)"/>
    <s v=""/>
    <d v="2026-03-31T00:00:00"/>
    <n v="12000"/>
    <n v="1700"/>
    <n v="110"/>
    <s v="Paulo Souza"/>
    <d v="2026-01-28T00:00:00"/>
    <d v="1899-12-30T15:54:53"/>
    <s v=""/>
    <s v="Perdido"/>
    <d v="2026-05-18T00:00:00"/>
    <d v="1899-12-30T17:08:31"/>
    <s v="Não houve aprovação financeira"/>
    <s v=""/>
    <s v=""/>
    <x v="118"/>
    <s v="Paulo Souza"/>
    <x v="194"/>
    <s v=""/>
    <d v="2026-03-20T00:00:00"/>
    <n v="80"/>
    <s v="24"/>
    <s v="B2B"/>
    <s v="R$ 0,00"/>
    <s v="R$ 0,00"/>
    <n v="1"/>
  </r>
  <r>
    <x v="1"/>
    <n v="879"/>
    <m/>
    <n v="3192"/>
    <s v="(29/01/2026) feito ligação para Marcelo para explicar valores da proposta comercial"/>
    <s v="Portal Importacao E Exportacao De Equipamentos De Informatica Ltda"/>
    <x v="415"/>
    <n v="42371959000183"/>
    <s v=""/>
    <s v="Portal Importacao E Exportacao De Equipamentos De Informatica Ltda"/>
    <s v="(11) 8444-8642"/>
    <s v=""/>
    <s v="portal@gmail.com"/>
    <s v=""/>
    <s v=""/>
    <s v=""/>
    <s v="GUARULHOS"/>
    <s v="SP"/>
    <s v="Base de empresas Leads2b"/>
    <s v=""/>
    <s v=""/>
    <s v="30%"/>
    <s v="Pipeline de Vendas"/>
    <s v="Apresentar Proposta (50%)"/>
    <s v=""/>
    <d v="2026-02-28T00:00:00"/>
    <n v="79958"/>
    <n v="45432"/>
    <n v="25"/>
    <s v="Junior Lopes"/>
    <d v="2026-01-29T00:00:00"/>
    <d v="1899-12-30T09:56:25"/>
    <s v=""/>
    <s v="Perdido"/>
    <d v="2026-02-23T00:00:00"/>
    <d v="1899-12-30T15:07:05"/>
    <s v="Não houve aprovação financeira"/>
    <s v="cliente declinou após recebimento da proposta comercial"/>
    <s v=""/>
    <x v="175"/>
    <s v="Junior Lopes"/>
    <x v="189"/>
    <s v=""/>
    <m/>
    <n v="30"/>
    <s v=""/>
    <s v=""/>
    <s v=""/>
    <s v=""/>
    <n v="1"/>
  </r>
  <r>
    <x v="1"/>
    <n v="882"/>
    <m/>
    <n v="3199"/>
    <s v="em contato na feira Abcasa , vai seguir com AFV"/>
    <s v=""/>
    <x v="416"/>
    <m/>
    <s v=""/>
    <s v="Plasberg - ERP"/>
    <s v="75981412000"/>
    <s v=""/>
    <s v="null"/>
    <s v=""/>
    <s v=""/>
    <s v=""/>
    <s v=""/>
    <s v=""/>
    <s v=""/>
    <s v=""/>
    <s v=""/>
    <s v="50%"/>
    <s v="Pipeline de Vendas"/>
    <s v="Em negociação (75%)"/>
    <s v=""/>
    <d v="2026-02-28T00:00:00"/>
    <n v="90000"/>
    <n v="921279"/>
    <n v="15"/>
    <s v="Junior Lopes"/>
    <d v="2026-01-29T00:00:00"/>
    <d v="1899-12-30T16:10:26"/>
    <s v=""/>
    <s v="Perdido"/>
    <d v="2026-02-13T00:00:00"/>
    <d v="1899-12-30T12:24:12"/>
    <s v="Não quer mudar a solução atual"/>
    <s v="em contato na feira Abcasa , vai seguir com AFV"/>
    <s v=""/>
    <x v="179"/>
    <s v="Junior Lopes"/>
    <x v="175"/>
    <s v=""/>
    <d v="2026-02-13T00:00:00"/>
    <n v="50"/>
    <s v=""/>
    <s v=""/>
    <s v=""/>
    <s v=""/>
    <n v="1"/>
  </r>
  <r>
    <x v="1"/>
    <n v="883"/>
    <m/>
    <n v="3200"/>
    <s v="em contato na feira Abcasa , vai seguir com AFV"/>
    <s v=""/>
    <x v="113"/>
    <m/>
    <s v=""/>
    <s v="Plasberg - AFV"/>
    <s v="75981412000"/>
    <s v=""/>
    <s v="null"/>
    <s v=""/>
    <s v=""/>
    <s v=""/>
    <s v=""/>
    <s v=""/>
    <s v=""/>
    <s v=""/>
    <s v=""/>
    <s v="50%"/>
    <s v="Pipeline de Vendas"/>
    <s v="Em negociação (75%)"/>
    <s v=""/>
    <d v="2026-02-28T00:00:00"/>
    <n v="1600"/>
    <n v="599515"/>
    <n v="15"/>
    <s v="Junior Lopes"/>
    <d v="2026-01-29T00:00:00"/>
    <d v="1899-12-30T16:20:50"/>
    <s v=""/>
    <s v="Perdido"/>
    <d v="2026-02-13T00:00:00"/>
    <d v="1899-12-30T12:25:47"/>
    <s v="Não quer mudar a solução atual"/>
    <s v="em contato na feira Abcasa , vai seguir com AFV"/>
    <s v=""/>
    <x v="179"/>
    <s v="Junior Lopes"/>
    <x v="175"/>
    <s v=""/>
    <d v="2026-02-13T00:00:00"/>
    <n v="50"/>
    <s v=""/>
    <s v=""/>
    <s v=""/>
    <s v=""/>
    <n v="1"/>
  </r>
  <r>
    <x v="1"/>
    <n v="884"/>
    <m/>
    <n v="3202"/>
    <s v="10:21, 09/03/2026 Junior Lopes: Olá Breno ! Como vai ?_x000a_11:06, 09/03/2026 Breno Plasberg: Bom dia_x000a_11:07, 09/03/2026 Junior Lopes: tudo bem meu amigo ! sobre a sequencia do projeto, alguma novidade ?"/>
    <s v=""/>
    <x v="417"/>
    <m/>
    <s v=""/>
    <s v="Plasberg - AFV"/>
    <s v="75981412000"/>
    <s v=""/>
    <s v="null"/>
    <s v=""/>
    <s v=""/>
    <s v=""/>
    <s v=""/>
    <s v=""/>
    <s v=""/>
    <s v=""/>
    <s v=""/>
    <s v="50%"/>
    <s v="Pipeline de Vendas"/>
    <s v="Em Fechamento (100%)"/>
    <s v=""/>
    <d v="2026-03-31T00:00:00"/>
    <n v="149248"/>
    <n v="29499"/>
    <n v="62"/>
    <s v="Junior Lopes"/>
    <d v="2026-01-29T00:00:00"/>
    <d v="1899-12-30T16:37:42"/>
    <s v=""/>
    <s v="Ganho"/>
    <d v="2026-04-01T00:00:00"/>
    <d v="1899-12-30T15:31:20"/>
    <s v=""/>
    <s v=""/>
    <s v=""/>
    <x v="175"/>
    <s v="Junior Lopes"/>
    <x v="175"/>
    <s v="11/02/2026"/>
    <d v="2026-02-09T00:00:00"/>
    <n v="50"/>
    <s v=""/>
    <s v=""/>
    <s v=""/>
    <s v=""/>
    <n v="1"/>
  </r>
  <r>
    <x v="1"/>
    <n v="885"/>
    <m/>
    <n v="3205"/>
    <s v="(29/01/2026) em contato com Artur, esta em analise interna"/>
    <s v=""/>
    <x v="418"/>
    <n v="4312818000109"/>
    <s v=""/>
    <s v="Pino lar"/>
    <s v=""/>
    <s v=""/>
    <s v=""/>
    <s v=""/>
    <s v=""/>
    <s v=""/>
    <s v="SAO PAULO"/>
    <s v="SP"/>
    <s v=""/>
    <s v=""/>
    <s v=""/>
    <s v="30%"/>
    <s v="Pipeline de Vendas"/>
    <s v="Em negociação (75%)"/>
    <s v=""/>
    <d v="2026-02-28T00:00:00"/>
    <n v="1600"/>
    <n v="384454"/>
    <n v="20"/>
    <s v="Junior Lopes"/>
    <d v="2026-01-30T00:00:00"/>
    <d v="1899-12-30T14:50:39"/>
    <s v=""/>
    <s v="Perdido"/>
    <d v="2026-02-19T00:00:00"/>
    <d v="1899-12-30T16:32:59"/>
    <s v="Não quer mudar a solução atual"/>
    <s v="11:13, 13/02/2026 Artur Pino Pino Lar: Bom dia_x000a_11:13, 13/02/2026 Artur Pino Pino Lar: Tudo bem ?_x000a_11:13, 13/02/2026 Artur Pino Pino Lar: Optei em fechar com a Penso_x000a_11:13, 13/02/2026 Artur Pino Pino Lar: Nossa empresa de TI_x000a_11:14, 13/02/2026 Artur Pino Pino Lar: O valor , pelo pacote que temos ficou muito atrativo_x000a_11:14, 13/02/2026 Artur Pino Pino Lar: Próxima semana já vamos iniciar a carga de dados_x000a_11:14, 13/02/2026 Artur Pino Pino Lar: Mas …… obrigado !_x000a_11:16, 13/02/2026 Junior Lopes: Olá Artur , perfeito!  Vou comunicar o Fernando por aqui"/>
    <s v=""/>
    <x v="172"/>
    <s v="Junior Lopes"/>
    <x v="0"/>
    <s v=""/>
    <d v="2026-02-19T00:00:00"/>
    <n v="30"/>
    <s v=""/>
    <s v=""/>
    <s v=""/>
    <s v=""/>
    <n v="1"/>
  </r>
  <r>
    <x v="1"/>
    <n v="886"/>
    <m/>
    <n v="3207"/>
    <s v="Perfeito Cláudio ! Abraço_x000a_Olá Cláudio! Como vai ?_x000a_Olá Cláudio Td bem ? _x000a_Como não recebi seu retorno nos últimos dias, entendo que talvez não seja o melhor momento para seguirmos com projeto Guarani _x000a_Para nao lotar seu WhatsApp de mensagens estou encerrando o contato! _x000a_Caso suas prioridades mudem sigo a disposição _x000a_Abraço"/>
    <s v=""/>
    <x v="419"/>
    <m/>
    <s v=""/>
    <s v="Claudio Teixeira"/>
    <s v="43996693593"/>
    <s v=""/>
    <s v="claudioteixeirasap@hotmail.com"/>
    <s v=""/>
    <s v=""/>
    <s v=""/>
    <s v=""/>
    <s v=""/>
    <s v=""/>
    <s v=""/>
    <s v=""/>
    <s v="Dentro Perfil;Instagram"/>
    <s v="Pipeline de Vendas"/>
    <s v="Apresentar Proposta (50%)"/>
    <s v=""/>
    <m/>
    <n v="1600"/>
    <n v="252471"/>
    <n v="38"/>
    <s v="Junior Lopes"/>
    <d v="2026-01-30T00:00:00"/>
    <d v="1899-12-30T15:24:23"/>
    <s v=""/>
    <s v="Perdido"/>
    <d v="2026-03-09T00:00:00"/>
    <d v="1899-12-30T11:03:54"/>
    <s v="Projeto adiado / sem prazo definido"/>
    <s v="Perfeito Cláudio ! Abraço_x000a_Olá Cláudio! Como vai ?_x000a_Olá Cláudio Td bem ? _x000a_Como não recebi seu retorno nos últimos dias, entendo que talvez não seja o melhor momento para seguirmos com projeto Guarani _x000a_Para nao lotar seu WhatsApp de mensagens estou encerrando o contato! _x000a_Caso suas prioridades mudem sigo a disposição _x000a_Abraço"/>
    <s v=""/>
    <x v="172"/>
    <s v=""/>
    <x v="0"/>
    <s v=""/>
    <d v="2026-02-09T00:00:00"/>
    <m/>
    <s v=""/>
    <s v=""/>
    <s v=""/>
    <s v=""/>
    <n v="1"/>
  </r>
  <r>
    <x v="1"/>
    <n v="887"/>
    <m/>
    <n v="3208"/>
    <s v=""/>
    <s v=""/>
    <x v="420"/>
    <m/>
    <s v=""/>
    <s v="Mauricio Jorge Lima - Cloud"/>
    <s v="9384064995"/>
    <s v=""/>
    <s v="mauriciojlatm@gmail.com"/>
    <s v=""/>
    <s v=""/>
    <s v=""/>
    <s v=""/>
    <s v=""/>
    <s v=""/>
    <s v=""/>
    <s v=""/>
    <s v="Dentro Perfil"/>
    <s v="Pipeline de Vendas"/>
    <s v="Apresentar Solução (35%)"/>
    <s v=""/>
    <m/>
    <n v="1600"/>
    <n v="254271"/>
    <n v="6"/>
    <s v="Junior Lopes"/>
    <d v="2026-01-30T00:00:00"/>
    <d v="1899-12-30T15:57:59"/>
    <s v=""/>
    <s v="Perdido"/>
    <d v="2026-02-05T00:00:00"/>
    <d v="1899-12-30T14:13:46"/>
    <s v="Preço muito alto - fora do budget de investimento"/>
    <s v=": Preço muito alto"/>
    <s v=""/>
    <x v="172"/>
    <s v=""/>
    <x v="183"/>
    <s v=""/>
    <d v="2026-01-26T00:00:00"/>
    <m/>
    <s v=""/>
    <s v=""/>
    <s v=""/>
    <s v=""/>
    <n v="1"/>
  </r>
  <r>
    <x v="1"/>
    <n v="888"/>
    <m/>
    <n v="3209"/>
    <s v=""/>
    <s v=""/>
    <x v="421"/>
    <m/>
    <s v=""/>
    <s v="Folha dourada tabacos - Cloud"/>
    <s v="3284083586"/>
    <s v=""/>
    <s v="atacabaco@gmail.com"/>
    <s v=""/>
    <s v=""/>
    <s v=""/>
    <s v=""/>
    <s v=""/>
    <s v=""/>
    <s v=""/>
    <s v=""/>
    <s v="Dentro Perfil;Instagram"/>
    <s v="Pipeline de Vendas"/>
    <s v="Apresentar Solução (35%)"/>
    <s v=""/>
    <m/>
    <n v="1600"/>
    <n v="252471"/>
    <n v="6"/>
    <s v="Junior Lopes"/>
    <d v="2026-01-30T00:00:00"/>
    <d v="1899-12-30T16:09:17"/>
    <s v=""/>
    <s v="Perdido"/>
    <d v="2026-02-05T00:00:00"/>
    <d v="1899-12-30T12:21:51"/>
    <s v="Não houve aprovação financeira"/>
    <s v="valor acima da expectativa"/>
    <s v=""/>
    <x v="166"/>
    <s v=""/>
    <x v="176"/>
    <s v=""/>
    <d v="2026-01-29T00:00:00"/>
    <m/>
    <s v=""/>
    <s v=""/>
    <s v=""/>
    <s v=""/>
    <n v="1"/>
  </r>
  <r>
    <x v="1"/>
    <n v="889"/>
    <m/>
    <n v="3210"/>
    <s v="(19/02/2026) Thales achou valor acima para o momento"/>
    <s v=""/>
    <x v="422"/>
    <m/>
    <s v=""/>
    <s v="Minas Mix - Cloud"/>
    <s v="3194143043"/>
    <s v=""/>
    <s v="thales_david@hotmail.com"/>
    <s v=""/>
    <s v=""/>
    <s v=""/>
    <s v=""/>
    <s v=""/>
    <s v=""/>
    <s v=""/>
    <s v=""/>
    <s v="30%;Dentro Perfil;Instagram"/>
    <s v="Pipeline de Vendas"/>
    <s v="Apresentar Proposta (50%)"/>
    <s v=""/>
    <m/>
    <n v="1600"/>
    <n v="252471"/>
    <n v="20"/>
    <s v="Junior Lopes"/>
    <d v="2026-01-30T00:00:00"/>
    <d v="1899-12-30T16:40:37"/>
    <s v=""/>
    <s v="Perdido"/>
    <d v="2026-02-19T00:00:00"/>
    <d v="1899-12-30T16:37:47"/>
    <s v="Não houve aprovação financeira"/>
    <s v="(19/02/2026) Thales achou valor acima para o momento"/>
    <s v=""/>
    <x v="175"/>
    <s v="Junior Lopes"/>
    <x v="191"/>
    <s v=""/>
    <d v="2026-02-19T00:00:00"/>
    <n v="30"/>
    <s v=""/>
    <s v=""/>
    <s v=""/>
    <s v=""/>
    <n v="1"/>
  </r>
  <r>
    <x v="1"/>
    <n v="890"/>
    <m/>
    <n v="3190"/>
    <s v="16:53, 30/01/2026 Junior Lopes: ani sistemas, Td bem ?_x000a_17:35, 30/01/2026 Leonardo Form: Boa tarde tudo e vc ?_x000a_16:53, 02/02/2026 Junior Lopes: Olá Leonardo, boa tarde  ! tem interesse em conhecer nossas soluções ?"/>
    <s v=""/>
    <x v="423"/>
    <n v="747901000222"/>
    <s v=""/>
    <s v="Tenneco"/>
    <s v="19995356201"/>
    <s v=""/>
    <s v="ltavares@tenneco.com"/>
    <s v=""/>
    <s v=""/>
    <s v=""/>
    <s v=""/>
    <s v=""/>
    <s v="Campanha"/>
    <s v=""/>
    <s v=""/>
    <s v="30%;Dentro Perfil;Instagram"/>
    <s v="Pipeline de Vendas"/>
    <s v="Apresentar Solução (35%)"/>
    <s v=""/>
    <d v="2026-02-28T00:00:00"/>
    <m/>
    <m/>
    <n v="99"/>
    <s v="Paulo Souza"/>
    <d v="2026-01-30T00:00:00"/>
    <d v="1899-12-30T16:49:56"/>
    <s v=""/>
    <s v="Perdido"/>
    <d v="2026-05-09T00:00:00"/>
    <d v="1899-12-30T08:34:33"/>
    <s v="Sem qualificação — contato não atende ligações nem responde msg"/>
    <s v=""/>
    <s v=""/>
    <x v="0"/>
    <s v="Junior Lopes"/>
    <x v="0"/>
    <s v=""/>
    <d v="2026-03-09T00:00:00"/>
    <n v="30"/>
    <s v=""/>
    <s v=""/>
    <s v=""/>
    <s v=""/>
    <n v="1"/>
  </r>
  <r>
    <x v="2"/>
    <n v="891"/>
    <m/>
    <n v="3191"/>
    <s v="18.02 - Tentativa de contato realizado por telefone e-mail"/>
    <s v=""/>
    <x v="424"/>
    <m/>
    <s v=""/>
    <s v="Certo"/>
    <s v="3335294949"/>
    <s v=""/>
    <s v="ti@grupocerto.com.br"/>
    <s v=""/>
    <s v=""/>
    <s v=""/>
    <s v=""/>
    <s v=""/>
    <s v="Campanha"/>
    <s v=""/>
    <s v=""/>
    <s v="30%;Dentro Perfil;Instagram"/>
    <s v="Pipeline de Vendas"/>
    <s v="Apresentar Proposta (50%)"/>
    <s v=""/>
    <d v="2026-02-28T00:00:00"/>
    <m/>
    <m/>
    <n v="26"/>
    <s v="Paulo Souza"/>
    <d v="2026-01-30T00:00:00"/>
    <d v="1899-12-30T16:51:49"/>
    <s v=""/>
    <s v="Perdido"/>
    <d v="2026-02-25T00:00:00"/>
    <d v="1899-12-30T10:30:05"/>
    <s v="Cliente não quer contato LGPD"/>
    <s v=""/>
    <s v=""/>
    <x v="0"/>
    <s v="Rayssa Karapeticov"/>
    <x v="0"/>
    <s v=""/>
    <d v="2026-02-18T00:00:00"/>
    <n v="30"/>
    <s v=""/>
    <s v=""/>
    <s v=""/>
    <s v=""/>
    <n v="1"/>
  </r>
  <r>
    <x v="1"/>
    <n v="892"/>
    <m/>
    <n v="3196"/>
    <s v="(30/01/2026) Sou Junior Lopes da Guarani sistemas_x000a_16:56, 30/01/2026 Junior Lopes: Td bem ?_x000a_17:01, 30/01/2026 Orlando: Tudo_x000a_17:08, 30/01/2026 Orlando: Descreve alguma coisa do seu sistema_x000a_17:29, 30/01/2026 Orlando: Qual o valor mensal?_x000a_Este valor mensal posso incluir quantas empresas?_x000a_16:49, 02/02/2026 Junior Lopes: Olá Orlando , tem interesse em dar continuidade no contato ?_x000a_Hj um investimento em um ERP Guarani controlando sua empresa de ponta a ponta desde a produção passando pelos módulos financeiro a pagar e receber, comercial, compras, Fiscal, logística/expedicao (WMS) e Força de vendas ! Fica dentro de uma expectativa entre (60 mil a 90 mil) de investimento em implantação e treinamentos !_x000a_A mensalidade é por usuário sendo R$ 280,00 do ERP e R$ 115,00 do AFV_x000a_Caso queira um orçamento mais preciso, podemos nos reunir para entender melhor suas necessidades_x000a_O que seria AFV?  (enviei =áudio explicando)_x000a_(11/02/2026) retornei contato com Orlando buscando continuidade no atendimento _x000a_10:07, 19/02/2026 Orlando: Falamos mais tarde_x000a_10:08, 19/02/2026 Orlando: Estou viajando, melhor poderia me chamar na segunda feira?_x000a_10:17, 19/02/2026 Junior Lopes: Estou viajando, melhor poderia me chamar na segunda feira?_x000a_Sim ! Te chamo segunda-feira_x000a_(16/03/2026) em contato com Orlando ! acredito que não esta no momento certo ! Orlando um pouco confuso"/>
    <s v=""/>
    <x v="425"/>
    <n v="54888350000165"/>
    <s v=""/>
    <s v="Plastilando Ind e Com"/>
    <s v="21999778181"/>
    <s v=""/>
    <s v="orlando@plastianna.com.br"/>
    <s v=""/>
    <s v=""/>
    <s v=""/>
    <s v=""/>
    <s v=""/>
    <s v="Campanha"/>
    <s v=""/>
    <s v=""/>
    <s v="30%;Dentro Perfil;Instagram"/>
    <s v="Pipeline de Vendas"/>
    <s v="Em negociação (75%)"/>
    <s v=""/>
    <d v="2026-03-31T00:00:00"/>
    <n v="1148572"/>
    <n v="71924"/>
    <n v="99"/>
    <s v="Paulo Souza"/>
    <d v="2026-01-30T00:00:00"/>
    <d v="1899-12-30T16:53:38"/>
    <s v=""/>
    <s v="Perdido"/>
    <d v="2026-05-09T00:00:00"/>
    <d v="1899-12-30T08:30:36"/>
    <s v="Não houve aprovação financeira"/>
    <s v=""/>
    <s v=""/>
    <x v="180"/>
    <s v="Junior Lopes"/>
    <x v="195"/>
    <s v=""/>
    <d v="2026-03-16T00:00:00"/>
    <n v="30"/>
    <s v=""/>
    <s v=""/>
    <s v=""/>
    <s v=""/>
    <n v="1"/>
  </r>
  <r>
    <x v="0"/>
    <n v="893"/>
    <m/>
    <n v="3203"/>
    <s v="17/02 Feito apresentação institucional e vídeos do ERP . _x000a_10/03 Fiz FUP com o Henrique e ele recebeu a proposta e esta sobre analise. Temos um reunião de apresentação de WMS na sexta-feira proxima para ele conhecer este módulo e seguirmos._x000a_20/03 Aguardando o Henrique se reunir com o time de ERP atual para decidir se vai trocar ou não o sistema."/>
    <s v=""/>
    <x v="426"/>
    <n v="10258712000169"/>
    <s v=""/>
    <s v="HENRIQUE CARVALHO SANTOS"/>
    <s v="(31) 99987-1034"/>
    <s v=""/>
    <s v="henrique@armandonacionais.com.br"/>
    <s v=""/>
    <s v=""/>
    <s v=""/>
    <s v="São Paulo"/>
    <s v=""/>
    <s v="Site"/>
    <s v=""/>
    <s v=""/>
    <s v="90%;Dentro Perfil;Solicita demo"/>
    <s v="Pipeline de Vendas"/>
    <s v="Em Fechamento (100%)"/>
    <s v=""/>
    <d v="2026-03-31T00:00:00"/>
    <n v="1301786"/>
    <n v="2713706"/>
    <n v="70"/>
    <s v="Paulo Souza"/>
    <d v="2026-01-30T00:00:00"/>
    <d v="1899-12-30T17:03:26"/>
    <s v=""/>
    <s v="Perdido"/>
    <d v="2026-04-10T00:00:00"/>
    <d v="1899-12-30T15:57:04"/>
    <s v="Não quer mudar a solução atual"/>
    <s v=""/>
    <s v=""/>
    <x v="168"/>
    <s v="Paulo Souza"/>
    <x v="182"/>
    <s v=""/>
    <d v="2026-03-20T00:00:00"/>
    <n v="30"/>
    <s v=""/>
    <s v="ERP, AFV, PDV, TREINAMENTO"/>
    <s v=""/>
    <s v=""/>
    <n v="1"/>
  </r>
  <r>
    <x v="0"/>
    <n v="894"/>
    <m/>
    <n v="3204"/>
    <s v="26/02 Foi feito FUP com o Wilson e ele optou pela concorrência devido a valor."/>
    <s v=""/>
    <x v="427"/>
    <m/>
    <s v=""/>
    <s v="Mobal"/>
    <s v="13997072312"/>
    <s v=""/>
    <s v="alumiglass.peruibe@gmail.com"/>
    <s v=""/>
    <s v=""/>
    <s v=""/>
    <s v=""/>
    <s v=""/>
    <s v="Campanha"/>
    <s v=""/>
    <s v=""/>
    <s v="30%;Dentro Perfil;Instagram"/>
    <s v="Pipeline de Vendas"/>
    <s v="Agendamento (0%)"/>
    <s v=""/>
    <d v="2026-02-28T00:00:00"/>
    <m/>
    <m/>
    <n v="27"/>
    <s v="Paulo Souza"/>
    <d v="2026-01-30T00:00:00"/>
    <d v="1899-12-30T17:06:43"/>
    <s v=""/>
    <s v="Perdido"/>
    <d v="2026-02-26T00:00:00"/>
    <d v="1899-12-30T18:31:38"/>
    <s v="Fechou com o concorrente - preço"/>
    <s v="26/02 Foi feito FUP com o Wilson e ele optou pela concorrência devido a valor."/>
    <s v=""/>
    <x v="0"/>
    <s v="Paulo Souza"/>
    <x v="0"/>
    <s v=""/>
    <d v="2026-02-26T00:00:00"/>
    <n v="30"/>
    <s v=""/>
    <s v="ERP"/>
    <s v=""/>
    <s v=""/>
    <n v="1"/>
  </r>
  <r>
    <x v="2"/>
    <n v="895"/>
    <m/>
    <n v="3201"/>
    <s v="07.04 cliente ainda imaturo para os processos"/>
    <s v="Fabiano Aparecido Vaine"/>
    <x v="428"/>
    <n v="28229707000193"/>
    <s v=""/>
    <s v="Fabiano Aparecido Vaine"/>
    <s v="(16) 9701-3510"/>
    <s v=""/>
    <s v="fabianovaine@terra.com.br"/>
    <s v=""/>
    <s v=""/>
    <s v=""/>
    <s v="SAO CARLOS"/>
    <s v="SP"/>
    <s v="Base de empresas Leads2b"/>
    <s v=""/>
    <s v=""/>
    <s v="30%;Dentro Perfil"/>
    <s v="Pipeline de Vendas"/>
    <s v="Apresentar Solução (35%)"/>
    <s v=""/>
    <d v="2026-04-30T00:00:00"/>
    <m/>
    <m/>
    <n v="64"/>
    <s v="Rayssa Karapeticov"/>
    <d v="2026-02-02T00:00:00"/>
    <d v="1899-12-30T09:47:17"/>
    <s v=""/>
    <s v="Perdido"/>
    <d v="2026-04-07T00:00:00"/>
    <d v="1899-12-30T10:56:50"/>
    <s v="Não quer mudar a solução atual"/>
    <s v=""/>
    <s v=""/>
    <x v="0"/>
    <s v="Rayssa Karapeticov"/>
    <x v="196"/>
    <s v=""/>
    <d v="2026-02-17T00:00:00"/>
    <n v="30"/>
    <s v=""/>
    <s v="ERP, AFV, PCP, WMS"/>
    <s v=""/>
    <s v=""/>
    <n v="1"/>
  </r>
  <r>
    <x v="2"/>
    <n v="901"/>
    <m/>
    <n v="3218"/>
    <s v="05/02 - Possui uma loja de peças de moto, onde presta serviço de conserto também. _x000a_Fora do perfil"/>
    <s v=""/>
    <x v="429"/>
    <m/>
    <s v=""/>
    <s v="RG moto peças"/>
    <s v="87988082642"/>
    <s v=""/>
    <s v="regisandes10@outlook.com"/>
    <s v=""/>
    <s v=""/>
    <s v=""/>
    <s v=""/>
    <s v=""/>
    <s v="Campanha"/>
    <s v=""/>
    <s v=""/>
    <s v="30%;Fora Perfil;Instagram"/>
    <s v="Pipeline de Vendas"/>
    <s v="Qualificação de Vendas (SQL) (25%)"/>
    <s v=""/>
    <d v="2026-02-28T00:00:00"/>
    <m/>
    <m/>
    <n v="2"/>
    <s v="Paulo Souza"/>
    <d v="2026-02-05T00:00:00"/>
    <d v="1899-12-30T08:33:37"/>
    <s v=""/>
    <s v="Perdido"/>
    <d v="2026-02-07T00:00:00"/>
    <d v="1899-12-30T21:31:00"/>
    <s v="Fora do porte mínimo (sem fit estrutural)"/>
    <s v=""/>
    <s v=""/>
    <x v="0"/>
    <s v="Rayssa Karapeticov"/>
    <x v="0"/>
    <s v=""/>
    <m/>
    <n v="30"/>
    <s v=""/>
    <s v=""/>
    <s v=""/>
    <s v=""/>
    <n v="1"/>
  </r>
  <r>
    <x v="1"/>
    <n v="902"/>
    <m/>
    <n v="3211"/>
    <s v=""/>
    <s v=""/>
    <x v="430"/>
    <n v="7324070000144"/>
    <s v=""/>
    <s v="SOLIMP"/>
    <s v="8391128022"/>
    <s v=""/>
    <s v="oliveiraeulalio@yahoo.com.br"/>
    <s v=""/>
    <s v=""/>
    <s v=""/>
    <s v="CAMPINA GRANDE"/>
    <s v="PB"/>
    <s v="Campanha"/>
    <s v=""/>
    <s v=""/>
    <s v="30%;Dentro Perfil;Instagram"/>
    <s v="Pipeline de Vendas"/>
    <s v="Qualificação de Vendas (SQL) (25%)"/>
    <s v=""/>
    <d v="2026-02-28T00:00:00"/>
    <m/>
    <m/>
    <n v="93"/>
    <s v="Paulo Souza"/>
    <d v="2026-02-05T00:00:00"/>
    <d v="1899-12-30T08:35:26"/>
    <s v=""/>
    <s v="Perdido"/>
    <d v="2026-05-09T00:00:00"/>
    <d v="1899-12-30T07:45:34"/>
    <s v="Sem qualificação — contato não atende ligações nem responde msg"/>
    <s v=""/>
    <s v=""/>
    <x v="0"/>
    <s v="Junior Lopes"/>
    <x v="0"/>
    <s v=""/>
    <d v="2026-02-19T00:00:00"/>
    <n v="30"/>
    <s v=""/>
    <s v=""/>
    <s v=""/>
    <s v=""/>
    <n v="1"/>
  </r>
  <r>
    <x v="0"/>
    <n v="903"/>
    <m/>
    <n v="3217"/>
    <s v="17/02 Após vários FUPs não obtive retorno do cliente sobre a sequência do projeto. Encerrei por falta de interesse."/>
    <s v=""/>
    <x v="431"/>
    <m/>
    <s v=""/>
    <s v="Monteiro"/>
    <s v="6184085792"/>
    <s v=""/>
    <s v="saff71@hotmail.com"/>
    <s v=""/>
    <s v=""/>
    <s v=""/>
    <s v=""/>
    <s v=""/>
    <s v="Campanha"/>
    <s v=""/>
    <s v=""/>
    <s v="30%;Dentro Perfil;Instagram"/>
    <s v="Pipeline de Vendas"/>
    <s v="Qualificação de Vendas (SQL) (25%)"/>
    <s v=""/>
    <d v="2026-02-28T00:00:00"/>
    <m/>
    <m/>
    <n v="93"/>
    <s v="Paulo Souza"/>
    <d v="2026-02-05T00:00:00"/>
    <d v="1899-12-30T08:40:25"/>
    <s v=""/>
    <s v="Perdido"/>
    <d v="2026-05-09T00:00:00"/>
    <d v="1899-12-30T07:46:56"/>
    <s v="Sem qualificação — contato não atende ligações nem responde msg"/>
    <s v=""/>
    <s v=""/>
    <x v="0"/>
    <s v="Paulo Souza"/>
    <x v="0"/>
    <s v=""/>
    <m/>
    <n v="30"/>
    <s v=""/>
    <s v=""/>
    <s v=""/>
    <s v=""/>
    <n v="1"/>
  </r>
  <r>
    <x v="0"/>
    <n v="906"/>
    <m/>
    <n v="3226"/>
    <s v="03/03 Após diversas tentativa de FUP não tive retorno e por falta de interação estou declinando o lead."/>
    <s v=""/>
    <x v="432"/>
    <m/>
    <s v=""/>
    <s v="2VO"/>
    <s v="11985858558"/>
    <s v=""/>
    <s v="wasques@uol.com.br"/>
    <s v=""/>
    <s v=""/>
    <s v=""/>
    <s v=""/>
    <s v=""/>
    <s v="Campanha"/>
    <s v=""/>
    <s v=""/>
    <s v="30%;Dentro Perfil;Instagram"/>
    <s v="Pipeline de Vendas"/>
    <s v="Apresentar Solução (35%)"/>
    <s v=""/>
    <d v="2026-02-28T00:00:00"/>
    <m/>
    <m/>
    <n v="24"/>
    <s v="Paulo Souza"/>
    <d v="2026-02-07T00:00:00"/>
    <d v="1899-12-30T07:04:06"/>
    <s v=""/>
    <s v="Perdido"/>
    <d v="2026-03-03T00:00:00"/>
    <d v="1899-12-30T21:33:22"/>
    <s v="Fora do porte mínimo (sem fit estrutural)"/>
    <s v=""/>
    <s v=""/>
    <x v="0"/>
    <s v="Paulo Souza"/>
    <x v="0"/>
    <s v=""/>
    <m/>
    <n v="30"/>
    <s v=""/>
    <s v="ERP, AFV"/>
    <s v=""/>
    <s v=""/>
    <n v="1"/>
  </r>
  <r>
    <x v="0"/>
    <n v="907"/>
    <m/>
    <n v="3222"/>
    <s v="13/02 Fiz FUP hoje com a Andressa, mas não atendeu deixei recado."/>
    <s v=""/>
    <x v="433"/>
    <m/>
    <s v=""/>
    <s v="Andresa Aparecida Carvalho"/>
    <s v="(11) 94468-8676"/>
    <s v=""/>
    <s v="andresacarvalho55@gmail.com"/>
    <s v=""/>
    <s v=""/>
    <s v=""/>
    <s v="São Paulo"/>
    <s v=""/>
    <s v="Site"/>
    <s v=""/>
    <s v=""/>
    <s v="30%;Solicita demo"/>
    <s v="Pipeline de Vendas"/>
    <s v="Apresentar Solução (35%)"/>
    <s v=""/>
    <d v="2026-02-28T00:00:00"/>
    <m/>
    <m/>
    <n v="12"/>
    <s v="Paulo Souza"/>
    <d v="2026-02-07T00:00:00"/>
    <d v="1899-12-30T07:13:56"/>
    <s v=""/>
    <s v="Perdido"/>
    <d v="2026-02-19T00:00:00"/>
    <d v="1899-12-30T17:31:05"/>
    <s v="Projeto adiado / sem prazo definido"/>
    <s v="Rayssa, atendendo"/>
    <s v=""/>
    <x v="0"/>
    <s v="Paulo Souza"/>
    <x v="187"/>
    <s v=""/>
    <m/>
    <n v="30"/>
    <s v=""/>
    <s v=""/>
    <s v=""/>
    <s v=""/>
    <n v="1"/>
  </r>
  <r>
    <x v="0"/>
    <n v="908"/>
    <m/>
    <n v="3228"/>
    <s v="06/02 Feito a apresentação da proposta em fase de negociação._x000a_13/02 Foi feito uma visita em São Paulo no Grupo Iracema, onde falamos com os sócios , e o cabeça o Mauricio. A proposta foi reformulada e ajustada e estamos na faze de negociação. Próximo passo, quarta-feira apresentar o WMS."/>
    <s v=""/>
    <x v="434"/>
    <m/>
    <s v=""/>
    <s v="Gerson"/>
    <s v="49988720298"/>
    <s v=""/>
    <s v="null"/>
    <s v=""/>
    <s v=""/>
    <s v=""/>
    <s v=""/>
    <s v=""/>
    <s v="Indicação"/>
    <s v=""/>
    <s v=""/>
    <s v="50%"/>
    <s v="Pipeline de Vendas"/>
    <s v="Em negociação (75%)"/>
    <s v=""/>
    <d v="2026-02-28T00:00:00"/>
    <n v="987029"/>
    <n v="1228454"/>
    <n v="19"/>
    <s v="Paulo Souza"/>
    <d v="2026-02-07T00:00:00"/>
    <d v="1899-12-30T09:59:21"/>
    <s v=""/>
    <s v="Ganho"/>
    <d v="2026-02-26T00:00:00"/>
    <d v="1899-12-30T21:55:21"/>
    <s v=""/>
    <s v=""/>
    <s v=""/>
    <x v="118"/>
    <s v="Paulo Souza"/>
    <x v="126"/>
    <s v=""/>
    <d v="2026-02-26T00:00:00"/>
    <n v="50"/>
    <s v="270"/>
    <s v="ERP, AFV, BI, WMS, COMEX, ADICIONAIS"/>
    <s v="R$ 89.502,90"/>
    <s v="R$ 12.883,50"/>
    <n v="1"/>
  </r>
  <r>
    <x v="0"/>
    <n v="909"/>
    <m/>
    <n v="3229"/>
    <s v="06/02 Feito a apresentação da proposta em fase de negociação._x000a_13/02 Foi feito uma visita em São Paulo no Grupo Iracema, onde falamos com os sócios , e o cabeça o Mauricio. A proposta foi reformulada e ajustada e estamos na faze de negociação. Próximo passo, quarta-feira apresentar o WMS._x000a_13/02 Foi feito uma visita em São Paulo no Grupo Iracema, onde falamos com os sócios , e o cabeça o Mauricio. A proposta foi reformulada e ajustada e estamos na faze de negociação. Próximo passo, quarta-feira apresentar o WMS."/>
    <s v=""/>
    <x v="435"/>
    <m/>
    <s v=""/>
    <s v="Willaim"/>
    <s v="49998015654"/>
    <s v=""/>
    <s v="null"/>
    <s v=""/>
    <s v=""/>
    <s v=""/>
    <s v=""/>
    <s v=""/>
    <s v=""/>
    <s v=""/>
    <s v=""/>
    <s v="50%"/>
    <s v="Pipeline de Vendas"/>
    <s v="Em Fechamento (100%)"/>
    <s v=""/>
    <d v="2026-02-28T00:00:00"/>
    <n v="7470289"/>
    <n v="1038848"/>
    <n v="19"/>
    <s v="Paulo Souza"/>
    <d v="2026-02-07T00:00:00"/>
    <d v="1899-12-30T10:00:29"/>
    <s v=""/>
    <s v="Ganho"/>
    <d v="2026-02-26T00:00:00"/>
    <d v="1899-12-30T21:48:31"/>
    <s v=""/>
    <s v=""/>
    <s v=""/>
    <x v="181"/>
    <s v="Paulo Souza"/>
    <x v="197"/>
    <s v=""/>
    <d v="2026-02-26T00:00:00"/>
    <n v="50"/>
    <s v="150"/>
    <s v="ERP, AFV, BI, WMS, COMEX, ADICIONAIS"/>
    <s v="R$ 65.502,90"/>
    <s v="R$ 11.334,84"/>
    <n v="1"/>
  </r>
  <r>
    <x v="1"/>
    <n v="912"/>
    <m/>
    <n v="3248"/>
    <s v="(11/02/2026) Contato feira ABcasa ! agendamos apresentação para sexta feira dia 20/02_x000a_10:05, 20/02/2026 Junior Lopes: Entendo ! Vamos organizar nova data_x000a_10:06, 20/02/2026 Junior Lopes: Segunda feira , é possível?_x000a_10:13, 20/02/2026 Fabio Oliveira Nina Enc: eu consigo te atender, mas vamos precisar remarcar um pouco mais para frente, eu quero muito te atender e realmente preciso, porem nesse momento ta dificil_x000a_(09/03/2026) buscando data para apresentação _x000a_(14/04/2026) em contato com Fabio a fim de agendarmos apresentação _x000a_09:58, 14/04/2026 Junior Lopes: Olá Fábio, bom dia_x000a_10:01, 14/04/2026 Fabio Oliveira Nina Enc: Bom dia meu amigo, tudo certo ?_x000a_10:02, 14/04/2026 Junior Lopes: Opa td certo 🙏_x000a_Vamos programar apresentação?_x000a_10:04, 14/04/2026 Fabio Oliveira Nina Enc: o meu amigo, esta semana nao vou ter como te atender, estamos organizando muita coisa na empresa, na quarta feira meu pai vai para china, mas acho que na outra semana a gente consegue, na quinta ou sexta da semana que vem_x000a_10:05, 14/04/2026 Junior Lopes: Perfeito Fábio ! Aí te chamo no começo da semana para alinharmos_x000a_10:05, 14/04/2026 Fabio Oliveira Nina Enc: combinado"/>
    <s v="Sebastiao Cardoso Comercio Atacadista De Ferramentas Ltda"/>
    <x v="436"/>
    <n v="12391174000101"/>
    <s v=""/>
    <s v="Sebastiao Cardoso Comercio Atacadista De Ferramentas Ltda"/>
    <s v="(47) 3368-3065"/>
    <s v=""/>
    <s v="ninaencartelados@gmail.com"/>
    <s v=""/>
    <s v=""/>
    <s v=""/>
    <s v="ITAPEMA"/>
    <s v="SC"/>
    <s v="Base de empresas Leads2b"/>
    <s v=""/>
    <s v=""/>
    <s v=""/>
    <s v="Pipeline de Vendas"/>
    <s v="Apresentar Proposta (50%)"/>
    <s v=""/>
    <d v="2026-05-31T00:00:00"/>
    <n v="748805"/>
    <n v="53071"/>
    <n v="92"/>
    <s v="Junior Lopes"/>
    <d v="2026-02-11T00:00:00"/>
    <d v="1899-12-30T09:59:48"/>
    <s v=""/>
    <s v="Perdido"/>
    <d v="2026-05-14T00:00:00"/>
    <d v="1899-12-30T14:48:33"/>
    <s v="Não houve aprovação financeira"/>
    <s v="14/05/2026 : _x000a_09:02, 13/05/2026 Fabio Oliveira Nina Enc: Consegui sim, teu sistema é maravilhoso, muito bom mesmo _x000a_porem eu passei pro pessoal aqui, e no momento, nosso faturamaento nao condiz com o investimento a ser feito_x000a_09:03, 13/05/2026 Fabio Oliveira Nina Enc: espero que logo possamos mudar isso_x000a_09:05, 13/05/2026 Junior Lopes: Entendo Fábio ! _x000a_ O que está pegando mais na proposta ? O projeto ou as mensalidades?_x000a_09:08, 13/05/2026 Fabio Oliveira Nina Enc: na verdade é um pouco dos dois, hj nosso sistema nos custa 6 mil por ano, claro que ele nao tem a mesma eficiencia do seu, mas para a quantidade de vendas nossa, no atual momento ele nos atende bem_x000a_09:21, 13/05/2026 Junior Lopes: Entendo ! Gostaria de pensar aí e nos fazer uma contra proposta ?_x000a_09:22, 13/05/2026 Fabio Oliveira Nina Enc: no momento vamos deixar em off_x000a_09:22, 13/05/2026 Fabio Oliveira Nina Enc: obrigado pela atençao_x000a_09:28, 13/05/2026 Junior Lopes: Ta joia meu amigo_x000a_09:29, 13/05/2026 Junior Lopes: Ficamos a disposição! Tenho certeza que podemos ajudar muito no crescimento da Nina encartelados _x000a_Um abraço_x000a_09:29, 13/05/2026 Fabio Oliveira Nina Enc: abraço"/>
    <s v=""/>
    <x v="182"/>
    <s v=""/>
    <x v="198"/>
    <s v="05/05/2026"/>
    <d v="2026-05-14T00:00:00"/>
    <n v="50"/>
    <s v=""/>
    <s v=""/>
    <s v=""/>
    <s v=""/>
    <n v="1"/>
  </r>
  <r>
    <x v="1"/>
    <n v="915"/>
    <m/>
    <n v="3253"/>
    <s v="(11/02/2026) Vídeo demonstrativo enviado para analise   _x000a_(11/02/2026) Proposta enviada"/>
    <s v=""/>
    <x v="437"/>
    <m/>
    <s v=""/>
    <s v="Ad &amp; Ad (Comex)"/>
    <s v="14996930353"/>
    <s v=""/>
    <s v="daniel@adimportacao.com.br"/>
    <s v=""/>
    <s v=""/>
    <s v=""/>
    <s v=""/>
    <s v=""/>
    <s v=""/>
    <s v=""/>
    <s v=""/>
    <s v="30%"/>
    <s v="Pipeline de Vendas"/>
    <s v="Apresentar Proposta (50%)"/>
    <s v=""/>
    <d v="2026-04-30T00:00:00"/>
    <n v="10240"/>
    <n v="2000"/>
    <n v="82"/>
    <s v="Junior Lopes"/>
    <d v="2026-02-11T00:00:00"/>
    <d v="1899-12-30T10:27:04"/>
    <s v=""/>
    <s v="Perdido"/>
    <d v="2026-05-04T00:00:00"/>
    <d v="1899-12-30T08:59:14"/>
    <s v="Projeto adiado / sem prazo definido"/>
    <s v="vai aguardar um pouco mais"/>
    <s v=""/>
    <x v="183"/>
    <s v=""/>
    <x v="196"/>
    <s v=""/>
    <d v="2026-05-04T00:00:00"/>
    <n v="30"/>
    <s v=""/>
    <s v=""/>
    <s v=""/>
    <s v=""/>
    <n v="1"/>
  </r>
  <r>
    <x v="0"/>
    <n v="919"/>
    <m/>
    <n v="3227"/>
    <s v="26/02 Fiz FUP com o Jader e ele tem uma ferramentaria. Entendi o processo e agora preciso falar com o Fernando, para ver se conseguirmos atender ele ou não. na sequência vou passar uma proposta. _x000a_12/03 - Encerrei o lead por falta de retorno, futuramente se ele demonstrar interesse falamos."/>
    <s v=""/>
    <x v="438"/>
    <m/>
    <s v=""/>
    <s v="Jader Silva"/>
    <s v="17996751231"/>
    <s v=""/>
    <s v="jader.reobote@outlook.com"/>
    <s v=""/>
    <s v=""/>
    <s v=""/>
    <s v=""/>
    <s v=""/>
    <s v="Campanha"/>
    <s v=""/>
    <s v=""/>
    <s v="Dentro Perfil;Instagram"/>
    <s v="Pipeline de Vendas"/>
    <s v="Apresentar Solução (35%)"/>
    <s v=""/>
    <m/>
    <m/>
    <m/>
    <n v="29"/>
    <s v="Paulo Souza"/>
    <d v="2026-02-11T00:00:00"/>
    <d v="1899-12-30T11:21:33"/>
    <s v=""/>
    <s v="Perdido"/>
    <d v="2026-03-12T00:00:00"/>
    <d v="1899-12-30T17:24:16"/>
    <s v="Fora do porte mínimo (sem fit estrutural)"/>
    <s v=""/>
    <s v=""/>
    <x v="168"/>
    <s v="Paulo Souza"/>
    <x v="182"/>
    <s v=""/>
    <d v="2026-03-31T00:00:00"/>
    <n v="30"/>
    <s v=""/>
    <s v="ERP"/>
    <s v=""/>
    <s v=""/>
    <n v="1"/>
  </r>
  <r>
    <x v="2"/>
    <n v="920"/>
    <m/>
    <n v="3230"/>
    <s v="12.02 - cliente agendou hoje as 9h não entrou na reunião, estou tentando contato para reagendar"/>
    <s v=""/>
    <x v="439"/>
    <n v="36377920000170"/>
    <s v=""/>
    <s v="RG distribuidora de bebidas ltda"/>
    <s v="(37) 3213-0306"/>
    <s v=""/>
    <s v="rgdistribuidoraltda@hotmail.com"/>
    <s v=""/>
    <s v=""/>
    <s v=""/>
    <s v="DIVINOPOLIS"/>
    <s v="MG"/>
    <s v="Campanha"/>
    <s v=""/>
    <s v=""/>
    <s v="Dentro Perfil;Instagram"/>
    <s v="Pipeline de Vendas"/>
    <s v="Apresentar Proposta (50%)"/>
    <s v=""/>
    <d v="2026-04-30T00:00:00"/>
    <n v="7784244"/>
    <n v="144748"/>
    <n v="14"/>
    <s v="Paulo Souza"/>
    <d v="2026-02-11T00:00:00"/>
    <d v="1899-12-30T11:22:26"/>
    <s v=""/>
    <s v="Perdido"/>
    <d v="2026-02-25T00:00:00"/>
    <d v="1899-12-30T10:28:11"/>
    <s v="Preço muito alto - fora do budget de investimento"/>
    <s v=""/>
    <s v=""/>
    <x v="184"/>
    <s v="Rayssa Karapeticov"/>
    <x v="199"/>
    <s v=""/>
    <d v="2026-02-24T00:00:00"/>
    <n v="30"/>
    <s v=""/>
    <s v="ERP, AFV"/>
    <s v=""/>
    <s v=""/>
    <n v="1"/>
  </r>
  <r>
    <x v="0"/>
    <n v="921"/>
    <m/>
    <n v="3231"/>
    <s v="26/02 Fiz FUP hoje com o Antônio, sem sucesso. Após minhas ligações ele não atendeu , deixei recado no Whatsapp. _x000a_27/02 Após diversas FUps sem sucesso e sem retorno do lead, estou declinando a oportunidade."/>
    <s v=""/>
    <x v="440"/>
    <m/>
    <s v=""/>
    <s v="Loja da construção"/>
    <s v="85996031544"/>
    <s v=""/>
    <s v="ajs.antoniojose@hotmail.com"/>
    <s v=""/>
    <s v=""/>
    <s v=""/>
    <s v=""/>
    <s v=""/>
    <s v="Campanha"/>
    <s v=""/>
    <s v=""/>
    <s v="Fora Perfil;Instagram"/>
    <s v="Pipeline de Vendas"/>
    <s v="Qualificação de Vendas (SQL) (25%)"/>
    <s v=""/>
    <d v="2026-02-28T00:00:00"/>
    <m/>
    <m/>
    <n v="16"/>
    <s v="Paulo Souza"/>
    <d v="2026-02-11T00:00:00"/>
    <d v="1899-12-30T11:23:49"/>
    <s v=""/>
    <s v="Perdido"/>
    <d v="2026-02-27T00:00:00"/>
    <d v="1899-12-30T21:32:33"/>
    <s v="Fora do porte mínimo (sem fit estrutural)"/>
    <s v=""/>
    <s v=""/>
    <x v="0"/>
    <s v="Paulo Souza"/>
    <x v="0"/>
    <s v=""/>
    <d v="2026-02-26T00:00:00"/>
    <n v="30"/>
    <s v=""/>
    <s v=""/>
    <s v=""/>
    <s v=""/>
    <n v="1"/>
  </r>
  <r>
    <x v="0"/>
    <n v="922"/>
    <m/>
    <n v="3232"/>
    <s v="27/02 Fiz diversos FUP sem retorno, por isso estou declinando o contato."/>
    <s v=""/>
    <x v="441"/>
    <m/>
    <s v=""/>
    <s v="Zzzz"/>
    <s v="41987097843"/>
    <s v=""/>
    <s v="gipatelini@hotmail.com"/>
    <s v=""/>
    <s v=""/>
    <s v=""/>
    <s v=""/>
    <s v=""/>
    <s v="Campanha"/>
    <s v=""/>
    <s v=""/>
    <s v="Dentro Perfil;Instagram"/>
    <s v="Pipeline de Vendas"/>
    <s v="Apresentar Solução (35%)"/>
    <s v=""/>
    <d v="2026-02-27T00:00:00"/>
    <m/>
    <m/>
    <n v="16"/>
    <s v="Paulo Souza"/>
    <d v="2026-02-11T00:00:00"/>
    <d v="1899-12-30T11:24:41"/>
    <s v=""/>
    <s v="Perdido"/>
    <d v="2026-02-27T00:00:00"/>
    <d v="1899-12-30T21:27:11"/>
    <s v="Fora do porte mínimo (sem fit estrutural)"/>
    <s v=""/>
    <s v=""/>
    <x v="0"/>
    <s v="Paulo Souza"/>
    <x v="0"/>
    <s v=""/>
    <m/>
    <n v="30"/>
    <s v=""/>
    <s v=""/>
    <s v=""/>
    <s v=""/>
    <n v="1"/>
  </r>
  <r>
    <x v="2"/>
    <n v="923"/>
    <m/>
    <n v="3236"/>
    <s v=""/>
    <s v=""/>
    <x v="442"/>
    <m/>
    <s v=""/>
    <s v="Gs atacado"/>
    <s v="61984251198"/>
    <s v=""/>
    <s v="gsatacado69@gmail.com"/>
    <s v=""/>
    <s v=""/>
    <s v=""/>
    <s v=""/>
    <s v=""/>
    <s v="Campanha"/>
    <s v=""/>
    <s v=""/>
    <s v="Dentro Perfil;Instagram"/>
    <s v="Pipeline de Vendas"/>
    <s v="Qualificação de Vendas (SQL) (25%)"/>
    <s v=""/>
    <d v="2026-04-30T00:00:00"/>
    <m/>
    <m/>
    <n v="16"/>
    <s v="Paulo Souza"/>
    <d v="2026-02-11T00:00:00"/>
    <d v="1899-12-30T11:27:12"/>
    <s v=""/>
    <s v="Perdido"/>
    <d v="2026-02-27T00:00:00"/>
    <d v="1899-12-30T17:23:25"/>
    <s v="Preço muito alto - fora do budget de investimento"/>
    <s v=""/>
    <s v=""/>
    <x v="0"/>
    <s v="Rayssa Karapeticov"/>
    <x v="200"/>
    <s v=""/>
    <d v="2026-02-25T00:00:00"/>
    <n v="30"/>
    <s v=""/>
    <s v="ERP, PDV, AFV"/>
    <s v=""/>
    <s v=""/>
    <n v="1"/>
  </r>
  <r>
    <x v="1"/>
    <n v="924"/>
    <m/>
    <n v="3238"/>
    <s v="(11/02/2026) tentativa de ligação nao atendida _x000a_17:03, 11/02/2026 Junior Lopes: Olá Gabriel , boa tarde_x000a_17:03, 11/02/2026 Junior Lopes: sou Junior Lopes da Guarani sistemas ! td bem ?_x000a_(19/02/2026) apresar de não ter resposta do cliente ! em pesquise verifiquei que LM é um deposito de bebidas que acaba fugindo do perfil"/>
    <s v=""/>
    <x v="443"/>
    <m/>
    <s v=""/>
    <s v="lm bebidas"/>
    <s v="11910369959"/>
    <s v=""/>
    <s v="gelucinaro@hotmail.com"/>
    <s v=""/>
    <s v=""/>
    <s v=""/>
    <s v=""/>
    <s v=""/>
    <s v="Campanha"/>
    <s v=""/>
    <s v=""/>
    <s v="Fora Perfil;Instagram"/>
    <s v="Pipeline de Vendas"/>
    <s v="Qualificação de Vendas (SQL) (25%)"/>
    <s v=""/>
    <m/>
    <m/>
    <m/>
    <n v="15"/>
    <s v="Paulo Souza"/>
    <d v="2026-02-11T00:00:00"/>
    <d v="1899-12-30T11:29:47"/>
    <s v=""/>
    <s v="Perdido"/>
    <d v="2026-02-26T00:00:00"/>
    <d v="1899-12-30T23:08:40"/>
    <s v="Fora do porte mínimo (sem fit estrutural)"/>
    <s v=""/>
    <s v=""/>
    <x v="0"/>
    <s v=""/>
    <x v="0"/>
    <s v=""/>
    <d v="2026-02-19T00:00:00"/>
    <n v="30"/>
    <s v=""/>
    <s v=""/>
    <s v=""/>
    <s v=""/>
    <n v="1"/>
  </r>
  <r>
    <x v="1"/>
    <n v="925"/>
    <m/>
    <n v="3244"/>
    <s v="(11/02/2026) tentativa de ligação não atendida _x000a_16:48, 11/02/2026 Junior Lopes: Olá Kariello, boa tarde !_x000a_16:48, 11/02/2026 Junior Lopes: sou Junior Lopes da Guarani sistemas, tudo bem ?_x000a_(19/02/2026) buscando data para apresentação _x000a_(23/02/2026) Vamos Agendar apresentação do força de vendas para amanhã ?_x000a_10 ou 14 horas ! O que fica melhor?_x000a_Vamos marca na primeira semana de março_x000a_Fechamento do mês é complicado_x000a_Sim ! Vamos deixar uma agenda para dia 4/03 quarta feira! Se sim já te envio um link do Meet_x000a_Ok_x000a_Apresentação Guarani (AFV) _x000a_Quarta-feira, 4 de março · 10:00 – 11:30_x000a_Fuso horário: America/Sao_Paulo_x000a_Como participar do Google Meet_x000a_Link da videochamada: https://meet.google.com/dsp-gfgz-nyv_x000a_09:54, 04/03/2026 KARIELLO COELHO: Tive um imprevisto_x000a_09:54, 04/03/2026 KARIELLO COELHO: Teremos que remarcar_x000a_09:55, 04/03/2026 Junior Lopes: Td bem meu amigo , sem problemas_x000a_12:41, 04/03/2026 KARIELLO COELHO: Até sexta agora_x000a_12:42, 04/03/2026 Junior Lopes: 10 horas é um bom horário?_x000a_12:45, 04/03/2026 KARIELLO COELHO: 11h_x000a_12:46, 04/03/2026 Junior Lopes: Joia! Vou gerar um link_x000a_12:50, 04/03/2026 Junior Lopes: Apresentação Guarani AFV - CK Hospitalar_x000a_Sexta-feira, 6 de março · 11:00 – 12:15_x000a_Fuso horário: America/Sao_Paulo_x000a_Como participar do Google Meet_x000a_Link da videochamada: https://meet.google.com/zum-xcty-mab_x000a_(09/03/2026) Após Kariello desmarcar a reunião de apresentação , não respondeu mais aos contatos"/>
    <s v=""/>
    <x v="444"/>
    <n v="32534969000139"/>
    <s v=""/>
    <s v="CK HOSPITALAR"/>
    <s v="6392247104"/>
    <s v=""/>
    <s v="diretoria@ckhospitalar.com.br"/>
    <s v=""/>
    <s v=""/>
    <s v=""/>
    <s v=""/>
    <s v="Palmas"/>
    <s v="Inbound"/>
    <s v=""/>
    <s v=""/>
    <s v="Dentro Perfil;Instagram"/>
    <s v="Pipeline de Vendas"/>
    <s v="Apresentar Proposta (50%)"/>
    <s v=""/>
    <d v="2026-04-30T00:00:00"/>
    <n v="16960"/>
    <n v="32775"/>
    <n v="41"/>
    <s v="Paulo Souza"/>
    <d v="2026-02-11T00:00:00"/>
    <d v="1899-12-30T11:30:31"/>
    <s v=""/>
    <s v="Perdido"/>
    <d v="2026-03-24T00:00:00"/>
    <d v="1899-12-30T16:03:55"/>
    <s v="Projeto adiado / sem prazo definido"/>
    <s v="(09/03/2026) Após Kariello desmarcar a reunião de apresentação , não respondeu mais aos contatos"/>
    <s v=""/>
    <x v="185"/>
    <s v=""/>
    <x v="196"/>
    <s v="04/03/2026"/>
    <d v="2026-03-09T00:00:00"/>
    <n v="30"/>
    <s v=""/>
    <s v=""/>
    <s v=""/>
    <s v=""/>
    <n v="1"/>
  </r>
  <r>
    <x v="1"/>
    <n v="926"/>
    <m/>
    <n v="3237"/>
    <s v="(11/02/2026) tentativa de ligação não atendida ! mensagem em seguida _x000a_16:43, 11/02/2026 Junior Lopes: Olá Renato ! boa tarde_x000a_16:43, 11/02/2026 Junior Lopes: sou Junior Lopes da Guarani sistemas ! tudo bem ?"/>
    <s v=""/>
    <x v="445"/>
    <m/>
    <s v=""/>
    <s v="Rp pisos"/>
    <s v="81996498759"/>
    <s v=""/>
    <s v="renatosouzarp2018@gmail.com"/>
    <s v=""/>
    <s v=""/>
    <s v=""/>
    <s v=""/>
    <s v=""/>
    <s v="Campanha"/>
    <s v=""/>
    <s v=""/>
    <s v="Fora Perfil;Instagram"/>
    <s v="Pipeline de Vendas"/>
    <s v="Qualificação de Vendas (SQL) (25%)"/>
    <s v=""/>
    <m/>
    <m/>
    <m/>
    <n v="87"/>
    <s v="Paulo Souza"/>
    <d v="2026-02-11T00:00:00"/>
    <d v="1899-12-30T11:42:17"/>
    <s v=""/>
    <s v="Perdido"/>
    <d v="2026-05-09T00:00:00"/>
    <d v="1899-12-30T07:47:47"/>
    <s v="Sem qualificação — contato não atende ligações nem responde msg"/>
    <s v=""/>
    <s v=""/>
    <x v="0"/>
    <s v=""/>
    <x v="0"/>
    <s v=""/>
    <d v="2026-02-19T00:00:00"/>
    <n v="30"/>
    <s v=""/>
    <s v=""/>
    <s v=""/>
    <s v=""/>
    <n v="1"/>
  </r>
  <r>
    <x v="2"/>
    <n v="927"/>
    <m/>
    <n v="3239"/>
    <s v="13.02 é uma loja de auto peças, prouca PDV, fora do perfil"/>
    <s v=""/>
    <x v="446"/>
    <m/>
    <s v=""/>
    <s v="Dede Acessorios"/>
    <s v="6596196462"/>
    <s v=""/>
    <s v="lu_kawakami@msn.com"/>
    <s v=""/>
    <s v=""/>
    <s v=""/>
    <s v=""/>
    <s v=""/>
    <s v="Campanha"/>
    <s v=""/>
    <s v=""/>
    <s v="Fora Perfil;Instagram"/>
    <s v="Pipeline de Vendas"/>
    <s v="Agendamento (0%)"/>
    <s v=""/>
    <m/>
    <m/>
    <m/>
    <n v="2"/>
    <s v="Paulo Souza"/>
    <d v="2026-02-11T00:00:00"/>
    <d v="1899-12-30T11:44:32"/>
    <s v=""/>
    <s v="Perdido"/>
    <d v="2026-02-13T00:00:00"/>
    <d v="1899-12-30T17:27:41"/>
    <s v="Fora do porte mínimo (sem fit estrutural)"/>
    <s v=""/>
    <s v=""/>
    <x v="0"/>
    <s v="Rayssa Karapeticov"/>
    <x v="0"/>
    <s v=""/>
    <d v="2026-02-13T00:00:00"/>
    <n v="30"/>
    <s v=""/>
    <s v=""/>
    <s v=""/>
    <s v=""/>
    <n v="1"/>
  </r>
  <r>
    <x v="1"/>
    <n v="928"/>
    <m/>
    <n v="3242"/>
    <s v="(11/02/2026) ligação efetuada - Anderson pediu para retornar ! vamos dar sequencia no whatsapp_x000a_(18/02/2026) buscando contato com Anderson ! sem resposta até o momento"/>
    <s v=""/>
    <x v="384"/>
    <n v="9205460000120"/>
    <s v=""/>
    <s v="Panveiga"/>
    <s v="(83) 3343-3391 / (83) 3343-3391"/>
    <s v=""/>
    <s v=""/>
    <s v=""/>
    <s v=""/>
    <s v=""/>
    <s v="CAMPINA GRANDE"/>
    <s v="PB"/>
    <s v="Inbound"/>
    <s v=""/>
    <s v=""/>
    <s v="Dentro Perfil;Instagram"/>
    <s v="Pipeline de Vendas"/>
    <s v="Qualificação de Vendas (SQL) (25%)"/>
    <s v=""/>
    <m/>
    <m/>
    <m/>
    <n v="8"/>
    <s v="Paulo Souza"/>
    <d v="2026-02-11T00:00:00"/>
    <d v="1899-12-30T11:51:24"/>
    <s v=""/>
    <s v="Perdido"/>
    <d v="2026-02-19T00:00:00"/>
    <d v="1899-12-30T09:53:04"/>
    <s v="Nossa solução não atende - falta funcionalidade"/>
    <s v="cliente precisa que o força de vendas atenda em pronta entrega"/>
    <s v=""/>
    <x v="0"/>
    <s v=""/>
    <x v="0"/>
    <s v=""/>
    <d v="2026-02-18T00:00:00"/>
    <n v="30"/>
    <s v=""/>
    <s v=""/>
    <s v=""/>
    <s v=""/>
    <n v="1"/>
  </r>
  <r>
    <x v="1"/>
    <n v="929"/>
    <m/>
    <n v="3235"/>
    <s v="Conversa extraida do áudio enviado em 12/03/2026_x000a_ 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
    <s v=""/>
    <x v="447"/>
    <m/>
    <s v=""/>
    <s v="kayo calil marques"/>
    <s v="(14) 99854-9863"/>
    <s v=""/>
    <s v="kayocalil@hotmail.com"/>
    <s v=""/>
    <s v=""/>
    <s v=""/>
    <s v="Tupã"/>
    <s v=""/>
    <s v="Site"/>
    <s v=""/>
    <s v=""/>
    <s v="Solicita demo"/>
    <s v="Pipeline de Vendas"/>
    <s v="Em negociação (75%)"/>
    <s v=""/>
    <m/>
    <n v="41040"/>
    <n v="384858"/>
    <n v="29"/>
    <s v="Paulo Souza"/>
    <d v="2026-02-11T00:00:00"/>
    <d v="1899-12-30T11:53:14"/>
    <s v=""/>
    <s v="Perdido"/>
    <d v="2026-03-12T00:00:00"/>
    <d v="1899-12-30T14:14:05"/>
    <s v="Não quer mudar a solução atual"/>
    <s v="Conversa extraida do áudio enviado em 12/03/2026_x000a_ 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
    <s v=""/>
    <x v="186"/>
    <s v=""/>
    <x v="201"/>
    <s v="19/02/2026"/>
    <d v="2026-03-12T00:00:00"/>
    <n v="30"/>
    <s v=""/>
    <s v=""/>
    <s v=""/>
    <s v=""/>
    <n v="1"/>
  </r>
  <r>
    <x v="2"/>
    <n v="930"/>
    <m/>
    <n v="3243"/>
    <s v="12.02 - é uma importadora de Ribeirão Preto e veio por indicação da Simone (QFestas) são do mesmo seguimento_x000a_Disse que já havia feito contato um tempo atrás mas na época achou muito caro, então não avançou_x000a_Esta retomando o contato agora e gostaria de receber uma proposta comercial antes, já que já conhece o sistema, já recebeu várias indicações de importadores, e representantes. _x000a_18.03 - estou tentando contato, mas esta em feira _x000a_30.03 Achou que não é o momento certo para avançar"/>
    <s v=""/>
    <x v="448"/>
    <n v="14590342000113"/>
    <s v=""/>
    <s v="Leandro"/>
    <s v="(16) 98237-0011"/>
    <s v=""/>
    <s v="leandro@bazarimportadora.com.br"/>
    <s v=""/>
    <s v=""/>
    <s v=""/>
    <s v="Ribeirão Preto"/>
    <s v=""/>
    <s v="Site"/>
    <s v=""/>
    <s v=""/>
    <s v="Contato;Dentro Perfil"/>
    <s v="Pipeline de Vendas"/>
    <s v="Apresentar Proposta (50%)"/>
    <s v=""/>
    <m/>
    <m/>
    <m/>
    <n v="47"/>
    <s v="Paulo Souza"/>
    <d v="2026-02-11T00:00:00"/>
    <d v="1899-12-30T11:54:00"/>
    <s v=""/>
    <s v="Perdido"/>
    <d v="2026-03-30T00:00:00"/>
    <d v="1899-12-30T15:50:03"/>
    <s v="Projeto adiado / sem prazo definido"/>
    <s v=""/>
    <s v=""/>
    <x v="0"/>
    <s v="Rayssa Karapeticov"/>
    <x v="202"/>
    <s v=""/>
    <d v="2026-03-30T00:00:00"/>
    <n v="30"/>
    <s v=""/>
    <s v="AFV, ERP"/>
    <s v=""/>
    <s v=""/>
    <n v="1"/>
  </r>
  <r>
    <x v="1"/>
    <n v="931"/>
    <m/>
    <n v="3233"/>
    <s v="11/02/2026) cliente com necessidades especificas _x000a_Rastreabilidade avançada de coletas e devoluções (fluxo de logística reversa e conferência de avarias);_x000a_Gestão flexível de Kits (desmembramento dinâmico de itens no ato da manutenção);"/>
    <s v=""/>
    <x v="449"/>
    <n v="36096287000142"/>
    <s v=""/>
    <s v="Fernando Ramalho"/>
    <s v="(21) 98655-6912"/>
    <s v=""/>
    <s v="fernando.ramalho@superzinca.com.br"/>
    <s v=""/>
    <s v=""/>
    <s v=""/>
    <s v="Ibirité"/>
    <s v=""/>
    <s v="Site"/>
    <s v=""/>
    <s v=""/>
    <s v="Fora Perfil;Solicita demo"/>
    <s v="Pipeline de Vendas"/>
    <s v="Qualificação de Vendas (SQL) (25%)"/>
    <s v=""/>
    <m/>
    <m/>
    <m/>
    <n v="0"/>
    <s v="Paulo Souza"/>
    <d v="2026-02-11T00:00:00"/>
    <d v="1899-12-30T11:55:55"/>
    <s v=""/>
    <s v="Perdido"/>
    <d v="2026-02-11T00:00:00"/>
    <d v="1899-12-30T15:28:53"/>
    <s v="Fora do porte mínimo (sem fit estrutural)"/>
    <s v="cliente fora do perfil"/>
    <s v=""/>
    <x v="0"/>
    <s v=""/>
    <x v="0"/>
    <s v=""/>
    <m/>
    <n v="30"/>
    <s v=""/>
    <s v=""/>
    <s v=""/>
    <s v=""/>
    <n v="1"/>
  </r>
  <r>
    <x v="2"/>
    <n v="932"/>
    <m/>
    <n v="3234"/>
    <s v="12.02 ligação realizada no dia 12.02 as 11:13, não atendeu. Enviei mensagem no whatsapp, para tentar um novo horario para ligação_x000a_13.02 Cliente é uma industria de copos de liquidificador estão sempre na ABUP e vieram por indicação da Arthi _x000a_Usam um sistema interno - mas futuramente querem trocar o sistema, explicou que a principio querem conhecer nosso AFV, porque foi uma indicação e o sistema atual possui esse módulo mas libera muitas informações que eles não querem disponibilizar para os RCAs, porém não podem editar ou bloquear_x000a_Não enviar estoque _x000a_Tabelas de preço - Explicou que possuem várias tabelas de preço por faixa de valor, informei que o sistema atende essa necessidade e quem podem ter uma unica tabela com uma regra comercial de desconto por faixar de valor amarrada ao pedido_x000a_Imagens de produtos - quer que o cliente tenha acesso a imagem do produto, expliquei que sim, e que pode gerar o catalogo em PDF para o cliente_x000a_Descrição - ficha técnica do produto e descrição do item_x000a_Uso de sistemas na feira - usar leitor de código de produto_x000a_Envio de orçamento - envio de cópia de orçamentos por PDF, link ou excel, e explicar funções em feira _x000a_Isis vai verificar com a gerente uma data para apresentação do AFV_x000a_18.02 - apresentação agendada para amanhã _x000a_18.03 Negociação finalizada, aguardando documentação para seguir com contrato_x000a_15.04 09:24, 15/04/2026 Rayssa Karapeticov - Comercial - Guarani Sistemas: Oi Isis, como você está.?_x000a_Na última troca, você comentou que eles devem manter o sistema atual por mais tempo, e eu fiquei de marcar uma reunião presencial para detalharmos a integração e forma de trabalho._x000a_Queria entender contigo se ainda faz sentido seguirmos com esse alinhamento agora. Se sim, me indica por favor dois horários que funcionem para você."/>
    <s v=""/>
    <x v="450"/>
    <n v="1498495000193"/>
    <s v=""/>
    <s v="Isis Miguelette"/>
    <s v="(11) 91290-8574"/>
    <s v=""/>
    <s v="isismiguelette@micromaxindustria.com.br"/>
    <s v=""/>
    <s v=""/>
    <s v=""/>
    <s v="Itatiba"/>
    <s v=""/>
    <s v="Site"/>
    <s v=""/>
    <s v=""/>
    <s v="Dentro Perfil;Solicita demo"/>
    <s v="Pipeline de Vendas"/>
    <s v="Em negociação (75%)"/>
    <s v=""/>
    <d v="2026-04-30T00:00:00"/>
    <n v="16143"/>
    <n v="690"/>
    <n v="70"/>
    <s v="Paulo Souza"/>
    <d v="2026-02-11T00:00:00"/>
    <d v="1899-12-30T11:56:36"/>
    <s v=""/>
    <s v="Perdido"/>
    <d v="2026-04-22T00:00:00"/>
    <d v="1899-12-30T17:19:39"/>
    <s v="Preço muito alto - fora do budget de investimento"/>
    <s v=""/>
    <s v=""/>
    <x v="185"/>
    <s v="Rayssa Karapeticov"/>
    <x v="203"/>
    <s v=""/>
    <d v="2026-04-15T00:00:00"/>
    <n v="30"/>
    <s v=""/>
    <s v="AFV"/>
    <s v=""/>
    <s v=""/>
    <n v="1"/>
  </r>
  <r>
    <x v="1"/>
    <n v="933"/>
    <m/>
    <n v="3262"/>
    <s v=""/>
    <s v="Startools Ferramentas, Comercio, Importacao E Exportacao Ltda"/>
    <x v="451"/>
    <n v="35754976000215"/>
    <s v=""/>
    <s v="Startools Ferramentas, Comercio, Importacao E Exportacao Ltda"/>
    <s v="(11) 8472-4282"/>
    <s v=""/>
    <s v="controladoria@startoolsferramentas.com.br"/>
    <s v=""/>
    <s v=""/>
    <s v=""/>
    <s v="ARAQUARI"/>
    <s v="SC"/>
    <s v="Base de empresas Leads2b"/>
    <s v=""/>
    <s v=""/>
    <s v=""/>
    <s v="Pipeline de Vendas"/>
    <s v="Apresentar Solução (35%)"/>
    <s v=""/>
    <m/>
    <n v="0"/>
    <n v="0"/>
    <n v="98"/>
    <s v="Junior Lopes"/>
    <d v="2026-02-11T00:00:00"/>
    <d v="1899-12-30T18:07:55"/>
    <s v=""/>
    <s v="Ativo"/>
    <m/>
    <m/>
    <s v=""/>
    <s v=""/>
    <s v=""/>
    <x v="0"/>
    <s v=""/>
    <x v="204"/>
    <s v=""/>
    <d v="2026-05-08T00:00:00"/>
    <n v="50"/>
    <s v=""/>
    <s v=""/>
    <s v=""/>
    <s v=""/>
    <n v="1"/>
  </r>
  <r>
    <x v="1"/>
    <n v="934"/>
    <m/>
    <n v="3263"/>
    <s v="(03/03/2026) Visita apresentação _x000a_(05/03/2026)  buscando fechamento"/>
    <s v="Cleantech Solucoes Industria, Distribuidora, Comercio, Importacao E Exportacao De Produtos Quimicos Ltda"/>
    <x v="452"/>
    <n v="51540058000169"/>
    <s v=""/>
    <s v="Cleantech Solucoes Industria, Distribuidora, Comercio, Importacao E Exportacao De Produtos Quimicos Ltda"/>
    <s v="(11) 91564-2482"/>
    <s v=""/>
    <s v=""/>
    <s v=""/>
    <s v=""/>
    <s v=""/>
    <s v="SAO PAULO"/>
    <s v="SP"/>
    <s v="Base de empresas Leads2b"/>
    <s v=""/>
    <s v=""/>
    <s v=""/>
    <s v="Pipeline de Vendas"/>
    <s v="Em Fechamento (100%)"/>
    <s v=""/>
    <m/>
    <n v="68400"/>
    <n v="114607"/>
    <n v="49"/>
    <s v="Junior Lopes"/>
    <d v="2026-02-11T00:00:00"/>
    <d v="1899-12-30T18:19:45"/>
    <s v=""/>
    <s v="Ganho"/>
    <d v="2026-04-01T00:00:00"/>
    <d v="1899-12-30T10:36:11"/>
    <s v=""/>
    <s v=""/>
    <s v=""/>
    <x v="183"/>
    <s v=""/>
    <x v="196"/>
    <s v="03/03/2026"/>
    <d v="2026-03-05T00:00:00"/>
    <n v="70"/>
    <s v=""/>
    <s v=""/>
    <s v=""/>
    <s v=""/>
    <n v="1"/>
  </r>
  <r>
    <x v="0"/>
    <n v="935"/>
    <m/>
    <n v="3259"/>
    <s v="13/02 Fiz FUP hoje com a Pamela e o perfil identificado é de cliente emergente para investir no momento. E por isso foi declinado."/>
    <s v=""/>
    <x v="453"/>
    <m/>
    <s v=""/>
    <s v="PAMELA CRISTINA DA FONSECA"/>
    <s v="(46) 99984-1338"/>
    <s v=""/>
    <s v="importacao.azul@hotmail.com"/>
    <s v=""/>
    <s v=""/>
    <s v=""/>
    <s v="Fazenda Rio Grande"/>
    <s v=""/>
    <s v="Site"/>
    <s v=""/>
    <s v=""/>
    <s v="Solicita demo"/>
    <s v="Pipeline de Vendas"/>
    <s v="Qualificação de Vendas (SQL) (25%)"/>
    <s v=""/>
    <d v="2026-02-28T00:00:00"/>
    <m/>
    <m/>
    <n v="1"/>
    <s v="Paulo Souza"/>
    <d v="2026-02-12T00:00:00"/>
    <d v="1899-12-30T02:29:04"/>
    <s v=""/>
    <s v="Perdido"/>
    <d v="2026-02-13T00:00:00"/>
    <d v="1899-12-30T17:22:46"/>
    <s v="Preço muito alto - fora do budget de investimento"/>
    <s v=""/>
    <s v=""/>
    <x v="0"/>
    <s v="Paulo Souza"/>
    <x v="187"/>
    <s v=""/>
    <m/>
    <n v="30"/>
    <s v=""/>
    <s v="ERP, AFV"/>
    <s v=""/>
    <s v=""/>
    <n v="1"/>
  </r>
  <r>
    <x v="1"/>
    <n v="936"/>
    <m/>
    <n v="3268"/>
    <s v="(20/02/2026) Buscando fechamento _x000a_Conversa extraida do áudio enviado em 12/03/2026_x000a_ 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
    <s v=""/>
    <x v="454"/>
    <m/>
    <s v=""/>
    <s v="Atacadão das Tripas"/>
    <s v="14998549863"/>
    <s v=""/>
    <s v="kayocalil@hotmail.com"/>
    <s v=""/>
    <s v=""/>
    <s v=""/>
    <s v=""/>
    <s v=""/>
    <s v=""/>
    <s v=""/>
    <s v=""/>
    <s v=""/>
    <s v="Pipeline de Vendas"/>
    <s v="Em negociação (75%)"/>
    <s v=""/>
    <m/>
    <m/>
    <m/>
    <n v="27"/>
    <s v="Junior Lopes"/>
    <d v="2026-02-13T00:00:00"/>
    <d v="1899-12-30T14:52:42"/>
    <s v=""/>
    <s v="Perdido"/>
    <d v="2026-03-12T00:00:00"/>
    <d v="1899-12-30T14:12:42"/>
    <s v="Não quer mudar a solução atual"/>
    <s v="Conversa extraida do áudio enviado em 12/03/2026_x000a_ 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
    <s v=""/>
    <x v="0"/>
    <s v=""/>
    <x v="187"/>
    <s v=""/>
    <d v="2026-03-12T00:00:00"/>
    <n v="50"/>
    <s v=""/>
    <s v=""/>
    <s v=""/>
    <s v=""/>
    <n v="1"/>
  </r>
  <r>
    <x v="1"/>
    <n v="937"/>
    <m/>
    <n v="3267"/>
    <s v="(19/02/2026) descartando por falta de interação _x000a_09:44, 19/02/2026 Junior Lopes: Oi, Edenilson Tentei contato algumas vezes, mas não consegui falar com você. Imagino que sua rotina esteja corrida. Vou encerrar seu atendimento por aqui para não lotar sua caixa de entrada, mas sigo à disposição caso queira retomar o assunto no futuro"/>
    <s v=""/>
    <x v="455"/>
    <n v="3318893000106"/>
    <s v=""/>
    <s v="Eletro Fort Poste Padrão"/>
    <s v="19974151604"/>
    <s v=""/>
    <s v="compras@eletrofortlimeira.com.br"/>
    <s v=""/>
    <s v=""/>
    <s v=""/>
    <s v=""/>
    <s v=""/>
    <s v="Campanha"/>
    <s v=""/>
    <s v=""/>
    <s v="Dentro Perfil;Instagram"/>
    <s v="Pipeline de Vendas"/>
    <s v="Qualificação de Vendas (SQL) (25%)"/>
    <s v=""/>
    <d v="2026-02-28T00:00:00"/>
    <m/>
    <m/>
    <n v="13"/>
    <s v="Paulo Souza"/>
    <d v="2026-02-13T00:00:00"/>
    <d v="1899-12-30T21:58:18"/>
    <s v=""/>
    <s v="Perdido"/>
    <d v="2026-02-26T00:00:00"/>
    <d v="1899-12-30T23:10:17"/>
    <s v="Fora do porte mínimo (sem fit estrutural)"/>
    <s v=""/>
    <s v=""/>
    <x v="0"/>
    <s v="Junior Lopes"/>
    <x v="0"/>
    <s v=""/>
    <d v="2026-02-19T00:00:00"/>
    <n v="30"/>
    <s v=""/>
    <s v=""/>
    <s v=""/>
    <s v=""/>
    <n v="1"/>
  </r>
  <r>
    <x v="0"/>
    <n v="938"/>
    <m/>
    <n v="3266"/>
    <s v="19/02 Fiz FUP com o cliente e liguei para o Luis e ao entender o processo dele verifique que não atendemos. Pois ele quer que o vendedor no momento do pedido já emita a NF."/>
    <s v=""/>
    <x v="456"/>
    <n v="11994847000155"/>
    <s v=""/>
    <s v="Luís Fernando"/>
    <s v="(15) 99839-1786"/>
    <s v=""/>
    <s v="luismendesjr@cafecarneiro.com.br"/>
    <s v=""/>
    <s v=""/>
    <s v=""/>
    <s v="Itapeva"/>
    <s v=""/>
    <s v="Site"/>
    <s v=""/>
    <s v=""/>
    <s v="Contato"/>
    <s v="Pipeline de Vendas"/>
    <s v="Apresentar Solução (35%)"/>
    <s v=""/>
    <d v="2026-02-28T00:00:00"/>
    <m/>
    <m/>
    <n v="6"/>
    <s v="Paulo Souza"/>
    <d v="2026-02-13T00:00:00"/>
    <d v="1899-12-30T22:00:55"/>
    <s v=""/>
    <s v="Perdido"/>
    <d v="2026-02-19T00:00:00"/>
    <d v="1899-12-30T17:25:13"/>
    <s v="Nossa solução não atende - falta funcionalidade"/>
    <s v="19/02 Fiz FUP com o cliente e liguei para o Luis e ao entender o processo dele verifique que não atendemos. Pois ele quer que o vendedor no momento do pedido já emita a NF."/>
    <s v=""/>
    <x v="0"/>
    <s v="Paulo Souza"/>
    <x v="0"/>
    <s v=""/>
    <m/>
    <n v="30"/>
    <s v=""/>
    <s v=""/>
    <s v=""/>
    <s v=""/>
    <n v="1"/>
  </r>
  <r>
    <x v="2"/>
    <n v="945"/>
    <m/>
    <n v="3271"/>
    <s v=""/>
    <s v=""/>
    <x v="457"/>
    <m/>
    <s v=""/>
    <s v="Angel"/>
    <s v="(45) 99828-7178"/>
    <s v=""/>
    <s v="lucaangel20@hotmail.com"/>
    <s v=""/>
    <s v=""/>
    <s v=""/>
    <s v="Toledo"/>
    <s v=""/>
    <s v="Site"/>
    <s v=""/>
    <s v=""/>
    <s v="Solicita demo"/>
    <s v="Pipeline de Vendas"/>
    <s v="Agendamento (0%)"/>
    <s v=""/>
    <m/>
    <m/>
    <m/>
    <n v="2"/>
    <s v="Paulo Souza"/>
    <d v="2026-02-17T00:00:00"/>
    <d v="1899-12-30T17:47:51"/>
    <s v=""/>
    <s v="Perdido"/>
    <d v="2026-02-19T00:00:00"/>
    <d v="1899-12-30T09:05:02"/>
    <s v="Cliente não quer contato LGPD"/>
    <s v=""/>
    <s v=""/>
    <x v="0"/>
    <s v="Rayssa Karapeticov"/>
    <x v="0"/>
    <s v=""/>
    <d v="2026-02-18T00:00:00"/>
    <n v="30"/>
    <s v=""/>
    <s v="ERP"/>
    <s v=""/>
    <s v=""/>
    <n v="1"/>
  </r>
  <r>
    <x v="0"/>
    <n v="946"/>
    <m/>
    <n v="3270"/>
    <s v="26/02 Fiz FUP hoje com o Diego após varias tentativas de ligação ele não atendeu, envie e-mail para ver se consigo outro canal de conversa._x000a_12/03 Diego optou por uma solução local e se não der certo retorna o contato."/>
    <s v=""/>
    <x v="458"/>
    <m/>
    <s v=""/>
    <s v="Cia atacadista"/>
    <s v="71982084451"/>
    <s v=""/>
    <s v="ailtonsrocha@hotmail.com"/>
    <s v=""/>
    <s v=""/>
    <s v=""/>
    <s v=""/>
    <s v=""/>
    <s v="Campanha"/>
    <s v=""/>
    <s v=""/>
    <s v="Dentro Perfil;Instagram"/>
    <s v="Pipeline de Vendas"/>
    <s v="Qualificação de Vendas (SQL) (25%)"/>
    <s v=""/>
    <d v="2026-03-31T00:00:00"/>
    <m/>
    <m/>
    <n v="82"/>
    <s v="Paulo Souza"/>
    <d v="2026-02-18T00:00:00"/>
    <d v="1899-12-30T08:51:33"/>
    <s v=""/>
    <s v="Perdido"/>
    <d v="2026-05-11T00:00:00"/>
    <d v="1899-12-30T11:54:40"/>
    <s v="Fechou com o concorrente - preço"/>
    <s v="optou por uma solução local, senão atende-lo volta o contato."/>
    <s v=""/>
    <x v="0"/>
    <s v="Paulo Souza"/>
    <x v="0"/>
    <s v=""/>
    <d v="2026-03-12T00:00:00"/>
    <n v="30"/>
    <s v=""/>
    <s v="ERP, AFV"/>
    <s v=""/>
    <s v=""/>
    <n v="1"/>
  </r>
  <r>
    <x v="1"/>
    <n v="948"/>
    <m/>
    <n v="3278"/>
    <s v="(19/02/2026) em contato com Andreia ! atualmente usa ERP Linx e busca ferramenta de força de vendas _x000a_estamos alinhando data de apresentação _x000a_(09/03/2026) Após envio da proposta comercial Andréa não respondeu mais ! dois pontos de atenção com relacçao ao seu ramo de atividade , por ser um fabrica de roupas e ERP Linx"/>
    <s v=""/>
    <x v="459"/>
    <m/>
    <s v=""/>
    <s v="Ama"/>
    <s v="21995112577"/>
    <s v=""/>
    <s v="andreiamattosaeb@mail.com"/>
    <s v=""/>
    <s v=""/>
    <s v=""/>
    <s v=""/>
    <s v=""/>
    <s v="Campanha"/>
    <s v=""/>
    <s v=""/>
    <s v="Dentro Perfil;Instagram"/>
    <s v="Pipeline de Vendas"/>
    <s v="Apresentar Proposta (50%)"/>
    <s v=""/>
    <d v="2026-02-28T00:00:00"/>
    <n v="16960"/>
    <n v="575"/>
    <n v="21"/>
    <s v="Paulo Souza"/>
    <d v="2026-02-19T00:00:00"/>
    <d v="1899-12-30T08:14:29"/>
    <s v=""/>
    <s v="Perdido"/>
    <d v="2026-03-12T00:00:00"/>
    <d v="1899-12-30T15:22:14"/>
    <s v="Não houve aprovação financeira"/>
    <s v="investimento alto"/>
    <s v=""/>
    <x v="184"/>
    <s v="Junior Lopes"/>
    <x v="205"/>
    <s v=""/>
    <d v="2026-03-09T00:00:00"/>
    <n v="31"/>
    <s v=""/>
    <s v=""/>
    <s v=""/>
    <s v=""/>
    <n v="1"/>
  </r>
  <r>
    <x v="2"/>
    <n v="949"/>
    <m/>
    <n v="3279"/>
    <s v=""/>
    <s v=""/>
    <x v="363"/>
    <m/>
    <s v=""/>
    <s v="Fisiohosp"/>
    <s v="06596658787"/>
    <s v=""/>
    <s v="cmag2017@gmail.com"/>
    <s v=""/>
    <s v=""/>
    <s v=""/>
    <s v=""/>
    <s v="Cuiabá mt"/>
    <s v="Inbound"/>
    <s v=""/>
    <s v=""/>
    <s v="Fora Perfil;Instagram"/>
    <s v="Pipeline de Vendas"/>
    <s v="Agendamento (0%)"/>
    <s v=""/>
    <d v="2026-02-28T00:00:00"/>
    <m/>
    <m/>
    <n v="4"/>
    <s v="Paulo Souza"/>
    <d v="2026-02-19T00:00:00"/>
    <d v="1899-12-30T08:15:39"/>
    <s v=""/>
    <s v="Perdido"/>
    <d v="2026-02-23T00:00:00"/>
    <d v="1899-12-30T16:11:43"/>
    <s v="Fora do porte mínimo (sem fit estrutural)"/>
    <s v=""/>
    <s v=""/>
    <x v="0"/>
    <s v="Rayssa Karapeticov"/>
    <x v="0"/>
    <s v=""/>
    <m/>
    <n v="30"/>
    <s v=""/>
    <s v=""/>
    <s v=""/>
    <s v=""/>
    <n v="1"/>
  </r>
  <r>
    <x v="2"/>
    <n v="950"/>
    <m/>
    <n v="3280"/>
    <s v="19.02 devido o feriado de carnaval estã retornando hoje._x000a_Combinamos de falar amanhã 20/02 as 09h"/>
    <s v=""/>
    <x v="460"/>
    <n v="3459449000100"/>
    <s v=""/>
    <s v="San marcus industrial"/>
    <s v="75998542317"/>
    <s v=""/>
    <s v="marcos@sanmarcus.com.br"/>
    <s v=""/>
    <s v=""/>
    <s v=""/>
    <s v=""/>
    <s v=""/>
    <s v="Campanha"/>
    <s v=""/>
    <s v=""/>
    <s v="Dentro Perfil;Instagram"/>
    <s v="Pipeline de Vendas"/>
    <s v="Apresentar Solução (35%)"/>
    <s v=""/>
    <d v="2026-04-30T00:00:00"/>
    <m/>
    <m/>
    <n v="22"/>
    <s v="Paulo Souza"/>
    <d v="2026-02-19T00:00:00"/>
    <d v="1899-12-30T08:17:18"/>
    <s v=""/>
    <s v="Perdido"/>
    <d v="2026-03-13T00:00:00"/>
    <d v="1899-12-30T10:35:07"/>
    <s v="Não quer mudar a solução atual"/>
    <s v=""/>
    <s v=""/>
    <x v="0"/>
    <s v="Rayssa Karapeticov"/>
    <x v="0"/>
    <s v=""/>
    <d v="2026-03-13T00:00:00"/>
    <n v="31"/>
    <s v=""/>
    <s v="ERP, PCP, AFV"/>
    <s v=""/>
    <s v=""/>
    <n v="1"/>
  </r>
  <r>
    <x v="1"/>
    <n v="951"/>
    <m/>
    <n v="3282"/>
    <s v="(19/02/2026) ligação não atendida ! na sequencia envio de mensagem _x000a_(19/02/2026) em contato com Carolla , a empresa é uma loja de doces , fora do perfil _x000a_08:56, 19/02/2026 Junior Lopes: OLá Carolla, bom dia !_x000a_08:56, 19/02/2026 Junior Lopes: sou Junior Lopes da Guarani sistemas td bem ?_x000a_08:57, 19/02/2026 Junior Lopes: estou retornando um contato que você fez conosco"/>
    <s v=""/>
    <x v="461"/>
    <m/>
    <s v=""/>
    <s v="Fa de doces"/>
    <s v="16993027000"/>
    <s v=""/>
    <s v="carollafinancas@gmail.com"/>
    <s v=""/>
    <s v=""/>
    <s v=""/>
    <s v=""/>
    <s v=""/>
    <s v="Campanha"/>
    <s v=""/>
    <s v=""/>
    <s v="Fora Perfil;Instagram"/>
    <s v="Pipeline de Vendas"/>
    <s v="Qualificação de Vendas (SQL) (25%)"/>
    <s v=""/>
    <d v="2026-02-19T00:00:00"/>
    <m/>
    <m/>
    <n v="7"/>
    <s v="Paulo Souza"/>
    <d v="2026-02-19T00:00:00"/>
    <d v="1899-12-30T08:18:43"/>
    <s v=""/>
    <s v="Perdido"/>
    <d v="2026-02-26T00:00:00"/>
    <d v="1899-12-30T23:09:28"/>
    <s v="Fora do porte mínimo (sem fit estrutural)"/>
    <s v=""/>
    <s v=""/>
    <x v="0"/>
    <s v="Junior Lopes"/>
    <x v="0"/>
    <s v=""/>
    <m/>
    <n v="30"/>
    <s v=""/>
    <s v=""/>
    <s v=""/>
    <s v=""/>
    <n v="1"/>
  </r>
  <r>
    <x v="0"/>
    <n v="952"/>
    <m/>
    <n v="3283"/>
    <s v="26/02 Fiz FUP com Alessandro e combinamos de falar na segunda-feira as 9h_x000a_12/03 Fiz FUP com o Alessandro e combinamos uma apresentação amanhã as 8h _x000a_20/03 Fiz FUP com o Alessandro para saber se ele vai seguir ou não._x000a_20/03 Cliente achou o preço muito alto para investir agora."/>
    <s v=""/>
    <x v="462"/>
    <m/>
    <s v=""/>
    <s v="Alessandro"/>
    <s v="49999890528"/>
    <s v=""/>
    <s v="ale@metaladm.com.br"/>
    <s v=""/>
    <s v=""/>
    <s v=""/>
    <s v=""/>
    <s v=""/>
    <s v="Campanha"/>
    <s v=""/>
    <s v=""/>
    <s v="Dentro Perfil;Instagram"/>
    <s v="Pipeline de Vendas"/>
    <s v="Em negociação (75%)"/>
    <s v=""/>
    <d v="2026-03-31T00:00:00"/>
    <n v="862043"/>
    <n v="34937"/>
    <n v="40"/>
    <s v="Paulo Souza"/>
    <d v="2026-02-19T00:00:00"/>
    <d v="1899-12-30T08:19:46"/>
    <s v=""/>
    <s v="Perdido"/>
    <d v="2026-03-31T00:00:00"/>
    <d v="1899-12-30T16:31:50"/>
    <s v="Preço muito alto - fora do budget de investimento"/>
    <s v=""/>
    <s v=""/>
    <x v="187"/>
    <s v="Paulo Souza"/>
    <x v="0"/>
    <s v=""/>
    <d v="2026-03-20T00:00:00"/>
    <n v="30"/>
    <s v=""/>
    <s v="ERP, AFV"/>
    <s v=""/>
    <s v=""/>
    <n v="1"/>
  </r>
  <r>
    <x v="0"/>
    <n v="953"/>
    <m/>
    <n v="3284"/>
    <s v="26/02 Fiz FUP com a Fernanda e ela não atendeu, deixei recado para falarmos._x000a_02/02 Fiz FUP e cliente falou que vai analisar"/>
    <s v=""/>
    <x v="463"/>
    <m/>
    <s v=""/>
    <s v="NEW"/>
    <s v="1140227929"/>
    <s v=""/>
    <s v="ferramentarianws@gmail.com"/>
    <s v=""/>
    <s v=""/>
    <s v=""/>
    <s v=""/>
    <s v=""/>
    <s v="Campanha"/>
    <s v=""/>
    <s v=""/>
    <s v="Fora Perfil;Instagram"/>
    <s v="Pipeline de Vendas"/>
    <s v="Qualificação de Vendas (SQL) (25%)"/>
    <s v=""/>
    <d v="2026-02-28T00:00:00"/>
    <m/>
    <m/>
    <n v="12"/>
    <s v="Paulo Souza"/>
    <d v="2026-02-19T00:00:00"/>
    <d v="1899-12-30T08:20:37"/>
    <s v=""/>
    <s v="Perdido"/>
    <d v="2026-03-03T00:00:00"/>
    <d v="1899-12-30T21:25:01"/>
    <s v="Fora do porte mínimo (sem fit estrutural)"/>
    <s v=""/>
    <s v=""/>
    <x v="0"/>
    <s v="Paulo Souza"/>
    <x v="0"/>
    <s v=""/>
    <m/>
    <n v="32"/>
    <s v=""/>
    <s v=""/>
    <s v=""/>
    <s v=""/>
    <n v="1"/>
  </r>
  <r>
    <x v="2"/>
    <n v="956"/>
    <m/>
    <n v="3286"/>
    <s v="esta atrás de parceiria para revenda do sistema"/>
    <s v=""/>
    <x v="464"/>
    <m/>
    <s v=""/>
    <s v="Grupo Alves Consultoria Empresarial"/>
    <s v="92992307944"/>
    <s v=""/>
    <s v="tayanxpmartins@hotmail.com"/>
    <s v=""/>
    <s v=""/>
    <s v=""/>
    <s v=""/>
    <s v=""/>
    <s v="Campanha"/>
    <s v=""/>
    <s v=""/>
    <s v="Fora Perfil;Instagram"/>
    <s v="Pipeline de Vendas"/>
    <s v="Agendamento (0%)"/>
    <s v=""/>
    <d v="2026-02-28T00:00:00"/>
    <m/>
    <m/>
    <n v="3"/>
    <s v="Paulo Souza"/>
    <d v="2026-02-20T00:00:00"/>
    <d v="1899-12-30T13:53:53"/>
    <s v=""/>
    <s v="Perdido"/>
    <d v="2026-02-23T00:00:00"/>
    <d v="1899-12-30T16:07:54"/>
    <s v="Fora do porte mínimo (sem fit estrutural)"/>
    <s v=""/>
    <s v=""/>
    <x v="0"/>
    <s v="Rayssa Karapeticov"/>
    <x v="0"/>
    <s v=""/>
    <d v="2026-02-23T00:00:00"/>
    <n v="30"/>
    <s v=""/>
    <s v=""/>
    <s v=""/>
    <s v=""/>
    <n v="1"/>
  </r>
  <r>
    <x v="2"/>
    <n v="959"/>
    <m/>
    <n v="3298"/>
    <s v="Cliente é um representante da Oster e outras marcas, a ideia de negociação é do AFV, mas no dia sexta-feira, 20 de fevereiro de 2026_x000a_11:00 - 12:00 (BRT) - realizamos uma apresentação do AFv, durante a reunião pediu uma proposta do ERP também para avaliar uma possivel troca. _x000a_Após a reunião fizemos uma segunda ruenião de apresentação da proposta comercial no dia 24/02_x000a_Após isso cliente ficou de me passar uma contra proposta para negociação, porém ele esta em feria no EUA, e ainda não retornoul_x000a_Falei com ele hoje 18/03 e ainda esta em feira e pediu para retornar na sexta oferecendo um login e senha. _x000a_Vou retornar o contato na sexta para entender(provavelemente é do AFV) mas dar sequencia no atendimento_x000a_24.03 Estou marcando uma reunião presencial, porém essa semana esta em SC"/>
    <s v=""/>
    <x v="465"/>
    <m/>
    <s v=""/>
    <s v="André Feldman"/>
    <s v="11988461881"/>
    <s v=""/>
    <s v="andre@homebrands.com.br"/>
    <s v=""/>
    <s v=""/>
    <s v=""/>
    <s v=""/>
    <s v=""/>
    <s v=""/>
    <s v=""/>
    <s v=""/>
    <s v=""/>
    <s v="Pipeline de Vendas"/>
    <s v="Em negociação (75%)"/>
    <s v=""/>
    <d v="2026-05-31T00:00:00"/>
    <n v="963186"/>
    <n v="62062"/>
    <n v="79"/>
    <s v="Rayssa Karapeticov"/>
    <d v="2026-02-23T00:00:00"/>
    <d v="1899-12-30T11:51:24"/>
    <s v=""/>
    <s v="Perdido"/>
    <d v="2026-05-13T00:00:00"/>
    <d v="1899-12-30T10:42:53"/>
    <s v="Projeto adiado / sem prazo definido"/>
    <s v=""/>
    <s v=""/>
    <x v="188"/>
    <s v="Rayssa Karapeticov"/>
    <x v="206"/>
    <s v=""/>
    <d v="2026-05-13T00:00:00"/>
    <n v="30"/>
    <s v=""/>
    <s v="ERP"/>
    <s v=""/>
    <s v=""/>
    <n v="1"/>
  </r>
  <r>
    <x v="2"/>
    <n v="960"/>
    <m/>
    <n v="3299"/>
    <s v="Cliente é um representante da Oster e outras marcas, a ideia de negociação é do AFV, mas no dia sexta-feira, 20 de fevereiro de 2026_x000a_11:00 - 12:00 (BRT) - realizamos uma apresentação do AFv, durante a reunião pediu uma proposta do ERP também para avaliar uma possivel troca. _x000a_Após a reunião fizemos uma segunda ruenião de apresentação da proposta comercial no dia 24/02_x000a_Após isso cliente ficou de me passar uma contra proposta para negociação, porém ele esta em feria no EUA, e ainda não retornoul_x000a_Falei com ele hoje 18/03 e ainda esta em feira e pediu para retornar na sexta oferecendo um login e senha. _x000a_Vou retornar o contato na sexta para entender(provavelemente é do AFV) mas dar sequencia no atendimento_x000a_24.03 Estou marcando uma reunião presencial, porém essa semana esta em SC."/>
    <s v=""/>
    <x v="466"/>
    <m/>
    <s v=""/>
    <s v="Andre"/>
    <s v="11988461881"/>
    <s v=""/>
    <s v="andre@homebrands.com.br"/>
    <s v=""/>
    <s v=""/>
    <s v=""/>
    <s v=""/>
    <s v=""/>
    <s v=""/>
    <s v=""/>
    <s v=""/>
    <s v=""/>
    <s v="Pipeline de Vendas"/>
    <s v="Em negociação (75%)"/>
    <s v=""/>
    <d v="2026-04-30T00:00:00"/>
    <n v="27150"/>
    <n v="3450"/>
    <n v="79"/>
    <s v="Rayssa Karapeticov"/>
    <d v="2026-02-23T00:00:00"/>
    <d v="1899-12-30T12:12:37"/>
    <s v=""/>
    <s v="Perdido"/>
    <d v="2026-05-13T00:00:00"/>
    <d v="1899-12-30T10:53:23"/>
    <s v="Não quer mudar a solução atual"/>
    <s v=""/>
    <s v=""/>
    <x v="188"/>
    <s v="Rayssa Karapeticov"/>
    <x v="206"/>
    <s v=""/>
    <d v="2026-05-13T00:00:00"/>
    <n v="30"/>
    <s v=""/>
    <s v="AFV"/>
    <s v=""/>
    <s v=""/>
    <n v="1"/>
  </r>
  <r>
    <x v="1"/>
    <n v="961"/>
    <m/>
    <n v="3287"/>
    <s v="12:26, 24/02/2026 Junior Lopes: lá Valdir, bom dia_x000a_12:26, 24/02/2026 Junior Lopes: aqui é Junior Lopes da Guarani sistemas tudo bem ?_x000a_12:39, 24/02/2026 +55 19 99218-9262: Boa tarde._x000a_Tudo bem e você?_x000a_Estou em um pregão eletrônico,  assim que acabar te chamo_x000a_13:02, 25/02/2026 +55 19 99218-9262: Preciso de um erp que controle 2 cnpj._x000a_Tenha:_x000a_Controle de O.S. com emissão de produto junto._x000a_Atualização com marketplace hoje, ML, Amazon, Shopee e Magazine Luiza._x000a_Controle de contratos _x000a_Ecomerce._x000a_Vendas por WhatsApp, Instagram, etc._x000a_Quando fazer venda na loja física, podendo colocar produtos das duas empresas e depois fazer as nfe de acordo com os produtos adequados._x000a_13:02, 25/02/2026 Junior Lopes: Olá Valdir , boa tarde_x000a_13:03, 25/02/2026 Junior Lopes: Assim que finalizar meu almoço , verifico sua mensagem e te respondo_x000a_13:03, 25/02/2026 Junior Lopes: Um abraço_x000a_13:03, 25/02/2026 +55 19 99218-9262: Estou no médico tambem agora, kkkk_x000a_13:03, 25/02/2026 +55 19 99218-9262: No aguardo_x000a_14:02, 25/02/2026 Junior Lopes: Olá Valdir, td bem ? fiz uma analise sobre as necessidades que você solicitou_x000a_14:02, 25/02/2026 Junior Lopes: Para o cenário da Compuleme, que exige uma frente de caixa (PDV) para loja física e integração direta com redes sociais e marketplaces, informamos que a Guarani não é a solução ideal._x000a_Embora sejamos fortes no controle de múltiplos CNPJs, O.S. e contratos, nosso sistema não opera com vendas de varejo físico ou integração de canais de atendimento (WhatsApp/Instagram). Preferimos ser transparentes para que vocês possam focar em uma ferramenta que já possua esse ecossistema de vendas integrado nativamente"/>
    <s v=""/>
    <x v="467"/>
    <n v="56556830000154"/>
    <s v=""/>
    <s v="Compuleme"/>
    <s v="19992189262"/>
    <s v=""/>
    <s v="valdir@compuleme.com.br"/>
    <s v=""/>
    <s v=""/>
    <s v=""/>
    <s v=""/>
    <s v=""/>
    <s v="Campanha"/>
    <s v=""/>
    <s v=""/>
    <s v="Fora Perfil;Instagram"/>
    <s v="Pipeline de Vendas"/>
    <s v="Qualificação de Vendas (SQL) (25%)"/>
    <s v=""/>
    <d v="2026-02-28T00:00:00"/>
    <m/>
    <m/>
    <n v="2"/>
    <s v="Paulo Souza"/>
    <d v="2026-02-24T00:00:00"/>
    <d v="1899-12-30T09:39:07"/>
    <s v=""/>
    <s v="Perdido"/>
    <d v="2026-02-26T00:00:00"/>
    <d v="1899-12-30T23:10:53"/>
    <s v="Fora do porte mínimo (sem fit estrutural)"/>
    <s v=""/>
    <s v=""/>
    <x v="0"/>
    <s v="Junior Lopes"/>
    <x v="0"/>
    <s v=""/>
    <d v="2026-02-25T00:00:00"/>
    <n v="30"/>
    <s v=""/>
    <s v=""/>
    <s v=""/>
    <s v=""/>
    <n v="1"/>
  </r>
  <r>
    <x v="2"/>
    <n v="962"/>
    <m/>
    <n v="3290"/>
    <s v="Perfil da Empresa_x000a_Setor: Tecnologia e segurança_x000a_Atuação: Distribuidora e empresa de tecnologia_x000a_Marcas representadas: Motorola, 3M_x000a_Produtos e Serviços_x000a_Vendas de produtos:_x000a_Via rádio de segurança_x000a_Formato de vendas para clientes recorrentes_x000a_Indicação pelo próprio representante_x000a_Equipe interna de vendas com 10 pessoas_x000a_Locação de produtos_x000a_Serviços complementares (não especificados, mas mencionados)_x000a_Estrutura Comercial_x000a_Equipe de vendas: 10 pessoas_x000a_Canais de vendas:_x000a_Representantes_x000a_Indicações_x000a_Equipe interna_x000a_Necessidade Atual_x000a_Implementar uma solução que:_x000a_Crie indicadores de desempenho para a equipe de vendas_x000a_Disponibilize um CRM para gestão de clientes e processos"/>
    <s v=""/>
    <x v="468"/>
    <m/>
    <s v=""/>
    <s v="São Paulo"/>
    <s v="11991241336"/>
    <s v=""/>
    <s v="dario@trivaletecnologia.com.br"/>
    <s v=""/>
    <s v=""/>
    <s v=""/>
    <s v=""/>
    <s v=""/>
    <s v="Campanha"/>
    <s v=""/>
    <s v=""/>
    <s v="Dentro Perfil;Instagram"/>
    <s v="Pipeline de Vendas"/>
    <s v="Agendamento (0%)"/>
    <s v=""/>
    <d v="2026-02-28T00:00:00"/>
    <m/>
    <m/>
    <n v="74"/>
    <s v="Paulo Souza"/>
    <d v="2026-02-24T00:00:00"/>
    <d v="1899-12-30T09:42:24"/>
    <s v=""/>
    <s v="Perdido"/>
    <d v="2026-05-09T00:00:00"/>
    <d v="1899-12-30T08:49:05"/>
    <s v="Fora do segmento atendido"/>
    <s v=""/>
    <s v=""/>
    <x v="0"/>
    <s v="Rayssa Karapeticov"/>
    <x v="0"/>
    <s v=""/>
    <d v="2026-02-26T00:00:00"/>
    <n v="30"/>
    <s v=""/>
    <s v=""/>
    <s v=""/>
    <s v=""/>
    <n v="1"/>
  </r>
  <r>
    <x v="0"/>
    <n v="963"/>
    <m/>
    <n v="3293"/>
    <s v="26/02 Fiz FUP com o Anderson e ele possui 3 lojas de roupa e esta fora do perfil."/>
    <s v=""/>
    <x v="469"/>
    <m/>
    <s v=""/>
    <s v="Anderson Brandão"/>
    <s v="13981286699"/>
    <s v=""/>
    <s v="anderson.melro@hotmail.com"/>
    <s v=""/>
    <s v=""/>
    <s v=""/>
    <s v=""/>
    <s v=""/>
    <s v="Campanha"/>
    <s v=""/>
    <s v=""/>
    <s v="Fora Perfil;Instagram"/>
    <s v="Pipeline de Vendas"/>
    <s v="Agendamento (0%)"/>
    <s v=""/>
    <d v="2026-02-28T00:00:00"/>
    <m/>
    <m/>
    <n v="2"/>
    <s v="Paulo Souza"/>
    <d v="2026-02-24T00:00:00"/>
    <d v="1899-12-30T09:46:02"/>
    <s v=""/>
    <s v="Perdido"/>
    <d v="2026-02-26T00:00:00"/>
    <d v="1899-12-30T17:30:38"/>
    <s v="Fora do porte mínimo (sem fit estrutural)"/>
    <s v="26/02 Fiz FUP com o Anderson e ele possui 3 lojas de roupa e esta fora do perfil."/>
    <s v=""/>
    <x v="0"/>
    <s v="Paulo Souza"/>
    <x v="0"/>
    <s v=""/>
    <m/>
    <n v="30"/>
    <s v=""/>
    <s v="PDV"/>
    <s v=""/>
    <s v=""/>
    <n v="1"/>
  </r>
  <r>
    <x v="0"/>
    <n v="964"/>
    <m/>
    <n v="3294"/>
    <s v="26/02 Fiz FUP com a Leticia ela não pode atender pois estava saindo para buscar o filho na escola, ficamos de falar amanha._x000a_12/03 Apos ligar e não ser atendido estou declinando a aliança."/>
    <s v=""/>
    <x v="470"/>
    <m/>
    <s v=""/>
    <s v="Leticia"/>
    <s v="(62) 99953-7500"/>
    <s v=""/>
    <s v="leticiarsouza1@gmail.com"/>
    <s v=""/>
    <s v=""/>
    <s v=""/>
    <s v="Goiânia"/>
    <s v=""/>
    <s v="Site"/>
    <s v=""/>
    <s v=""/>
    <s v="Dentro Perfil;Fora Perfil;Solicita demo"/>
    <s v="Pipeline de Vendas"/>
    <s v="Qualificação de Vendas (SQL) (25%)"/>
    <s v=""/>
    <d v="2026-02-28T00:00:00"/>
    <m/>
    <m/>
    <n v="16"/>
    <s v="Paulo Souza"/>
    <d v="2026-02-24T00:00:00"/>
    <d v="1899-12-30T09:48:17"/>
    <s v=""/>
    <s v="Perdido"/>
    <d v="2026-03-12T00:00:00"/>
    <d v="1899-12-30T17:30:42"/>
    <s v="Fora do porte mínimo (sem fit estrutural)"/>
    <s v=""/>
    <s v=""/>
    <x v="0"/>
    <s v="Paulo Souza"/>
    <x v="200"/>
    <s v=""/>
    <d v="2026-03-12T00:00:00"/>
    <n v="30"/>
    <s v=""/>
    <s v=""/>
    <s v=""/>
    <s v=""/>
    <n v="1"/>
  </r>
  <r>
    <x v="1"/>
    <n v="965"/>
    <m/>
    <n v="3295"/>
    <s v="(24/02/20260 Tentativa de ligação não atendia ! enviei mensagem a fim de contato com Geaze ! _x000a_em busca sobre a empresa usando IA do Google :_x000a_A Infraloc é uma empresa especializada na locação e venda de móveis corporativos e equipamentos, com forte atuação no setor de construção civil, canteiros de obras e eventos. _x000a_Informações de Contato e Localização_x000a_Endereço: R. José Miranda, 143 - Afogados, Recife - PE._x000a_WhatsApp: (81) 98297-2897._x000a_Site Oficial: infraloc.com.br. _x000a_Principais Produtos e Serviços_x000a_A empresa oferece soluções completas para canteiros, escritórios e refeitórios, incluindo:_x000a_Móveis Corporativos: Mesas de reunião, mesas e cadeiras de escritório, armários roupeiros e estações de trabalho._x000a_Equipamentos: Bebedouros industriais, cafeteiras expressas, impressoras a laser e máquinas para construção._x000a_Estruturas para Eventos: Locação de toldos, mesas e cadeiras de PVC para festas e eventos em gera_x000a_(25/02/2026) cliente trabalha com locação de equipamento , é necessário controle e contrato de locação manutenção (Fora do perfil )"/>
    <s v=""/>
    <x v="471"/>
    <m/>
    <s v=""/>
    <s v="Infraloc"/>
    <s v="81986574539"/>
    <s v=""/>
    <s v="geazemiranda@yahoo.com.br"/>
    <s v=""/>
    <s v=""/>
    <s v=""/>
    <s v=""/>
    <s v=""/>
    <s v="Campanha"/>
    <s v=""/>
    <s v=""/>
    <s v="Fora Perfil;Instagram"/>
    <s v="Pipeline de Vendas"/>
    <s v="Qualificação de Vendas (SQL) (25%)"/>
    <s v=""/>
    <d v="2026-02-28T00:00:00"/>
    <m/>
    <m/>
    <n v="1"/>
    <s v="Paulo Souza"/>
    <d v="2026-02-24T00:00:00"/>
    <d v="1899-12-30T09:49:20"/>
    <s v=""/>
    <s v="Perdido"/>
    <d v="2026-02-25T00:00:00"/>
    <d v="1899-12-30T10:58:00"/>
    <s v="Fora do porte mínimo (sem fit estrutural)"/>
    <s v="(25/02/2026) cliente trabalha com locação de equipamento , é necessário controle e contrato de locação manutenção (Fora do perfil )"/>
    <s v=""/>
    <x v="0"/>
    <s v="Junior Lopes"/>
    <x v="0"/>
    <s v=""/>
    <d v="2026-02-25T00:00:00"/>
    <n v="30"/>
    <s v=""/>
    <s v=""/>
    <s v=""/>
    <s v=""/>
    <n v="1"/>
  </r>
  <r>
    <x v="2"/>
    <n v="966"/>
    <m/>
    <n v="3296"/>
    <s v=""/>
    <s v=""/>
    <x v="472"/>
    <m/>
    <s v=""/>
    <s v="Centrolar"/>
    <s v="62992132212"/>
    <s v=""/>
    <s v="ubiratanrosania@gmail.com"/>
    <s v=""/>
    <s v=""/>
    <s v=""/>
    <s v=""/>
    <s v=""/>
    <s v="Campanha"/>
    <s v=""/>
    <s v=""/>
    <s v="Fora Perfil;Instagram"/>
    <s v="Pipeline de Vendas"/>
    <s v="Agendamento (0%)"/>
    <s v=""/>
    <d v="2026-03-31T00:00:00"/>
    <m/>
    <m/>
    <n v="74"/>
    <s v="Paulo Souza"/>
    <d v="2026-02-24T00:00:00"/>
    <d v="1899-12-30T09:50:49"/>
    <s v=""/>
    <s v="Perdido"/>
    <d v="2026-05-09T00:00:00"/>
    <d v="1899-12-30T21:11:15"/>
    <s v="Sem qualificação — contato não atende ligações nem responde msg"/>
    <s v=""/>
    <s v=""/>
    <x v="0"/>
    <s v="Rayssa Karapeticov"/>
    <x v="0"/>
    <s v=""/>
    <d v="2026-03-09T00:00:00"/>
    <n v="30"/>
    <s v=""/>
    <s v=""/>
    <s v=""/>
    <s v=""/>
    <n v="1"/>
  </r>
  <r>
    <x v="1"/>
    <n v="967"/>
    <m/>
    <n v="3300"/>
    <s v="(24/02/2026) em contato com Daniel _x000a_A empresa Vitta Estrutural está iniciando as operação, sua operação esta focada em recarga de extintores e revenda de produtos através de venda balcão e representante externo ! um ponto especifico é o controle de lote e validade dos extintores informando a data que está vencendo no ambiente do cliente _x000a_Daniel solicitou uma previsão de investimento para seguirmos _x000a_(25/02/2026) enviando previsão de investimento para analise do cliente e viabilidade  _x000a_10:50, 25/02/2026 Junior Lopes: valores na pagina 27 com resumo na pagina 28_x000a_10:53, 25/02/2026 Junior Lopes: perfeito ! ficamos a disposição para apresentação completa da solução_x000a_10:41, 09/03/2026 Junior Lopes: Olá Daniel, bom dia _x000a_Sobre o projeto ERP Guarani ! Vamos da sequência meu amigo?_x000a_10:41, 09/03/2026 Junior Lopes: Olá Daniel, bom dia _x000a_Sobre o projeto ERP Guarani ! Vamos da sequência meu amigo?_x000a_10:42, 09/03/2026 +55 67 9207-9099: Bom dia, agradeço por enquanto.,_x000a_10:45, 09/03/2026 Junior Lopes: Obrigado pelo retorno! Sucesso para vcs"/>
    <s v=""/>
    <x v="473"/>
    <m/>
    <s v=""/>
    <s v="Vitta Estrutural"/>
    <s v="67992079099"/>
    <s v=""/>
    <s v="dgruschel@hotmail.com"/>
    <s v=""/>
    <s v=""/>
    <s v=""/>
    <s v=""/>
    <s v=""/>
    <s v="Campanha"/>
    <s v=""/>
    <s v=""/>
    <s v="30%;Dentro Perfil;Instagram"/>
    <s v="Pipeline de Vendas"/>
    <s v="Apresentar Proposta (50%)"/>
    <s v=""/>
    <d v="2026-03-30T00:00:00"/>
    <n v="758068"/>
    <n v="9596"/>
    <n v="13"/>
    <s v="Paulo Souza"/>
    <d v="2026-02-24T00:00:00"/>
    <d v="1899-12-30T09:52:13"/>
    <s v=""/>
    <s v="Perdido"/>
    <d v="2026-03-09T00:00:00"/>
    <d v="1899-12-30T10:46:44"/>
    <s v="Projeto adiado / sem prazo definido"/>
    <s v="10:41, 09/03/2026 Junior Lopes: Olá Daniel, bom dia _x000a_Sobre o projeto ERP Guarani ! Vamos da sequência meu amigo?_x000a_10:42, 09/03/2026 +55 67 9207-9099: Bom dia, agradeço por enquanto.,_x000a_10:45, 09/03/2026 Junior Lopes: Obrigado pelo retorno! Sucesso para vcs"/>
    <s v=""/>
    <x v="184"/>
    <s v="Junior Lopes"/>
    <x v="199"/>
    <s v=""/>
    <d v="2026-03-09T00:00:00"/>
    <n v="30"/>
    <s v=""/>
    <s v=""/>
    <s v=""/>
    <s v=""/>
    <n v="1"/>
  </r>
  <r>
    <x v="0"/>
    <n v="968"/>
    <m/>
    <n v="3288"/>
    <s v="26/02 Fiz FUP hoje com o Fábio ele não atendeu a ligação, deixei novo recado no Whatasapp."/>
    <s v=""/>
    <x v="474"/>
    <m/>
    <s v=""/>
    <s v="Flávio Storino"/>
    <s v="(19) 99667-2002"/>
    <s v=""/>
    <s v="flaviostorino@gmail.com"/>
    <s v=""/>
    <s v=""/>
    <s v=""/>
    <s v="Porto Ferreira"/>
    <s v=""/>
    <s v="Site"/>
    <s v=""/>
    <s v=""/>
    <s v="Contato"/>
    <s v="Pipeline de Vendas"/>
    <s v="Qualificação de Vendas (SQL) (25%)"/>
    <s v=""/>
    <d v="2026-02-28T00:00:00"/>
    <m/>
    <m/>
    <n v="2"/>
    <s v="Paulo Souza"/>
    <d v="2026-02-24T00:00:00"/>
    <d v="1899-12-30T09:54:16"/>
    <s v=""/>
    <s v="Perdido"/>
    <d v="2026-02-26T00:00:00"/>
    <d v="1899-12-30T18:33:13"/>
    <s v="Fora do porte mínimo (sem fit estrutural)"/>
    <s v=""/>
    <s v=""/>
    <x v="0"/>
    <s v="Paulo Souza"/>
    <x v="0"/>
    <s v=""/>
    <m/>
    <n v="30"/>
    <s v=""/>
    <s v=""/>
    <s v=""/>
    <s v=""/>
    <n v="1"/>
  </r>
  <r>
    <x v="2"/>
    <n v="969"/>
    <m/>
    <n v="3304"/>
    <s v=""/>
    <s v=""/>
    <x v="475"/>
    <n v="64688089000103"/>
    <s v=""/>
    <s v="Lucas"/>
    <s v="(11) 1111-1111"/>
    <s v=""/>
    <s v="contato@lucassecco.com.br"/>
    <s v=""/>
    <s v=""/>
    <s v=""/>
    <s v="ITAJAI"/>
    <s v="SC"/>
    <s v=""/>
    <s v=""/>
    <s v=""/>
    <s v=""/>
    <s v="Pipeline de Vendas"/>
    <s v="Apresentar Proposta (50%)"/>
    <s v=""/>
    <d v="2026-06-30T00:00:00"/>
    <n v="5191686"/>
    <n v="50562"/>
    <n v="16"/>
    <s v="Rayssa Karapeticov"/>
    <d v="2026-02-24T00:00:00"/>
    <d v="1899-12-30T12:41:49"/>
    <s v=""/>
    <s v="Perdido"/>
    <d v="2026-03-12T00:00:00"/>
    <d v="1899-12-30T17:14:44"/>
    <s v="Preço muito alto - fora do budget de investimento"/>
    <s v=""/>
    <s v=""/>
    <x v="189"/>
    <s v="Rayssa Karapeticov"/>
    <x v="207"/>
    <s v=""/>
    <d v="2026-03-12T00:00:00"/>
    <n v="30"/>
    <s v=""/>
    <s v="ERP, AFV"/>
    <s v=""/>
    <s v=""/>
    <n v="1"/>
  </r>
  <r>
    <x v="2"/>
    <n v="971"/>
    <m/>
    <n v="3303"/>
    <s v=""/>
    <s v=""/>
    <x v="476"/>
    <n v="1397620000179"/>
    <s v=""/>
    <s v="Sunred confecções"/>
    <s v="37988006012"/>
    <s v=""/>
    <s v="atendimento@sunred.com.br"/>
    <s v=""/>
    <s v=""/>
    <s v=""/>
    <s v=""/>
    <s v=""/>
    <s v="Campanha"/>
    <s v=""/>
    <s v=""/>
    <s v="Fora Perfil;Instagram"/>
    <s v="Pipeline de Vendas"/>
    <s v="Agendamento (0%)"/>
    <s v=""/>
    <d v="2026-02-28T00:00:00"/>
    <m/>
    <m/>
    <n v="73"/>
    <s v="Paulo Souza"/>
    <d v="2026-02-25T00:00:00"/>
    <d v="1899-12-30T15:32:36"/>
    <s v=""/>
    <s v="Perdido"/>
    <d v="2026-05-09T00:00:00"/>
    <d v="1899-12-30T08:49:28"/>
    <s v="Fora do segmento atendido"/>
    <s v=""/>
    <s v=""/>
    <x v="0"/>
    <s v="Rayssa Karapeticov"/>
    <x v="0"/>
    <s v=""/>
    <m/>
    <n v="27"/>
    <s v=""/>
    <s v=""/>
    <s v=""/>
    <s v=""/>
    <n v="1"/>
  </r>
  <r>
    <x v="1"/>
    <n v="972"/>
    <m/>
    <n v="3305"/>
    <s v="25/02/2026) em contato com Rogério _x000a_aoós tentativa de ligação nos falamos via WhatsApp conforme abaixo : _x000a_15:40, 25/02/2026 Junior Lopes: Olá Rogério , boa tarde_x000a_15:40, 25/02/2026 Junior Lopes: Sou Junior Lopes da Guarani sistemas! Td bem ?_x000a_15:40, 25/02/2026 Teodoro Cosmeticos: Boa tarde Júnior_x000a_15:41, 25/02/2026 Teodoro Cosmeticos: Bem graças a Deus_x000a_15:41, 25/02/2026 Junior Lopes: Que bom_x000a_15:41, 25/02/2026 Junior Lopes: Estou retornando um contato que vc fez conosco, relacionado ao nosso software_x000a_através de um áudio pedi para me falar um pouco mais sonbre sua empresa e dores _x000a_(25/02/2026) Agenda de apresentação AFV _x000a_(12/03/2026) Rogério achou investimento alto para o momento  atual"/>
    <s v=""/>
    <x v="477"/>
    <n v="51119265000144"/>
    <s v=""/>
    <s v="Teodoro cosméticos"/>
    <s v="(14) 3541-6311"/>
    <s v=""/>
    <s v="agilassessoriacontabil@otmail.com"/>
    <s v=""/>
    <s v=""/>
    <s v=""/>
    <s v="PROMISSAO"/>
    <s v="SP"/>
    <s v="Campanha"/>
    <s v=""/>
    <s v=""/>
    <s v="Dentro Perfil;Instagram"/>
    <s v="Pipeline de Vendas"/>
    <s v="Apresentar Proposta (50%)"/>
    <s v=""/>
    <d v="2026-02-25T00:00:00"/>
    <n v="5842744"/>
    <n v="145888"/>
    <n v="15"/>
    <s v="Paulo Souza"/>
    <d v="2026-02-25T00:00:00"/>
    <d v="1899-12-30T15:33:31"/>
    <s v=""/>
    <s v="Perdido"/>
    <d v="2026-03-12T00:00:00"/>
    <d v="1899-12-30T10:52:05"/>
    <s v="Não houve aprovação financeira"/>
    <s v="(12/03/2026) Rogério achou investimento alto para o momento  atual"/>
    <s v=""/>
    <x v="190"/>
    <s v="Junior Lopes"/>
    <x v="200"/>
    <s v=""/>
    <d v="2026-03-12T00:00:00"/>
    <n v="30"/>
    <s v=""/>
    <s v=""/>
    <s v=""/>
    <s v=""/>
    <n v="1"/>
  </r>
  <r>
    <x v="1"/>
    <n v="973"/>
    <m/>
    <n v="3309"/>
    <s v="(26/02/2026) Tentativa de ligação não atendida _x000a_09:13, 26/02/2026 Junior Lopes: Olá Junior, bom dia_x000a_09:13, 26/02/2026 Junior Lopes: aqui é Junior Lopes da Guarani sistemas, tudo bem ?_x000a_09:14, 26/02/2026 Junior Lopes: estou retornando um contato que você fez relacionado ao sistema Guarani_x000a_(26/02/2026) cliente não retorna aos contatos ! em breve pesquisa sobre a Revisão autopeças identifiquei que loja balcão ficando fora do perfil _x000a_estou declinando"/>
    <s v=""/>
    <x v="478"/>
    <n v="13994329000167"/>
    <s v=""/>
    <s v="Revisao Autopeças"/>
    <s v="(31) 8705-9607"/>
    <s v=""/>
    <s v="pratesctb@gmail.com"/>
    <s v=""/>
    <s v=""/>
    <s v=""/>
    <s v="CONTAGEM"/>
    <s v="MG"/>
    <s v="Inbound"/>
    <s v=""/>
    <s v=""/>
    <s v="Fora Perfil;Instagram"/>
    <s v="Pipeline de Vendas"/>
    <s v="Qualificação de Vendas (SQL) (25%)"/>
    <s v=""/>
    <d v="2026-02-28T00:00:00"/>
    <m/>
    <m/>
    <n v="1"/>
    <s v="Paulo Souza"/>
    <d v="2026-02-25T00:00:00"/>
    <d v="1899-12-30T21:31:37"/>
    <s v=""/>
    <s v="Perdido"/>
    <d v="2026-02-26T00:00:00"/>
    <d v="1899-12-30T23:08:09"/>
    <s v="Fora do porte mínimo (sem fit estrutural)"/>
    <s v=""/>
    <s v=""/>
    <x v="0"/>
    <s v="Junior Lopes"/>
    <x v="0"/>
    <s v=""/>
    <m/>
    <n v="30"/>
    <s v=""/>
    <s v=""/>
    <s v=""/>
    <s v=""/>
    <n v="1"/>
  </r>
  <r>
    <x v="2"/>
    <n v="974"/>
    <m/>
    <n v="3312"/>
    <s v=""/>
    <s v=""/>
    <x v="479"/>
    <m/>
    <s v=""/>
    <s v="Jlj transportes e locações"/>
    <s v="3196677652"/>
    <s v=""/>
    <s v="jairocesar@jllcomserv.com.br"/>
    <s v=""/>
    <s v=""/>
    <s v=""/>
    <s v=""/>
    <s v=""/>
    <s v="Campanha"/>
    <s v=""/>
    <s v=""/>
    <s v="Fora Perfil;Instagram"/>
    <s v="Pipeline de Vendas"/>
    <s v="Agendamento (0%)"/>
    <s v=""/>
    <d v="2026-05-31T00:00:00"/>
    <m/>
    <m/>
    <n v="72"/>
    <s v="Paulo Souza"/>
    <d v="2026-02-26T00:00:00"/>
    <d v="1899-12-30T09:29:58"/>
    <s v=""/>
    <s v="Perdido"/>
    <d v="2026-05-09T00:00:00"/>
    <d v="1899-12-30T08:49:59"/>
    <s v="Fora do segmento atendido"/>
    <s v=""/>
    <s v=""/>
    <x v="0"/>
    <s v="Rayssa Karapeticov"/>
    <x v="0"/>
    <s v=""/>
    <d v="2026-03-03T00:00:00"/>
    <n v="30"/>
    <s v=""/>
    <s v=""/>
    <s v=""/>
    <s v=""/>
    <n v="1"/>
  </r>
  <r>
    <x v="0"/>
    <n v="976"/>
    <m/>
    <n v="3314"/>
    <s v="26/02 Fiz Fiz FUP hoje com o Matheus e agendamos uma apresentação para quinta-feira dia 05/03 às 15h._x000a_05/03 Fiz FUP com o Matheus e hoje temos uma apresentação as 15h par afalar de sistema. Ele tem uma distribuidora de alimentação animal. _x000a_Tem 7 vendedores. já ancorei 50k de investimento_x000a_12/03 Fiz FUP hoje com o Matheus para saber se ele tem interesse em seguir _x000a_20/03 Fiz contato com o Matues muitas vezes sem retorno e por falta de comunicação estou encerrado a oportunidade."/>
    <s v=""/>
    <x v="480"/>
    <n v="22228036000160"/>
    <s v=""/>
    <s v="Matheus"/>
    <s v="(15) 3553-1307 / (15) 3553-1308"/>
    <s v=""/>
    <s v="matheusmarmodossantoslima@gmail.com"/>
    <s v=""/>
    <s v=""/>
    <s v=""/>
    <s v="RIBEIRAO BRANCO"/>
    <s v="SP"/>
    <s v="Site"/>
    <s v=""/>
    <s v=""/>
    <s v="Dentro Perfil;Solicita demo"/>
    <s v="Pipeline de Vendas"/>
    <s v="Apresentar Proposta (50%)"/>
    <s v=""/>
    <d v="2026-03-31T00:00:00"/>
    <m/>
    <m/>
    <n v="22"/>
    <s v="Paulo Souza"/>
    <d v="2026-02-26T00:00:00"/>
    <d v="1899-12-30T15:46:38"/>
    <s v=""/>
    <s v="Perdido"/>
    <d v="2026-03-20T00:00:00"/>
    <d v="1899-12-30T17:21:26"/>
    <s v="Projeto adiado / sem prazo definido"/>
    <s v=""/>
    <s v=""/>
    <x v="168"/>
    <s v="Paulo Souza"/>
    <x v="182"/>
    <s v=""/>
    <d v="2026-03-20T00:00:00"/>
    <n v="32"/>
    <s v=""/>
    <s v="ERP, AFV"/>
    <s v=""/>
    <s v=""/>
    <n v="1"/>
  </r>
  <r>
    <x v="0"/>
    <n v="977"/>
    <m/>
    <n v="3318"/>
    <s v="10/03 uilian me retornou avisou que vai manter a Mercos , devido a urgência que precisa referente a abertura da unidade São Paulo. Após essa necessidade ser atendida voltaremos a falar!"/>
    <s v=""/>
    <x v="481"/>
    <n v="82270893000150"/>
    <s v=""/>
    <s v="uilian"/>
    <s v="(44) 3045-3700"/>
    <s v=""/>
    <s v="uilian.gurjon@prats.com.br"/>
    <s v=""/>
    <s v=""/>
    <s v=""/>
    <s v="PARANAVAI"/>
    <s v="PR"/>
    <s v=""/>
    <s v=""/>
    <s v=""/>
    <s v=""/>
    <s v="Pipeline de Vendas"/>
    <s v="Em Fechamento (100%)"/>
    <s v=""/>
    <d v="2026-02-28T00:00:00"/>
    <n v="35870"/>
    <n v="5290"/>
    <n v="12"/>
    <s v="Paulo Souza"/>
    <d v="2026-02-26T00:00:00"/>
    <d v="1899-12-30T15:48:32"/>
    <s v=""/>
    <s v="Perdido"/>
    <d v="2026-03-10T00:00:00"/>
    <d v="1899-12-30T11:44:09"/>
    <s v="Não quer mudar a solução atual"/>
    <s v=""/>
    <s v=""/>
    <x v="168"/>
    <s v="Paulo Souza"/>
    <x v="199"/>
    <s v=""/>
    <m/>
    <n v="30"/>
    <s v="100"/>
    <s v="AFV"/>
    <s v=""/>
    <s v=""/>
    <n v="1"/>
  </r>
  <r>
    <x v="1"/>
    <n v="978"/>
    <m/>
    <n v="3323"/>
    <s v="(12/03/2026) Rogério achou investimento alto para o momento  atual"/>
    <s v=""/>
    <x v="482"/>
    <m/>
    <s v=""/>
    <s v="Teodoro cosméticos - AFV"/>
    <s v="1435416311"/>
    <s v=""/>
    <s v="agilassessoriacontabil@otmail.com"/>
    <s v=""/>
    <s v=""/>
    <s v=""/>
    <s v=""/>
    <s v=""/>
    <s v=""/>
    <s v=""/>
    <s v=""/>
    <s v=""/>
    <s v="Pipeline de Vendas"/>
    <s v="Apresentar Proposta (50%)"/>
    <s v=""/>
    <m/>
    <n v="1105989"/>
    <n v="29463"/>
    <n v="14"/>
    <s v="Junior Lopes"/>
    <d v="2026-02-26T00:00:00"/>
    <d v="1899-12-30T17:20:40"/>
    <s v=""/>
    <s v="Perdido"/>
    <d v="2026-03-12T00:00:00"/>
    <d v="1899-12-30T10:53:12"/>
    <s v="Não houve aprovação financeira"/>
    <s v="(12/03/2026) Rogério achou investimento alto para o momento  atual"/>
    <s v=""/>
    <x v="190"/>
    <s v=""/>
    <x v="200"/>
    <s v=""/>
    <d v="2026-03-13T00:00:00"/>
    <n v="30"/>
    <s v=""/>
    <s v=""/>
    <s v=""/>
    <s v=""/>
    <n v="1"/>
  </r>
  <r>
    <x v="1"/>
    <n v="979"/>
    <m/>
    <n v="3324"/>
    <s v="(12/03/2026) Rogério achou investimento alto para o momento  atual"/>
    <s v=""/>
    <x v="483"/>
    <m/>
    <s v=""/>
    <s v="Teodoro cosméticos - Cloud"/>
    <s v="1435416311"/>
    <s v=""/>
    <s v="agilassessoriacontabil@otmail.com"/>
    <s v=""/>
    <s v=""/>
    <s v=""/>
    <s v=""/>
    <s v=""/>
    <s v=""/>
    <s v=""/>
    <s v=""/>
    <s v=""/>
    <s v="Pipeline de Vendas"/>
    <s v="Apresentar Proposta (50%)"/>
    <s v=""/>
    <m/>
    <n v="1600"/>
    <n v="252471"/>
    <n v="14"/>
    <s v="Junior Lopes"/>
    <d v="2026-02-26T00:00:00"/>
    <d v="1899-12-30T17:35:15"/>
    <s v=""/>
    <s v="Perdido"/>
    <d v="2026-03-12T00:00:00"/>
    <d v="1899-12-30T10:50:51"/>
    <s v="Não houve aprovação financeira"/>
    <s v="(12/03/2026) Rogério achou investimento alto para o momento  atual"/>
    <s v="12/03/2026"/>
    <x v="190"/>
    <s v=""/>
    <x v="0"/>
    <s v=""/>
    <m/>
    <n v="30"/>
    <s v=""/>
    <s v=""/>
    <s v=""/>
    <s v=""/>
    <n v="1"/>
  </r>
  <r>
    <x v="0"/>
    <n v="980"/>
    <m/>
    <n v="3325"/>
    <s v=""/>
    <s v=""/>
    <x v="484"/>
    <n v="23059521000110"/>
    <s v=""/>
    <s v="Cristiana"/>
    <s v="(49) 3665-3004"/>
    <s v=""/>
    <s v=""/>
    <s v=""/>
    <s v=""/>
    <s v=""/>
    <s v="IRACEMINHA"/>
    <s v="SC"/>
    <s v=""/>
    <s v=""/>
    <s v=""/>
    <s v=""/>
    <s v="Pipeline de Vendas"/>
    <s v="Em Fechamento (100%)"/>
    <s v=""/>
    <d v="2026-02-28T00:00:00"/>
    <n v="7470289"/>
    <n v="1221612"/>
    <n v="0"/>
    <s v="Paulo Souza"/>
    <d v="2026-02-26T00:00:00"/>
    <d v="1899-12-30T21:58:14"/>
    <s v=""/>
    <s v="Ganho"/>
    <d v="2026-02-26T00:00:00"/>
    <d v="1899-12-30T22:03:35"/>
    <s v=""/>
    <s v=""/>
    <s v=""/>
    <x v="190"/>
    <s v="Paulo Souza"/>
    <x v="208"/>
    <s v=""/>
    <m/>
    <n v="90"/>
    <s v=""/>
    <s v="ERP, AFV, ADICIONAIS, BI"/>
    <s v="R$ 74.702,90"/>
    <s v="R$ 12.216,08"/>
    <n v="1"/>
  </r>
  <r>
    <x v="1"/>
    <n v="981"/>
    <m/>
    <n v="3328"/>
    <s v=""/>
    <s v=""/>
    <x v="485"/>
    <m/>
    <s v=""/>
    <s v="Encartelados Nina - Cloud"/>
    <s v="4733683065"/>
    <s v=""/>
    <s v="ninaencartelados@gmail.com"/>
    <s v=""/>
    <s v=""/>
    <s v=""/>
    <s v=""/>
    <s v=""/>
    <s v=""/>
    <s v=""/>
    <s v=""/>
    <s v=""/>
    <s v="Pipeline de Vendas"/>
    <s v="Apresentar Proposta (50%)"/>
    <s v=""/>
    <m/>
    <n v="0"/>
    <n v="1900"/>
    <n v="76"/>
    <s v="Junior Lopes"/>
    <d v="2026-02-27T00:00:00"/>
    <d v="1899-12-30T10:58:33"/>
    <s v=""/>
    <s v="Perdido"/>
    <d v="2026-05-14T00:00:00"/>
    <d v="1899-12-30T14:49:37"/>
    <s v="Não houve aprovação financeira"/>
    <s v="14/05/2026 : _x000a_09:02, 13/05/2026 Fabio Oliveira Nina Enc: Consegui sim, teu sistema é maravilhoso, muito bom mesmo _x000a_porem eu passei pro pessoal aqui, e no momento, nosso faturamaento nao condiz com o investimento a ser feito_x000a_09:03, 13/05/2026 Fabio Oliveira Nina Enc: espero que logo possamos mudar isso_x000a_09:05, 13/05/2026 Junior Lopes: Entendo Fábio ! _x000a_ O que está pegando mais na proposta ? O projeto ou as mensalidades?_x000a_09:08, 13/05/2026 Fabio Oliveira Nina Enc: na verdade é um pouco dos dois, hj nosso sistema nos custa 6 mil por ano, claro que ele nao tem a mesma eficiencia do seu, mas para a quantidade de vendas nossa, no atual momento ele nos atende bem_x000a_09:21, 13/05/2026 Junior Lopes: Entendo ! Gostaria de pensar aí e nos fazer uma contra proposta ?_x000a_09:22, 13/05/2026 Fabio Oliveira Nina Enc: no momento vamos deixar em off_x000a_09:22, 13/05/2026 Fabio Oliveira Nina Enc: obrigado pela atençao_x000a_09:28, 13/05/2026 Junior Lopes: Ta joia meu amigo_x000a_09:29, 13/05/2026 Junior Lopes: Ficamos a disposição! Tenho certeza que podemos ajudar muito no crescimento da Nina encartelados _x000a_Um abraço_x000a_09:29, 13/05/2026 Fabio Oliveira Nina Enc: abraço"/>
    <s v=""/>
    <x v="182"/>
    <s v=""/>
    <x v="198"/>
    <s v="05/05/2026"/>
    <d v="2026-05-14T00:00:00"/>
    <n v="30"/>
    <s v=""/>
    <s v=""/>
    <s v=""/>
    <s v=""/>
    <n v="1"/>
  </r>
  <r>
    <x v="1"/>
    <n v="982"/>
    <m/>
    <n v="3329"/>
    <s v=""/>
    <s v=""/>
    <x v="486"/>
    <m/>
    <s v=""/>
    <s v="Atavadão das Tripas - Cloud"/>
    <s v="14998549863"/>
    <s v=""/>
    <s v="kayocalil@hotmail.com"/>
    <s v=""/>
    <s v=""/>
    <s v=""/>
    <s v=""/>
    <s v=""/>
    <s v=""/>
    <s v=""/>
    <s v=""/>
    <s v=""/>
    <s v="Pipeline de Vendas"/>
    <s v="Em negociação (75%)"/>
    <s v=""/>
    <m/>
    <n v="1600"/>
    <n v="252471"/>
    <n v="56"/>
    <s v="Junior Lopes"/>
    <d v="2026-02-27T00:00:00"/>
    <d v="1899-12-30T12:19:18"/>
    <s v=""/>
    <s v="Perdido"/>
    <d v="2026-04-24T00:00:00"/>
    <d v="1899-12-30T09:13:40"/>
    <s v="Não houve aprovação financeira"/>
    <s v="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
    <s v=""/>
    <x v="191"/>
    <s v=""/>
    <x v="196"/>
    <s v="19/02/2026"/>
    <m/>
    <n v="30"/>
    <s v=""/>
    <s v=""/>
    <s v=""/>
    <s v=""/>
    <n v="1"/>
  </r>
  <r>
    <x v="1"/>
    <n v="983"/>
    <m/>
    <n v="3330"/>
    <s v=""/>
    <s v=""/>
    <x v="487"/>
    <m/>
    <s v=""/>
    <s v="Clean tech - Cloud"/>
    <s v="11915642482"/>
    <s v=""/>
    <s v="null"/>
    <s v=""/>
    <s v=""/>
    <s v=""/>
    <s v=""/>
    <s v=""/>
    <s v=""/>
    <s v=""/>
    <s v=""/>
    <s v=""/>
    <s v="Pipeline de Vendas"/>
    <s v="Em Fechamento (100%)"/>
    <s v=""/>
    <m/>
    <n v="0"/>
    <n v="384454"/>
    <n v="33"/>
    <s v="Junior Lopes"/>
    <d v="2026-02-27T00:00:00"/>
    <d v="1899-12-30T13:04:33"/>
    <s v=""/>
    <s v="Ganho"/>
    <d v="2026-04-01T00:00:00"/>
    <d v="1899-12-30T10:40:31"/>
    <s v=""/>
    <s v=""/>
    <s v=""/>
    <x v="183"/>
    <s v=""/>
    <x v="0"/>
    <s v=""/>
    <m/>
    <n v="30"/>
    <s v=""/>
    <s v=""/>
    <s v=""/>
    <s v=""/>
    <n v="1"/>
  </r>
  <r>
    <x v="1"/>
    <n v="984"/>
    <m/>
    <n v="3331"/>
    <s v=""/>
    <s v=""/>
    <x v="488"/>
    <m/>
    <s v=""/>
    <s v="StarTools - Cloud"/>
    <s v="1184724282"/>
    <s v=""/>
    <s v="controladoria@startoolsferramentas.com.br"/>
    <s v=""/>
    <s v=""/>
    <s v=""/>
    <s v=""/>
    <s v=""/>
    <s v=""/>
    <s v=""/>
    <s v=""/>
    <s v=""/>
    <s v="Pipeline de Vendas"/>
    <s v="Apresentar Solução (35%)"/>
    <s v=""/>
    <m/>
    <n v="0"/>
    <n v="0"/>
    <n v="82"/>
    <s v="Junior Lopes"/>
    <d v="2026-02-27T00:00:00"/>
    <d v="1899-12-30T13:09:06"/>
    <s v=""/>
    <s v="Ativo"/>
    <m/>
    <m/>
    <s v=""/>
    <s v=""/>
    <s v=""/>
    <x v="0"/>
    <s v=""/>
    <x v="209"/>
    <s v=""/>
    <d v="2026-04-29T00:00:00"/>
    <n v="30"/>
    <s v=""/>
    <s v=""/>
    <s v=""/>
    <s v=""/>
    <n v="1"/>
  </r>
  <r>
    <x v="0"/>
    <n v="985"/>
    <m/>
    <n v="3332"/>
    <s v="27/02 Fiz apresentação do sistema e proposta para o cliente._x000a_12/03 Fiz FUP hoje com Pamela para saber se seguiremos ou não._x000a_20/03 Cobrando a Pamela para fazer o fechamento do projeto."/>
    <s v=""/>
    <x v="489"/>
    <m/>
    <s v=""/>
    <s v="Pamela"/>
    <s v="4699841338"/>
    <s v=""/>
    <s v="importacao.azul@hotmail.com"/>
    <s v=""/>
    <s v=""/>
    <s v=""/>
    <s v=""/>
    <s v=""/>
    <s v=""/>
    <s v=""/>
    <s v=""/>
    <s v=""/>
    <s v="Pipeline de Vendas"/>
    <s v="Em Fechamento (100%)"/>
    <s v=""/>
    <d v="2026-03-31T00:00:00"/>
    <n v="5007058"/>
    <n v="268966"/>
    <n v="42"/>
    <s v="Paulo Souza"/>
    <d v="2026-02-27T00:00:00"/>
    <d v="1899-12-30T14:36:39"/>
    <s v=""/>
    <s v="Perdido"/>
    <d v="2026-04-10T00:00:00"/>
    <d v="1899-12-30T16:01:47"/>
    <s v="Não quer mudar a solução atual"/>
    <s v=""/>
    <s v=""/>
    <x v="168"/>
    <s v="Paulo Souza"/>
    <x v="182"/>
    <s v=""/>
    <d v="2026-03-12T00:00:00"/>
    <n v="30"/>
    <s v="280"/>
    <s v="ERP, AFV"/>
    <s v=""/>
    <s v=""/>
    <n v="1"/>
  </r>
  <r>
    <x v="0"/>
    <n v="987"/>
    <m/>
    <n v="3334"/>
    <s v="26/02 Fiz FUP e agendei uma apresentação._x000a_20/03 Buscando nova agenda com o Alexandre para o dia 27/03."/>
    <s v=""/>
    <x v="490"/>
    <n v="7730144000142"/>
    <s v=""/>
    <s v="Breno"/>
    <s v="11994558029"/>
    <s v=""/>
    <s v="suporte.ti@kopermax.com.br"/>
    <s v=""/>
    <s v=""/>
    <s v=""/>
    <s v=""/>
    <s v=""/>
    <s v=""/>
    <s v=""/>
    <s v=""/>
    <s v=""/>
    <s v="Pipeline de Vendas"/>
    <s v="Em negociação (75%)"/>
    <s v=""/>
    <d v="2026-03-31T00:00:00"/>
    <n v="29800"/>
    <n v="4600"/>
    <n v="80"/>
    <s v="Paulo Souza"/>
    <d v="2026-02-27T00:00:00"/>
    <d v="1899-12-30T21:24:36"/>
    <s v=""/>
    <s v="Perdido"/>
    <d v="2026-05-18T00:00:00"/>
    <d v="1899-12-30T16:54:32"/>
    <s v="Projeto adiado / sem prazo definido"/>
    <s v=""/>
    <s v=""/>
    <x v="101"/>
    <s v="Paulo Souza"/>
    <x v="210"/>
    <s v=""/>
    <d v="2026-03-20T00:00:00"/>
    <n v="30"/>
    <s v=""/>
    <s v="AFV"/>
    <s v=""/>
    <s v=""/>
    <n v="1"/>
  </r>
  <r>
    <x v="2"/>
    <n v="990"/>
    <m/>
    <n v="3335"/>
    <s v="19.03 Entrei em contato com a Karen, apresentação agendada para quarta as 9:30 _x000a_31.03 não tenho consultor disponivel para seguir com uma agenda com o cliente_x000a_07.04 - não tenho consultor disponivel para seguir com uma agenda com o cliente"/>
    <s v=""/>
    <x v="491"/>
    <n v="15497764000616"/>
    <s v=""/>
    <s v="KAREN STANGE"/>
    <s v="(42) 3025-6309"/>
    <s v=""/>
    <s v="karen.stang@hotmail.com"/>
    <s v=""/>
    <s v=""/>
    <s v=""/>
    <s v="MAFRA"/>
    <s v="SC"/>
    <s v="Site"/>
    <s v=""/>
    <s v=""/>
    <s v="Dentro Perfil;Solicita demo"/>
    <s v="Pipeline de Vendas"/>
    <s v="Apresentar Solução (35%)"/>
    <s v=""/>
    <d v="2026-06-30T00:00:00"/>
    <m/>
    <m/>
    <n v="35"/>
    <s v="Paulo Souza"/>
    <d v="2026-03-03T00:00:00"/>
    <d v="1899-12-30T21:22:22"/>
    <s v=""/>
    <s v="Perdido"/>
    <d v="2026-04-07T00:00:00"/>
    <d v="1899-12-30T10:59:30"/>
    <s v="Projeto adiado / sem prazo definido"/>
    <s v=""/>
    <s v=""/>
    <x v="0"/>
    <s v="Rayssa Karapeticov"/>
    <x v="0"/>
    <s v=""/>
    <d v="2026-04-07T00:00:00"/>
    <n v="30"/>
    <s v=""/>
    <s v="ERP"/>
    <s v=""/>
    <s v=""/>
    <n v="1"/>
  </r>
  <r>
    <x v="1"/>
    <n v="991"/>
    <m/>
    <n v="3339"/>
    <s v="17:05, 04/03/2026 Junior Lopes: Olá Marcelo ! Boa tarde_x000a_17:05, 04/03/2026 Junior Lopes: Junior da Guarani sistemas por aqui , Td bem ?_x000a_17:07, 04/03/2026 Junior Lopes: Estou retornando um contato que vc fez conosco ! Qual melhor horário para falarmos ?_x000a_17:14, 04/03/2026 Marcelo Plug Lar: opa blz._x000a_17:14, 04/03/2026 Marcelo Plug Lar: joia junior_x000a_17:15, 04/03/2026 Junior Lopes: Td joia Marcelo_x000a_17:18, 04/03/2026 Marcelo Plug Lar: eu queria conhecer + sobre o sistema de vocês._x000a_17:18, 04/03/2026 Marcelo Plug Lar: eu procuro algo básico_x000a_(09/03/2026) Buscando contato com Marcelo a fim de darmos sequencia _x000a_(09/03/2026) Marcelo busca um software mais simples e com custo menor!"/>
    <s v=""/>
    <x v="492"/>
    <n v="5137778000160"/>
    <s v=""/>
    <s v="Marcelo Camargo"/>
    <s v="(19) 99623-4303"/>
    <s v=""/>
    <s v="marcelo@pluglar.com.br"/>
    <s v=""/>
    <s v=""/>
    <s v=""/>
    <s v="Rio Claro"/>
    <s v=""/>
    <s v="Site"/>
    <s v=""/>
    <s v=""/>
    <s v="Dentro Perfil;Solicita demo"/>
    <s v="Pipeline de Vendas"/>
    <s v="Apresentar Solução (35%)"/>
    <s v=""/>
    <d v="2026-03-31T00:00:00"/>
    <n v="1104172"/>
    <n v="656776"/>
    <n v="20"/>
    <s v="Paulo Souza"/>
    <d v="2026-03-04T00:00:00"/>
    <d v="1899-12-30T16:37:48"/>
    <s v=""/>
    <s v="Perdido"/>
    <d v="2026-03-24T00:00:00"/>
    <d v="1899-12-30T15:30:09"/>
    <s v="Não houve aprovação financeira"/>
    <s v="(09/03/2026) Marcelo busca um software mais simples e com custo menor!"/>
    <s v=""/>
    <x v="192"/>
    <s v="Junior Lopes"/>
    <x v="188"/>
    <s v=""/>
    <d v="2026-03-09T00:00:00"/>
    <n v="30"/>
    <s v=""/>
    <s v="B2B"/>
    <s v=""/>
    <s v=""/>
    <n v="1"/>
  </r>
  <r>
    <x v="0"/>
    <n v="993"/>
    <m/>
    <n v="3342"/>
    <s v="11/03 Foi feito a apresentação hoje do institucional e Guarani AFV._x000a_Resumo:_x000a_Produtos : ERP + AFV + Televendas + MDe _x000a_Opcionais: Comex, Cloud, CRM , B2B, HUB_x000a_Próximo passos: enviar uma proposta._x000a_20/03 Fiz contato com o Ericson para saber se vamos seguir ou não."/>
    <s v=""/>
    <x v="493"/>
    <n v="43191819000196"/>
    <s v=""/>
    <s v="Ericson"/>
    <s v="(43) 3056-3780"/>
    <s v=""/>
    <s v="escritorio@damiaoefilhos.com.br"/>
    <s v=""/>
    <s v=""/>
    <s v=""/>
    <s v="ARAPONGAS"/>
    <s v="PR"/>
    <s v=""/>
    <s v=""/>
    <s v=""/>
    <s v=""/>
    <s v="Pipeline de Vendas"/>
    <s v="Em negociação (75%)"/>
    <s v=""/>
    <d v="2026-03-31T00:00:00"/>
    <n v="895843"/>
    <n v="395308"/>
    <n v="36"/>
    <s v="Paulo Souza"/>
    <d v="2026-03-05T00:00:00"/>
    <d v="1899-12-30T08:51:53"/>
    <s v=""/>
    <s v="Perdido"/>
    <d v="2026-04-10T00:00:00"/>
    <d v="1899-12-30T17:25:45"/>
    <s v="Preço muito alto - fora do budget de investimento"/>
    <s v=""/>
    <s v=""/>
    <x v="187"/>
    <s v="Paulo Souza"/>
    <x v="211"/>
    <s v=""/>
    <d v="2026-03-20T00:00:00"/>
    <n v="30"/>
    <s v=""/>
    <s v="ERP, AFV, ADICIONAIS"/>
    <s v=""/>
    <s v=""/>
    <n v="1"/>
  </r>
  <r>
    <x v="2"/>
    <n v="994"/>
    <m/>
    <n v="3347"/>
    <s v="24.03 cliente enviou um documento de aderencia, porém a MArilia pediu uma reunião para falar sobre o documento e funcionalidades_x000a_15.04 Ficou fora da empresa esses 15 dias, acredita que hoje consegue avaliar todo material que mandei, retornar o contato na segunda"/>
    <s v="Industria E Comercio Jolitex Ltda"/>
    <x v="494"/>
    <n v="61808531000523"/>
    <s v=""/>
    <s v="Industria E Comercio Jolitex Ltda"/>
    <s v="(11) 3254-7100"/>
    <s v=""/>
    <s v="atendimento@jolitex.com"/>
    <s v=""/>
    <s v=""/>
    <s v=""/>
    <s v="SAO PAULO"/>
    <s v="SP"/>
    <s v="Base de empresas Leads2b"/>
    <s v=""/>
    <s v=""/>
    <s v=""/>
    <s v="Pipeline de Vendas"/>
    <s v="Apresentar Proposta (50%)"/>
    <s v=""/>
    <d v="2026-04-30T00:00:00"/>
    <m/>
    <m/>
    <n v="76"/>
    <s v="Rayssa Karapeticov"/>
    <d v="2026-03-05T00:00:00"/>
    <d v="1899-12-30T17:24:09"/>
    <s v=""/>
    <s v="Ativo"/>
    <m/>
    <m/>
    <s v=""/>
    <s v=""/>
    <s v=""/>
    <x v="0"/>
    <s v="Rayssa Karapeticov"/>
    <x v="195"/>
    <s v="12/03/2026"/>
    <d v="2026-04-23T00:00:00"/>
    <n v="30"/>
    <s v=""/>
    <s v="AFV"/>
    <s v=""/>
    <s v=""/>
    <n v="1"/>
  </r>
  <r>
    <x v="1"/>
    <n v="995"/>
    <m/>
    <n v="3348"/>
    <s v="16:28, 06/03/2026 Valdinei vaeso: Entendi mas esta fora do que pretendo investir_x000a_16:28, 06/03/2026 Valdinei vaeso: Te agradeço_x000a_16:46, 06/03/2026 Junior Lopes: Qual é a sua ideia de investimento?_x000a_16:47, 06/03/2026 Valdinei vaeso: Não vou nem fazer proposta porque a proposta veio com valores altos de implementação e mentoria_x000a_16:47, 06/03/2026 Valdinei vaeso: Sistema parece intuitivo_x000a_16:47, 06/03/2026 Valdinei vaeso: E vi ontem e gostei_x000a_16:47, 06/03/2026 Valdinei vaeso: Preciso de força de vendas_x000a_16:56, 06/03/2026 Valdinei vaeso: Ok"/>
    <s v="Vaeso Comercial Ltda"/>
    <x v="495"/>
    <n v="58092341000114"/>
    <s v=""/>
    <s v="Vaeso Comercial Ltda"/>
    <s v="(47) 9946-6330"/>
    <s v=""/>
    <s v="administrativo@qscontabilidade.com.br"/>
    <s v=""/>
    <s v=""/>
    <s v=""/>
    <s v="JOINVILLE"/>
    <s v="SC"/>
    <s v="Base de empresas Leads2b"/>
    <s v=""/>
    <s v=""/>
    <s v=""/>
    <s v="Pipeline de Vendas"/>
    <s v="Apresentar Proposta (50%)"/>
    <s v=""/>
    <m/>
    <n v="686343"/>
    <n v="36781"/>
    <n v="3"/>
    <s v="Junior Lopes"/>
    <d v="2026-03-06T00:00:00"/>
    <d v="1899-12-30T12:33:31"/>
    <s v=""/>
    <s v="Perdido"/>
    <d v="2026-03-09T00:00:00"/>
    <d v="1899-12-30T09:35:35"/>
    <s v="Não houve aprovação financeira"/>
    <s v="16:28, 06/03/2026 Valdinei vaeso: Entendi mas esta fora do que pretendo investir_x000a_16:28, 06/03/2026 Valdinei vaeso: Te agradeço_x000a_16:46, 06/03/2026 Junior Lopes: Qual é a sua ideia de investimento?_x000a_16:47, 06/03/2026 Valdinei vaeso: Não vou nem fazer proposta porque a proposta veio com valores altos de implementação e mentoria_x000a_16:47, 06/03/2026 Valdinei vaeso: Sistema parece intuitivo_x000a_16:47, 06/03/2026 Valdinei vaeso: E vi ontem e gostei_x000a_16:47, 06/03/2026 Valdinei vaeso: Preciso de força de vendas_x000a_16:56, 06/03/2026 Valdinei vaeso: Ok"/>
    <s v=""/>
    <x v="193"/>
    <s v=""/>
    <x v="212"/>
    <s v=""/>
    <d v="2026-03-06T00:00:00"/>
    <n v="50"/>
    <s v=""/>
    <s v=""/>
    <s v=""/>
    <s v=""/>
    <n v="1"/>
  </r>
  <r>
    <x v="1"/>
    <n v="996"/>
    <m/>
    <n v="3351"/>
    <s v="(10/03/2026) Agenda para apresentação do ERP 12/03 _x000a_10:07, 14/04/2026 Luccas Globalmix: Bom dia meu amigo, tudo bem? _x000a_Desculpe não te responder. Estou com alguns problemas de família e estive meio ausente. _x000a_Analisamos sua proposta e infelizmente ficou muito acima do que estávamos planejando nesse momento. _x000a_Desculpe a minha ignorância, mas não consegui compreender o motivo de um custo tão alto para a implementação de um ERP já existente. O custo que você me passou é basicamente o de desenvolver um novo sistema próprio. _x000a_Infelizmente nessas condições é inviável para nós nesse momento. _x000a_Agradeço pelo seu atendimento nas últimas semanas, foi extremamente atencioso. Espero que compreenda. _x000a_Obrigado_x000a_10:15, 14/04/2026 Junior Lopes: Bom dia, Luccas, tudo bem?_x000a_Primeiro, espero que as coisas com sua família se resolvam da melhor forma possível. Fica tranquilo quanto ao retorno, eu entendo perfeitamente._x000a_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_x000a_O que está incluso nesse investimento é justamente o que vai fazer o sistema “virar realidade” dentro da Globalmix:_x000a_– entendimento dos processos de vocês;_x000a_– parametrização do ERP para a realidade da empresa;_x000a_– construção/ajuste dos relatórios que vocês precisam;_x000a_– validação e homologação do funcionamento antes de ir para produção;_x000a_– integração com a Lisa Log;_x000a_– e, principalmente, treinamento da equipe e acompanhamento na virada, para que todo mundo use da forma correta e o projeto traga resultado._x000a_Sem essa etapa de consultoria, o risco é ter um sistema bom, mas mal configurado ou pouco usado, o que acaba gerando retrabalho e perda de confiança na ferramenta – e é justamente isso que queremos evitar._x000a_Dito isso, eu entendo totalmente a questão de orçamento. Se fizer sentido para você, eu posso:_x000a_1) rever o escopo para enxugar etapas e tentar adequar o investimento ao momento da Globalmix; ou_x000a_2) pensar em uma implantação por fases, começando pelo essencial (comercial + força de vendas + básico de estoque) e deixando integrações e aprofundamentos para uma segunda etapa._x000a_Você se sentiria confortável em me dizer qual faixa de investimento vocês tinham planejado, para eu ver o que é possível ajustar com transparência?"/>
    <s v="Crx Comercio, Importacao E Exportacao Ltda"/>
    <x v="496"/>
    <n v="27672869000139"/>
    <s v=""/>
    <s v="GlobalMIx"/>
    <s v="(11) 9999-9999"/>
    <s v=""/>
    <s v="contabilgrupocrx@gmail.com"/>
    <s v=""/>
    <s v=""/>
    <s v=""/>
    <s v="ITAJAI"/>
    <s v="SC"/>
    <s v=""/>
    <s v=""/>
    <s v=""/>
    <s v=""/>
    <s v="Pipeline de Vendas"/>
    <s v="Apresentar Solução (35%)"/>
    <s v=""/>
    <m/>
    <n v="7305558"/>
    <n v="143186"/>
    <n v="40"/>
    <s v="Junior Lopes"/>
    <d v="2026-03-06T00:00:00"/>
    <d v="1899-12-30T17:07:19"/>
    <s v=""/>
    <s v="Perdido"/>
    <d v="2026-04-15T00:00:00"/>
    <d v="1899-12-30T09:35:15"/>
    <s v="Não houve aprovação financeira"/>
    <s v="10:07, 14/04/2026 Luccas Globalmix: Bom dia meu amigo, tudo bem? _x000a_Desculpe não te responder. Estou com alguns problemas de família e estive meio ausente. _x000a_Analisamos sua proposta e infelizmente ficou muito acima do que estávamos planejando nesse momento. _x000a_Desculpe a minha ignorância, mas não consegui compreender o motivo de um custo tão alto para a implementação de um ERP já existente. O custo que você me passou é basicamente o de desenvolver um novo sistema próprio. _x000a_Infelizmente nessas condições é inviável para nós nesse momento. _x000a_Agradeço pelo seu atendimento nas últimas semanas, foi extremamente atencioso. Espero que compreenda. _x000a_Obrigado_x000a_10:15, 14/04/2026 Junior Lopes: Bom dia, Luccas, tudo bem?_x000a_Primeiro, espero que as coisas com sua família se resolvam da melhor forma possível. Fica tranquilo quanto ao retorno, eu entendo perfeitamente._x000a_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_x000a_O que está incluso nesse investimento é justamente o que vai fazer o sistema “virar realidade” dentro da Globalmix:_x000a_– entendimento dos processos de vocês;_x000a_– parametrização do ERP para a realidade da empresa;_x000a_– construção/ajuste dos relatórios que vocês precisam;_x000a_– validação e homologação do funcionamento antes de ir para produção;_x000a_– integração com a Lisa Log;_x000a_– e, principalmente, treinamento da equipe e acompanhamento na virada, para que todo mundo use da forma correta e o projeto traga resultado._x000a_Sem essa etapa de consultoria, o risco é ter um sistema bom, mas mal configurado ou pouco usado, o que acaba gerando retrabalho e perda de confiança na ferramenta – e é justamente isso que queremos evitar._x000a_Dito isso, eu entendo totalmente a questão de orçamento. Se fizer sentido para você, eu posso:_x000a_1) rever o escopo para enxugar etapas e tentar adequar o investimento ao momento da Globalmix; ou_x000a_2) pensar em uma implantação por fases, começando pelo essencial (comercial + força de vendas + básico de estoque) e deixando integrações e aprofundamentos para uma segunda etapa._x000a_Você se sentiria confortável em me dizer qual faixa de investimento vocês tinham planejado, para eu ver o que é possível ajustar com transparência?"/>
    <s v=""/>
    <x v="194"/>
    <s v=""/>
    <x v="195"/>
    <s v=""/>
    <d v="2026-04-15T00:00:00"/>
    <n v="30"/>
    <s v=""/>
    <s v=""/>
    <s v=""/>
    <s v=""/>
    <n v="1"/>
  </r>
  <r>
    <x v="2"/>
    <n v="997"/>
    <m/>
    <n v="3341"/>
    <s v=""/>
    <s v=""/>
    <x v="497"/>
    <m/>
    <s v=""/>
    <s v="Irmãos Capuci"/>
    <s v="67999772326"/>
    <s v=""/>
    <s v="joaoliloc@gmail.com"/>
    <s v=""/>
    <s v=""/>
    <s v=""/>
    <s v=""/>
    <s v=""/>
    <s v="Campanha"/>
    <s v=""/>
    <s v=""/>
    <s v="Fora Perfil;Instagram"/>
    <s v="Pipeline de Vendas"/>
    <s v="Agendamento (0%)"/>
    <s v=""/>
    <d v="2026-03-31T00:00:00"/>
    <m/>
    <m/>
    <n v="1"/>
    <s v="Paulo Souza"/>
    <d v="2026-03-09T00:00:00"/>
    <d v="1899-12-30T14:16:23"/>
    <s v=""/>
    <s v="Perdido"/>
    <d v="2026-03-10T00:00:00"/>
    <d v="1899-12-30T10:03:18"/>
    <s v="Fora do porte mínimo (sem fit estrutural)"/>
    <s v=""/>
    <s v=""/>
    <x v="0"/>
    <s v="Rayssa Karapeticov"/>
    <x v="0"/>
    <s v=""/>
    <m/>
    <n v="30"/>
    <s v=""/>
    <s v=""/>
    <s v=""/>
    <s v=""/>
    <n v="1"/>
  </r>
  <r>
    <x v="1"/>
    <n v="999"/>
    <m/>
    <n v="3360"/>
    <s v="(10/03/2026) em contato com Fernando _x000a_11:24, 11/03/2026 Junior Lopes: Olá Fernando! Td bem ? _x000a_Você tem interesse sem seguir com informações sobre a solução Guarani sistemas?"/>
    <s v=""/>
    <x v="498"/>
    <m/>
    <s v=""/>
    <s v="Fcabrasil"/>
    <s v="19974124080"/>
    <s v=""/>
    <s v="fernando@fcabrasil.com.br"/>
    <s v=""/>
    <s v=""/>
    <s v=""/>
    <s v=""/>
    <s v=""/>
    <s v="Campanha"/>
    <s v=""/>
    <s v=""/>
    <s v="Fora Perfil;Instagram"/>
    <s v="Pipeline de Vendas"/>
    <s v="Qualificação de Vendas (SQL) (25%)"/>
    <s v=""/>
    <d v="2026-03-31T00:00:00"/>
    <m/>
    <m/>
    <n v="29"/>
    <s v="Paulo Souza"/>
    <d v="2026-03-10T00:00:00"/>
    <d v="1899-12-30T09:07:12"/>
    <s v=""/>
    <s v="Perdido"/>
    <d v="2026-04-08T00:00:00"/>
    <d v="1899-12-30T17:25:42"/>
    <s v="Fora do porte mínimo (sem fit estrutural)"/>
    <s v=") declinando por falta de interação por parte do cliente"/>
    <s v=""/>
    <x v="0"/>
    <s v="Junior Lopes"/>
    <x v="0"/>
    <s v=""/>
    <d v="2026-03-19T00:00:00"/>
    <n v="30"/>
    <s v=""/>
    <s v=""/>
    <s v=""/>
    <s v=""/>
    <n v="1"/>
  </r>
  <r>
    <x v="0"/>
    <n v="1000"/>
    <m/>
    <n v="3358"/>
    <s v="10/03 Fiz contato e não obtive retorno deixei recado._x000a_11/03 Fiz FUP hoje com o Ridalvo Donizeti sem sucesso._x000a_12/3 Fiz varias ligações sem sucesso. Por falta de retorno encerrei o lead,."/>
    <s v=""/>
    <x v="499"/>
    <m/>
    <s v=""/>
    <s v="Ridalvo Donizeti"/>
    <s v="16991945630"/>
    <s v=""/>
    <s v="ridalvo.rossi@brdbtasil.com.br"/>
    <s v=""/>
    <s v=""/>
    <s v=""/>
    <s v=""/>
    <s v=""/>
    <s v="Campanha"/>
    <s v=""/>
    <s v=""/>
    <s v="Dentro Perfil;Instagram"/>
    <s v="Pipeline de Vendas"/>
    <s v="Qualificação de Vendas (SQL) (25%)"/>
    <s v=""/>
    <d v="2026-03-31T00:00:00"/>
    <m/>
    <m/>
    <n v="2"/>
    <s v="Paulo Souza"/>
    <d v="2026-03-10T00:00:00"/>
    <d v="1899-12-30T09:19:04"/>
    <s v=""/>
    <s v="Perdido"/>
    <d v="2026-03-12T00:00:00"/>
    <d v="1899-12-30T17:27:22"/>
    <s v="Fora do porte mínimo (sem fit estrutural)"/>
    <s v=""/>
    <s v=""/>
    <x v="0"/>
    <s v="Paulo Souza"/>
    <x v="0"/>
    <s v=""/>
    <d v="2026-03-12T00:00:00"/>
    <n v="30"/>
    <s v=""/>
    <s v=""/>
    <s v=""/>
    <s v=""/>
    <n v="1"/>
  </r>
  <r>
    <x v="2"/>
    <n v="1001"/>
    <m/>
    <n v="3357"/>
    <s v="18.03 proposta apresentada no dia de hoje _x000a_24.03 - não atendeu"/>
    <s v=""/>
    <x v="500"/>
    <m/>
    <s v=""/>
    <s v="Artur Decker"/>
    <s v="(47) 99699-9700"/>
    <s v=""/>
    <s v="artur@assessoriadecker.com"/>
    <s v=""/>
    <s v=""/>
    <s v=""/>
    <s v="Blumenau"/>
    <s v=""/>
    <s v="Site"/>
    <s v=""/>
    <s v=""/>
    <s v="Dentro Perfil;Solicita demo"/>
    <s v="Pipeline de Vendas"/>
    <s v="Em negociação (75%)"/>
    <s v=""/>
    <d v="2026-05-31T00:00:00"/>
    <n v="16800"/>
    <n v="12600"/>
    <n v="71"/>
    <s v="Paulo Souza"/>
    <d v="2026-03-10T00:00:00"/>
    <d v="1899-12-30T09:20:36"/>
    <s v=""/>
    <s v="Ativo"/>
    <m/>
    <m/>
    <s v=""/>
    <s v=""/>
    <s v=""/>
    <x v="195"/>
    <s v="Rayssa Karapeticov"/>
    <x v="213"/>
    <s v=""/>
    <d v="2026-05-13T00:00:00"/>
    <n v="30"/>
    <s v=""/>
    <s v=""/>
    <s v=""/>
    <s v=""/>
    <n v="1"/>
  </r>
  <r>
    <x v="1"/>
    <n v="1002"/>
    <m/>
    <n v="3356"/>
    <s v="(10/03/2026) Em contato com Maxwel _x000a_(27/03/2026) após analise cliente fica fora do perfil ! estamparia de camisetas, canecas e brindes em geral"/>
    <s v=""/>
    <x v="501"/>
    <m/>
    <s v=""/>
    <s v="Terra Brasil"/>
    <s v="11989296453"/>
    <s v=""/>
    <s v="max.vendas@terrabrasilbrindes.com.br"/>
    <s v=""/>
    <s v=""/>
    <s v=""/>
    <s v=""/>
    <s v=""/>
    <s v="Campanha"/>
    <s v=""/>
    <s v=""/>
    <s v="Fora Perfil;Instagram"/>
    <s v="Pipeline de Vendas"/>
    <s v="Qualificação de Vendas (SQL) (25%)"/>
    <s v=""/>
    <d v="2026-03-31T00:00:00"/>
    <m/>
    <m/>
    <n v="17"/>
    <s v="Paulo Souza"/>
    <d v="2026-03-10T00:00:00"/>
    <d v="1899-12-30T09:44:38"/>
    <s v=""/>
    <s v="Perdido"/>
    <d v="2026-03-27T00:00:00"/>
    <d v="1899-12-30T14:24:00"/>
    <s v="Fora do porte mínimo (sem fit estrutural)"/>
    <s v="(27/03/2026) após analise cliente fica fora do perfil ! estamparia de camisetas, canecas e brindes em geral"/>
    <s v=""/>
    <x v="0"/>
    <s v="Junior Lopes"/>
    <x v="0"/>
    <s v=""/>
    <d v="2026-03-27T00:00:00"/>
    <n v="30"/>
    <s v=""/>
    <s v=""/>
    <s v=""/>
    <s v=""/>
    <n v="1"/>
  </r>
  <r>
    <x v="2"/>
    <n v="1003"/>
    <m/>
    <n v="3355"/>
    <s v=""/>
    <s v=""/>
    <x v="502"/>
    <m/>
    <s v=""/>
    <s v="Farmacia Boa Sorte"/>
    <s v="74999642551"/>
    <s v=""/>
    <s v="farmaboasorte@gmail.com"/>
    <s v=""/>
    <s v=""/>
    <s v=""/>
    <s v=""/>
    <s v=""/>
    <s v="Campanha"/>
    <s v=""/>
    <s v=""/>
    <s v="Fora Perfil;Instagram"/>
    <s v="Pipeline de Vendas"/>
    <s v="Agendamento (0%)"/>
    <s v=""/>
    <d v="2026-03-31T00:00:00"/>
    <m/>
    <m/>
    <n v="0"/>
    <s v="Paulo Souza"/>
    <d v="2026-03-10T00:00:00"/>
    <d v="1899-12-30T09:46:18"/>
    <s v=""/>
    <s v="Perdido"/>
    <d v="2026-03-10T00:00:00"/>
    <d v="1899-12-30T10:23:45"/>
    <s v="Fora do porte mínimo (sem fit estrutural)"/>
    <s v=""/>
    <s v=""/>
    <x v="0"/>
    <s v="Rayssa Karapeticov"/>
    <x v="0"/>
    <s v=""/>
    <m/>
    <n v="30"/>
    <s v=""/>
    <s v=""/>
    <s v=""/>
    <s v=""/>
    <n v="1"/>
  </r>
  <r>
    <x v="0"/>
    <n v="1004"/>
    <m/>
    <n v="3353"/>
    <s v="15/03 Feio FUP da apresentação da proposta._x000a_20/03 Fiz FUP hoje com o Sergio cobrando ele sobre a proposta WMS se seguiremos._x000a_20/03 Sergio me passou que o investimento ficou alto para o momento e que nao vai seguir."/>
    <s v=""/>
    <x v="503"/>
    <n v="5291214000188"/>
    <s v=""/>
    <s v="Sergio cdp"/>
    <s v="(38) 99831-2605"/>
    <s v=""/>
    <s v="sergio.cdp00@gmail.com"/>
    <s v=""/>
    <s v=""/>
    <s v=""/>
    <s v="MONTES CLAROS"/>
    <s v="MG"/>
    <s v="Site"/>
    <s v=""/>
    <s v=""/>
    <s v="Solicita demo"/>
    <s v="Pipeline de Vendas"/>
    <s v="Em negociação (75%)"/>
    <s v=""/>
    <d v="2026-03-31T00:00:00"/>
    <n v="22800"/>
    <n v="14256"/>
    <n v="10"/>
    <s v="Paulo Souza"/>
    <d v="2026-03-10T00:00:00"/>
    <d v="1899-12-30T09:52:59"/>
    <s v=""/>
    <s v="Perdido"/>
    <d v="2026-03-20T00:00:00"/>
    <d v="1899-12-30T17:17:39"/>
    <s v="Preço muito alto - fora do budget de investimento"/>
    <s v=""/>
    <s v=""/>
    <x v="174"/>
    <s v="Paulo Souza"/>
    <x v="214"/>
    <s v=""/>
    <d v="2026-03-20T00:00:00"/>
    <n v="30"/>
    <s v=""/>
    <s v="WMS"/>
    <s v=""/>
    <s v=""/>
    <n v="1"/>
  </r>
  <r>
    <x v="2"/>
    <n v="1005"/>
    <m/>
    <n v="3354"/>
    <s v="Reunião realizada 08.04.2024 presencial no cliente_x000a_04.05 - Estou avançando a negociação com o client,e porém ele não concorda com o rejuste de no minimo 5% do contrato"/>
    <s v=""/>
    <x v="504"/>
    <n v="59578948000171"/>
    <s v=""/>
    <s v="3D"/>
    <s v="11983479931"/>
    <s v=""/>
    <s v="tufano@maquimp.com.br"/>
    <s v=""/>
    <s v=""/>
    <s v=""/>
    <s v="SAO PAULO"/>
    <s v="SP"/>
    <s v="Campanha"/>
    <s v=""/>
    <s v=""/>
    <s v="Dentro Perfil;Instagram"/>
    <s v="Pipeline de Vendas"/>
    <s v="Em negociação (75%)"/>
    <s v=""/>
    <d v="2026-06-30T00:00:00"/>
    <n v="58800"/>
    <n v="55164"/>
    <n v="71"/>
    <s v="Paulo Souza"/>
    <d v="2026-03-10T00:00:00"/>
    <d v="1899-12-30T09:55:28"/>
    <s v=""/>
    <s v="Ativo"/>
    <m/>
    <m/>
    <s v=""/>
    <s v=""/>
    <s v=""/>
    <x v="196"/>
    <s v="Rayssa Karapeticov"/>
    <x v="215"/>
    <s v="08/04/2026"/>
    <d v="2026-05-15T00:00:00"/>
    <n v="30"/>
    <s v=""/>
    <s v="ERP"/>
    <s v=""/>
    <s v=""/>
    <n v="1"/>
  </r>
  <r>
    <x v="1"/>
    <n v="1006"/>
    <m/>
    <n v="3343"/>
    <s v="(10/03/2026) em contato com Bruno _x000a_(10/03/2026) cliente informa que já fechou projeto com a Mercos"/>
    <s v=""/>
    <x v="505"/>
    <n v="36882195000198"/>
    <s v=""/>
    <s v="Bruno"/>
    <s v="(11) 94075-6696"/>
    <s v=""/>
    <s v="bruno.arouca@brotacompany.com.br"/>
    <s v=""/>
    <s v=""/>
    <s v=""/>
    <s v="São Paulo"/>
    <s v=""/>
    <s v="Site"/>
    <s v=""/>
    <s v=""/>
    <s v="Dentro Perfil;Solicita demo"/>
    <s v="Pipeline de Vendas"/>
    <s v="Qualificação de Vendas (SQL) (25%)"/>
    <s v=""/>
    <m/>
    <m/>
    <m/>
    <n v="0"/>
    <s v="Paulo Souza"/>
    <d v="2026-03-10T00:00:00"/>
    <d v="1899-12-30T09:59:38"/>
    <s v=""/>
    <s v="Perdido"/>
    <d v="2026-03-10T00:00:00"/>
    <d v="1899-12-30T16:59:56"/>
    <s v="Fechou com o concorrente - preço"/>
    <s v="(10/03/2026) cliente informa que já fechou projeto com a Mercos"/>
    <s v=""/>
    <x v="0"/>
    <s v="Junior Lopes"/>
    <x v="0"/>
    <s v=""/>
    <m/>
    <n v="30"/>
    <s v=""/>
    <s v="AFV"/>
    <s v=""/>
    <s v=""/>
    <n v="1"/>
  </r>
  <r>
    <x v="2"/>
    <n v="1007"/>
    <m/>
    <n v="3344"/>
    <s v="Falei com o Rodrigo, são umdistribuidor de autopeças de Bauru, vieram por inidicação da Ad&amp;Ad. _x000a_Atualmente as vendas são por MKPlace e mercado livre, e possuem vendas internas telemarketing_x000a_Trabalha com a parte especial, falamos sobre financeiro, fiscal, estoque. e pedidos decompras _x000a_Pediu uma estimativa de valores, porque atualmente é ele e um sócio, e precisa discutir com o Sócio para ver se vai avançar por causa do investimento, só que o sócio não esta essa semana _x000a_Então combinamos de falar na proxima semana (23/03)"/>
    <s v=""/>
    <x v="506"/>
    <m/>
    <s v=""/>
    <s v="rodrigo"/>
    <s v="(14) 99701-3009"/>
    <s v=""/>
    <s v="compras@s4distribuidora.com.br"/>
    <s v=""/>
    <s v=""/>
    <s v=""/>
    <s v="Bauru"/>
    <s v=""/>
    <s v="Site"/>
    <s v=""/>
    <s v=""/>
    <s v="Dentro Perfil;Solicita demo"/>
    <s v="Pipeline de Vendas"/>
    <s v="Apresentar Solução (35%)"/>
    <s v=""/>
    <d v="2026-08-31T00:00:00"/>
    <m/>
    <m/>
    <n v="28"/>
    <s v="Paulo Souza"/>
    <d v="2026-03-10T00:00:00"/>
    <d v="1899-12-30T10:01:14"/>
    <s v=""/>
    <s v="Perdido"/>
    <d v="2026-04-07T00:00:00"/>
    <d v="1899-12-30T10:52:27"/>
    <s v="Preço muito alto - fora do budget de investimento"/>
    <s v=""/>
    <s v=""/>
    <x v="0"/>
    <s v="Rayssa Karapeticov"/>
    <x v="0"/>
    <s v=""/>
    <d v="2026-04-07T00:00:00"/>
    <n v="30"/>
    <s v=""/>
    <s v="ERP, ADICIONAIS, CLOUD"/>
    <s v=""/>
    <s v=""/>
    <n v="1"/>
  </r>
  <r>
    <x v="0"/>
    <n v="1008"/>
    <m/>
    <n v="3346"/>
    <s v=""/>
    <s v=""/>
    <x v="507"/>
    <n v="27672869000139"/>
    <s v=""/>
    <s v="Luccas Nassif"/>
    <s v="(11) 98873-6515"/>
    <s v=""/>
    <s v="luccas.nassif@globalmix.com.br"/>
    <s v=""/>
    <s v=""/>
    <s v=""/>
    <s v="São Paulo"/>
    <s v=""/>
    <s v="Site"/>
    <s v=""/>
    <s v=""/>
    <s v="Solicita demo"/>
    <s v="Pipeline de Vendas"/>
    <s v="Agendamento (0%)"/>
    <s v=""/>
    <d v="2026-03-31T00:00:00"/>
    <m/>
    <m/>
    <n v="0"/>
    <s v="Paulo Souza"/>
    <d v="2026-03-10T00:00:00"/>
    <d v="1899-12-30T10:02:20"/>
    <s v=""/>
    <s v="Perdido"/>
    <d v="2026-03-10T00:00:00"/>
    <d v="1899-12-30T10:27:02"/>
    <s v="Fora do porte mínimo (sem fit estrutural)"/>
    <s v=""/>
    <s v=""/>
    <x v="0"/>
    <s v="Paulo Souza"/>
    <x v="0"/>
    <s v=""/>
    <m/>
    <n v="30"/>
    <s v=""/>
    <s v=""/>
    <s v=""/>
    <s v=""/>
    <n v="1"/>
  </r>
  <r>
    <x v="1"/>
    <n v="1009"/>
    <m/>
    <n v="3361"/>
    <s v="(11/03/2026) Agenda de apresentação para 17/03/2026_x000a_(30/03/2026) Alinhando visita presencial com Thiago"/>
    <s v="Banana Toys Ltda"/>
    <x v="508"/>
    <n v="8878994000155"/>
    <s v=""/>
    <s v="Banana Toys Ltda"/>
    <s v="(15) 3283-5196"/>
    <s v=""/>
    <s v="faturamento@bananatoys.com.br"/>
    <s v=""/>
    <s v=""/>
    <s v=""/>
    <s v="LARANJAL PAULISTA"/>
    <s v="SP"/>
    <s v="Base de empresas Leads2b"/>
    <s v=""/>
    <s v=""/>
    <s v=""/>
    <s v="Pipeline de Vendas"/>
    <s v="Em negociação (75%)"/>
    <s v=""/>
    <d v="2026-03-31T00:00:00"/>
    <n v="11390346"/>
    <n v="384882"/>
    <n v="71"/>
    <s v="Junior Lopes"/>
    <d v="2026-03-10T00:00:00"/>
    <d v="1899-12-30T16:23:30"/>
    <s v=""/>
    <s v="Ativo"/>
    <m/>
    <m/>
    <s v=""/>
    <s v=""/>
    <s v=""/>
    <x v="197"/>
    <s v=""/>
    <x v="214"/>
    <s v="17/03/2026"/>
    <d v="2026-03-30T00:00:00"/>
    <n v="50"/>
    <s v=""/>
    <s v=""/>
    <s v=""/>
    <s v=""/>
    <n v="1"/>
  </r>
  <r>
    <x v="0"/>
    <n v="1011"/>
    <m/>
    <n v="3365"/>
    <s v="20/03 Cobrei o Everton sobre a posição sobre a proposta comercial e se seguiremos e se existe algum impedimento."/>
    <s v=""/>
    <x v="509"/>
    <n v="7865166000110"/>
    <s v=""/>
    <s v="EVERTON MARINI GAVIAO"/>
    <s v="(17) 3342-1605"/>
    <s v=""/>
    <s v="comercialgaviao@bol.com.br"/>
    <s v=""/>
    <s v=""/>
    <s v=""/>
    <s v="BEBEDOURO"/>
    <s v="SP"/>
    <s v="Site"/>
    <s v=""/>
    <s v=""/>
    <s v="Solicita demo"/>
    <s v="Pipeline de Vendas"/>
    <s v="Em Fechamento (100%)"/>
    <s v=""/>
    <d v="2026-03-31T00:00:00"/>
    <n v="870636"/>
    <n v="434528"/>
    <n v="70"/>
    <s v="Paulo Souza"/>
    <d v="2026-03-11T00:00:00"/>
    <d v="1899-12-30T11:51:21"/>
    <s v=""/>
    <s v="Ativo"/>
    <m/>
    <m/>
    <s v=""/>
    <s v=""/>
    <s v=""/>
    <x v="187"/>
    <s v="Paulo Souza"/>
    <x v="216"/>
    <s v=""/>
    <d v="2026-05-18T00:00:00"/>
    <n v="30"/>
    <s v=""/>
    <s v="ERP, AFV"/>
    <s v=""/>
    <s v=""/>
    <n v="1"/>
  </r>
  <r>
    <x v="1"/>
    <n v="1012"/>
    <m/>
    <n v="3345"/>
    <s v="(20/03/2026) contato com  Ramos a fim de seguirmos com negociações _x000a_09:22, 06/05/2026 Junior Lopes: Olá Danilo ! Td bem meu amigo _x000a_Ficamos de fazer uma agenda de apresentação para seu sócio ! _x000a_Vamos agendar para próxima semana ?_x000a_10:07, 06/05/2026 Danilo Euroquad: Bom dia_x000a_10:08, 06/05/2026 Danilo Euroquad: Tudo bem e vc?_x000a_10:08, 06/05/2026 Danilo Euroquad: Estou na china volto no final do mês_x000a_10:08, 06/05/2026 Danilo Euroquad: Quando chegar marcamos_x000a_11:35, 06/05/2026 Junior Lopes: Perfeito Danilo, ótimos negocios por ai"/>
    <s v="Euroquadros Industria Importacao E Exportacao Ltda"/>
    <x v="510"/>
    <n v="72770225000561"/>
    <s v=""/>
    <s v="Euroquadros Industria Importacao E Exportacao Ltda"/>
    <s v="(47) 3515-3000"/>
    <s v=""/>
    <s v="contabil@fratelliinox.com.br"/>
    <s v=""/>
    <s v=""/>
    <s v=""/>
    <s v="BARRA VELHA"/>
    <s v="SC"/>
    <s v="Base de empresas Leads2b"/>
    <s v=""/>
    <s v=""/>
    <s v=""/>
    <s v="Pipeline de Vendas"/>
    <s v="Em negociação (75%)"/>
    <s v=""/>
    <m/>
    <n v="52702"/>
    <n v="17020"/>
    <n v="70"/>
    <s v="Junior Lopes"/>
    <d v="2026-03-11T00:00:00"/>
    <d v="1899-12-30T16:07:58"/>
    <s v=""/>
    <s v="Ativo"/>
    <m/>
    <m/>
    <s v=""/>
    <s v=""/>
    <s v=""/>
    <x v="195"/>
    <s v=""/>
    <x v="217"/>
    <s v="18/03/2026"/>
    <d v="2026-05-06T00:00:00"/>
    <n v="50"/>
    <s v=""/>
    <s v=""/>
    <s v=""/>
    <s v=""/>
    <n v="1"/>
  </r>
  <r>
    <x v="2"/>
    <n v="1013"/>
    <m/>
    <n v="3368"/>
    <s v="30.03 Lidi, boa tarde!_x000a_Vamos agendar quarta às 15h_x000a_Meu gerente de projetos que vai fazer, assim já consigo matar WMS, ERP, PDV, todo processo de estoque futuro e importação_x000a_07.04 2° parte da reunião ficou para sexta 10/04_x000a_13.04 apresentação realizada, proxima etapa apresentação da proposta, aguardar avaliação do Paulo quanto ao serviço de cloud"/>
    <s v="Simao Distribuidora De Embalagens Descartaveis Ltda"/>
    <x v="511"/>
    <n v="10649489000180"/>
    <s v=""/>
    <s v="Simao Distribuidora De Embalagens Descartaveis Ltda"/>
    <s v="(24) 3325-7650"/>
    <s v=""/>
    <s v="legalizacao@mastermaxcontabilidade.com.br"/>
    <s v=""/>
    <s v=""/>
    <s v=""/>
    <s v="RIO DE JANEIRO"/>
    <s v="RJ"/>
    <s v="Base de empresas Leads2b"/>
    <s v=""/>
    <s v=""/>
    <s v=""/>
    <s v="Pipeline de Vendas"/>
    <s v="Apresentar Proposta (50%)"/>
    <s v=""/>
    <d v="2026-09-30T00:00:00"/>
    <m/>
    <m/>
    <n v="69"/>
    <s v="Rayssa Karapeticov"/>
    <d v="2026-03-12T00:00:00"/>
    <d v="1899-12-30T10:07:51"/>
    <s v=""/>
    <s v="Ativo"/>
    <m/>
    <m/>
    <s v=""/>
    <s v=""/>
    <s v=""/>
    <x v="198"/>
    <s v="Rayssa Karapeticov"/>
    <x v="218"/>
    <s v="10/04/2026"/>
    <d v="2026-05-13T00:00:00"/>
    <n v="30"/>
    <s v=""/>
    <s v="ERP, AFV"/>
    <s v=""/>
    <s v=""/>
    <n v="1"/>
  </r>
  <r>
    <x v="0"/>
    <n v="1014"/>
    <m/>
    <n v="3371"/>
    <s v="12/03 Fiz FUP com o Renan e ele avisou que a Vera esta em viagem retornando vamos agendar uma apresentação._x000a_12/03 Fiz FUP com o cliente e marcamos reunião para dia 18/03 as 15h._x000a_20/03 Conversei com o Renan para saber qual a nova data para fazer a apresentação."/>
    <s v=""/>
    <x v="512"/>
    <n v="10633099000112"/>
    <s v=""/>
    <s v="Vera Lucia"/>
    <s v="(47) 3075-0552"/>
    <s v=""/>
    <s v="financeiro@mundialimpexp.com.br"/>
    <s v=""/>
    <s v=""/>
    <s v=""/>
    <s v="ITAJAI"/>
    <s v="SC"/>
    <s v=""/>
    <s v=""/>
    <s v=""/>
    <s v="Pausado"/>
    <s v="Pipeline de Vendas"/>
    <s v="Apresentar Solução (35%)"/>
    <s v=""/>
    <d v="2026-03-30T00:00:00"/>
    <m/>
    <m/>
    <n v="60"/>
    <s v="Paulo Souza"/>
    <d v="2026-03-12T00:00:00"/>
    <d v="1899-12-30T12:10:28"/>
    <s v=""/>
    <s v="Perdido"/>
    <d v="2026-05-11T00:00:00"/>
    <d v="1899-12-30T11:56:15"/>
    <s v="Projeto adiado / sem prazo definido"/>
    <s v=""/>
    <s v=""/>
    <x v="0"/>
    <s v="Paulo Souza"/>
    <x v="0"/>
    <s v=""/>
    <d v="2026-04-10T00:00:00"/>
    <n v="30"/>
    <s v=""/>
    <s v="ERP, AFV"/>
    <s v=""/>
    <s v=""/>
    <n v="1"/>
  </r>
  <r>
    <x v="1"/>
    <n v="1015"/>
    <m/>
    <n v="3375"/>
    <s v="(16/03/2026) Agenda de apresentação para dia 17/03/2026"/>
    <s v=""/>
    <x v="513"/>
    <n v="35417169000126"/>
    <s v=""/>
    <s v="Brisa Artes"/>
    <s v="11992558277"/>
    <s v=""/>
    <s v="marcos@mairinckcontabil.com.br"/>
    <s v=""/>
    <s v=""/>
    <s v=""/>
    <s v="RIBEIRAO PIRES"/>
    <s v="SP"/>
    <s v=""/>
    <s v=""/>
    <s v=""/>
    <s v=""/>
    <s v="Pipeline de Vendas"/>
    <s v="Apresentar Solução (35%)"/>
    <s v=""/>
    <m/>
    <m/>
    <m/>
    <n v="69"/>
    <s v="Junior Lopes"/>
    <d v="2026-03-12T00:00:00"/>
    <d v="1899-12-30T15:11:14"/>
    <s v=""/>
    <s v="Ativo"/>
    <m/>
    <m/>
    <s v=""/>
    <s v=""/>
    <s v=""/>
    <x v="0"/>
    <s v=""/>
    <x v="0"/>
    <s v=""/>
    <d v="2026-03-16T00:00:00"/>
    <n v="30"/>
    <s v=""/>
    <s v=""/>
    <s v=""/>
    <s v=""/>
    <n v="1"/>
  </r>
  <r>
    <x v="1"/>
    <n v="1016"/>
    <m/>
    <n v="3373"/>
    <s v="09:04, 13/03/2026 Junior Lopes: Olá Victor, bom dia_x000a_09:04, 13/03/2026 Junior Lopes: sou Junior Lopes da Guarani sistemas, td bem ?_x000a_09:05, 13/03/2026 Junior Lopes: estou retornando um contato que vc fez conosco relacionado ao nosso software de gestão Guarani sistemas_x000a_(13/03/2026) Aós tentativa de ligação e contato ! nenhuma respondida _x000a_estou descartando a oportunidade pois o nome da empresa mencionado não existe e demais informações preenchidas sem dados concretos ! por informar que tem um faturamento abaixo de 200K mensal fica fora do nosso perfil"/>
    <s v=""/>
    <x v="514"/>
    <m/>
    <s v=""/>
    <s v="Nemoaprds"/>
    <s v="38998244039"/>
    <s v=""/>
    <s v="vitorborgessilva333@gmail.com"/>
    <s v=""/>
    <s v=""/>
    <s v=""/>
    <s v=""/>
    <s v=""/>
    <s v="Campanha"/>
    <s v=""/>
    <s v=""/>
    <s v="Fora Perfil;Instagram"/>
    <s v="Pipeline de Vendas"/>
    <s v="Qualificação de Vendas (SQL) (25%)"/>
    <s v=""/>
    <d v="2026-03-31T00:00:00"/>
    <m/>
    <m/>
    <n v="58"/>
    <s v="Paulo Souza"/>
    <d v="2026-03-12T00:00:00"/>
    <d v="1899-12-30T17:35:46"/>
    <s v=""/>
    <s v="Perdido"/>
    <d v="2026-05-09T00:00:00"/>
    <d v="1899-12-30T07:56:21"/>
    <s v="Sem qualificação — contato não atende ligações nem responde msg"/>
    <s v=""/>
    <s v=""/>
    <x v="0"/>
    <s v="Junior Lopes"/>
    <x v="0"/>
    <s v=""/>
    <d v="2026-03-13T00:00:00"/>
    <n v="30"/>
    <s v=""/>
    <s v=""/>
    <s v=""/>
    <s v=""/>
    <n v="1"/>
  </r>
  <r>
    <x v="2"/>
    <n v="1017"/>
    <m/>
    <n v="3374"/>
    <s v="17/03 - Nova Maringa - Amazonia Sistemas_x000a_Empresa de vendas e locação de maquinas agricolas, procura um softaware onde possa acompanhar a svedas, criar promnoções/campanhas, realizar OS para manutenções das maquinas. _x000a_Possui PDV _x000a_Apresentação agendada para terça 24/03 as 15h_x000a_25/03 achou o valor de investimento alto"/>
    <s v=""/>
    <x v="515"/>
    <n v="33947903000133"/>
    <s v=""/>
    <s v="Giovani luiz Agrorural Ltda"/>
    <s v="(66) 8101-6884"/>
    <s v=""/>
    <s v="soberanaagrorural@hotmail.com"/>
    <s v=""/>
    <s v=""/>
    <s v=""/>
    <s v="NOVA MARINGA"/>
    <s v="MT"/>
    <s v="Campanha"/>
    <s v=""/>
    <s v=""/>
    <s v="Fora Perfil;Instagram"/>
    <s v="Pipeline de Vendas"/>
    <s v="Apresentar Solução (35%)"/>
    <s v=""/>
    <d v="2026-07-31T00:00:00"/>
    <m/>
    <m/>
    <n v="13"/>
    <s v="Paulo Souza"/>
    <d v="2026-03-12T00:00:00"/>
    <d v="1899-12-30T17:37:00"/>
    <s v=""/>
    <s v="Perdido"/>
    <d v="2026-03-25T00:00:00"/>
    <d v="1899-12-30T10:06:43"/>
    <s v="Preço muito alto - fora do budget de investimento"/>
    <s v=""/>
    <s v=""/>
    <x v="0"/>
    <s v="Rayssa Karapeticov"/>
    <x v="219"/>
    <s v=""/>
    <d v="2026-03-25T00:00:00"/>
    <n v="31"/>
    <s v=""/>
    <s v=""/>
    <s v=""/>
    <s v=""/>
    <n v="1"/>
  </r>
  <r>
    <x v="1"/>
    <n v="1018"/>
    <m/>
    <n v="3379"/>
    <s v="(13/03/2026) em contato com Juraci a fim de retomar assunto sobre força de vendas _x000a_(12/03/2026) em contato com Juraci, informou que vamos voltar a falar no final do ano ! devido a sua alta demanda de vendas nesse período inviabilizou o projeto nesse momento"/>
    <s v=""/>
    <x v="185"/>
    <n v="28646036000166"/>
    <s v=""/>
    <s v="Gola Comercial"/>
    <s v="11938010304"/>
    <s v=""/>
    <s v="juraci@goalcomercial.com.br"/>
    <s v=""/>
    <s v=""/>
    <s v=""/>
    <s v="SAO CAETANO DO SUL"/>
    <s v="SP"/>
    <s v=""/>
    <s v=""/>
    <s v=""/>
    <s v=""/>
    <s v="Pipeline de Vendas"/>
    <s v="Apresentar Solução (35%)"/>
    <s v=""/>
    <m/>
    <n v="1696"/>
    <n v="6400"/>
    <n v="17"/>
    <s v="Junior Lopes"/>
    <d v="2026-03-13T00:00:00"/>
    <d v="1899-12-30T09:34:40"/>
    <s v=""/>
    <s v="Perdido"/>
    <d v="2026-03-30T00:00:00"/>
    <d v="1899-12-30T17:12:25"/>
    <s v="Projeto adiado / sem prazo definido"/>
    <s v="cliente não tem mais tempo para mudança esse ano , ficará para final do ano 2026"/>
    <s v=""/>
    <x v="84"/>
    <s v=""/>
    <x v="213"/>
    <s v=""/>
    <d v="2026-03-12T00:00:00"/>
    <n v="30"/>
    <s v=""/>
    <s v=""/>
    <s v=""/>
    <s v=""/>
    <n v="1"/>
  </r>
  <r>
    <x v="2"/>
    <n v="1019"/>
    <m/>
    <n v="3381"/>
    <s v="18.03 apresentação agendada para segunda 24/03_x000a_30.03 - como é uma empresa pequena de 1 ano, não consegue dar andamento agora _x000a_mas vão estudar para o futuro"/>
    <s v="Verti Flores E Plantas Permanentes Ltda"/>
    <x v="516"/>
    <n v="55841149000195"/>
    <s v=""/>
    <s v="Verti Flores E Plantas Permanentes Ltda"/>
    <s v="(47) 9214-8117"/>
    <s v=""/>
    <s v="societario@rmxcontabilidade.com.br"/>
    <s v=""/>
    <s v=""/>
    <s v=""/>
    <s v="ITAPEMA"/>
    <s v="SC"/>
    <s v="Base de empresas Leads2b"/>
    <s v=""/>
    <s v=""/>
    <s v=""/>
    <s v="Pipeline de Vendas"/>
    <s v="Apresentar Solução (35%)"/>
    <s v=""/>
    <d v="2026-07-31T00:00:00"/>
    <n v="58800"/>
    <n v="2525"/>
    <n v="17"/>
    <s v="Rayssa Karapeticov"/>
    <d v="2026-03-13T00:00:00"/>
    <d v="1899-12-30T14:52:20"/>
    <s v=""/>
    <s v="Perdido"/>
    <d v="2026-03-30T00:00:00"/>
    <d v="1899-12-30T16:07:14"/>
    <s v="Preço muito alto - fora do budget de investimento"/>
    <s v=""/>
    <s v=""/>
    <x v="199"/>
    <s v="Rayssa Karapeticov"/>
    <x v="220"/>
    <s v=""/>
    <d v="2026-03-30T00:00:00"/>
    <n v="30"/>
    <s v=""/>
    <s v="ERP"/>
    <s v=""/>
    <s v=""/>
    <n v="1"/>
  </r>
  <r>
    <x v="1"/>
    <n v="1020"/>
    <m/>
    <n v="3378"/>
    <s v="(17/03/2026) em contato com Junior ! A Otmiza busca um software para gerenciamento de obras com controle de contratos e ordens de serviço"/>
    <s v=""/>
    <x v="517"/>
    <m/>
    <s v=""/>
    <s v="Otimiza"/>
    <s v="6399999235"/>
    <s v=""/>
    <s v="pelissari.otimiza@gmail.com"/>
    <s v=""/>
    <s v=""/>
    <s v=""/>
    <s v=""/>
    <s v=""/>
    <s v="Campanha"/>
    <s v=""/>
    <s v=""/>
    <s v="Fora Perfil;Instagram"/>
    <s v="Pipeline de Vendas"/>
    <s v="Qualificação de Vendas (SQL) (25%)"/>
    <s v=""/>
    <d v="2026-03-31T00:00:00"/>
    <m/>
    <m/>
    <n v="1"/>
    <s v="Paulo Souza"/>
    <d v="2026-03-16T00:00:00"/>
    <d v="1899-12-30T13:47:29"/>
    <s v=""/>
    <s v="Perdido"/>
    <d v="2026-03-17T00:00:00"/>
    <d v="1899-12-30T09:38:46"/>
    <s v="Fora do porte mínimo (sem fit estrutural)"/>
    <s v="(17/03/2026) em contato com Junior ! A Otmiza busca um software para gerenciamento de obras com controle de contratos e ordens de serviço"/>
    <s v=""/>
    <x v="0"/>
    <s v="Junior Lopes"/>
    <x v="0"/>
    <s v=""/>
    <d v="2026-03-17T00:00:00"/>
    <n v="30"/>
    <s v=""/>
    <s v=""/>
    <s v=""/>
    <s v=""/>
    <n v="1"/>
  </r>
  <r>
    <x v="2"/>
    <n v="1021"/>
    <m/>
    <n v="3384"/>
    <s v="19.03 Pediu uma estimativa de valor, e achou o investimento muito alto para o faturamento anual da empresa"/>
    <s v=""/>
    <x v="518"/>
    <m/>
    <s v=""/>
    <s v="Javeh"/>
    <s v="11947270946"/>
    <s v=""/>
    <s v="atadeu7@gmail.com"/>
    <s v=""/>
    <s v=""/>
    <s v=""/>
    <s v=""/>
    <s v=""/>
    <s v="Campanha"/>
    <s v=""/>
    <s v=""/>
    <s v="Fora Perfil;Instagram"/>
    <s v="Pipeline de Vendas"/>
    <s v="Qualificação de Vendas (SQL) (25%)"/>
    <s v=""/>
    <d v="2026-03-31T00:00:00"/>
    <m/>
    <m/>
    <n v="3"/>
    <s v="Paulo Souza"/>
    <d v="2026-03-16T00:00:00"/>
    <d v="1899-12-30T13:48:48"/>
    <s v=""/>
    <s v="Perdido"/>
    <d v="2026-03-19T00:00:00"/>
    <d v="1899-12-30T11:31:26"/>
    <s v="Preço muito alto - fora do budget de investimento"/>
    <s v=""/>
    <s v=""/>
    <x v="0"/>
    <s v="Rayssa Karapeticov"/>
    <x v="0"/>
    <s v=""/>
    <d v="2026-03-17T00:00:00"/>
    <n v="30"/>
    <s v=""/>
    <s v=""/>
    <s v=""/>
    <s v=""/>
    <n v="1"/>
  </r>
  <r>
    <x v="1"/>
    <n v="1022"/>
    <m/>
    <n v="3385"/>
    <s v="(17/03/2026) em contato com Diego ! a Biricutico é um deposito de bebidas com venda balcão para pessoa física"/>
    <s v=""/>
    <x v="519"/>
    <m/>
    <s v=""/>
    <s v="Biricutico"/>
    <s v="21964945088"/>
    <s v=""/>
    <s v="diegosart@gmail.com"/>
    <s v=""/>
    <s v=""/>
    <s v=""/>
    <s v=""/>
    <s v=""/>
    <s v="Campanha"/>
    <s v=""/>
    <s v=""/>
    <s v="Fora Perfil;Instagram"/>
    <s v="Pipeline de Vendas"/>
    <s v="Qualificação de Vendas (SQL) (25%)"/>
    <s v=""/>
    <d v="2026-03-31T00:00:00"/>
    <m/>
    <m/>
    <n v="1"/>
    <s v="Paulo Souza"/>
    <d v="2026-03-16T00:00:00"/>
    <d v="1899-12-30T13:49:55"/>
    <s v=""/>
    <s v="Perdido"/>
    <d v="2026-03-17T00:00:00"/>
    <d v="1899-12-30T09:41:15"/>
    <s v="Fora do porte mínimo (sem fit estrutural)"/>
    <s v="(17/03/2026) em contato com Diego ! a Biricutico é um deposito de bebidas com venda balcão para pessoa física"/>
    <s v=""/>
    <x v="0"/>
    <s v="Junior Lopes"/>
    <x v="0"/>
    <s v=""/>
    <d v="2026-03-17T00:00:00"/>
    <n v="30"/>
    <s v=""/>
    <s v=""/>
    <s v=""/>
    <s v=""/>
    <n v="1"/>
  </r>
  <r>
    <x v="2"/>
    <n v="1023"/>
    <m/>
    <n v="3386"/>
    <s v="Falei com o Marcelo são uma distribuidora de descartaveis e estão buscando um software. _x000a_30.03 - esta viajando, pediu retorno na proxima semana_x000a_Passei informações sobre a Guarani, e enviei nossa apresentação, hoje vão ter uma reunião interna para saber quais sistemas que vão 18/03 agendar uma apresentação _x000a_30.03 - Falou que esta em viagem, pediu para retornar_x000a_07.03 - não estou tendo nenhum retorno"/>
    <s v=""/>
    <x v="520"/>
    <n v="57769346000176"/>
    <s v=""/>
    <s v="Plus atacadista"/>
    <s v="(62) 8318-2116/ (0000) 0000-0000"/>
    <s v=""/>
    <s v="diretor@staratacadista.com.br"/>
    <s v=""/>
    <s v=""/>
    <s v=""/>
    <s v="GOIANIA"/>
    <s v="GO"/>
    <s v="Campanha"/>
    <s v=""/>
    <s v=""/>
    <s v="Dentro Perfil;Instagram"/>
    <s v="Pipeline de Vendas"/>
    <s v="Apresentar Solução (35%)"/>
    <s v=""/>
    <d v="2026-07-31T00:00:00"/>
    <m/>
    <m/>
    <n v="22"/>
    <s v="Paulo Souza"/>
    <d v="2026-03-16T00:00:00"/>
    <d v="1899-12-30T13:51:06"/>
    <s v=""/>
    <s v="Perdido"/>
    <d v="2026-04-07T00:00:00"/>
    <d v="1899-12-30T10:45:40"/>
    <s v="Fora do porte mínimo (sem fit estrutural)"/>
    <s v=""/>
    <s v=""/>
    <x v="187"/>
    <s v="Rayssa Karapeticov"/>
    <x v="215"/>
    <s v=""/>
    <d v="2026-04-07T00:00:00"/>
    <n v="30"/>
    <s v=""/>
    <s v=""/>
    <s v=""/>
    <s v=""/>
    <n v="1"/>
  </r>
  <r>
    <x v="0"/>
    <n v="1024"/>
    <m/>
    <n v="3388"/>
    <s v="18/03 Liguei para o Tiago não atendeu. Deixei recado no whatsapp !_x000a_18/03 Tiago retorno por audio e falou que essa semana está ocupado e não consegue falar. Vai me retornar ate o fim da semana._x000a_20/03 Após conversa com o Tiago ele avisou que essa semana esta inviável para falar que conversamos semana que vem."/>
    <s v=""/>
    <x v="521"/>
    <m/>
    <s v=""/>
    <s v="Tiago"/>
    <s v="62991537827"/>
    <s v=""/>
    <s v="mastervedacoesind@gmail.com"/>
    <s v=""/>
    <s v=""/>
    <s v=""/>
    <s v=""/>
    <s v=""/>
    <s v="Campanha"/>
    <s v=""/>
    <s v=""/>
    <s v="Dentro Perfil;Instagram"/>
    <s v="Pipeline de Vendas"/>
    <s v="Qualificação de Vendas (SQL) (25%)"/>
    <s v=""/>
    <d v="2026-03-31T00:00:00"/>
    <m/>
    <m/>
    <n v="54"/>
    <s v="Paulo Souza"/>
    <d v="2026-03-16T00:00:00"/>
    <d v="1899-12-30T13:52:07"/>
    <s v=""/>
    <s v="Perdido"/>
    <d v="2026-05-09T00:00:00"/>
    <d v="1899-12-30T07:58:33"/>
    <s v="Sem qualificação — contato não atende ligações nem responde msg"/>
    <s v=""/>
    <s v=""/>
    <x v="0"/>
    <s v="Paulo Souza"/>
    <x v="0"/>
    <s v=""/>
    <d v="2026-03-20T00:00:00"/>
    <n v="30"/>
    <s v=""/>
    <s v=""/>
    <s v=""/>
    <s v=""/>
    <n v="1"/>
  </r>
  <r>
    <x v="0"/>
    <n v="1025"/>
    <m/>
    <n v="3389"/>
    <s v="18/03 Liguei para o Dimitrius e ele estava viajando hoje, vai me retornar ainda esta semana._x000a_18/03 Dimitrius retornou o áudio, avisou que vai me retornar assim que terminar a viagem que faz hoje._x000a_20/03 Fiz uma conversa com Demétrius para entender o cenário dele e alinhamos que ele vai preencher o formulário e depois disso fazer uma apresentação."/>
    <s v=""/>
    <x v="522"/>
    <m/>
    <s v=""/>
    <s v="Dimitrius"/>
    <s v="73988565500"/>
    <s v=""/>
    <s v="dimigrintzos@gmail.com"/>
    <s v=""/>
    <s v=""/>
    <s v=""/>
    <s v=""/>
    <s v=""/>
    <s v="Campanha"/>
    <s v=""/>
    <s v=""/>
    <s v="Dentro Perfil;Instagram"/>
    <s v="Pipeline de Vendas"/>
    <s v="Apresentar Solução (35%)"/>
    <s v=""/>
    <d v="2026-03-31T00:00:00"/>
    <m/>
    <m/>
    <n v="25"/>
    <s v="Paulo Souza"/>
    <d v="2026-03-16T00:00:00"/>
    <d v="1899-12-30T13:53:00"/>
    <s v=""/>
    <s v="Perdido"/>
    <d v="2026-04-10T00:00:00"/>
    <d v="1899-12-30T14:40:40"/>
    <s v="Projeto adiado / sem prazo definido"/>
    <s v=""/>
    <s v=""/>
    <x v="0"/>
    <s v="Paulo Souza"/>
    <x v="0"/>
    <s v=""/>
    <d v="2026-03-20T00:00:00"/>
    <n v="30"/>
    <s v=""/>
    <s v="ERP, AFV"/>
    <s v=""/>
    <s v=""/>
    <n v="1"/>
  </r>
  <r>
    <x v="1"/>
    <n v="1026"/>
    <m/>
    <n v="3390"/>
    <s v="14:10, 16/03/2026 Junior Lopes: Olá Rogerio, boa tarde ! _x000a_(27/03/2026) após varias tentativas sem retorno do Rogério , declinando oportunidade_x000a_Sou Junior Lopes da Guarani sistemas_x000a_14:11, 16/03/2026 Junior Lopes: estou retornando um contato que vc fez conosco_x000a_12:18, 19/03/2026 Junior Lopes: OLá Rogério ! tudo Bem ?_x000a_12:19, 19/03/2026 Junior Lopes: tem interesse em dar continuidade ?_x000a_(06/04/2026) varias tentativas de contato sem retorno"/>
    <s v=""/>
    <x v="523"/>
    <n v="35511300000110"/>
    <s v=""/>
    <s v="Vivazhigienização"/>
    <s v="82993812526"/>
    <s v=""/>
    <s v="progeriogomesxavier@gmail.comp"/>
    <s v=""/>
    <s v=""/>
    <s v=""/>
    <s v=""/>
    <s v=""/>
    <s v="Campanha"/>
    <s v=""/>
    <s v=""/>
    <s v="Dentro Perfil;Instagram"/>
    <s v="Pipeline de Vendas"/>
    <s v="Qualificação de Vendas (SQL) (25%)"/>
    <s v=""/>
    <d v="2026-03-31T00:00:00"/>
    <m/>
    <m/>
    <n v="54"/>
    <s v="Paulo Souza"/>
    <d v="2026-03-16T00:00:00"/>
    <d v="1899-12-30T13:53:57"/>
    <s v=""/>
    <s v="Perdido"/>
    <d v="2026-05-09T00:00:00"/>
    <d v="1899-12-30T07:59:08"/>
    <s v="Sem qualificação — contato não atende ligações nem responde msg"/>
    <s v=""/>
    <s v=""/>
    <x v="0"/>
    <s v="Junior Lopes"/>
    <x v="0"/>
    <s v=""/>
    <d v="2026-04-06T00:00:00"/>
    <n v="30"/>
    <s v=""/>
    <s v=""/>
    <s v=""/>
    <s v=""/>
    <n v="1"/>
  </r>
  <r>
    <x v="2"/>
    <n v="1027"/>
    <m/>
    <n v="3391"/>
    <s v=""/>
    <s v=""/>
    <x v="524"/>
    <m/>
    <s v=""/>
    <s v="Master"/>
    <s v="31994220888"/>
    <s v=""/>
    <s v="anibalsmoura@gmail.com"/>
    <s v=""/>
    <s v=""/>
    <s v=""/>
    <s v=""/>
    <s v=""/>
    <s v="Campanha"/>
    <s v=""/>
    <s v=""/>
    <s v="Dentro Perfil;Instagram"/>
    <s v="Pipeline de Vendas"/>
    <s v="Agendamento (0%)"/>
    <s v=""/>
    <d v="2026-07-31T00:00:00"/>
    <m/>
    <m/>
    <n v="54"/>
    <s v="Paulo Souza"/>
    <d v="2026-03-16T00:00:00"/>
    <d v="1899-12-30T13:54:58"/>
    <s v=""/>
    <s v="Perdido"/>
    <d v="2026-05-09T00:00:00"/>
    <d v="1899-12-30T21:12:46"/>
    <s v="Sem qualificação — contato não atende ligações nem responde msg"/>
    <s v=""/>
    <s v=""/>
    <x v="0"/>
    <s v="Rayssa Karapeticov"/>
    <x v="0"/>
    <s v=""/>
    <d v="2026-03-17T00:00:00"/>
    <n v="30"/>
    <s v=""/>
    <s v=""/>
    <s v=""/>
    <s v=""/>
    <n v="1"/>
  </r>
  <r>
    <x v="2"/>
    <n v="1029"/>
    <m/>
    <n v="3395"/>
    <s v="30.03 Tinhamos agendado uma apresentação na sexta-feira (27/03) porém o Vagner consultor da Guarani Cancelou e não avisaram o setor comercial. _x000a_Ao passar a informação de ultima hora de cancelamento para o cliente, não consegui reverte o atendimento _x000a_Cliente encerrou o contato com a Guarani Sistemas"/>
    <s v=""/>
    <x v="525"/>
    <n v="6864286000130"/>
    <s v=""/>
    <s v="Bruno"/>
    <s v="(48) 99677-1211"/>
    <s v=""/>
    <s v="bruno@alquimya.com.br"/>
    <s v=""/>
    <s v=""/>
    <s v=""/>
    <s v="Florianópolis"/>
    <s v=""/>
    <s v="Site"/>
    <s v=""/>
    <s v=""/>
    <s v=""/>
    <s v="Pipeline de Vendas"/>
    <s v="Apresentar Solução (35%)"/>
    <s v=""/>
    <d v="2026-05-31T00:00:00"/>
    <m/>
    <m/>
    <n v="13"/>
    <s v="Paulo Souza"/>
    <d v="2026-03-17T00:00:00"/>
    <d v="1899-12-30T15:45:42"/>
    <s v=""/>
    <s v="Perdido"/>
    <d v="2026-03-30T00:00:00"/>
    <d v="1899-12-30T15:55:01"/>
    <s v="Fechou com o concorrente - preço"/>
    <s v=""/>
    <s v=""/>
    <x v="0"/>
    <s v="Rayssa Karapeticov"/>
    <x v="0"/>
    <s v=""/>
    <d v="2026-03-30T00:00:00"/>
    <n v="30"/>
    <s v=""/>
    <s v="ERP, AFV, PCP"/>
    <s v=""/>
    <s v=""/>
    <n v="1"/>
  </r>
  <r>
    <x v="1"/>
    <n v="1030"/>
    <m/>
    <n v="3396"/>
    <s v="(23/06/2026) em contato com Leandro , atualmente o perfil é uma padaria e uma fabrica de pequeno porte de pão de alho ! enviei uma estimativa de valores mas achou que para o momento esta muito acima"/>
    <s v=""/>
    <x v="526"/>
    <m/>
    <s v=""/>
    <s v="Pão de alho"/>
    <s v="62985336869"/>
    <s v=""/>
    <s v="therabyte_go@hotmail.com"/>
    <s v=""/>
    <s v=""/>
    <s v=""/>
    <s v=""/>
    <s v=""/>
    <s v="Campanha"/>
    <s v=""/>
    <s v=""/>
    <s v="Fora Perfil;Instagram"/>
    <s v="Pipeline de Vendas"/>
    <s v="Qualificação de Vendas (SQL) (25%)"/>
    <s v=""/>
    <d v="2026-03-31T00:00:00"/>
    <m/>
    <m/>
    <n v="22"/>
    <s v="Paulo Souza"/>
    <d v="2026-03-17T00:00:00"/>
    <d v="1899-12-30T15:47:06"/>
    <s v=""/>
    <s v="Perdido"/>
    <d v="2026-04-08T00:00:00"/>
    <d v="1899-12-30T17:21:21"/>
    <s v="Fora do porte mínimo (sem fit estrutural)"/>
    <s v="(23/06/2026) em contato com Leandro , atualmente o perfil é uma padaria e uma fabrica de pequeno porte de pão de alho ! enviei uma estimativa de valores mas achou que para o momento esta muito acima"/>
    <s v=""/>
    <x v="0"/>
    <s v="Junior Lopes"/>
    <x v="0"/>
    <s v=""/>
    <d v="2026-03-23T00:00:00"/>
    <n v="30"/>
    <s v=""/>
    <s v=""/>
    <s v=""/>
    <s v=""/>
    <n v="1"/>
  </r>
  <r>
    <x v="0"/>
    <n v="1031"/>
    <m/>
    <n v="3397"/>
    <s v="18/03 Liguei para o Celso e ele não atendeu deixei recado no zap."/>
    <s v=""/>
    <x v="527"/>
    <n v="27742655000191"/>
    <s v=""/>
    <s v="Celso"/>
    <s v="21970038782"/>
    <s v=""/>
    <s v="gerencia@inovapet.com.br"/>
    <s v=""/>
    <s v=""/>
    <s v=""/>
    <s v=""/>
    <s v=""/>
    <s v="Campanha"/>
    <s v=""/>
    <s v=""/>
    <s v="Dentro Perfil;Instagram"/>
    <s v="Pipeline de Vendas"/>
    <s v="Qualificação de Vendas (SQL) (25%)"/>
    <s v=""/>
    <d v="2026-03-31T00:00:00"/>
    <m/>
    <m/>
    <n v="3"/>
    <s v="Paulo Souza"/>
    <d v="2026-03-17T00:00:00"/>
    <d v="1899-12-30T15:49:33"/>
    <s v=""/>
    <s v="Perdido"/>
    <d v="2026-03-20T00:00:00"/>
    <d v="1899-12-30T15:43:59"/>
    <s v="Fora do porte mínimo (sem fit estrutural)"/>
    <s v=""/>
    <s v=""/>
    <x v="0"/>
    <s v="Paulo Souza"/>
    <x v="0"/>
    <s v=""/>
    <m/>
    <n v="30"/>
    <s v=""/>
    <s v=""/>
    <s v=""/>
    <s v=""/>
    <n v="1"/>
  </r>
  <r>
    <x v="2"/>
    <n v="1032"/>
    <m/>
    <n v="3402"/>
    <s v="Cliente entrou em contato pelo suporte pedindo contato comercial apra falar sobre software, tentie ligar e mandie msg mas ainda não me retornou _x000a_31.03 - não atendeu,"/>
    <s v=""/>
    <x v="528"/>
    <n v="27742655000191"/>
    <s v=""/>
    <s v="Celso"/>
    <s v="(21) 3451-9599"/>
    <s v=""/>
    <s v="inovapet.adm@gmail.com"/>
    <s v=""/>
    <s v=""/>
    <s v=""/>
    <s v="DUQUE DE CAXIAS"/>
    <s v="RJ"/>
    <s v=""/>
    <s v=""/>
    <s v=""/>
    <s v=""/>
    <s v="Pipeline de Vendas"/>
    <s v="Agendamento (0%)"/>
    <s v=""/>
    <d v="2026-07-31T00:00:00"/>
    <m/>
    <m/>
    <n v="35"/>
    <s v="Rayssa Karapeticov"/>
    <d v="2026-03-18T00:00:00"/>
    <d v="1899-12-30T11:38:25"/>
    <s v=""/>
    <s v="Perdido"/>
    <d v="2026-04-22T00:00:00"/>
    <d v="1899-12-30T17:16:19"/>
    <s v="Não era o decisor - sem acesso"/>
    <s v=""/>
    <s v=""/>
    <x v="0"/>
    <s v="Rayssa Karapeticov"/>
    <x v="0"/>
    <s v=""/>
    <d v="2026-04-22T00:00:00"/>
    <n v="30"/>
    <s v=""/>
    <s v=""/>
    <s v=""/>
    <s v=""/>
    <n v="1"/>
  </r>
  <r>
    <x v="2"/>
    <n v="1033"/>
    <m/>
    <n v="3401"/>
    <s v="19.03 - CLiente estava em reunião, retornar o contato_x000a_20.03 cliente respondeu o formulário tentando agendar uma apresentação do ERp para o dia 31/03_x000a_30/03 - Fiz vários contato com o cliente para agendar uma apresentação e não tive retorno"/>
    <s v=""/>
    <x v="529"/>
    <n v="27251864000132"/>
    <s v=""/>
    <s v="Vinicius Primo"/>
    <s v="(19) 99959-1568"/>
    <s v=""/>
    <s v="engenharia@a2industrial.com.br"/>
    <s v=""/>
    <s v=""/>
    <s v=""/>
    <s v="Rio de Janeiro"/>
    <s v=""/>
    <s v="Site"/>
    <s v=""/>
    <s v=""/>
    <s v="Solicita demo"/>
    <s v="Pipeline de Vendas"/>
    <s v="Apresentar Solução (35%)"/>
    <s v=""/>
    <d v="2026-06-30T00:00:00"/>
    <m/>
    <m/>
    <n v="12"/>
    <s v="Paulo Souza"/>
    <d v="2026-03-18T00:00:00"/>
    <d v="1899-12-30T15:25:11"/>
    <s v=""/>
    <s v="Perdido"/>
    <d v="2026-03-30T00:00:00"/>
    <d v="1899-12-30T15:53:15"/>
    <s v="Projeto adiado / sem prazo definido"/>
    <s v=""/>
    <s v=""/>
    <x v="0"/>
    <s v="Rayssa Karapeticov"/>
    <x v="0"/>
    <s v=""/>
    <d v="2026-03-30T00:00:00"/>
    <n v="30"/>
    <s v=""/>
    <s v="ERP"/>
    <s v=""/>
    <s v=""/>
    <n v="1"/>
  </r>
  <r>
    <x v="1"/>
    <n v="1034"/>
    <m/>
    <n v="3400"/>
    <s v="(27/03/2026) Flavio não responde aos contatos"/>
    <s v=""/>
    <x v="530"/>
    <m/>
    <s v=""/>
    <s v="FM Negocios"/>
    <s v="11987194488"/>
    <s v=""/>
    <s v="fmsallas@gmail.com"/>
    <s v=""/>
    <s v=""/>
    <s v=""/>
    <s v=""/>
    <s v=""/>
    <s v="Campanha"/>
    <s v=""/>
    <s v=""/>
    <s v="Fora Perfil;Instagram"/>
    <s v="Pipeline de Vendas"/>
    <s v="Qualificação de Vendas (SQL) (25%)"/>
    <s v=""/>
    <d v="2026-03-31T00:00:00"/>
    <m/>
    <m/>
    <n v="21"/>
    <s v="Paulo Souza"/>
    <d v="2026-03-18T00:00:00"/>
    <d v="1899-12-30T15:26:48"/>
    <s v=""/>
    <s v="Perdido"/>
    <d v="2026-04-08T00:00:00"/>
    <d v="1899-12-30T17:22:35"/>
    <s v="Fora do porte mínimo (sem fit estrutural)"/>
    <s v="Flavio não responde aos contatos"/>
    <s v=""/>
    <x v="0"/>
    <s v="Junior Lopes"/>
    <x v="0"/>
    <s v=""/>
    <d v="2026-03-27T00:00:00"/>
    <n v="30"/>
    <s v=""/>
    <s v=""/>
    <s v=""/>
    <s v=""/>
    <n v="1"/>
  </r>
  <r>
    <x v="0"/>
    <n v="1035"/>
    <m/>
    <n v="3399"/>
    <s v="18/03 Fiz contato com o Itamar, sem retorno ate o momento._x000a_20/03 Falei com o Itamar esta na unimed ficamos de falar na próxima semana."/>
    <s v=""/>
    <x v="531"/>
    <m/>
    <s v=""/>
    <s v="Concreps"/>
    <s v="62984060714"/>
    <s v=""/>
    <s v="itamarbuenoadv@gmail.com"/>
    <s v=""/>
    <s v=""/>
    <s v=""/>
    <s v=""/>
    <s v=""/>
    <s v="Campanha"/>
    <s v=""/>
    <s v=""/>
    <s v="Dentro Perfil;Instagram"/>
    <s v="Pipeline de Vendas"/>
    <s v="Qualificação de Vendas (SQL) (25%)"/>
    <s v=""/>
    <d v="2026-03-31T00:00:00"/>
    <m/>
    <m/>
    <n v="52"/>
    <s v="Paulo Souza"/>
    <d v="2026-03-18T00:00:00"/>
    <d v="1899-12-30T15:27:53"/>
    <s v=""/>
    <s v="Perdido"/>
    <d v="2026-05-09T00:00:00"/>
    <d v="1899-12-30T08:02:23"/>
    <s v="Sem qualificação — contato não atende ligações nem responde msg"/>
    <s v=""/>
    <s v=""/>
    <x v="0"/>
    <s v="Paulo Souza"/>
    <x v="0"/>
    <s v=""/>
    <d v="2026-03-20T00:00:00"/>
    <n v="30"/>
    <s v=""/>
    <s v=""/>
    <s v=""/>
    <s v=""/>
    <n v="1"/>
  </r>
  <r>
    <x v="2"/>
    <n v="1037"/>
    <m/>
    <n v="3404"/>
    <s v="19.03 - Tentei contato por telefone, ligação por whatsapp e mensagem. _x000a_20.03 Convite enviado para Quarta (25/03) as 15h_x000a_Segue o link também:_x000a_https://teams.microsoft.com/meet/25533981257135?p=HZgs0XbZOVQrxgr3rL_x000a_24/03Realizamos uma apresentação do ERP, mas como o cliente é logista pediu uma previsão de investimento e achou o valor acima"/>
    <s v=""/>
    <x v="532"/>
    <m/>
    <s v=""/>
    <s v="Auto peças taurus"/>
    <s v="61981840031"/>
    <s v=""/>
    <s v="gustavoandreh@yahoo.com.br"/>
    <s v=""/>
    <s v=""/>
    <s v=""/>
    <s v=""/>
    <s v=""/>
    <s v="Campanha"/>
    <s v=""/>
    <s v=""/>
    <s v="Dentro Perfil;Instagram"/>
    <s v="Pipeline de Vendas"/>
    <s v="Apresentar Solução (35%)"/>
    <s v=""/>
    <d v="2026-03-31T00:00:00"/>
    <m/>
    <m/>
    <n v="51"/>
    <s v="Paulo Souza"/>
    <d v="2026-03-19T00:00:00"/>
    <d v="1899-12-30T10:26:22"/>
    <s v=""/>
    <s v="Perdido"/>
    <d v="2026-05-09T00:00:00"/>
    <d v="1899-12-30T21:07:24"/>
    <s v="Preço muito alto - fora do budget de investimento"/>
    <s v=""/>
    <s v=""/>
    <x v="200"/>
    <s v="Rayssa Karapeticov"/>
    <x v="219"/>
    <s v=""/>
    <d v="2026-03-24T00:00:00"/>
    <n v="30"/>
    <s v=""/>
    <s v=""/>
    <s v=""/>
    <s v=""/>
    <n v="1"/>
  </r>
  <r>
    <x v="1"/>
    <n v="1038"/>
    <m/>
    <n v="3405"/>
    <s v="11:55, 19/03/2026 Junior Lopes: Faz sentido para vocês ?_x000a_11:56, 19/03/2026 +55 35 9839-4949: Acredito que nao_x000a_12:02, 19/03/2026 +55 35 9839-4949: Distribuidor_x000a_12:02, 19/03/2026 +55 35 9839-4949: Frutas e legumes_x000a_12:03, 19/03/2026 Junior Lopes: E vc tem vendedores externos ?_x000a_12:09, 19/03/2026 +55 35 9839-4949: Somente 1"/>
    <s v=""/>
    <x v="533"/>
    <m/>
    <s v=""/>
    <s v="Grupo Kimura"/>
    <s v="35998394949"/>
    <s v=""/>
    <s v="veniltonsouza@hotmail.com"/>
    <s v=""/>
    <s v=""/>
    <s v=""/>
    <s v=""/>
    <s v=""/>
    <s v="Campanha"/>
    <s v=""/>
    <s v=""/>
    <s v="Fora Perfil;Instagram"/>
    <s v="Pipeline de Vendas"/>
    <s v="Qualificação de Vendas (SQL) (25%)"/>
    <s v=""/>
    <m/>
    <m/>
    <m/>
    <n v="0"/>
    <s v="Paulo Souza"/>
    <d v="2026-03-19T00:00:00"/>
    <d v="1899-12-30T10:29:59"/>
    <s v=""/>
    <s v="Perdido"/>
    <d v="2026-03-19T00:00:00"/>
    <d v="1899-12-30T12:15:59"/>
    <s v="Fora do porte mínimo (sem fit estrutural)"/>
    <s v="Cliente de porte muito pequeno"/>
    <s v=""/>
    <x v="0"/>
    <s v="Junior Lopes"/>
    <x v="0"/>
    <s v=""/>
    <m/>
    <n v="30"/>
    <s v=""/>
    <s v=""/>
    <s v=""/>
    <s v=""/>
    <n v="1"/>
  </r>
  <r>
    <x v="2"/>
    <n v="1040"/>
    <m/>
    <n v="3408"/>
    <s v="20.03 - Oi Raysa, bem e você?_x000a_Estou em viagem e só volto no final da próxima semana. _x000a_Podemos deixar para o meu retorno?_x000a_23.03 esta em viagem e retorna no final da proxima semana, agendando contato_x000a_31.03 retomamos o contato hoje _x000a_06.04 Eduardo pediu para entrar em contato com o Rafael, preciso entender o negócio deles."/>
    <s v=""/>
    <x v="534"/>
    <n v="40707794000142"/>
    <s v=""/>
    <s v="Aquatrat"/>
    <s v="71999081968"/>
    <s v=""/>
    <s v="eduardo@aquatrat.com.br"/>
    <s v=""/>
    <s v=""/>
    <s v=""/>
    <s v=""/>
    <s v=""/>
    <s v="Campanha"/>
    <s v=""/>
    <s v=""/>
    <s v="Fora Perfil;Instagram"/>
    <s v="Pipeline de Vendas"/>
    <s v="Agendamento (0%)"/>
    <s v=""/>
    <d v="2026-04-30T00:00:00"/>
    <m/>
    <m/>
    <n v="33"/>
    <s v="Paulo Souza"/>
    <d v="2026-03-20T00:00:00"/>
    <d v="1899-12-30T09:22:44"/>
    <s v=""/>
    <s v="Perdido"/>
    <d v="2026-04-22T00:00:00"/>
    <d v="1899-12-30T17:13:52"/>
    <s v="Fora do porte mínimo (sem fit estrutural)"/>
    <s v=""/>
    <s v=""/>
    <x v="0"/>
    <s v="Rayssa Karapeticov"/>
    <x v="0"/>
    <s v=""/>
    <d v="2026-04-22T00:00:00"/>
    <n v="30"/>
    <s v=""/>
    <s v=""/>
    <s v=""/>
    <s v=""/>
    <n v="1"/>
  </r>
  <r>
    <x v="2"/>
    <n v="1041"/>
    <m/>
    <n v="3409"/>
    <s v="20.03 não atendeu_x000a_Boa tarde Jairo, tudo bem?_x000a_Meu nome é Rayssa, sou da Guarani Sistemas, estou retornando seu contato interessado em software para a empresa VENTMAR Ventilação_x000a_podemos falar?_x000a_23.03 achou o investimento alto, é uma loja de bairro"/>
    <s v=""/>
    <x v="535"/>
    <m/>
    <s v=""/>
    <s v="VENTMAR Ventilacao"/>
    <s v="67999748649"/>
    <s v=""/>
    <s v="jairodsm@gmail.com"/>
    <s v=""/>
    <s v=""/>
    <s v=""/>
    <s v=""/>
    <s v=""/>
    <s v="Campanha"/>
    <s v=""/>
    <s v=""/>
    <s v="Fora Perfil;Instagram"/>
    <s v="Pipeline de Vendas"/>
    <s v="Agendamento (0%)"/>
    <s v=""/>
    <m/>
    <m/>
    <m/>
    <n v="50"/>
    <s v="Paulo Souza"/>
    <d v="2026-03-20T00:00:00"/>
    <d v="1899-12-30T15:28:44"/>
    <s v=""/>
    <s v="Perdido"/>
    <d v="2026-05-09T00:00:00"/>
    <d v="1899-12-30T21:09:38"/>
    <s v="Fora do porte mínimo (sem fit estrutural)"/>
    <s v=""/>
    <s v=""/>
    <x v="0"/>
    <s v="Rayssa Karapeticov"/>
    <x v="0"/>
    <s v=""/>
    <d v="2026-03-23T00:00:00"/>
    <n v="30"/>
    <s v=""/>
    <s v=""/>
    <s v=""/>
    <s v=""/>
    <n v="1"/>
  </r>
  <r>
    <x v="1"/>
    <n v="1044"/>
    <m/>
    <n v="3414"/>
    <s v="(27/03/2026) Após varias tentativas de contato com Afabio sem retorno ! estou declinando oportunidade"/>
    <s v=""/>
    <x v="536"/>
    <m/>
    <s v=""/>
    <s v="Vilela &amp; Vilela Ltda"/>
    <s v="9991419327"/>
    <s v=""/>
    <s v="afabio2016@gmail.com"/>
    <s v=""/>
    <s v=""/>
    <s v=""/>
    <s v=""/>
    <s v="Para"/>
    <s v="Inbound"/>
    <s v=""/>
    <s v=""/>
    <s v="Fora Perfil;Instagram;Perfil Indefinido"/>
    <s v="Pipeline de Vendas"/>
    <s v="Qualificação de Vendas (SQL) (25%)"/>
    <s v=""/>
    <d v="2026-03-24T00:00:00"/>
    <m/>
    <m/>
    <n v="16"/>
    <s v="Paulo Souza"/>
    <d v="2026-03-23T00:00:00"/>
    <d v="1899-12-30T13:47:48"/>
    <s v=""/>
    <s v="Perdido"/>
    <d v="2026-04-08T00:00:00"/>
    <d v="1899-12-30T17:20:11"/>
    <s v="Fora do porte mínimo (sem fit estrutural)"/>
    <s v="Após varias tentativas de contato com Afabio sem retorno ! estou declinando oportunidade"/>
    <s v=""/>
    <x v="0"/>
    <s v="Junior Lopes"/>
    <x v="0"/>
    <s v=""/>
    <d v="2026-03-23T00:00:00"/>
    <n v="30"/>
    <s v=""/>
    <s v=""/>
    <s v=""/>
    <s v=""/>
    <n v="1"/>
  </r>
  <r>
    <x v="2"/>
    <n v="1045"/>
    <m/>
    <n v="3412"/>
    <s v="24.03 - não consegui contato_x000a_06.04 - telefone não atende_x000a_11:28, 31/03/2026 Rayssa Karapeticov - Comercial - Guarani Sistemas: Bom dia Lucas, como vai?_x000a_Meu nome é Rayssa, sou da Guarani Sistemas. _x000a_Estou tentando contato com você para entender como as soluções da Guarani Sistemas podem atender a MaisMendes Distribuidora Materiais para construção_x000a_11:56, 06/04/2026 Rayssa Karapeticov - Comercial - Guarani Sistemas: Boa tarde Lucas, tudo bem? _x000a_Meu nome é Rayssa, sou da Guarani Sistemas. _x000a_Ainda faz sentido a procura de uma solução para sua empresa?_x000a_07.4"/>
    <s v=""/>
    <x v="537"/>
    <m/>
    <s v=""/>
    <s v="MaisMendes Distribuidora Materiais para construção"/>
    <s v="62993734302"/>
    <s v=""/>
    <s v="lucasmatheusmendes@outlook.com"/>
    <s v=""/>
    <s v=""/>
    <s v=""/>
    <s v=""/>
    <s v=""/>
    <s v="Campanha"/>
    <s v=""/>
    <s v=""/>
    <s v="Fora Perfil;Instagram"/>
    <s v="Pipeline de Vendas"/>
    <s v="Agendamento (0%)"/>
    <s v=""/>
    <d v="2026-04-30T00:00:00"/>
    <m/>
    <m/>
    <n v="15"/>
    <s v="Paulo Souza"/>
    <d v="2026-03-23T00:00:00"/>
    <d v="1899-12-30T13:49:09"/>
    <s v=""/>
    <s v="Perdido"/>
    <d v="2026-04-07T00:00:00"/>
    <d v="1899-12-30T09:36:31"/>
    <s v="Fora do porte mínimo (sem fit estrutural)"/>
    <s v=""/>
    <s v=""/>
    <x v="0"/>
    <s v="Rayssa Karapeticov"/>
    <x v="0"/>
    <s v=""/>
    <d v="2026-04-07T00:00:00"/>
    <n v="30"/>
    <s v=""/>
    <s v=""/>
    <s v=""/>
    <s v=""/>
    <n v="1"/>
  </r>
  <r>
    <x v="1"/>
    <n v="1046"/>
    <m/>
    <n v="3411"/>
    <s v="(23/03/2026) contato com Rafael _x000a_(27/03/2026) Rafael não responde aos contato"/>
    <s v=""/>
    <x v="538"/>
    <n v="32354207000150"/>
    <s v=""/>
    <s v="DISTRIBOM"/>
    <s v="27999328628"/>
    <s v=""/>
    <s v="rafaeldebossan@gmail.com"/>
    <s v=""/>
    <s v=""/>
    <s v=""/>
    <s v="VILA VELHA"/>
    <s v="ES"/>
    <s v="Campanha"/>
    <s v=""/>
    <s v=""/>
    <s v="Dentro Perfil;Instagram"/>
    <s v="Pipeline de Vendas"/>
    <s v="Qualificação de Vendas (SQL) (25%)"/>
    <s v=""/>
    <d v="2026-03-31T00:00:00"/>
    <m/>
    <m/>
    <n v="47"/>
    <s v="Paulo Souza"/>
    <d v="2026-03-23T00:00:00"/>
    <d v="1899-12-30T13:50:19"/>
    <s v=""/>
    <s v="Perdido"/>
    <d v="2026-05-09T00:00:00"/>
    <d v="1899-12-30T08:02:53"/>
    <s v="Sem qualificação — contato não atende ligações nem responde msg"/>
    <s v=""/>
    <s v=""/>
    <x v="0"/>
    <s v="Junior Lopes"/>
    <x v="0"/>
    <s v=""/>
    <d v="2026-03-27T00:00:00"/>
    <n v="30"/>
    <s v=""/>
    <s v=""/>
    <s v=""/>
    <s v=""/>
    <n v="1"/>
  </r>
  <r>
    <x v="1"/>
    <n v="1047"/>
    <m/>
    <n v="3417"/>
    <s v=""/>
    <s v=""/>
    <x v="539"/>
    <m/>
    <s v=""/>
    <s v="Preciza Imports"/>
    <s v="11947600755"/>
    <s v=""/>
    <s v="financeiro@precizaimports.com.br"/>
    <s v=""/>
    <s v=""/>
    <s v=""/>
    <s v=""/>
    <s v=""/>
    <s v=""/>
    <s v=""/>
    <s v=""/>
    <s v=""/>
    <s v="Pipeline de Vendas"/>
    <s v="Em Fechamento (100%)"/>
    <s v=""/>
    <m/>
    <n v="1652929"/>
    <n v="0"/>
    <n v="0"/>
    <s v="Junior Lopes"/>
    <d v="2026-03-24T00:00:00"/>
    <d v="1899-12-30T16:07:13"/>
    <s v=""/>
    <s v="Ganho"/>
    <d v="2026-03-24T00:00:00"/>
    <d v="1899-12-30T16:09:06"/>
    <s v=""/>
    <s v=""/>
    <s v=""/>
    <x v="84"/>
    <s v=""/>
    <x v="0"/>
    <s v=""/>
    <m/>
    <n v="90"/>
    <s v=""/>
    <s v=""/>
    <s v=""/>
    <s v=""/>
    <n v="1"/>
  </r>
  <r>
    <x v="1"/>
    <n v="1049"/>
    <m/>
    <n v="3420"/>
    <s v="(31/03/2026) Reciclanorte  tem algumas particularidades que fogem do nosso ERP"/>
    <s v=""/>
    <x v="540"/>
    <n v="33582253000170"/>
    <s v=""/>
    <s v="Mateus Ramos"/>
    <s v="(38) 9968-0779"/>
    <s v=""/>
    <s v="reciclanorte2@gmail.com"/>
    <s v=""/>
    <s v=""/>
    <s v=""/>
    <s v="PONTO CHIQUE"/>
    <s v="MG"/>
    <s v="Site"/>
    <s v=""/>
    <s v=""/>
    <s v="Contato;Fora Perfil"/>
    <s v="Pipeline de Vendas"/>
    <s v="Qualificação de Vendas (SQL) (25%)"/>
    <s v=""/>
    <d v="2026-03-31T00:00:00"/>
    <m/>
    <m/>
    <n v="7"/>
    <s v="Paulo Souza"/>
    <d v="2026-03-25T00:00:00"/>
    <d v="1899-12-30T16:31:34"/>
    <s v=""/>
    <s v="Perdido"/>
    <d v="2026-04-01T00:00:00"/>
    <d v="1899-12-30T10:29:40"/>
    <s v="Fora do porte mínimo (sem fit estrutural)"/>
    <s v="(31/03/2026) Reciclanorte  tem algumas particularidades que fogem do nosso ERP"/>
    <s v=""/>
    <x v="0"/>
    <s v="Junior Lopes"/>
    <x v="0"/>
    <s v=""/>
    <d v="2026-03-31T00:00:00"/>
    <n v="30"/>
    <s v=""/>
    <s v=""/>
    <s v=""/>
    <s v=""/>
    <n v="1"/>
  </r>
  <r>
    <x v="1"/>
    <n v="1050"/>
    <m/>
    <n v="3427"/>
    <s v="10:07, 14/04/2026 Luccas Globalmix: Bom dia meu amigo, tudo bem? _x000a_Desculpe não te responder. Estou com alguns problemas de família e estive meio ausente. _x000a_Analisamos sua proposta e infelizmente ficou muito acima do que estávamos planejando nesse momento. _x000a_Desculpe a minha ignorância, mas não consegui compreender o motivo de um custo tão alto para a implementação de um ERP já existente. O custo que você me passou é basicamente o de desenvolver um novo sistema próprio. _x000a_Infelizmente nessas condições é inviável para nós nesse momento. _x000a_Agradeço pelo seu atendimento nas últimas semanas, foi extremamente atencioso. Espero que compreenda. _x000a_Obrigado_x000a_10:15, 14/04/2026 Junior Lopes: Bom dia, Luccas, tudo bem?_x000a_Primeiro, espero que as coisas com sua família se resolvam da melhor forma possível. Fica tranquilo quanto ao retorno, eu entendo perfeitamente._x000a_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_x000a_O que está incluso nesse investimento é justamente o que vai fazer o sistema “virar realidade” dentro da Globalmix:_x000a_– entendimento dos processos de vocês;_x000a_– parametrização do ERP para a realidade da empresa;_x000a_– construção/ajuste dos relatórios que vocês precisam;_x000a_– validação e homologação do funcionamento antes de ir para produção;_x000a_– integração com a Lisa Log;_x000a_– e, principalmente, treinamento da equipe e acompanhamento na virada, para que todo mundo use da forma correta e o projeto traga resultado._x000a_Sem essa etapa de consultoria, o risco é ter um sistema bom, mas mal configurado ou pouco usado, o que acaba gerando retrabalho e perda de confiança na ferramenta – e é justamente isso que queremos evitar._x000a_Dito isso, eu entendo totalmente a questão de orçamento. Se fizer sentido para você, eu posso:_x000a_1) rever o escopo para enxugar etapas e tentar adequar o investimento ao momento da Globalmix; ou_x000a_2) pensar em uma implantação por fases, começando pelo essencial (comercial + força de vendas + básico de estoque) e deixando integrações e aprofundamentos para uma segunda etapa._x000a_Você se sentiria confortável em me dizer qual faixa de investimento vocês tinham planejado, para eu ver o que é possível ajustar com transparência?"/>
    <s v=""/>
    <x v="541"/>
    <m/>
    <s v=""/>
    <s v="GlobalMix - Cloud"/>
    <s v="11988736515"/>
    <s v=""/>
    <s v="contabilgrupocrx@gmail.com"/>
    <s v=""/>
    <s v=""/>
    <s v=""/>
    <s v=""/>
    <s v=""/>
    <s v=""/>
    <s v=""/>
    <s v=""/>
    <s v=""/>
    <s v="Pipeline de Vendas"/>
    <s v="Apresentar Solução (35%)"/>
    <s v=""/>
    <m/>
    <n v="1600"/>
    <n v="252471"/>
    <n v="20"/>
    <s v="Junior Lopes"/>
    <d v="2026-03-26T00:00:00"/>
    <d v="1899-12-30T15:55:09"/>
    <s v=""/>
    <s v="Perdido"/>
    <d v="2026-04-15T00:00:00"/>
    <d v="1899-12-30T09:40:31"/>
    <s v="Não houve aprovação financeira"/>
    <s v="10:07, 14/04/2026 Luccas Globalmix: Bom dia meu amigo, tudo bem? _x000a_Desculpe não te responder. Estou com alguns problemas de família e estive meio ausente. _x000a_Analisamos sua proposta e infelizmente ficou muito acima do que estávamos planejando nesse momento. _x000a_Desculpe a minha ignorância, mas não consegui compreender o motivo de um custo tão alto para a implementação de um ERP já existente. O custo que você me passou é basicamente o de desenvolver um novo sistema próprio. _x000a_Infelizmente nessas condições é inviável para nós nesse momento. _x000a_Agradeço pelo seu atendimento nas últimas semanas, foi extremamente atencioso. Espero que compreenda. _x000a_Obrigado_x000a_10:15, 14/04/2026 Junior Lopes: Bom dia, Luccas, tudo bem?_x000a_Primeiro, espero que as coisas com sua família se resolvam da melhor forma possível. Fica tranquilo quanto ao retorno, eu entendo perfeitamente._x000a_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_x000a_O que está incluso nesse investimento é justamente o que vai fazer o sistema “virar realidade” dentro da Globalmix:_x000a_– entendimento dos processos de vocês;_x000a_– parametrização do ERP para a realidade da empresa;_x000a_– construção/ajuste dos relatórios que vocês precisam;_x000a_– validação e homologação do funcionamento antes de ir para produção;_x000a_– integração com a Lisa Log;_x000a_– e, principalmente, treinamento da equipe e acompanhamento na virada, para que todo mundo use da forma correta e o projeto traga resultado._x000a_Sem essa etapa de consultoria, o risco é ter um sistema bom, mas mal configurado ou pouco usado, o que acaba gerando retrabalho e perda de confiança na ferramenta – e é justamente isso que queremos evitar._x000a_Dito isso, eu entendo totalmente a questão de orçamento. Se fizer sentido para você, eu posso:_x000a_1) rever o escopo para enxugar etapas e tentar adequar o investimento ao momento da Globalmix; ou_x000a_2) pensar em uma implantação por fases, começando pelo essencial (comercial + força de vendas + básico de estoque) e deixando integrações e aprofundamentos para uma segunda etapa._x000a_Você se sentiria confortável em me dizer qual faixa de investimento vocês tinham planejado, para eu ver o que é possível ajustar com transparência?"/>
    <s v=""/>
    <x v="194"/>
    <s v=""/>
    <x v="211"/>
    <s v=""/>
    <d v="2026-04-15T00:00:00"/>
    <n v="50"/>
    <s v=""/>
    <s v=""/>
    <s v=""/>
    <s v=""/>
    <n v="1"/>
  </r>
  <r>
    <x v="1"/>
    <n v="1051"/>
    <m/>
    <n v="3428"/>
    <s v="10:07, 14/04/2026 Luccas Globalmix: Bom dia meu amigo, tudo bem? _x000a_Desculpe não te responder. Estou com alguns problemas de família e estive meio ausente. _x000a_Analisamos sua proposta e infelizmente ficou muito acima do que estávamos planejando nesse momento. _x000a_Desculpe a minha ignorância, mas não consegui compreender o motivo de um custo tão alto para a implementação de um ERP já existente. O custo que você me passou é basicamente o de desenvolver um novo sistema próprio. _x000a_Infelizmente nessas condições é inviável para nós nesse momento. _x000a_Agradeço pelo seu atendimento nas últimas semanas, foi extremamente atencioso. Espero que compreenda. _x000a_Obrigado_x000a_10:15, 14/04/2026 Junior Lopes: Bom dia, Luccas, tudo bem?_x000a_Primeiro, espero que as coisas com sua família se resolvam da melhor forma possível. Fica tranquilo quanto ao retorno, eu entendo perfeitamente._x000a_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_x000a_O que está incluso nesse investimento é justamente o que vai fazer o sistema “virar realidade” dentro da Globalmix:_x000a_– entendimento dos processos de vocês;_x000a_– parametrização do ERP para a realidade da empresa;_x000a_– construção/ajuste dos relatórios que vocês precisam;_x000a_– validação e homologação do funcionamento antes de ir para produção;_x000a_– integração com a Lisa Log;_x000a_– e, principalmente, treinamento da equipe e acompanhamento na virada, para que todo mundo use da forma correta e o projeto traga resultado._x000a_Sem essa etapa de consultoria, o risco é ter um sistema bom, mas mal configurado ou pouco usado, o que acaba gerando retrabalho e perda de confiança na ferramenta – e é justamente isso que queremos evitar._x000a_Dito isso, eu entendo totalmente a questão de orçamento. Se fizer sentido para você, eu posso:_x000a_1) rever o escopo para enxugar etapas e tentar adequar o investimento ao momento da Globalmix; ou_x000a_2) pensar em uma implantação por fases, começando pelo essencial (comercial + força de vendas + básico de estoque) e deixando integrações e aprofundamentos para uma segunda etapa._x000a_Você se sentiria confortável em me dizer qual faixa de investimento vocês tinham planejado, para eu ver o que é possível ajustar com transparência?"/>
    <s v=""/>
    <x v="542"/>
    <m/>
    <s v=""/>
    <s v="GlobalMix - B2B"/>
    <s v="11988736515"/>
    <s v=""/>
    <s v="contabilgrupocrx@gmail.com"/>
    <s v=""/>
    <s v=""/>
    <s v=""/>
    <s v=""/>
    <s v=""/>
    <s v=""/>
    <s v=""/>
    <s v=""/>
    <s v=""/>
    <s v="Pipeline de Vendas"/>
    <s v="Apresentar Solução (35%)"/>
    <s v=""/>
    <m/>
    <n v="13100"/>
    <n v="1800"/>
    <n v="20"/>
    <s v="Junior Lopes"/>
    <d v="2026-03-26T00:00:00"/>
    <d v="1899-12-30T15:59:11"/>
    <s v=""/>
    <s v="Perdido"/>
    <d v="2026-04-15T00:00:00"/>
    <d v="1899-12-30T09:36:41"/>
    <s v="Não houve aprovação financeira"/>
    <s v="10:07, 14/04/2026 Luccas Globalmix: Bom dia meu amigo, tudo bem? _x000a_Desculpe não te responder. Estou com alguns problemas de família e estive meio ausente. _x000a_Analisamos sua proposta e infelizmente ficou muito acima do que estávamos planejando nesse momento. _x000a_Desculpe a minha ignorância, mas não consegui compreender o motivo de um custo tão alto para a implementação de um ERP já existente. O custo que você me passou é basicamente o de desenvolver um novo sistema próprio. _x000a_Infelizmente nessas condições é inviável para nós nesse momento. _x000a_Agradeço pelo seu atendimento nas últimas semanas, foi extremamente atencioso. Espero que compreenda. _x000a_Obrigado_x000a_10:15, 14/04/2026 Junior Lopes: Bom dia, Luccas, tudo bem?_x000a_Primeiro, espero que as coisas com sua família se resolvam da melhor forma possível. Fica tranquilo quanto ao retorno, eu entendo perfeitamente._x000a_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_x000a_O que está incluso nesse investimento é justamente o que vai fazer o sistema “virar realidade” dentro da Globalmix:_x000a_– entendimento dos processos de vocês;_x000a_– parametrização do ERP para a realidade da empresa;_x000a_– construção/ajuste dos relatórios que vocês precisam;_x000a_– validação e homologação do funcionamento antes de ir para produção;_x000a_– integração com a Lisa Log;_x000a_– e, principalmente, treinamento da equipe e acompanhamento na virada, para que todo mundo use da forma correta e o projeto traga resultado._x000a_Sem essa etapa de consultoria, o risco é ter um sistema bom, mas mal configurado ou pouco usado, o que acaba gerando retrabalho e perda de confiança na ferramenta – e é justamente isso que queremos evitar._x000a_Dito isso, eu entendo totalmente a questão de orçamento. Se fizer sentido para você, eu posso:_x000a_1) rever o escopo para enxugar etapas e tentar adequar o investimento ao momento da Globalmix; ou_x000a_2) pensar em uma implantação por fases, começando pelo essencial (comercial + força de vendas + básico de estoque) e deixando integrações e aprofundamentos para uma segunda etapa._x000a_Você se sentiria confortável em me dizer qual faixa de investimento vocês tinham planejado, para eu ver o que é possível ajustar com transparência?"/>
    <s v=""/>
    <x v="194"/>
    <s v=""/>
    <x v="221"/>
    <s v=""/>
    <d v="2026-04-15T00:00:00"/>
    <n v="50"/>
    <s v=""/>
    <s v=""/>
    <s v=""/>
    <s v=""/>
    <n v="1"/>
  </r>
  <r>
    <x v="2"/>
    <n v="1052"/>
    <m/>
    <n v="3423"/>
    <s v="31.03 caixa postal: Bom dia Murilo, como vai?_x000a_Meu nome é Rayssa, sou da Guarani Sistemas. _x000a_Estou tentando contato com você para entender como as soluções da Guarani Sistemas podem atender a JUNDCOAT_x000a_07.04 caixa postal"/>
    <s v=""/>
    <x v="543"/>
    <n v="48440778000148"/>
    <s v=""/>
    <s v="JUNDCOAT"/>
    <s v="11912958843"/>
    <s v=""/>
    <s v="murilo@jundcoat.com.br"/>
    <s v=""/>
    <s v=""/>
    <s v=""/>
    <s v=""/>
    <s v="Itupeva"/>
    <s v="Inbound"/>
    <s v=""/>
    <s v=""/>
    <s v="Dentro Perfil;Instagram"/>
    <s v="Pipeline de Vendas"/>
    <s v="Agendamento (0%)"/>
    <s v=""/>
    <d v="2026-03-31T00:00:00"/>
    <m/>
    <m/>
    <n v="44"/>
    <s v="Paulo Souza"/>
    <d v="2026-03-26T00:00:00"/>
    <d v="1899-12-30T16:53:38"/>
    <s v=""/>
    <s v="Perdido"/>
    <d v="2026-05-09T00:00:00"/>
    <d v="1899-12-30T08:37:27"/>
    <s v="Sem qualificação — contato não atende ligações nem responde msg"/>
    <s v=""/>
    <s v=""/>
    <x v="0"/>
    <s v="Rayssa Karapeticov"/>
    <x v="0"/>
    <s v=""/>
    <d v="2026-04-07T00:00:00"/>
    <n v="30"/>
    <s v=""/>
    <s v=""/>
    <s v=""/>
    <s v=""/>
    <n v="1"/>
  </r>
  <r>
    <x v="1"/>
    <n v="1053"/>
    <m/>
    <n v="3424"/>
    <s v="(26/03/2026) em contato com Joel"/>
    <s v=""/>
    <x v="544"/>
    <n v="4486490000139"/>
    <s v=""/>
    <s v="indukraft"/>
    <s v="47988227474"/>
    <s v=""/>
    <s v="joel@indukraft.com.br"/>
    <s v=""/>
    <s v=""/>
    <s v=""/>
    <s v=""/>
    <s v=""/>
    <s v="Campanha"/>
    <s v=""/>
    <s v=""/>
    <s v="Dentro Perfil;Instagram"/>
    <s v="Pipeline de Vendas"/>
    <s v="Qualificação de Vendas (SQL) (25%)"/>
    <s v=""/>
    <d v="2026-03-26T00:00:00"/>
    <m/>
    <m/>
    <n v="55"/>
    <s v="Paulo Souza"/>
    <d v="2026-03-26T00:00:00"/>
    <d v="1899-12-30T16:56:07"/>
    <s v=""/>
    <s v="Ativo"/>
    <m/>
    <m/>
    <s v=""/>
    <s v=""/>
    <s v=""/>
    <x v="0"/>
    <s v="Junior Lopes"/>
    <x v="0"/>
    <s v=""/>
    <m/>
    <n v="30"/>
    <s v=""/>
    <s v=""/>
    <s v=""/>
    <s v=""/>
    <n v="1"/>
  </r>
  <r>
    <x v="2"/>
    <n v="1054"/>
    <m/>
    <n v="3425"/>
    <s v="30.03 pediu uma apresentação e valores. _x000a_Falei que preciso conhecer a empresa dele e entender a razão de procurar um novo software para empresa_x000a_Estavamos avançando com a conversa_x000a_01.04 - Não atendeu _x000a_Boa tarde Milton, tudo bem?_x000a_Fez sentido para sua operação as informações que passei?_x000a_06.04 - não atende e não retorna contato"/>
    <s v=""/>
    <x v="545"/>
    <m/>
    <s v=""/>
    <s v="B&amp;G Comércio de Sinalização e Materiais de Construção"/>
    <s v="11984731999"/>
    <s v=""/>
    <s v="milton-bernardo@uol.com.br"/>
    <s v=""/>
    <s v=""/>
    <s v=""/>
    <s v=""/>
    <s v="Caieiras"/>
    <s v="Inbound"/>
    <s v=""/>
    <s v=""/>
    <s v="Fora Perfil;Instagram"/>
    <s v="Pipeline de Vendas"/>
    <s v="Agendamento (0%)"/>
    <s v=""/>
    <d v="2026-03-26T00:00:00"/>
    <m/>
    <m/>
    <n v="11"/>
    <s v="Paulo Souza"/>
    <d v="2026-03-26T00:00:00"/>
    <d v="1899-12-30T16:58:49"/>
    <s v=""/>
    <s v="Perdido"/>
    <d v="2026-04-06T00:00:00"/>
    <d v="1899-12-30T12:44:35"/>
    <s v="Fora do porte mínimo (sem fit estrutural)"/>
    <s v=""/>
    <s v=""/>
    <x v="0"/>
    <s v="Rayssa Karapeticov"/>
    <x v="0"/>
    <s v=""/>
    <d v="2026-04-01T00:00:00"/>
    <n v="30"/>
    <s v=""/>
    <s v=""/>
    <s v=""/>
    <s v=""/>
    <n v="1"/>
  </r>
  <r>
    <x v="2"/>
    <n v="1055"/>
    <m/>
    <n v="3429"/>
    <s v="30.03 - lojista de material de construção"/>
    <s v=""/>
    <x v="546"/>
    <m/>
    <s v=""/>
    <s v="Leondilmo mat const ltda"/>
    <s v="61999781085"/>
    <s v=""/>
    <s v="leondilmo@hotmail.com"/>
    <s v=""/>
    <s v=""/>
    <s v=""/>
    <s v=""/>
    <s v=""/>
    <s v="Campanha"/>
    <s v=""/>
    <s v=""/>
    <s v="Fora Perfil;Instagram"/>
    <s v="Pipeline de Vendas"/>
    <s v="Agendamento (0%)"/>
    <s v=""/>
    <d v="2026-03-31T00:00:00"/>
    <m/>
    <m/>
    <n v="3"/>
    <s v="Paulo Souza"/>
    <d v="2026-03-27T00:00:00"/>
    <d v="1899-12-30T10:18:25"/>
    <s v=""/>
    <s v="Perdido"/>
    <d v="2026-03-30T00:00:00"/>
    <d v="1899-12-30T17:43:09"/>
    <s v="Fora do porte mínimo (sem fit estrutural)"/>
    <s v=""/>
    <s v=""/>
    <x v="0"/>
    <s v="Rayssa Karapeticov"/>
    <x v="0"/>
    <s v=""/>
    <d v="2026-03-30T00:00:00"/>
    <n v="30"/>
    <s v=""/>
    <s v=""/>
    <s v=""/>
    <s v=""/>
    <n v="1"/>
  </r>
  <r>
    <x v="1"/>
    <n v="1059"/>
    <m/>
    <n v="3455"/>
    <s v="(30/03/2026) Alinhando visita presencial com Thiago"/>
    <s v=""/>
    <x v="547"/>
    <m/>
    <s v=""/>
    <s v="Banana Toys - Cloud"/>
    <s v="1532835196"/>
    <s v=""/>
    <s v="faturamento@bananatoys.com.br"/>
    <s v=""/>
    <s v=""/>
    <s v=""/>
    <s v=""/>
    <s v=""/>
    <s v=""/>
    <s v=""/>
    <s v=""/>
    <s v=""/>
    <s v="Pipeline de Vendas"/>
    <s v="Em negociação (75%)"/>
    <s v=""/>
    <m/>
    <n v="1600"/>
    <n v="384454"/>
    <n v="51"/>
    <s v="Junior Lopes"/>
    <d v="2026-03-30T00:00:00"/>
    <d v="1899-12-30T15:20:04"/>
    <s v=""/>
    <s v="Ativo"/>
    <m/>
    <m/>
    <s v=""/>
    <s v=""/>
    <s v=""/>
    <x v="197"/>
    <s v=""/>
    <x v="222"/>
    <s v=""/>
    <d v="2026-03-30T00:00:00"/>
    <n v="50"/>
    <s v=""/>
    <s v=""/>
    <s v=""/>
    <s v=""/>
    <n v="1"/>
  </r>
  <r>
    <x v="1"/>
    <n v="1060"/>
    <m/>
    <n v="3460"/>
    <s v=""/>
    <s v=""/>
    <x v="548"/>
    <m/>
    <s v=""/>
    <s v="Util Ud - PCP / WMS"/>
    <s v="19974080034"/>
    <s v=""/>
    <s v="null"/>
    <s v=""/>
    <s v=""/>
    <s v=""/>
    <s v=""/>
    <s v=""/>
    <s v=""/>
    <s v=""/>
    <s v=""/>
    <s v=""/>
    <s v="Pipeline de Vendas"/>
    <s v="Em negociação (75%)"/>
    <s v=""/>
    <m/>
    <n v="34236"/>
    <n v="42768"/>
    <n v="51"/>
    <s v="Junior Lopes"/>
    <d v="2026-03-30T00:00:00"/>
    <d v="1899-12-30T16:14:02"/>
    <s v=""/>
    <s v="Ativo"/>
    <m/>
    <m/>
    <s v=""/>
    <s v=""/>
    <s v=""/>
    <x v="201"/>
    <s v=""/>
    <x v="223"/>
    <s v=""/>
    <m/>
    <n v="50"/>
    <s v=""/>
    <s v=""/>
    <s v=""/>
    <s v=""/>
    <n v="1"/>
  </r>
  <r>
    <x v="1"/>
    <n v="1061"/>
    <m/>
    <n v="3466"/>
    <s v="(24/04/2026) orçamento não aprovado"/>
    <s v=""/>
    <x v="549"/>
    <m/>
    <s v=""/>
    <s v="Weck - Horas"/>
    <s v="11947895866"/>
    <s v=""/>
    <s v="null"/>
    <s v=""/>
    <s v=""/>
    <s v=""/>
    <s v=""/>
    <s v=""/>
    <s v=""/>
    <s v=""/>
    <s v=""/>
    <s v=""/>
    <s v="Pipeline de Vendas"/>
    <s v="Apresentar Proposta (50%)"/>
    <s v=""/>
    <m/>
    <n v="13568"/>
    <n v="0"/>
    <n v="25"/>
    <s v="Junior Lopes"/>
    <d v="2026-03-30T00:00:00"/>
    <d v="1899-12-30T16:39:07"/>
    <s v=""/>
    <s v="Perdido"/>
    <d v="2026-04-24T00:00:00"/>
    <d v="1899-12-30T10:11:23"/>
    <s v="Não houve aprovação financeira"/>
    <s v="(24/04/2026) orçamento não aprovado"/>
    <s v=""/>
    <x v="202"/>
    <s v=""/>
    <x v="224"/>
    <s v=""/>
    <d v="2026-04-24T00:00:00"/>
    <n v="30"/>
    <s v=""/>
    <s v=""/>
    <s v=""/>
    <s v=""/>
    <n v="1"/>
  </r>
  <r>
    <x v="1"/>
    <n v="1062"/>
    <m/>
    <n v="3093"/>
    <s v=""/>
    <s v=""/>
    <x v="550"/>
    <n v="53629067000156"/>
    <s v=""/>
    <s v="Claudio Teixeira"/>
    <s v="(43) 99669-3593"/>
    <s v=""/>
    <s v="claudioteixeirasap@hotmail.com"/>
    <s v=""/>
    <s v=""/>
    <s v=""/>
    <s v="CONSELHEIRO MAIRINCK"/>
    <s v="PR"/>
    <s v="Site"/>
    <s v=""/>
    <s v=""/>
    <s v="Solicita demo"/>
    <s v="Pipeline de Vendas"/>
    <s v="Apresentar Proposta (50%)"/>
    <s v=""/>
    <m/>
    <n v="68743"/>
    <n v="143186"/>
    <n v="0"/>
    <s v="Junior Lopes"/>
    <d v="2026-03-30T00:00:00"/>
    <d v="1899-12-30T17:23:13"/>
    <s v=""/>
    <s v="Perdido"/>
    <d v="2026-03-30T00:00:00"/>
    <d v="1899-12-30T17:46:58"/>
    <s v="Não houve aprovação financeira"/>
    <s v="Claudio achou o valor muito acima para investimento"/>
    <s v=""/>
    <x v="160"/>
    <s v=""/>
    <x v="173"/>
    <s v=""/>
    <m/>
    <n v="30"/>
    <s v=""/>
    <s v=""/>
    <s v=""/>
    <s v=""/>
    <n v="1"/>
  </r>
  <r>
    <x v="1"/>
    <n v="1063"/>
    <m/>
    <n v="3467"/>
    <s v=""/>
    <s v=""/>
    <x v="551"/>
    <m/>
    <s v=""/>
    <s v="Casabella Claudio Teixeira - Cloud"/>
    <s v="43996693593"/>
    <s v=""/>
    <s v="null"/>
    <s v=""/>
    <s v=""/>
    <s v=""/>
    <s v=""/>
    <s v=""/>
    <s v=""/>
    <s v=""/>
    <s v=""/>
    <s v=""/>
    <s v="Pipeline de Vendas"/>
    <s v="Apresentar Proposta (50%)"/>
    <s v=""/>
    <m/>
    <n v="1600"/>
    <n v="252471"/>
    <n v="0"/>
    <s v="Junior Lopes"/>
    <d v="2026-03-30T00:00:00"/>
    <d v="1899-12-30T17:41:36"/>
    <s v=""/>
    <s v="Perdido"/>
    <d v="2026-03-30T00:00:00"/>
    <d v="1899-12-30T17:47:37"/>
    <s v="Não houve aprovação financeira"/>
    <s v="Claudio achou o valor muito acima para investimento"/>
    <s v=""/>
    <x v="203"/>
    <s v=""/>
    <x v="173"/>
    <s v="27/03/2026 00:00"/>
    <m/>
    <n v="30"/>
    <s v=""/>
    <s v=""/>
    <s v=""/>
    <s v=""/>
    <n v="1"/>
  </r>
  <r>
    <x v="2"/>
    <n v="1064"/>
    <m/>
    <n v="3446"/>
    <s v="31.03 - Caixa Postal - Bom dia Anderson, como vai?_x000a_Meu nome é Rayssa, sou da Guarani Sistemas. _x000a_Estou tentando contato com você para entender como as soluções da Guarani Sistemas podem atender a Distribuidora Anderson Corrado_x000a_01.04 - caixa postal_x000a_07.04 encerrando por falta de retorno"/>
    <s v=""/>
    <x v="552"/>
    <m/>
    <s v=""/>
    <s v="Anderson Corrado"/>
    <s v="31971564261"/>
    <s v=""/>
    <s v="andersoncorrado@gmail.com"/>
    <s v=""/>
    <s v=""/>
    <s v=""/>
    <s v=""/>
    <s v=""/>
    <s v="Campanha"/>
    <s v=""/>
    <s v=""/>
    <s v="Fora Perfil;Instagram"/>
    <s v="Pipeline de Vendas"/>
    <s v="Agendamento (0%)"/>
    <s v=""/>
    <d v="2026-04-30T00:00:00"/>
    <m/>
    <m/>
    <n v="7"/>
    <s v="Paulo Souza"/>
    <d v="2026-03-31T00:00:00"/>
    <d v="1899-12-30T10:18:31"/>
    <s v=""/>
    <s v="Perdido"/>
    <d v="2026-04-07T00:00:00"/>
    <d v="1899-12-30T09:12:54"/>
    <s v="Fora do porte mínimo (sem fit estrutural)"/>
    <s v=""/>
    <s v=""/>
    <x v="0"/>
    <s v="Rayssa Karapeticov"/>
    <x v="0"/>
    <s v=""/>
    <d v="2026-04-01T00:00:00"/>
    <n v="30"/>
    <s v=""/>
    <s v=""/>
    <s v=""/>
    <s v=""/>
    <n v="1"/>
  </r>
  <r>
    <x v="1"/>
    <n v="1065"/>
    <m/>
    <n v="3447"/>
    <s v="(31/03/2026) cliente de loja porte pequeno , fora do perfil"/>
    <s v=""/>
    <x v="553"/>
    <m/>
    <s v=""/>
    <s v="nat art papelaria"/>
    <s v="15991197046"/>
    <s v=""/>
    <s v="cricanicolete@gmail.com"/>
    <s v=""/>
    <s v=""/>
    <s v=""/>
    <s v=""/>
    <s v="Sorocaba"/>
    <s v="Inbound"/>
    <s v=""/>
    <s v=""/>
    <s v="Fora Perfil;Instagram"/>
    <s v="Pipeline de Vendas"/>
    <s v="Agendamento (0%)"/>
    <s v=""/>
    <d v="2026-03-31T00:00:00"/>
    <m/>
    <m/>
    <n v="0"/>
    <s v="Paulo Souza"/>
    <d v="2026-03-31T00:00:00"/>
    <d v="1899-12-30T10:23:46"/>
    <s v=""/>
    <s v="Perdido"/>
    <d v="2026-03-31T00:00:00"/>
    <d v="1899-12-30T14:56:07"/>
    <s v="Fora do porte mínimo (sem fit estrutural)"/>
    <s v="(31/03/2026) cliente de loja porte pequeno , fora do perfil"/>
    <s v=""/>
    <x v="0"/>
    <s v="Junior Lopes"/>
    <x v="0"/>
    <s v=""/>
    <m/>
    <n v="30"/>
    <s v=""/>
    <s v=""/>
    <s v=""/>
    <s v=""/>
    <n v="1"/>
  </r>
  <r>
    <x v="1"/>
    <n v="1066"/>
    <m/>
    <n v="3448"/>
    <s v="(31/03/2026) em contato com Fernando _x000a_(06/04/2026) declinando por falta de retorno"/>
    <s v=""/>
    <x v="554"/>
    <n v="4827674000115"/>
    <s v=""/>
    <s v="Forte e Limpo"/>
    <s v="(73) 3027-3546"/>
    <s v=""/>
    <s v="forteelimpo@gmail.com"/>
    <s v=""/>
    <s v=""/>
    <s v=""/>
    <s v="ITABUNA"/>
    <s v="BA"/>
    <s v="Campanha"/>
    <s v=""/>
    <s v=""/>
    <s v="Dentro Perfil;Instagram"/>
    <s v="Pipeline de Vendas"/>
    <s v="Qualificação de Vendas (SQL) (25%)"/>
    <s v=""/>
    <m/>
    <m/>
    <m/>
    <n v="39"/>
    <s v="Paulo Souza"/>
    <d v="2026-03-31T00:00:00"/>
    <d v="1899-12-30T10:32:04"/>
    <s v=""/>
    <s v="Perdido"/>
    <d v="2026-05-09T00:00:00"/>
    <d v="1899-12-30T08:03:53"/>
    <s v="Sem qualificação — contato não atende ligações nem responde msg"/>
    <s v=""/>
    <s v=""/>
    <x v="0"/>
    <s v="Junior Lopes"/>
    <x v="0"/>
    <s v=""/>
    <d v="2026-04-06T00:00:00"/>
    <n v="30"/>
    <s v=""/>
    <s v=""/>
    <s v=""/>
    <s v=""/>
    <n v="1"/>
  </r>
  <r>
    <x v="2"/>
    <n v="1067"/>
    <m/>
    <n v="3468"/>
    <s v="31.03 é uma corretora e agentes de seguros, de planos de previdência complementar e de saúde."/>
    <s v=""/>
    <x v="555"/>
    <n v="50649054000150"/>
    <s v=""/>
    <s v="Finance coop LTDA"/>
    <s v="(21) 9310-5614"/>
    <s v=""/>
    <s v="financecorporacao@gmail.com"/>
    <s v=""/>
    <s v=""/>
    <s v=""/>
    <s v="RIO DE JANEIRO"/>
    <s v="RJ"/>
    <s v="Inbound"/>
    <s v=""/>
    <s v=""/>
    <s v="Fora Perfil;Instagram"/>
    <s v="Pipeline de Vendas"/>
    <s v="Agendamento (0%)"/>
    <s v=""/>
    <m/>
    <m/>
    <m/>
    <n v="0"/>
    <s v="Paulo Souza"/>
    <d v="2026-03-31T00:00:00"/>
    <d v="1899-12-30T10:35:35"/>
    <s v=""/>
    <s v="Perdido"/>
    <d v="2026-03-31T00:00:00"/>
    <d v="1899-12-30T15:20:34"/>
    <s v="Fora do porte mínimo (sem fit estrutural)"/>
    <s v=""/>
    <s v=""/>
    <x v="0"/>
    <s v="Rayssa Karapeticov"/>
    <x v="0"/>
    <s v=""/>
    <m/>
    <n v="30"/>
    <s v=""/>
    <s v=""/>
    <s v=""/>
    <s v=""/>
    <n v="1"/>
  </r>
  <r>
    <x v="1"/>
    <n v="1068"/>
    <m/>
    <n v="3471"/>
    <s v="(20/04/2026) em contato com Edson , informou que Baag vai manter servidor local devido ao alto investimento"/>
    <s v=""/>
    <x v="556"/>
    <m/>
    <s v=""/>
    <s v="Baag - Cloud"/>
    <s v="(75) 3021-7768"/>
    <s v=""/>
    <s v="null"/>
    <s v=""/>
    <s v=""/>
    <s v=""/>
    <s v=""/>
    <s v=""/>
    <s v=""/>
    <s v=""/>
    <s v=""/>
    <s v=""/>
    <s v="Pipeline de Vendas"/>
    <s v="Apresentar Proposta (50%)"/>
    <s v=""/>
    <m/>
    <n v="1600"/>
    <n v="384454"/>
    <n v="20"/>
    <s v="Junior Lopes"/>
    <d v="2026-03-31T00:00:00"/>
    <d v="1899-12-30T15:16:59"/>
    <s v=""/>
    <s v="Perdido"/>
    <d v="2026-04-20T00:00:00"/>
    <d v="1899-12-30T11:51:43"/>
    <s v="Não houve aprovação financeira"/>
    <s v="(20/04/2026) em contato com Edson , informou que Baag vai manter servidor local devido ao alto investimento"/>
    <s v=""/>
    <x v="194"/>
    <s v=""/>
    <x v="218"/>
    <s v=""/>
    <d v="2026-04-20T00:00:00"/>
    <n v="50"/>
    <s v=""/>
    <s v=""/>
    <s v=""/>
    <s v=""/>
    <n v="1"/>
  </r>
  <r>
    <x v="1"/>
    <n v="1069"/>
    <m/>
    <n v="3472"/>
    <s v=""/>
    <s v=""/>
    <x v="557"/>
    <m/>
    <s v=""/>
    <s v="Baag - Televendas"/>
    <s v="7530217768"/>
    <s v=""/>
    <s v="null"/>
    <s v=""/>
    <s v=""/>
    <s v=""/>
    <s v=""/>
    <s v=""/>
    <s v=""/>
    <s v=""/>
    <s v=""/>
    <s v=""/>
    <s v="Pipeline de Vendas"/>
    <s v="Apresentar Proposta (50%)"/>
    <s v=""/>
    <m/>
    <n v="8480"/>
    <n v="3564"/>
    <n v="24"/>
    <s v="Junior Lopes"/>
    <d v="2026-03-31T00:00:00"/>
    <d v="1899-12-30T15:37:28"/>
    <s v=""/>
    <s v="Perdido"/>
    <d v="2026-04-24T00:00:00"/>
    <d v="1899-12-30T10:06:18"/>
    <s v="Não houve aprovação financeira"/>
    <s v="24/04/2026) Edson falou com diretoria e achou valor alto para o momento"/>
    <s v=""/>
    <x v="204"/>
    <s v=""/>
    <x v="225"/>
    <s v=""/>
    <m/>
    <n v="30"/>
    <s v=""/>
    <s v=""/>
    <s v=""/>
    <s v=""/>
    <n v="1"/>
  </r>
  <r>
    <x v="1"/>
    <n v="1072"/>
    <m/>
    <n v="3474"/>
    <s v="(01/04/2026) Badux é uma auto elétrica que que faz manutenção e venda de peças no balcão (lojista)"/>
    <s v=""/>
    <x v="558"/>
    <n v="27728774000190"/>
    <s v=""/>
    <s v="Badux auto eletrica"/>
    <s v="(95) 9142-2588"/>
    <s v=""/>
    <s v="fabianoggsilva@hotmail.com"/>
    <s v=""/>
    <s v=""/>
    <s v=""/>
    <s v="BOA VISTA"/>
    <s v="RR"/>
    <s v="Inbound"/>
    <s v=""/>
    <s v=""/>
    <s v="Fora Perfil;Instagram"/>
    <s v="Pipeline de Vendas"/>
    <s v="Agendamento (0%)"/>
    <s v=""/>
    <m/>
    <m/>
    <m/>
    <n v="0"/>
    <s v="Paulo Souza"/>
    <d v="2026-04-01T00:00:00"/>
    <d v="1899-12-30T11:45:05"/>
    <s v=""/>
    <s v="Perdido"/>
    <d v="2026-04-01T00:00:00"/>
    <d v="1899-12-30T15:25:26"/>
    <s v="Fora do porte mínimo (sem fit estrutural)"/>
    <s v="(01/04/2026) Badux é uma auto elétrica que que faz manutenção e venda de peças no balcão (lojista)"/>
    <s v=""/>
    <x v="0"/>
    <s v="Junior Lopes"/>
    <x v="0"/>
    <s v=""/>
    <m/>
    <n v="30"/>
    <s v=""/>
    <s v=""/>
    <s v=""/>
    <s v=""/>
    <n v="1"/>
  </r>
  <r>
    <x v="1"/>
    <n v="1073"/>
    <m/>
    <n v="3479"/>
    <s v="(07/04/2026) tentativas de contato sem sucesso , em analise sobre verifiquei que é um empresa de lavanderia ! fora do perfil"/>
    <s v=""/>
    <x v="559"/>
    <n v="667476000261"/>
    <s v=""/>
    <s v="Ciape Distribuidora De Peças"/>
    <s v="44988361402"/>
    <s v=""/>
    <s v="rodrigo@lavinorte.com.br"/>
    <s v=""/>
    <s v=""/>
    <s v=""/>
    <s v=""/>
    <s v=""/>
    <s v="Campanha"/>
    <s v=""/>
    <s v=""/>
    <s v="Fora Perfil;Instagram"/>
    <s v="Pipeline de Vendas"/>
    <s v="Qualificação de Vendas (SQL) (25%)"/>
    <s v=""/>
    <m/>
    <m/>
    <m/>
    <n v="1"/>
    <s v="Paulo Souza"/>
    <d v="2026-04-06T00:00:00"/>
    <d v="1899-12-30T11:20:09"/>
    <s v=""/>
    <s v="Perdido"/>
    <d v="2026-04-07T00:00:00"/>
    <d v="1899-12-30T16:31:35"/>
    <s v="Fora do porte mínimo (sem fit estrutural)"/>
    <s v="(07/04/2026) tentativas de contato sem sucesso , em analise sobre verifiquei que é um empresa de lavanderia ! fora do perfil"/>
    <s v=""/>
    <x v="0"/>
    <s v="Junior Lopes"/>
    <x v="0"/>
    <s v=""/>
    <d v="2026-04-07T00:00:00"/>
    <n v="30"/>
    <s v=""/>
    <s v=""/>
    <s v=""/>
    <s v=""/>
    <n v="1"/>
  </r>
  <r>
    <x v="2"/>
    <n v="1074"/>
    <m/>
    <n v="3478"/>
    <s v="06.04 Liguei, pediu para chamar no whatsapp_x000a_Boa tarde Leandro, tudo bem?_x000a_Meu nome é Rayssa, sou da Guarani Sistemas. _x000a_Acabei de te liga rpara entender sua necessidade quanton as soluções da Guarani Sistemas. _x000a_Como posso te ajudar?"/>
    <s v=""/>
    <x v="560"/>
    <n v="34777766000107"/>
    <s v=""/>
    <s v="Tecalhas"/>
    <s v="(32) 3551-6365"/>
    <s v=""/>
    <s v="contato@realcontabilidadevrb.com.br"/>
    <s v=""/>
    <s v=""/>
    <s v=""/>
    <s v="VISCONDE DO RIO BRANCO"/>
    <s v="MG"/>
    <s v="Campanha"/>
    <s v=""/>
    <s v=""/>
    <s v="Fora Perfil;Instagram"/>
    <s v="Pipeline de Vendas"/>
    <s v="Agendamento (0%)"/>
    <s v=""/>
    <m/>
    <m/>
    <m/>
    <n v="33"/>
    <s v="Paulo Souza"/>
    <d v="2026-04-06T00:00:00"/>
    <d v="1899-12-30T11:21:52"/>
    <s v=""/>
    <s v="Perdido"/>
    <d v="2026-05-09T00:00:00"/>
    <d v="1899-12-30T08:38:25"/>
    <s v="Sem qualificação — contato não atende ligações nem responde msg"/>
    <s v=""/>
    <s v=""/>
    <x v="0"/>
    <s v="Rayssa Karapeticov"/>
    <x v="0"/>
    <s v=""/>
    <d v="2026-04-07T00:00:00"/>
    <n v="27"/>
    <s v=""/>
    <s v=""/>
    <s v=""/>
    <s v=""/>
    <n v="1"/>
  </r>
  <r>
    <x v="1"/>
    <n v="1075"/>
    <m/>
    <n v="3480"/>
    <s v="(06/04/2026) em contato com Thamires _x000a_(06/04/2026) Thamires não responde a ligação e e mensagens ! estou descartando o lead , falta muita informação como a razão social do cliente, endereço , CNPJ ! impossível fazer  uma pesquisa sobre o cliente"/>
    <s v=""/>
    <x v="561"/>
    <m/>
    <s v=""/>
    <s v="Eletro+"/>
    <s v="22997047181"/>
    <s v=""/>
    <s v="thamirestelleseriscado@hotmail.com"/>
    <s v=""/>
    <s v=""/>
    <s v=""/>
    <s v=""/>
    <s v=""/>
    <s v="Campanha"/>
    <s v=""/>
    <s v=""/>
    <s v="Fora Perfil;Instagram"/>
    <s v="Pipeline de Vendas"/>
    <s v="Agendamento (0%)"/>
    <s v=""/>
    <m/>
    <m/>
    <m/>
    <n v="0"/>
    <s v="Paulo Souza"/>
    <d v="2026-04-06T00:00:00"/>
    <d v="1899-12-30T11:23:42"/>
    <s v=""/>
    <s v="Perdido"/>
    <d v="2026-04-06T00:00:00"/>
    <d v="1899-12-30T17:17:27"/>
    <s v="Fora do porte mínimo (sem fit estrutural)"/>
    <s v="(06/04/2026) Thamires não responde a ligação e e mensagens ! estou descartando o lead , falta muita informação como a razão social do cliente, endereço , CNPJ ! impossível fazer  uma pesquisa sobre o cliente"/>
    <s v=""/>
    <x v="0"/>
    <s v="Junior Lopes"/>
    <x v="0"/>
    <s v=""/>
    <m/>
    <n v="30"/>
    <s v=""/>
    <s v=""/>
    <s v=""/>
    <s v=""/>
    <n v="1"/>
  </r>
  <r>
    <x v="2"/>
    <n v="1076"/>
    <m/>
    <n v="3482"/>
    <s v="06.04 - telefone errado"/>
    <s v=""/>
    <x v="562"/>
    <m/>
    <s v=""/>
    <s v="pra mim mesmo"/>
    <s v="4694441158"/>
    <s v=""/>
    <s v="t.marcio@hotmail.com"/>
    <s v=""/>
    <s v=""/>
    <s v=""/>
    <s v=""/>
    <s v=""/>
    <s v="Campanha"/>
    <s v=""/>
    <s v=""/>
    <s v="Fora Perfil;Instagram"/>
    <s v="Pipeline de Vendas"/>
    <s v="Agendamento (0%)"/>
    <s v=""/>
    <m/>
    <m/>
    <m/>
    <n v="1"/>
    <s v="Paulo Souza"/>
    <d v="2026-04-06T00:00:00"/>
    <d v="1899-12-30T11:25:26"/>
    <s v=""/>
    <s v="Perdido"/>
    <d v="2026-04-07T00:00:00"/>
    <d v="1899-12-30T09:07:58"/>
    <s v="Fora do porte mínimo (sem fit estrutural)"/>
    <s v=""/>
    <s v=""/>
    <x v="0"/>
    <s v="Rayssa Karapeticov"/>
    <x v="0"/>
    <s v=""/>
    <m/>
    <n v="30"/>
    <s v=""/>
    <s v=""/>
    <s v=""/>
    <s v=""/>
    <n v="1"/>
  </r>
  <r>
    <x v="1"/>
    <n v="1077"/>
    <m/>
    <n v="3483"/>
    <s v="(06/04/2026) Coelhos identificado como fora do perfil , executa trabalhos de automação de portaria e vendas de computadores para cliente pessoa física"/>
    <s v=""/>
    <x v="563"/>
    <n v="2861273000156"/>
    <s v=""/>
    <s v="Coelhos Automação"/>
    <s v="5330256162"/>
    <s v=""/>
    <s v="vilmar@coelhosautomacao.com.br"/>
    <s v=""/>
    <s v=""/>
    <s v=""/>
    <s v=""/>
    <s v=""/>
    <s v="Campanha"/>
    <s v=""/>
    <s v=""/>
    <s v="Fora Perfil;Instagram"/>
    <s v="Pipeline de Vendas"/>
    <s v="Agendamento (0%)"/>
    <s v=""/>
    <m/>
    <m/>
    <m/>
    <n v="0"/>
    <s v="Paulo Souza"/>
    <d v="2026-04-06T00:00:00"/>
    <d v="1899-12-30T11:27:43"/>
    <s v=""/>
    <s v="Perdido"/>
    <d v="2026-04-06T00:00:00"/>
    <d v="1899-12-30T16:59:44"/>
    <s v="Fora do porte mínimo (sem fit estrutural)"/>
    <s v="(06/04/2026) Coelhos identificado como fora do perfil , executa trabalhos de automação de portaria e vendas de computadores para cliente pessoa física"/>
    <s v=""/>
    <x v="0"/>
    <s v="Junior Lopes"/>
    <x v="0"/>
    <s v=""/>
    <m/>
    <n v="28"/>
    <s v=""/>
    <s v=""/>
    <s v=""/>
    <s v=""/>
    <n v="1"/>
  </r>
  <r>
    <x v="1"/>
    <n v="1078"/>
    <m/>
    <n v="3497"/>
    <s v="24/04/2026) Edson falou com diretoria e achou valor alto para o momento"/>
    <s v=""/>
    <x v="564"/>
    <m/>
    <s v=""/>
    <s v="Baag - BI"/>
    <s v="7530217768"/>
    <s v=""/>
    <s v="helpdesk@bahiagrafica.com.br"/>
    <s v=""/>
    <s v=""/>
    <s v=""/>
    <s v=""/>
    <s v=""/>
    <s v=""/>
    <s v=""/>
    <s v=""/>
    <s v=""/>
    <s v="Pipeline de Vendas"/>
    <s v="Apresentar Proposta (50%)"/>
    <s v=""/>
    <m/>
    <n v="8100"/>
    <n v="1080"/>
    <n v="16"/>
    <s v="Junior Lopes"/>
    <d v="2026-04-08T00:00:00"/>
    <d v="1899-12-30T16:50:57"/>
    <s v=""/>
    <s v="Perdido"/>
    <d v="2026-04-24T00:00:00"/>
    <d v="1899-12-30T09:54:24"/>
    <s v="Não houve aprovação financeira"/>
    <s v="24/04/2026) Edson falou com diretoria e achou valor alto para o momento"/>
    <s v=""/>
    <x v="205"/>
    <s v=""/>
    <x v="226"/>
    <s v=""/>
    <d v="2026-04-24T00:00:00"/>
    <n v="50"/>
    <s v=""/>
    <s v=""/>
    <s v=""/>
    <s v=""/>
    <n v="1"/>
  </r>
  <r>
    <x v="1"/>
    <n v="1079"/>
    <m/>
    <n v="3501"/>
    <s v="(09/04/2026) Prospecção , buscando contato para conexão e apresentação das soluções ERP e Força de vendas"/>
    <s v=""/>
    <x v="565"/>
    <n v="48260432000168"/>
    <s v=""/>
    <s v="EDUARDO MARINO COELHO"/>
    <s v=""/>
    <s v=""/>
    <s v=""/>
    <s v=""/>
    <s v=""/>
    <s v=""/>
    <s v=""/>
    <s v=""/>
    <s v="Base de empresas Leads2b"/>
    <s v=""/>
    <s v=""/>
    <s v=""/>
    <s v="Pipeline de Vendas"/>
    <s v="Qualificação de Vendas (SQL) (25%)"/>
    <s v=""/>
    <m/>
    <m/>
    <m/>
    <n v="41"/>
    <s v="Junior Lopes"/>
    <d v="2026-04-09T00:00:00"/>
    <d v="1899-12-30T09:22:10"/>
    <s v=""/>
    <s v="Ativo"/>
    <m/>
    <m/>
    <s v=""/>
    <s v=""/>
    <s v=""/>
    <x v="0"/>
    <s v=""/>
    <x v="0"/>
    <s v=""/>
    <d v="2026-05-06T00:00:00"/>
    <n v="30"/>
    <s v=""/>
    <s v=""/>
    <s v=""/>
    <s v=""/>
    <n v="1"/>
  </r>
  <r>
    <x v="1"/>
    <n v="1080"/>
    <m/>
    <n v="3502"/>
    <s v="(09/04/2026) Em contato com Jaison (TI) _x000a_09:49, 09/04/2026 Junior Lopes: Olá Jaison ! Bom dia meu amigo ! _x000a_Junior da Guarani sistemas por aqui_x000a_09:49, 09/04/2026 Junior Lopes: Há um tempo fizemos uma apresentação da solução de força de vendas para a Unitermi e fiquei curioso para saber como vocês estão hoje com esse tipo de solução._x000a_Estão utilizando alguma ferramenta atualmente?_x000a_Vejo que ainda podemos ajudar bastante na organização dos pedidos, acompanhamento da equipe de vendas em campo e melhoria dos resultados. Se fizer sentido, posso agendar uma conversa rápida para entendermos o momento de vocês e mostrar como podemos apoiar._x000a_Contato com Danieli (Comercial)_x000a_09:51, 09/04/2026 Junior Lopes: Olá Danieli , bom dia _x000a_Junior da Guarani sistemas por aqui ! Td bem ?_x000a_09:52, 09/04/2026 Junior Lopes: Alguns meses atrás apresentei nossa solução de força de vendas para a Unitermi e fiquei pensando em como está hoje o processo comercial de vocês: pedidos, roteiros, acompanhamento da equipe externa etc._x000a_Vocês já estão com alguma solução implantada ou ainda avaliam opções?_x000a_10:12, 09/04/2026 Unitermi Danieli: Jaison Unitermi TI_x000a_10:12, 09/04/2026 Unitermi Danieli: Bom dia_x000a_10:12, 09/04/2026 Unitermi Danieli: Favor contatar o responsável da Ti_x000a_10:12, 09/04/2026 Unitermi Danieli: Obrigada"/>
    <s v=""/>
    <x v="566"/>
    <n v="19398581000190"/>
    <s v=""/>
    <s v="Unitermi indústria"/>
    <s v="48988044437"/>
    <s v=""/>
    <s v="sup.comercial@unitermi.com.br"/>
    <s v=""/>
    <s v=""/>
    <s v=""/>
    <s v="PAULO LOPES"/>
    <s v="SC"/>
    <s v=""/>
    <s v=""/>
    <s v=""/>
    <s v=""/>
    <s v="Pipeline de Vendas"/>
    <s v="Qualificação de Vendas (SQL) (25%)"/>
    <s v=""/>
    <m/>
    <m/>
    <m/>
    <n v="41"/>
    <s v="Junior Lopes"/>
    <d v="2026-04-09T00:00:00"/>
    <d v="1899-12-30T10:11:00"/>
    <s v=""/>
    <s v="Ativo"/>
    <m/>
    <m/>
    <s v=""/>
    <s v=""/>
    <s v=""/>
    <x v="0"/>
    <s v=""/>
    <x v="0"/>
    <s v=""/>
    <d v="2026-05-06T00:00:00"/>
    <n v="30"/>
    <s v=""/>
    <s v=""/>
    <s v=""/>
    <s v=""/>
    <n v="1"/>
  </r>
  <r>
    <x v="1"/>
    <n v="1081"/>
    <m/>
    <n v="3504"/>
    <s v="(09/04/2026) em contato com Daniel _x000a_10:38, 09/04/2026 Junior Lopes: Olá Daniel ! Bom dia , Júnior Lopes da Guarani sistemas por aqui_x000a_10:38, 09/04/2026 Junior Lopes: Algum tempo atrás apresentei nossa solução de força de vendas para Martiplast e fiquei pensando em como está o processo comercial de vocês ?_x000a_10:38, 09/04/2026 Junior Lopes: Que tal rever nossas soluções?"/>
    <s v="Martiplast Industria E Comercio De Plasticos Ltda"/>
    <x v="567"/>
    <n v="73445454000654"/>
    <s v=""/>
    <s v="Martiplast Industria E Comercio De Plasticos Ltda"/>
    <s v="(54) 2101-9090"/>
    <s v=""/>
    <s v="diego.borges@martiplast.com.br"/>
    <s v=""/>
    <s v=""/>
    <s v=""/>
    <s v="SAO PAULO"/>
    <s v="SP"/>
    <s v="Base de empresas Leads2b"/>
    <s v=""/>
    <s v=""/>
    <s v=""/>
    <s v="Pipeline de Vendas"/>
    <s v="Qualificação de Vendas (SQL) (25%)"/>
    <s v=""/>
    <m/>
    <m/>
    <m/>
    <n v="41"/>
    <s v="Junior Lopes"/>
    <d v="2026-04-09T00:00:00"/>
    <d v="1899-12-30T10:44:36"/>
    <s v=""/>
    <s v="Ativo"/>
    <m/>
    <m/>
    <s v=""/>
    <s v=""/>
    <s v=""/>
    <x v="0"/>
    <s v=""/>
    <x v="0"/>
    <s v=""/>
    <d v="2026-05-06T00:00:00"/>
    <n v="30"/>
    <s v=""/>
    <s v=""/>
    <s v=""/>
    <s v=""/>
    <n v="1"/>
  </r>
  <r>
    <x v="2"/>
    <n v="1082"/>
    <m/>
    <n v="3488"/>
    <s v="10.04 Liguei ficou na caixa postal _x000a_Bom dia Vidal, tudo bem?_x000a_meu nome é Rayssa, sou da Guarani Sistemas. _x000a_Tentei contato com você para falarmos das soluções de software para sua empresa. _x000a_Qual melhor horario para te retornar?_x000a_23.04Bom dia Vidal, como vai?_x000a_Estou tentando contato com você para entender sua solicitação para conhecer nossos sistemas._x000a_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_x000a_Vou deixar uma apresentação de nossa empresa e quando tiver um tempo disponivel por retornar o contato"/>
    <s v=""/>
    <x v="568"/>
    <m/>
    <s v=""/>
    <s v="Vidal"/>
    <s v="51981230645"/>
    <s v=""/>
    <s v="g.vidal0220@gmail.com"/>
    <s v=""/>
    <s v=""/>
    <s v=""/>
    <s v=""/>
    <s v=""/>
    <s v="Campanha"/>
    <s v=""/>
    <s v=""/>
    <s v="Fora Perfil;Instagram"/>
    <s v="Pipeline de Vendas"/>
    <s v="Agendamento (0%)"/>
    <s v=""/>
    <d v="2026-04-30T00:00:00"/>
    <m/>
    <m/>
    <n v="29"/>
    <s v="Paulo Souza"/>
    <d v="2026-04-10T00:00:00"/>
    <d v="1899-12-30T08:45:52"/>
    <s v=""/>
    <s v="Perdido"/>
    <d v="2026-05-09T00:00:00"/>
    <d v="1899-12-30T08:38:47"/>
    <s v="Sem qualificação — contato não atende ligações nem responde msg"/>
    <s v=""/>
    <s v=""/>
    <x v="0"/>
    <s v="Rayssa Karapeticov"/>
    <x v="0"/>
    <s v=""/>
    <d v="2026-04-23T00:00:00"/>
    <n v="28"/>
    <s v=""/>
    <s v=""/>
    <s v=""/>
    <s v=""/>
    <n v="1"/>
  </r>
  <r>
    <x v="1"/>
    <n v="1083"/>
    <m/>
    <n v="3491"/>
    <s v="(10/04/2026) Buscando contato com Belmar"/>
    <s v=""/>
    <x v="569"/>
    <n v="91241034000123"/>
    <s v=""/>
    <s v="METALÚRGICA VALENTINI LTDA"/>
    <s v="(54) 3321-5204 / (54) 3321-5204"/>
    <s v=""/>
    <s v="metalvalentini@gmail.com"/>
    <s v=""/>
    <s v=""/>
    <s v=""/>
    <s v="ERECHIM"/>
    <s v="RS"/>
    <s v="Campanha"/>
    <s v=""/>
    <s v=""/>
    <s v="Fora Perfil;Instagram"/>
    <s v="Pipeline de Vendas"/>
    <s v="Agendamento (0%)"/>
    <s v=""/>
    <m/>
    <m/>
    <m/>
    <n v="29"/>
    <s v="Paulo Souza"/>
    <d v="2026-04-10T00:00:00"/>
    <d v="1899-12-30T08:47:32"/>
    <s v=""/>
    <s v="Perdido"/>
    <d v="2026-05-09T00:00:00"/>
    <d v="1899-12-30T08:40:51"/>
    <s v="Sem qualificação — contato não atende ligações nem responde msg"/>
    <s v=""/>
    <s v=""/>
    <x v="0"/>
    <s v="Junior Lopes"/>
    <x v="0"/>
    <s v=""/>
    <m/>
    <n v="30"/>
    <s v=""/>
    <s v=""/>
    <s v=""/>
    <s v=""/>
    <n v="1"/>
  </r>
  <r>
    <x v="1"/>
    <n v="1084"/>
    <m/>
    <n v="3492"/>
    <s v="(10/04/2026) em contato com Danyllo buscando agenda para um bate papo"/>
    <s v=""/>
    <x v="570"/>
    <m/>
    <s v=""/>
    <s v="Camelo distribuidora"/>
    <s v="62991773767"/>
    <s v=""/>
    <s v="danyllogac@hotmail.com"/>
    <s v=""/>
    <s v=""/>
    <s v=""/>
    <s v=""/>
    <s v=""/>
    <s v="Campanha"/>
    <s v=""/>
    <s v=""/>
    <s v="Dentro Perfil;Instagram"/>
    <s v="Pipeline de Vendas"/>
    <s v="Qualificação de Vendas (SQL) (25%)"/>
    <s v=""/>
    <m/>
    <m/>
    <m/>
    <n v="40"/>
    <s v="Paulo Souza"/>
    <d v="2026-04-10T00:00:00"/>
    <d v="1899-12-30T08:49:10"/>
    <s v=""/>
    <s v="Ativo"/>
    <m/>
    <m/>
    <s v=""/>
    <s v=""/>
    <s v=""/>
    <x v="0"/>
    <s v="Junior Lopes"/>
    <x v="0"/>
    <s v=""/>
    <m/>
    <n v="29"/>
    <s v=""/>
    <s v=""/>
    <s v=""/>
    <s v=""/>
    <n v="1"/>
  </r>
  <r>
    <x v="2"/>
    <n v="1085"/>
    <m/>
    <n v="3494"/>
    <s v=""/>
    <s v=""/>
    <x v="571"/>
    <n v="21233195000190"/>
    <s v=""/>
    <s v="Cleber vieira teles"/>
    <s v="(15) 9800-0087"/>
    <s v=""/>
    <s v="vieira_teles@hotmail.com"/>
    <s v=""/>
    <s v=""/>
    <s v=""/>
    <s v="PORTO FELIZ"/>
    <s v="SP"/>
    <s v="Campanha"/>
    <s v=""/>
    <s v=""/>
    <s v="Fora Perfil;Instagram"/>
    <s v="Pipeline de Vendas"/>
    <s v="Agendamento (0%)"/>
    <s v=""/>
    <d v="2026-04-30T00:00:00"/>
    <m/>
    <m/>
    <n v="13"/>
    <s v="Paulo Souza"/>
    <d v="2026-04-10T00:00:00"/>
    <d v="1899-12-30T08:50:25"/>
    <s v=""/>
    <s v="Perdido"/>
    <d v="2026-04-23T00:00:00"/>
    <d v="1899-12-30T11:03:07"/>
    <s v="Fora do porte mínimo (sem fit estrutural)"/>
    <s v=""/>
    <s v=""/>
    <x v="0"/>
    <s v="Rayssa Karapeticov"/>
    <x v="0"/>
    <s v=""/>
    <d v="2026-04-23T00:00:00"/>
    <n v="30"/>
    <s v=""/>
    <s v=""/>
    <s v=""/>
    <s v=""/>
    <n v="1"/>
  </r>
  <r>
    <x v="2"/>
    <n v="1086"/>
    <m/>
    <n v="3496"/>
    <s v="Todos os dados preenchidos:_x000a_empresa: Grupo Marcamix _x000a_name: Ismael Ramos _x000a_cargo: Analista de Sistemas _x000a_whatsapp: 11960590527 _x000a_email: suporte@marcamix.com.br"/>
    <s v=""/>
    <x v="572"/>
    <n v="3634113000137"/>
    <s v=""/>
    <s v="Ismael Ramos"/>
    <s v=""/>
    <s v=""/>
    <s v="suporte@marcamix.com.br"/>
    <s v=""/>
    <s v=""/>
    <s v=""/>
    <s v="Ribeirão Preto"/>
    <s v=""/>
    <s v="Inbound"/>
    <s v=""/>
    <s v=""/>
    <s v="comex"/>
    <s v="Pipeline de Vendas"/>
    <s v="Em negociação (75%)"/>
    <s v=""/>
    <d v="2026-04-10T00:00:00"/>
    <n v="6000"/>
    <n v="2000"/>
    <n v="40"/>
    <s v="Paulo Souza"/>
    <d v="2026-04-10T00:00:00"/>
    <d v="1899-12-30T08:52:00"/>
    <s v=""/>
    <s v="Ativo"/>
    <m/>
    <m/>
    <s v=""/>
    <s v=""/>
    <s v=""/>
    <x v="206"/>
    <s v="Rayssa Karapeticov"/>
    <x v="227"/>
    <s v=""/>
    <d v="2026-05-13T00:00:00"/>
    <n v="30"/>
    <s v=""/>
    <s v=""/>
    <s v=""/>
    <s v=""/>
    <n v="1"/>
  </r>
  <r>
    <x v="0"/>
    <n v="1087"/>
    <m/>
    <n v="3495"/>
    <s v=""/>
    <s v=""/>
    <x v="573"/>
    <m/>
    <s v=""/>
    <s v="Romulo"/>
    <s v="8191451469"/>
    <s v=""/>
    <s v="romulomelo2009@gmai.com"/>
    <s v=""/>
    <s v=""/>
    <s v=""/>
    <s v=""/>
    <s v=""/>
    <s v="Campanha"/>
    <s v=""/>
    <s v=""/>
    <s v="Fora Perfil;Instagram"/>
    <s v="Pipeline de Vendas"/>
    <s v="Agendamento (0%)"/>
    <s v=""/>
    <d v="2026-04-30T00:00:00"/>
    <m/>
    <m/>
    <n v="0"/>
    <s v="Paulo Souza"/>
    <d v="2026-04-10T00:00:00"/>
    <d v="1899-12-30T08:53:42"/>
    <s v=""/>
    <s v="Perdido"/>
    <d v="2026-04-10T00:00:00"/>
    <d v="1899-12-30T14:08:40"/>
    <s v="Preço muito alto - fora do budget de investimento"/>
    <s v=""/>
    <s v=""/>
    <x v="0"/>
    <s v="Paulo Souza"/>
    <x v="0"/>
    <s v=""/>
    <m/>
    <n v="30"/>
    <s v=""/>
    <s v=""/>
    <s v=""/>
    <s v=""/>
    <n v="1"/>
  </r>
  <r>
    <x v="0"/>
    <n v="1088"/>
    <m/>
    <n v="3498"/>
    <s v=""/>
    <s v=""/>
    <x v="574"/>
    <m/>
    <s v=""/>
    <s v="JH Navegação e Logística Ltda"/>
    <s v="92991313828"/>
    <s v=""/>
    <s v="hayliebarbosa1@gmail.com"/>
    <s v=""/>
    <s v=""/>
    <s v=""/>
    <s v=""/>
    <s v=""/>
    <s v="Campanha"/>
    <s v=""/>
    <s v=""/>
    <s v="Fora Perfil;Instagram"/>
    <s v="Pipeline de Vendas"/>
    <s v="Agendamento (0%)"/>
    <s v=""/>
    <m/>
    <m/>
    <m/>
    <n v="29"/>
    <s v="Paulo Souza"/>
    <d v="2026-04-10T00:00:00"/>
    <d v="1899-12-30T08:54:24"/>
    <s v=""/>
    <s v="Perdido"/>
    <d v="2026-05-09T00:00:00"/>
    <d v="1899-12-30T08:41:27"/>
    <s v="Fora do segmento atendido"/>
    <s v=""/>
    <s v=""/>
    <x v="0"/>
    <s v="Paulo Souza"/>
    <x v="0"/>
    <s v=""/>
    <m/>
    <n v="30"/>
    <s v=""/>
    <s v=""/>
    <s v=""/>
    <s v=""/>
    <n v="1"/>
  </r>
  <r>
    <x v="1"/>
    <n v="1089"/>
    <m/>
    <n v="3509"/>
    <s v=""/>
    <s v=""/>
    <x v="575"/>
    <n v="3654966000130"/>
    <s v=""/>
    <s v="Marlim Azul Turismo"/>
    <s v="27999346494"/>
    <s v=""/>
    <s v="heber@marlimazulturismo.com.br"/>
    <s v=""/>
    <s v=""/>
    <s v=""/>
    <s v=""/>
    <s v="Serra ES"/>
    <s v="Inbound"/>
    <s v=""/>
    <s v=""/>
    <s v="Fora Perfil;Instagram"/>
    <s v="Pipeline de Vendas"/>
    <s v="Agendamento (0%)"/>
    <s v=""/>
    <m/>
    <m/>
    <m/>
    <n v="0"/>
    <s v="Paulo Souza"/>
    <d v="2026-04-10T00:00:00"/>
    <d v="1899-12-30T08:55:19"/>
    <s v=""/>
    <s v="Perdido"/>
    <d v="2026-04-10T00:00:00"/>
    <d v="1899-12-30T10:24:21"/>
    <s v="Fora do porte mínimo (sem fit estrutural)"/>
    <s v="empresa fora do perfil"/>
    <s v=""/>
    <x v="0"/>
    <s v="Junior Lopes"/>
    <x v="0"/>
    <s v=""/>
    <m/>
    <n v="30"/>
    <s v=""/>
    <s v=""/>
    <s v=""/>
    <s v=""/>
    <n v="1"/>
  </r>
  <r>
    <x v="2"/>
    <n v="1090"/>
    <m/>
    <n v="3508"/>
    <s v="10.04 - Caixa postal _x000a_Bom dia Claudio , como vai?_x000a_Meu nome é Rayssa, sou da Guarani Sistemas. _x000a_Tentei contato com você para falarmos de sua necessidade de implantação de um novo software para sua empresa._x000a_Qual melhor horario para te retornar?"/>
    <s v=""/>
    <x v="576"/>
    <m/>
    <s v=""/>
    <s v="Mercado do bairro"/>
    <s v="11949454465"/>
    <s v=""/>
    <s v="mercadobairro11@gmail.com"/>
    <s v=""/>
    <s v=""/>
    <s v=""/>
    <s v=""/>
    <s v=""/>
    <s v="Campanha"/>
    <s v=""/>
    <s v=""/>
    <s v="Fora Perfil;Instagram"/>
    <s v="Pipeline de Vendas"/>
    <s v="Agendamento (0%)"/>
    <s v=""/>
    <d v="2026-04-30T00:00:00"/>
    <m/>
    <m/>
    <n v="0"/>
    <s v="Paulo Souza"/>
    <d v="2026-04-10T00:00:00"/>
    <d v="1899-12-30T08:56:18"/>
    <s v=""/>
    <s v="Perdido"/>
    <d v="2026-04-10T00:00:00"/>
    <d v="1899-12-30T10:43:18"/>
    <s v="Fora do porte mínimo (sem fit estrutural)"/>
    <s v="mercado"/>
    <s v=""/>
    <x v="0"/>
    <s v="Rayssa Karapeticov"/>
    <x v="0"/>
    <s v=""/>
    <m/>
    <n v="30"/>
    <s v=""/>
    <s v=""/>
    <s v=""/>
    <s v=""/>
    <n v="1"/>
  </r>
  <r>
    <x v="1"/>
    <n v="1091"/>
    <m/>
    <n v="3507"/>
    <s v="(10/04/2026) em contato com Guri a fim de entender melhor suas necessidades"/>
    <s v=""/>
    <x v="577"/>
    <m/>
    <s v=""/>
    <s v="Guri cervejaria"/>
    <s v="54996551297"/>
    <s v=""/>
    <s v="cervejariaguri@hotmail.com"/>
    <s v=""/>
    <s v=""/>
    <s v=""/>
    <s v=""/>
    <s v=""/>
    <s v="Campanha"/>
    <s v=""/>
    <s v=""/>
    <s v="Fora Perfil;Instagram"/>
    <s v="Pipeline de Vendas"/>
    <s v="Qualificação de Vendas (SQL) (25%)"/>
    <s v=""/>
    <d v="2026-04-30T00:00:00"/>
    <m/>
    <m/>
    <n v="0"/>
    <s v="Paulo Souza"/>
    <d v="2026-04-10T00:00:00"/>
    <d v="1899-12-30T08:57:15"/>
    <s v=""/>
    <s v="Perdido"/>
    <d v="2026-04-10T00:00:00"/>
    <d v="1899-12-30T10:26:02"/>
    <s v="Fora do porte mínimo (sem fit estrutural)"/>
    <s v="Guri cervejaria é basicamente um bar e entretenimento com quadras de futebol, fora do perfil"/>
    <s v=""/>
    <x v="0"/>
    <s v="Junior Lopes"/>
    <x v="0"/>
    <s v=""/>
    <m/>
    <n v="30"/>
    <s v=""/>
    <s v=""/>
    <s v=""/>
    <s v=""/>
    <n v="1"/>
  </r>
  <r>
    <x v="2"/>
    <n v="1092"/>
    <m/>
    <n v="3506"/>
    <s v="28.04 Boa tarde Paulo, como vai?_x000a_Meu nome é Rayssa, sou da Guarani Sistemas, e falei com você uns dias atrás para entender sua necessidade de implantação de um novo software, porém, não consegui mais falar com você._x000a_Ainda está em busca de uma solução tecnologica para a empresa?"/>
    <s v=""/>
    <x v="578"/>
    <n v="34731194000117"/>
    <s v=""/>
    <s v="UP"/>
    <s v="(11) 4199-5100"/>
    <s v=""/>
    <s v="financeiro@up-ib.com.br"/>
    <s v=""/>
    <s v=""/>
    <s v=""/>
    <s v="ARACARIGUAMA"/>
    <s v="SP"/>
    <s v="Inbound"/>
    <s v=""/>
    <s v=""/>
    <s v="Dentro Perfil;Instagram"/>
    <s v="Pipeline de Vendas"/>
    <s v="Apresentar Solução (35%)"/>
    <s v=""/>
    <d v="2026-06-30T00:00:00"/>
    <m/>
    <m/>
    <n v="39"/>
    <s v="Paulo Souza"/>
    <d v="2026-04-10T00:00:00"/>
    <d v="1899-12-30T08:58:12"/>
    <s v=""/>
    <s v="Perdido"/>
    <d v="2026-05-19T00:00:00"/>
    <d v="1899-12-30T11:26:52"/>
    <s v="Projeto adiado / sem prazo definido"/>
    <s v=""/>
    <s v=""/>
    <x v="0"/>
    <s v="Rayssa Karapeticov"/>
    <x v="0"/>
    <s v=""/>
    <d v="2026-05-19T00:00:00"/>
    <n v="30"/>
    <s v=""/>
    <s v=""/>
    <s v=""/>
    <s v=""/>
    <n v="1"/>
  </r>
  <r>
    <x v="2"/>
    <n v="1093"/>
    <m/>
    <n v="3487"/>
    <s v=""/>
    <s v=""/>
    <x v="579"/>
    <n v="9313543000133"/>
    <s v=""/>
    <s v="Aucione Lima da Silva"/>
    <s v="(11) 94035-6615"/>
    <s v=""/>
    <s v="contato@raryplast.com.br"/>
    <s v=""/>
    <s v=""/>
    <s v=""/>
    <s v="Tatuí"/>
    <s v=""/>
    <s v="Site"/>
    <s v=""/>
    <s v=""/>
    <s v="Contato"/>
    <s v="Pipeline de Vendas"/>
    <s v="Agendamento (0%)"/>
    <s v=""/>
    <d v="2026-08-31T00:00:00"/>
    <m/>
    <m/>
    <n v="12"/>
    <s v="Paulo Souza"/>
    <d v="2026-04-10T00:00:00"/>
    <d v="1899-12-30T09:00:23"/>
    <s v=""/>
    <s v="Perdido"/>
    <d v="2026-04-22T00:00:00"/>
    <d v="1899-12-30T17:04:29"/>
    <s v="Não quer mudar a solução atual"/>
    <s v=""/>
    <s v=""/>
    <x v="0"/>
    <s v="Rayssa Karapeticov"/>
    <x v="0"/>
    <s v=""/>
    <d v="2026-04-22T00:00:00"/>
    <n v="30"/>
    <s v=""/>
    <s v=""/>
    <s v=""/>
    <s v=""/>
    <n v="1"/>
  </r>
  <r>
    <x v="0"/>
    <n v="1094"/>
    <m/>
    <n v="3499"/>
    <s v=""/>
    <s v=""/>
    <x v="580"/>
    <m/>
    <s v=""/>
    <s v="Adovanio"/>
    <s v="11947878080"/>
    <s v=""/>
    <s v="cptavaresrepresenta@gmail.com"/>
    <s v=""/>
    <s v=""/>
    <s v=""/>
    <s v=""/>
    <s v=""/>
    <s v="Campanha"/>
    <s v=""/>
    <s v=""/>
    <s v="Dentro Perfil;Instagram"/>
    <s v="Pipeline de Vendas"/>
    <s v="Agendamento (0%)"/>
    <s v=""/>
    <d v="2026-04-30T00:00:00"/>
    <m/>
    <m/>
    <n v="29"/>
    <s v="Paulo Souza"/>
    <d v="2026-04-10T00:00:00"/>
    <d v="1899-12-30T09:01:47"/>
    <s v=""/>
    <s v="Perdido"/>
    <d v="2026-05-09T00:00:00"/>
    <d v="1899-12-30T08:42:12"/>
    <s v="Sem qualificação — contato não atende ligações nem responde msg"/>
    <s v=""/>
    <s v=""/>
    <x v="0"/>
    <s v="Paulo Souza"/>
    <x v="0"/>
    <s v=""/>
    <m/>
    <n v="30"/>
    <s v=""/>
    <s v=""/>
    <s v=""/>
    <s v=""/>
    <n v="1"/>
  </r>
  <r>
    <x v="1"/>
    <n v="1095"/>
    <m/>
    <n v="3489"/>
    <s v="(10/04/2026) Buscando contato com Andrea"/>
    <s v=""/>
    <x v="581"/>
    <n v="18564850000188"/>
    <s v=""/>
    <s v="Gerente Produção"/>
    <s v="(47) 99633-0990"/>
    <s v=""/>
    <s v="gerenteproducaosimas@gmail.com"/>
    <s v=""/>
    <s v=""/>
    <s v=""/>
    <s v="ITAJAI"/>
    <s v="SC"/>
    <s v="Site"/>
    <s v=""/>
    <s v=""/>
    <s v="Solicita demo"/>
    <s v="Pipeline de Vendas"/>
    <s v="Em negociação (75%)"/>
    <s v=""/>
    <d v="2026-04-30T00:00:00"/>
    <n v="16960"/>
    <n v="1150"/>
    <n v="40"/>
    <s v="Paulo Souza"/>
    <d v="2026-04-10T00:00:00"/>
    <d v="1899-12-30T09:02:55"/>
    <s v=""/>
    <s v="Ativo"/>
    <m/>
    <m/>
    <s v=""/>
    <s v=""/>
    <s v=""/>
    <x v="207"/>
    <s v="Junior Lopes"/>
    <x v="228"/>
    <s v="06/05/2026"/>
    <m/>
    <n v="30"/>
    <s v=""/>
    <s v=""/>
    <s v=""/>
    <s v=""/>
    <n v="1"/>
  </r>
  <r>
    <x v="0"/>
    <n v="1096"/>
    <m/>
    <n v="3513"/>
    <s v=""/>
    <s v=""/>
    <x v="582"/>
    <m/>
    <s v=""/>
    <s v="Silvia"/>
    <s v="11996146290"/>
    <s v=""/>
    <s v="null"/>
    <s v=""/>
    <s v=""/>
    <s v=""/>
    <s v=""/>
    <s v=""/>
    <s v=""/>
    <s v=""/>
    <s v=""/>
    <s v=""/>
    <s v="Pipeline de Vendas"/>
    <s v="Em negociação (75%)"/>
    <s v=""/>
    <m/>
    <n v="26350"/>
    <n v="3450"/>
    <n v="38"/>
    <s v="Paulo Souza"/>
    <d v="2026-04-10T00:00:00"/>
    <d v="1899-12-30T09:15:28"/>
    <s v=""/>
    <s v="Perdido"/>
    <d v="2026-05-18T00:00:00"/>
    <d v="1899-12-30T17:01:15"/>
    <s v="Preço muito alto - fora do budget de investimento"/>
    <s v=""/>
    <s v=""/>
    <x v="0"/>
    <s v="Paulo Souza"/>
    <x v="0"/>
    <s v=""/>
    <d v="2026-04-20T00:00:00"/>
    <n v="30"/>
    <s v=""/>
    <s v=""/>
    <s v=""/>
    <s v=""/>
    <n v="1"/>
  </r>
  <r>
    <x v="2"/>
    <n v="1097"/>
    <m/>
    <n v="3514"/>
    <s v=""/>
    <s v="Green Flower Comercio, Importacao E Exportacao Ltda"/>
    <x v="583"/>
    <n v="7382350000109"/>
    <s v=""/>
    <s v="Green Flower Comercio, Importacao E Exportacao Ltda"/>
    <s v="(11) 4395-7650"/>
    <s v=""/>
    <s v="contato@acrosscontabil.com.br"/>
    <s v=""/>
    <s v=""/>
    <s v=""/>
    <s v="SAO PAULO"/>
    <s v="SP"/>
    <s v="Base de empresas Leads2b"/>
    <s v=""/>
    <s v=""/>
    <s v=""/>
    <s v="Pipeline de Vendas"/>
    <s v="Qualificação de Vendas (SQL) (25%)"/>
    <s v=""/>
    <m/>
    <m/>
    <m/>
    <n v="40"/>
    <s v="Rayssa Karapeticov"/>
    <d v="2026-04-10T00:00:00"/>
    <d v="1899-12-30T15:04:34"/>
    <s v=""/>
    <s v="Ativo"/>
    <m/>
    <m/>
    <s v=""/>
    <s v=""/>
    <s v=""/>
    <x v="0"/>
    <s v="Rayssa Karapeticov"/>
    <x v="0"/>
    <s v=""/>
    <d v="2026-05-07T00:00:00"/>
    <n v="30"/>
    <s v=""/>
    <s v=""/>
    <s v=""/>
    <s v=""/>
    <n v="1"/>
  </r>
  <r>
    <x v="2"/>
    <n v="1098"/>
    <m/>
    <n v="3516"/>
    <s v=""/>
    <s v="Santorini Atacadista Ltda"/>
    <x v="584"/>
    <n v="34355470000190"/>
    <s v=""/>
    <s v="Santorini Atacadista Ltda"/>
    <s v="(11) 8284-9672"/>
    <s v=""/>
    <s v="maluciarezende@gmail.com"/>
    <s v=""/>
    <s v=""/>
    <s v=""/>
    <s v="SAO PAULO"/>
    <s v="SP"/>
    <s v="Base de empresas Leads2b"/>
    <s v=""/>
    <s v=""/>
    <s v=""/>
    <s v="Pipeline de Vendas"/>
    <s v="Agendamento (0%)"/>
    <s v=""/>
    <m/>
    <m/>
    <m/>
    <n v="0"/>
    <s v="Rayssa Karapeticov"/>
    <d v="2026-04-10T00:00:00"/>
    <d v="1899-12-30T15:47:11"/>
    <s v=""/>
    <s v="Perdido"/>
    <d v="2026-04-10T00:00:00"/>
    <d v="1899-12-30T15:48:31"/>
    <s v="Fora do porte mínimo (sem fit estrutural)"/>
    <s v=""/>
    <s v=""/>
    <x v="0"/>
    <s v="Rayssa Karapeticov"/>
    <x v="0"/>
    <s v=""/>
    <m/>
    <n v="30"/>
    <s v=""/>
    <s v=""/>
    <s v=""/>
    <s v=""/>
    <n v="1"/>
  </r>
  <r>
    <x v="2"/>
    <n v="1099"/>
    <m/>
    <n v="3518"/>
    <s v=""/>
    <s v="Mabel Comercio De Importados Ltda"/>
    <x v="585"/>
    <n v="527682000195"/>
    <s v=""/>
    <s v="Mabel Comercio De Importados Ltda"/>
    <s v="(11) 3315-0052"/>
    <s v=""/>
    <s v="deptofiscal@mabelimport.com.br"/>
    <s v=""/>
    <s v=""/>
    <s v=""/>
    <s v="SOROCABA"/>
    <s v="SP"/>
    <s v="Base de empresas Leads2b"/>
    <s v=""/>
    <s v=""/>
    <s v=""/>
    <s v="Pipeline de Vendas"/>
    <s v="Qualificação de Vendas (SQL) (25%)"/>
    <s v=""/>
    <m/>
    <m/>
    <m/>
    <n v="27"/>
    <s v="Rayssa Karapeticov"/>
    <d v="2026-04-10T00:00:00"/>
    <d v="1899-12-30T17:12:21"/>
    <s v=""/>
    <s v="Perdido"/>
    <d v="2026-05-07T00:00:00"/>
    <d v="1899-12-30T10:09:44"/>
    <s v="Projeto adiado / sem prazo definido"/>
    <s v=""/>
    <s v=""/>
    <x v="0"/>
    <s v="Rayssa Karapeticov"/>
    <x v="0"/>
    <s v=""/>
    <m/>
    <n v="28"/>
    <s v=""/>
    <s v=""/>
    <s v=""/>
    <s v=""/>
    <n v="1"/>
  </r>
  <r>
    <x v="2"/>
    <n v="1100"/>
    <m/>
    <n v="3522"/>
    <s v=""/>
    <s v="U4 Home Artigos Domesticos Ltda"/>
    <x v="586"/>
    <n v="28516601000170"/>
    <s v=""/>
    <s v="U4 Home Artigos Domesticos Ltda"/>
    <s v="(13) 3303-9200"/>
    <s v=""/>
    <s v="financeiro@u4home.com.br"/>
    <s v=""/>
    <s v=""/>
    <s v=""/>
    <s v="ITANHAEM"/>
    <s v="SP"/>
    <s v="Base de empresas Leads2b"/>
    <s v=""/>
    <s v=""/>
    <s v=""/>
    <s v="Pipeline de Vendas"/>
    <s v="Qualificação de Vendas (SQL) (25%)"/>
    <s v=""/>
    <m/>
    <m/>
    <m/>
    <n v="40"/>
    <s v="Rayssa Karapeticov"/>
    <d v="2026-04-10T00:00:00"/>
    <d v="1899-12-30T17:23:16"/>
    <s v=""/>
    <s v="Ativo"/>
    <m/>
    <m/>
    <s v=""/>
    <s v=""/>
    <s v=""/>
    <x v="0"/>
    <s v="Rayssa Karapeticov"/>
    <x v="0"/>
    <s v=""/>
    <m/>
    <n v="30"/>
    <s v=""/>
    <s v=""/>
    <s v=""/>
    <s v=""/>
    <n v="1"/>
  </r>
  <r>
    <x v="2"/>
    <n v="1101"/>
    <m/>
    <n v="3530"/>
    <s v="16.14 - apresentação realizada"/>
    <s v="Ns Iguacu Eletronicos Ltda"/>
    <x v="587"/>
    <n v="12259254000108"/>
    <s v=""/>
    <s v="Leticia"/>
    <s v="(11) 96978-9804"/>
    <s v=""/>
    <s v="weisc@uol.com.br"/>
    <s v=""/>
    <s v=""/>
    <s v=""/>
    <s v="SAO PAULO"/>
    <s v="SP"/>
    <s v="Base de empresas Leads2b"/>
    <s v=""/>
    <s v=""/>
    <s v=""/>
    <s v="Pipeline de Vendas"/>
    <s v="Apresentar Proposta (50%)"/>
    <s v=""/>
    <d v="2026-07-31T00:00:00"/>
    <m/>
    <m/>
    <n v="37"/>
    <s v="Rayssa Karapeticov"/>
    <d v="2026-04-13T00:00:00"/>
    <d v="1899-12-30T12:31:55"/>
    <s v=""/>
    <s v="Ativo"/>
    <m/>
    <m/>
    <s v=""/>
    <s v=""/>
    <s v=""/>
    <x v="208"/>
    <s v="Rayssa Karapeticov"/>
    <x v="229"/>
    <s v="04/05/2026"/>
    <d v="2026-05-13T00:00:00"/>
    <n v="30"/>
    <s v=""/>
    <s v=""/>
    <s v=""/>
    <s v=""/>
    <n v="1"/>
  </r>
  <r>
    <x v="1"/>
    <n v="1102"/>
    <m/>
    <n v="3533"/>
    <s v="(23/04/2026) em ligação _x000a_adicionou meu numero de WhatsApp para enviar ao gerente comercial _x000a_10:49, 23/04/2026 Amanda Etilux Oliveira: Bom dia, tudo bem ?_x000a_10:50, 23/04/2026 Amanda Etilux Oliveira: Amanda da Etilux_x000a_10:50, 23/04/2026 Junior Lopes: Olá Amanda, bom dia! Tudo bem por aqui. Como posso te ajudar hoje?_x000a_10:57, 23/04/2026 Junior Lopes: Olá ! Muito obrigado_x000a_10:58, 23/04/2026 Amanda Etilux Oliveira: poderia me explicar de novo, para te encaminhar para o setor responsavel_x000a_10:58, 23/04/2026 Junior Lopes: Td bem Amanda ?_x000a_10:59, 23/04/2026 Amanda Etilux Oliveira: sim_x000a_11:01, 23/04/2026 Junior Lopes: Sou Junior Lopes da Guarani sistemas _x000a_A ideia é apresentar nossa soluções para automação da força de vendas _x000a_Nossa solução pode ajudar seu representante a vender mais com recursos de IA acoplado ao aplicativo, vendas B2B feitas pelo próprio representante/vendedor_x000a_11:01, 23/04/2026 Junior Lopes: A ideia é apresentar essa solução para seu gestor comercial_x000a_11:01, 23/04/2026 Junior Lopes: Acredito que seja o Rodrigo Fritoli_x000a_11:03, 23/04/2026 Amanda Etilux Oliveira: Sobre sistemas pode mandar e-mail ewerton.dias@etilux.com.br_x000a_11:04, 23/04/2026 Junior Lopes: Ta joia ! Vou enviar para Ewerton_x000a_11:04, 23/04/2026 Junior Lopes: Acredito que seja o Rodrigo Fritoli_x000a_Vc consegue me enviar o telefone do Rodrigo?_x000a_11:05, 23/04/2026 Amanda Etilux Oliveira: Consigo te enviar o e-mail _x000a_rodrigo.fritoli@etilux.com.br"/>
    <s v="Etilux Importacao E Distribuicao De Artigos De Cutelaria Ltda"/>
    <x v="588"/>
    <n v="50306471000524"/>
    <s v=""/>
    <s v="Etilux Importacao E Distribuicao De Artigos De Cutelaria Ltda"/>
    <s v="(11) 3227-3263"/>
    <s v=""/>
    <s v="askfiscal@askcontabil.com.br"/>
    <s v=""/>
    <s v=""/>
    <s v=""/>
    <s v="GUARULHOS"/>
    <s v="SP"/>
    <s v="Base de empresas Leads2b"/>
    <s v=""/>
    <s v=""/>
    <s v=""/>
    <s v="Pipeline de Vendas"/>
    <s v="Qualificação de Vendas (SQL) (25%)"/>
    <s v=""/>
    <m/>
    <m/>
    <m/>
    <n v="37"/>
    <s v="Junior Lopes"/>
    <d v="2026-04-13T00:00:00"/>
    <d v="1899-12-30T15:14:42"/>
    <s v=""/>
    <s v="Ativo"/>
    <m/>
    <m/>
    <s v=""/>
    <s v=""/>
    <s v=""/>
    <x v="0"/>
    <s v=""/>
    <x v="0"/>
    <s v=""/>
    <d v="2026-04-23T00:00:00"/>
    <n v="30"/>
    <s v=""/>
    <s v=""/>
    <s v="R$ 0,00"/>
    <s v=""/>
    <n v="1"/>
  </r>
  <r>
    <x v="2"/>
    <n v="1103"/>
    <m/>
    <n v="3534"/>
    <s v="14.04 - em ligação com o cliente, já conhecem o Guarani devido a clientes do mesmo segmento, e já tiveram uma conversa conosco a uns 15 anos atrás e não avançaram devido o valor. Retornou o contato pedindo uma apreentação do sistemas para os funcionários da empresa ainda essa semana, porque o diretor que estara presente viaja na proxima semana"/>
    <s v=""/>
    <x v="589"/>
    <n v="8822792000191"/>
    <s v=""/>
    <s v="Ana Cristina"/>
    <s v="(11) 95126-4832"/>
    <s v=""/>
    <s v="financeiro.sqcomercio@gmail.com"/>
    <s v=""/>
    <s v=""/>
    <s v=""/>
    <s v="SAO PAULO"/>
    <s v="SP"/>
    <s v="Site"/>
    <s v=""/>
    <s v=""/>
    <s v="Dentro Perfil;Solicita demo"/>
    <s v="Pipeline de Vendas"/>
    <s v="Em negociação (75%)"/>
    <s v=""/>
    <d v="2026-09-30T00:00:00"/>
    <n v="85600"/>
    <n v="66847"/>
    <n v="29"/>
    <s v="Paulo Souza"/>
    <d v="2026-04-14T00:00:00"/>
    <d v="1899-12-30T10:03:18"/>
    <s v=""/>
    <s v="Perdido"/>
    <d v="2026-05-13T00:00:00"/>
    <d v="1899-12-30T11:16:02"/>
    <s v="Fechou com o concorrente - funcionaliadade"/>
    <s v=""/>
    <s v=""/>
    <x v="208"/>
    <s v="Rayssa Karapeticov"/>
    <x v="230"/>
    <s v=""/>
    <d v="2026-05-13T00:00:00"/>
    <n v="30"/>
    <s v=""/>
    <s v="ERP, AFV, WMS, COMEX, CLOUD"/>
    <s v=""/>
    <s v=""/>
    <n v="1"/>
  </r>
  <r>
    <x v="2"/>
    <n v="1104"/>
    <m/>
    <n v="3527"/>
    <s v="14.04 Cliente vende auto peças, material de construção e ainda presta serviço. é um logista. _x000a_Fora do perfil"/>
    <s v=""/>
    <x v="590"/>
    <m/>
    <s v=""/>
    <s v="Comblocos Materiais de Construção"/>
    <s v="33988611992"/>
    <s v=""/>
    <s v="ittalo.tim@hotmail.com"/>
    <s v=""/>
    <s v=""/>
    <s v=""/>
    <s v=""/>
    <s v="Vvv"/>
    <s v="Inbound"/>
    <s v=""/>
    <s v=""/>
    <s v="Fora Perfil;Instagram"/>
    <s v="Pipeline de Vendas"/>
    <s v="Agendamento (0%)"/>
    <s v=""/>
    <d v="2026-04-30T00:00:00"/>
    <m/>
    <m/>
    <n v="0"/>
    <s v="Paulo Souza"/>
    <d v="2026-04-14T00:00:00"/>
    <d v="1899-12-30T10:05:58"/>
    <s v=""/>
    <s v="Perdido"/>
    <d v="2026-04-14T00:00:00"/>
    <d v="1899-12-30T10:31:19"/>
    <s v="Fora do porte mínimo (sem fit estrutural)"/>
    <s v=""/>
    <s v=""/>
    <x v="0"/>
    <s v="Rayssa Karapeticov"/>
    <x v="0"/>
    <s v=""/>
    <m/>
    <n v="30"/>
    <s v=""/>
    <s v=""/>
    <s v=""/>
    <s v=""/>
    <n v="1"/>
  </r>
  <r>
    <x v="1"/>
    <n v="1105"/>
    <m/>
    <n v="3524"/>
    <s v="(14/04/2026) em contato com Renan _x000a_10:42, 14/04/2026 Junior Lopes: Olá Renan, bom dia ! tudo bem ?_x000a_10:42, 14/04/2026 Junior Lopes: sou Junior Lopes da Guarani sistemas td bem ?_x000a_10:44, 14/04/2026 +55 66 9647-2785: Bom dia Junior_x000a_10:44, 14/04/2026 +55 66 9647-2785: Tudo bem e contigo?_x000a_10:45, 14/04/2026 Junior Lopes: Opa Td joia ! _x000a_Estou retornando para vc um contato que fez conosco sobre nosso software_x000a_11:03, 14/04/2026 +55 66 9647-2785: Vc tem sistema para materiais para construção_x000a_11:03, 14/04/2026 +55 66 9647-2785: ?_x000a_11:27, 14/04/2026 +55 66 9647-2785: A venda somente interna mesmo_x000a_11:27, 14/04/2026 +55 66 9647-2785: Não tem vendedores externos_x000a_11:36, 14/04/2026 Junior Lopes: Fiz uma análise rápida aqui Renan devido alguns pontos não consigo te atender! Ate pq nossa solução é mais focada em distribuição"/>
    <s v=""/>
    <x v="591"/>
    <m/>
    <s v=""/>
    <s v="Araguaia Materiais Para Construcao"/>
    <s v="66996472785"/>
    <s v=""/>
    <s v="renansimon@gmail.com"/>
    <s v=""/>
    <s v=""/>
    <s v=""/>
    <s v=""/>
    <s v=""/>
    <s v="Campanha"/>
    <s v=""/>
    <s v=""/>
    <s v="Fora Perfil;Instagram"/>
    <s v="Pipeline de Vendas"/>
    <s v="Qualificação de Vendas (SQL) (25%)"/>
    <s v=""/>
    <d v="2026-04-14T00:00:00"/>
    <m/>
    <m/>
    <n v="0"/>
    <s v="Paulo Souza"/>
    <d v="2026-04-14T00:00:00"/>
    <d v="1899-12-30T10:08:51"/>
    <s v=""/>
    <s v="Perdido"/>
    <d v="2026-04-14T00:00:00"/>
    <d v="1899-12-30T11:58:52"/>
    <s v="Fora do porte mínimo (sem fit estrutural)"/>
    <s v="em contato com Renan, precisa de um PDV para loja de material de construção com particularidades de entrega parcial e controle de medidas das para venda de terras e pedras"/>
    <s v=""/>
    <x v="0"/>
    <s v="Junior Lopes"/>
    <x v="0"/>
    <s v=""/>
    <m/>
    <n v="30"/>
    <s v=""/>
    <s v=""/>
    <s v=""/>
    <s v=""/>
    <n v="1"/>
  </r>
  <r>
    <x v="1"/>
    <n v="1106"/>
    <m/>
    <n v="3525"/>
    <s v=""/>
    <s v=""/>
    <x v="592"/>
    <m/>
    <s v=""/>
    <s v="Teodoro cosméticos"/>
    <s v="64999291080"/>
    <s v=""/>
    <s v="rogeriojtigo@hotmail.com"/>
    <s v=""/>
    <s v=""/>
    <s v=""/>
    <s v=""/>
    <s v="Jatai goais"/>
    <s v="Inbound"/>
    <s v=""/>
    <s v=""/>
    <s v="Dentro Perfil;Instagram"/>
    <s v="Pipeline de Vendas"/>
    <s v="Qualificação de Vendas (SQL) (25%)"/>
    <s v=""/>
    <d v="2026-04-14T00:00:00"/>
    <m/>
    <m/>
    <n v="36"/>
    <s v="Paulo Souza"/>
    <d v="2026-04-14T00:00:00"/>
    <d v="1899-12-30T10:09:44"/>
    <s v=""/>
    <s v="Ativo"/>
    <m/>
    <m/>
    <s v=""/>
    <s v=""/>
    <s v=""/>
    <x v="0"/>
    <s v="Junior Lopes"/>
    <x v="0"/>
    <s v=""/>
    <m/>
    <n v="30"/>
    <s v=""/>
    <s v=""/>
    <s v=""/>
    <s v=""/>
    <n v="1"/>
  </r>
  <r>
    <x v="1"/>
    <n v="1107"/>
    <m/>
    <n v="3526"/>
    <s v=""/>
    <s v=""/>
    <x v="593"/>
    <n v="52975803000165"/>
    <s v=""/>
    <s v="Dsg"/>
    <s v="85994341515"/>
    <s v=""/>
    <s v="euderi@hotmail.com"/>
    <s v=""/>
    <s v=""/>
    <s v=""/>
    <s v="MARACANAU"/>
    <s v="CE"/>
    <s v="Campanha"/>
    <s v=""/>
    <s v=""/>
    <s v="Fora Perfil;Instagram"/>
    <s v="Pipeline de Vendas"/>
    <s v="Agendamento (0%)"/>
    <s v=""/>
    <d v="2026-04-14T00:00:00"/>
    <m/>
    <m/>
    <n v="25"/>
    <s v="Paulo Souza"/>
    <d v="2026-04-14T00:00:00"/>
    <d v="1899-12-30T10:11:37"/>
    <s v=""/>
    <s v="Perdido"/>
    <d v="2026-05-09T00:00:00"/>
    <d v="1899-12-30T08:42:58"/>
    <s v="Fora do segmento atendido"/>
    <s v=""/>
    <s v=""/>
    <x v="0"/>
    <s v="Junior Lopes"/>
    <x v="0"/>
    <s v=""/>
    <m/>
    <n v="30"/>
    <s v=""/>
    <s v=""/>
    <s v=""/>
    <s v=""/>
    <n v="1"/>
  </r>
  <r>
    <x v="1"/>
    <n v="1113"/>
    <m/>
    <n v="3542"/>
    <s v=""/>
    <s v="Logrosoft Comercio, Importacao, Exportacao E Prestacao De Servicos Ltda"/>
    <x v="594"/>
    <n v="38116840000197"/>
    <s v=""/>
    <s v="Logrosoft Comercio, Importacao, Exportacao E Prestacao De Servicos Ltda"/>
    <s v="(31) 3378-0033"/>
    <s v=""/>
    <s v="supervisoroperacional@logrosoft.com.br"/>
    <s v=""/>
    <s v=""/>
    <s v=""/>
    <s v="BELO HORIZONTE"/>
    <s v="MG"/>
    <s v="Base de empresas Leads2b"/>
    <s v=""/>
    <s v=""/>
    <s v=""/>
    <s v="Pipeline de Vendas"/>
    <s v="Apresentar Solução (35%)"/>
    <s v=""/>
    <m/>
    <n v="13509779"/>
    <n v="899628"/>
    <n v="16"/>
    <s v="Junior Lopes"/>
    <d v="2026-04-14T00:00:00"/>
    <d v="1899-12-30T16:43:47"/>
    <s v=""/>
    <s v="Perdido"/>
    <d v="2026-04-30T00:00:00"/>
    <d v="1899-12-30T15:42:59"/>
    <s v="Não houve aprovação financeira"/>
    <s v="dois pontos que o cliente usou para não seguir ! busca um ERP Mais simples e com valor ,ais em conta"/>
    <s v=""/>
    <x v="209"/>
    <s v=""/>
    <x v="231"/>
    <s v=""/>
    <m/>
    <n v="50"/>
    <s v=""/>
    <s v=""/>
    <s v=""/>
    <s v=""/>
    <n v="1"/>
  </r>
  <r>
    <x v="1"/>
    <n v="1114"/>
    <m/>
    <n v="3544"/>
    <s v=""/>
    <s v=""/>
    <x v="595"/>
    <n v="38116840000197"/>
    <s v=""/>
    <s v="Logrosoft comercio CLOUD"/>
    <s v="3133780033"/>
    <s v=""/>
    <s v="supervisoroperacional@logrosoft.com.br"/>
    <s v=""/>
    <s v=""/>
    <s v=""/>
    <s v="BELO HORIZONTE"/>
    <s v="MG"/>
    <s v=""/>
    <s v=""/>
    <s v=""/>
    <s v=""/>
    <s v="Pipeline de Vendas"/>
    <s v="Em negociação (75%)"/>
    <s v=""/>
    <m/>
    <m/>
    <m/>
    <n v="16"/>
    <s v="Junior Lopes"/>
    <d v="2026-04-14T00:00:00"/>
    <d v="1899-12-30T16:46:18"/>
    <s v=""/>
    <s v="Perdido"/>
    <d v="2026-04-30T00:00:00"/>
    <d v="1899-12-30T15:42:07"/>
    <s v="Não houve aprovação financeira"/>
    <s v="dois pontos que o cliente usou para não seguir ! busca um ERP Mais simples e com valor ,ais em conta"/>
    <s v=""/>
    <x v="209"/>
    <s v=""/>
    <x v="232"/>
    <s v=""/>
    <m/>
    <n v="50"/>
    <s v=""/>
    <s v=""/>
    <s v=""/>
    <s v=""/>
    <n v="1"/>
  </r>
  <r>
    <x v="2"/>
    <n v="1116"/>
    <m/>
    <n v="3545"/>
    <s v="28.04"/>
    <s v=""/>
    <x v="596"/>
    <m/>
    <s v=""/>
    <s v="RK Assessoria Contábil"/>
    <s v="92981527777"/>
    <s v=""/>
    <s v="rcustodio777@gmail.com"/>
    <s v=""/>
    <s v=""/>
    <s v=""/>
    <s v=""/>
    <s v="Amazonas"/>
    <s v="Inbound"/>
    <s v=""/>
    <s v=""/>
    <s v="Dentro Perfil;Instagram"/>
    <s v="Pipeline de Vendas"/>
    <s v="Agendamento (0%)"/>
    <s v=""/>
    <d v="2026-04-15T00:00:00"/>
    <m/>
    <m/>
    <n v="24"/>
    <s v="Paulo Souza"/>
    <d v="2026-04-15T00:00:00"/>
    <d v="1899-12-30T12:27:42"/>
    <s v=""/>
    <s v="Perdido"/>
    <d v="2026-05-09T00:00:00"/>
    <d v="1899-12-30T08:29:42"/>
    <s v="Fora do segmento atendido"/>
    <s v=""/>
    <s v=""/>
    <x v="0"/>
    <s v="Rayssa Karapeticov"/>
    <x v="0"/>
    <s v=""/>
    <d v="2026-04-28T00:00:00"/>
    <n v="30"/>
    <s v=""/>
    <s v=""/>
    <s v=""/>
    <s v=""/>
    <n v="1"/>
  </r>
  <r>
    <x v="1"/>
    <n v="1117"/>
    <m/>
    <n v="3546"/>
    <s v="11:25, 16/04/2026 Junior Lopes: Olá bom dia !_x000a_11:25, 16/04/2026 Junior Lopes: Sou Junior Lopes da Guarani sistemas, Td bem ?_x000a_11:28, 16/04/2026 Junior Lopes: Estou retornando um contato que vc fez conosco_x000a_11:38, 16/04/2026 Big Alimentos: BIG Alimentos  agradece seu contato. Como podemos ajudar?_x000a_14:48, 16/04/2026 Big Alimentos: Olá_x000a_14:49, 16/04/2026 Big Alimentos: Júnior estou na estrada _x000a_Retorno na quarta_x000a_14:49, 16/04/2026 Big Alimentos: Aí falamos_x000a_14:49, 16/04/2026 Big Alimentos: Blz_x000a_14:54, 16/04/2026 Junior Lopes: Boa viagem 👊_x000a_🙏_x000a_(18/05/2026) cliente não responde aos contatos"/>
    <s v=""/>
    <x v="597"/>
    <m/>
    <s v=""/>
    <s v="AutoFoz"/>
    <s v="41991237979"/>
    <s v=""/>
    <s v="b8alimentos@gmail.com"/>
    <s v=""/>
    <s v=""/>
    <s v=""/>
    <s v=""/>
    <s v="Brasil"/>
    <s v="Inbound"/>
    <s v=""/>
    <s v=""/>
    <s v="Dentro Perfil;Instagram"/>
    <s v="Pipeline de Vendas"/>
    <s v="Qualificação de Vendas (SQL) (25%)"/>
    <s v=""/>
    <d v="2026-04-30T00:00:00"/>
    <m/>
    <m/>
    <n v="33"/>
    <s v="Paulo Souza"/>
    <d v="2026-04-15T00:00:00"/>
    <d v="1899-12-30T12:28:31"/>
    <s v=""/>
    <s v="Perdido"/>
    <d v="2026-05-18T00:00:00"/>
    <d v="1899-12-30T15:03:56"/>
    <s v="Sem qualificação — contato não atende ligações nem responde msg"/>
    <s v="inicialmente cliente chegou a responder , logo sumiu e não retorna mais"/>
    <s v=""/>
    <x v="0"/>
    <s v="Junior Lopes"/>
    <x v="0"/>
    <s v=""/>
    <d v="2026-05-18T00:00:00"/>
    <n v="30"/>
    <s v=""/>
    <s v=""/>
    <s v=""/>
    <s v=""/>
    <n v="1"/>
  </r>
  <r>
    <x v="1"/>
    <n v="1120"/>
    <m/>
    <n v="3556"/>
    <s v="14:26, 17/04/2026 Junior Lopes: Olá Danilo ,_x000a_Boa tarde _x000a_Sou Junior Lopes da Guarani sistemas! Td bem ? _x000a_Quem me passou seu contato foi o Jonas_x000a_14:26, 17/04/2026 Danillo Negrao Atac: ola tudo bem??_x000a_14:33, 17/04/2026 Junior Lopes: Imagine que o próprio representante/vendedor pode enviar loja B2B para o cliente dele e administrar essas lojas no dispositivo"/>
    <s v="Ferragens Negrao Comercial Ltda"/>
    <x v="598"/>
    <n v="76639285000339"/>
    <s v=""/>
    <s v="Ferragens Negrao Comercial Ltda"/>
    <s v="(41) 2109-8000"/>
    <s v=""/>
    <s v="fiscal@grupofn.com.br"/>
    <s v=""/>
    <s v=""/>
    <s v=""/>
    <s v="CURITIBA"/>
    <s v="PR"/>
    <s v="Base de empresas Leads2b"/>
    <s v=""/>
    <s v=""/>
    <s v=""/>
    <s v="Pipeline de Vendas"/>
    <s v="Qualificação de Vendas (SQL) (25%)"/>
    <s v=""/>
    <m/>
    <m/>
    <m/>
    <n v="33"/>
    <s v="Junior Lopes"/>
    <d v="2026-04-17T00:00:00"/>
    <d v="1899-12-30T14:41:48"/>
    <s v=""/>
    <s v="Ativo"/>
    <m/>
    <m/>
    <s v=""/>
    <s v=""/>
    <s v=""/>
    <x v="0"/>
    <s v=""/>
    <x v="0"/>
    <s v=""/>
    <m/>
    <n v="30"/>
    <s v=""/>
    <s v=""/>
    <s v=""/>
    <s v=""/>
    <n v="1"/>
  </r>
  <r>
    <x v="1"/>
    <n v="1121"/>
    <m/>
    <n v="3558"/>
    <s v="(23/04/2026 E mail enviado buscando agenda : _x000a_Olá Tito, Tudo bem ? _x000a_ _x000a_Meu nome é Junior Lopes , da Guarani Sistemas. Escrevo para apresentar uma solução que pode transformar a eficiência da equipe de vendas da Bartofil: o Guarani AFV._x000a_ _x000a_Em anexo, envio um folder com todos os detalhes, mas gostaria de destacar três pilares que fazem toda a diferença:_x000a_ _x000a_IA Iara, sua assistente virtual de vendas: Ela atua dentro do app do representante, analisando histórico, ramo de atividade e comportamento de compra para fazer predições e sugestões de venda inteligentes. A Iara aprende com cada cliente e ajuda a impulsionar o mix de produtos ativos, reduzindo rupturas no PDV._x000a_Integração nativa com qualquer ERP: O sistema se conecta perfeitamente ao seu software de gestão atual, seja qual for. Isso garante um fluxo de dados único (pedidos, estoque, clientes) sem retrabalho, duplicidade ou necessidade de mudar toda a operação._x000a_Loja B2B personalizada: Ofereça aos seus clientes um canal de compra 24/7, onde podem fazer pedidos de onde, quando e como quiserem. Isso amplia o ticket médio, libera a equipe de vendas para atividades mais estratégicas e garante que nenhuma oportunidade seja perdida fora do horário comercial._x000a_ _x000a_Além disso, a solução inclui catálogo digital, orçamento e proposta web, roteirização inteligente, controle de estoques em múltiplos locais e indicadores de desempenho em tempo real._x000a_ _x000a_Gostaria de agendar uma apresentação rápida (30–45 minutos) para mostrar, na prática, como o Guarani AFV pode apoiar a equipe da Bartofil e reduzir rupturas no ponto de venda, além de ampliar o mix de produtos ativos em cada cliente._x000a_ _x000a_Você teria disponibilidade na próxima semana, em algum desses horários?_x000a_ _x000a_Segunda-feira dia 27/04 às 10 horas _x000a_Terça-feira dia 28/04 às 14 horas _x000a_ _x000a_Se preferir, posso me adequar ao melhor dia e horário para você._x000a_ _x000a_Fico à disposição e agradeço desde já pela atenção."/>
    <s v="Nova Casa Distribuidora De Materiais Para Construcao S/a"/>
    <x v="599"/>
    <n v="74200403001605"/>
    <s v=""/>
    <s v="Nova Casa Distribuidora De Materiais Para Construcao S/a"/>
    <s v="(61) 3025-9500"/>
    <s v=""/>
    <s v="fiscal@ncdistribuidora.com.br"/>
    <s v=""/>
    <s v=""/>
    <s v=""/>
    <s v="SAO LUIS"/>
    <s v="MA"/>
    <s v="Base de empresas Leads2b"/>
    <s v=""/>
    <s v=""/>
    <s v=""/>
    <s v="Pipeline de Vendas"/>
    <s v="Qualificação de Vendas (SQL) (25%)"/>
    <s v=""/>
    <m/>
    <m/>
    <m/>
    <n v="33"/>
    <s v="Junior Lopes"/>
    <d v="2026-04-17T00:00:00"/>
    <d v="1899-12-30T14:51:26"/>
    <s v=""/>
    <s v="Ativo"/>
    <m/>
    <m/>
    <s v=""/>
    <s v=""/>
    <s v=""/>
    <x v="0"/>
    <s v=""/>
    <x v="0"/>
    <s v=""/>
    <d v="2026-04-23T00:00:00"/>
    <n v="30"/>
    <s v=""/>
    <s v=""/>
    <s v=""/>
    <s v=""/>
    <n v="1"/>
  </r>
  <r>
    <x v="1"/>
    <n v="1122"/>
    <m/>
    <n v="3560"/>
    <s v=""/>
    <s v="Bartofil Distribuidora Sa"/>
    <x v="600"/>
    <n v="23797376005567"/>
    <s v=""/>
    <s v="Bartofil Distribuidora Sa"/>
    <s v="(31) 3819-2000"/>
    <s v=""/>
    <s v="contabilidade@bartofil.com.br"/>
    <s v=""/>
    <s v=""/>
    <s v=""/>
    <s v="NOVA FRIBURGO"/>
    <s v="RJ"/>
    <s v="Base de empresas Leads2b"/>
    <s v=""/>
    <s v=""/>
    <s v=""/>
    <s v="Pipeline de Vendas"/>
    <s v="Qualificação de Vendas (SQL) (25%)"/>
    <s v=""/>
    <m/>
    <m/>
    <m/>
    <n v="33"/>
    <s v="Junior Lopes"/>
    <d v="2026-04-17T00:00:00"/>
    <d v="1899-12-30T15:36:58"/>
    <s v=""/>
    <s v="Ativo"/>
    <m/>
    <m/>
    <s v=""/>
    <s v=""/>
    <s v=""/>
    <x v="0"/>
    <s v=""/>
    <x v="0"/>
    <s v=""/>
    <d v="2026-05-06T00:00:00"/>
    <n v="30"/>
    <s v=""/>
    <s v=""/>
    <s v=""/>
    <s v=""/>
    <n v="1"/>
  </r>
  <r>
    <x v="1"/>
    <n v="1123"/>
    <m/>
    <n v="3562"/>
    <s v=""/>
    <s v="L.l.e. Ferragens Ltda."/>
    <x v="601"/>
    <n v="5953543000147"/>
    <s v=""/>
    <s v="L.l.e. Ferragens Ltda."/>
    <s v="(21) 2131-8511"/>
    <s v=""/>
    <s v="fiscal@grupolle.com.br"/>
    <s v=""/>
    <s v=""/>
    <s v=""/>
    <s v="RIO DE JANEIRO"/>
    <s v="RJ"/>
    <s v="Base de empresas Leads2b"/>
    <s v=""/>
    <s v=""/>
    <s v=""/>
    <s v="Pipeline de Vendas"/>
    <s v="Qualificação de Vendas (SQL) (25%)"/>
    <s v=""/>
    <m/>
    <m/>
    <m/>
    <n v="33"/>
    <s v="Junior Lopes"/>
    <d v="2026-04-17T00:00:00"/>
    <d v="1899-12-30T16:48:26"/>
    <s v=""/>
    <s v="Ativo"/>
    <m/>
    <m/>
    <s v=""/>
    <s v=""/>
    <s v=""/>
    <x v="0"/>
    <s v=""/>
    <x v="0"/>
    <s v=""/>
    <d v="2026-05-06T00:00:00"/>
    <n v="30"/>
    <s v=""/>
    <s v=""/>
    <s v=""/>
    <s v=""/>
    <n v="1"/>
  </r>
  <r>
    <x v="2"/>
    <n v="1126"/>
    <m/>
    <n v="3553"/>
    <s v="22.04 caixa postal_x000a_10:19, 22/04/2026 Rayssa Karapeticov - Comercial - Guarani Sistemas: Bom dia Valéria, tudo bem?_x000a_Meu nome é Rayssa, sou executiva de vendas na Guarani Sistemas_x000a_Estou retornando seu contato com interesse em nossa soluções,_x000a_10:20, 22/04/2026 Rayssa Karapeticov - Comercial - Guarani Sistemas: Para seguirmos com seu atendimento, preciso entender seus processos e mais sobre sua empresa_x000a_Qual a melhor forma para retornar o contato, prefere falar por aqui ou prefere que te ligue?"/>
    <s v=""/>
    <x v="602"/>
    <m/>
    <s v=""/>
    <s v="Brasil Rural"/>
    <s v="17997762600"/>
    <s v=""/>
    <s v="valeria.rod312@gmail.com"/>
    <s v=""/>
    <s v=""/>
    <s v=""/>
    <s v=""/>
    <s v="Brasil"/>
    <s v="Inbound"/>
    <s v=""/>
    <s v=""/>
    <s v="Fora Perfil;Instagram"/>
    <s v="Pipeline de Vendas"/>
    <s v="Agendamento (0%)"/>
    <s v=""/>
    <m/>
    <m/>
    <m/>
    <n v="19"/>
    <s v="Paulo Souza"/>
    <d v="2026-04-20T00:00:00"/>
    <d v="1899-12-30T14:16:55"/>
    <s v=""/>
    <s v="Perdido"/>
    <d v="2026-05-09T00:00:00"/>
    <d v="1899-12-30T08:28:25"/>
    <s v="Sem qualificação — contato não atende ligações nem responde msg"/>
    <s v=""/>
    <s v=""/>
    <x v="0"/>
    <s v="Rayssa Karapeticov"/>
    <x v="0"/>
    <s v=""/>
    <d v="2026-04-30T00:00:00"/>
    <n v="30"/>
    <s v=""/>
    <s v=""/>
    <s v=""/>
    <s v=""/>
    <n v="1"/>
  </r>
  <r>
    <x v="1"/>
    <n v="1127"/>
    <m/>
    <n v="3555"/>
    <s v="e mail enviado _x000a_(30/04/2026) em contato com Manoel vendo melhor data para apresentação _x000a_Olá Manoel ! _x000a_Meu nome é Junior Lopes, sou Executivo de Contas Corporativas na Guarani Sistemas, empresa especializada em soluções de gestão empresarial e comercial para toda a cadeia de abastecimento de artigos para o lar._x000a_ _x000a_Desde 2006, desenvolvemos e implementamos ferramentas que fomentam o crescimento dos nossos clientes. Hoje, contamos com mais de 900 clientes ativos, 40 mil usuários e cerca de 65 mil notas fiscais geradas diariamente em nossa plataforma, mantendo um crescimento médio anual de 20%. Nosso propósito é transformar nossos clientes em referência comercial e operacional em seus mercados, criando em conjunto soluções flexíveis que promovam diretamente o crescimento do negócio._x000a_ _x000a_Atendemos indústrias, importadores, distribuidores, atacadistas e varejistas dos segmentos de utilidades domésticas, brinquedos, presentes, decoração, metalúrgica, química, alimentos, têxtil, agro e outros generalistas. Entre nossos clientes, temos casos de sucesso como Plasútil, Paramount, Ingá Import, Alumínio Nacional e Dolce Home, que ampliaram sua eficiência e cresceram fortemente com o apoio de nossas soluções._x000a_ _x000a_Para a Home Market 24h, enxergamos grande potencial de apoio principalmente em três frentes:_x000a_Gestão integrada da operação, com nosso ERP (on-premise ou em nuvem), módulos de PCP e WMS, garantindo controle de estoques, compras, vendas, faturamento, financeiro e logística em um único ambiente._x000a_Automação da força de vendas, com o Guarani AFV, levando mais produtividade, controle e inteligência comercial para a equipe, com informações em tempo real e apoio à expansão da carteira de clientes._x000a_E-commerce B2B integrado, com o Power B2B, permitindo que seus clientes realizem pedidos de maneira simples, rápida e totalmente integrada ao ERP, ampliando o alcance da Home Market 24h no mercado corporativo._x000a_ _x000a_ _x000a_Gostaria de agendar uma breve conversa para entender melhor o cenário atual da Home Market 24h e apresentar de forma objetiva como a Guarani Sistemas pode contribuir com a operação de vocês?_x000a_ _x000a_Fico à disposição para alinhar o melhor dia e horário._x000a_ _x000a_ _x000a_Atenciosamente,"/>
    <s v=""/>
    <x v="603"/>
    <m/>
    <s v=""/>
    <s v="Comercial O Manoel"/>
    <s v="85999874743"/>
    <s v=""/>
    <s v="comercialomanoel@gmail.com"/>
    <s v=""/>
    <s v=""/>
    <s v=""/>
    <s v=""/>
    <s v="Ceara"/>
    <s v="Inbound"/>
    <s v=""/>
    <s v=""/>
    <s v="Dentro Perfil;Instagram"/>
    <s v="Pipeline de Vendas"/>
    <s v="Qualificação de Vendas (SQL) (25%)"/>
    <s v=""/>
    <m/>
    <m/>
    <m/>
    <n v="30"/>
    <s v="Paulo Souza"/>
    <d v="2026-04-20T00:00:00"/>
    <d v="1899-12-30T14:26:57"/>
    <s v=""/>
    <s v="Ativo"/>
    <m/>
    <m/>
    <s v=""/>
    <s v=""/>
    <s v=""/>
    <x v="0"/>
    <s v="Junior Lopes"/>
    <x v="0"/>
    <s v=""/>
    <d v="2026-04-30T00:00:00"/>
    <n v="30"/>
    <s v=""/>
    <s v=""/>
    <s v=""/>
    <s v=""/>
    <n v="1"/>
  </r>
  <r>
    <x v="2"/>
    <n v="1128"/>
    <m/>
    <n v="3565"/>
    <s v="22.04 Não atendeu _x000a_Bom dia, Sergio. Como vai? _x000a_Meu nome é Rayssa, sou Executiva de Vendas na Guarani Sistemas, e estou retornando seu contato com nossa empresa para conhecer mais sobre nossas soluções_x000a_Para seguirmos preciso entender sua empresa e seus processos. _x000a_Você prefere seguir o atendimento por aqui ou prefere que te ligue?"/>
    <s v=""/>
    <x v="604"/>
    <m/>
    <s v=""/>
    <s v="Garrama com essência eirele"/>
    <s v="11986111998"/>
    <s v=""/>
    <s v="ss.sergiofaertes@gmail.com"/>
    <s v=""/>
    <s v=""/>
    <s v=""/>
    <s v=""/>
    <s v=""/>
    <s v="Campanha"/>
    <s v=""/>
    <s v=""/>
    <s v="Fora Perfil;Instagram"/>
    <s v="Pipeline de Vendas"/>
    <s v="Qualificação de Vendas (SQL) (25%)"/>
    <s v=""/>
    <d v="2026-04-30T00:00:00"/>
    <m/>
    <m/>
    <n v="19"/>
    <s v="Paulo Souza"/>
    <d v="2026-04-20T00:00:00"/>
    <d v="1899-12-30T15:22:35"/>
    <s v=""/>
    <s v="Perdido"/>
    <d v="2026-05-09T00:00:00"/>
    <d v="1899-12-30T08:36:06"/>
    <s v="Sem qualificação — contato não atende ligações nem responde msg"/>
    <s v=""/>
    <s v=""/>
    <x v="0"/>
    <s v="Rayssa Karapeticov"/>
    <x v="0"/>
    <s v=""/>
    <d v="2026-04-24T00:00:00"/>
    <n v="30"/>
    <s v=""/>
    <s v=""/>
    <s v=""/>
    <s v=""/>
    <n v="1"/>
  </r>
  <r>
    <x v="1"/>
    <n v="1129"/>
    <m/>
    <n v="3566"/>
    <s v=""/>
    <s v=""/>
    <x v="605"/>
    <m/>
    <s v=""/>
    <s v="Supermercado Mathur"/>
    <s v="11954971535"/>
    <s v=""/>
    <s v="renato@mathur.com.br"/>
    <s v=""/>
    <s v=""/>
    <s v=""/>
    <s v=""/>
    <s v="Sao paulo"/>
    <s v="Inbound"/>
    <s v=""/>
    <s v=""/>
    <s v="Fora Perfil;Instagram"/>
    <s v="Pipeline de Vendas"/>
    <s v="Agendamento (0%)"/>
    <s v=""/>
    <m/>
    <m/>
    <m/>
    <n v="0"/>
    <s v="Paulo Souza"/>
    <d v="2026-04-20T00:00:00"/>
    <d v="1899-12-30T15:23:29"/>
    <s v=""/>
    <s v="Perdido"/>
    <d v="2026-04-20T00:00:00"/>
    <d v="1899-12-30T16:43:51"/>
    <s v="Fora do porte mínimo (sem fit estrutural)"/>
    <s v="Supermercado, fora do perfil"/>
    <s v=""/>
    <x v="0"/>
    <s v="Junior Lopes"/>
    <x v="0"/>
    <s v=""/>
    <m/>
    <n v="30"/>
    <s v=""/>
    <s v=""/>
    <s v=""/>
    <s v=""/>
    <n v="1"/>
  </r>
  <r>
    <x v="2"/>
    <n v="1130"/>
    <m/>
    <n v="3567"/>
    <s v="Falei com o Arthur,. porem quem esta cuidando disso é o Rodrigo, vai passar meu contato para ele para seguir com o Atendimento"/>
    <s v=""/>
    <x v="606"/>
    <m/>
    <s v=""/>
    <s v="Cafe Santa Monica"/>
    <s v="11981430800"/>
    <s v=""/>
    <s v="arthurmosco@gmail.com"/>
    <s v=""/>
    <s v=""/>
    <s v=""/>
    <s v=""/>
    <s v=""/>
    <s v="Campanha"/>
    <s v=""/>
    <s v=""/>
    <s v="Dentro Perfil;Instagram"/>
    <s v="Pipeline de Vendas"/>
    <s v="Qualificação de Vendas (SQL) (25%)"/>
    <s v=""/>
    <m/>
    <m/>
    <m/>
    <n v="30"/>
    <s v="Paulo Souza"/>
    <d v="2026-04-20T00:00:00"/>
    <d v="1899-12-30T15:25:17"/>
    <s v=""/>
    <s v="Ativo"/>
    <m/>
    <m/>
    <s v=""/>
    <s v=""/>
    <s v=""/>
    <x v="0"/>
    <s v="Rayssa Karapeticov"/>
    <x v="0"/>
    <s v=""/>
    <d v="2026-05-07T00:00:00"/>
    <n v="30"/>
    <s v=""/>
    <s v=""/>
    <s v=""/>
    <s v=""/>
    <n v="1"/>
  </r>
  <r>
    <x v="1"/>
    <n v="1131"/>
    <m/>
    <n v="3568"/>
    <s v="(20/04/2026) em contato com Kamilla"/>
    <s v=""/>
    <x v="607"/>
    <n v="36955063000149"/>
    <s v=""/>
    <s v="NORTH EXPORTACAO"/>
    <s v="(91) 9343-5475"/>
    <s v=""/>
    <s v="northacaifoods@gmail.com"/>
    <s v=""/>
    <s v=""/>
    <s v=""/>
    <s v="BELEM"/>
    <s v="PA"/>
    <s v="Campanha"/>
    <s v=""/>
    <s v=""/>
    <s v="Dentro Perfil;Instagram"/>
    <s v="Pipeline de Vendas"/>
    <s v="Qualificação de Vendas (SQL) (25%)"/>
    <s v=""/>
    <m/>
    <m/>
    <m/>
    <n v="19"/>
    <s v="Paulo Souza"/>
    <d v="2026-04-20T00:00:00"/>
    <d v="1899-12-30T15:26:13"/>
    <s v=""/>
    <s v="Perdido"/>
    <d v="2026-05-09T00:00:00"/>
    <d v="1899-12-30T08:36:50"/>
    <s v="Sem qualificação — contato não atende ligações nem responde msg"/>
    <s v=""/>
    <s v=""/>
    <x v="0"/>
    <s v="Junior Lopes"/>
    <x v="0"/>
    <s v=""/>
    <d v="2026-04-28T00:00:00"/>
    <n v="30"/>
    <s v=""/>
    <s v=""/>
    <s v=""/>
    <s v=""/>
    <n v="1"/>
  </r>
  <r>
    <x v="2"/>
    <n v="1132"/>
    <m/>
    <n v="3569"/>
    <s v="22.04 liguei e deu caixa postal _x000a_Bom dia Rafael, tudo bem? _x000a_Meu nome e Rayssa, sou Executiva de Vendas na Guarani Sistemas, estou retornando seu contato para falar sobre seu interesse em um novo software. _x000a_Para seguirmos com esse contato preciso entender o processo de sua empresa e o que esta buscando _x000a_Como prefere seguir o atendimento, por aqui ou quer que eu te ligue?"/>
    <s v=""/>
    <x v="608"/>
    <m/>
    <s v=""/>
    <s v="Lpx"/>
    <s v="9282770000"/>
    <s v=""/>
    <s v="atakadaoeletrica@gmail.com"/>
    <s v=""/>
    <s v=""/>
    <s v=""/>
    <s v=""/>
    <s v="Brasil"/>
    <s v="Inbound"/>
    <s v=""/>
    <s v=""/>
    <s v="Fora Perfil;Instagram"/>
    <s v="Pipeline de Vendas"/>
    <s v="Agendamento (0%)"/>
    <s v=""/>
    <m/>
    <m/>
    <m/>
    <n v="19"/>
    <s v="Paulo Souza"/>
    <d v="2026-04-20T00:00:00"/>
    <d v="1899-12-30T15:27:43"/>
    <s v=""/>
    <s v="Perdido"/>
    <d v="2026-05-09T00:00:00"/>
    <d v="1899-12-30T08:43:51"/>
    <s v="Sem qualificação — contato não atende ligações nem responde msg"/>
    <s v=""/>
    <s v=""/>
    <x v="0"/>
    <s v="Rayssa Karapeticov"/>
    <x v="0"/>
    <s v=""/>
    <d v="2026-04-29T00:00:00"/>
    <n v="30"/>
    <s v=""/>
    <s v=""/>
    <s v=""/>
    <s v=""/>
    <n v="1"/>
  </r>
  <r>
    <x v="1"/>
    <n v="1133"/>
    <m/>
    <n v="3571"/>
    <s v="16:55, 20/04/2026 Junior Lopes: Olá Marcos , boa tarde_x000a_16:55, 20/04/2026 Junior Lopes: sou Junior lopes da Guarani sistemas, td bem ?_x000a_16:55, 20/04/2026 Junior Lopes: estou retornando contato que vc fez conosco_x000a_17:18, 20/04/2026 +55 18 99701-9440: Olá boa tarde."/>
    <s v=""/>
    <x v="609"/>
    <m/>
    <s v=""/>
    <s v="Governo do Estado de São Paulo"/>
    <s v="18997019440"/>
    <s v=""/>
    <s v="marcosleitao37@hotmail.com"/>
    <s v=""/>
    <s v=""/>
    <s v=""/>
    <s v=""/>
    <s v="Presidente Epitácio Sp"/>
    <s v="Inbound"/>
    <s v=""/>
    <s v=""/>
    <s v="Fora Perfil;Instagram"/>
    <s v="Pipeline de Vendas"/>
    <s v="Agendamento (0%)"/>
    <s v=""/>
    <m/>
    <m/>
    <m/>
    <n v="19"/>
    <s v="Paulo Souza"/>
    <d v="2026-04-20T00:00:00"/>
    <d v="1899-12-30T15:29:11"/>
    <s v=""/>
    <s v="Perdido"/>
    <d v="2026-05-09T00:00:00"/>
    <d v="1899-12-30T08:45:24"/>
    <s v="Fora do segmento atendido"/>
    <s v=""/>
    <s v=""/>
    <x v="0"/>
    <s v="Junior Lopes"/>
    <x v="0"/>
    <s v=""/>
    <m/>
    <n v="30"/>
    <s v=""/>
    <s v=""/>
    <s v=""/>
    <s v=""/>
    <n v="1"/>
  </r>
  <r>
    <x v="0"/>
    <n v="1134"/>
    <m/>
    <n v="3575"/>
    <s v=""/>
    <s v=""/>
    <x v="610"/>
    <n v="67846790000100"/>
    <s v=""/>
    <s v="Andrea"/>
    <s v="(11) 4526-2313"/>
    <s v=""/>
    <s v="financeiro@hoberplasticos.com.br"/>
    <s v=""/>
    <s v=""/>
    <s v=""/>
    <s v="JUNDIAI"/>
    <s v="SP"/>
    <s v=""/>
    <s v=""/>
    <s v=""/>
    <s v=""/>
    <s v="Pipeline de Vendas"/>
    <s v="Em negociação (75%)"/>
    <s v=""/>
    <d v="2026-05-31T00:00:00"/>
    <n v="1364029"/>
    <n v="563118"/>
    <n v="30"/>
    <s v="Paulo Souza"/>
    <d v="2026-04-20T00:00:00"/>
    <d v="1899-12-30T16:00:02"/>
    <s v=""/>
    <s v="Ativo"/>
    <m/>
    <m/>
    <s v=""/>
    <s v=""/>
    <s v=""/>
    <x v="210"/>
    <s v="Paulo Souza"/>
    <x v="233"/>
    <s v=""/>
    <d v="2026-05-18T00:00:00"/>
    <n v="30"/>
    <s v=""/>
    <s v=""/>
    <s v=""/>
    <s v=""/>
    <n v="1"/>
  </r>
  <r>
    <x v="0"/>
    <n v="1135"/>
    <m/>
    <n v="3578"/>
    <s v=""/>
    <s v=""/>
    <x v="490"/>
    <n v="7730144000142"/>
    <s v=""/>
    <s v="Alexandre"/>
    <s v="(11) 4151-2564/ (11) 4551-2554"/>
    <s v=""/>
    <s v="comercial@kopermax.com.br"/>
    <s v=""/>
    <s v=""/>
    <s v=""/>
    <s v="CARAPICUIBA"/>
    <s v="SP"/>
    <s v=""/>
    <s v=""/>
    <s v=""/>
    <s v=""/>
    <s v="Pipeline de Vendas"/>
    <s v="Apresentar Proposta (50%)"/>
    <s v=""/>
    <d v="2026-05-31T00:00:00"/>
    <m/>
    <m/>
    <n v="21"/>
    <s v="Paulo Souza"/>
    <d v="2026-04-20T00:00:00"/>
    <d v="1899-12-30T16:52:52"/>
    <s v=""/>
    <s v="Perdido"/>
    <d v="2026-05-11T00:00:00"/>
    <d v="1899-12-30T11:58:02"/>
    <s v="Projeto adiado / sem prazo definido"/>
    <s v=""/>
    <s v=""/>
    <x v="211"/>
    <s v="Paulo Souza"/>
    <x v="233"/>
    <s v=""/>
    <m/>
    <n v="30"/>
    <s v=""/>
    <s v=""/>
    <s v=""/>
    <s v=""/>
    <n v="1"/>
  </r>
  <r>
    <x v="1"/>
    <n v="1136"/>
    <m/>
    <n v="3582"/>
    <s v="(23/04/2026) em contato com João Netto via telefone _x000a_atualmente busca um software para automação da sua produção e controle de estoque que contempla a gestão financeira e fiscal , sua equipe de venda precisa de um aplicativo para estrada e controle de pedidos"/>
    <s v=""/>
    <x v="611"/>
    <n v="25356414000189"/>
    <s v=""/>
    <s v="Bia alimentos"/>
    <s v="75992608709"/>
    <s v=""/>
    <s v="jjneto28@gmail.com"/>
    <s v=""/>
    <s v=""/>
    <s v=""/>
    <s v="SAO GONCALO DOS CAMPOS"/>
    <s v="BA"/>
    <s v="Campanha"/>
    <s v=""/>
    <s v=""/>
    <s v="Dentro Perfil;Instagram"/>
    <s v="Pipeline de Vendas"/>
    <s v="Apresentar Solução (35%)"/>
    <s v=""/>
    <m/>
    <m/>
    <m/>
    <n v="27"/>
    <s v="Paulo Souza"/>
    <d v="2026-04-23T00:00:00"/>
    <d v="1899-12-30T14:05:58"/>
    <s v=""/>
    <s v="Ativo"/>
    <m/>
    <m/>
    <s v=""/>
    <s v=""/>
    <s v=""/>
    <x v="0"/>
    <s v="Junior Lopes"/>
    <x v="0"/>
    <s v=""/>
    <m/>
    <n v="30"/>
    <s v=""/>
    <s v=""/>
    <s v=""/>
    <s v=""/>
    <n v="1"/>
  </r>
  <r>
    <x v="2"/>
    <n v="1137"/>
    <m/>
    <n v="3581"/>
    <s v=""/>
    <s v=""/>
    <x v="612"/>
    <m/>
    <s v=""/>
    <s v="Quality medical"/>
    <s v="6592542913"/>
    <s v=""/>
    <s v="marcosrobertosilvestre@hotmail.com"/>
    <s v=""/>
    <s v=""/>
    <s v=""/>
    <s v=""/>
    <s v=""/>
    <s v="Campanha"/>
    <s v=""/>
    <s v=""/>
    <s v="Dentro Perfil;Instagram"/>
    <s v="Pipeline de Vendas"/>
    <s v="Qualificação de Vendas (SQL) (25%)"/>
    <s v=""/>
    <m/>
    <m/>
    <m/>
    <n v="27"/>
    <s v="Paulo Souza"/>
    <d v="2026-04-23T00:00:00"/>
    <d v="1899-12-30T14:08:08"/>
    <s v=""/>
    <s v="Ativo"/>
    <m/>
    <m/>
    <s v=""/>
    <s v=""/>
    <s v=""/>
    <x v="0"/>
    <s v="Rayssa Karapeticov"/>
    <x v="0"/>
    <s v=""/>
    <d v="2026-05-07T00:00:00"/>
    <n v="30"/>
    <s v=""/>
    <s v=""/>
    <s v=""/>
    <s v=""/>
    <n v="1"/>
  </r>
  <r>
    <x v="2"/>
    <n v="1138"/>
    <m/>
    <n v="3586"/>
    <s v=""/>
    <s v=""/>
    <x v="613"/>
    <m/>
    <s v=""/>
    <s v="Autônomo"/>
    <s v="94991836683"/>
    <s v=""/>
    <s v="gersondsvasconcelos@gmail.com"/>
    <s v=""/>
    <s v=""/>
    <s v=""/>
    <s v=""/>
    <s v=""/>
    <s v="Campanha"/>
    <s v=""/>
    <s v=""/>
    <s v="Fora Perfil;Instagram"/>
    <s v="Pipeline de Vendas"/>
    <s v="Agendamento (0%)"/>
    <s v=""/>
    <m/>
    <m/>
    <m/>
    <n v="15"/>
    <s v="Paulo Souza"/>
    <d v="2026-04-24T00:00:00"/>
    <d v="1899-12-30T10:11:26"/>
    <s v=""/>
    <s v="Perdido"/>
    <d v="2026-05-09T00:00:00"/>
    <d v="1899-12-30T08:45:54"/>
    <s v="Sem qualificação — contato não atende ligações nem responde msg"/>
    <s v=""/>
    <s v=""/>
    <x v="0"/>
    <s v="Rayssa Karapeticov"/>
    <x v="0"/>
    <s v=""/>
    <m/>
    <n v="30"/>
    <s v=""/>
    <s v=""/>
    <s v=""/>
    <s v=""/>
    <n v="1"/>
  </r>
  <r>
    <x v="1"/>
    <n v="1139"/>
    <m/>
    <n v="3603"/>
    <s v="(27/04/2026) em contato com Carol, Sr. Paulo não estava na empresa ! Carol anotou meu WhatsApp para retorno"/>
    <s v=""/>
    <x v="614"/>
    <n v="7598229000119"/>
    <s v=""/>
    <s v="plaslumy"/>
    <s v="(35) 3232-2223 / (35) 3234-1578 / (35) 3232-2223"/>
    <s v=""/>
    <s v="fiscal@plaslumy.com.br"/>
    <s v=""/>
    <s v=""/>
    <s v=""/>
    <s v="TRES CORACOES"/>
    <s v="MG"/>
    <s v="Inbound"/>
    <s v=""/>
    <s v=""/>
    <s v="Dentro Perfil;Instagram"/>
    <s v="Pipeline de Vendas"/>
    <s v="Qualificação de Vendas (SQL) (25%)"/>
    <s v=""/>
    <m/>
    <m/>
    <m/>
    <n v="23"/>
    <s v="Paulo Souza"/>
    <d v="2026-04-27T00:00:00"/>
    <d v="1899-12-30T15:32:48"/>
    <s v=""/>
    <s v="Ativo"/>
    <m/>
    <m/>
    <s v=""/>
    <s v=""/>
    <s v=""/>
    <x v="0"/>
    <s v="Junior Lopes"/>
    <x v="0"/>
    <s v=""/>
    <m/>
    <n v="30"/>
    <s v=""/>
    <s v=""/>
    <s v=""/>
    <s v=""/>
    <n v="1"/>
  </r>
  <r>
    <x v="2"/>
    <n v="1140"/>
    <m/>
    <n v="3588"/>
    <s v=""/>
    <s v=""/>
    <x v="615"/>
    <n v="7403402000186"/>
    <s v=""/>
    <s v="Shopping do Parafuso"/>
    <s v="31996583027"/>
    <s v=""/>
    <s v="comercial@shoppingdoparafuso.com.br"/>
    <s v=""/>
    <s v=""/>
    <s v=""/>
    <s v=""/>
    <s v=""/>
    <s v="Campanha"/>
    <s v=""/>
    <s v=""/>
    <s v="Fora Perfil;Instagram;Perfil Indefinido"/>
    <s v="Pipeline de Vendas"/>
    <s v="Qualificação de Vendas (SQL) (25%)"/>
    <s v=""/>
    <m/>
    <m/>
    <m/>
    <n v="10"/>
    <s v="Paulo Souza"/>
    <d v="2026-04-27T00:00:00"/>
    <d v="1899-12-30T15:48:50"/>
    <s v=""/>
    <s v="Perdido"/>
    <d v="2026-05-07T00:00:00"/>
    <d v="1899-12-30T10:40:49"/>
    <s v="Fora do porte mínimo (sem fit estrutural)"/>
    <s v=""/>
    <s v=""/>
    <x v="0"/>
    <s v="Rayssa Karapeticov"/>
    <x v="0"/>
    <s v=""/>
    <d v="2026-04-29T00:00:00"/>
    <n v="30"/>
    <s v=""/>
    <s v=""/>
    <s v=""/>
    <s v=""/>
    <n v="1"/>
  </r>
  <r>
    <x v="2"/>
    <n v="1141"/>
    <m/>
    <n v="3589"/>
    <s v=""/>
    <s v=""/>
    <x v="616"/>
    <n v="24094663000180"/>
    <s v=""/>
    <s v="Max LED"/>
    <s v="(11) 2181-1005 / (11) 6735-4750 / (11) 2181-1005"/>
    <s v=""/>
    <s v="alexfelixsantos@hotmail.com"/>
    <s v=""/>
    <s v=""/>
    <s v=""/>
    <s v="SAO PAULO"/>
    <s v="SP"/>
    <s v="Campanha"/>
    <s v=""/>
    <s v=""/>
    <s v="Dentro Perfil;Instagram"/>
    <s v="Pipeline de Vendas"/>
    <s v="Apresentar Solução (35%)"/>
    <s v=""/>
    <m/>
    <m/>
    <m/>
    <n v="23"/>
    <s v="Paulo Souza"/>
    <d v="2026-04-27T00:00:00"/>
    <d v="1899-12-30T15:49:56"/>
    <s v=""/>
    <s v="Ativo"/>
    <m/>
    <m/>
    <s v=""/>
    <s v=""/>
    <s v=""/>
    <x v="0"/>
    <s v="Rayssa Karapeticov"/>
    <x v="234"/>
    <s v=""/>
    <d v="2026-05-18T00:00:00"/>
    <n v="30"/>
    <s v=""/>
    <s v=""/>
    <s v=""/>
    <s v=""/>
    <n v="1"/>
  </r>
  <r>
    <x v="1"/>
    <n v="1142"/>
    <m/>
    <n v="3590"/>
    <s v=""/>
    <s v=""/>
    <x v="617"/>
    <m/>
    <s v=""/>
    <s v="Tres americas alimentos"/>
    <s v="65992888768"/>
    <s v=""/>
    <s v="jctransportess.mt@gmail.com"/>
    <s v=""/>
    <s v=""/>
    <s v=""/>
    <s v=""/>
    <s v=""/>
    <s v="Campanha"/>
    <s v=""/>
    <s v=""/>
    <s v="Dentro Perfil;Instagram"/>
    <s v="Pipeline de Vendas"/>
    <s v="Qualificação de Vendas (SQL) (25%)"/>
    <s v=""/>
    <m/>
    <m/>
    <m/>
    <n v="23"/>
    <s v="Paulo Souza"/>
    <d v="2026-04-27T00:00:00"/>
    <d v="1899-12-30T15:52:31"/>
    <s v=""/>
    <s v="Ativo"/>
    <m/>
    <m/>
    <s v=""/>
    <s v=""/>
    <s v=""/>
    <x v="0"/>
    <s v="Junior Lopes"/>
    <x v="0"/>
    <s v=""/>
    <d v="2026-05-06T00:00:00"/>
    <n v="30"/>
    <s v=""/>
    <s v=""/>
    <s v=""/>
    <s v=""/>
    <n v="1"/>
  </r>
  <r>
    <x v="2"/>
    <n v="1143"/>
    <m/>
    <n v="3591"/>
    <s v="Todos os dados preenchidos:_x000a_empresa: Alexdan _x000a_name: Alexandre Biassio _x000a_cargo: Diretor _x000a_whatsapp: 11982599832 _x000a_email: alexandre@alexdan.com.br _x000a_referrer: https://www.guaranisistemas.com.br/"/>
    <s v=""/>
    <x v="618"/>
    <n v="3098281000155"/>
    <s v=""/>
    <s v="Alexandre Biassio"/>
    <s v=""/>
    <s v=""/>
    <s v="alexandre@alexdan.com.br"/>
    <s v=""/>
    <s v=""/>
    <s v=""/>
    <s v="Santo André"/>
    <s v=""/>
    <s v="Inbound"/>
    <s v=""/>
    <s v=""/>
    <s v=""/>
    <s v="Pipeline de Vendas"/>
    <s v="Apresentar Solução (35%)"/>
    <s v=""/>
    <m/>
    <m/>
    <m/>
    <n v="23"/>
    <s v="Paulo Souza"/>
    <d v="2026-04-27T00:00:00"/>
    <d v="1899-12-30T15:53:51"/>
    <s v=""/>
    <s v="Ativo"/>
    <m/>
    <m/>
    <s v=""/>
    <s v=""/>
    <s v=""/>
    <x v="0"/>
    <s v="Rayssa Karapeticov"/>
    <x v="0"/>
    <s v=""/>
    <d v="2026-05-19T00:00:00"/>
    <n v="30"/>
    <s v=""/>
    <s v=""/>
    <s v=""/>
    <s v=""/>
    <n v="1"/>
  </r>
  <r>
    <x v="1"/>
    <n v="1144"/>
    <m/>
    <n v="3592"/>
    <s v="(28/04/2026) em contato com Janayna"/>
    <s v=""/>
    <x v="619"/>
    <m/>
    <s v=""/>
    <s v="Bitilila Nails"/>
    <s v="17997180789"/>
    <s v=""/>
    <s v="janaynamundial@hotmail.com"/>
    <s v=""/>
    <s v=""/>
    <s v=""/>
    <s v=""/>
    <s v=""/>
    <s v="Campanha"/>
    <s v=""/>
    <s v=""/>
    <s v="Dentro Perfil;Instagram"/>
    <s v="Pipeline de Vendas"/>
    <s v="Agendamento (0%)"/>
    <s v=""/>
    <m/>
    <m/>
    <m/>
    <n v="12"/>
    <s v="Paulo Souza"/>
    <d v="2026-04-27T00:00:00"/>
    <d v="1899-12-30T15:54:58"/>
    <s v=""/>
    <s v="Perdido"/>
    <d v="2026-05-09T00:00:00"/>
    <d v="1899-12-30T08:46:25"/>
    <s v="Sem qualificação — contato não atende ligações nem responde msg"/>
    <s v=""/>
    <s v=""/>
    <x v="0"/>
    <s v="Junior Lopes"/>
    <x v="0"/>
    <s v=""/>
    <d v="2026-05-06T00:00:00"/>
    <n v="32"/>
    <s v=""/>
    <s v=""/>
    <s v=""/>
    <s v=""/>
    <n v="1"/>
  </r>
  <r>
    <x v="2"/>
    <n v="1145"/>
    <m/>
    <n v="3599"/>
    <s v=""/>
    <s v="Abc Internacional Comercio Importacao E Exportacao Ltda"/>
    <x v="620"/>
    <n v="58846435000131"/>
    <s v=""/>
    <s v="Abc Internacional Comercio Importacao E Exportacao Ltda"/>
    <s v="(47) 3021-7932"/>
    <s v=""/>
    <s v="contato@contabilidadestacatarina.com.br"/>
    <s v=""/>
    <s v=""/>
    <s v=""/>
    <s v="SAO PAULO"/>
    <s v="SP"/>
    <s v="Base de empresas Leads2b"/>
    <s v=""/>
    <s v=""/>
    <s v=""/>
    <s v="Pipeline de Vendas"/>
    <s v="Qualificação de Vendas (SQL) (25%)"/>
    <s v=""/>
    <m/>
    <m/>
    <m/>
    <n v="23"/>
    <s v="Rayssa Karapeticov"/>
    <d v="2026-04-27T00:00:00"/>
    <d v="1899-12-30T15:55:21"/>
    <s v=""/>
    <s v="Ativo"/>
    <m/>
    <m/>
    <s v=""/>
    <s v=""/>
    <s v=""/>
    <x v="0"/>
    <s v="Rayssa Karapeticov"/>
    <x v="0"/>
    <s v=""/>
    <d v="2026-05-13T00:00:00"/>
    <n v="30"/>
    <s v=""/>
    <s v="ERP"/>
    <s v=""/>
    <s v=""/>
    <n v="1"/>
  </r>
  <r>
    <x v="2"/>
    <n v="1146"/>
    <m/>
    <n v="3593"/>
    <s v=""/>
    <s v=""/>
    <x v="621"/>
    <m/>
    <s v=""/>
    <s v="Oneclick"/>
    <s v="31999499091"/>
    <s v=""/>
    <s v="hm2matoa@gmail.com"/>
    <s v=""/>
    <s v=""/>
    <s v=""/>
    <s v=""/>
    <s v=""/>
    <s v="Campanha"/>
    <s v=""/>
    <s v=""/>
    <s v="Dentro Perfil;Instagram"/>
    <s v="Pipeline de Vendas"/>
    <s v="Qualificação de Vendas (SQL) (25%)"/>
    <s v=""/>
    <m/>
    <m/>
    <m/>
    <n v="16"/>
    <s v="Paulo Souza"/>
    <d v="2026-04-27T00:00:00"/>
    <d v="1899-12-30T15:56:24"/>
    <s v=""/>
    <s v="Perdido"/>
    <d v="2026-05-13T00:00:00"/>
    <d v="1899-12-30T12:58:25"/>
    <s v="Sem qualificação — contato não atende ligações nem responde msg"/>
    <s v=""/>
    <s v=""/>
    <x v="0"/>
    <s v="Rayssa Karapeticov"/>
    <x v="0"/>
    <s v=""/>
    <d v="2026-05-13T00:00:00"/>
    <n v="30"/>
    <s v=""/>
    <s v=""/>
    <s v=""/>
    <s v=""/>
    <n v="1"/>
  </r>
  <r>
    <x v="1"/>
    <n v="1147"/>
    <m/>
    <n v="3594"/>
    <s v="16:13, 27/04/2026 Junior Lopes: Olá Manuel , boa tarde_x000a_16:14, 27/04/2026 Junior Lopes: Junior da Guarani sistemas por aqui_x000a_(28/04/2026) em contato com Manuel, empresa de construção civil , fora do perfil"/>
    <s v=""/>
    <x v="622"/>
    <m/>
    <s v=""/>
    <s v="JJ SOLUÇÕES INDUSTRIAIS"/>
    <s v="9294614731"/>
    <s v=""/>
    <s v="manuel.rivero@jjsoluempresa.com"/>
    <s v=""/>
    <s v=""/>
    <s v=""/>
    <s v=""/>
    <s v=""/>
    <s v="Campanha"/>
    <s v=""/>
    <s v=""/>
    <s v="Fora Perfil;Instagram"/>
    <s v="Pipeline de Vendas"/>
    <s v="Agendamento (0%)"/>
    <s v=""/>
    <m/>
    <m/>
    <m/>
    <n v="1"/>
    <s v="Paulo Souza"/>
    <d v="2026-04-27T00:00:00"/>
    <d v="1899-12-30T15:57:32"/>
    <s v=""/>
    <s v="Perdido"/>
    <d v="2026-04-28T00:00:00"/>
    <d v="1899-12-30T11:42:44"/>
    <s v="Fora do porte mínimo (sem fit estrutural)"/>
    <s v="construção civil"/>
    <s v=""/>
    <x v="0"/>
    <s v="Junior Lopes"/>
    <x v="0"/>
    <s v=""/>
    <m/>
    <n v="30"/>
    <s v=""/>
    <s v=""/>
    <s v=""/>
    <s v=""/>
    <n v="1"/>
  </r>
  <r>
    <x v="2"/>
    <n v="1148"/>
    <m/>
    <n v="3595"/>
    <s v=""/>
    <s v=""/>
    <x v="623"/>
    <n v="10255338000148"/>
    <s v=""/>
    <s v="JA ind plástica"/>
    <s v="62981282665"/>
    <s v=""/>
    <s v="big@biglixos.com.br"/>
    <s v=""/>
    <s v=""/>
    <s v=""/>
    <s v=""/>
    <s v=""/>
    <s v="Campanha"/>
    <s v=""/>
    <s v=""/>
    <s v="Dentro Perfil;Instagram"/>
    <s v="Pipeline de Vendas"/>
    <s v="Qualificação de Vendas (SQL) (25%)"/>
    <s v=""/>
    <m/>
    <m/>
    <m/>
    <n v="23"/>
    <s v="Paulo Souza"/>
    <d v="2026-04-27T00:00:00"/>
    <d v="1899-12-30T15:58:51"/>
    <s v=""/>
    <s v="Ativo"/>
    <m/>
    <m/>
    <s v=""/>
    <s v=""/>
    <s v=""/>
    <x v="0"/>
    <s v="Rayssa Karapeticov"/>
    <x v="0"/>
    <s v=""/>
    <d v="2026-05-13T00:00:00"/>
    <n v="30"/>
    <s v=""/>
    <s v=""/>
    <s v=""/>
    <s v=""/>
    <n v="1"/>
  </r>
  <r>
    <x v="2"/>
    <n v="1149"/>
    <m/>
    <n v="3596"/>
    <s v=""/>
    <s v=""/>
    <x v="624"/>
    <n v="44922087000120"/>
    <s v=""/>
    <s v="Invictus Soluções Integradas Ltda"/>
    <s v="(34) 3817-8240"/>
    <s v=""/>
    <s v="licitacao.invictus@gmail.com"/>
    <s v=""/>
    <s v=""/>
    <s v=""/>
    <s v="COROMANDEL"/>
    <s v="MG"/>
    <s v="Campanha"/>
    <s v=""/>
    <s v=""/>
    <s v="Fora Perfil;Instagram"/>
    <s v="Pipeline de Vendas"/>
    <s v="Agendamento (0%)"/>
    <s v=""/>
    <m/>
    <m/>
    <m/>
    <n v="12"/>
    <s v="Paulo Souza"/>
    <d v="2026-04-27T00:00:00"/>
    <d v="1899-12-30T16:00:22"/>
    <s v=""/>
    <s v="Perdido"/>
    <d v="2026-05-09T00:00:00"/>
    <d v="1899-12-30T08:50:26"/>
    <s v="Fora do segmento atendido"/>
    <s v=""/>
    <s v=""/>
    <x v="0"/>
    <s v="Rayssa Karapeticov"/>
    <x v="0"/>
    <s v=""/>
    <m/>
    <n v="30"/>
    <s v=""/>
    <s v=""/>
    <s v=""/>
    <s v=""/>
    <n v="1"/>
  </r>
  <r>
    <x v="1"/>
    <n v="1150"/>
    <m/>
    <n v="3597"/>
    <s v="16:36, 27/04/2026 Junior Lopes: Olá Paulo , boa tarde_x000a_16:37, 27/04/2026 Junior Lopes: Junior da Guarani sistemas por aqui_x000a_16:37, 27/04/2026 Junior Lopes: Td bem ?_x000a_11:46, 28/04/2026 Junior Lopes: Paulo , tudo bem ? _x000a_Não tive seu retorno _x000a_De qualquer forma pode me chamar caso queira dar continuidade _x000a_Um abraço"/>
    <s v=""/>
    <x v="625"/>
    <m/>
    <s v=""/>
    <s v="Paulo Sergio"/>
    <s v="(67) 99341-4113"/>
    <s v=""/>
    <s v="paulopedradagua@gmail.com"/>
    <s v=""/>
    <s v=""/>
    <s v=""/>
    <s v="Campo Grande"/>
    <s v=""/>
    <s v="Site"/>
    <s v=""/>
    <s v=""/>
    <s v="Solicita demo"/>
    <s v="Pipeline de Vendas"/>
    <s v="Agendamento (0%)"/>
    <s v=""/>
    <m/>
    <m/>
    <m/>
    <n v="1"/>
    <s v="Paulo Souza"/>
    <d v="2026-04-27T00:00:00"/>
    <d v="1899-12-30T16:01:20"/>
    <s v=""/>
    <s v="Perdido"/>
    <d v="2026-04-28T00:00:00"/>
    <d v="1899-12-30T11:47:45"/>
    <s v="Nossa solução não atende - falta funcionalidade"/>
    <s v="16:36, 27/04/2026 Junior Lopes: Olá Paulo , boa tarde_x000a_16:37, 27/04/2026 Junior Lopes: Junior da Guarani sistemas por aqui_x000a_16:37, 27/04/2026 Junior Lopes: Td bem ?_x000a_11:46, 28/04/2026 Junior Lopes: Paulo , tudo bem ? _x000a_Não tive seu retorno _x000a_De qualquer forma pode me chamar caso queira dar continuidade _x000a_Um abraço"/>
    <s v=""/>
    <x v="0"/>
    <s v="Junior Lopes"/>
    <x v="0"/>
    <s v=""/>
    <m/>
    <n v="30"/>
    <s v=""/>
    <s v=""/>
    <s v=""/>
    <s v=""/>
    <n v="1"/>
  </r>
  <r>
    <x v="1"/>
    <n v="1151"/>
    <m/>
    <n v="3602"/>
    <s v="28/04/2026) tentativa de contato não atendida , em uma busca sobre o lead, percebi que esta fora do perfil , revendedor de têni"/>
    <s v=""/>
    <x v="626"/>
    <m/>
    <s v=""/>
    <s v="GRIJALBA AGUIAR LINHARES"/>
    <s v="85985507327"/>
    <s v=""/>
    <s v="grijalbalinhares@gmail.com"/>
    <s v=""/>
    <s v=""/>
    <s v=""/>
    <s v=""/>
    <s v=""/>
    <s v="Campanha"/>
    <s v=""/>
    <s v=""/>
    <s v="Fora Perfil;Instagram"/>
    <s v="Pipeline de Vendas"/>
    <s v="Agendamento (0%)"/>
    <s v=""/>
    <m/>
    <m/>
    <m/>
    <n v="1"/>
    <s v="Paulo Souza"/>
    <d v="2026-04-27T00:00:00"/>
    <d v="1899-12-30T16:02:02"/>
    <s v=""/>
    <s v="Perdido"/>
    <d v="2026-04-28T00:00:00"/>
    <d v="1899-12-30T11:21:54"/>
    <s v="Fora do porte mínimo (sem fit estrutural)"/>
    <s v="fora do perfil, revendedor de tenis"/>
    <s v=""/>
    <x v="0"/>
    <s v="Junior Lopes"/>
    <x v="0"/>
    <s v=""/>
    <m/>
    <n v="30"/>
    <s v=""/>
    <s v=""/>
    <s v=""/>
    <s v=""/>
    <n v="1"/>
  </r>
  <r>
    <x v="2"/>
    <n v="1152"/>
    <m/>
    <n v="3608"/>
    <s v=""/>
    <s v=""/>
    <x v="627"/>
    <n v="9073191000196"/>
    <s v=""/>
    <s v="Megacenter trading"/>
    <s v="45999334900"/>
    <s v=""/>
    <s v="eduardo@megacenteratacado.com.br"/>
    <s v=""/>
    <s v=""/>
    <s v=""/>
    <s v=""/>
    <s v="Foz do iguaçu"/>
    <s v="Inbound"/>
    <s v=""/>
    <s v=""/>
    <s v="Dentro Perfil;Instagram"/>
    <s v="Pipeline de Vendas"/>
    <s v="Qualificação de Vendas (SQL) (25%)"/>
    <s v=""/>
    <m/>
    <m/>
    <m/>
    <n v="21"/>
    <s v="Paulo Souza"/>
    <d v="2026-04-29T00:00:00"/>
    <d v="1899-12-30T07:28:01"/>
    <s v=""/>
    <s v="Ativo"/>
    <m/>
    <m/>
    <s v=""/>
    <s v=""/>
    <s v=""/>
    <x v="0"/>
    <s v="Rayssa Karapeticov"/>
    <x v="0"/>
    <s v=""/>
    <d v="2026-05-13T00:00:00"/>
    <n v="30"/>
    <s v=""/>
    <s v=""/>
    <s v=""/>
    <s v=""/>
    <n v="1"/>
  </r>
  <r>
    <x v="1"/>
    <n v="1153"/>
    <m/>
    <n v="3609"/>
    <s v=""/>
    <s v=""/>
    <x v="628"/>
    <m/>
    <s v=""/>
    <s v="Distribuidora Robaski"/>
    <s v="51998484595"/>
    <s v=""/>
    <s v="edson@robaski.com.br"/>
    <s v=""/>
    <s v=""/>
    <s v=""/>
    <s v=""/>
    <s v=""/>
    <s v="Campanha"/>
    <s v=""/>
    <s v=""/>
    <s v="Dentro Perfil;Instagram"/>
    <s v="Pipeline de Vendas"/>
    <s v="Qualificação de Vendas (SQL) (25%)"/>
    <s v=""/>
    <m/>
    <m/>
    <m/>
    <n v="21"/>
    <s v="Paulo Souza"/>
    <d v="2026-04-29T00:00:00"/>
    <d v="1899-12-30T07:29:14"/>
    <s v=""/>
    <s v="Ativo"/>
    <m/>
    <m/>
    <s v=""/>
    <s v=""/>
    <s v=""/>
    <x v="0"/>
    <s v="Junior Lopes"/>
    <x v="0"/>
    <s v=""/>
    <d v="2026-05-06T00:00:00"/>
    <n v="30"/>
    <s v=""/>
    <s v=""/>
    <s v=""/>
    <s v=""/>
    <n v="1"/>
  </r>
  <r>
    <x v="2"/>
    <n v="1154"/>
    <m/>
    <n v="3610"/>
    <s v=""/>
    <s v=""/>
    <x v="629"/>
    <n v="8051809000154"/>
    <s v=""/>
    <s v="Rc distribuidora"/>
    <s v="93991455102"/>
    <s v=""/>
    <s v="dis.aliaca@gemai.com"/>
    <s v=""/>
    <s v=""/>
    <s v=""/>
    <s v=""/>
    <s v=""/>
    <s v="Campanha"/>
    <s v=""/>
    <s v=""/>
    <s v="Dentro Perfil;Instagram"/>
    <s v="Pipeline de Vendas"/>
    <s v="Qualificação de Vendas (SQL) (25%)"/>
    <s v=""/>
    <m/>
    <m/>
    <m/>
    <n v="14"/>
    <s v="Paulo Souza"/>
    <d v="2026-04-29T00:00:00"/>
    <d v="1899-12-30T07:30:18"/>
    <s v=""/>
    <s v="Perdido"/>
    <d v="2026-05-13T00:00:00"/>
    <d v="1899-12-30T12:45:34"/>
    <s v="Sem qualificação — contato não atende ligações nem responde msg"/>
    <s v=""/>
    <s v=""/>
    <x v="0"/>
    <s v="Rayssa Karapeticov"/>
    <x v="0"/>
    <s v=""/>
    <d v="2026-05-04T00:00:00"/>
    <n v="30"/>
    <s v=""/>
    <s v=""/>
    <s v=""/>
    <s v=""/>
    <n v="1"/>
  </r>
  <r>
    <x v="1"/>
    <n v="1155"/>
    <m/>
    <n v="3611"/>
    <s v="08:59, 29/04/2026 Junior Lopes: Olá Antonio , bom dia_x000a_09:00, 29/04/2026 Junior Lopes: Junior da Guarani sistemas por aqui_x000a_16:55, 04/05/2026 Junior Lopes: Olá Antonio ! Boa tarde"/>
    <s v=""/>
    <x v="630"/>
    <n v="8962163000167"/>
    <s v=""/>
    <s v="Antonio Rodriguez"/>
    <s v="31992924902"/>
    <s v=""/>
    <s v="ar@linexgel.com.br"/>
    <s v=""/>
    <s v=""/>
    <s v=""/>
    <s v=""/>
    <s v="Contagem"/>
    <s v="Inbound"/>
    <s v=""/>
    <s v=""/>
    <s v="Dentro Perfil;Instagram"/>
    <s v="Pipeline de Vendas"/>
    <s v="Qualificação de Vendas (SQL) (25%)"/>
    <s v=""/>
    <m/>
    <m/>
    <m/>
    <n v="21"/>
    <s v="Paulo Souza"/>
    <d v="2026-04-29T00:00:00"/>
    <d v="1899-12-30T07:31:11"/>
    <s v=""/>
    <s v="Ativo"/>
    <m/>
    <m/>
    <s v=""/>
    <s v=""/>
    <s v=""/>
    <x v="0"/>
    <s v="Junior Lopes"/>
    <x v="0"/>
    <s v=""/>
    <d v="2026-05-04T00:00:00"/>
    <n v="30"/>
    <s v=""/>
    <s v=""/>
    <s v=""/>
    <s v=""/>
    <n v="1"/>
  </r>
  <r>
    <x v="2"/>
    <n v="1156"/>
    <m/>
    <n v="3612"/>
    <s v=""/>
    <s v=""/>
    <x v="631"/>
    <n v="11513572000190"/>
    <s v=""/>
    <s v="Brsafe Comércio de Epis Ltda"/>
    <s v="43999150512"/>
    <s v=""/>
    <s v="comercial@brsafeepi.com.br"/>
    <s v=""/>
    <s v=""/>
    <s v=""/>
    <s v=""/>
    <s v="Arapongas"/>
    <s v="Inbound"/>
    <s v=""/>
    <s v=""/>
    <s v="Dentro Perfil;Instagram"/>
    <s v="Pipeline de Vendas"/>
    <s v="Qualificação de Vendas (SQL) (25%)"/>
    <s v=""/>
    <d v="2026-05-13T00:00:00"/>
    <m/>
    <m/>
    <n v="14"/>
    <s v="Paulo Souza"/>
    <d v="2026-04-29T00:00:00"/>
    <d v="1899-12-30T07:32:06"/>
    <s v=""/>
    <s v="Perdido"/>
    <d v="2026-05-13T00:00:00"/>
    <d v="1899-12-30T12:42:56"/>
    <s v="Sem qualificação — contato não atende ligações nem responde msg"/>
    <s v=""/>
    <s v=""/>
    <x v="0"/>
    <s v="Rayssa Karapeticov"/>
    <x v="0"/>
    <s v=""/>
    <d v="2026-05-04T00:00:00"/>
    <n v="30"/>
    <s v=""/>
    <s v=""/>
    <s v=""/>
    <s v=""/>
    <n v="1"/>
  </r>
  <r>
    <x v="1"/>
    <n v="1159"/>
    <m/>
    <n v="3692"/>
    <s v=""/>
    <s v=""/>
    <x v="632"/>
    <m/>
    <s v=""/>
    <s v="MDL (HOras)"/>
    <s v="11910695515"/>
    <s v=""/>
    <s v="janaina@mdlimport.com.br"/>
    <s v=""/>
    <s v=""/>
    <s v=""/>
    <s v=""/>
    <s v=""/>
    <s v=""/>
    <s v=""/>
    <s v=""/>
    <s v=""/>
    <s v="Pipeline de Vendas"/>
    <s v="Em Fechamento (100%)"/>
    <s v=""/>
    <m/>
    <n v="1485378"/>
    <n v="0"/>
    <n v="14"/>
    <s v="Junior Lopes"/>
    <d v="2026-04-30T00:00:00"/>
    <d v="1899-12-30T14:26:58"/>
    <s v=""/>
    <s v="Ganho"/>
    <d v="2026-05-14T00:00:00"/>
    <d v="1899-12-30T09:17:07"/>
    <s v=""/>
    <s v=""/>
    <s v=""/>
    <x v="212"/>
    <s v=""/>
    <x v="0"/>
    <s v=""/>
    <d v="2026-05-14T00:00:00"/>
    <n v="90"/>
    <s v=""/>
    <s v=""/>
    <s v=""/>
    <s v=""/>
    <n v="1"/>
  </r>
  <r>
    <x v="1"/>
    <n v="1160"/>
    <m/>
    <n v="3693"/>
    <s v="em contato com Dayane, vamos nos reunir na segunda feira dia 18/05"/>
    <s v=""/>
    <x v="633"/>
    <m/>
    <s v=""/>
    <s v="Tecelagem Castilho (E-commerce)"/>
    <s v="62993609476"/>
    <s v=""/>
    <s v="null"/>
    <s v=""/>
    <s v=""/>
    <s v=""/>
    <s v=""/>
    <s v=""/>
    <s v=""/>
    <s v=""/>
    <s v=""/>
    <s v=""/>
    <s v="Pipeline de Vendas"/>
    <s v="Em negociação (75%)"/>
    <s v=""/>
    <m/>
    <n v="4240"/>
    <n v="7128"/>
    <n v="20"/>
    <s v="Junior Lopes"/>
    <d v="2026-04-30T00:00:00"/>
    <d v="1899-12-30T14:36:01"/>
    <s v=""/>
    <s v="Ativo"/>
    <m/>
    <m/>
    <s v=""/>
    <s v=""/>
    <s v=""/>
    <x v="213"/>
    <s v=""/>
    <x v="234"/>
    <s v=""/>
    <d v="2026-05-18T00:00:00"/>
    <n v="50"/>
    <s v=""/>
    <s v=""/>
    <s v=""/>
    <s v=""/>
    <n v="1"/>
  </r>
  <r>
    <x v="1"/>
    <n v="1161"/>
    <m/>
    <n v="3694"/>
    <s v=""/>
    <s v=""/>
    <x v="634"/>
    <m/>
    <s v=""/>
    <s v="Logro Soft - Comex"/>
    <s v="3133780033"/>
    <s v=""/>
    <s v="supervisoroperacional@logrosoft.com.br"/>
    <s v=""/>
    <s v=""/>
    <s v=""/>
    <s v=""/>
    <s v=""/>
    <s v=""/>
    <s v=""/>
    <s v=""/>
    <s v=""/>
    <s v="Pipeline de Vendas"/>
    <s v="Em negociação (75%)"/>
    <s v=""/>
    <m/>
    <n v="6000"/>
    <n v="2000"/>
    <n v="0"/>
    <s v="Junior Lopes"/>
    <d v="2026-04-30T00:00:00"/>
    <d v="1899-12-30T14:59:00"/>
    <s v=""/>
    <s v="Perdido"/>
    <d v="2026-04-30T00:00:00"/>
    <d v="1899-12-30T15:41:47"/>
    <s v="Não houve aprovação financeira"/>
    <s v="dois pontos que o cliente usou para não seguir ! busca um ERP Mais simples e com valor ,ais em conta"/>
    <s v=""/>
    <x v="214"/>
    <s v=""/>
    <x v="231"/>
    <s v=""/>
    <m/>
    <n v="50"/>
    <s v=""/>
    <s v=""/>
    <s v=""/>
    <s v=""/>
    <n v="1"/>
  </r>
  <r>
    <x v="1"/>
    <n v="1162"/>
    <m/>
    <n v="3637"/>
    <s v="Todos os dados preenchidos:empresa: InfinitTec  name: Pedro Paulo cargo: Proprietário  whatsapp: 69981362005 email: adm@infinittec.com.br referrer: https://www.guaranisistemas.com.br/ _x000a_(04/05/2026) em busca sobre o lead ! _x000a_Infinitec é uma casa de software e controladoria financeira"/>
    <s v=""/>
    <x v="635"/>
    <m/>
    <s v=""/>
    <s v="Pedro Paulo"/>
    <s v=""/>
    <s v=""/>
    <s v="adm@infinittec.com.br"/>
    <s v=""/>
    <s v=""/>
    <s v=""/>
    <s v="Cacoal"/>
    <s v=""/>
    <s v="Inbound"/>
    <s v=""/>
    <s v=""/>
    <s v="Fora Perfil"/>
    <s v="Pipeline de Vendas"/>
    <s v="Agendamento (0%)"/>
    <s v=""/>
    <m/>
    <m/>
    <m/>
    <n v="0"/>
    <s v="Paulo Souza"/>
    <d v="2026-05-04T00:00:00"/>
    <d v="1899-12-30T08:07:13"/>
    <s v=""/>
    <s v="Perdido"/>
    <d v="2026-05-04T00:00:00"/>
    <d v="1899-12-30T09:31:01"/>
    <s v="Fora do porte mínimo (sem fit estrutural)"/>
    <s v="casa de software"/>
    <s v=""/>
    <x v="0"/>
    <s v="Junior Lopes"/>
    <x v="0"/>
    <s v=""/>
    <m/>
    <n v="30"/>
    <s v=""/>
    <s v=""/>
    <s v=""/>
    <s v=""/>
    <n v="1"/>
  </r>
  <r>
    <x v="3"/>
    <n v="1163"/>
    <m/>
    <n v="3638"/>
    <s v="Falei com o Chico: a empresa (atacado) possui 4 lojas e está prestes a inaugurar uma nova filial. Conta com 110 colaboradores (incluindo a equipe interna de vendas/televendas) e 6 representantes comerciais. Atualmente utiliza o sistema RP ERP e demonstrou interesse em conhecer novas opções. Também solicitou referências de clientes da região._x000a_Apresentação agendada para 11/05 às 10h._x000a_(18/05) Enviado msg para Chico a fim de agendar um bate-papo."/>
    <s v=""/>
    <x v="636"/>
    <n v="42263870000101"/>
    <s v=""/>
    <s v="eficaz atacadao da limpeza"/>
    <s v="(67) 9895-2961"/>
    <s v=""/>
    <s v="gerentedevendas@eficazatacadaodalimpeza.com.br"/>
    <s v=""/>
    <s v=""/>
    <s v=""/>
    <s v="CAMPO GRANDE"/>
    <s v="MS"/>
    <s v="Campanha"/>
    <s v=""/>
    <s v=""/>
    <s v="Dentro Perfil;Instagram"/>
    <s v="Pipeline de Vendas"/>
    <s v="Qualificação de Vendas (SQL) (25%)"/>
    <s v=""/>
    <m/>
    <m/>
    <m/>
    <n v="16"/>
    <s v="Paulo Souza"/>
    <d v="2026-05-04T00:00:00"/>
    <d v="1899-12-30T08:10:13"/>
    <s v=""/>
    <s v="Ativo"/>
    <m/>
    <m/>
    <s v=""/>
    <s v=""/>
    <s v=""/>
    <x v="0"/>
    <s v="Ronaldo Nascimento"/>
    <x v="0"/>
    <s v=""/>
    <m/>
    <n v="30"/>
    <s v=""/>
    <s v="AFV, ERP"/>
    <s v=""/>
    <s v=""/>
    <n v="1"/>
  </r>
  <r>
    <x v="2"/>
    <n v="1164"/>
    <m/>
    <n v="3695"/>
    <s v=""/>
    <s v=""/>
    <x v="637"/>
    <n v="64508464000196"/>
    <s v=""/>
    <s v="Shirley"/>
    <s v="41998464626"/>
    <s v=""/>
    <s v="zahrahcezar@gmail.com"/>
    <s v=""/>
    <s v=""/>
    <s v=""/>
    <s v="PIRAQUARA"/>
    <s v="PR"/>
    <s v="Campanha"/>
    <s v=""/>
    <s v=""/>
    <s v="Fora Perfil;Instagram"/>
    <s v="Pipeline de Vendas"/>
    <s v="Qualificação de Vendas (SQL) (25%)"/>
    <s v=""/>
    <m/>
    <m/>
    <m/>
    <n v="4"/>
    <s v="Paulo Souza"/>
    <d v="2026-05-04T00:00:00"/>
    <d v="1899-12-30T08:11:30"/>
    <s v=""/>
    <s v="Perdido"/>
    <d v="2026-05-08T00:00:00"/>
    <d v="1899-12-30T10:31:28"/>
    <s v="Fora do porte mínimo (sem fit estrutural)"/>
    <s v=""/>
    <s v=""/>
    <x v="0"/>
    <s v="Rayssa Karapeticov"/>
    <x v="0"/>
    <s v=""/>
    <d v="2026-05-08T00:00:00"/>
    <n v="31"/>
    <s v=""/>
    <s v=""/>
    <s v=""/>
    <s v=""/>
    <n v="1"/>
  </r>
  <r>
    <x v="1"/>
    <n v="1165"/>
    <m/>
    <n v="3698"/>
    <s v=""/>
    <s v=""/>
    <x v="638"/>
    <n v="15725079000195"/>
    <s v=""/>
    <s v="Edu Autoparts"/>
    <s v="8196028924"/>
    <s v=""/>
    <s v="eduardo@edusomautoparts.com.br"/>
    <s v=""/>
    <s v=""/>
    <s v=""/>
    <s v=""/>
    <s v=""/>
    <s v="Campanha"/>
    <s v=""/>
    <s v=""/>
    <s v="Dentro Perfil;Instagram"/>
    <s v="Pipeline de Vendas"/>
    <s v="Qualificação de Vendas (SQL) (25%)"/>
    <s v=""/>
    <m/>
    <m/>
    <m/>
    <n v="10"/>
    <s v="Paulo Souza"/>
    <d v="2026-05-04T00:00:00"/>
    <d v="1899-12-30T08:13:17"/>
    <s v=""/>
    <s v="Perdido"/>
    <d v="2026-05-14T00:00:00"/>
    <d v="1899-12-30T11:31:32"/>
    <s v="Sem qualificação — contato não atende ligações nem responde msg"/>
    <s v="(14/05/2026) cliente não responde aos contatos"/>
    <s v=""/>
    <x v="0"/>
    <s v="Junior Lopes"/>
    <x v="0"/>
    <s v=""/>
    <d v="2026-05-14T00:00:00"/>
    <n v="28"/>
    <s v=""/>
    <s v=""/>
    <s v=""/>
    <s v=""/>
    <n v="1"/>
  </r>
  <r>
    <x v="3"/>
    <n v="1166"/>
    <m/>
    <n v="3699"/>
    <s v="(04/05) Falei com o Leandro. A empresa utiliza o ERP Excellent Sistemas, mas ele relatou insatisfação principalmente nos módulos de compras e controle de estoque. Está em busca de um sistema mais completo._x000a_Solicitou que eu envie mais informações pelo WhatsApp para, em seguida, agendarmos uma reunião._x000a_Atualmente, a equipe conta com 3 representantes e 3 vendedores internos._x000a_(11/05) Enviado e-mail ao Leandro com informações sobre nossas soluções e possíveis ganhos operacionais nas áreas de compras e controle de estoque. Aguardando retorno para agendamento da apresentação._x000a_(18/05) Enviado WhatsApp para Leandro a fim de agendarmos uma apresentação."/>
    <s v=""/>
    <x v="639"/>
    <m/>
    <s v=""/>
    <s v="Bornia Metais Ltda."/>
    <s v="44991022838"/>
    <s v=""/>
    <s v="gallo.bornia@hotmail.com"/>
    <s v=""/>
    <s v=""/>
    <s v=""/>
    <s v=""/>
    <s v=""/>
    <s v="Campanha"/>
    <s v=""/>
    <s v=""/>
    <s v="Dentro Perfil;Instagram"/>
    <s v="Pipeline de Vendas"/>
    <s v="Qualificação de Vendas (SQL) (25%)"/>
    <s v=""/>
    <m/>
    <m/>
    <m/>
    <n v="16"/>
    <s v="Paulo Souza"/>
    <d v="2026-05-04T00:00:00"/>
    <d v="1899-12-30T08:14:23"/>
    <s v=""/>
    <s v="Ativo"/>
    <m/>
    <m/>
    <s v=""/>
    <s v=""/>
    <s v=""/>
    <x v="0"/>
    <s v="Ronaldo Nascimento"/>
    <x v="0"/>
    <s v=""/>
    <d v="2026-05-11T00:00:00"/>
    <n v="30"/>
    <s v=""/>
    <s v=""/>
    <s v=""/>
    <s v=""/>
    <n v="1"/>
  </r>
  <r>
    <x v="2"/>
    <n v="1167"/>
    <m/>
    <n v="3700"/>
    <s v=""/>
    <s v=""/>
    <x v="640"/>
    <m/>
    <s v=""/>
    <s v="Proprietario"/>
    <s v="5591420014"/>
    <s v=""/>
    <s v="lucasmaslonik@hotmail.com"/>
    <s v=""/>
    <s v=""/>
    <s v=""/>
    <s v=""/>
    <s v=""/>
    <s v="Campanha"/>
    <s v=""/>
    <s v=""/>
    <s v="Fora Perfil;Instagram"/>
    <s v="Pipeline de Vendas"/>
    <s v="Qualificação de Vendas (SQL) (25%)"/>
    <s v=""/>
    <m/>
    <m/>
    <m/>
    <n v="4"/>
    <s v="Paulo Souza"/>
    <d v="2026-05-04T00:00:00"/>
    <d v="1899-12-30T08:15:36"/>
    <s v=""/>
    <s v="Perdido"/>
    <d v="2026-05-08T00:00:00"/>
    <d v="1899-12-30T10:29:39"/>
    <s v="Fora do porte mínimo (sem fit estrutural)"/>
    <s v=""/>
    <s v=""/>
    <x v="0"/>
    <s v="Rayssa Karapeticov"/>
    <x v="0"/>
    <s v=""/>
    <d v="2026-05-08T00:00:00"/>
    <n v="30"/>
    <s v=""/>
    <s v=""/>
    <s v=""/>
    <s v=""/>
    <n v="1"/>
  </r>
  <r>
    <x v="2"/>
    <n v="1168"/>
    <m/>
    <n v="3701"/>
    <s v=""/>
    <s v=""/>
    <x v="641"/>
    <m/>
    <s v=""/>
    <s v="BC"/>
    <s v="14999125373"/>
    <s v=""/>
    <s v="jeruzamocluciano@gmail.com"/>
    <s v=""/>
    <s v=""/>
    <s v=""/>
    <s v=""/>
    <s v=""/>
    <s v="Campanha"/>
    <s v=""/>
    <s v=""/>
    <s v="Dentro Perfil;Instagram"/>
    <s v="Pipeline de Vendas"/>
    <s v="Agendamento (0%)"/>
    <s v=""/>
    <m/>
    <m/>
    <m/>
    <n v="5"/>
    <s v="Paulo Souza"/>
    <d v="2026-05-04T00:00:00"/>
    <d v="1899-12-30T08:16:29"/>
    <s v=""/>
    <s v="Perdido"/>
    <d v="2026-05-09T00:00:00"/>
    <d v="1899-12-30T08:46:59"/>
    <s v="Inválido - empresa não existe / dados errados"/>
    <s v=""/>
    <s v=""/>
    <x v="0"/>
    <s v="Rayssa Karapeticov"/>
    <x v="0"/>
    <s v=""/>
    <m/>
    <n v="30"/>
    <s v=""/>
    <s v=""/>
    <s v=""/>
    <s v=""/>
    <n v="1"/>
  </r>
  <r>
    <x v="1"/>
    <n v="1169"/>
    <m/>
    <n v="3702"/>
    <s v="(04/05/2026) em ligação com Paulo Rosa , _x000a_atualmente usa ERP https://www.etoerp.com.br/_x000a_atualmente esta com dificuldade com PCP em controlar insumos para produção ! esto8u enviando material via e -mail para logo seguirmos com apresentação _x000a_(15/05/2026) após envio de material não obtive mais retorno do Paulo"/>
    <s v=""/>
    <x v="642"/>
    <n v="29795322000156"/>
    <s v=""/>
    <s v="Presystem Projetos e Sistemas Eletrônicos"/>
    <s v="(11) 2031-1273"/>
    <s v=""/>
    <s v="contato@bepcontabilidade.com"/>
    <s v=""/>
    <s v=""/>
    <s v=""/>
    <s v="SAO PAULO"/>
    <s v="SP"/>
    <s v="Campanha"/>
    <s v=""/>
    <s v=""/>
    <s v="Dentro Perfil;Instagram"/>
    <s v="Pipeline de Vendas"/>
    <s v="Qualificação de Vendas (SQL) (25%)"/>
    <s v=""/>
    <m/>
    <m/>
    <m/>
    <n v="11"/>
    <s v="Paulo Souza"/>
    <d v="2026-05-04T00:00:00"/>
    <d v="1899-12-30T08:18:58"/>
    <s v=""/>
    <s v="Perdido"/>
    <d v="2026-05-15T00:00:00"/>
    <d v="1899-12-30T16:29:44"/>
    <s v="Sem qualificação — contato não atende ligações nem responde msg"/>
    <s v="no dia 05/05 cheguei a falar com Paulo, porem após envio do material e esboço de investimento  nao tive mais retorno"/>
    <s v=""/>
    <x v="0"/>
    <s v="Junior Lopes"/>
    <x v="0"/>
    <s v=""/>
    <d v="2026-05-15T00:00:00"/>
    <n v="31"/>
    <s v=""/>
    <s v=""/>
    <s v=""/>
    <s v=""/>
    <n v="1"/>
  </r>
  <r>
    <x v="1"/>
    <n v="1170"/>
    <m/>
    <n v="3704"/>
    <s v="Oi_x000a_hj sou socio na magnus transformadores_x000a_cnpj 27.569.814/0001-06_x000a_utilizamos um erp da empresa unicode_x000a_vou iniciar uma nova empresa de forma individual com a mesma atividade fabricação de transformadores_x000a_preciso de um sistema para gerir todas as estapas do processo da empresa_x000a_vendas, compras, produção, financeiro_x000a_(15/05/2026) depois da ultima conversa com Raul , dei um esboço do investimento logo não tivemos mais retorno"/>
    <s v=""/>
    <x v="643"/>
    <m/>
    <s v=""/>
    <s v="Ivan Edson Dias"/>
    <s v="(11) 95811-0104"/>
    <s v=""/>
    <s v="ivanedson77@gmail.com"/>
    <s v=""/>
    <s v=""/>
    <s v=""/>
    <s v="São Paulo"/>
    <s v=""/>
    <s v="Site"/>
    <s v=""/>
    <s v=""/>
    <s v="Dentro Perfil;Solicita demo"/>
    <s v="Pipeline de Vendas"/>
    <s v="Qualificação de Vendas (SQL) (25%)"/>
    <s v=""/>
    <m/>
    <m/>
    <m/>
    <n v="11"/>
    <s v="Paulo Souza"/>
    <d v="2026-05-04T00:00:00"/>
    <d v="1899-12-30T08:20:31"/>
    <s v=""/>
    <s v="Perdido"/>
    <d v="2026-05-15T00:00:00"/>
    <d v="1899-12-30T16:22:29"/>
    <s v="Não houve aprovação financeira"/>
    <s v="(15/05/2026) depois da ultima conversa com Ivan , dei um esboço do investimento logo não tivemos mais retorno"/>
    <s v=""/>
    <x v="0"/>
    <s v="Junior Lopes"/>
    <x v="0"/>
    <s v=""/>
    <d v="2026-05-15T00:00:00"/>
    <n v="30"/>
    <s v=""/>
    <s v=""/>
    <s v=""/>
    <s v=""/>
    <n v="1"/>
  </r>
  <r>
    <x v="3"/>
    <n v="1171"/>
    <m/>
    <n v="3705"/>
    <s v="(04/05) Realizado ligação, porém, caiu na caixa postal. Enviado msg por WhatsApp._x000a_(11/05) Enviado WhatsApp para Raimundo com o objetivo de verificar o melhor horário para realizar contato telefônico."/>
    <s v=""/>
    <x v="644"/>
    <m/>
    <s v=""/>
    <s v="Ellform"/>
    <s v="7187881309"/>
    <s v=""/>
    <s v="racoelhoneto@hotmail.com"/>
    <s v=""/>
    <s v=""/>
    <s v=""/>
    <s v=""/>
    <s v=""/>
    <s v="Campanha"/>
    <s v=""/>
    <s v=""/>
    <s v="Dentro Perfil;Instagram"/>
    <s v="Pipeline de Vendas"/>
    <s v="Qualificação de Vendas (SQL) (25%)"/>
    <s v=""/>
    <m/>
    <m/>
    <m/>
    <n v="14"/>
    <s v="Paulo Souza"/>
    <d v="2026-05-04T00:00:00"/>
    <d v="1899-12-30T08:21:13"/>
    <s v=""/>
    <s v="Perdido"/>
    <d v="2026-05-18T00:00:00"/>
    <d v="1899-12-30T09:31:54"/>
    <s v="Sem qualificação — contato não atende ligações nem responde msg"/>
    <s v="(18/05) Raimundo não retornou meus contatos. Enviei uma mensagem encerrando o atendimento no momento, mas deixei meu contato à disposição para um possível retorno futuro."/>
    <s v=""/>
    <x v="0"/>
    <s v="Ronaldo Nascimento"/>
    <x v="0"/>
    <s v=""/>
    <d v="2026-05-11T00:00:00"/>
    <n v="30"/>
    <s v=""/>
    <s v=""/>
    <s v=""/>
    <s v=""/>
    <n v="1"/>
  </r>
  <r>
    <x v="3"/>
    <n v="1172"/>
    <m/>
    <n v="3706"/>
    <s v="(04/05) Realizado ligação, porém, caiu na caixa postal. Enviado msg por WhatsApp._x000a_(11/05) Enviado WhatsApp para Márcio com o objetivo de verificar o melhor horário para realizar contato telefônico._x000a_(18/05) Tentei contato novamente com Márcio, porém, sem sucesso (Ligação e WhatsApp). Enviado e-mail antes de perder o negócio."/>
    <s v=""/>
    <x v="645"/>
    <n v="32268865000391"/>
    <s v=""/>
    <s v="Morefix"/>
    <s v="19991043105"/>
    <s v=""/>
    <s v="marcio.soares@morefix.com.br"/>
    <s v=""/>
    <s v=""/>
    <s v=""/>
    <s v=""/>
    <s v=""/>
    <s v="Campanha"/>
    <s v=""/>
    <s v=""/>
    <s v="Dentro Perfil;Instagram"/>
    <s v="Pipeline de Vendas"/>
    <s v="Qualificação de Vendas (SQL) (25%)"/>
    <s v=""/>
    <m/>
    <m/>
    <m/>
    <n v="16"/>
    <s v="Paulo Souza"/>
    <d v="2026-05-04T00:00:00"/>
    <d v="1899-12-30T08:22:02"/>
    <s v=""/>
    <s v="Ativo"/>
    <m/>
    <m/>
    <s v=""/>
    <s v=""/>
    <s v=""/>
    <x v="0"/>
    <s v="Ronaldo Nascimento"/>
    <x v="0"/>
    <s v=""/>
    <d v="2026-05-11T00:00:00"/>
    <n v="30"/>
    <s v=""/>
    <s v=""/>
    <s v=""/>
    <s v=""/>
    <n v="1"/>
  </r>
  <r>
    <x v="1"/>
    <n v="1173"/>
    <m/>
    <n v="3707"/>
    <s v="(04/05/2026) tentativa de ligação ! porem numero somente WhatsApp_x000a_(04/05/2026) em contato com Sérgio ! _x000a_em ligação se identificou e já foi cliente Guarani na oportunidade migrou para Winthor ! _x000a_pediu uma ideia de investimento para entender sobre uma eventual mudança ! estou batalhando para nos reunirmos para uma breve apresentação _x000a_Tentativa de contato : _x000a_ 14:51, 04/05/2026 Junior Lopes: Olá Sérgio ! Boa tarde_x000a_14:51, 04/05/2026 Junior Lopes: Junior da Guarani sistemas por aqui ! Td bem ?_x000a_(15/05/2026) tentaiva de ligação não atendia com Sérgio, a ideia é fazer apresentação"/>
    <s v=""/>
    <x v="646"/>
    <n v="1784943000115"/>
    <s v=""/>
    <s v="Astrum Distribuidora"/>
    <s v="38988234018"/>
    <s v=""/>
    <s v="sergio@resendesantos.com.br"/>
    <s v=""/>
    <s v=""/>
    <s v=""/>
    <s v=""/>
    <s v="Montes Claros"/>
    <s v="Inbound"/>
    <s v=""/>
    <s v=""/>
    <s v="Dentro Perfil;Instagram"/>
    <s v="Pipeline de Vendas"/>
    <s v="Qualificação de Vendas (SQL) (25%)"/>
    <s v=""/>
    <m/>
    <m/>
    <m/>
    <n v="16"/>
    <s v="Paulo Souza"/>
    <d v="2026-05-04T00:00:00"/>
    <d v="1899-12-30T08:23:02"/>
    <s v=""/>
    <s v="Ativo"/>
    <m/>
    <m/>
    <s v=""/>
    <s v=""/>
    <s v=""/>
    <x v="0"/>
    <s v="Junior Lopes"/>
    <x v="0"/>
    <s v=""/>
    <d v="2026-05-15T00:00:00"/>
    <n v="30"/>
    <s v=""/>
    <s v=""/>
    <s v=""/>
    <s v=""/>
    <n v="1"/>
  </r>
  <r>
    <x v="3"/>
    <n v="1174"/>
    <m/>
    <n v="3708"/>
    <s v="(04/05) Entrei em contato e falei com Luis. Informou que João estará na empresa à partir das 16h, pediu para retornar neste horário._x000a_(06/05) Entrei em contato com o Luis, que solicitou o envio das informações por e-mail ao João. Ficou combinado retorno amanhã às 11h30._x000a_(11/05) Realizada nova tentativa de contato com João, porém sem sucesso. Enviado e-mail com o objetivo de agendar um bate-papo para apresentação das soluções._x000a_(18/05) Como não tive retorno (ligação), enviado e-mail para João antes de perder o negócio."/>
    <s v=""/>
    <x v="647"/>
    <n v="10667844000144"/>
    <s v=""/>
    <s v="ferragens renova"/>
    <s v="5134904475"/>
    <s v=""/>
    <s v="diretoria@ferragensrenova.com.br"/>
    <s v=""/>
    <s v=""/>
    <s v=""/>
    <s v=""/>
    <s v=""/>
    <s v="Campanha"/>
    <s v=""/>
    <s v=""/>
    <s v="Dentro Perfil;Instagram"/>
    <s v="Pipeline de Vendas"/>
    <s v="Qualificação de Vendas (SQL) (25%)"/>
    <s v=""/>
    <m/>
    <m/>
    <m/>
    <n v="16"/>
    <s v="Paulo Souza"/>
    <d v="2026-05-04T00:00:00"/>
    <d v="1899-12-30T08:23:51"/>
    <s v=""/>
    <s v="Ativo"/>
    <m/>
    <m/>
    <s v=""/>
    <s v=""/>
    <s v=""/>
    <x v="0"/>
    <s v="Ronaldo Nascimento"/>
    <x v="0"/>
    <s v=""/>
    <d v="2026-05-11T00:00:00"/>
    <n v="30"/>
    <s v=""/>
    <s v=""/>
    <s v=""/>
    <s v=""/>
    <n v="1"/>
  </r>
  <r>
    <x v="3"/>
    <n v="1175"/>
    <n v="213"/>
    <n v="3714"/>
    <s v="(04/05) Falei com o Thiago: ele está em fechamento e com dois colaboradores do administrativo em férias. Após essa semana, irá verificar uma agenda para conversarmos. Retornar na segunda-feira._x000a_(11/05) Enviado msg para Thiago a fim de agendar um bate-papo."/>
    <s v=""/>
    <x v="648"/>
    <n v="3670607000177"/>
    <s v="RV DISTRIBUIDORA DE GENEROS ALIMENTICIOS LTDA"/>
    <s v="Thiago Barbosa"/>
    <s v="(16) 98127-4870"/>
    <s v="16981274870"/>
    <s v="rvdistribuidora123@gmail.com"/>
    <s v="Matriz"/>
    <s v=""/>
    <s v="AV LUIZ ALFREDO DE MELO ROSA 460"/>
    <s v="IBATE"/>
    <s v="SP"/>
    <s v="Outbound"/>
    <s v="Outbound"/>
    <s v=""/>
    <s v="Dentro Perfil"/>
    <s v="Pipeline de Vendas"/>
    <s v="Qualificação de Vendas (SQL) (25%)"/>
    <s v=""/>
    <m/>
    <m/>
    <m/>
    <n v="16"/>
    <s v="Paulo Souza"/>
    <d v="2026-05-04T00:00:00"/>
    <d v="1899-12-30T08:43:59"/>
    <s v=""/>
    <s v="Ativo"/>
    <m/>
    <m/>
    <s v=""/>
    <s v=""/>
    <s v=""/>
    <x v="0"/>
    <s v="Ronaldo Nascimento"/>
    <x v="0"/>
    <s v=""/>
    <d v="2026-05-11T00:00:00"/>
    <n v="30"/>
    <s v=""/>
    <s v=""/>
    <s v=""/>
    <s v=""/>
    <n v="1"/>
  </r>
  <r>
    <x v="2"/>
    <n v="1176"/>
    <m/>
    <n v="3716"/>
    <s v=""/>
    <s v=""/>
    <x v="649"/>
    <n v="52696640000181"/>
    <s v=""/>
    <s v="Aparecido Ribeiro Molina Junior"/>
    <s v="(19) 99788-2241"/>
    <s v=""/>
    <s v="gerencia@grupogadulog.com.br"/>
    <s v=""/>
    <s v=""/>
    <s v=""/>
    <s v="DESCALVADO"/>
    <s v="SP"/>
    <s v="Site"/>
    <s v=""/>
    <s v=""/>
    <s v="Fora Perfil;Solicita demo"/>
    <s v="Pipeline de Vendas"/>
    <s v="Qualificação de Vendas (SQL) (25%)"/>
    <s v=""/>
    <m/>
    <m/>
    <m/>
    <n v="4"/>
    <s v="Paulo Souza"/>
    <d v="2026-05-04T00:00:00"/>
    <d v="1899-12-30T15:45:58"/>
    <s v=""/>
    <s v="Perdido"/>
    <d v="2026-05-08T00:00:00"/>
    <d v="1899-12-30T12:09:14"/>
    <s v="Fora do porte mínimo (sem fit estrutural)"/>
    <s v=""/>
    <s v=""/>
    <x v="0"/>
    <s v="Rayssa Karapeticov"/>
    <x v="0"/>
    <s v=""/>
    <d v="2026-05-05T00:00:00"/>
    <n v="30"/>
    <s v=""/>
    <s v=""/>
    <s v=""/>
    <s v=""/>
    <n v="1"/>
  </r>
  <r>
    <x v="1"/>
    <n v="1177"/>
    <m/>
    <n v="3732"/>
    <s v=""/>
    <s v=""/>
    <x v="650"/>
    <n v="36356922000183"/>
    <s v=""/>
    <s v="Istok comércio"/>
    <s v="(11) 2361-7746"/>
    <s v=""/>
    <s v="diogo.contabilidade@yahoo.com.br"/>
    <s v=""/>
    <s v=""/>
    <s v=""/>
    <s v="SAO PAULO"/>
    <s v="SP"/>
    <s v=""/>
    <s v=""/>
    <s v=""/>
    <s v=""/>
    <s v="Pipeline de Vendas"/>
    <s v="Em Fechamento (100%)"/>
    <s v=""/>
    <m/>
    <n v="694512"/>
    <n v="201348"/>
    <n v="14"/>
    <s v="Junior Lopes"/>
    <d v="2026-05-05T00:00:00"/>
    <d v="1899-12-30T16:57:12"/>
    <s v=""/>
    <s v="Ganho"/>
    <d v="2026-05-19T00:00:00"/>
    <d v="1899-12-30T14:28:32"/>
    <s v=""/>
    <s v=""/>
    <s v=""/>
    <x v="215"/>
    <s v=""/>
    <x v="235"/>
    <s v="12/05/2026"/>
    <m/>
    <n v="50"/>
    <s v=""/>
    <s v=""/>
    <s v=""/>
    <s v=""/>
    <n v="1"/>
  </r>
  <r>
    <x v="3"/>
    <n v="1178"/>
    <n v="263"/>
    <n v="3734"/>
    <s v="(11/05) Enviada nova mensagem via LinkedIn para Rodrigo Buzinari. Em 05/05, também foi encaminhado e-mail para Rodrigo Furtado (diretor)._x000a_(18/05) Enviado e-mail para Rodrigo, antes de perder o negócio."/>
    <s v=""/>
    <x v="651"/>
    <n v="20718183000192"/>
    <s v="PETIKO COMERCIO E DISTRIBUICAO DE PRODUTOS PET S.A"/>
    <s v="Rodrigo José Buzinari"/>
    <s v="(16) 33712-3681"/>
    <s v=""/>
    <s v="eucuidoparavoce@doutorcontabil.com.br"/>
    <s v="Matriz"/>
    <s v=""/>
    <s v="R FRANCISCO MARICONDI 254"/>
    <s v="SAO CARLOS"/>
    <s v="SP"/>
    <s v=""/>
    <s v=""/>
    <s v=""/>
    <s v="Dentro Perfil"/>
    <s v="Pipeline de Vendas"/>
    <s v="Qualificação de Vendas (SQL) (25%)"/>
    <s v=""/>
    <m/>
    <m/>
    <m/>
    <n v="15"/>
    <s v="Ronaldo Nascimento"/>
    <d v="2026-05-05T00:00:00"/>
    <d v="1899-12-30T17:25:14"/>
    <s v=""/>
    <s v="Ativo"/>
    <m/>
    <m/>
    <s v=""/>
    <s v=""/>
    <s v=""/>
    <x v="0"/>
    <s v=""/>
    <x v="0"/>
    <s v=""/>
    <d v="2026-05-11T00:00:00"/>
    <n v="30"/>
    <s v=""/>
    <s v=""/>
    <s v=""/>
    <s v=""/>
    <n v="1"/>
  </r>
  <r>
    <x v="3"/>
    <n v="1179"/>
    <m/>
    <n v="3735"/>
    <s v="(06/05) Realizei contato telefônico com Lucianei, que informou não poder falar no momento e que retornaria assim que possível. Também enviei mensagem via WhatsApp para acompanhamento._x000a_(07/05) Realizo novo contato por WhatsApp. (Telefone deu caixa portal)_x000a_(11/05) Realizada nova tentativa de contato com Luciane, porém sem sucesso. Enviada nova mensagem via WhatsApp._x000a_(18/05) Luciane não retornou meus contatos. Enviei uma mensagem encerrando o atendimento no momento, mas deixei meu contato à disposição para um possível retorno futuro."/>
    <s v=""/>
    <x v="652"/>
    <m/>
    <s v=""/>
    <s v="Querosmais"/>
    <s v="41988659245"/>
    <s v=""/>
    <s v="querosmais@ig.com.br"/>
    <s v=""/>
    <s v=""/>
    <s v=""/>
    <s v=""/>
    <s v=""/>
    <s v="Campanha"/>
    <s v=""/>
    <s v=""/>
    <s v="Dentro Perfil;Instagram"/>
    <s v="Pipeline de Vendas"/>
    <s v="Qualificação de Vendas (SQL) (25%)"/>
    <s v=""/>
    <m/>
    <m/>
    <m/>
    <n v="12"/>
    <s v="Paulo Souza"/>
    <d v="2026-05-06T00:00:00"/>
    <d v="1899-12-30T03:15:00"/>
    <s v=""/>
    <s v="Perdido"/>
    <d v="2026-05-18T00:00:00"/>
    <d v="1899-12-30T10:08:21"/>
    <s v="Sem qualificação — contato não atende ligações nem responde msg"/>
    <s v="(18/05) Luciane não retornou meus contatos. Enviei uma mensagem encerrando o atendimento no momento, mas deixei meu contato à disposição para um possível retorno futuro."/>
    <s v=""/>
    <x v="0"/>
    <s v="Ronaldo Nascimento"/>
    <x v="0"/>
    <s v=""/>
    <d v="2026-05-11T00:00:00"/>
    <n v="30"/>
    <s v=""/>
    <s v=""/>
    <s v=""/>
    <s v=""/>
    <n v="1"/>
  </r>
  <r>
    <x v="3"/>
    <n v="1180"/>
    <m/>
    <n v="3718"/>
    <s v="(06/05) Realizei contato telefônico com Marcelo. A empresa utiliza o sistema Sankhya e demonstrou insatisfação. Possuem vendedores internos e representantes comerciais. Apresentação agendada para quinta-feira (07/05), às 15h._x000a_(07/05) Realizada apresentação para o Marcelo. A reunião foi conduzida pelo Paulo, eu acompanhei._x000a_O projeto contempla aproximadamente 13 usuários entre ERP e AFV. Foi enviado o formulário para preenchimento e, posteriormente, será realizada a emissão da proposta._x000a_Obs.: Marcelo está ciente das horas de implantação._x000a_(14/05) Enviado WhatsApp para Marcelo solicitando um retorno sobre a proposta apresentada."/>
    <s v=""/>
    <x v="653"/>
    <n v="4184739000151"/>
    <s v=""/>
    <s v="Fikssar distribuidora LTDA"/>
    <s v="34996787403"/>
    <s v=""/>
    <s v="marcelojsilva@fikssar.com.br"/>
    <s v=""/>
    <s v=""/>
    <s v=""/>
    <s v=""/>
    <s v="Patos  de Minas"/>
    <s v="Inbound"/>
    <s v=""/>
    <s v=""/>
    <s v="Dentro Perfil;Instagram"/>
    <s v="Pipeline de Vendas"/>
    <s v="Em negociação (75%)"/>
    <s v=""/>
    <m/>
    <n v="8585802"/>
    <m/>
    <n v="14"/>
    <s v="Paulo Souza"/>
    <d v="2026-05-06T00:00:00"/>
    <d v="1899-12-30T03:16:48"/>
    <s v=""/>
    <s v="Ativo"/>
    <m/>
    <m/>
    <s v=""/>
    <s v=""/>
    <s v=""/>
    <x v="215"/>
    <s v="Ronaldo Nascimento"/>
    <x v="236"/>
    <s v=""/>
    <d v="2026-05-12T00:00:00"/>
    <n v="50"/>
    <s v=""/>
    <s v="AFV, ERP"/>
    <s v=""/>
    <s v=""/>
    <n v="1"/>
  </r>
  <r>
    <x v="3"/>
    <n v="1181"/>
    <m/>
    <n v="3720"/>
    <s v="(06/05) Tentei contato telefônico, porém a chamada foi direcionada para a caixa postal. Enviei mensagem via WhatsApp para identificar o melhor horário para retorno da ligação._x000a_(07/05) Johnny retornou a mensagem informando que estava em viagem, cuidando da saúde do pai, e que nesta semana não seria possível falarmos. Disse que na próxima semana entrará em contato. Caso isso não ocorra, realizar novo contato._x000a_(18/05) Enviado nova msg para Johnny a fim de verificar melhor horário para ligação."/>
    <s v=""/>
    <x v="654"/>
    <m/>
    <s v=""/>
    <s v="Krieger ind e com fé madeiras"/>
    <s v="66984172640"/>
    <s v=""/>
    <s v="kriegermadeiraspga@gmail.com"/>
    <s v=""/>
    <s v=""/>
    <s v=""/>
    <s v=""/>
    <s v="Porto dos Gaúchos MT"/>
    <s v="Inbound"/>
    <s v=""/>
    <s v=""/>
    <s v="Dentro Perfil;Instagram"/>
    <s v="Pipeline de Vendas"/>
    <s v="Qualificação de Vendas (SQL) (25%)"/>
    <s v=""/>
    <m/>
    <m/>
    <m/>
    <n v="14"/>
    <s v="Paulo Souza"/>
    <d v="2026-05-06T00:00:00"/>
    <d v="1899-12-30T03:17:57"/>
    <s v=""/>
    <s v="Ativo"/>
    <m/>
    <m/>
    <s v=""/>
    <s v=""/>
    <s v=""/>
    <x v="0"/>
    <s v="Ronaldo Nascimento"/>
    <x v="0"/>
    <s v=""/>
    <m/>
    <n v="30"/>
    <s v=""/>
    <s v=""/>
    <s v=""/>
    <s v=""/>
    <n v="1"/>
  </r>
  <r>
    <x v="3"/>
    <n v="1184"/>
    <m/>
    <n v="3737"/>
    <s v="(07/05) Tentei contato telefônico, porém sem sucesso. Foi enviado WhatsApp para Tiago, com o objetivo de verificar o melhor horário para conversarmos."/>
    <s v=""/>
    <x v="655"/>
    <m/>
    <s v=""/>
    <s v="Tiago sandavid"/>
    <s v="93991009174"/>
    <s v=""/>
    <s v="souzamaia2010@hotmail.com"/>
    <s v=""/>
    <s v=""/>
    <s v=""/>
    <s v=""/>
    <s v=""/>
    <s v="Campanha"/>
    <s v=""/>
    <s v=""/>
    <s v="Fora Perfil;Instagram"/>
    <s v="Pipeline de Vendas"/>
    <s v="Qualificação de Vendas (SQL) (25%)"/>
    <s v=""/>
    <m/>
    <m/>
    <m/>
    <n v="0"/>
    <s v="Paulo Souza"/>
    <d v="2026-05-07T00:00:00"/>
    <d v="1899-12-30T08:39:53"/>
    <s v=""/>
    <s v="Perdido"/>
    <d v="2026-05-07T00:00:00"/>
    <d v="1899-12-30T14:21:16"/>
    <s v="Fora do porte mínimo (sem fit estrutural)"/>
    <s v="Empresa de pequeno porte, com 3 vendedores internos._x000a_Atualmente utilizam o sistema Vendr, do Grupo IOB."/>
    <s v=""/>
    <x v="0"/>
    <s v="Ronaldo Nascimento"/>
    <x v="0"/>
    <s v=""/>
    <m/>
    <n v="30"/>
    <s v=""/>
    <s v=""/>
    <s v=""/>
    <s v=""/>
    <n v="1"/>
  </r>
  <r>
    <x v="1"/>
    <n v="1185"/>
    <m/>
    <n v="3741"/>
    <s v="(07/05/2026) tentativa de ligação _x000a_08:45, 07/05/2026 Junior Lopes: Olá Fran , bom dia_x000a_08:45, 07/05/2026 Fran dantas Cafe Espressiata: Espressiata agradece seu contato. Como podemos ajudar?_x000a_08:45, 07/05/2026 Junior Lopes: Sou Junior Lopes da Guarani sistemas! Td bem ?"/>
    <s v=""/>
    <x v="656"/>
    <n v="40904398000105"/>
    <s v=""/>
    <s v="Espressiata Cafés Especiais"/>
    <s v="34999008780"/>
    <s v=""/>
    <s v="franciele@espressiata.com.br"/>
    <s v=""/>
    <s v=""/>
    <s v=""/>
    <s v=""/>
    <s v="Frutal MG"/>
    <s v="Inbound"/>
    <s v=""/>
    <s v=""/>
    <s v="Dentro Perfil;Instagram"/>
    <s v="Pipeline de Vendas"/>
    <s v="Qualificação de Vendas (SQL) (25%)"/>
    <s v=""/>
    <m/>
    <m/>
    <m/>
    <n v="7"/>
    <s v="Paulo Souza"/>
    <d v="2026-05-07T00:00:00"/>
    <d v="1899-12-30T08:41:59"/>
    <s v=""/>
    <s v="Perdido"/>
    <d v="2026-05-14T00:00:00"/>
    <d v="1899-12-30T15:40:42"/>
    <s v="Sem qualificação — contato não atende ligações nem responde msg"/>
    <s v="Olá boa tarde ! Junior da Guarani sistemas por aqui _x000a_Logo que nós tivemos retorno ao contato estou finalizando por aqui ! _x000a_Caso mude de ideia por favor só me chamar _x000a_Sucesso por aí"/>
    <s v=""/>
    <x v="0"/>
    <s v="Junior Lopes"/>
    <x v="0"/>
    <s v=""/>
    <d v="2026-05-14T00:00:00"/>
    <n v="30"/>
    <s v=""/>
    <s v=""/>
    <s v=""/>
    <s v=""/>
    <n v="1"/>
  </r>
  <r>
    <x v="0"/>
    <n v="1186"/>
    <m/>
    <n v="3745"/>
    <s v=""/>
    <s v=""/>
    <x v="657"/>
    <n v="62956379000165"/>
    <s v=""/>
    <s v="Mirian"/>
    <s v="(16) 99705-1588"/>
    <s v=""/>
    <s v="mirian@jcsperfis.com.br"/>
    <s v=""/>
    <s v=""/>
    <s v=""/>
    <s v="SAO CARLOS"/>
    <s v="SP"/>
    <s v="Inbound"/>
    <s v=""/>
    <s v=""/>
    <s v="Dentro Perfil;Instagram"/>
    <s v="Pipeline de Vendas"/>
    <s v="Apresentar Solução (35%)"/>
    <s v=""/>
    <d v="2026-05-31T00:00:00"/>
    <m/>
    <m/>
    <n v="13"/>
    <s v="Paulo Souza"/>
    <d v="2026-05-07T00:00:00"/>
    <d v="1899-12-30T08:43:39"/>
    <s v=""/>
    <s v="Ativo"/>
    <m/>
    <m/>
    <s v=""/>
    <s v=""/>
    <s v=""/>
    <x v="0"/>
    <s v="Paulo Souza"/>
    <x v="0"/>
    <s v=""/>
    <d v="2026-05-18T00:00:00"/>
    <n v="30"/>
    <s v="-1"/>
    <s v=""/>
    <s v=""/>
    <s v=""/>
    <n v="1"/>
  </r>
  <r>
    <x v="2"/>
    <n v="1187"/>
    <m/>
    <n v="3744"/>
    <s v="Todos os dados preenchidos:_x000a_empresa: andreingrati@gmail.com _x000a_name: Andre  _x000a_cargo: andreingrati@gmail.com _x000a_whatsapp: 18997028677 _x000a_email: andreingrati@gmail.com _x000a_referrer: https://www.guaranisistemas.com.br/"/>
    <s v=""/>
    <x v="658"/>
    <m/>
    <s v=""/>
    <s v="Andre"/>
    <s v=""/>
    <s v=""/>
    <s v="andreingrati@gmail.com"/>
    <s v=""/>
    <s v=""/>
    <s v=""/>
    <s v="Andradina"/>
    <s v=""/>
    <s v="Inbound"/>
    <s v=""/>
    <s v=""/>
    <s v="Fora Perfil"/>
    <s v="Pipeline de Vendas"/>
    <s v="Agendamento (0%)"/>
    <s v=""/>
    <m/>
    <m/>
    <m/>
    <n v="0"/>
    <s v="Paulo Souza"/>
    <d v="2026-05-07T00:00:00"/>
    <d v="1899-12-30T08:45:42"/>
    <s v=""/>
    <s v="Perdido"/>
    <d v="2026-05-07T00:00:00"/>
    <d v="1899-12-30T09:53:22"/>
    <s v="Fora do porte mínimo (sem fit estrutural)"/>
    <s v=""/>
    <s v=""/>
    <x v="0"/>
    <s v="Rayssa Karapeticov"/>
    <x v="0"/>
    <s v=""/>
    <m/>
    <n v="30"/>
    <s v=""/>
    <s v=""/>
    <s v=""/>
    <s v=""/>
    <n v="1"/>
  </r>
  <r>
    <x v="2"/>
    <n v="1188"/>
    <m/>
    <n v="3743"/>
    <s v=""/>
    <s v=""/>
    <x v="659"/>
    <m/>
    <s v=""/>
    <s v="GSH Marketing Solutions"/>
    <s v="8496757596"/>
    <s v=""/>
    <s v="gleydson.silva@live.com"/>
    <s v=""/>
    <s v=""/>
    <s v=""/>
    <s v=""/>
    <s v=""/>
    <s v="Campanha"/>
    <s v=""/>
    <s v=""/>
    <s v="Dentro Perfil;Instagram"/>
    <s v="Pipeline de Vendas"/>
    <s v="Agendamento (0%)"/>
    <s v=""/>
    <d v="2026-05-31T00:00:00"/>
    <m/>
    <m/>
    <n v="2"/>
    <s v="Paulo Souza"/>
    <d v="2026-05-07T00:00:00"/>
    <d v="1899-12-30T08:47:19"/>
    <s v=""/>
    <s v="Perdido"/>
    <d v="2026-05-09T00:00:00"/>
    <d v="1899-12-30T08:54:10"/>
    <s v="Nossa solução não atende - falta funcionalidade"/>
    <s v=""/>
    <s v=""/>
    <x v="0"/>
    <s v="Rayssa Karapeticov"/>
    <x v="0"/>
    <s v=""/>
    <m/>
    <n v="30"/>
    <s v=""/>
    <s v=""/>
    <s v=""/>
    <s v=""/>
    <n v="1"/>
  </r>
  <r>
    <x v="1"/>
    <n v="1189"/>
    <m/>
    <n v="3742"/>
    <s v="08:52, 07/05/2026 Junior Lopes: Olá bom dia !_x000a_08:52, 07/05/2026 Junior Lopes: Sou Junior Lopes da Guarani sistemas! Td bem ?_x000a_11:51, 07/05/2026 Junior Lopes: qual o melhor horario para falarmos"/>
    <s v=""/>
    <x v="660"/>
    <m/>
    <s v=""/>
    <s v="Contade"/>
    <s v="4399777609"/>
    <s v=""/>
    <s v="arianagrandepequenasim@gmail.com"/>
    <s v=""/>
    <s v=""/>
    <s v=""/>
    <s v=""/>
    <s v="N sei"/>
    <s v="Inbound"/>
    <s v=""/>
    <s v=""/>
    <s v="Fora Perfil;Instagram"/>
    <s v="Pipeline de Vendas"/>
    <s v="Qualificação de Vendas (SQL) (25%)"/>
    <s v=""/>
    <m/>
    <m/>
    <m/>
    <n v="7"/>
    <s v="Paulo Souza"/>
    <d v="2026-05-07T00:00:00"/>
    <d v="1899-12-30T08:48:50"/>
    <s v=""/>
    <s v="Perdido"/>
    <d v="2026-05-14T00:00:00"/>
    <d v="1899-12-30T15:37:01"/>
    <s v="Inválido - empresa não existe / dados errados"/>
    <s v="(14/05/2026) _x000a_contato não responde _x000a_as informações inseridas não encontram dados da empresa ! ideal exigir CNPJ para uma melhor busca"/>
    <s v=""/>
    <x v="0"/>
    <s v="Junior Lopes"/>
    <x v="0"/>
    <s v=""/>
    <d v="2026-05-14T00:00:00"/>
    <n v="30"/>
    <s v=""/>
    <s v=""/>
    <s v=""/>
    <s v=""/>
    <n v="1"/>
  </r>
  <r>
    <x v="3"/>
    <n v="1190"/>
    <n v="276"/>
    <n v="3748"/>
    <s v="(07/05) Falei com Leila. Eles realizaram recentemente a troca de ERP e estão em busca de um novo CRM. Apresentei as soluções que oferecemos, com foco no AFV._x000a_No momento, estamos aguardando o retorno do Gestor Comercial para avançarmos com o agendamento de uma reunião._x000a_(12/05): Leila gostaria de uma reunião para entender melhor as nossa soluções. Como mudaram recentemente de ERP, a idéia é conhecer o nosso força de vendas e o BI para companhamento das vendas/metas._x000a_A Estilo Ar atua como distribuidora de peças e soluções para ar-condicionado automotivo. Filiais em: Uberlândia/MG (matriz), Belo Horizonte/MG, Juiz de Fora/MG, Montes Claros/MG, Goiânia/GO, Itumbiara/GO, Duque de Caxias/RJ e Cuiabá/MT. Então abrindo a nova filial Cuiabá._x000a_Produros que trabalham: Produtos que trabalham: Peças para ar-condicionado automotivo, Componentes Denso e Delphi, Produtos da marca própria Estilo Ar,  Filtros de cabine, Óleos, Higienizadores, Ferramentas e itens para manutenção automotiva. ERP atual: Sankhya e CRM Kommo integrado._x000a_Paulo: o foco é no AFV e BI, pois estão insatisfeito com o CRM atual. _x000a_(12/05) Reunião agendada para 12/05, as 14h30._x000a_(13/05) Reunião realizada. Leila informou que utilizam o CRM da Sankhya há aproximadamente 3 anos, porém estão insatisfeitos com a usabilidade da ferramenta. Atualmente, contam apenas com vendedores internos, mas a intenção é também trabalhar com representantes comerciais a partir do segundo semestre._x000a_Durante a reunião, foram apresentadas a Guarani Sistemas, as soluções AFV, Loja B2B e BI. Também foi enviado, via WhatsApp, o link do CRM Leads2b , juntamente com nossa apresentação institucional."/>
    <s v=""/>
    <x v="661"/>
    <n v="15338344000182"/>
    <s v="ESTILO AR COMERCIO DE PECAS LTDA"/>
    <s v="Leila Oliveira"/>
    <s v="(34) 3291-9100"/>
    <s v=""/>
    <s v="irpf@aserco.com.br"/>
    <s v="Matriz"/>
    <s v=""/>
    <s v="AV ENGENHEIRO DINIZ 848"/>
    <s v="UBERLANDIA"/>
    <s v="MG"/>
    <s v=""/>
    <s v=""/>
    <s v=""/>
    <s v="Dentro Perfil"/>
    <s v="Pipeline de Vendas"/>
    <s v="Apresentar Solução (35%)"/>
    <s v=""/>
    <m/>
    <m/>
    <m/>
    <n v="7"/>
    <s v="Ronaldo Nascimento"/>
    <d v="2026-05-07T00:00:00"/>
    <d v="1899-12-30T12:06:01"/>
    <s v=""/>
    <s v="Perdido"/>
    <d v="2026-05-14T00:00:00"/>
    <d v="1899-12-30T08:08:53"/>
    <s v="Projeto adiado / sem prazo definido"/>
    <s v="(14/05) Conforme Leila, a ideia é trabalhar com vendedor externo no segundo semestre. Criado atividade para contatar cliente em ago/26."/>
    <s v=""/>
    <x v="0"/>
    <s v=""/>
    <x v="237"/>
    <s v=""/>
    <m/>
    <n v="30"/>
    <s v=""/>
    <s v=""/>
    <s v=""/>
    <s v=""/>
    <n v="1"/>
  </r>
  <r>
    <x v="2"/>
    <n v="1191"/>
    <m/>
    <n v="3749"/>
    <s v=""/>
    <s v=""/>
    <x v="662"/>
    <n v="8333878000150"/>
    <s v=""/>
    <s v="Danielle"/>
    <s v="(74) 8124-8767"/>
    <s v=""/>
    <s v="maristela@kisolpiscinas.com"/>
    <s v=""/>
    <s v=""/>
    <s v=""/>
    <s v="FERNANDOPOLIS"/>
    <s v="SP"/>
    <s v=""/>
    <s v=""/>
    <s v=""/>
    <s v=""/>
    <s v="Pipeline de Vendas"/>
    <s v="Apresentar Solução (35%)"/>
    <s v=""/>
    <m/>
    <m/>
    <m/>
    <n v="13"/>
    <s v="Rayssa Karapeticov"/>
    <d v="2026-05-07T00:00:00"/>
    <d v="1899-12-30T16:38:45"/>
    <s v=""/>
    <s v="Ativo"/>
    <m/>
    <m/>
    <s v=""/>
    <s v=""/>
    <s v=""/>
    <x v="216"/>
    <s v="Rayssa Karapeticov"/>
    <x v="0"/>
    <s v=""/>
    <d v="2026-05-13T00:00:00"/>
    <n v="30"/>
    <s v=""/>
    <s v="ERP"/>
    <s v=""/>
    <s v=""/>
    <n v="1"/>
  </r>
  <r>
    <x v="3"/>
    <n v="1192"/>
    <n v="273"/>
    <n v="3754"/>
    <s v="(08/05) Apresentação agendada para 13/08 às 10h. Conforme informado pelo Milton, a empresa está em busca de um novo sistema de gestão e atualmente não possui uma ferramenta de força de vendas."/>
    <s v=""/>
    <x v="663"/>
    <n v="40220751000138"/>
    <s v="MARDEN MEDICAL LTDA."/>
    <s v="Milton Cavalieri"/>
    <s v="(16) 2121-0858"/>
    <s v=""/>
    <s v="administracao@mardenmedical.com.br"/>
    <s v="Matriz"/>
    <s v=""/>
    <s v="R GASTAO VIEIRA 229"/>
    <s v="SAO CARLOS"/>
    <s v="SP"/>
    <s v=""/>
    <s v=""/>
    <s v=""/>
    <s v="Dentro Perfil"/>
    <s v="Pipeline de Vendas"/>
    <s v="Apresentar Solução (35%)"/>
    <s v=""/>
    <m/>
    <m/>
    <m/>
    <n v="13"/>
    <s v="Ronaldo Nascimento"/>
    <d v="2026-05-07T00:00:00"/>
    <d v="1899-12-30T16:57:47"/>
    <s v=""/>
    <s v="Ativo"/>
    <m/>
    <m/>
    <s v=""/>
    <s v=""/>
    <s v=""/>
    <x v="0"/>
    <s v=""/>
    <x v="238"/>
    <s v=""/>
    <d v="2026-05-13T00:00:00"/>
    <n v="30"/>
    <s v=""/>
    <s v="ERP, AFV"/>
    <s v=""/>
    <s v=""/>
    <n v="1"/>
  </r>
  <r>
    <x v="3"/>
    <n v="1193"/>
    <n v="279"/>
    <m/>
    <s v="(08/05) Enviada mensagem via LinkedIn para Hugo Oliveira (gestor comercial), com o objetivo de apresentar as soluções da Guarani Sistemas e alinhar um possível bate-papo comercial."/>
    <s v=""/>
    <x v="221"/>
    <n v="89738173000115"/>
    <s v="SANREMO S/A"/>
    <s v=""/>
    <s v=""/>
    <s v=""/>
    <s v="bt_contabilidade@bettanin.com.br"/>
    <s v="Matriz"/>
    <s v=""/>
    <s v="AV INDEPENDENCIA 8885"/>
    <s v="ESTEIO"/>
    <s v="RS"/>
    <s v=""/>
    <s v=""/>
    <s v=""/>
    <s v="Dentro Perfil"/>
    <s v="Pipeline de Vendas"/>
    <s v="Agendamento (0%)"/>
    <s v=""/>
    <m/>
    <m/>
    <m/>
    <n v="12"/>
    <s v="Ronaldo Nascimento"/>
    <d v="2026-05-08T00:00:00"/>
    <d v="1899-12-30T10:00:51"/>
    <s v=""/>
    <s v="Ativo"/>
    <m/>
    <m/>
    <s v=""/>
    <s v=""/>
    <s v=""/>
    <x v="0"/>
    <s v=""/>
    <x v="0"/>
    <s v=""/>
    <m/>
    <n v="30"/>
    <s v=""/>
    <s v=""/>
    <s v=""/>
    <s v=""/>
    <n v="1"/>
  </r>
  <r>
    <x v="3"/>
    <n v="1194"/>
    <n v="281"/>
    <m/>
    <s v="(08/05) Enviada mensagem via LinkedIn para Vagner (gestor comercial), com o objetivo de apresentar as soluções da Guarani Sistemas e alinhar um possível bate-papo comercial._x000a_(18/05) Gestor comercial: Paulo Pimentel. Enviado msg a fim de agendar uma apresentação."/>
    <s v=""/>
    <x v="664"/>
    <n v="4381287000106"/>
    <s v="ORDENE S/A"/>
    <s v=""/>
    <s v=""/>
    <s v=""/>
    <s v="bt_contabilidade@bettanin.com.br"/>
    <s v="Matriz"/>
    <s v=""/>
    <s v="RUA GILBERTO TADEU MORAIS S/N"/>
    <s v="ESTEIO"/>
    <s v="RS"/>
    <s v=""/>
    <s v=""/>
    <s v=""/>
    <s v="Dentro Perfil"/>
    <s v="Pipeline de Vendas"/>
    <s v="Qualificação de Vendas (SQL) (25%)"/>
    <s v=""/>
    <m/>
    <m/>
    <m/>
    <n v="12"/>
    <s v="Ronaldo Nascimento"/>
    <d v="2026-05-08T00:00:00"/>
    <d v="1899-12-30T10:07:26"/>
    <s v=""/>
    <s v="Ativo"/>
    <m/>
    <m/>
    <s v=""/>
    <s v=""/>
    <s v=""/>
    <x v="0"/>
    <s v=""/>
    <x v="0"/>
    <s v=""/>
    <m/>
    <n v="30"/>
    <s v=""/>
    <s v=""/>
    <s v=""/>
    <s v=""/>
    <n v="1"/>
  </r>
  <r>
    <x v="3"/>
    <n v="1195"/>
    <n v="282"/>
    <n v="3760"/>
    <s v="(08/05) Enviada mensagem via LinkedIn para Lucimara (gestora comercial), com o objetivo de apresentar as soluções da Guarani Sistemas e alinhar um possível bate-papo comercial._x000a_(11/05) Consegui o contato de WhatsApp do Adm. Felix Carvalho. Enviei mensagem com o objetivo de verificar um melhor horário para realizarmos um bate-papo."/>
    <s v=""/>
    <x v="665"/>
    <n v="43948561000120"/>
    <s v="NIGRO ALUMINIO LTDA"/>
    <s v="Lucimara Zenatti"/>
    <s v="16210844221"/>
    <s v=""/>
    <s v="contabil@nigro.com.br"/>
    <s v="Matriz"/>
    <s v=""/>
    <s v="AV ARCANGELO NIGRO 166"/>
    <s v="ARARAQUARA"/>
    <s v="SP"/>
    <s v=""/>
    <s v=""/>
    <s v=""/>
    <s v="Dentro Perfil"/>
    <s v="Pipeline de Vendas"/>
    <s v="Qualificação de Vendas (SQL) (25%)"/>
    <s v=""/>
    <m/>
    <m/>
    <m/>
    <n v="12"/>
    <s v="Ronaldo Nascimento"/>
    <d v="2026-05-08T00:00:00"/>
    <d v="1899-12-30T10:30:00"/>
    <s v=""/>
    <s v="Ativo"/>
    <m/>
    <m/>
    <s v=""/>
    <s v=""/>
    <s v=""/>
    <x v="0"/>
    <s v=""/>
    <x v="0"/>
    <s v=""/>
    <m/>
    <n v="30"/>
    <s v=""/>
    <s v=""/>
    <s v=""/>
    <s v=""/>
    <n v="1"/>
  </r>
  <r>
    <x v="0"/>
    <n v="1196"/>
    <m/>
    <n v="3746"/>
    <s v=""/>
    <s v=""/>
    <x v="666"/>
    <n v="5659821000239"/>
    <s v=""/>
    <s v="Alexandre"/>
    <s v="11988734899"/>
    <s v=""/>
    <s v="alexandre@emblemax.com.br"/>
    <s v=""/>
    <s v=""/>
    <s v=""/>
    <s v=""/>
    <s v="SP"/>
    <s v="Inbound"/>
    <s v=""/>
    <s v=""/>
    <s v="Dentro Perfil;Instagram"/>
    <s v="Pipeline de Vendas"/>
    <s v="Qualificação de Vendas (SQL) (25%)"/>
    <s v=""/>
    <m/>
    <m/>
    <m/>
    <n v="12"/>
    <s v="Paulo Souza"/>
    <d v="2026-05-08T00:00:00"/>
    <d v="1899-12-30T11:46:39"/>
    <s v=""/>
    <s v="Ativo"/>
    <m/>
    <m/>
    <s v=""/>
    <s v=""/>
    <s v=""/>
    <x v="0"/>
    <s v="Paulo Souza"/>
    <x v="0"/>
    <s v=""/>
    <d v="2026-05-18T00:00:00"/>
    <n v="30"/>
    <s v=""/>
    <s v=""/>
    <s v=""/>
    <s v=""/>
    <n v="1"/>
  </r>
  <r>
    <x v="3"/>
    <n v="1197"/>
    <n v="270"/>
    <m/>
    <s v="(08/05) Enviado WhatsApp para Luiz (amigo pessoal) para entender melhor a estrutura comercial da MMO, incluindo modelo de equipe de vendas (interna e/ou externa) e sistemas utilizados atualmente para gestão e vendas._x000a_(11/05) Enviado msg para Gabriela (filha do Luis e amiga pessoal)."/>
    <s v=""/>
    <x v="667"/>
    <n v="2466212000194"/>
    <s v="MM OPTICS LTDA"/>
    <s v=""/>
    <s v=""/>
    <s v=""/>
    <s v="mmo@com.br"/>
    <s v="Matriz"/>
    <s v=""/>
    <s v="RUA GEMINIANO COSTA 143"/>
    <s v="SAO CARLOS"/>
    <s v="SP"/>
    <s v=""/>
    <s v=""/>
    <s v=""/>
    <s v="Dentro Perfil"/>
    <s v="Pipeline de Vendas"/>
    <s v="Qualificação de Vendas (SQL) (25%)"/>
    <s v=""/>
    <m/>
    <m/>
    <m/>
    <n v="12"/>
    <s v="Ronaldo Nascimento"/>
    <d v="2026-05-08T00:00:00"/>
    <d v="1899-12-30T12:05:35"/>
    <s v=""/>
    <s v="Ativo"/>
    <m/>
    <m/>
    <s v=""/>
    <s v=""/>
    <s v=""/>
    <x v="0"/>
    <s v=""/>
    <x v="0"/>
    <s v=""/>
    <d v="2026-05-11T00:00:00"/>
    <n v="30"/>
    <s v=""/>
    <s v=""/>
    <s v=""/>
    <s v=""/>
    <n v="1"/>
  </r>
  <r>
    <x v="3"/>
    <n v="1198"/>
    <n v="256"/>
    <n v="3773"/>
    <s v="(08/05) Enviado WhatsApp para Fabiana (amiga pessoal) com o objetivo de alinhar e agendar uma apresentação das nossas soluções."/>
    <s v=""/>
    <x v="668"/>
    <n v="20137275000189"/>
    <s v="VOLMED BRASIL EQUIPAMENTOS LTDA"/>
    <s v="Fabiana Voltatódio"/>
    <s v="(16) 3419-1794"/>
    <s v=""/>
    <s v="financeiro@volmed.com.br"/>
    <s v="Matriz"/>
    <s v=""/>
    <s v="RUA FRANCISCO CORREA BUENO 435"/>
    <s v="SAO CARLOS"/>
    <s v="SP"/>
    <s v=""/>
    <s v=""/>
    <s v=""/>
    <s v="TAG1SEM"/>
    <s v="Pipeline de Vendas"/>
    <s v="Agendamento (0%)"/>
    <s v=""/>
    <m/>
    <m/>
    <m/>
    <n v="0"/>
    <s v="Ronaldo Nascimento"/>
    <d v="2026-05-11T00:00:00"/>
    <d v="1899-12-30T09:33:58"/>
    <s v=""/>
    <s v="Perdido"/>
    <d v="2026-05-11T00:00:00"/>
    <d v="1899-12-30T09:35:54"/>
    <s v="Nossa solução não atende - falta funcionalidade"/>
    <s v="Em contato com Fabiana, foi informado que a empresa utiliza ferramentas específicas para o segmento (ERP e Força de Vendas), incluindo validações e exigências da Anvisa."/>
    <s v=""/>
    <x v="0"/>
    <s v=""/>
    <x v="0"/>
    <s v=""/>
    <m/>
    <n v="30"/>
    <s v=""/>
    <s v=""/>
    <s v=""/>
    <s v=""/>
    <n v="1"/>
  </r>
  <r>
    <x v="3"/>
    <n v="1199"/>
    <n v="283"/>
    <n v="3776"/>
    <s v="(08/05) Enviada mensagem via LinkedIn para Nádia (gestora comercial), com o objetivo de apresentar as soluções da Guarani Sistemas e alinhar um possível bate-papo comercial._x000a_(11/05) Nádia aceitou a conexão no LinkedIn. Enviada mensagem inicial apresentando as soluções da Guarani Sistemas."/>
    <s v=""/>
    <x v="669"/>
    <n v="88610191000154"/>
    <s v="MUNDIAL S.A. - PRODUTOS DE CONSUMO"/>
    <s v="Nádia C. da Silva"/>
    <s v="(51) 3358-5000"/>
    <s v=""/>
    <s v="lara.nunes@mundial.com"/>
    <s v="Matriz"/>
    <s v=""/>
    <s v="R DO PARAISO 148"/>
    <s v="SAO JOAO DE MERITI"/>
    <s v="RJ"/>
    <s v=""/>
    <s v=""/>
    <s v=""/>
    <s v="Dentro Perfil"/>
    <s v="Pipeline de Vendas"/>
    <s v="Qualificação de Vendas (SQL) (25%)"/>
    <s v=""/>
    <m/>
    <m/>
    <m/>
    <n v="9"/>
    <s v="Ronaldo Nascimento"/>
    <d v="2026-05-11T00:00:00"/>
    <d v="1899-12-30T10:28:33"/>
    <s v=""/>
    <s v="Ativo"/>
    <m/>
    <m/>
    <s v=""/>
    <s v=""/>
    <s v=""/>
    <x v="0"/>
    <s v=""/>
    <x v="0"/>
    <s v=""/>
    <m/>
    <n v="30"/>
    <s v=""/>
    <s v=""/>
    <s v=""/>
    <s v=""/>
    <n v="1"/>
  </r>
  <r>
    <x v="2"/>
    <n v="1200"/>
    <m/>
    <n v="3777"/>
    <s v=""/>
    <s v=""/>
    <x v="670"/>
    <n v="8821632000128"/>
    <s v=""/>
    <s v="LUCIANO CARBONARO DE OLIVEIRA"/>
    <s v=""/>
    <s v=""/>
    <s v=""/>
    <s v=""/>
    <s v=""/>
    <s v=""/>
    <s v=""/>
    <s v=""/>
    <s v="Campanha"/>
    <s v=""/>
    <s v=""/>
    <s v="Dentro Perfil;Instagram"/>
    <s v="Pipeline de Vendas"/>
    <s v="Qualificação de Vendas (SQL) (25%)"/>
    <s v=""/>
    <d v="2026-05-31T00:00:00"/>
    <m/>
    <m/>
    <n v="9"/>
    <s v="Paulo Souza"/>
    <d v="2026-05-11T00:00:00"/>
    <d v="1899-12-30T11:03:53"/>
    <s v=""/>
    <s v="Ativo"/>
    <m/>
    <m/>
    <s v=""/>
    <s v=""/>
    <s v=""/>
    <x v="0"/>
    <s v="Rayssa Karapeticov"/>
    <x v="0"/>
    <s v=""/>
    <d v="2026-05-13T00:00:00"/>
    <n v="30"/>
    <s v=""/>
    <s v=""/>
    <s v=""/>
    <s v=""/>
    <n v="1"/>
  </r>
  <r>
    <x v="1"/>
    <n v="1201"/>
    <m/>
    <n v="3771"/>
    <s v="(11/05/2026) tentativa de ligação porem o telefone esta bloqueado para chamadas _x000a_contato via WhatsApp_x000a_12:02, 11/05/2026 Junior Lopes: Olá Tone Oliveira, bom dia_x000a_12:02, 11/05/2026 Junior Lopes: sou Junior Lopes da Guarani sistemas_x000a_12:02, 11/05/2026 Junior Lopes: td bem ?_x000a_(14/05/2026) avançando com informações da solução ! direcionando para uma apresentação"/>
    <s v="N. K. Distribuidora Ltda"/>
    <x v="671"/>
    <n v="12084237000187"/>
    <s v=""/>
    <s v="NK Distribuidora De Cosmeticos"/>
    <s v="6699942807"/>
    <s v=""/>
    <s v="toneoliveira@hotmail.com"/>
    <s v=""/>
    <s v=""/>
    <s v=""/>
    <s v="RONDONOPOLIS"/>
    <s v="MT"/>
    <s v="Campanha"/>
    <s v=""/>
    <s v=""/>
    <s v="Dentro Perfil;Instagram"/>
    <s v="Pipeline de Vendas"/>
    <s v="Qualificação de Vendas (SQL) (25%)"/>
    <s v=""/>
    <d v="2026-05-31T00:00:00"/>
    <m/>
    <m/>
    <n v="9"/>
    <s v="Paulo Souza"/>
    <d v="2026-05-11T00:00:00"/>
    <d v="1899-12-30T11:18:41"/>
    <s v=""/>
    <s v="Ativo"/>
    <m/>
    <m/>
    <s v=""/>
    <s v=""/>
    <s v=""/>
    <x v="0"/>
    <s v="Junior Lopes"/>
    <x v="0"/>
    <s v=""/>
    <m/>
    <n v="30"/>
    <s v=""/>
    <s v=""/>
    <s v=""/>
    <s v=""/>
    <n v="1"/>
  </r>
  <r>
    <x v="3"/>
    <n v="1202"/>
    <n v="241"/>
    <n v="3779"/>
    <s v="(11/05) Em contato com Paula, foi informado que a empresa utiliza diferentes sistemas separados por departamento. Solicitou o envio de uma apresentação por e-mail para encaminhamento ao João. Atualmente, a empresa possui equipe de vendas interna e apenas um vendedor externo (João)."/>
    <s v=""/>
    <x v="672"/>
    <n v="6269527000100"/>
    <s v="LA ROCHA INDUSTRIA E COMERCIO DE FIBRAS MINERAIS LTDA"/>
    <s v="Paula Franzin"/>
    <s v="(01) 63911-7784"/>
    <s v=""/>
    <s v=""/>
    <s v="Matriz"/>
    <s v=""/>
    <s v="EST VICINAL VITO GAIA PUOLI, KM 2 + S/N"/>
    <s v="DESCALVADO"/>
    <s v="SP"/>
    <s v=""/>
    <s v=""/>
    <s v=""/>
    <s v="Dentro Perfil"/>
    <s v="Pipeline de Vendas"/>
    <s v="Qualificação de Vendas (SQL) (25%)"/>
    <s v=""/>
    <m/>
    <m/>
    <m/>
    <n v="9"/>
    <s v="Ronaldo Nascimento"/>
    <d v="2026-05-11T00:00:00"/>
    <d v="1899-12-30T11:23:29"/>
    <s v=""/>
    <s v="Ativo"/>
    <m/>
    <m/>
    <s v=""/>
    <s v=""/>
    <s v=""/>
    <x v="0"/>
    <s v=""/>
    <x v="0"/>
    <s v=""/>
    <m/>
    <n v="30"/>
    <s v=""/>
    <s v=""/>
    <s v=""/>
    <s v=""/>
    <n v="1"/>
  </r>
  <r>
    <x v="0"/>
    <n v="1203"/>
    <m/>
    <n v="3770"/>
    <s v=""/>
    <s v=""/>
    <x v="673"/>
    <n v="48579170000107"/>
    <s v=""/>
    <s v="Belapin ind com"/>
    <s v="11970330999"/>
    <s v=""/>
    <s v="junior@arcobello.com.br"/>
    <s v=""/>
    <s v=""/>
    <s v=""/>
    <s v=""/>
    <s v=""/>
    <s v="Campanha"/>
    <s v=""/>
    <s v=""/>
    <s v="Dentro Perfil;Instagram"/>
    <s v="Pipeline de Vendas"/>
    <s v="Qualificação de Vendas (SQL) (25%)"/>
    <s v=""/>
    <d v="2026-05-31T00:00:00"/>
    <m/>
    <m/>
    <n v="9"/>
    <s v="Paulo Souza"/>
    <d v="2026-05-11T00:00:00"/>
    <d v="1899-12-30T11:24:21"/>
    <s v=""/>
    <s v="Ativo"/>
    <m/>
    <m/>
    <s v=""/>
    <s v=""/>
    <s v=""/>
    <x v="0"/>
    <s v="Paulo Souza"/>
    <x v="0"/>
    <s v=""/>
    <m/>
    <n v="30"/>
    <s v=""/>
    <s v=""/>
    <s v=""/>
    <s v=""/>
    <n v="1"/>
  </r>
  <r>
    <x v="3"/>
    <n v="1204"/>
    <n v="231"/>
    <n v="3780"/>
    <s v="(11/05) Falei com Orlei (Compras), que indicou o Rodrigo, da área Comercial, como responsável para continuidade da conversa. Atualmente a empresa utiliza o sistema WBC, desenvolvido para o segmento, porém cada departamento trabalha com um sistema diferente._x000a_Comentou também que, há algum tempo, chegaram a conversar com a TOTVS sobre implantação de ERP, mas o projeto acabou não avançando devido à dificuldade relacionada à migração/estruturação dos dados._x000a_Realizei contato com o Rodrigo, porém a ligação caiu na caixa postal. Enviei mensagem via WhatsApp para tentar agendar um bate-papo."/>
    <s v=""/>
    <x v="674"/>
    <n v="490414000146"/>
    <s v="N S F INDUSTRIA E COMERCIO DE EQUIPAMENTOS PARA INSTALACOES COMERCIAIS LTDA"/>
    <s v="Antonio Marcos Real"/>
    <s v="(16) 3377-9700"/>
    <s v=""/>
    <s v="financeiro@nsf.ind.br"/>
    <s v="Matriz"/>
    <s v=""/>
    <s v="ROD WASHINGTON LUIZ S/N"/>
    <s v="SAO CARLOS"/>
    <s v="SP"/>
    <s v=""/>
    <s v=""/>
    <s v=""/>
    <s v="Dentro Perfil"/>
    <s v="Pipeline de Vendas"/>
    <s v="Qualificação de Vendas (SQL) (25%)"/>
    <s v=""/>
    <m/>
    <m/>
    <m/>
    <n v="9"/>
    <s v="Ronaldo Nascimento"/>
    <d v="2026-05-11T00:00:00"/>
    <d v="1899-12-30T14:29:08"/>
    <s v=""/>
    <s v="Ativo"/>
    <m/>
    <m/>
    <s v=""/>
    <s v=""/>
    <s v=""/>
    <x v="0"/>
    <s v=""/>
    <x v="0"/>
    <s v=""/>
    <m/>
    <n v="30"/>
    <s v=""/>
    <s v=""/>
    <s v=""/>
    <s v=""/>
    <n v="1"/>
  </r>
  <r>
    <x v="3"/>
    <n v="1205"/>
    <n v="252"/>
    <n v="3781"/>
    <s v="(08/05) Enviado WhatsApp para Lana (amiga pessoal), atualmente representante comercial da empresa, solicitando o contato do gestor comercial para possível apresentação das soluções._x000a_(11/05) Falei com a Lana. No momento, a empresa está concentrada na preparação para a Feira Hospitalar, que acontecerá entre os dias 19 e 22 de maio._x000a_Comentou que atualmente utilizam as soluções da Sectra para a área comercial (possivelmente ERP também). Sugeriu retomarmos o contato durante a feira ou após o evento para conversarmos com mais tranquilidade."/>
    <s v=""/>
    <x v="675"/>
    <n v="13459890000146"/>
    <s v="HORTRON INDUSTRIA E COMERCIO DE PRODUTOS ELETRONICOS LTDA"/>
    <s v="Willian Zanon"/>
    <s v="(16) 3419-0892"/>
    <s v=""/>
    <s v="hortron@hortron.com.br"/>
    <s v="Matriz"/>
    <s v=""/>
    <s v="AV GETULIO VARGAS 2831"/>
    <s v="SAO CARLOS"/>
    <s v="SP"/>
    <s v=""/>
    <s v=""/>
    <s v=""/>
    <s v="Dentro Perfil"/>
    <s v="Pipeline de Vendas"/>
    <s v="Qualificação de Vendas (SQL) (25%)"/>
    <s v=""/>
    <m/>
    <m/>
    <m/>
    <n v="9"/>
    <s v="Ronaldo Nascimento"/>
    <d v="2026-05-11T00:00:00"/>
    <d v="1899-12-30T14:44:21"/>
    <s v=""/>
    <s v="Ativo"/>
    <m/>
    <m/>
    <s v=""/>
    <s v=""/>
    <s v=""/>
    <x v="0"/>
    <s v=""/>
    <x v="0"/>
    <s v=""/>
    <m/>
    <n v="30"/>
    <s v=""/>
    <s v=""/>
    <s v=""/>
    <s v=""/>
    <n v="1"/>
  </r>
  <r>
    <x v="3"/>
    <n v="1206"/>
    <n v="226"/>
    <n v="3782"/>
    <s v="(11/05) Falei com Denise (contato pessoal da área de RH). Apresentei brevemente a Guarani Sistemas e algumas das soluções que oferecemos, principalmente na área comercial. Solicitei o contato do gestor/com responsável pela área comercial para apresentar nossa solução de vendas. Aguardando retorno._x000a_(12/05) Falei com a Denise, que me passou o contato (e-mail) do Farid, Gestor Comercial da Hece Máquinas. Denise comentou que a empresa atualmente trabalha com um ERP próprio. Enviado e-mail a fim de agendarmos um bate-papo."/>
    <s v=""/>
    <x v="676"/>
    <n v="59602144000160"/>
    <s v="HECE MAQUINAS LTDA"/>
    <s v="Denise Rodrigues Ferreira"/>
    <s v="(16) 98198-8289"/>
    <s v="16981988289"/>
    <s v="rh@hece.com.br"/>
    <s v="Matriz"/>
    <s v=""/>
    <s v="R JOAO ABDELNUR 99"/>
    <s v="SAO CARLOS"/>
    <s v="SP"/>
    <s v=""/>
    <s v=""/>
    <s v=""/>
    <s v="Dentro Perfil"/>
    <s v="Pipeline de Vendas"/>
    <s v="Qualificação de Vendas (SQL) (25%)"/>
    <s v=""/>
    <m/>
    <m/>
    <m/>
    <n v="9"/>
    <s v="Ronaldo Nascimento"/>
    <d v="2026-05-11T00:00:00"/>
    <d v="1899-12-30T14:54:52"/>
    <s v=""/>
    <s v="Ativo"/>
    <m/>
    <m/>
    <s v=""/>
    <s v=""/>
    <s v=""/>
    <x v="0"/>
    <s v=""/>
    <x v="0"/>
    <s v=""/>
    <d v="2026-05-12T00:00:00"/>
    <n v="30"/>
    <s v=""/>
    <s v=""/>
    <s v=""/>
    <s v=""/>
    <n v="1"/>
  </r>
  <r>
    <x v="3"/>
    <n v="1208"/>
    <n v="255"/>
    <n v="3788"/>
    <s v="(11/05) Enviado msg para Nathalia a fim de agendarmos um bate-papo._x000a_(12/05) Falei com a Nathalia, que me passou o contato (e-mail) da Vanessa, Gerente Comercial da Setormed. Enviado e-mail a fim de agendarmos um bate-papo."/>
    <s v=""/>
    <x v="677"/>
    <n v="13533397000129"/>
    <s v="SETORMED INDUSTRIA E COMERCIO DE EQUIPAMENTOS MEDICOS E ODONTOLOGICOS S.A."/>
    <s v="Nathalia C. S. Santos"/>
    <s v="(16) 34165-3681"/>
    <s v=""/>
    <s v="setormed@setormed.com.br"/>
    <s v="Matriz"/>
    <s v=""/>
    <s v="RUA ARTHUR RODRIGUES DE CASTRO 150"/>
    <s v="SAO CARLOS"/>
    <s v="SP"/>
    <s v=""/>
    <s v=""/>
    <s v=""/>
    <s v="Dentro Perfil"/>
    <s v="Pipeline de Vendas"/>
    <s v="Qualificação de Vendas (SQL) (25%)"/>
    <s v=""/>
    <m/>
    <m/>
    <m/>
    <n v="8"/>
    <s v="Ronaldo Nascimento"/>
    <d v="2026-05-12T00:00:00"/>
    <d v="1899-12-30T11:50:46"/>
    <s v=""/>
    <s v="Ativo"/>
    <m/>
    <m/>
    <s v=""/>
    <s v=""/>
    <s v=""/>
    <x v="0"/>
    <s v=""/>
    <x v="0"/>
    <s v=""/>
    <m/>
    <n v="30"/>
    <s v=""/>
    <s v=""/>
    <s v=""/>
    <s v=""/>
    <n v="1"/>
  </r>
  <r>
    <x v="2"/>
    <n v="1209"/>
    <m/>
    <n v="3786"/>
    <s v="Todos os dados preenchidos:_x000a_empresa: Casa Bonitta _x000a_name: NATALIA GABRIELA DAMACENO MOTA _x000a_cargo: Proprietária _x000a_whatsapp: 11996672094 _x000a_email: naty-gabriela@hotmail.com _x000a_referrer: https://www.guaranisistemas.com.br/"/>
    <s v=""/>
    <x v="678"/>
    <n v="36621794000158"/>
    <s v=""/>
    <s v="NATALIA GABRIELA DAMACENO MOTA"/>
    <s v="(11) 4292-3358"/>
    <s v=""/>
    <s v="naty-gabriela@hotmail.com"/>
    <s v=""/>
    <s v=""/>
    <s v=""/>
    <s v="SUZANO"/>
    <s v="SP"/>
    <s v="Inbound"/>
    <s v=""/>
    <s v=""/>
    <s v="Perfil Indefinido"/>
    <s v="Pipeline de Vendas"/>
    <s v="Apresentar Solução (35%)"/>
    <s v=""/>
    <d v="2026-05-31T00:00:00"/>
    <m/>
    <m/>
    <n v="8"/>
    <s v="Paulo Souza"/>
    <d v="2026-05-12T00:00:00"/>
    <d v="1899-12-30T15:18:03"/>
    <s v=""/>
    <s v="Ativo"/>
    <m/>
    <m/>
    <s v=""/>
    <s v=""/>
    <s v=""/>
    <x v="0"/>
    <s v="Rayssa Karapeticov"/>
    <x v="0"/>
    <s v=""/>
    <d v="2026-05-19T00:00:00"/>
    <n v="30"/>
    <s v=""/>
    <s v=""/>
    <s v=""/>
    <s v=""/>
    <n v="1"/>
  </r>
  <r>
    <x v="3"/>
    <n v="1212"/>
    <n v="291"/>
    <n v="3801"/>
    <s v=""/>
    <s v=""/>
    <x v="679"/>
    <n v="17188274000159"/>
    <s v="UTILIMIX INDUSTRIA E COMERCIO LTDA"/>
    <s v="Bruno"/>
    <s v="(11) 91010-4191"/>
    <s v=""/>
    <s v="utilimix@bol.com.br"/>
    <s v="Matriz"/>
    <s v=""/>
    <s v="RUA ESTADO DE PERNAMBUCO 93"/>
    <s v="SAO PAULO"/>
    <s v="SP"/>
    <s v=""/>
    <s v=""/>
    <s v=""/>
    <s v="Dentro Perfil"/>
    <s v="Pipeline de Vendas"/>
    <s v="Apresentar Solução (35%)"/>
    <s v=""/>
    <m/>
    <m/>
    <m/>
    <n v="5"/>
    <s v="Ronaldo Nascimento"/>
    <d v="2026-05-13T00:00:00"/>
    <d v="1899-12-30T14:07:38"/>
    <s v=""/>
    <s v="Perdido"/>
    <d v="2026-05-18T00:00:00"/>
    <d v="1899-12-30T09:10:54"/>
    <s v="Fora do porte mínimo (sem fit estrutural)"/>
    <s v="Bruno gostou bastante da solução, porém, no momento a estrutura da empresa ainda é pequena para utilização das nossas ferramentas. Deixei meu contato à disposição para, futuramente, caso a empresa cresça ou o perfil da operação mude, avaliarmos uma solução mais robusta."/>
    <s v=""/>
    <x v="0"/>
    <s v=""/>
    <x v="0"/>
    <s v=""/>
    <d v="2026-05-15T00:00:00"/>
    <n v="40"/>
    <s v=""/>
    <s v=""/>
    <s v=""/>
    <s v=""/>
    <n v="1"/>
  </r>
  <r>
    <x v="1"/>
    <n v="1213"/>
    <m/>
    <n v="3802"/>
    <s v="Olá Alexandre boa tarde ! Aqui é Junior Lopes da Guarani sistemas, Td bem ?_x000a_Estou retornando contato que vc fez conosco referente as nossas soluções de ERP e soluções de força de vendas_x000a_Olá Alexandre, bom dia_x000a_Bom dia_x000a_Mandei mensagem para saber sobre valor do sistema e como funciona_x000a_Ok_x000a_Pode deixar_x000a_Não tenho interesse"/>
    <s v="Analu Parafusos Ltda"/>
    <x v="680"/>
    <n v="26991643000138"/>
    <s v=""/>
    <s v="Alexandre"/>
    <s v="17981238345"/>
    <s v=""/>
    <s v="analuparafusos@gmail.com"/>
    <s v=""/>
    <s v=""/>
    <s v=""/>
    <s v="CAMPO GRANDE"/>
    <s v="MS"/>
    <s v="Campanha"/>
    <s v=""/>
    <s v=""/>
    <s v="Dentro Perfil;Instagram"/>
    <s v="Pipeline de Vendas"/>
    <s v="Qualificação de Vendas (SQL) (25%)"/>
    <s v=""/>
    <d v="2026-05-31T00:00:00"/>
    <m/>
    <m/>
    <n v="1"/>
    <s v="Paulo Souza"/>
    <d v="2026-05-13T00:00:00"/>
    <d v="1899-12-30T17:48:05"/>
    <s v=""/>
    <s v="Perdido"/>
    <d v="2026-05-14T00:00:00"/>
    <d v="1899-12-30T11:26:14"/>
    <s v="Cliente não quer contato LGPD"/>
    <s v="Olá Alexandre boa tarde ! Aqui é Junior Lopes da Guarani sistemas, Td bem ?_x000a_Estou retornando contato que vc fez conosco referente as nossas soluções de ERP e soluções de força de vendas_x000a_Olá Alexandre, bom dia_x000a_Bom dia_x000a_Mandei mensagem para saber sobre valor do sistema e como funciona_x000a_Ok_x000a_Pode deixar_x000a_Não tenho interesse"/>
    <s v=""/>
    <x v="0"/>
    <s v="Junior Lopes"/>
    <x v="0"/>
    <s v=""/>
    <d v="2026-05-14T00:00:00"/>
    <n v="30"/>
    <s v=""/>
    <s v=""/>
    <s v=""/>
    <s v=""/>
    <n v="1"/>
  </r>
  <r>
    <x v="2"/>
    <n v="1214"/>
    <m/>
    <n v="3804"/>
    <s v=""/>
    <s v=""/>
    <x v="681"/>
    <n v="68044700000111"/>
    <s v=""/>
    <s v="Belapin Industria E Comercio De Alimenticios Ltda"/>
    <s v="(011) 2726-761"/>
    <s v=""/>
    <s v="null"/>
    <s v=""/>
    <s v=""/>
    <s v=""/>
    <s v="SAO PAULO"/>
    <s v="SP"/>
    <s v="Base de empresas Leads2b"/>
    <s v=""/>
    <s v=""/>
    <s v=""/>
    <s v="Pipeline de Vendas"/>
    <s v="Qualificação de Vendas (SQL) (25%)"/>
    <s v=""/>
    <m/>
    <m/>
    <m/>
    <n v="7"/>
    <s v="Rayssa Karapeticov"/>
    <d v="2026-05-13T00:00:00"/>
    <d v="1899-12-30T18:21:57"/>
    <s v=""/>
    <s v="Ativo"/>
    <m/>
    <m/>
    <s v=""/>
    <s v=""/>
    <s v=""/>
    <x v="0"/>
    <s v=""/>
    <x v="0"/>
    <s v=""/>
    <m/>
    <m/>
    <s v=""/>
    <s v=""/>
    <s v=""/>
    <s v=""/>
    <n v="1"/>
  </r>
  <r>
    <x v="1"/>
    <n v="1215"/>
    <m/>
    <n v="3807"/>
    <s v=""/>
    <s v=""/>
    <x v="682"/>
    <m/>
    <s v=""/>
    <s v="Istok comercio importação (Cloud)"/>
    <s v="1123617746"/>
    <s v=""/>
    <s v="diogo.contabilidade@yahoo.com.br"/>
    <s v=""/>
    <s v=""/>
    <s v=""/>
    <s v=""/>
    <s v=""/>
    <s v=""/>
    <s v=""/>
    <s v=""/>
    <s v=""/>
    <s v="Pipeline de Vendas"/>
    <s v="Em Fechamento (100%)"/>
    <s v=""/>
    <m/>
    <n v="0"/>
    <n v="2400"/>
    <n v="5"/>
    <s v="Junior Lopes"/>
    <d v="2026-05-14T00:00:00"/>
    <d v="1899-12-30T08:46:38"/>
    <s v=""/>
    <s v="Ganho"/>
    <d v="2026-05-19T00:00:00"/>
    <d v="1899-12-30T14:27:54"/>
    <s v=""/>
    <s v=""/>
    <s v=""/>
    <x v="215"/>
    <s v=""/>
    <x v="235"/>
    <s v="12/05/2026"/>
    <m/>
    <n v="90"/>
    <s v=""/>
    <s v=""/>
    <s v=""/>
    <s v=""/>
    <n v="1"/>
  </r>
  <r>
    <x v="3"/>
    <n v="1216"/>
    <n v="289"/>
    <n v="3812"/>
    <s v="(13/05) Conversei com Joel, vendedor da Newlar. Atualmente, eles não possuem sistema de força de vendas via celular, realizando os pedidos de forma online._x000a_Joel me passou o contato do Edinho, gestor comercial. Enviei mensagem com o objetivo de agendarmos uma apresentação da solução._x000a_(14/05) Em ligação, Tatiana (financeiro) informou que a empresa utiliza o ERP Sankhya há cerca de 4 anos. Atualmente não possuem equipe de vendas externa, e o site é utilizado apenas para demonstração dos produtos/pedidos._x000a_Solicitou uma apresentação inicial por e-mail e também deixou o WhatsApp (11 97334-5254) para um novo contato, a fim de apresentarmos nossas soluções._x000a_Comentou ainda que considera a mensalidade atual do ERP elevada."/>
    <s v=""/>
    <x v="683"/>
    <n v="3717565000182"/>
    <s v="NEWLAR DISTRIBUIDORA DE UTILIDADES DOMESTICAS LTDA"/>
    <s v="Edinho"/>
    <s v="(11) 96123-5967"/>
    <s v="11961235967"/>
    <s v="newlar@newlar.com.br"/>
    <s v="Matriz"/>
    <s v=""/>
    <s v="AV VAUTIER 649"/>
    <s v="SAO PAULO"/>
    <s v="SP"/>
    <s v=""/>
    <s v=""/>
    <s v=""/>
    <s v="Dentro Perfil"/>
    <s v="Pipeline de Vendas"/>
    <s v="Qualificação de Vendas (SQL) (25%)"/>
    <s v=""/>
    <m/>
    <m/>
    <m/>
    <n v="6"/>
    <s v="Ronaldo Nascimento"/>
    <d v="2026-05-14T00:00:00"/>
    <d v="1899-12-30T11:56:50"/>
    <s v=""/>
    <s v="Ativo"/>
    <m/>
    <m/>
    <s v=""/>
    <s v=""/>
    <s v=""/>
    <x v="0"/>
    <s v=""/>
    <x v="0"/>
    <s v=""/>
    <m/>
    <n v="30"/>
    <s v=""/>
    <s v=""/>
    <s v=""/>
    <s v=""/>
    <n v="1"/>
  </r>
  <r>
    <x v="2"/>
    <n v="1217"/>
    <m/>
    <n v="3814"/>
    <s v=""/>
    <s v=""/>
    <x v="684"/>
    <n v="11587676000140"/>
    <s v=""/>
    <s v="Gifran Industria De Artigos Texteis Ltda"/>
    <s v="(24) 2255-5069"/>
    <s v=""/>
    <s v="comercial@gifran.com.br"/>
    <s v=""/>
    <s v=""/>
    <s v=""/>
    <s v="TRES RIOS"/>
    <s v="RJ"/>
    <s v="Base de empresas Leads2b"/>
    <s v=""/>
    <s v=""/>
    <s v=""/>
    <s v="Pipeline de Vendas"/>
    <s v="Qualificação de Vendas (SQL) (25%)"/>
    <s v=""/>
    <m/>
    <m/>
    <m/>
    <n v="6"/>
    <s v="Rayssa Karapeticov"/>
    <d v="2026-05-14T00:00:00"/>
    <d v="1899-12-30T14:46:19"/>
    <s v=""/>
    <s v="Ativo"/>
    <m/>
    <m/>
    <s v=""/>
    <s v=""/>
    <s v=""/>
    <x v="0"/>
    <s v=""/>
    <x v="0"/>
    <s v=""/>
    <d v="2026-05-14T00:00:00"/>
    <n v="30"/>
    <s v=""/>
    <s v=""/>
    <s v=""/>
    <s v=""/>
    <n v="1"/>
  </r>
  <r>
    <x v="2"/>
    <n v="1218"/>
    <m/>
    <n v="3817"/>
    <s v=""/>
    <s v=""/>
    <x v="685"/>
    <n v="3640671000105"/>
    <s v=""/>
    <s v="Plasnew Utilidades Domesticas Ltda."/>
    <s v="(19) 3852-9000"/>
    <s v=""/>
    <s v="plasnew@plasnew.ind.br"/>
    <s v=""/>
    <s v=""/>
    <s v=""/>
    <s v="PEDREIRA"/>
    <s v="SP"/>
    <s v="Base de empresas Leads2b"/>
    <s v=""/>
    <s v=""/>
    <s v=""/>
    <s v="Pipeline de Vendas"/>
    <s v="Qualificação de Vendas (SQL) (25%)"/>
    <s v=""/>
    <m/>
    <m/>
    <m/>
    <n v="6"/>
    <s v="Rayssa Karapeticov"/>
    <d v="2026-05-14T00:00:00"/>
    <d v="1899-12-30T14:49:03"/>
    <s v=""/>
    <s v="Ativo"/>
    <m/>
    <m/>
    <s v=""/>
    <s v=""/>
    <s v=""/>
    <x v="0"/>
    <s v=""/>
    <x v="0"/>
    <s v=""/>
    <m/>
    <m/>
    <s v=""/>
    <s v=""/>
    <s v=""/>
    <s v=""/>
    <n v="1"/>
  </r>
  <r>
    <x v="2"/>
    <n v="1219"/>
    <m/>
    <n v="3820"/>
    <s v=""/>
    <s v=""/>
    <x v="686"/>
    <n v="14892407000185"/>
    <s v=""/>
    <s v="Ambiente Verde Industria Ltda"/>
    <s v="(51) 3541-7491"/>
    <s v=""/>
    <s v="ambienteverde@ambienteverde.ind.br"/>
    <s v=""/>
    <s v=""/>
    <s v=""/>
    <s v="IGREJINHA"/>
    <s v="RS"/>
    <s v="Base de empresas Leads2b"/>
    <s v=""/>
    <s v=""/>
    <s v=""/>
    <s v="Pipeline de Vendas"/>
    <s v="Qualificação de Vendas (SQL) (25%)"/>
    <s v=""/>
    <m/>
    <m/>
    <m/>
    <n v="6"/>
    <s v="Rayssa Karapeticov"/>
    <d v="2026-05-14T00:00:00"/>
    <d v="1899-12-30T14:49:45"/>
    <s v=""/>
    <s v="Ativo"/>
    <m/>
    <m/>
    <s v=""/>
    <s v=""/>
    <s v=""/>
    <x v="0"/>
    <s v=""/>
    <x v="0"/>
    <s v=""/>
    <m/>
    <m/>
    <s v=""/>
    <s v=""/>
    <s v=""/>
    <s v=""/>
    <n v="1"/>
  </r>
  <r>
    <x v="1"/>
    <n v="1220"/>
    <m/>
    <n v="3824"/>
    <s v=""/>
    <s v=""/>
    <x v="687"/>
    <m/>
    <s v=""/>
    <s v="Baag - Horas"/>
    <s v="75981337574"/>
    <s v=""/>
    <s v="cleber@baag.com.br"/>
    <s v=""/>
    <s v=""/>
    <s v=""/>
    <s v=""/>
    <s v=""/>
    <s v=""/>
    <s v=""/>
    <s v=""/>
    <s v=""/>
    <s v="Pipeline de Vendas"/>
    <s v="Em negociação (75%)"/>
    <s v=""/>
    <m/>
    <n v="25228"/>
    <n v="0"/>
    <n v="6"/>
    <s v="Junior Lopes"/>
    <d v="2026-05-14T00:00:00"/>
    <d v="1899-12-30T14:51:10"/>
    <s v=""/>
    <s v="Ativo"/>
    <m/>
    <m/>
    <s v=""/>
    <s v=""/>
    <s v=""/>
    <x v="212"/>
    <s v=""/>
    <x v="0"/>
    <s v=""/>
    <m/>
    <n v="50"/>
    <s v=""/>
    <s v=""/>
    <s v=""/>
    <s v=""/>
    <n v="1"/>
  </r>
  <r>
    <x v="2"/>
    <n v="1221"/>
    <m/>
    <n v="3826"/>
    <s v=""/>
    <s v=""/>
    <x v="688"/>
    <n v="79846465000207"/>
    <s v=""/>
    <s v="Goedert Ltda"/>
    <s v="(48) 3205-2140"/>
    <s v=""/>
    <s v="administracao@goedert.com.br"/>
    <s v=""/>
    <s v=""/>
    <s v=""/>
    <s v="PALHOCA"/>
    <s v="SC"/>
    <s v="Base de empresas Leads2b"/>
    <s v=""/>
    <s v=""/>
    <s v=""/>
    <s v="Pipeline de Vendas"/>
    <s v="Qualificação de Vendas (SQL) (25%)"/>
    <s v=""/>
    <m/>
    <m/>
    <m/>
    <n v="6"/>
    <s v="Rayssa Karapeticov"/>
    <d v="2026-05-14T00:00:00"/>
    <d v="1899-12-30T15:23:21"/>
    <s v=""/>
    <s v="Ativo"/>
    <m/>
    <m/>
    <s v=""/>
    <s v=""/>
    <s v=""/>
    <x v="0"/>
    <s v=""/>
    <x v="0"/>
    <s v=""/>
    <m/>
    <m/>
    <s v=""/>
    <s v=""/>
    <s v=""/>
    <s v=""/>
    <n v="1"/>
  </r>
  <r>
    <x v="2"/>
    <n v="1222"/>
    <m/>
    <n v="3827"/>
    <s v=""/>
    <s v=""/>
    <x v="89"/>
    <n v="5670513000123"/>
    <s v=""/>
    <s v="Jlk Industria E Comercio De Plasticos Ltda"/>
    <s v="(11) 2243-0117"/>
    <s v=""/>
    <s v="jlk@jlkplasticos.com.br"/>
    <s v=""/>
    <s v=""/>
    <s v=""/>
    <s v="SAO PAULO"/>
    <s v="SP"/>
    <s v="Base de empresas Leads2b"/>
    <s v=""/>
    <s v=""/>
    <s v=""/>
    <s v="Pipeline de Vendas"/>
    <s v="Agendamento (0%)"/>
    <s v=""/>
    <m/>
    <m/>
    <m/>
    <n v="6"/>
    <s v="Rayssa Karapeticov"/>
    <d v="2026-05-14T00:00:00"/>
    <d v="1899-12-30T15:24:59"/>
    <s v=""/>
    <s v="Ativo"/>
    <m/>
    <m/>
    <s v=""/>
    <s v=""/>
    <s v=""/>
    <x v="0"/>
    <s v=""/>
    <x v="0"/>
    <s v=""/>
    <m/>
    <m/>
    <s v=""/>
    <s v=""/>
    <s v=""/>
    <s v=""/>
    <n v="1"/>
  </r>
  <r>
    <x v="2"/>
    <n v="1223"/>
    <m/>
    <n v="3830"/>
    <s v=""/>
    <s v=""/>
    <x v="689"/>
    <n v="29946937000136"/>
    <s v=""/>
    <s v="Mercapet Comercio De Acessorios Para Animais Ltda"/>
    <s v="(11) 7162-4141"/>
    <s v=""/>
    <s v="marcosmercapet@gmail.com"/>
    <s v=""/>
    <s v=""/>
    <s v=""/>
    <s v="ITAQUAQUECETUBA"/>
    <s v="SP"/>
    <s v="Base de empresas Leads2b"/>
    <s v=""/>
    <s v=""/>
    <s v=""/>
    <s v="Pipeline de Vendas"/>
    <s v="Agendamento (0%)"/>
    <s v=""/>
    <m/>
    <m/>
    <m/>
    <n v="6"/>
    <s v="Rayssa Karapeticov"/>
    <d v="2026-05-14T00:00:00"/>
    <d v="1899-12-30T15:29:49"/>
    <s v=""/>
    <s v="Ativo"/>
    <m/>
    <m/>
    <s v=""/>
    <s v=""/>
    <s v=""/>
    <x v="0"/>
    <s v=""/>
    <x v="0"/>
    <s v=""/>
    <m/>
    <m/>
    <s v=""/>
    <s v=""/>
    <s v=""/>
    <s v=""/>
    <n v="1"/>
  </r>
  <r>
    <x v="2"/>
    <n v="1224"/>
    <m/>
    <n v="3832"/>
    <s v=""/>
    <s v=""/>
    <x v="690"/>
    <n v="90406117000162"/>
    <s v=""/>
    <s v="Future Industria Metalurgica Ltda"/>
    <s v="(54) 3535-8700"/>
    <s v=""/>
    <s v="future@futureutilidades.com.br"/>
    <s v=""/>
    <s v=""/>
    <s v=""/>
    <s v="CAXIAS DO SUL"/>
    <s v="RS"/>
    <s v="Base de empresas Leads2b"/>
    <s v=""/>
    <s v=""/>
    <s v=""/>
    <s v="Pipeline de Vendas"/>
    <s v="Agendamento (0%)"/>
    <s v=""/>
    <m/>
    <m/>
    <m/>
    <n v="6"/>
    <s v="Rayssa Karapeticov"/>
    <d v="2026-05-14T00:00:00"/>
    <d v="1899-12-30T15:31:13"/>
    <s v=""/>
    <s v="Ativo"/>
    <m/>
    <m/>
    <s v=""/>
    <s v=""/>
    <s v=""/>
    <x v="0"/>
    <s v=""/>
    <x v="0"/>
    <s v=""/>
    <m/>
    <m/>
    <s v=""/>
    <s v=""/>
    <s v=""/>
    <s v=""/>
    <n v="1"/>
  </r>
  <r>
    <x v="2"/>
    <n v="1225"/>
    <m/>
    <n v="3835"/>
    <s v=""/>
    <s v=""/>
    <x v="691"/>
    <n v="5020996000110"/>
    <s v=""/>
    <s v="Primavera Industria De Vassouras E Escovas Ltda"/>
    <s v="(54) 3344-1438"/>
    <s v=""/>
    <s v="primavera@primavera.ind.br"/>
    <s v=""/>
    <s v=""/>
    <s v=""/>
    <s v="TAPEJARA"/>
    <s v="RS"/>
    <s v="Base de empresas Leads2b"/>
    <s v=""/>
    <s v=""/>
    <s v=""/>
    <s v="Pipeline de Vendas"/>
    <s v="Agendamento (0%)"/>
    <s v=""/>
    <m/>
    <m/>
    <m/>
    <n v="6"/>
    <s v="Rayssa Karapeticov"/>
    <d v="2026-05-14T00:00:00"/>
    <d v="1899-12-30T15:32:28"/>
    <s v=""/>
    <s v="Ativo"/>
    <m/>
    <m/>
    <s v=""/>
    <s v=""/>
    <s v=""/>
    <x v="0"/>
    <s v=""/>
    <x v="0"/>
    <s v=""/>
    <m/>
    <m/>
    <s v=""/>
    <s v=""/>
    <s v=""/>
    <s v=""/>
    <n v="1"/>
  </r>
  <r>
    <x v="2"/>
    <n v="1226"/>
    <m/>
    <n v="3838"/>
    <s v=""/>
    <s v=""/>
    <x v="692"/>
    <n v="30365926000141"/>
    <s v=""/>
    <s v="Esponjas Evol Clean Ltda"/>
    <s v="(44) 3629-5720"/>
    <s v=""/>
    <s v="esponjasevolclean@gmail.com"/>
    <s v=""/>
    <s v=""/>
    <s v=""/>
    <s v="CIANORTE"/>
    <s v="PR"/>
    <s v="Base de empresas Leads2b"/>
    <s v=""/>
    <s v=""/>
    <s v=""/>
    <s v="Pipeline de Vendas"/>
    <s v="Agendamento (0%)"/>
    <s v=""/>
    <m/>
    <m/>
    <m/>
    <n v="6"/>
    <s v="Rayssa Karapeticov"/>
    <d v="2026-05-14T00:00:00"/>
    <d v="1899-12-30T15:33:49"/>
    <s v=""/>
    <s v="Ativo"/>
    <m/>
    <m/>
    <s v=""/>
    <s v=""/>
    <s v=""/>
    <x v="0"/>
    <s v=""/>
    <x v="0"/>
    <s v=""/>
    <m/>
    <m/>
    <s v=""/>
    <s v=""/>
    <s v=""/>
    <s v=""/>
    <n v="1"/>
  </r>
  <r>
    <x v="2"/>
    <n v="1227"/>
    <m/>
    <n v="3840"/>
    <s v=""/>
    <s v=""/>
    <x v="693"/>
    <n v="1355480000176"/>
    <s v=""/>
    <s v="Uninjet Industria E Comercio De Plasticos Ltda"/>
    <s v="(11) 2521-3011"/>
    <s v=""/>
    <s v="a.garcia@uninjet.com.br"/>
    <s v=""/>
    <s v=""/>
    <s v=""/>
    <s v="SAO PAULO"/>
    <s v="SP"/>
    <s v="Base de empresas Leads2b"/>
    <s v=""/>
    <s v=""/>
    <s v=""/>
    <s v="Pipeline de Vendas"/>
    <s v="Agendamento (0%)"/>
    <s v=""/>
    <m/>
    <m/>
    <m/>
    <n v="6"/>
    <s v="Rayssa Karapeticov"/>
    <d v="2026-05-14T00:00:00"/>
    <d v="1899-12-30T15:34:25"/>
    <s v=""/>
    <s v="Ativo"/>
    <m/>
    <m/>
    <s v=""/>
    <s v=""/>
    <s v=""/>
    <x v="0"/>
    <s v=""/>
    <x v="0"/>
    <s v=""/>
    <m/>
    <m/>
    <s v=""/>
    <s v=""/>
    <s v=""/>
    <s v=""/>
    <n v="1"/>
  </r>
  <r>
    <x v="2"/>
    <n v="1228"/>
    <m/>
    <n v="3877"/>
    <s v=""/>
    <s v=""/>
    <x v="694"/>
    <n v="3959052000188"/>
    <s v=""/>
    <s v="Gioplast Industria E Comercio Ltda"/>
    <s v="(11) 3132-9192"/>
    <s v=""/>
    <s v="contato@produtosgiotto.com.br"/>
    <s v=""/>
    <s v=""/>
    <s v=""/>
    <s v="NAZARE PAULISTA"/>
    <s v="SP"/>
    <s v="Base de empresas Leads2b"/>
    <s v=""/>
    <s v=""/>
    <s v=""/>
    <s v="Pipeline de Vendas"/>
    <s v="Agendamento (0%)"/>
    <s v=""/>
    <m/>
    <m/>
    <m/>
    <n v="6"/>
    <s v="Rayssa Karapeticov"/>
    <d v="2026-05-14T00:00:00"/>
    <d v="1899-12-30T15:51:54"/>
    <s v=""/>
    <s v="Ativo"/>
    <m/>
    <m/>
    <s v=""/>
    <s v=""/>
    <s v=""/>
    <x v="0"/>
    <s v=""/>
    <x v="0"/>
    <s v=""/>
    <m/>
    <m/>
    <s v=""/>
    <s v=""/>
    <s v=""/>
    <s v=""/>
    <n v="1"/>
  </r>
  <r>
    <x v="2"/>
    <n v="1229"/>
    <m/>
    <n v="3881"/>
    <s v=""/>
    <s v=""/>
    <x v="695"/>
    <n v="9149833000193"/>
    <s v=""/>
    <s v="Neoplas Industria E Comercio De Plasticos Ltda"/>
    <s v="(47) 3438-6970"/>
    <s v=""/>
    <s v="neoplas@neoplas.com.br"/>
    <s v=""/>
    <s v=""/>
    <s v=""/>
    <s v="JOINVILLE"/>
    <s v="SC"/>
    <s v="Base de empresas Leads2b"/>
    <s v=""/>
    <s v=""/>
    <s v=""/>
    <s v="Pipeline de Vendas"/>
    <s v="Agendamento (0%)"/>
    <s v=""/>
    <m/>
    <m/>
    <m/>
    <n v="6"/>
    <s v="Rayssa Karapeticov"/>
    <d v="2026-05-14T00:00:00"/>
    <d v="1899-12-30T15:52:32"/>
    <s v=""/>
    <s v="Ativo"/>
    <m/>
    <m/>
    <s v=""/>
    <s v=""/>
    <s v=""/>
    <x v="0"/>
    <s v=""/>
    <x v="0"/>
    <s v=""/>
    <m/>
    <m/>
    <s v=""/>
    <s v=""/>
    <s v=""/>
    <s v=""/>
    <n v="1"/>
  </r>
  <r>
    <x v="2"/>
    <n v="1230"/>
    <m/>
    <n v="3892"/>
    <s v=""/>
    <s v=""/>
    <x v="696"/>
    <n v="8696119000314"/>
    <s v=""/>
    <s v="Mix Sao Paulo Industria E Comercio Ltda"/>
    <s v="(11) 3013-1300"/>
    <s v=""/>
    <s v="contato@plastco.com.br"/>
    <s v=""/>
    <s v=""/>
    <s v=""/>
    <s v="SAO PAULO"/>
    <s v="SP"/>
    <s v="Base de empresas Leads2b"/>
    <s v=""/>
    <s v=""/>
    <s v=""/>
    <s v="Pipeline de Vendas"/>
    <s v="Agendamento (0%)"/>
    <s v=""/>
    <m/>
    <m/>
    <m/>
    <n v="6"/>
    <s v="Rayssa Karapeticov"/>
    <d v="2026-05-14T00:00:00"/>
    <d v="1899-12-30T16:06:06"/>
    <s v=""/>
    <s v="Ativo"/>
    <m/>
    <m/>
    <s v=""/>
    <s v=""/>
    <s v=""/>
    <x v="0"/>
    <s v=""/>
    <x v="0"/>
    <s v=""/>
    <m/>
    <m/>
    <s v=""/>
    <s v=""/>
    <s v=""/>
    <s v=""/>
    <n v="1"/>
  </r>
  <r>
    <x v="2"/>
    <n v="1231"/>
    <m/>
    <n v="3895"/>
    <s v=""/>
    <s v=""/>
    <x v="697"/>
    <n v="8266046000169"/>
    <s v=""/>
    <s v="Forfest Industria De Descartaveis Ltda"/>
    <s v="(48) 3466-2961"/>
    <s v=""/>
    <s v="atendimento@forfest.com.br"/>
    <s v=""/>
    <s v=""/>
    <s v=""/>
    <s v="ORLEANS"/>
    <s v="SC"/>
    <s v="Base de empresas Leads2b"/>
    <s v=""/>
    <s v=""/>
    <s v=""/>
    <s v="Pipeline de Vendas"/>
    <s v="Qualificação de Vendas (SQL) (25%)"/>
    <s v=""/>
    <m/>
    <m/>
    <m/>
    <n v="6"/>
    <s v="Rayssa Karapeticov"/>
    <d v="2026-05-14T00:00:00"/>
    <d v="1899-12-30T16:13:45"/>
    <s v=""/>
    <s v="Ativo"/>
    <m/>
    <m/>
    <s v=""/>
    <s v=""/>
    <s v=""/>
    <x v="0"/>
    <s v=""/>
    <x v="0"/>
    <s v=""/>
    <m/>
    <m/>
    <s v=""/>
    <s v=""/>
    <s v=""/>
    <s v=""/>
    <n v="1"/>
  </r>
  <r>
    <x v="2"/>
    <n v="1232"/>
    <m/>
    <n v="3898"/>
    <s v=""/>
    <s v=""/>
    <x v="698"/>
    <n v="18455453000178"/>
    <s v=""/>
    <s v="Comfort Door Importacao E Distribuicao De Utilidades Domesticas Ltda"/>
    <s v="(43) 3376-3000"/>
    <s v=""/>
    <s v="contato@comfortdoor.com.br"/>
    <s v=""/>
    <s v=""/>
    <s v=""/>
    <s v="LONDRINA"/>
    <s v="PR"/>
    <s v="Base de empresas Leads2b"/>
    <s v=""/>
    <s v=""/>
    <s v=""/>
    <s v="Pipeline de Vendas"/>
    <s v="Qualificação de Vendas (SQL) (25%)"/>
    <s v=""/>
    <m/>
    <m/>
    <m/>
    <n v="6"/>
    <s v="Rayssa Karapeticov"/>
    <d v="2026-05-14T00:00:00"/>
    <d v="1899-12-30T16:14:25"/>
    <s v=""/>
    <s v="Ativo"/>
    <m/>
    <m/>
    <s v=""/>
    <s v=""/>
    <s v=""/>
    <x v="0"/>
    <s v=""/>
    <x v="0"/>
    <s v=""/>
    <m/>
    <m/>
    <s v=""/>
    <s v=""/>
    <s v=""/>
    <s v=""/>
    <n v="1"/>
  </r>
  <r>
    <x v="1"/>
    <n v="1233"/>
    <m/>
    <n v="3918"/>
    <s v=""/>
    <s v=""/>
    <x v="699"/>
    <n v="35754976000215"/>
    <s v=""/>
    <s v="StarTools ferramaentas (Cloud)"/>
    <s v="1184724282"/>
    <s v=""/>
    <s v="controladoria@startoolsferramentas.com.br"/>
    <s v=""/>
    <s v=""/>
    <s v=""/>
    <s v="ARAQUARI"/>
    <s v="SC"/>
    <s v=""/>
    <s v=""/>
    <s v=""/>
    <s v=""/>
    <s v="Pipeline de Vendas"/>
    <s v="Apresentar Solução (35%)"/>
    <s v=""/>
    <m/>
    <m/>
    <m/>
    <n v="5"/>
    <s v="Junior Lopes"/>
    <d v="2026-05-15T00:00:00"/>
    <d v="1899-12-30T11:25:41"/>
    <s v=""/>
    <s v="Ativo"/>
    <m/>
    <m/>
    <s v=""/>
    <s v=""/>
    <s v=""/>
    <x v="0"/>
    <s v=""/>
    <x v="239"/>
    <s v=""/>
    <m/>
    <n v="50"/>
    <s v=""/>
    <s v=""/>
    <s v=""/>
    <s v=""/>
    <n v="1"/>
  </r>
  <r>
    <x v="3"/>
    <n v="1234"/>
    <m/>
    <n v="3917"/>
    <s v="Todos os dados preenchidos:name: William Zanini Brogni field_3: Diretor phone: 45988277667 email: william@abtec.eng.br nome_da_empresa: Abtec field_4: Sudeste site_ou_rede_social_da_empresa: https://abecommerce.com.br/ referrer: https://instagram.com/ _x000a_(15/05) Falei com William, que estava em reunião no momento. Solicitou novo contato na segunda-feira pela manhã."/>
    <s v=""/>
    <x v="700"/>
    <m/>
    <s v=""/>
    <s v="William Zanini Brogni"/>
    <s v="(45) 98827-7667"/>
    <s v=""/>
    <s v="william@abtec.eng.br"/>
    <s v=""/>
    <s v=""/>
    <s v=""/>
    <s v="Cascavel"/>
    <s v=""/>
    <s v="Inbound"/>
    <s v=""/>
    <s v=""/>
    <s v="Dentro Perfil;Instagram"/>
    <s v="Pipeline de Vendas"/>
    <s v="Qualificação de Vendas (SQL) (25%)"/>
    <s v=""/>
    <m/>
    <m/>
    <m/>
    <n v="5"/>
    <s v="Paulo Souza"/>
    <d v="2026-05-15T00:00:00"/>
    <d v="1899-12-30T12:17:45"/>
    <s v=""/>
    <s v="Ativo"/>
    <m/>
    <m/>
    <s v=""/>
    <s v=""/>
    <s v=""/>
    <x v="0"/>
    <s v="Ronaldo Nascimento"/>
    <x v="0"/>
    <s v=""/>
    <m/>
    <n v="30"/>
    <s v=""/>
    <s v=""/>
    <s v=""/>
    <s v=""/>
    <n v="1"/>
  </r>
  <r>
    <x v="1"/>
    <n v="1236"/>
    <m/>
    <n v="3921"/>
    <s v=""/>
    <s v=""/>
    <x v="701"/>
    <m/>
    <s v=""/>
    <s v="MDL - Comex"/>
    <s v="11910695515"/>
    <s v=""/>
    <s v="janaina@mdlimport.com.br"/>
    <s v=""/>
    <s v=""/>
    <s v=""/>
    <s v=""/>
    <s v=""/>
    <s v=""/>
    <s v=""/>
    <s v=""/>
    <s v=""/>
    <s v="Pipeline de Vendas"/>
    <s v="Apresentar Proposta (50%)"/>
    <s v=""/>
    <m/>
    <m/>
    <m/>
    <n v="2"/>
    <s v="Junior Lopes"/>
    <d v="2026-05-18T00:00:00"/>
    <d v="1899-12-30T08:19:14"/>
    <s v=""/>
    <s v="Ativo"/>
    <m/>
    <m/>
    <s v=""/>
    <s v=""/>
    <s v=""/>
    <x v="217"/>
    <s v=""/>
    <x v="0"/>
    <s v=""/>
    <m/>
    <n v="50"/>
    <s v=""/>
    <s v=""/>
    <s v=""/>
    <s v=""/>
    <n v="1"/>
  </r>
  <r>
    <x v="1"/>
    <n v="1237"/>
    <m/>
    <n v="3922"/>
    <s v=""/>
    <s v=""/>
    <x v="702"/>
    <m/>
    <s v=""/>
    <s v="MDL - Boleto Whats"/>
    <s v="11910695515"/>
    <s v=""/>
    <s v="janaina@mdlimport.com.br"/>
    <s v=""/>
    <s v=""/>
    <s v=""/>
    <s v=""/>
    <s v=""/>
    <s v=""/>
    <s v=""/>
    <s v=""/>
    <s v=""/>
    <s v="Pipeline de Vendas"/>
    <s v="Apresentar Proposta (50%)"/>
    <s v=""/>
    <m/>
    <m/>
    <m/>
    <n v="2"/>
    <s v="Junior Lopes"/>
    <d v="2026-05-18T00:00:00"/>
    <d v="1899-12-30T08:26:32"/>
    <s v=""/>
    <s v="Ativo"/>
    <m/>
    <m/>
    <s v=""/>
    <s v=""/>
    <s v=""/>
    <x v="217"/>
    <s v=""/>
    <x v="240"/>
    <s v=""/>
    <m/>
    <n v="50"/>
    <s v=""/>
    <s v=""/>
    <s v=""/>
    <s v=""/>
    <n v="1"/>
  </r>
  <r>
    <x v="1"/>
    <n v="1238"/>
    <m/>
    <n v="3923"/>
    <s v=""/>
    <s v=""/>
    <x v="703"/>
    <m/>
    <s v=""/>
    <s v="Star Distribuidora - Boleto Whats"/>
    <s v="17996266970"/>
    <s v=""/>
    <s v="administrativo@distribuidorastar.com.br"/>
    <s v=""/>
    <s v=""/>
    <s v=""/>
    <s v=""/>
    <s v=""/>
    <s v=""/>
    <s v=""/>
    <s v=""/>
    <s v=""/>
    <s v="Pipeline de Vendas"/>
    <s v="Apresentar Proposta (50%)"/>
    <s v=""/>
    <m/>
    <m/>
    <m/>
    <n v="2"/>
    <s v="Junior Lopes"/>
    <d v="2026-05-18T00:00:00"/>
    <d v="1899-12-30T08:39:29"/>
    <s v=""/>
    <s v="Ativo"/>
    <m/>
    <m/>
    <s v=""/>
    <s v=""/>
    <s v=""/>
    <x v="217"/>
    <s v=""/>
    <x v="240"/>
    <s v=""/>
    <m/>
    <n v="50"/>
    <s v=""/>
    <s v=""/>
    <s v=""/>
    <s v=""/>
    <n v="1"/>
  </r>
  <r>
    <x v="1"/>
    <n v="1240"/>
    <m/>
    <n v="3962"/>
    <s v=""/>
    <s v=""/>
    <x v="704"/>
    <m/>
    <s v=""/>
    <s v="fuzipar - ERP"/>
    <s v="54984185138"/>
    <s v=""/>
    <s v="null"/>
    <s v=""/>
    <s v=""/>
    <s v=""/>
    <s v=""/>
    <s v=""/>
    <s v=""/>
    <s v=""/>
    <s v=""/>
    <s v=""/>
    <s v="Pipeline de Vendas"/>
    <s v="Apresentar Solução (35%)"/>
    <s v=""/>
    <m/>
    <m/>
    <m/>
    <n v="1"/>
    <s v="Junior Lopes"/>
    <d v="2026-05-19T00:00:00"/>
    <d v="1899-12-30T17:02:34"/>
    <s v=""/>
    <s v="Ativo"/>
    <m/>
    <m/>
    <s v=""/>
    <s v=""/>
    <s v=""/>
    <x v="0"/>
    <s v=""/>
    <x v="0"/>
    <s v=""/>
    <m/>
    <n v="50"/>
    <s v=""/>
    <s v=""/>
    <s v=""/>
    <s v=""/>
    <n v="1"/>
  </r>
</pivotCacheRecords>
</file>

<file path=xl/pivotCache/pivotCacheRecords5.xml><?xml version="1.0" encoding="utf-8"?>
<pivotCacheRecords xmlns="http://schemas.openxmlformats.org/spreadsheetml/2006/main" count="716">
  <r>
    <x v="0"/>
    <n v="87"/>
    <m/>
    <n v="548"/>
    <s v=""/>
    <s v=""/>
    <x v="0"/>
    <m/>
    <s v=""/>
    <s v="Paulo Teste"/>
    <s v="16997181604"/>
    <s v=""/>
    <s v="paulo.souza@guaranisistemas.com.br"/>
    <s v=""/>
    <s v=""/>
    <s v=""/>
    <s v=""/>
    <s v=""/>
    <s v=""/>
    <s v=""/>
    <s v=""/>
    <s v="Guarani AFV;SDRPaulo"/>
    <s v="Pipeline de Vendas"/>
    <s v="Agendamento (0%)"/>
    <s v=""/>
    <m/>
    <n v="0"/>
    <n v="27562"/>
    <n v="540"/>
    <s v="Paulo Souza"/>
    <d v="2024-11-26T00:00:00"/>
    <d v="1899-12-30T17:25:50"/>
    <s v=""/>
    <s v="Ativo"/>
    <m/>
    <m/>
    <s v=""/>
    <s v=""/>
    <s v=""/>
    <x v="0"/>
    <s v="Paulo Souza"/>
    <x v="0"/>
    <s v=""/>
    <m/>
    <m/>
    <s v=""/>
    <s v=""/>
    <s v=""/>
    <s v=""/>
    <n v="1"/>
  </r>
  <r>
    <x v="1"/>
    <n v="88"/>
    <m/>
    <n v="269"/>
    <s v=""/>
    <s v="EDDI INDUSTRIA E COMERCIO DE ARTEFATOS PLASTICOS LTDA"/>
    <x v="1"/>
    <n v="24870219000100"/>
    <s v=""/>
    <s v="EDDI CASA"/>
    <s v="16997246190"/>
    <s v=""/>
    <s v="comercial@eddicasa.com"/>
    <s v=""/>
    <s v="EDDI CASA;Bruno"/>
    <s v=""/>
    <s v="Ibitinga - SP"/>
    <s v="SP"/>
    <s v="Outbound"/>
    <s v=""/>
    <s v=""/>
    <s v="Guarani AFV;Importado a partir de lista;SDRFernanda"/>
    <s v="Pipeline de Vendas"/>
    <s v="Apresentar Proposta (50%)"/>
    <s v=""/>
    <m/>
    <m/>
    <m/>
    <n v="55"/>
    <s v="Fernanda Santiago"/>
    <d v="2024-11-27T00:00:00"/>
    <d v="1899-12-30T14:28:37"/>
    <s v=""/>
    <s v="Perdido"/>
    <d v="2025-01-21T00:00:00"/>
    <d v="1899-12-30T11:55:50"/>
    <s v="Projeto adiado / sem prazo definido"/>
    <s v="sem retorno do cliente"/>
    <s v="27/11/2024"/>
    <x v="1"/>
    <s v="Fernanda Santiago"/>
    <x v="1"/>
    <s v=""/>
    <m/>
    <m/>
    <s v=""/>
    <s v=""/>
    <s v=""/>
    <s v=""/>
    <n v="1"/>
  </r>
  <r>
    <x v="0"/>
    <n v="89"/>
    <m/>
    <n v="439"/>
    <s v="APÓS PESQUISA ENCONTREI O TELEFONE 88 98114-7695 NO CATALAGO DIGITAL DA EMPRESA, MANDEI MSG PARA VALIDAR E CONVERSEI COM LUCAS, ELE DISSE QUE NO PASSADO JA NOS PROCUROU PARA CONHECER NOSSO ERP, POIS QUEREM MUDAR DE SISTEMA, O GERENTE DELES DE PRODUÇÃO JA TRABALHOU CONOSCO NA ARCA PLAST E INDICOU. ATUALMENTE USA SISTEMA CHAMADO WSHOP, MAS NÃO ATENDE ELES BEM. QUER VER TODA PARTE DE PRODUÇÃO, PRODUTOS, CUSTOS, FATURAMENTO... POSSUEM POUCOS REPRESENTANTES, FOCO NO MOMENTO É O ERP, APÓS ELE VE O FORÇA DE VENDAS._x000a_AGENDADO APRESENTAÇÃO COM O PAULO DIA 27/11 AS 15H"/>
    <s v=""/>
    <x v="2"/>
    <n v="51921277000198"/>
    <s v=""/>
    <s v="Lucas"/>
    <s v="(88) 98114-7695"/>
    <s v=""/>
    <s v="lucasnewway@gmail.com"/>
    <s v=""/>
    <s v=""/>
    <s v=""/>
    <s v=""/>
    <s v=""/>
    <s v="Base de empresas Leads2b"/>
    <s v=""/>
    <s v=""/>
    <s v="SDRDébora"/>
    <s v="Pipeline de Vendas"/>
    <s v="Em negociação (75%)"/>
    <s v=""/>
    <m/>
    <m/>
    <m/>
    <n v="63"/>
    <s v="Débora Duarte"/>
    <d v="2024-11-27T00:00:00"/>
    <d v="1899-12-30T14:29:05"/>
    <s v=""/>
    <s v="Perdido"/>
    <d v="2025-01-29T00:00:00"/>
    <d v="1899-12-30T01:04:01"/>
    <s v="Cliente não quer contato LGPD"/>
    <s v=""/>
    <s v="27/11/2024"/>
    <x v="0"/>
    <s v="Débora Duarte"/>
    <x v="0"/>
    <s v=""/>
    <m/>
    <m/>
    <s v=""/>
    <s v=""/>
    <s v=""/>
    <s v=""/>
    <n v="1"/>
  </r>
  <r>
    <x v="1"/>
    <n v="90"/>
    <m/>
    <n v="372"/>
    <s v="FALEI COM SILDÁCIO, ATUALMENTE USAM SISTEMA PROPRIO, MAS BUSCAM MELHORIAS E CONFORMA PLANEJAMENTO PARA 2025 ESTÁ COTANDO COM SOLUÇÕES DO MERCADO, OUVI DE OUTRAS IMPORTADORAS QUE USAM NOSSA SISTEMA PARA FORÇA DE VENDAS. HOJE SÃO 5 RCA, MAS ESTÃO EXPANDIDO O ATENDIMENTO PARA OUTROS ESTADOS E AUMENTANDO A EQUIPE. USAM ERP TOTVS. SÃO IMPORTADORA UD/BRINQUEDOS/DECOR_x000a_AGENDADO APRESENTAÇÃO DIA 21/11 AS 11H30_x000a_INCLUIR NO INVITE jacqueline.santos@casafreitas.com.br"/>
    <s v=""/>
    <x v="3"/>
    <n v="1740627000575"/>
    <s v=""/>
    <s v="Sildácio Amaral"/>
    <s v="(85) 99797-0405"/>
    <s v=""/>
    <s v="sildacio.amaral@casafreitas.com.br"/>
    <s v=""/>
    <s v=""/>
    <s v=""/>
    <s v=""/>
    <s v=""/>
    <s v="Site"/>
    <s v=""/>
    <s v=""/>
    <s v="90%;Guarani AFV;SDRDébora;SDRInbound"/>
    <s v="Pipeline de Vendas"/>
    <s v="Em Fechamento (100%)"/>
    <s v="6x sem juros (0/30/60/90/120/150...)"/>
    <m/>
    <n v="14416"/>
    <n v="18072"/>
    <n v="266"/>
    <s v="Débora Duarte"/>
    <d v="2024-11-27T00:00:00"/>
    <d v="1899-12-30T15:32:35"/>
    <s v=""/>
    <s v="Ganho"/>
    <d v="2025-08-20T00:00:00"/>
    <d v="1899-12-30T09:37:28"/>
    <s v=""/>
    <s v=""/>
    <s v="19/11/2024 00:00"/>
    <x v="2"/>
    <s v="Débora Duarte"/>
    <x v="2"/>
    <s v="07/03/2025"/>
    <m/>
    <m/>
    <s v=""/>
    <s v=""/>
    <s v=""/>
    <s v=""/>
    <n v="1"/>
  </r>
  <r>
    <x v="1"/>
    <n v="91"/>
    <m/>
    <n v="502"/>
    <s v="Então, eu conheci o sistema AFV por um fornecedor nosso e ficamos interessados pelo recursos que você possui em realizar vendas e consultar estoques pelo celular_x000a_Somos um grupo o KWI, que é composto por 3 empresas, 2 é varejista e não fazemos vendas externas e nem representantes. E 1 é Atacadista, no momento é uma empresa nova, mas estamos nos organizando para incorporar vendas externas_x000a_Varejista e Atacadista_x000a_Porque ficamos interessamos em por exemplo quando estamos na feira para expor ao invés de fazer pedido no papel, utilizar um celular que é mais pratico_x000a_Ultimamos o ERP Verup_x000a_Ah então pode ser quinta 10hrs? Sou Supervisora do T.I_x000a_Recebi. Muito obrigada!!"/>
    <s v=""/>
    <x v="4"/>
    <n v="8196258000117"/>
    <s v=""/>
    <s v="Giovanna Seguette"/>
    <s v="(11) 94444-8474"/>
    <s v=""/>
    <s v="suppliers@bongmoon.com"/>
    <s v=""/>
    <s v=""/>
    <s v=""/>
    <s v=""/>
    <s v=""/>
    <s v="Site"/>
    <s v=""/>
    <s v=""/>
    <s v="Guarani AFV;SDRDébora;SDRInbound"/>
    <s v="Pipeline de Vendas"/>
    <s v="Apresentar Proposta (50%)"/>
    <s v=""/>
    <m/>
    <m/>
    <m/>
    <n v="55"/>
    <s v="Débora Duarte"/>
    <d v="2024-11-27T00:00:00"/>
    <d v="1899-12-30T15:34:41"/>
    <s v=""/>
    <s v="Perdido"/>
    <d v="2025-01-21T00:00:00"/>
    <d v="1899-12-30T11:59:45"/>
    <s v="Projeto adiado / sem prazo definido"/>
    <s v="sem retorno do cliente"/>
    <s v="25/11/2024 00:00"/>
    <x v="3"/>
    <s v="Débora Duarte"/>
    <x v="3"/>
    <s v=""/>
    <m/>
    <m/>
    <s v=""/>
    <s v=""/>
    <s v=""/>
    <s v=""/>
    <n v="1"/>
  </r>
  <r>
    <x v="1"/>
    <n v="92"/>
    <m/>
    <n v="360"/>
    <s v="APÓS INDICAÇÃO DO TEL 16 99776-7635 CONTATO PASSOU O Nº DA JESSICA, FALEI COM ELA POR WHATS, ATUALMENTE USAM SISTEMA DA IDEIA, MAS ELA ACEITOU VER UMA DEMONSTRAÇÃO DO NOSSO FORÇA DE VENDAS._x000a_EMPRESA É DE ARARAQUARA, INDUSTRIA DE UD_x000a_AGENDADO APRESENTAÇÃO DIA 03/12 AS 10H COM O JUCA"/>
    <s v="Utiliplas Fabricacao E Comercio De Artefatos Plasticos Ltda"/>
    <x v="5"/>
    <n v="32364538000171"/>
    <s v=""/>
    <s v="Jessica Edevania"/>
    <s v="(16) 3332-7378"/>
    <s v=""/>
    <s v="comercialutiliplas@gmail.com"/>
    <s v=""/>
    <s v=""/>
    <s v=""/>
    <s v="ARARAQUARA"/>
    <s v="SP"/>
    <s v="Base de empresas Leads2b"/>
    <s v=""/>
    <s v=""/>
    <s v="Guarani AFV;SDRDébora"/>
    <s v="Pipeline de Vendas"/>
    <s v="Em negociação (75%)"/>
    <s v=""/>
    <m/>
    <n v="2496"/>
    <m/>
    <n v="62"/>
    <s v="Débora Duarte"/>
    <d v="2024-11-27T00:00:00"/>
    <d v="1899-12-30T15:37:15"/>
    <s v=""/>
    <s v="Perdido"/>
    <d v="2025-01-28T00:00:00"/>
    <d v="1899-12-30T15:33:32"/>
    <s v="Projeto adiado / sem prazo definido"/>
    <s v="cliente não da retorno"/>
    <s v="26/11/2024 00:00"/>
    <x v="4"/>
    <s v="Débora Duarte"/>
    <x v="2"/>
    <s v=""/>
    <m/>
    <m/>
    <s v=""/>
    <s v=""/>
    <s v=""/>
    <s v=""/>
    <n v="1"/>
  </r>
  <r>
    <x v="0"/>
    <n v="93"/>
    <m/>
    <n v="598"/>
    <s v="A Primu's Rio é uma rede de lojas especializada em Brinquedos, Cama, Mesa e Banho, Utensílios domésticos, Papelaria, Plástico, Vidro, Alumínio e muito mais._x000a_São mais de 25 anos no mercado, oferecendo os melhores produtos com os melhores preços, tanto para o consumidor varejista, quanto para o atacadista._x000a_Site: Loja online de Primu's Rio - Quem Somos_x000a_O Grupo primus é um grupo econômico com 7 empresas, e estão divididas da seguinte maneira:_x000a_Distribuidora/Importadora_x000a_ERP = 10_x000a_AFV = 2_x000a_PDV = 10_x000a_7 CNPJ_x000a_Produtos de Interesse (ERP, AFV, PDV, MDFE, MDE, B2B)_x000a_Atacado e Lojas_x000a_4 lojas com 28 PDV, sendo que uma dessa loja é atacado._x000a_ASSUNTOS A SER DETALHANDOS NA APRESENTAÇÃO:_x000a_Política de preço, eles fazer 3 tipos de preço T1 (9,90), T2 (8,90), T3 (7,90), a regra é que com determinado volume financeiro na compra o preço flute entre as tabelas;_x000a_Tem dois tipos de custo quando a mercadoria entra pela importadora é um e pela distribuidora é outro, entender melhor isso_x000a_A apresentação dever ser focada na distribuidora e seus processos diários. Seguir o fluxo apresentando a Estoque, Financeiro, Fiscal, Politicas de Preço, Faturamento e Gerenciamento da Operação."/>
    <s v=""/>
    <x v="6"/>
    <n v="3375396000492"/>
    <s v=""/>
    <s v="Celso"/>
    <s v="21964236193"/>
    <s v=""/>
    <s v="celsomsc@gmail.com"/>
    <s v=""/>
    <s v=""/>
    <s v=""/>
    <s v="RIO DE JANEIRO"/>
    <s v="RJ"/>
    <s v="Outbound"/>
    <s v=""/>
    <s v=""/>
    <s v="Guarani AFV;Guarani B2B;Guarani ERP;Guarani PDV;MORNO;SDRPaulo"/>
    <s v="Pipeline de Vendas"/>
    <s v="Em negociação (75%)"/>
    <s v=""/>
    <m/>
    <n v="0"/>
    <n v="0"/>
    <n v="61"/>
    <s v="Paulo Souza"/>
    <d v="2024-11-28T00:00:00"/>
    <d v="1899-12-30T08:47:53"/>
    <s v=""/>
    <s v="Perdido"/>
    <d v="2025-01-28T00:00:00"/>
    <d v="1899-12-30T16:47:21"/>
    <s v="Projeto adiado / sem prazo definido"/>
    <s v="cliente não tem mais interesse."/>
    <s v=""/>
    <x v="0"/>
    <s v="Paulo Souza"/>
    <x v="0"/>
    <s v=""/>
    <m/>
    <m/>
    <s v=""/>
    <s v=""/>
    <s v=""/>
    <s v=""/>
    <n v="1"/>
  </r>
  <r>
    <x v="1"/>
    <n v="94"/>
    <m/>
    <n v="378"/>
    <s v=""/>
    <s v="GA CERAMICA ARTISTICA"/>
    <x v="7"/>
    <n v="11650898000160"/>
    <s v=""/>
    <s v="GA CERAMICA"/>
    <s v="1935815351"/>
    <s v=""/>
    <s v="atendimento@gaceramica.com.br"/>
    <s v=""/>
    <s v="GA CERAMICA;GA CERAMICA, Jorge"/>
    <s v=""/>
    <s v=""/>
    <s v=""/>
    <s v="Outbound"/>
    <s v=""/>
    <s v=""/>
    <s v="Guarani AFV;Importado a partir de lista;SDRFernanda"/>
    <s v="Pipeline de Vendas"/>
    <s v="Apresentar Solução (35%)"/>
    <s v=""/>
    <m/>
    <n v="0"/>
    <n v="0"/>
    <n v="61"/>
    <s v="Fernanda Santiago"/>
    <d v="2024-11-28T00:00:00"/>
    <d v="1899-12-30T15:01:56"/>
    <s v=""/>
    <s v="Perdido"/>
    <d v="2025-01-28T00:00:00"/>
    <d v="1899-12-30T13:56:56"/>
    <s v="Não quer mudar a solução atual"/>
    <s v="Falei com o Jorge, ele disse que esta acontecendo umas mudanças administrativas um dos socios esta saindo, então toda previsao de alterar sistemas ficou em stand by, disse para falarmos em fevereiro. Até a feira ele falou que pode ser que ja tenha resolvido entao falamos depois."/>
    <s v="02/12/2024 10:00"/>
    <x v="0"/>
    <s v="Fernanda Santiago"/>
    <x v="0"/>
    <s v=""/>
    <m/>
    <m/>
    <s v=""/>
    <s v=""/>
    <s v=""/>
    <s v=""/>
    <n v="1"/>
  </r>
  <r>
    <x v="0"/>
    <n v="95"/>
    <m/>
    <n v="778"/>
    <s v="Resumo de envio do Formulário Web_x000a_Produtos:_x000a_Guarani ERP_x000a_Nome_x000a_Viviane Gomes_x000a_E-mail_x000a_fiscal@aloebaf.com.br_x000a_Telefone / Whatsapp_x000a_38 99127-5338_x000a_Nome da Empresa_x000a_ALOEBAF COMERCIO DE COSMETICOS_x000a_Segmento_x000a_Distribuidor_x000a_Descrição da necessidade_x000a_Precisamos do Força de vendas"/>
    <s v=""/>
    <x v="8"/>
    <n v="15211327000180"/>
    <s v=""/>
    <s v="Viviane Gomes"/>
    <s v="38991275338"/>
    <s v=""/>
    <s v="fiscal@aloebaf.com.br"/>
    <s v=""/>
    <s v=""/>
    <s v=""/>
    <s v=""/>
    <s v=""/>
    <s v="Outbound"/>
    <s v=""/>
    <s v=""/>
    <s v="Adicionais ERP;Guarani AFV;Guarani ERP;Pausado;SDRDébora"/>
    <s v="Pipeline de Vendas"/>
    <s v="Apresentar Proposta (50%)"/>
    <s v=""/>
    <m/>
    <m/>
    <m/>
    <n v="39"/>
    <s v="Paulo Souza"/>
    <d v="2024-11-29T00:00:00"/>
    <d v="1899-12-30T14:07:35"/>
    <s v=""/>
    <s v="Perdido"/>
    <d v="2025-01-07T00:00:00"/>
    <d v="1899-12-30T17:01:29"/>
    <s v="Preço muito alto - fora do budget de investimento"/>
    <s v=""/>
    <s v=""/>
    <x v="0"/>
    <s v="Débora Duarte"/>
    <x v="4"/>
    <s v=""/>
    <m/>
    <m/>
    <s v=""/>
    <s v=""/>
    <s v=""/>
    <s v=""/>
    <n v="1"/>
  </r>
  <r>
    <x v="1"/>
    <n v="96"/>
    <n v="155"/>
    <n v="812"/>
    <s v=""/>
    <s v=""/>
    <x v="9"/>
    <n v="13609763000186"/>
    <s v="BAAG (Bahia Artes Gráficas)"/>
    <s v="BAAG (Bahia Artes Gráficas)"/>
    <s v="7532217777"/>
    <s v=""/>
    <s v="cleber@bahiagrafica.com.br"/>
    <s v=""/>
    <s v=""/>
    <s v=""/>
    <s v="Feira de Santana"/>
    <s v="BA"/>
    <s v="Outbound"/>
    <s v=""/>
    <s v=""/>
    <s v="Guarani AFV;Guarani ERP;QUENTE"/>
    <s v="Pipeline de Vendas"/>
    <s v="Em Fechamento (100%)"/>
    <s v="6x sem juros (0/30/60/90/120/150...)"/>
    <d v="2025-01-31T00:00:00"/>
    <n v="8479884"/>
    <n v="630984"/>
    <n v="62"/>
    <s v="Paulo Souza"/>
    <d v="2024-12-01T00:00:00"/>
    <d v="1899-12-30T20:30:36"/>
    <s v=""/>
    <s v="Ganho"/>
    <d v="2025-02-01T00:00:00"/>
    <d v="1899-12-30T01:40:07"/>
    <s v=""/>
    <s v=""/>
    <s v=""/>
    <x v="5"/>
    <s v="Junior Lopes"/>
    <x v="5"/>
    <s v=""/>
    <m/>
    <m/>
    <s v=""/>
    <s v=""/>
    <s v=""/>
    <s v=""/>
    <n v="1"/>
  </r>
  <r>
    <x v="1"/>
    <n v="97"/>
    <n v="155"/>
    <n v="813"/>
    <s v=""/>
    <s v=""/>
    <x v="10"/>
    <n v="13609763000186"/>
    <s v="BAAG (Bahia Artes Gráficas)"/>
    <s v="Cleber Chagas"/>
    <s v="75981337574"/>
    <s v=""/>
    <s v="cleber@bahiagrafica.com.br"/>
    <s v=""/>
    <s v=""/>
    <s v=""/>
    <s v="Feira de Santana"/>
    <s v="BA"/>
    <s v=""/>
    <s v=""/>
    <s v=""/>
    <s v="Guarani CLOUD;QUENTE"/>
    <s v="Pipeline de Vendas"/>
    <s v="Em negociação (75%)"/>
    <s v=""/>
    <m/>
    <m/>
    <m/>
    <n v="82"/>
    <s v="Paulo Souza"/>
    <d v="2024-12-01T00:00:00"/>
    <d v="1899-12-30T20:30:37"/>
    <s v=""/>
    <s v="Perdido"/>
    <d v="2025-02-21T00:00:00"/>
    <d v="1899-12-30T12:13:20"/>
    <s v="Não quer mudar a solução atual"/>
    <s v="servidor local"/>
    <s v=""/>
    <x v="5"/>
    <s v=""/>
    <x v="5"/>
    <s v=""/>
    <m/>
    <m/>
    <s v=""/>
    <s v=""/>
    <s v=""/>
    <s v=""/>
    <n v="1"/>
  </r>
  <r>
    <x v="1"/>
    <n v="98"/>
    <n v="156"/>
    <n v="816"/>
    <s v=""/>
    <s v=""/>
    <x v="11"/>
    <n v="3921447000272"/>
    <s v="Vaso Forte"/>
    <s v="Clovis &amp; Heli"/>
    <s v="11912422620"/>
    <s v=""/>
    <s v="heli@vasoforte.com.br"/>
    <s v=""/>
    <s v=""/>
    <s v=""/>
    <s v="Vargem Grande Paulista"/>
    <s v="SP"/>
    <s v=""/>
    <s v=""/>
    <s v=""/>
    <s v="Guarani ERP"/>
    <s v="Pipeline de Vendas"/>
    <s v="Em Fechamento (100%)"/>
    <s v=""/>
    <m/>
    <n v="532332"/>
    <n v="292918"/>
    <n v="110"/>
    <s v="Paulo Souza"/>
    <d v="2024-12-01T00:00:00"/>
    <d v="1899-12-30T20:30:37"/>
    <s v=""/>
    <s v="Ganho"/>
    <d v="2025-03-21T00:00:00"/>
    <d v="1899-12-30T10:49:38"/>
    <s v=""/>
    <s v=""/>
    <s v=""/>
    <x v="6"/>
    <s v=""/>
    <x v="6"/>
    <s v="24/01/2025"/>
    <m/>
    <m/>
    <s v=""/>
    <s v=""/>
    <s v=""/>
    <s v=""/>
    <n v="1"/>
  </r>
  <r>
    <x v="1"/>
    <n v="99"/>
    <n v="157"/>
    <n v="818"/>
    <s v=""/>
    <s v=""/>
    <x v="12"/>
    <n v="55773964000164"/>
    <s v="Plásticos Santana Ltda"/>
    <s v="Celso"/>
    <s v="19974093075"/>
    <s v=""/>
    <s v="comercial1@plasticossantana.com.br"/>
    <s v=""/>
    <s v=""/>
    <s v=""/>
    <s v="Artur Nogueira"/>
    <s v="SP"/>
    <s v=""/>
    <s v=""/>
    <s v=""/>
    <s v="Guarani AFV;Guarani ERP"/>
    <s v="Pipeline de Vendas"/>
    <s v="Qualificação de Vendas (SQL) (25%)"/>
    <s v=""/>
    <m/>
    <m/>
    <m/>
    <n v="11"/>
    <s v="Paulo Souza"/>
    <d v="2024-12-01T00:00:00"/>
    <d v="1899-12-30T20:30:37"/>
    <s v=""/>
    <s v="Perdido"/>
    <d v="2024-12-12T00:00:00"/>
    <d v="1899-12-30T10:02:11"/>
    <s v="Não informou motivo da desistência"/>
    <s v="retornar contato em 2025"/>
    <s v=""/>
    <x v="0"/>
    <s v=""/>
    <x v="0"/>
    <s v=""/>
    <m/>
    <m/>
    <s v=""/>
    <s v=""/>
    <s v=""/>
    <s v=""/>
    <n v="1"/>
  </r>
  <r>
    <x v="1"/>
    <n v="100"/>
    <n v="156"/>
    <n v="816"/>
    <s v=""/>
    <s v=""/>
    <x v="13"/>
    <n v="3921447000272"/>
    <s v="Vaso Forte"/>
    <s v="Clovis &amp; Heli"/>
    <s v="11912422620"/>
    <s v=""/>
    <s v="heli@vasoforte.com.br"/>
    <s v=""/>
    <s v=""/>
    <s v=""/>
    <s v="Vargem Grande Paulista"/>
    <s v="SP"/>
    <s v=""/>
    <s v=""/>
    <s v=""/>
    <s v="Guarani CLOUD"/>
    <s v="Pipeline de Vendas"/>
    <s v="Em Fechamento (100%)"/>
    <s v=""/>
    <m/>
    <n v="1600"/>
    <n v="256119"/>
    <n v="110"/>
    <s v="Paulo Souza"/>
    <d v="2024-12-01T00:00:00"/>
    <d v="1899-12-30T20:30:37"/>
    <s v=""/>
    <s v="Perdido"/>
    <d v="2025-03-21T00:00:00"/>
    <d v="1899-12-30T10:21:47"/>
    <s v="Projeto adiado / sem prazo definido"/>
    <s v="atualmente tem muita instabilidade de internet"/>
    <s v=""/>
    <x v="6"/>
    <s v=""/>
    <x v="7"/>
    <s v="24/01/2025"/>
    <m/>
    <m/>
    <s v=""/>
    <s v=""/>
    <s v=""/>
    <s v=""/>
    <n v="1"/>
  </r>
  <r>
    <x v="1"/>
    <n v="101"/>
    <n v="158"/>
    <n v="821"/>
    <s v=""/>
    <s v=""/>
    <x v="14"/>
    <n v="4207648000194"/>
    <s v="EDITORA ONLINE"/>
    <s v="João Carlos Gomes Brasil"/>
    <s v="11993739551"/>
    <s v=""/>
    <s v="joao@editoraonline.com.br"/>
    <s v=""/>
    <s v=""/>
    <s v=""/>
    <s v="Barueri"/>
    <s v="SP"/>
    <s v=""/>
    <s v=""/>
    <s v=""/>
    <s v="Guarani AFV;SDRDébora"/>
    <s v="Pipeline de Vendas"/>
    <s v="Em negociação (75%)"/>
    <s v=""/>
    <d v="2025-01-31T00:00:00"/>
    <n v="3928"/>
    <m/>
    <n v="51"/>
    <s v="Paulo Souza"/>
    <d v="2024-12-01T00:00:00"/>
    <d v="1899-12-30T20:30:37"/>
    <s v=""/>
    <s v="Perdido"/>
    <d v="2025-01-21T00:00:00"/>
    <d v="1899-12-30T11:56:46"/>
    <s v="Projeto adiado / sem prazo definido"/>
    <s v="sem retorno do cliente"/>
    <s v="14/10/2024"/>
    <x v="7"/>
    <s v="Débora Duarte"/>
    <x v="8"/>
    <s v=""/>
    <m/>
    <m/>
    <s v=""/>
    <s v=""/>
    <s v=""/>
    <s v=""/>
    <n v="1"/>
  </r>
  <r>
    <x v="1"/>
    <n v="102"/>
    <n v="159"/>
    <n v="823"/>
    <s v=""/>
    <s v=""/>
    <x v="15"/>
    <n v="43526090000161"/>
    <s v="Precisa Import"/>
    <s v="Carlos"/>
    <s v="11972961489"/>
    <s v=""/>
    <s v="comercial@prorepresentacao.com.nr"/>
    <s v=""/>
    <s v=""/>
    <s v=""/>
    <s v="Barueri"/>
    <s v="SP"/>
    <s v=""/>
    <s v=""/>
    <s v=""/>
    <s v="Guarani AFV;Guarani ERP"/>
    <s v="Pipeline de Vendas"/>
    <s v="Em Fechamento (100%)"/>
    <s v=""/>
    <d v="2024-12-06T00:00:00"/>
    <n v="49012"/>
    <m/>
    <n v="18"/>
    <s v="Paulo Souza"/>
    <d v="2024-12-01T00:00:00"/>
    <d v="1899-12-30T20:30:37"/>
    <s v=""/>
    <s v="Ganho"/>
    <d v="2024-12-19T00:00:00"/>
    <d v="1899-12-30T14:38:30"/>
    <s v=""/>
    <s v=""/>
    <s v=""/>
    <x v="8"/>
    <s v=""/>
    <x v="9"/>
    <s v=""/>
    <m/>
    <m/>
    <s v=""/>
    <s v=""/>
    <s v=""/>
    <s v=""/>
    <n v="1"/>
  </r>
  <r>
    <x v="1"/>
    <n v="103"/>
    <n v="160"/>
    <n v="825"/>
    <s v=""/>
    <s v=""/>
    <x v="16"/>
    <n v="4949701000122"/>
    <s v="Polimax"/>
    <s v="Valen Lesinelli"/>
    <s v="11998367755"/>
    <s v=""/>
    <s v="comercial@polimaxpolimeros.com.br"/>
    <s v=""/>
    <s v=""/>
    <s v=""/>
    <s v="São Paulo"/>
    <s v="SP"/>
    <s v=""/>
    <s v=""/>
    <s v=""/>
    <s v="Guarani AFV;Guarani ERP;QUENTE"/>
    <s v="Pipeline de Vendas"/>
    <s v="Em Fechamento (100%)"/>
    <s v="6x sem juros (0/30/60/90/120/150...)"/>
    <d v="2025-01-31T00:00:00"/>
    <n v="46854"/>
    <n v="348312"/>
    <n v="54"/>
    <s v="Paulo Souza"/>
    <d v="2024-12-01T00:00:00"/>
    <d v="1899-12-30T20:30:37"/>
    <s v=""/>
    <s v="Ganho"/>
    <d v="2025-01-24T00:00:00"/>
    <d v="1899-12-30T12:08:20"/>
    <s v=""/>
    <s v=""/>
    <s v=""/>
    <x v="9"/>
    <s v=""/>
    <x v="10"/>
    <s v="15/01/2025"/>
    <m/>
    <m/>
    <s v=""/>
    <s v=""/>
    <s v=""/>
    <s v=""/>
    <n v="1"/>
  </r>
  <r>
    <x v="1"/>
    <n v="104"/>
    <n v="161"/>
    <n v="843"/>
    <s v=""/>
    <s v=""/>
    <x v="17"/>
    <n v="2609426000172"/>
    <s v="MD Importação"/>
    <s v="Juliana"/>
    <s v="47991450725"/>
    <s v=""/>
    <s v="mdimposrtacao@gmail.com"/>
    <s v=""/>
    <s v=""/>
    <s v=""/>
    <s v="Rio do Sul"/>
    <s v="SC"/>
    <s v="Indicação"/>
    <s v=""/>
    <s v=""/>
    <s v="Guarani AFV;Guarani ERP"/>
    <s v="Pipeline de Vendas"/>
    <s v="Em negociação (75%)"/>
    <s v=""/>
    <m/>
    <m/>
    <m/>
    <n v="120"/>
    <s v="Paulo Souza"/>
    <d v="2024-12-01T00:00:00"/>
    <d v="1899-12-30T20:30:37"/>
    <s v=""/>
    <s v="Perdido"/>
    <d v="2025-03-31T00:00:00"/>
    <d v="1899-12-30T15:45:45"/>
    <s v="Não houve aprovação financeira"/>
    <s v="cliente esfriou após proposta comercial"/>
    <s v=""/>
    <x v="10"/>
    <s v=""/>
    <x v="11"/>
    <s v=""/>
    <m/>
    <m/>
    <s v=""/>
    <s v=""/>
    <s v=""/>
    <s v=""/>
    <n v="1"/>
  </r>
  <r>
    <x v="1"/>
    <n v="105"/>
    <n v="162"/>
    <n v="829"/>
    <s v=""/>
    <s v=""/>
    <x v="18"/>
    <n v="17545517000169"/>
    <s v="DPOT PLASTICOS"/>
    <s v="Michel Stracci"/>
    <s v="19997264646"/>
    <s v=""/>
    <s v="dpot.plasticos@gmail.com"/>
    <s v=""/>
    <s v=""/>
    <s v=""/>
    <s v="Pedreira"/>
    <s v="SP"/>
    <s v=""/>
    <s v=""/>
    <s v=""/>
    <s v="Guarani AFV;Guarani ERP;SDRDébora"/>
    <s v="Pipeline de Vendas"/>
    <s v="Em negociação (75%)"/>
    <s v=""/>
    <m/>
    <m/>
    <m/>
    <n v="58"/>
    <s v="Paulo Souza"/>
    <d v="2024-12-01T00:00:00"/>
    <d v="1899-12-30T20:30:37"/>
    <s v=""/>
    <s v="Perdido"/>
    <d v="2025-01-28T00:00:00"/>
    <d v="1899-12-30T15:31:14"/>
    <s v="Projeto adiado / sem prazo definido"/>
    <s v="sem retorno do cliente"/>
    <s v="04/11/2024"/>
    <x v="11"/>
    <s v="Débora Duarte"/>
    <x v="12"/>
    <s v=""/>
    <m/>
    <m/>
    <s v=""/>
    <s v=""/>
    <s v=""/>
    <s v=""/>
    <n v="1"/>
  </r>
  <r>
    <x v="1"/>
    <n v="106"/>
    <n v="162"/>
    <n v="829"/>
    <s v=""/>
    <s v=""/>
    <x v="19"/>
    <n v="17545517000169"/>
    <s v="DPOT PLASTICOS"/>
    <s v="Michel Stracci"/>
    <s v="19997264646"/>
    <s v=""/>
    <s v="dpot.plasticos@gmail.com"/>
    <s v=""/>
    <s v=""/>
    <s v=""/>
    <s v="Pedreira"/>
    <s v="SP"/>
    <s v=""/>
    <s v=""/>
    <s v=""/>
    <s v="Guarani CLOUD;SDRDébora"/>
    <s v="Pipeline de Vendas"/>
    <s v="Em negociação (75%)"/>
    <s v=""/>
    <m/>
    <m/>
    <m/>
    <n v="58"/>
    <s v="Paulo Souza"/>
    <d v="2024-12-01T00:00:00"/>
    <d v="1899-12-30T20:30:37"/>
    <s v=""/>
    <s v="Perdido"/>
    <d v="2025-01-28T00:00:00"/>
    <d v="1899-12-30T15:31:50"/>
    <s v="Projeto adiado / sem prazo definido"/>
    <s v="sem retorno do cliente"/>
    <s v="04/11/2024"/>
    <x v="11"/>
    <s v="Débora Duarte"/>
    <x v="12"/>
    <s v=""/>
    <m/>
    <m/>
    <s v=""/>
    <s v=""/>
    <s v=""/>
    <s v=""/>
    <n v="1"/>
  </r>
  <r>
    <x v="1"/>
    <n v="107"/>
    <n v="163"/>
    <n v="832"/>
    <s v=""/>
    <s v=""/>
    <x v="20"/>
    <n v="5861238000125"/>
    <s v="GRUPO GALA"/>
    <s v="Diego"/>
    <s v="6735659555"/>
    <s v=""/>
    <s v="diego@gala.com.br"/>
    <s v=""/>
    <s v=""/>
    <s v=""/>
    <s v="Aparecida do Taboado"/>
    <s v="MS"/>
    <s v=""/>
    <s v=""/>
    <s v=""/>
    <s v="Guarani B2B"/>
    <s v="Pipeline de Vendas"/>
    <s v="Em negociação (75%)"/>
    <s v=""/>
    <m/>
    <m/>
    <m/>
    <n v="58"/>
    <s v="Paulo Souza"/>
    <d v="2024-12-01T00:00:00"/>
    <d v="1899-12-30T20:30:37"/>
    <s v=""/>
    <s v="Perdido"/>
    <d v="2025-01-28T00:00:00"/>
    <d v="1899-12-30T15:32:41"/>
    <s v="Não houve aprovação financeira"/>
    <s v=""/>
    <s v=""/>
    <x v="12"/>
    <s v=""/>
    <x v="13"/>
    <s v=""/>
    <m/>
    <m/>
    <s v=""/>
    <s v=""/>
    <s v=""/>
    <s v=""/>
    <n v="1"/>
  </r>
  <r>
    <x v="1"/>
    <n v="108"/>
    <n v="160"/>
    <n v="825"/>
    <s v=""/>
    <s v=""/>
    <x v="21"/>
    <n v="4949701000122"/>
    <s v="Polimax"/>
    <s v="Valen Lesinelli"/>
    <s v="11998367755"/>
    <s v=""/>
    <s v="comercial@polimaxpolimeros.com.br"/>
    <s v=""/>
    <s v=""/>
    <s v=""/>
    <s v="São Paulo"/>
    <s v="SP"/>
    <s v=""/>
    <s v=""/>
    <s v=""/>
    <s v="Guarani CLOUD;QUENTE"/>
    <s v="Pipeline de Vendas"/>
    <s v="Em Fechamento (100%)"/>
    <s v="8x sem juros (0/30/60/90/120/150...)"/>
    <d v="2025-01-31T00:00:00"/>
    <n v="1600"/>
    <n v="224819"/>
    <n v="60"/>
    <s v="Paulo Souza"/>
    <d v="2024-12-01T00:00:00"/>
    <d v="1899-12-30T20:30:37"/>
    <s v=""/>
    <s v="Ganho"/>
    <d v="2025-01-30T00:00:00"/>
    <d v="1899-12-30T09:31:52"/>
    <s v=""/>
    <s v=""/>
    <s v=""/>
    <x v="13"/>
    <s v=""/>
    <x v="14"/>
    <s v="15/01/2025"/>
    <m/>
    <m/>
    <s v=""/>
    <s v=""/>
    <s v=""/>
    <s v=""/>
    <n v="1"/>
  </r>
  <r>
    <x v="1"/>
    <n v="109"/>
    <n v="164"/>
    <n v="835"/>
    <s v=""/>
    <s v=""/>
    <x v="22"/>
    <n v="2531826000102"/>
    <s v="Fosboi da Bahia"/>
    <s v="Marcelo Luz"/>
    <s v="75991975073"/>
    <s v=""/>
    <s v="marceloluizlimafilho@outlook.com"/>
    <s v=""/>
    <s v=""/>
    <s v=""/>
    <s v="Feira de Santana"/>
    <s v="BA"/>
    <s v=""/>
    <s v=""/>
    <s v=""/>
    <s v="Guarani AFV;Guarani ERP"/>
    <s v="Pipeline de Vendas"/>
    <s v="Apresentar Solução (35%)"/>
    <s v=""/>
    <m/>
    <m/>
    <m/>
    <n v="18"/>
    <s v="Paulo Souza"/>
    <d v="2024-12-01T00:00:00"/>
    <d v="1899-12-30T20:30:37"/>
    <s v=""/>
    <s v="Perdido"/>
    <d v="2024-12-19T00:00:00"/>
    <d v="1899-12-30T15:08:41"/>
    <s v="Não informou motivo da desistência"/>
    <s v="sem retorno"/>
    <s v=""/>
    <x v="1"/>
    <s v=""/>
    <x v="1"/>
    <s v=""/>
    <m/>
    <m/>
    <s v=""/>
    <s v=""/>
    <s v=""/>
    <s v=""/>
    <n v="1"/>
  </r>
  <r>
    <x v="1"/>
    <n v="110"/>
    <n v="165"/>
    <n v="836"/>
    <s v=""/>
    <s v=""/>
    <x v="23"/>
    <n v="29341068000116"/>
    <s v="TEK MIX DISTRIBUICAO"/>
    <s v="TEK MIX DISTRIBUICAO"/>
    <s v="62991561717"/>
    <s v=""/>
    <s v="Wolneyaraujolino@gmail.com"/>
    <s v=""/>
    <s v=""/>
    <s v=""/>
    <s v="Anapólis"/>
    <s v="GO"/>
    <s v=""/>
    <s v=""/>
    <s v=""/>
    <s v="Guarani AFV;Guarani ERP"/>
    <s v="Pipeline de Vendas"/>
    <s v="Apresentar Proposta (50%)"/>
    <s v=""/>
    <m/>
    <m/>
    <m/>
    <n v="57"/>
    <s v="Paulo Souza"/>
    <d v="2024-12-01T00:00:00"/>
    <d v="1899-12-30T20:30:37"/>
    <s v=""/>
    <s v="Perdido"/>
    <d v="2025-01-27T00:00:00"/>
    <d v="1899-12-30T11:52:01"/>
    <s v="Fechou com o concorrente - preço"/>
    <s v="Devido a localização e proposta do concorrente (Target) perdemos a concorrência"/>
    <s v=""/>
    <x v="1"/>
    <s v=""/>
    <x v="1"/>
    <s v=""/>
    <m/>
    <m/>
    <s v=""/>
    <s v=""/>
    <s v=""/>
    <s v=""/>
    <n v="1"/>
  </r>
  <r>
    <x v="1"/>
    <n v="111"/>
    <n v="165"/>
    <n v="837"/>
    <s v=""/>
    <s v=""/>
    <x v="24"/>
    <n v="29341068000116"/>
    <s v="TEK MIX DISTRIBUICAO"/>
    <s v="Wolden"/>
    <s v="62991561717"/>
    <s v=""/>
    <s v="Wolneyaraujolino@gmail.com"/>
    <s v=""/>
    <s v=""/>
    <s v=""/>
    <s v="Anapólis"/>
    <s v="GO"/>
    <s v=""/>
    <s v=""/>
    <s v=""/>
    <s v="Guarani CLOUD"/>
    <s v="Pipeline de Vendas"/>
    <s v="Apresentar Proposta (50%)"/>
    <s v=""/>
    <m/>
    <m/>
    <m/>
    <n v="57"/>
    <s v="Paulo Souza"/>
    <d v="2024-12-01T00:00:00"/>
    <d v="1899-12-30T20:30:37"/>
    <s v=""/>
    <s v="Perdido"/>
    <d v="2025-01-27T00:00:00"/>
    <d v="1899-12-30T11:52:59"/>
    <s v="Fechou com o concorrente - preço"/>
    <s v="Devido a localização e proposta do concorrente (Target) perdemos a concorrência"/>
    <s v=""/>
    <x v="1"/>
    <s v=""/>
    <x v="1"/>
    <s v=""/>
    <m/>
    <m/>
    <s v=""/>
    <s v=""/>
    <s v=""/>
    <s v=""/>
    <n v="1"/>
  </r>
  <r>
    <x v="1"/>
    <n v="113"/>
    <n v="167"/>
    <n v="842"/>
    <s v=""/>
    <s v=""/>
    <x v="25"/>
    <n v="7973104000121"/>
    <s v="ELMO ATACADO"/>
    <s v="João Carlos Tasca"/>
    <s v="47999949301"/>
    <s v=""/>
    <s v="joao@atacadoelmo.com.br"/>
    <s v=""/>
    <s v=""/>
    <s v=""/>
    <s v="Joinville"/>
    <s v="SC"/>
    <s v=""/>
    <s v=""/>
    <s v=""/>
    <s v="Adicionais ERP"/>
    <s v="Pipeline de Vendas"/>
    <s v="Em negociação (75%)"/>
    <s v=""/>
    <m/>
    <m/>
    <m/>
    <n v="81"/>
    <s v="Paulo Souza"/>
    <d v="2024-12-01T00:00:00"/>
    <d v="1899-12-30T20:30:38"/>
    <s v=""/>
    <s v="Perdido"/>
    <d v="2025-02-20T00:00:00"/>
    <d v="1899-12-30T11:26:46"/>
    <s v="Projeto adiado / sem prazo definido"/>
    <s v="cliente ainda não decidiu"/>
    <s v=""/>
    <x v="14"/>
    <s v=""/>
    <x v="0"/>
    <s v=""/>
    <m/>
    <m/>
    <s v=""/>
    <s v=""/>
    <s v=""/>
    <s v=""/>
    <n v="1"/>
  </r>
  <r>
    <x v="1"/>
    <n v="114"/>
    <n v="161"/>
    <n v="827"/>
    <s v=""/>
    <s v=""/>
    <x v="26"/>
    <n v="2609426000172"/>
    <s v="MD Importação"/>
    <s v="Juliana"/>
    <s v="47991450725"/>
    <s v=""/>
    <s v="mdimposrtacao@gmail.com"/>
    <s v=""/>
    <s v=""/>
    <s v=""/>
    <s v="Rio do Sul"/>
    <s v="SC"/>
    <s v="Indicação"/>
    <s v=""/>
    <s v=""/>
    <s v="Guarani CLOUD"/>
    <s v="Pipeline de Vendas"/>
    <s v="Em negociação (75%)"/>
    <s v=""/>
    <m/>
    <m/>
    <m/>
    <n v="120"/>
    <s v="Paulo Souza"/>
    <d v="2024-12-01T00:00:00"/>
    <d v="1899-12-30T20:30:38"/>
    <s v=""/>
    <s v="Perdido"/>
    <d v="2025-03-31T00:00:00"/>
    <d v="1899-12-30T15:46:33"/>
    <s v="Não houve aprovação financeira"/>
    <s v="cliente esfriou após envio da proposta comercial"/>
    <s v=""/>
    <x v="10"/>
    <s v=""/>
    <x v="11"/>
    <s v=""/>
    <m/>
    <m/>
    <s v=""/>
    <s v=""/>
    <s v=""/>
    <s v=""/>
    <n v="1"/>
  </r>
  <r>
    <x v="1"/>
    <n v="116"/>
    <m/>
    <n v="847"/>
    <s v=""/>
    <s v=""/>
    <x v="27"/>
    <n v="58151616000143"/>
    <s v=""/>
    <s v="Pedro"/>
    <s v="19993040768"/>
    <s v=""/>
    <s v="pehpbroglio@gmail.com"/>
    <s v=""/>
    <s v=""/>
    <s v=""/>
    <s v="ITAJAI"/>
    <s v="SC"/>
    <s v=""/>
    <s v=""/>
    <s v=""/>
    <s v="QUENTE"/>
    <s v="Pipeline de Vendas"/>
    <s v="Em Fechamento (100%)"/>
    <s v="10x sem juros (0/30/60/90/120/150...)"/>
    <d v="2025-01-31T00:00:00"/>
    <n v="4736912"/>
    <n v="98326"/>
    <n v="53"/>
    <s v="Junior Lopes"/>
    <d v="2024-12-02T00:00:00"/>
    <d v="1899-12-30T09:35:49"/>
    <s v=""/>
    <s v="Ganho"/>
    <d v="2025-01-24T00:00:00"/>
    <d v="1899-12-30T11:23:35"/>
    <s v=""/>
    <s v=""/>
    <s v=""/>
    <x v="15"/>
    <s v="Junior Lopes"/>
    <x v="15"/>
    <s v=""/>
    <m/>
    <m/>
    <s v=""/>
    <s v=""/>
    <s v=""/>
    <s v=""/>
    <n v="1"/>
  </r>
  <r>
    <x v="1"/>
    <n v="118"/>
    <m/>
    <n v="851"/>
    <s v=""/>
    <s v=""/>
    <x v="28"/>
    <n v="64582232000188"/>
    <s v=""/>
    <s v="Edi"/>
    <s v="11981337574"/>
    <s v=""/>
    <s v="ggealdo@injeplastec.com.br"/>
    <s v=""/>
    <s v=""/>
    <s v=""/>
    <s v=""/>
    <s v=""/>
    <s v=""/>
    <s v=""/>
    <s v=""/>
    <s v=""/>
    <s v="Pipeline de Vendas"/>
    <s v="Em negociação (75%)"/>
    <s v=""/>
    <d v="2025-01-31T00:00:00"/>
    <n v="202945"/>
    <m/>
    <n v="64"/>
    <s v="Junior Lopes"/>
    <d v="2024-12-04T00:00:00"/>
    <d v="1899-12-30T11:49:15"/>
    <s v=""/>
    <s v="Perdido"/>
    <d v="2025-02-06T00:00:00"/>
    <d v="1899-12-30T15:53:07"/>
    <s v="Não quer mudar a solução atual"/>
    <s v="cliente não decidiu seguir"/>
    <s v="02/12/2024"/>
    <x v="16"/>
    <s v="Junior Lopes"/>
    <x v="16"/>
    <s v=""/>
    <m/>
    <m/>
    <s v=""/>
    <s v=""/>
    <s v=""/>
    <s v=""/>
    <n v="1"/>
  </r>
  <r>
    <x v="1"/>
    <n v="122"/>
    <m/>
    <n v="855"/>
    <s v="Após a visita realizada em 10/12/2025, foi agendada uma nova reunião para tratar de assuntos técnicos em 12/12/2025 às 14h._x000a_13:47, 27/01/2026 Fabio Porto Brasil: Boa tarde Junior_x000a_13:47, 27/01/2026 Fabio Porto Brasil: tudo certo ?_x000a_13:47, 27/01/2026 Junior Lopes: Olá ! Sou Junior Lopes, consultor comercial Guarani sistemas _x000a_Como posso te ajudar ?_x000a_13:47, 27/01/2026 Fabio Porto Brasil: Antes de mais nada (e ainda em tempo kkkk), obrigado pela mensagem. Desejo um ótimo 2026_x000a_13:47, 27/01/2026 Fabio Porto Brasil: somente alinhado o status, a PBC deve iniciar em março/26, porém vou revisitar o cronograma de aprovação com eles para podermos nos alinhar._x000a_13:53, 27/01/2026 Junior Lopes: Olá Fábio, boa tarde ! Obrigado pelo retorno _x000a_Ficamos no aguardo então ! Caso necessário pode me chamar _x000a_Abraços"/>
    <s v=""/>
    <x v="29"/>
    <n v="8520654000158"/>
    <s v=""/>
    <s v="Marina"/>
    <s v="19999128074"/>
    <s v=""/>
    <s v="marina@portobrasilceramica.com.br"/>
    <s v=""/>
    <s v=""/>
    <s v=""/>
    <s v=""/>
    <s v=""/>
    <s v="Outbound"/>
    <s v=""/>
    <s v=""/>
    <s v="80%;Fabio Indica;Guarani AFV"/>
    <s v="Pipeline de Vendas"/>
    <s v="Em Fechamento (100%)"/>
    <s v="6x sem juros (0/30/60/90/120/150...)"/>
    <d v="2026-03-31T00:00:00"/>
    <n v="4519984"/>
    <n v="522464"/>
    <n v="512"/>
    <s v="Débora Duarte"/>
    <d v="2024-12-04T00:00:00"/>
    <d v="1899-12-30T14:40:54"/>
    <s v=""/>
    <s v="Ganho"/>
    <d v="2026-04-30T00:00:00"/>
    <d v="1899-12-30T14:25:28"/>
    <s v=""/>
    <s v=""/>
    <s v="04/12/2024 00:00"/>
    <x v="17"/>
    <s v="Junior Lopes"/>
    <x v="17"/>
    <s v="30/01/2025"/>
    <d v="2026-01-27T00:00:00"/>
    <n v="80"/>
    <s v=""/>
    <s v=""/>
    <s v=""/>
    <s v=""/>
    <n v="1"/>
  </r>
  <r>
    <x v="1"/>
    <n v="125"/>
    <m/>
    <n v="860"/>
    <s v=""/>
    <s v=""/>
    <x v="30"/>
    <m/>
    <s v=""/>
    <s v="GB Importadora - Clou"/>
    <s v="19993040768"/>
    <s v=""/>
    <s v="pehpbroglio@gmail.com"/>
    <s v=""/>
    <s v=""/>
    <s v=""/>
    <s v=""/>
    <s v=""/>
    <s v=""/>
    <s v=""/>
    <s v=""/>
    <s v="QUENTE"/>
    <s v="Pipeline de Vendas"/>
    <s v="Em Fechamento (100%)"/>
    <s v=""/>
    <d v="2025-01-31T00:00:00"/>
    <n v="1600"/>
    <n v="157626"/>
    <n v="49"/>
    <s v="Junior Lopes"/>
    <d v="2024-12-06T00:00:00"/>
    <d v="1899-12-30T16:28:22"/>
    <s v=""/>
    <s v="Ganho"/>
    <d v="2025-01-24T00:00:00"/>
    <d v="1899-12-30T11:42:08"/>
    <s v=""/>
    <s v=""/>
    <s v=""/>
    <x v="15"/>
    <s v=""/>
    <x v="18"/>
    <s v=""/>
    <m/>
    <m/>
    <s v=""/>
    <s v=""/>
    <s v=""/>
    <s v=""/>
    <n v="1"/>
  </r>
  <r>
    <x v="1"/>
    <n v="127"/>
    <m/>
    <n v="981"/>
    <s v=""/>
    <s v=""/>
    <x v="31"/>
    <n v="48885921000105"/>
    <s v=""/>
    <s v="Helder"/>
    <s v="(11) 3098-7840"/>
    <s v=""/>
    <s v="helder@ssdistribuidora.com.br"/>
    <s v=""/>
    <s v=""/>
    <s v=""/>
    <s v=""/>
    <s v=""/>
    <s v="Outbound"/>
    <s v=""/>
    <s v=""/>
    <s v=""/>
    <s v="Pipeline de Vendas"/>
    <s v="Em Fechamento (100%)"/>
    <s v=""/>
    <d v="2024-12-31T00:00:00"/>
    <n v="450"/>
    <m/>
    <n v="2"/>
    <s v="Junior Lopes"/>
    <d v="2024-12-10T00:00:00"/>
    <d v="1899-12-30T10:37:47"/>
    <s v=""/>
    <s v="Ganho"/>
    <d v="2024-12-12T00:00:00"/>
    <d v="1899-12-30T16:15:01"/>
    <s v=""/>
    <s v=""/>
    <s v="03/12/2024"/>
    <x v="18"/>
    <s v="Junior Lopes"/>
    <x v="16"/>
    <s v="11/12/2024"/>
    <m/>
    <m/>
    <s v=""/>
    <s v=""/>
    <s v=""/>
    <s v=""/>
    <n v="1"/>
  </r>
  <r>
    <x v="1"/>
    <n v="130"/>
    <m/>
    <n v="987"/>
    <s v=""/>
    <s v=""/>
    <x v="32"/>
    <n v="5691820000190"/>
    <s v=""/>
    <s v="Culturama"/>
    <s v="54996596274"/>
    <s v=""/>
    <s v="vinicius.mathyas@culturama.com.br"/>
    <s v=""/>
    <s v=""/>
    <s v=""/>
    <s v="CAXIAS DO SUL"/>
    <s v="RS"/>
    <s v=""/>
    <s v=""/>
    <s v=""/>
    <s v="QUENTE"/>
    <s v="Pipeline de Vendas"/>
    <s v="Em Fechamento (100%)"/>
    <s v=""/>
    <d v="2025-01-31T00:00:00"/>
    <n v="0"/>
    <n v="3564"/>
    <n v="43"/>
    <s v="Junior Lopes"/>
    <d v="2024-12-12T00:00:00"/>
    <d v="1899-12-30T09:14:28"/>
    <s v=""/>
    <s v="Ganho"/>
    <d v="2025-01-24T00:00:00"/>
    <d v="1899-12-30T11:07:30"/>
    <s v=""/>
    <s v=""/>
    <s v="05/12/2024"/>
    <x v="19"/>
    <s v="Junior Lopes"/>
    <x v="2"/>
    <s v=""/>
    <m/>
    <m/>
    <s v=""/>
    <s v=""/>
    <s v=""/>
    <s v=""/>
    <n v="1"/>
  </r>
  <r>
    <x v="1"/>
    <n v="131"/>
    <m/>
    <n v="990"/>
    <s v=""/>
    <s v=""/>
    <x v="33"/>
    <m/>
    <s v=""/>
    <s v="Rigomal"/>
    <s v="16997486376"/>
    <s v=""/>
    <s v="junior@rigomel.com.br"/>
    <s v=""/>
    <s v=""/>
    <s v=""/>
    <s v=""/>
    <s v=""/>
    <s v=""/>
    <s v=""/>
    <s v=""/>
    <s v=""/>
    <s v="Pipeline de Vendas"/>
    <s v="Apresentar Solução (35%)"/>
    <s v=""/>
    <m/>
    <n v="37964"/>
    <m/>
    <n v="7"/>
    <s v="Junior Lopes"/>
    <d v="2024-12-12T00:00:00"/>
    <d v="1899-12-30T10:50:50"/>
    <s v=""/>
    <s v="Perdido"/>
    <d v="2024-12-19T00:00:00"/>
    <d v="1899-12-30T09:39:21"/>
    <s v="Fechou com o concorrente - preço"/>
    <s v="junior informou que vai seguir com Mercus ! indicaçãom do seu atual ERP Triplus"/>
    <s v=""/>
    <x v="20"/>
    <s v=""/>
    <x v="19"/>
    <s v="16/12/2024"/>
    <m/>
    <m/>
    <s v=""/>
    <s v=""/>
    <s v=""/>
    <s v=""/>
    <n v="1"/>
  </r>
  <r>
    <x v="1"/>
    <n v="135"/>
    <m/>
    <n v="996"/>
    <s v=""/>
    <s v=""/>
    <x v="34"/>
    <m/>
    <s v=""/>
    <s v="Viva Vidros"/>
    <s v="11988839646"/>
    <s v=""/>
    <s v="comercial@vivavidros.com.br"/>
    <s v=""/>
    <s v=""/>
    <s v=""/>
    <s v=""/>
    <s v=""/>
    <s v=""/>
    <s v=""/>
    <s v=""/>
    <s v="QUENTE"/>
    <s v="Pipeline de Vendas"/>
    <s v="Em Fechamento (100%)"/>
    <s v=""/>
    <m/>
    <n v="28832"/>
    <n v="110248"/>
    <n v="83"/>
    <s v="Junior Lopes"/>
    <d v="2024-12-12T00:00:00"/>
    <d v="1899-12-30T17:20:55"/>
    <s v=""/>
    <s v="Perdido"/>
    <d v="2025-03-05T00:00:00"/>
    <d v="1899-12-30T11:12:51"/>
    <s v="Projeto adiado / sem prazo definido"/>
    <s v="cliente com situação de pendencias financeiras"/>
    <s v=""/>
    <x v="21"/>
    <s v=""/>
    <x v="0"/>
    <s v=""/>
    <m/>
    <m/>
    <s v=""/>
    <s v=""/>
    <s v=""/>
    <s v=""/>
    <n v="1"/>
  </r>
  <r>
    <x v="1"/>
    <n v="138"/>
    <m/>
    <n v="1103"/>
    <s v=""/>
    <s v=""/>
    <x v="35"/>
    <n v="54734384000103"/>
    <s v=""/>
    <s v="Star Distribuidora"/>
    <s v="17997793113"/>
    <s v=""/>
    <s v="comercial@distribuidorastar.com.br"/>
    <s v=""/>
    <s v=""/>
    <s v=""/>
    <s v=""/>
    <s v=""/>
    <s v=""/>
    <s v=""/>
    <s v=""/>
    <s v="QUENTE"/>
    <s v="Pipeline de Vendas"/>
    <s v="Em negociação (75%)"/>
    <s v=""/>
    <m/>
    <n v="49588"/>
    <m/>
    <n v="23"/>
    <s v="Junior Lopes"/>
    <d v="2024-12-17T00:00:00"/>
    <d v="1899-12-30T12:22:38"/>
    <s v=""/>
    <s v="Perdido"/>
    <d v="2025-01-09T00:00:00"/>
    <d v="1899-12-30T15:57:21"/>
    <s v="Projeto adiado / sem prazo definido"/>
    <s v="estamos fechando solução completa"/>
    <s v=""/>
    <x v="22"/>
    <s v=""/>
    <x v="20"/>
    <s v=""/>
    <m/>
    <m/>
    <s v=""/>
    <s v=""/>
    <s v=""/>
    <s v=""/>
    <n v="1"/>
  </r>
  <r>
    <x v="1"/>
    <n v="139"/>
    <m/>
    <n v="1113"/>
    <s v=""/>
    <s v=""/>
    <x v="36"/>
    <m/>
    <s v=""/>
    <s v="DCL Editora"/>
    <s v="11991297401"/>
    <s v=""/>
    <s v="administrativo@editoradcl.com.br"/>
    <s v=""/>
    <s v=""/>
    <s v=""/>
    <s v=""/>
    <s v=""/>
    <s v=""/>
    <s v=""/>
    <s v=""/>
    <s v=""/>
    <s v="Pipeline de Vendas"/>
    <s v="Apresentar Proposta (50%)"/>
    <s v=""/>
    <d v="2025-01-31T00:00:00"/>
    <n v="168592"/>
    <n v="6426"/>
    <n v="40"/>
    <s v="Junior Lopes"/>
    <d v="2024-12-19T00:00:00"/>
    <d v="1899-12-30T09:42:19"/>
    <s v=""/>
    <s v="Perdido"/>
    <d v="2025-01-28T00:00:00"/>
    <d v="1899-12-30T14:28:25"/>
    <s v="Não houve aprovação financeira"/>
    <s v="cliente não deu sequencia em nossa negociação"/>
    <s v="12/12/2024"/>
    <x v="16"/>
    <s v=""/>
    <x v="21"/>
    <s v=""/>
    <m/>
    <m/>
    <s v=""/>
    <s v=""/>
    <s v=""/>
    <s v=""/>
    <n v="1"/>
  </r>
  <r>
    <x v="1"/>
    <n v="140"/>
    <m/>
    <n v="1114"/>
    <s v=""/>
    <s v=""/>
    <x v="37"/>
    <m/>
    <s v=""/>
    <s v="Everson"/>
    <s v="17997793113"/>
    <s v=""/>
    <s v="comercial@distribuidorastar.com.br"/>
    <s v=""/>
    <s v=""/>
    <s v=""/>
    <s v=""/>
    <s v=""/>
    <s v=""/>
    <s v=""/>
    <s v=""/>
    <s v=""/>
    <s v="Pipeline de Vendas"/>
    <s v="Em Fechamento (100%)"/>
    <s v="10x sem juros (0/30/60/90/120/150...)"/>
    <d v="2025-01-31T00:00:00"/>
    <n v="4587892"/>
    <n v="628168"/>
    <n v="36"/>
    <s v="Junior Lopes"/>
    <d v="2024-12-19T00:00:00"/>
    <d v="1899-12-30T10:01:34"/>
    <s v=""/>
    <s v="Ganho"/>
    <d v="2025-01-24T00:00:00"/>
    <d v="1899-12-30T12:26:37"/>
    <s v=""/>
    <s v=""/>
    <s v=""/>
    <x v="23"/>
    <s v=""/>
    <x v="22"/>
    <s v="09/01/2025"/>
    <m/>
    <m/>
    <s v=""/>
    <s v=""/>
    <s v=""/>
    <s v=""/>
    <n v="1"/>
  </r>
  <r>
    <x v="1"/>
    <n v="141"/>
    <n v="159"/>
    <n v="1115"/>
    <s v=""/>
    <s v=""/>
    <x v="38"/>
    <n v="43526090000161"/>
    <s v="Precisa Import"/>
    <s v="Tony"/>
    <s v="11972961489"/>
    <s v=""/>
    <s v="comercial@prorepresentacao.com.nr"/>
    <s v=""/>
    <s v=""/>
    <s v=""/>
    <s v="Barueri"/>
    <s v="SP"/>
    <s v=""/>
    <s v=""/>
    <s v=""/>
    <s v=""/>
    <s v="Pipeline de Vendas"/>
    <s v="Em Fechamento (100%)"/>
    <s v="8x sem juros (0/30/60/90/120/150...)"/>
    <d v="2025-01-31T00:00:00"/>
    <n v="1600"/>
    <n v="2500"/>
    <n v="42"/>
    <s v="Junior Lopes"/>
    <d v="2024-12-19T00:00:00"/>
    <d v="1899-12-30T14:40:15"/>
    <s v=""/>
    <s v="Ganho"/>
    <d v="2025-01-28T00:00:00"/>
    <d v="1899-12-30T16:21:11"/>
    <s v=""/>
    <s v="0"/>
    <s v="20/01/2025"/>
    <x v="24"/>
    <s v=""/>
    <x v="0"/>
    <s v=""/>
    <m/>
    <m/>
    <s v=""/>
    <s v=""/>
    <s v=""/>
    <s v=""/>
    <n v="1"/>
  </r>
  <r>
    <x v="1"/>
    <n v="142"/>
    <m/>
    <n v="1117"/>
    <s v=""/>
    <s v=""/>
    <x v="39"/>
    <m/>
    <s v=""/>
    <s v="Everson"/>
    <s v="17997793113"/>
    <s v=""/>
    <s v="comercial@distribuidorastar.com.br"/>
    <s v=""/>
    <s v=""/>
    <s v=""/>
    <s v=""/>
    <s v=""/>
    <s v=""/>
    <s v=""/>
    <s v=""/>
    <s v=""/>
    <s v="Pipeline de Vendas"/>
    <s v="Em Fechamento (100%)"/>
    <s v=""/>
    <d v="2025-01-31T00:00:00"/>
    <n v="1600"/>
    <n v="243721"/>
    <n v="35"/>
    <s v="Junior Lopes"/>
    <d v="2024-12-20T00:00:00"/>
    <d v="1899-12-30T14:30:10"/>
    <s v=""/>
    <s v="Ganho"/>
    <d v="2025-01-24T00:00:00"/>
    <d v="1899-12-30T14:02:50"/>
    <s v=""/>
    <s v=""/>
    <s v=""/>
    <x v="23"/>
    <s v=""/>
    <x v="22"/>
    <s v="09/01/2025"/>
    <m/>
    <m/>
    <s v=""/>
    <s v=""/>
    <s v=""/>
    <s v=""/>
    <n v="1"/>
  </r>
  <r>
    <x v="0"/>
    <n v="144"/>
    <m/>
    <n v="181"/>
    <s v="Me chamou no whatsapp, possível indicação."/>
    <s v=""/>
    <x v="40"/>
    <n v="27805256000122"/>
    <s v=""/>
    <s v="Jefeerson"/>
    <s v="(83) 3441-1738 / (83) 9882-5004"/>
    <s v=""/>
    <s v=""/>
    <s v=""/>
    <s v=""/>
    <s v=""/>
    <s v="CATOLE DO ROCHA"/>
    <s v="PB"/>
    <s v="Feiras"/>
    <s v=""/>
    <s v=""/>
    <s v="Abup2025Fevereiro;GELADO"/>
    <s v="Pipeline de Vendas"/>
    <s v="Em Fechamento (100%)"/>
    <s v="6x sem juros (0/30/60/90/120/150...)"/>
    <m/>
    <n v="146772"/>
    <n v="1102804"/>
    <n v="154"/>
    <s v="Paulo Souza"/>
    <d v="2025-01-07T00:00:00"/>
    <d v="1899-12-30T16:58:48"/>
    <s v=""/>
    <s v="Ganho"/>
    <d v="2025-01-29T00:00:00"/>
    <d v="1899-12-30T01:04:49"/>
    <s v=""/>
    <s v="0"/>
    <s v=""/>
    <x v="25"/>
    <s v="Paulo Souza"/>
    <x v="23"/>
    <s v=""/>
    <m/>
    <m/>
    <s v=""/>
    <s v=""/>
    <s v=""/>
    <s v=""/>
    <n v="1"/>
  </r>
  <r>
    <x v="0"/>
    <n v="145"/>
    <m/>
    <n v="12"/>
    <s v="Indústria de alumínio atualmente utiliza um ERP local, junto com o EPR do mesmo fornecedor. Porém a principal dificuldade esta no processo produtivo, que ainda não foi implantado. Por este motivo a empresa necessita de um módulo de PCP (Planejamento e controle da produção) e o AFV atual não atende as necessidades comerciais._x000a_MBA Alumínios_x000a_Com mais de 38 anos de atuação no setor de alumínios, a MBA Alumínios é uma fábrica consolidada que abrange toda a cadeia produtiva de panelas de alumínio, desde a compra de sucata, produção de discos, estamparia, pintura, montagem, até embalagem e armazenamento._x000a_A empresa adotará os seguintes produtos:_x000a_ERP + PCP: 10 usuários_x000a_Checkout (ERP): 4 usuários_x000a_AFV: 14 usuários_x000a_MDe_x000a_MDFe_x000a_Possui dois CNPJs enquadrados no Simples Nacional e está localizada na cidade de Itaúna - MG."/>
    <s v="MBA ALUMINIOS LTDA."/>
    <x v="41"/>
    <n v="22752240000185"/>
    <s v=""/>
    <s v="Selmo Fernandes"/>
    <s v="(37) 99856-9457"/>
    <s v=""/>
    <s v="selmofilho@mbaluminios.com.br"/>
    <s v=""/>
    <s v=""/>
    <s v=""/>
    <s v="ITAUNA"/>
    <s v=""/>
    <s v="Outbound"/>
    <s v=""/>
    <s v=""/>
    <s v="SDRDébora"/>
    <s v="Pipeline de Vendas"/>
    <s v="Em negociação (75%)"/>
    <s v=""/>
    <m/>
    <m/>
    <m/>
    <n v="38"/>
    <s v="Paulo Souza"/>
    <d v="2025-01-07T00:00:00"/>
    <d v="1899-12-30T17:36:41"/>
    <s v=""/>
    <s v="Perdido"/>
    <d v="2025-02-14T00:00:00"/>
    <d v="1899-12-30T15:35:32"/>
    <s v="Projeto adiado / sem prazo definido"/>
    <s v=""/>
    <s v=""/>
    <x v="0"/>
    <s v=""/>
    <x v="24"/>
    <s v=""/>
    <m/>
    <m/>
    <s v=""/>
    <s v=""/>
    <s v=""/>
    <s v=""/>
    <n v="1"/>
  </r>
  <r>
    <x v="1"/>
    <n v="148"/>
    <m/>
    <n v="270"/>
    <s v="Carlos informou que possui hoje 50 RCA, e utilizam o ERP Solides."/>
    <s v="ETRURIA INDUSTRIA DE FIBRAS E FIOS SINTETICOS LTDA"/>
    <x v="42"/>
    <n v="45723541000186"/>
    <s v=""/>
    <s v="ETRURIA"/>
    <s v="1147188700"/>
    <s v=""/>
    <s v="etruria@etruria.com.br"/>
    <s v=""/>
    <s v="ETRURIA;Carlos"/>
    <s v=""/>
    <s v="Mairinque - SP"/>
    <s v="SP"/>
    <s v="Outbound"/>
    <s v=""/>
    <s v=""/>
    <s v="Importado a partir de lista;SDRFernanda"/>
    <s v="Pipeline de Vendas"/>
    <s v="Em negociação (75%)"/>
    <s v=""/>
    <m/>
    <n v="16960"/>
    <n v="4714"/>
    <n v="72"/>
    <s v="Fernanda Santiago"/>
    <d v="2025-01-08T00:00:00"/>
    <d v="1899-12-30T11:08:30"/>
    <s v=""/>
    <s v="Perdido"/>
    <d v="2025-03-21T00:00:00"/>
    <d v="1899-12-30T10:20:05"/>
    <s v="Não quer mudar a solução atual"/>
    <s v="decidiu não mudar força de vendas nesse momento"/>
    <s v=""/>
    <x v="26"/>
    <s v="Fernanda Santiago"/>
    <x v="25"/>
    <s v="21/01/2025"/>
    <m/>
    <m/>
    <s v=""/>
    <s v=""/>
    <s v=""/>
    <s v=""/>
    <n v="1"/>
  </r>
  <r>
    <x v="1"/>
    <n v="151"/>
    <m/>
    <n v="1540"/>
    <s v=""/>
    <s v=""/>
    <x v="43"/>
    <n v="21733807000103"/>
    <s v=""/>
    <s v="News aviamentos"/>
    <s v="(11) 3229-6911"/>
    <s v=""/>
    <s v="caiotls@hotmail.com"/>
    <s v=""/>
    <s v=""/>
    <s v=""/>
    <s v="SAO PAULO"/>
    <s v="SP"/>
    <s v=""/>
    <s v=""/>
    <s v=""/>
    <s v=""/>
    <s v="Pipeline de Vendas"/>
    <s v="Em negociação (75%)"/>
    <s v=""/>
    <m/>
    <n v="4830624"/>
    <n v="384549"/>
    <n v="43"/>
    <s v="Junior Lopes"/>
    <d v="2025-01-09T00:00:00"/>
    <d v="1899-12-30T16:01:24"/>
    <s v=""/>
    <s v="Perdido"/>
    <d v="2025-02-21T00:00:00"/>
    <d v="1899-12-30T14:27:38"/>
    <s v="Não houve aprovação financeira"/>
    <s v="achou investimento fora para o momento"/>
    <s v=""/>
    <x v="26"/>
    <s v=""/>
    <x v="26"/>
    <s v="20/01/2025"/>
    <m/>
    <m/>
    <s v=""/>
    <s v=""/>
    <s v=""/>
    <s v=""/>
    <n v="1"/>
  </r>
  <r>
    <x v="0"/>
    <n v="154"/>
    <n v="177"/>
    <n v="1546"/>
    <s v=""/>
    <s v=""/>
    <x v="44"/>
    <n v="58636773000149"/>
    <s v="GLOBAL MIX ATACADISTA LTDA."/>
    <s v="Juan Charles Brandão Bastos"/>
    <s v="(32) 98458-5164"/>
    <s v=""/>
    <s v="afonso@assecon.net.br"/>
    <s v="Matriz"/>
    <s v=""/>
    <s v="R DOM LUIZ ORIONE 577"/>
    <s v="Juiz de Fora"/>
    <s v="MG"/>
    <s v="Site"/>
    <s v="Site"/>
    <s v=""/>
    <s v="GELADO;Pausado;Solicita demo"/>
    <s v="Pipeline de Vendas"/>
    <s v="Em negociação (75%)"/>
    <s v="6x sem juros (0/30/60/90/120/150...)"/>
    <m/>
    <n v="5689656"/>
    <n v="259936"/>
    <n v="151"/>
    <s v="Fernanda Santiago"/>
    <d v="2025-01-10T00:00:00"/>
    <d v="1899-12-30T12:12:42"/>
    <s v=""/>
    <s v="Perdido"/>
    <d v="2025-06-10T00:00:00"/>
    <d v="1899-12-30T14:40:29"/>
    <s v="Não quer mudar a solução atual"/>
    <s v=""/>
    <s v="10/01/2025 16:00"/>
    <x v="13"/>
    <s v="Paulo Souza"/>
    <x v="27"/>
    <s v=""/>
    <m/>
    <m/>
    <s v=""/>
    <s v=""/>
    <s v=""/>
    <s v=""/>
    <n v="1"/>
  </r>
  <r>
    <x v="0"/>
    <n v="155"/>
    <m/>
    <n v="1547"/>
    <s v=""/>
    <s v=""/>
    <x v="45"/>
    <m/>
    <s v=""/>
    <s v="Bruce"/>
    <s v="21995977179"/>
    <s v=""/>
    <s v="null"/>
    <s v=""/>
    <s v=""/>
    <s v=""/>
    <s v=""/>
    <s v=""/>
    <s v=""/>
    <s v=""/>
    <s v=""/>
    <s v=""/>
    <s v="Pipeline de Vendas"/>
    <s v="Apresentar Solução (35%)"/>
    <s v=""/>
    <m/>
    <m/>
    <m/>
    <n v="18"/>
    <s v="Paulo Souza"/>
    <d v="2025-01-10T00:00:00"/>
    <d v="1899-12-30T14:48:28"/>
    <s v=""/>
    <s v="Perdido"/>
    <d v="2025-01-28T00:00:00"/>
    <d v="1899-12-30T16:53:34"/>
    <s v="Projeto adiado / sem prazo definido"/>
    <s v="Rayssa, está tratando no funil de pós-venda"/>
    <s v=""/>
    <x v="27"/>
    <s v="Paulo Souza"/>
    <x v="28"/>
    <s v=""/>
    <m/>
    <m/>
    <s v=""/>
    <s v=""/>
    <s v=""/>
    <s v=""/>
    <n v="1"/>
  </r>
  <r>
    <x v="0"/>
    <n v="164"/>
    <m/>
    <n v="1582"/>
    <s v=""/>
    <s v=""/>
    <x v="46"/>
    <n v="2675142000184"/>
    <s v=""/>
    <s v="Thiago"/>
    <s v="(11) 98534-8231"/>
    <s v=""/>
    <s v="thiago.ramos@sltexpress.com.br"/>
    <s v=""/>
    <s v=""/>
    <s v=""/>
    <s v="São Paulo"/>
    <s v=""/>
    <s v="Site"/>
    <s v=""/>
    <s v=""/>
    <s v="Contato;QUENTE"/>
    <s v="Pipeline de Vendas"/>
    <s v="Em negociação (75%)"/>
    <s v=""/>
    <m/>
    <m/>
    <m/>
    <n v="65"/>
    <s v="Fernanda Santiago"/>
    <d v="2025-01-15T00:00:00"/>
    <d v="1899-12-30T17:35:14"/>
    <s v=""/>
    <s v="Perdido"/>
    <d v="2025-03-21T00:00:00"/>
    <d v="1899-12-30T14:37:57"/>
    <s v="Fora do segmento atendido"/>
    <s v=""/>
    <s v="15/01/2025 17:00"/>
    <x v="13"/>
    <s v="Fernanda Santiago"/>
    <x v="29"/>
    <s v=""/>
    <m/>
    <m/>
    <s v=""/>
    <s v=""/>
    <s v=""/>
    <s v=""/>
    <n v="1"/>
  </r>
  <r>
    <x v="1"/>
    <n v="166"/>
    <m/>
    <n v="745"/>
    <s v=""/>
    <s v="VERSIVA COMERCIAL VERSIVA DISTRIBUIDORA"/>
    <x v="47"/>
    <n v="48314771000180"/>
    <s v=""/>
    <s v="Gilberto"/>
    <s v="11984587496"/>
    <s v=""/>
    <s v="gilberto.brito@quantiva.com.br"/>
    <s v=""/>
    <s v="Gilberto;null"/>
    <s v=""/>
    <s v=""/>
    <s v=""/>
    <s v=""/>
    <s v=""/>
    <s v=""/>
    <s v="SDRFernanda;TAG1SEM"/>
    <s v="Pipeline de Vendas"/>
    <s v="Apresentar Solução (35%)"/>
    <s v=""/>
    <m/>
    <m/>
    <m/>
    <n v="36"/>
    <s v="Fernanda Santiago"/>
    <d v="2025-01-16T00:00:00"/>
    <d v="1899-12-30T11:04:39"/>
    <s v=""/>
    <s v="Perdido"/>
    <d v="2025-02-21T00:00:00"/>
    <d v="1899-12-30T12:11:57"/>
    <s v="Projeto adiado / sem prazo definido"/>
    <s v="cliente não tem tempo para apresentação"/>
    <s v="16/01/2025 11:00"/>
    <x v="0"/>
    <s v="Fernanda Santiago"/>
    <x v="30"/>
    <s v=""/>
    <m/>
    <m/>
    <s v=""/>
    <s v=""/>
    <s v=""/>
    <s v=""/>
    <n v="1"/>
  </r>
  <r>
    <x v="0"/>
    <n v="167"/>
    <m/>
    <n v="1599"/>
    <s v=""/>
    <s v=""/>
    <x v="48"/>
    <m/>
    <s v=""/>
    <s v="Felipe"/>
    <s v="11975126999"/>
    <s v=""/>
    <s v="null"/>
    <s v=""/>
    <s v=""/>
    <s v=""/>
    <s v=""/>
    <s v=""/>
    <s v="Indicação"/>
    <s v=""/>
    <s v=""/>
    <s v="GELADO"/>
    <s v="Pipeline de Vendas"/>
    <s v="Em negociação (75%)"/>
    <s v="6x sem juros (0/30/60/90/120/150...)"/>
    <d v="2025-05-31T00:00:00"/>
    <n v="46000"/>
    <n v="308546"/>
    <n v="82"/>
    <s v="Paulo Souza"/>
    <d v="2025-01-16T00:00:00"/>
    <d v="1899-12-30T14:02:22"/>
    <s v=""/>
    <s v="Perdido"/>
    <d v="2025-04-08T00:00:00"/>
    <d v="1899-12-30T09:30:31"/>
    <s v="Não quer mudar a solução atual"/>
    <s v=""/>
    <s v=""/>
    <x v="28"/>
    <s v="Paulo Souza"/>
    <x v="31"/>
    <s v=""/>
    <m/>
    <m/>
    <s v=""/>
    <s v=""/>
    <s v=""/>
    <s v=""/>
    <n v="1"/>
  </r>
  <r>
    <x v="1"/>
    <n v="169"/>
    <m/>
    <n v="735"/>
    <s v=""/>
    <s v="ECOLIMP DISTRIBUIDORA ATACADISTA DE PRODUTOS DE HIGIENE - EIRELI"/>
    <x v="49"/>
    <n v="16941656000149"/>
    <s v=""/>
    <s v="Ecolimp Distribuidora"/>
    <s v="11956368569"/>
    <s v=""/>
    <s v="adrianarosa@ecolimpatacadista.com.br"/>
    <s v=""/>
    <s v="Ecolimp Distribuidora;null, Adriana"/>
    <s v=""/>
    <s v=""/>
    <s v=""/>
    <s v=""/>
    <s v=""/>
    <s v=""/>
    <s v=""/>
    <s v="Pipeline de Vendas"/>
    <s v="Apresentar Proposta (50%)"/>
    <s v=""/>
    <m/>
    <n v="16700"/>
    <n v="18186"/>
    <n v="6"/>
    <s v="Fernanda Santiago"/>
    <d v="2025-01-16T00:00:00"/>
    <d v="1899-12-30T17:13:16"/>
    <s v=""/>
    <s v="Perdido"/>
    <d v="2025-01-22T00:00:00"/>
    <d v="1899-12-30T12:12:09"/>
    <s v="Projeto adiado / sem prazo definido"/>
    <s v="pediu para retornar no futuro"/>
    <s v="16/01/2025 17:00"/>
    <x v="29"/>
    <s v="Fernanda Santiago"/>
    <x v="32"/>
    <s v=""/>
    <m/>
    <m/>
    <s v=""/>
    <s v=""/>
    <s v=""/>
    <s v=""/>
    <n v="1"/>
  </r>
  <r>
    <x v="1"/>
    <n v="174"/>
    <m/>
    <n v="734"/>
    <s v=""/>
    <s v="DISTRIBUIDORA CHAMPION LIMITADA"/>
    <x v="50"/>
    <n v="66559436000123"/>
    <s v=""/>
    <s v="Distribuidora Champion"/>
    <s v="1155237947"/>
    <s v=""/>
    <s v="andre@distribuidorachampion.com.br"/>
    <s v=""/>
    <s v="Distribuidora Champion;null"/>
    <s v=""/>
    <s v=""/>
    <s v=""/>
    <s v=""/>
    <s v=""/>
    <s v=""/>
    <s v=""/>
    <s v="Pipeline de Vendas"/>
    <s v="Agendamento (0%)"/>
    <s v=""/>
    <m/>
    <m/>
    <m/>
    <n v="31"/>
    <s v="Fernanda Santiago"/>
    <d v="2025-01-21T00:00:00"/>
    <d v="1899-12-30T10:39:04"/>
    <s v=""/>
    <s v="Perdido"/>
    <d v="2025-02-21T00:00:00"/>
    <d v="1899-12-30T10:55:19"/>
    <s v="Projeto adiado / sem prazo definido"/>
    <s v="sem resposta do cliente"/>
    <s v="21/01/2025 10:37"/>
    <x v="0"/>
    <s v="Fernanda Santiago"/>
    <x v="33"/>
    <s v=""/>
    <m/>
    <m/>
    <s v=""/>
    <s v=""/>
    <s v=""/>
    <s v=""/>
    <n v="1"/>
  </r>
  <r>
    <x v="1"/>
    <n v="178"/>
    <m/>
    <n v="1619"/>
    <s v=""/>
    <s v=""/>
    <x v="51"/>
    <n v="2306559000331"/>
    <s v=""/>
    <s v="Royal Toys"/>
    <s v="44999065000"/>
    <s v=""/>
    <s v="ney@royaltoys.com.br"/>
    <s v=""/>
    <s v=""/>
    <s v=""/>
    <s v=""/>
    <s v=""/>
    <s v=""/>
    <s v=""/>
    <s v=""/>
    <s v=""/>
    <s v="Pipeline de Vendas"/>
    <s v="Em negociação (75%)"/>
    <s v="6x sem juros (0/30/60/90/120/150...)"/>
    <m/>
    <n v="11520"/>
    <n v="14114"/>
    <n v="30"/>
    <s v="Junior Lopes"/>
    <d v="2025-01-22T00:00:00"/>
    <d v="1899-12-30T12:15:34"/>
    <s v=""/>
    <s v="Perdido"/>
    <d v="2025-02-21T00:00:00"/>
    <d v="1899-12-30T12:14:01"/>
    <s v="Fechou com o concorrente - preço"/>
    <s v="fechou com Mercus"/>
    <s v=""/>
    <x v="29"/>
    <s v=""/>
    <x v="34"/>
    <s v=""/>
    <m/>
    <m/>
    <s v=""/>
    <s v=""/>
    <s v=""/>
    <s v=""/>
    <n v="1"/>
  </r>
  <r>
    <x v="1"/>
    <n v="179"/>
    <m/>
    <n v="1621"/>
    <s v=""/>
    <s v=""/>
    <x v="52"/>
    <m/>
    <s v=""/>
    <s v="Atacado Junior"/>
    <s v="65984636358"/>
    <s v=""/>
    <s v="atacadojunior@uol.com.br"/>
    <s v=""/>
    <s v=""/>
    <s v=""/>
    <s v=""/>
    <s v=""/>
    <s v=""/>
    <s v=""/>
    <s v=""/>
    <s v=""/>
    <s v="Pipeline de Vendas"/>
    <s v="Apresentar Proposta (50%)"/>
    <s v="6x sem juros (0/30/60/90/120/150...)"/>
    <m/>
    <n v="61056"/>
    <n v="625045"/>
    <n v="14"/>
    <s v="Junior Lopes"/>
    <d v="2025-01-23T00:00:00"/>
    <d v="1899-12-30T09:32:50"/>
    <s v=""/>
    <s v="Perdido"/>
    <d v="2025-02-06T00:00:00"/>
    <d v="1899-12-30T16:03:00"/>
    <s v="Preço muito alto - fora do budget de investimento"/>
    <s v="valor alto para investimento"/>
    <s v=""/>
    <x v="30"/>
    <s v=""/>
    <x v="35"/>
    <s v="27/01/2025"/>
    <m/>
    <m/>
    <s v=""/>
    <s v=""/>
    <s v=""/>
    <s v=""/>
    <n v="1"/>
  </r>
  <r>
    <x v="1"/>
    <n v="183"/>
    <m/>
    <n v="1631"/>
    <s v=""/>
    <s v=""/>
    <x v="53"/>
    <m/>
    <s v=""/>
    <s v="Multiflon"/>
    <s v="54981117994"/>
    <s v=""/>
    <s v="cesar@multiflon.com.br"/>
    <s v=""/>
    <s v=""/>
    <s v=""/>
    <s v=""/>
    <s v=""/>
    <s v="Feiras"/>
    <s v=""/>
    <s v=""/>
    <s v=""/>
    <s v="Pipeline de Vendas"/>
    <s v="Em Fechamento (100%)"/>
    <s v="6x sem juros (0/30/60/90/120/150...)"/>
    <m/>
    <n v="16960"/>
    <n v="863104"/>
    <n v="103"/>
    <s v="Junior Lopes"/>
    <d v="2025-01-24T00:00:00"/>
    <d v="1899-12-30T10:40:09"/>
    <s v=""/>
    <s v="Ganho"/>
    <d v="2025-05-07T00:00:00"/>
    <d v="1899-12-30T08:53:35"/>
    <s v=""/>
    <s v=""/>
    <s v=""/>
    <x v="31"/>
    <s v=""/>
    <x v="35"/>
    <s v=""/>
    <m/>
    <m/>
    <s v=""/>
    <s v=""/>
    <s v=""/>
    <s v=""/>
    <n v="1"/>
  </r>
  <r>
    <x v="1"/>
    <n v="187"/>
    <m/>
    <n v="1642"/>
    <s v=""/>
    <s v=""/>
    <x v="54"/>
    <m/>
    <s v=""/>
    <s v="Metalmix tanque"/>
    <s v="16997631389"/>
    <s v=""/>
    <s v="metalmix.ibate@hotmail.com"/>
    <s v=""/>
    <s v=""/>
    <s v=""/>
    <s v=""/>
    <s v=""/>
    <s v=""/>
    <s v=""/>
    <s v=""/>
    <s v=""/>
    <s v="Pipeline de Vendas"/>
    <s v="Apresentar Solução (35%)"/>
    <s v=""/>
    <m/>
    <m/>
    <m/>
    <n v="49"/>
    <s v="Junior Lopes"/>
    <d v="2025-01-27T00:00:00"/>
    <d v="1899-12-30T14:53:37"/>
    <s v=""/>
    <s v="Perdido"/>
    <d v="2025-03-17T00:00:00"/>
    <d v="1899-12-30T09:55:20"/>
    <s v="Projeto adiado / sem prazo definido"/>
    <s v="Cliente fora do segmento"/>
    <s v=""/>
    <x v="0"/>
    <s v=""/>
    <x v="36"/>
    <s v=""/>
    <m/>
    <m/>
    <s v=""/>
    <s v=""/>
    <s v=""/>
    <s v=""/>
    <n v="1"/>
  </r>
  <r>
    <x v="1"/>
    <n v="188"/>
    <m/>
    <n v="1643"/>
    <s v=""/>
    <s v=""/>
    <x v="55"/>
    <m/>
    <s v=""/>
    <s v="C.a Teles Armarinhos E Papelaria Ltda"/>
    <s v="11999279928"/>
    <s v=""/>
    <s v="caiotls@hotmail.com"/>
    <s v=""/>
    <s v=""/>
    <s v=""/>
    <s v=""/>
    <s v=""/>
    <s v=""/>
    <s v=""/>
    <s v=""/>
    <s v=""/>
    <s v="Pipeline de Vendas"/>
    <s v="Em negociação (75%)"/>
    <s v=""/>
    <m/>
    <n v="1600"/>
    <n v="314528"/>
    <n v="25"/>
    <s v="Junior Lopes"/>
    <d v="2025-01-27T00:00:00"/>
    <d v="1899-12-30T15:48:35"/>
    <s v=""/>
    <s v="Perdido"/>
    <d v="2025-02-21T00:00:00"/>
    <d v="1899-12-30T14:28:44"/>
    <s v="Não houve aprovação financeira"/>
    <s v=""/>
    <s v=""/>
    <x v="29"/>
    <s v=""/>
    <x v="26"/>
    <s v=""/>
    <m/>
    <m/>
    <s v=""/>
    <s v=""/>
    <s v=""/>
    <s v=""/>
    <n v="1"/>
  </r>
  <r>
    <x v="1"/>
    <n v="191"/>
    <m/>
    <n v="1651"/>
    <s v=""/>
    <s v=""/>
    <x v="56"/>
    <m/>
    <s v=""/>
    <s v="Atacado Junior"/>
    <s v="65984636358"/>
    <s v=""/>
    <s v="atacadojunior@uol.com.br"/>
    <s v=""/>
    <s v=""/>
    <s v=""/>
    <s v=""/>
    <s v=""/>
    <s v=""/>
    <s v=""/>
    <s v=""/>
    <s v=""/>
    <s v="Pipeline de Vendas"/>
    <s v="Apresentar Proposta (50%)"/>
    <s v=""/>
    <m/>
    <n v="1600"/>
    <n v="4063"/>
    <n v="9"/>
    <s v="Junior Lopes"/>
    <d v="2025-01-28T00:00:00"/>
    <d v="1899-12-30T15:02:42"/>
    <s v=""/>
    <s v="Perdido"/>
    <d v="2025-02-06T00:00:00"/>
    <d v="1899-12-30T16:04:47"/>
    <s v="Preço muito alto - fora do budget de investimento"/>
    <s v="valor alto para investimento"/>
    <s v=""/>
    <x v="0"/>
    <s v=""/>
    <x v="0"/>
    <s v=""/>
    <m/>
    <m/>
    <s v=""/>
    <s v=""/>
    <s v=""/>
    <s v=""/>
    <n v="1"/>
  </r>
  <r>
    <x v="0"/>
    <n v="193"/>
    <m/>
    <n v="1608"/>
    <s v=""/>
    <s v=""/>
    <x v="57"/>
    <n v="2142286000175"/>
    <s v=""/>
    <s v="giovanna sesso"/>
    <s v="(11) 3777-2416"/>
    <s v=""/>
    <s v="giovanna@bolplast.com.br"/>
    <s v=""/>
    <s v=""/>
    <s v=""/>
    <s v="São Paulo"/>
    <s v=""/>
    <s v="Site"/>
    <s v=""/>
    <s v=""/>
    <s v="Solicita demo"/>
    <s v="Pipeline de Vendas"/>
    <s v="Em negociação (75%)"/>
    <s v=""/>
    <m/>
    <m/>
    <m/>
    <n v="9"/>
    <s v="Paulo Souza"/>
    <d v="2025-01-28T00:00:00"/>
    <d v="1899-12-30T16:45:54"/>
    <s v=""/>
    <s v="Perdido"/>
    <d v="2025-02-06T00:00:00"/>
    <d v="1899-12-30T17:27:05"/>
    <s v="Preço muito alto - fora do budget de investimento"/>
    <s v=""/>
    <s v=""/>
    <x v="32"/>
    <s v=""/>
    <x v="37"/>
    <s v=""/>
    <m/>
    <m/>
    <s v=""/>
    <s v=""/>
    <s v=""/>
    <s v=""/>
    <n v="1"/>
  </r>
  <r>
    <x v="0"/>
    <n v="195"/>
    <m/>
    <n v="1603"/>
    <s v=""/>
    <s v=""/>
    <x v="58"/>
    <m/>
    <s v=""/>
    <s v="Stanley Neves"/>
    <s v="(16) 99788-8387"/>
    <s v=""/>
    <s v="null"/>
    <s v=""/>
    <s v=""/>
    <s v=""/>
    <s v=""/>
    <s v=""/>
    <s v="Inbound"/>
    <s v=""/>
    <s v=""/>
    <s v=""/>
    <s v="Pipeline de Vendas"/>
    <s v="Em negociação (75%)"/>
    <s v=""/>
    <m/>
    <m/>
    <m/>
    <n v="9"/>
    <s v="Paulo Souza"/>
    <d v="2025-01-28T00:00:00"/>
    <d v="1899-12-30T17:10:34"/>
    <s v=""/>
    <s v="Perdido"/>
    <d v="2025-02-06T00:00:00"/>
    <d v="1899-12-30T17:32:16"/>
    <s v="Não quer mudar a solução atual"/>
    <s v=""/>
    <s v=""/>
    <x v="32"/>
    <s v=""/>
    <x v="37"/>
    <s v=""/>
    <m/>
    <m/>
    <s v=""/>
    <s v=""/>
    <s v=""/>
    <s v=""/>
    <n v="1"/>
  </r>
  <r>
    <x v="0"/>
    <n v="196"/>
    <m/>
    <n v="1596"/>
    <s v=""/>
    <s v="Vigi Ltda"/>
    <x v="59"/>
    <n v="56884678000139"/>
    <s v=""/>
    <s v="Vinicius Oliveira"/>
    <s v="(19) 98275-0709"/>
    <s v=""/>
    <s v="societario@gmcontabil.com.br"/>
    <s v=""/>
    <s v=""/>
    <s v=""/>
    <s v="CAMPINAS"/>
    <s v="SP"/>
    <s v="Inbound"/>
    <s v=""/>
    <s v=""/>
    <s v="Contato"/>
    <s v="Pipeline de Vendas"/>
    <s v="Em negociação (75%)"/>
    <s v=""/>
    <m/>
    <m/>
    <m/>
    <n v="1"/>
    <s v="Paulo Souza"/>
    <d v="2025-01-28T00:00:00"/>
    <d v="1899-12-30T17:12:05"/>
    <s v=""/>
    <s v="Perdido"/>
    <d v="2025-01-29T00:00:00"/>
    <d v="1899-12-30T01:00:16"/>
    <s v="Preço muito alto - fora do budget de investimento"/>
    <s v=""/>
    <s v=""/>
    <x v="32"/>
    <s v="Paulo Souza"/>
    <x v="37"/>
    <s v=""/>
    <m/>
    <m/>
    <s v=""/>
    <s v=""/>
    <s v=""/>
    <s v=""/>
    <n v="1"/>
  </r>
  <r>
    <x v="0"/>
    <n v="197"/>
    <m/>
    <n v="1598"/>
    <s v=""/>
    <s v=""/>
    <x v="60"/>
    <m/>
    <s v=""/>
    <s v="Isaias"/>
    <s v="(15) 99747-1187"/>
    <s v=""/>
    <s v="null"/>
    <s v=""/>
    <s v=""/>
    <s v=""/>
    <s v=""/>
    <s v=""/>
    <s v="Inbound"/>
    <s v=""/>
    <s v=""/>
    <s v="Contato"/>
    <s v="Pipeline de Vendas"/>
    <s v="Em negociação (75%)"/>
    <s v=""/>
    <m/>
    <m/>
    <m/>
    <n v="1"/>
    <s v="Paulo Souza"/>
    <d v="2025-01-28T00:00:00"/>
    <d v="1899-12-30T17:12:39"/>
    <s v=""/>
    <s v="Perdido"/>
    <d v="2025-01-29T00:00:00"/>
    <d v="1899-12-30T01:02:09"/>
    <s v="Preço muito alto - fora do budget de investimento"/>
    <s v=""/>
    <s v=""/>
    <x v="32"/>
    <s v=""/>
    <x v="37"/>
    <s v=""/>
    <m/>
    <m/>
    <s v=""/>
    <s v=""/>
    <s v=""/>
    <s v=""/>
    <n v="1"/>
  </r>
  <r>
    <x v="0"/>
    <n v="198"/>
    <m/>
    <n v="1600"/>
    <s v=""/>
    <s v=""/>
    <x v="61"/>
    <m/>
    <s v=""/>
    <s v="pz presentes"/>
    <s v="(31) 99735-8058"/>
    <s v=""/>
    <s v="administrativo@tempori.com.br"/>
    <s v=""/>
    <s v=""/>
    <s v=""/>
    <s v="Belo Horizonte"/>
    <s v=""/>
    <s v="Site"/>
    <s v=""/>
    <s v=""/>
    <s v="Contato"/>
    <s v="Pipeline de Vendas"/>
    <s v="Em negociação (75%)"/>
    <s v=""/>
    <m/>
    <m/>
    <m/>
    <n v="1"/>
    <s v="Paulo Souza"/>
    <d v="2025-01-28T00:00:00"/>
    <d v="1899-12-30T17:13:17"/>
    <s v=""/>
    <s v="Perdido"/>
    <d v="2025-01-29T00:00:00"/>
    <d v="1899-12-30T01:05:46"/>
    <s v="Preço muito alto - fora do budget de investimento"/>
    <s v=""/>
    <s v=""/>
    <x v="32"/>
    <s v=""/>
    <x v="37"/>
    <s v=""/>
    <m/>
    <m/>
    <s v=""/>
    <s v=""/>
    <s v=""/>
    <s v=""/>
    <n v="1"/>
  </r>
  <r>
    <x v="0"/>
    <n v="199"/>
    <m/>
    <n v="1623"/>
    <s v="Todos os dados preenchidos:_x000a_name: Eliedson Alves _x000a_phone: 81988636626 _x000a_email: eliedsonrepresentante@gmail.com _x000a_referrer: https://www.guaranisistemas.com.br/"/>
    <s v=""/>
    <x v="62"/>
    <m/>
    <s v=""/>
    <s v="Eliedson Alves"/>
    <s v="81988636626"/>
    <s v=""/>
    <s v="eliedsonrepresentante@gmail.com"/>
    <s v=""/>
    <s v=""/>
    <s v=""/>
    <s v="Recife"/>
    <s v=""/>
    <s v="Feiras"/>
    <s v=""/>
    <s v=""/>
    <s v="Feiras"/>
    <s v="Pipeline de Vendas"/>
    <s v="Em negociação (75%)"/>
    <s v=""/>
    <m/>
    <m/>
    <m/>
    <n v="9"/>
    <s v="Paulo Souza"/>
    <d v="2025-01-28T00:00:00"/>
    <d v="1899-12-30T17:14:04"/>
    <s v=""/>
    <s v="Perdido"/>
    <d v="2025-02-06T00:00:00"/>
    <d v="1899-12-30T17:40:07"/>
    <s v="Preço muito alto - fora do budget de investimento"/>
    <s v=""/>
    <s v=""/>
    <x v="32"/>
    <s v=""/>
    <x v="0"/>
    <s v="28/01/2025 00:00"/>
    <m/>
    <m/>
    <s v=""/>
    <s v=""/>
    <s v=""/>
    <s v=""/>
    <n v="1"/>
  </r>
  <r>
    <x v="1"/>
    <n v="200"/>
    <m/>
    <n v="1660"/>
    <s v=""/>
    <s v=""/>
    <x v="63"/>
    <m/>
    <s v=""/>
    <s v="Alumínio Higsberg"/>
    <s v="1935513873"/>
    <s v=""/>
    <s v="adm@aluminiohigsberg.com.br"/>
    <s v=""/>
    <s v=""/>
    <s v=""/>
    <s v=""/>
    <s v=""/>
    <s v=""/>
    <s v=""/>
    <s v=""/>
    <s v=""/>
    <s v="Pipeline de Vendas"/>
    <s v="Qualificação de Vendas (SQL) (25%)"/>
    <s v=""/>
    <m/>
    <m/>
    <m/>
    <n v="51"/>
    <s v="Junior Lopes"/>
    <d v="2025-01-29T00:00:00"/>
    <d v="1899-12-30T09:30:56"/>
    <s v=""/>
    <s v="Perdido"/>
    <d v="2025-03-21T00:00:00"/>
    <d v="1899-12-30T14:43:11"/>
    <s v="Não quer mudar a solução atual"/>
    <s v="cliente não respondeu mais aos contatos"/>
    <s v=""/>
    <x v="0"/>
    <s v=""/>
    <x v="38"/>
    <s v=""/>
    <m/>
    <m/>
    <s v=""/>
    <s v=""/>
    <s v=""/>
    <s v=""/>
    <n v="1"/>
  </r>
  <r>
    <x v="0"/>
    <n v="201"/>
    <m/>
    <n v="198"/>
    <s v=""/>
    <s v="REGIS PECLAT BASTOS"/>
    <x v="64"/>
    <n v="13474916000125"/>
    <s v=""/>
    <s v="REGIS"/>
    <s v="13997252966"/>
    <s v=""/>
    <s v="VR_DISTRIBUIDORA@YAHOO.COM.BR"/>
    <s v=""/>
    <s v="REGIS;REGIS, Roni"/>
    <s v=""/>
    <s v="JACUPIRANGA"/>
    <s v="SP"/>
    <s v="Outbound"/>
    <s v=""/>
    <s v=""/>
    <s v="Importado a partir de lista;TAG1SEM"/>
    <s v="Pipeline de Vendas"/>
    <s v="Apresentar Solução (35%)"/>
    <s v=""/>
    <m/>
    <m/>
    <m/>
    <n v="8"/>
    <s v="Fernanda Santiago"/>
    <d v="2025-01-29T00:00:00"/>
    <d v="1899-12-30T11:59:53"/>
    <s v=""/>
    <s v="Perdido"/>
    <d v="2025-02-06T00:00:00"/>
    <d v="1899-12-30T13:53:38"/>
    <s v="Fora do porte mínimo (sem fit estrutural)"/>
    <s v=""/>
    <s v="29/01/2025 11:58"/>
    <x v="0"/>
    <s v="Fernanda Santiago"/>
    <x v="39"/>
    <s v=""/>
    <m/>
    <m/>
    <s v=""/>
    <s v=""/>
    <s v=""/>
    <s v=""/>
    <n v="1"/>
  </r>
  <r>
    <x v="1"/>
    <n v="202"/>
    <m/>
    <n v="1665"/>
    <s v=""/>
    <s v=""/>
    <x v="65"/>
    <m/>
    <s v=""/>
    <s v="Viva Vidros"/>
    <s v="11988839646"/>
    <s v=""/>
    <s v="comercial@vivavidros.com.br"/>
    <s v=""/>
    <s v=""/>
    <s v=""/>
    <s v=""/>
    <s v=""/>
    <s v=""/>
    <s v=""/>
    <s v=""/>
    <s v=""/>
    <s v="Pipeline de Vendas"/>
    <s v="Em Fechamento (100%)"/>
    <s v=""/>
    <m/>
    <n v="1600"/>
    <n v="1824"/>
    <n v="34"/>
    <s v="Junior Lopes"/>
    <d v="2025-01-30T00:00:00"/>
    <d v="1899-12-30T09:58:14"/>
    <s v=""/>
    <s v="Perdido"/>
    <d v="2025-03-05T00:00:00"/>
    <d v="1899-12-30T11:11:54"/>
    <s v="Projeto adiado / sem prazo definido"/>
    <s v="cliente com situação de pendencias financeiras"/>
    <s v=""/>
    <x v="21"/>
    <s v=""/>
    <x v="0"/>
    <s v=""/>
    <m/>
    <m/>
    <s v=""/>
    <s v=""/>
    <s v=""/>
    <s v=""/>
    <n v="1"/>
  </r>
  <r>
    <x v="1"/>
    <n v="203"/>
    <m/>
    <n v="1666"/>
    <s v=""/>
    <s v=""/>
    <x v="66"/>
    <m/>
    <s v=""/>
    <s v="Stamaco"/>
    <s v="11967327458"/>
    <s v=""/>
    <s v="felipe@stamaco.com.br"/>
    <s v=""/>
    <s v=""/>
    <s v=""/>
    <s v=""/>
    <s v=""/>
    <s v=""/>
    <s v=""/>
    <s v=""/>
    <s v=""/>
    <s v="Pipeline de Vendas"/>
    <s v="Apresentar Solução (35%)"/>
    <s v=""/>
    <m/>
    <m/>
    <m/>
    <n v="22"/>
    <s v="Junior Lopes"/>
    <d v="2025-01-30T00:00:00"/>
    <d v="1899-12-30T10:59:59"/>
    <s v=""/>
    <s v="Perdido"/>
    <d v="2025-02-21T00:00:00"/>
    <d v="1899-12-30T12:09:49"/>
    <s v="Não quer mudar a solução atual"/>
    <s v="Aguardará Retaguarda Web"/>
    <s v=""/>
    <x v="0"/>
    <s v=""/>
    <x v="40"/>
    <s v=""/>
    <m/>
    <m/>
    <s v=""/>
    <s v=""/>
    <s v=""/>
    <s v=""/>
    <n v="1"/>
  </r>
  <r>
    <x v="1"/>
    <n v="204"/>
    <m/>
    <n v="1669"/>
    <s v=""/>
    <s v=""/>
    <x v="67"/>
    <m/>
    <s v=""/>
    <s v="Fabio"/>
    <s v="47988469270"/>
    <s v=""/>
    <s v="Fabio@atacadoelmo.com.br"/>
    <s v=""/>
    <s v=""/>
    <s v=""/>
    <s v=""/>
    <s v=""/>
    <s v=""/>
    <s v=""/>
    <s v=""/>
    <s v=""/>
    <s v="Pipeline de Vendas"/>
    <s v="Agendamento (0%)"/>
    <s v=""/>
    <m/>
    <n v="837998"/>
    <n v="516364"/>
    <n v="0"/>
    <s v="Paulo Souza"/>
    <d v="2025-02-01T00:00:00"/>
    <d v="1899-12-30T01:46:53"/>
    <s v=""/>
    <s v="Ganho"/>
    <d v="2025-02-01T00:00:00"/>
    <d v="1899-12-30T03:23:37"/>
    <s v=""/>
    <s v=""/>
    <s v=""/>
    <x v="0"/>
    <s v=""/>
    <x v="0"/>
    <s v=""/>
    <m/>
    <m/>
    <s v=""/>
    <s v=""/>
    <s v=""/>
    <s v=""/>
    <n v="1"/>
  </r>
  <r>
    <x v="0"/>
    <n v="205"/>
    <m/>
    <n v="1670"/>
    <s v=""/>
    <s v=""/>
    <x v="68"/>
    <m/>
    <s v=""/>
    <s v="Alexandre"/>
    <s v="75999540838"/>
    <s v=""/>
    <s v="terraboaespeciarias@hotmail.com"/>
    <s v=""/>
    <s v=""/>
    <s v=""/>
    <s v=""/>
    <s v=""/>
    <s v=""/>
    <s v=""/>
    <s v=""/>
    <s v=""/>
    <s v="Pipeline de Vendas"/>
    <s v="Em Fechamento (100%)"/>
    <s v=""/>
    <m/>
    <n v="299984"/>
    <n v="0"/>
    <n v="0"/>
    <s v="Paulo Souza"/>
    <d v="2025-02-01T00:00:00"/>
    <d v="1899-12-30T02:11:10"/>
    <s v=""/>
    <s v="Ganho"/>
    <d v="2025-02-01T00:00:00"/>
    <d v="1899-12-30T02:22:51"/>
    <s v=""/>
    <s v=""/>
    <s v=""/>
    <x v="6"/>
    <s v="Paulo Souza"/>
    <x v="41"/>
    <s v=""/>
    <m/>
    <m/>
    <s v=""/>
    <s v=""/>
    <s v=""/>
    <s v=""/>
    <n v="1"/>
  </r>
  <r>
    <x v="0"/>
    <n v="206"/>
    <m/>
    <n v="1671"/>
    <s v=""/>
    <s v=""/>
    <x v="69"/>
    <m/>
    <s v=""/>
    <s v="Helvecio"/>
    <s v="55479993859"/>
    <s v=""/>
    <s v="Helvecio.Deitos@newellco.com"/>
    <s v=""/>
    <s v=""/>
    <s v=""/>
    <s v=""/>
    <s v=""/>
    <s v=""/>
    <s v=""/>
    <s v=""/>
    <s v=""/>
    <s v="Pipeline de Vendas"/>
    <s v="Em Fechamento (100%)"/>
    <s v=""/>
    <m/>
    <n v="1936"/>
    <n v="0"/>
    <n v="0"/>
    <s v="Paulo Souza"/>
    <d v="2025-02-01T00:00:00"/>
    <d v="1899-12-30T02:12:42"/>
    <s v=""/>
    <s v="Ganho"/>
    <d v="2025-02-01T00:00:00"/>
    <d v="1899-12-30T02:19:45"/>
    <s v=""/>
    <s v=""/>
    <s v=""/>
    <x v="33"/>
    <s v="Paulo Souza"/>
    <x v="42"/>
    <s v=""/>
    <m/>
    <m/>
    <s v=""/>
    <s v=""/>
    <s v=""/>
    <s v=""/>
    <n v="1"/>
  </r>
  <r>
    <x v="0"/>
    <n v="207"/>
    <m/>
    <n v="1672"/>
    <s v=""/>
    <s v=""/>
    <x v="70"/>
    <m/>
    <s v=""/>
    <s v="Marcelha"/>
    <s v=""/>
    <s v=""/>
    <s v="marcelha@paramountplasticos.com.br"/>
    <s v=""/>
    <s v=""/>
    <s v=""/>
    <s v=""/>
    <s v=""/>
    <s v=""/>
    <s v=""/>
    <s v=""/>
    <s v=""/>
    <s v="Pipeline de Vendas"/>
    <s v="Em Fechamento (100%)"/>
    <s v=""/>
    <m/>
    <n v="6160"/>
    <n v="0"/>
    <n v="0"/>
    <s v="Paulo Souza"/>
    <d v="2025-02-01T00:00:00"/>
    <d v="1899-12-30T02:13:12"/>
    <s v=""/>
    <s v="Ganho"/>
    <d v="2025-02-01T00:00:00"/>
    <d v="1899-12-30T02:20:51"/>
    <s v=""/>
    <s v=""/>
    <s v=""/>
    <x v="34"/>
    <s v="Paulo Souza"/>
    <x v="43"/>
    <s v=""/>
    <m/>
    <m/>
    <s v=""/>
    <s v=""/>
    <s v=""/>
    <s v=""/>
    <n v="1"/>
  </r>
  <r>
    <x v="0"/>
    <n v="208"/>
    <m/>
    <n v="1673"/>
    <s v=""/>
    <s v=""/>
    <x v="71"/>
    <m/>
    <s v=""/>
    <s v="Giftutil"/>
    <s v=""/>
    <s v=""/>
    <s v="eduardapaivapaula@hotmail.com"/>
    <s v=""/>
    <s v=""/>
    <s v=""/>
    <s v=""/>
    <s v=""/>
    <s v=""/>
    <s v=""/>
    <s v=""/>
    <s v=""/>
    <s v="Pipeline de Vendas"/>
    <s v="Em Fechamento (100%)"/>
    <s v=""/>
    <m/>
    <n v="486308"/>
    <n v="3564"/>
    <n v="0"/>
    <s v="Paulo Souza"/>
    <d v="2025-02-01T00:00:00"/>
    <d v="1899-12-30T02:14:22"/>
    <s v=""/>
    <s v="Ganho"/>
    <d v="2025-02-01T00:00:00"/>
    <d v="1899-12-30T02:18:18"/>
    <s v=""/>
    <s v=""/>
    <s v=""/>
    <x v="25"/>
    <s v="Paulo Souza"/>
    <x v="23"/>
    <s v=""/>
    <m/>
    <m/>
    <s v=""/>
    <s v=""/>
    <s v=""/>
    <s v=""/>
    <n v="1"/>
  </r>
  <r>
    <x v="1"/>
    <n v="209"/>
    <m/>
    <n v="1710"/>
    <s v=""/>
    <s v=""/>
    <x v="72"/>
    <m/>
    <s v=""/>
    <s v="Maxximo Utilidades"/>
    <s v="11999804489"/>
    <s v=""/>
    <s v="flavio@maxximo.com.br"/>
    <s v=""/>
    <s v=""/>
    <s v=""/>
    <s v=""/>
    <s v=""/>
    <s v="Feiras"/>
    <s v=""/>
    <s v=""/>
    <s v=""/>
    <s v="Pipeline de Vendas"/>
    <s v="Apresentar Solução (35%)"/>
    <s v="6x sem juros (0/30/60/90/120/150...)"/>
    <m/>
    <m/>
    <m/>
    <n v="68"/>
    <s v="Junior Lopes"/>
    <d v="2025-02-06T00:00:00"/>
    <d v="1899-12-30T10:24:33"/>
    <s v=""/>
    <s v="Perdido"/>
    <d v="2025-04-15T00:00:00"/>
    <d v="1899-12-30T16:38:15"/>
    <s v="Projeto adiado / sem prazo definido"/>
    <s v="cliente não responde as mensagens, continuarei a prospectar em paralelo"/>
    <s v=""/>
    <x v="0"/>
    <s v=""/>
    <x v="44"/>
    <s v=""/>
    <m/>
    <m/>
    <s v=""/>
    <s v=""/>
    <s v=""/>
    <s v=""/>
    <n v="1"/>
  </r>
  <r>
    <x v="1"/>
    <n v="210"/>
    <m/>
    <n v="1711"/>
    <s v=""/>
    <s v=""/>
    <x v="73"/>
    <n v="12792269000137"/>
    <s v=""/>
    <s v="Plastutti"/>
    <s v="11983334304"/>
    <s v=""/>
    <s v="Thiago@plastutti.com.br"/>
    <s v=""/>
    <s v=""/>
    <s v=""/>
    <s v=""/>
    <s v=""/>
    <s v=""/>
    <s v=""/>
    <s v=""/>
    <s v="Abup2025Fevereiro"/>
    <s v="Pipeline de Vendas"/>
    <s v="Em Fechamento (100%)"/>
    <s v="10x sem juros (0/30/60/90/120/150...)"/>
    <m/>
    <n v="65920"/>
    <n v="481924"/>
    <n v="25"/>
    <s v="Junior Lopes"/>
    <d v="2025-02-06T00:00:00"/>
    <d v="1899-12-30T10:53:24"/>
    <s v=""/>
    <s v="Ganho"/>
    <d v="2025-03-03T00:00:00"/>
    <d v="1899-12-30T11:32:48"/>
    <s v=""/>
    <s v=""/>
    <s v=""/>
    <x v="35"/>
    <s v=""/>
    <x v="44"/>
    <s v="18/02/2025"/>
    <m/>
    <m/>
    <s v=""/>
    <s v=""/>
    <s v=""/>
    <s v=""/>
    <n v="1"/>
  </r>
  <r>
    <x v="1"/>
    <n v="211"/>
    <m/>
    <n v="1712"/>
    <s v=""/>
    <s v=""/>
    <x v="74"/>
    <m/>
    <s v=""/>
    <s v="Plastutti - Clou"/>
    <s v="11983334304"/>
    <s v=""/>
    <s v="Thiago@plastutti.com.br"/>
    <s v=""/>
    <s v=""/>
    <s v=""/>
    <s v=""/>
    <s v=""/>
    <s v=""/>
    <s v=""/>
    <s v=""/>
    <s v="Abup2025Fevereiro"/>
    <s v="Pipeline de Vendas"/>
    <s v="Em Fechamento (100%)"/>
    <s v=""/>
    <m/>
    <n v="1600"/>
    <n v="25908"/>
    <n v="14"/>
    <s v="Junior Lopes"/>
    <d v="2025-02-06T00:00:00"/>
    <d v="1899-12-30T11:39:54"/>
    <s v=""/>
    <s v="Perdido"/>
    <d v="2025-02-20T00:00:00"/>
    <d v="1899-12-30T15:57:59"/>
    <s v="Não quer mudar a solução atual"/>
    <s v="atualmente tem servidor local"/>
    <s v=""/>
    <x v="35"/>
    <s v=""/>
    <x v="44"/>
    <s v="18/02/2025"/>
    <m/>
    <m/>
    <s v=""/>
    <s v=""/>
    <s v=""/>
    <s v=""/>
    <n v="1"/>
  </r>
  <r>
    <x v="1"/>
    <n v="212"/>
    <m/>
    <n v="1713"/>
    <s v=""/>
    <s v=""/>
    <x v="75"/>
    <m/>
    <s v=""/>
    <s v="Cozzillar"/>
    <s v="1935479372"/>
    <s v=""/>
    <s v="gilberto@cozzillar.com.br"/>
    <s v=""/>
    <s v=""/>
    <s v=""/>
    <s v=""/>
    <s v=""/>
    <s v="Feiras"/>
    <s v=""/>
    <s v=""/>
    <s v=""/>
    <s v="Pipeline de Vendas"/>
    <s v="Apresentar Solução (35%)"/>
    <s v="6x sem juros (0/30/60/90/120/150...)"/>
    <m/>
    <m/>
    <m/>
    <n v="60"/>
    <s v="Junior Lopes"/>
    <d v="2025-02-06T00:00:00"/>
    <d v="1899-12-30T12:23:29"/>
    <s v=""/>
    <s v="Perdido"/>
    <d v="2025-04-07T00:00:00"/>
    <d v="1899-12-30T11:50:11"/>
    <s v="Projeto adiado / sem prazo definido"/>
    <s v="10:07, 02/04/2025 Junior Lopes: Olá Gilberto, Junior da Guarani sistemas por aqui _x000a_Espero que esteja bem _x000a_Ficamos de organizar uma visita com vocês para apresentação da solução Guarani sistemas_x000a_10:07, 02/04/2025 Junior Lopes: Vamos avançar?_x000a_09:21, 07/04/2025 Junior Lopes: Olá Gilberto! Infelizmente não consigo seu retorno _x000a_Entendo que deve estar bem corrido para você _x000a_De qualquer forma fico a disposição no momento que vc puder _x000a_Forte abraço e ótimos negócios _x000a_Jr Guarani sistemas"/>
    <s v=""/>
    <x v="0"/>
    <s v=""/>
    <x v="44"/>
    <s v=""/>
    <m/>
    <m/>
    <s v=""/>
    <s v=""/>
    <s v=""/>
    <s v=""/>
    <n v="1"/>
  </r>
  <r>
    <x v="1"/>
    <n v="213"/>
    <m/>
    <n v="1714"/>
    <s v=""/>
    <s v=""/>
    <x v="76"/>
    <m/>
    <s v=""/>
    <s v="Marca Textil"/>
    <s v="1168296999"/>
    <s v=""/>
    <s v="atendimento@markatextil.com.br"/>
    <s v=""/>
    <s v=""/>
    <s v=""/>
    <s v=""/>
    <s v=""/>
    <s v=""/>
    <s v=""/>
    <s v=""/>
    <s v=""/>
    <s v="Pipeline de Vendas"/>
    <s v="Qualificação de Vendas (SQL) (25%)"/>
    <s v=""/>
    <m/>
    <n v="14400"/>
    <n v="18034"/>
    <n v="43"/>
    <s v="Junior Lopes"/>
    <d v="2025-02-06T00:00:00"/>
    <d v="1899-12-30T12:36:48"/>
    <s v=""/>
    <s v="Perdido"/>
    <d v="2025-03-21T00:00:00"/>
    <d v="1899-12-30T14:36:30"/>
    <s v="Não quer mudar a solução atual"/>
    <s v="não seguirá no momento"/>
    <s v=""/>
    <x v="36"/>
    <s v=""/>
    <x v="44"/>
    <s v=""/>
    <m/>
    <m/>
    <s v=""/>
    <s v=""/>
    <s v=""/>
    <s v=""/>
    <n v="1"/>
  </r>
  <r>
    <x v="0"/>
    <n v="214"/>
    <m/>
    <n v="1661"/>
    <s v=""/>
    <s v=""/>
    <x v="77"/>
    <m/>
    <s v=""/>
    <s v="Carlos"/>
    <s v="(13) 99770-3018"/>
    <s v=""/>
    <s v="opa.eskinao.compras@gmail.com"/>
    <s v=""/>
    <s v=""/>
    <s v=""/>
    <s v="São Vicente"/>
    <s v=""/>
    <s v="Site"/>
    <s v=""/>
    <s v=""/>
    <s v=""/>
    <s v="Pipeline de Vendas"/>
    <s v="Em negociação (75%)"/>
    <s v=""/>
    <m/>
    <m/>
    <m/>
    <n v="0"/>
    <s v="Paulo Souza"/>
    <d v="2025-02-06T00:00:00"/>
    <d v="1899-12-30T13:55:00"/>
    <s v=""/>
    <s v="Perdido"/>
    <d v="2025-02-06T00:00:00"/>
    <d v="1899-12-30T17:30:59"/>
    <s v="Preço muito alto - fora do budget de investimento"/>
    <s v=""/>
    <s v=""/>
    <x v="37"/>
    <s v=""/>
    <x v="45"/>
    <s v=""/>
    <m/>
    <m/>
    <s v=""/>
    <s v=""/>
    <s v=""/>
    <s v=""/>
    <n v="1"/>
  </r>
  <r>
    <x v="0"/>
    <n v="215"/>
    <m/>
    <n v="1715"/>
    <s v=""/>
    <s v=""/>
    <x v="78"/>
    <m/>
    <s v=""/>
    <s v="João"/>
    <s v="(11) 94793-3497"/>
    <s v=""/>
    <s v="jvprocacino@gmail.com"/>
    <s v=""/>
    <s v=""/>
    <s v=""/>
    <s v=""/>
    <s v=""/>
    <s v="Site"/>
    <s v=""/>
    <s v=""/>
    <s v="Abcasa2025fevereiro;Solicita demo"/>
    <s v="Pipeline de Vendas"/>
    <s v="Em negociação (75%)"/>
    <s v=""/>
    <m/>
    <n v="43740"/>
    <n v="158239"/>
    <n v="13"/>
    <s v="Paulo Souza"/>
    <d v="2025-02-06T00:00:00"/>
    <d v="1899-12-30T13:55:44"/>
    <s v=""/>
    <s v="Perdido"/>
    <d v="2025-02-19T00:00:00"/>
    <d v="1899-12-30T09:18:02"/>
    <s v="Preço muito alto - fora do budget de investimento"/>
    <s v=""/>
    <s v=""/>
    <x v="38"/>
    <s v=""/>
    <x v="46"/>
    <s v=""/>
    <m/>
    <m/>
    <s v=""/>
    <s v=""/>
    <s v=""/>
    <s v=""/>
    <n v="1"/>
  </r>
  <r>
    <x v="0"/>
    <n v="219"/>
    <m/>
    <n v="1720"/>
    <s v=""/>
    <s v=""/>
    <x v="79"/>
    <m/>
    <s v=""/>
    <s v="Nassib Saleh"/>
    <s v="11951945790"/>
    <s v=""/>
    <s v="nassib.saleh58@gmail.com"/>
    <s v=""/>
    <s v=""/>
    <s v=""/>
    <s v=""/>
    <s v=""/>
    <s v=""/>
    <s v=""/>
    <s v=""/>
    <s v=""/>
    <s v="Pipeline de Vendas"/>
    <s v="Em Fechamento (100%)"/>
    <s v=""/>
    <m/>
    <n v="14400"/>
    <n v="122984"/>
    <n v="8"/>
    <s v="Paulo Souza"/>
    <d v="2025-02-06T00:00:00"/>
    <d v="1899-12-30T17:42:46"/>
    <s v=""/>
    <s v="Ganho"/>
    <d v="2025-02-14T00:00:00"/>
    <d v="1899-12-30T11:16:20"/>
    <s v=""/>
    <s v=""/>
    <s v=""/>
    <x v="39"/>
    <s v="Paulo Souza"/>
    <x v="46"/>
    <s v=""/>
    <m/>
    <m/>
    <s v=""/>
    <s v=""/>
    <s v=""/>
    <s v=""/>
    <n v="1"/>
  </r>
  <r>
    <x v="1"/>
    <n v="230"/>
    <m/>
    <n v="1734"/>
    <s v=""/>
    <s v=""/>
    <x v="80"/>
    <m/>
    <s v=""/>
    <s v="Oikos"/>
    <s v="21968201725"/>
    <s v=""/>
    <s v="michele.pepalia@grupoecoa.com.br"/>
    <s v=""/>
    <s v=""/>
    <s v=""/>
    <s v=""/>
    <s v=""/>
    <s v="Feiras"/>
    <s v=""/>
    <s v=""/>
    <s v="90%;Abcasa2025fevereiro"/>
    <s v="Pipeline de Vendas"/>
    <s v="Em Fechamento (100%)"/>
    <s v="6x sem juros (0/30/60/90/120/150...)"/>
    <m/>
    <n v="56000"/>
    <n v="2101739"/>
    <n v="161"/>
    <s v="Junior Lopes"/>
    <d v="2025-02-10T00:00:00"/>
    <d v="1899-12-30T07:54:34"/>
    <s v=""/>
    <s v="Perdido"/>
    <d v="2025-07-21T00:00:00"/>
    <d v="1899-12-30T09:46:56"/>
    <s v="Projeto adiado / sem prazo definido"/>
    <s v="cliente não responde sobre a continuidade"/>
    <s v=""/>
    <x v="40"/>
    <s v=""/>
    <x v="47"/>
    <s v=""/>
    <m/>
    <m/>
    <s v=""/>
    <s v=""/>
    <s v=""/>
    <s v=""/>
    <n v="1"/>
  </r>
  <r>
    <x v="0"/>
    <n v="231"/>
    <m/>
    <n v="1733"/>
    <s v="Todos os dados preenchidos:_x000a_name: Ana Beatriz Costa dos Santos  _x000a_phone: 12997420947 _x000a_email: administrativo@camposdiaromas.com"/>
    <s v="Stefanie Forsterling"/>
    <x v="81"/>
    <n v="14936505000258"/>
    <s v=""/>
    <s v="Ana Beatriz Costa dos Santos"/>
    <s v="(12) 3662-5043"/>
    <s v=""/>
    <s v="administrativo@camposdiaromas.com"/>
    <s v=""/>
    <s v=""/>
    <s v=""/>
    <s v="CAMPOS DO JORDAO"/>
    <s v="SP"/>
    <s v="Feiras"/>
    <s v=""/>
    <s v=""/>
    <s v="Feiras"/>
    <s v="Pipeline de Vendas"/>
    <s v="Qualificação de Vendas (SQL) (25%)"/>
    <s v=""/>
    <m/>
    <m/>
    <m/>
    <n v="38"/>
    <s v="Fernanda Santiago"/>
    <d v="2025-02-11T00:00:00"/>
    <d v="1899-12-30T15:36:50"/>
    <s v=""/>
    <s v="Perdido"/>
    <d v="2025-03-21T00:00:00"/>
    <d v="1899-12-30T15:15:41"/>
    <s v="Fora do porte mínimo (sem fite estrutural)"/>
    <s v="Lojas muitos pequenas"/>
    <s v="11/02/2025 15:30"/>
    <x v="0"/>
    <s v="Fernanda Santiago"/>
    <x v="48"/>
    <s v=""/>
    <m/>
    <m/>
    <s v=""/>
    <s v=""/>
    <s v=""/>
    <s v=""/>
    <n v="1"/>
  </r>
  <r>
    <x v="0"/>
    <n v="232"/>
    <m/>
    <n v="1704"/>
    <s v=""/>
    <s v=""/>
    <x v="82"/>
    <n v="29432229000187"/>
    <s v=""/>
    <s v="Adriana"/>
    <s v="(41) 99861-1071"/>
    <s v=""/>
    <s v="contato@euromats.com.br"/>
    <s v=""/>
    <s v=""/>
    <s v=""/>
    <s v=""/>
    <s v=""/>
    <s v="Base de empresas Leads2b"/>
    <s v=""/>
    <s v=""/>
    <s v="msgabupfevereiro2025;REP+"/>
    <s v="Pipeline de Vendas"/>
    <s v="Qualificação de Vendas (SQL) (25%)"/>
    <s v=""/>
    <m/>
    <m/>
    <m/>
    <n v="42"/>
    <s v="Fernanda Santiago"/>
    <d v="2025-02-12T00:00:00"/>
    <d v="1899-12-30T10:51:17"/>
    <s v=""/>
    <s v="Perdido"/>
    <d v="2025-03-26T00:00:00"/>
    <d v="1899-12-30T17:34:58"/>
    <s v="Preço muito alto - fora do budget de investimento"/>
    <s v=""/>
    <s v="12/02/2025 08:00"/>
    <x v="0"/>
    <s v="Fernanda Santiago"/>
    <x v="49"/>
    <s v=""/>
    <m/>
    <m/>
    <s v=""/>
    <s v=""/>
    <s v=""/>
    <s v=""/>
    <n v="1"/>
  </r>
  <r>
    <x v="1"/>
    <n v="233"/>
    <m/>
    <n v="1747"/>
    <s v=""/>
    <s v=""/>
    <x v="83"/>
    <m/>
    <s v=""/>
    <s v="Ad &amp; Ad Comercio de Importacao"/>
    <s v="14996930353"/>
    <s v=""/>
    <s v="daniel@adimportacao.com.br"/>
    <s v=""/>
    <s v=""/>
    <s v=""/>
    <s v=""/>
    <s v=""/>
    <s v=""/>
    <s v=""/>
    <s v=""/>
    <s v="Abcasa2025fevereiro"/>
    <s v="Pipeline de Vendas"/>
    <s v="Em Fechamento (100%)"/>
    <s v=""/>
    <m/>
    <n v="60534"/>
    <n v="27562"/>
    <n v="18"/>
    <s v="Junior Lopes"/>
    <d v="2025-02-13T00:00:00"/>
    <d v="1899-12-30T10:18:19"/>
    <s v=""/>
    <s v="Ganho"/>
    <d v="2025-03-03T00:00:00"/>
    <d v="1899-12-30T11:33:34"/>
    <s v=""/>
    <s v=""/>
    <s v=""/>
    <x v="41"/>
    <s v=""/>
    <x v="47"/>
    <s v=""/>
    <m/>
    <m/>
    <s v=""/>
    <s v=""/>
    <s v=""/>
    <s v=""/>
    <n v="1"/>
  </r>
  <r>
    <x v="1"/>
    <n v="234"/>
    <m/>
    <n v="1748"/>
    <s v=""/>
    <s v=""/>
    <x v="84"/>
    <n v="26981837000152"/>
    <s v=""/>
    <s v="Chamma Festas (PDV)"/>
    <s v="(61) 9145-0480"/>
    <s v=""/>
    <s v="chammasuprimentos@hotmail.com"/>
    <s v=""/>
    <s v=""/>
    <s v=""/>
    <s v="BRASILIA"/>
    <s v="DF"/>
    <s v=""/>
    <s v=""/>
    <s v=""/>
    <s v="Abcasa2025fevereiro"/>
    <s v="Pipeline de Vendas"/>
    <s v="Apresentar Proposta (50%)"/>
    <s v=""/>
    <m/>
    <n v="40440"/>
    <n v="340574"/>
    <n v="11"/>
    <s v="Junior Lopes"/>
    <d v="2025-02-13T00:00:00"/>
    <d v="1899-12-30T10:49:31"/>
    <s v=""/>
    <s v="Perdido"/>
    <d v="2025-02-24T00:00:00"/>
    <d v="1899-12-30T16:44:24"/>
    <s v="Preço muito alto - fora do budget de investimento"/>
    <s v="14:59, 14/02/2025 Robson Chamma Festa: Obrigado júnior_x000a_14:59, 17/02/2025 Robson Chamma Festa: Oi Junior, ficou bem fora do nosso orçamento. No momento não vamos levar adiante. Fico grato pela sua atenção."/>
    <s v=""/>
    <x v="41"/>
    <s v=""/>
    <x v="50"/>
    <s v=""/>
    <m/>
    <m/>
    <s v=""/>
    <s v=""/>
    <s v=""/>
    <s v=""/>
    <n v="1"/>
  </r>
  <r>
    <x v="1"/>
    <n v="235"/>
    <m/>
    <n v="1750"/>
    <s v=""/>
    <s v=""/>
    <x v="85"/>
    <n v="43530585000164"/>
    <s v=""/>
    <s v="P10 Importadora"/>
    <s v="(49) 8817-6299"/>
    <s v=""/>
    <s v="prioridade10e20financeiro@hotmail.com"/>
    <s v=""/>
    <s v=""/>
    <s v=""/>
    <s v="CUNHA PORA"/>
    <s v="SC"/>
    <s v=""/>
    <s v=""/>
    <s v=""/>
    <s v="Abcasa2025fevereiro"/>
    <s v="Pipeline de Vendas"/>
    <s v="Apresentar Proposta (50%)"/>
    <s v=""/>
    <m/>
    <n v="4663152"/>
    <n v="15528"/>
    <n v="11"/>
    <s v="Junior Lopes"/>
    <d v="2025-02-13T00:00:00"/>
    <d v="1899-12-30T11:07:42"/>
    <s v=""/>
    <s v="Perdido"/>
    <d v="2025-02-24T00:00:00"/>
    <d v="1899-12-30T17:13:56"/>
    <s v="Preço muito alto - fora do budget de investimento"/>
    <s v="Bom dia_x000a_Junior, achei o sistema completo, não foge do que outras empresas proporcionam no mercado… no entanto, achei o valor de implantação muito elevado, da próximo de 80 mil reais pra fazer a implantação de um sistema"/>
    <s v=""/>
    <x v="42"/>
    <s v=""/>
    <x v="50"/>
    <s v=""/>
    <m/>
    <m/>
    <s v=""/>
    <s v=""/>
    <s v=""/>
    <s v=""/>
    <n v="1"/>
  </r>
  <r>
    <x v="1"/>
    <n v="236"/>
    <m/>
    <n v="1754"/>
    <s v=""/>
    <s v=""/>
    <x v="86"/>
    <n v="43530585000164"/>
    <s v=""/>
    <s v="P10 IMPORTADORA"/>
    <s v="(49) 8817-6299"/>
    <s v=""/>
    <s v="prioridade10e20financeiro@hotmail.com"/>
    <s v=""/>
    <s v=""/>
    <s v=""/>
    <s v="CUNHA PORA"/>
    <s v="SC"/>
    <s v=""/>
    <s v=""/>
    <s v=""/>
    <s v="Abcasa2025fevereiro"/>
    <s v="Pipeline de Vendas"/>
    <s v="Apresentar Proposta (50%)"/>
    <s v=""/>
    <m/>
    <n v="23580"/>
    <n v="3060"/>
    <n v="11"/>
    <s v="Junior Lopes"/>
    <d v="2025-02-13T00:00:00"/>
    <d v="1899-12-30T11:14:38"/>
    <s v=""/>
    <s v="Perdido"/>
    <d v="2025-02-24T00:00:00"/>
    <d v="1899-12-30T17:14:25"/>
    <s v="Preço muito alto - fora do budget de investimento"/>
    <s v="Bom dia_x000a_Junior, achei o sistema completo, não foge do que outras empresas proporcionam no mercado… no entanto, achei o valor de implantação muito elevado, da próximo de 80 mil reais pra fazer a implantação de um sistema"/>
    <s v=""/>
    <x v="42"/>
    <s v=""/>
    <x v="50"/>
    <s v=""/>
    <m/>
    <m/>
    <s v=""/>
    <s v=""/>
    <s v=""/>
    <s v=""/>
    <n v="1"/>
  </r>
  <r>
    <x v="1"/>
    <n v="237"/>
    <m/>
    <n v="1758"/>
    <s v=""/>
    <s v=""/>
    <x v="87"/>
    <n v="12182313000197"/>
    <s v=""/>
    <s v="PLASBERG INDUSTRIA E COMERCIO"/>
    <s v="(75) 2102-2102 / (75) 2101-2101"/>
    <s v=""/>
    <s v="cadastro@asseplan.cnt.br"/>
    <s v=""/>
    <s v=""/>
    <s v=""/>
    <s v="Feira de Santana"/>
    <s v="BA"/>
    <s v="Feiras"/>
    <s v=""/>
    <s v=""/>
    <s v="Abcasa2025fevereiro"/>
    <s v="Pipeline de Vendas"/>
    <s v="Apresentar Proposta (50%)"/>
    <s v="6x sem juros (0/30/60/90/120/150...)"/>
    <m/>
    <n v="85500"/>
    <n v="769354"/>
    <n v="62"/>
    <s v="Junior Lopes"/>
    <d v="2025-02-13T00:00:00"/>
    <d v="1899-12-30T11:27:23"/>
    <s v=""/>
    <s v="Perdido"/>
    <d v="2025-04-16T00:00:00"/>
    <d v="1899-12-30T09:27:55"/>
    <s v="Projeto adiado / sem prazo definido"/>
    <s v="Breno não responde as mensagens ! estou fechando oportunidade mas continuo em busca da oportunidade"/>
    <s v=""/>
    <x v="43"/>
    <s v=""/>
    <x v="47"/>
    <s v=""/>
    <m/>
    <m/>
    <s v=""/>
    <s v=""/>
    <s v=""/>
    <s v=""/>
    <n v="1"/>
  </r>
  <r>
    <x v="0"/>
    <n v="242"/>
    <m/>
    <n v="1746"/>
    <s v=""/>
    <s v=""/>
    <x v="88"/>
    <n v="865166000170"/>
    <s v=""/>
    <s v="Renor Preto"/>
    <s v="(19) 99188-1436"/>
    <s v=""/>
    <s v="renor.preto@adere.com"/>
    <s v=""/>
    <s v=""/>
    <s v=""/>
    <s v="Juiz de Fora"/>
    <s v=""/>
    <s v="Site"/>
    <s v=""/>
    <s v=""/>
    <s v="MORNO;Solicita demo"/>
    <s v="Pipeline de Vendas"/>
    <s v="Em negociação (75%)"/>
    <s v=""/>
    <m/>
    <m/>
    <m/>
    <n v="25"/>
    <s v="Paulo Souza"/>
    <d v="2025-02-13T00:00:00"/>
    <d v="1899-12-30T17:39:49"/>
    <s v=""/>
    <s v="Perdido"/>
    <d v="2025-03-10T00:00:00"/>
    <d v="1899-12-30T17:37:28"/>
    <s v="Nossa solução não atende - falta funcionalidade"/>
    <s v=""/>
    <s v=""/>
    <x v="0"/>
    <s v="Paulo Souza"/>
    <x v="51"/>
    <s v=""/>
    <m/>
    <m/>
    <s v=""/>
    <s v=""/>
    <s v=""/>
    <s v=""/>
    <n v="1"/>
  </r>
  <r>
    <x v="0"/>
    <n v="245"/>
    <m/>
    <n v="1763"/>
    <s v=""/>
    <s v=""/>
    <x v="89"/>
    <n v="30164963000191"/>
    <s v=""/>
    <s v="FERNANDA ALVES"/>
    <s v="(11) 99763-3759"/>
    <s v=""/>
    <s v="fernanda@jlkplasticos.com.br"/>
    <s v=""/>
    <s v=""/>
    <s v=""/>
    <s v="São Paulo"/>
    <s v=""/>
    <s v="Site"/>
    <s v=""/>
    <s v=""/>
    <s v="Abcasa2025fevereiro;Solicita demo"/>
    <s v="Pipeline de Vendas"/>
    <s v="Em Fechamento (100%)"/>
    <s v=""/>
    <m/>
    <n v="46332"/>
    <n v="257546"/>
    <n v="35"/>
    <s v="Paulo Souza"/>
    <d v="2025-02-14T00:00:00"/>
    <d v="1899-12-30T11:03:12"/>
    <s v=""/>
    <s v="Ganho"/>
    <d v="2025-03-21T00:00:00"/>
    <d v="1899-12-30T14:50:46"/>
    <s v=""/>
    <s v=""/>
    <s v=""/>
    <x v="44"/>
    <s v="Paulo Souza"/>
    <x v="51"/>
    <s v=""/>
    <m/>
    <m/>
    <s v=""/>
    <s v=""/>
    <s v=""/>
    <s v=""/>
    <n v="1"/>
  </r>
  <r>
    <x v="0"/>
    <n v="246"/>
    <m/>
    <n v="1768"/>
    <s v=""/>
    <s v=""/>
    <x v="90"/>
    <m/>
    <s v=""/>
    <s v="Nacib"/>
    <s v="11951945790"/>
    <s v=""/>
    <s v="nassib.saleh58@gmail.com"/>
    <s v=""/>
    <s v=""/>
    <s v=""/>
    <s v=""/>
    <s v=""/>
    <s v=""/>
    <s v=""/>
    <s v=""/>
    <s v=""/>
    <s v="Pipeline de Vendas"/>
    <s v="Em Fechamento (100%)"/>
    <s v=""/>
    <m/>
    <n v="0"/>
    <n v="3062"/>
    <n v="0"/>
    <s v="Paulo Souza"/>
    <d v="2025-02-14T00:00:00"/>
    <d v="1899-12-30T11:22:59"/>
    <s v=""/>
    <s v="Ganho"/>
    <d v="2025-02-14T00:00:00"/>
    <d v="1899-12-30T11:27:19"/>
    <s v=""/>
    <s v=""/>
    <s v=""/>
    <x v="41"/>
    <s v="Paulo Souza"/>
    <x v="52"/>
    <s v=""/>
    <m/>
    <m/>
    <s v=""/>
    <s v=""/>
    <s v=""/>
    <s v=""/>
    <n v="1"/>
  </r>
  <r>
    <x v="0"/>
    <n v="248"/>
    <m/>
    <n v="1770"/>
    <s v=""/>
    <s v=""/>
    <x v="91"/>
    <m/>
    <s v=""/>
    <s v="Caetano"/>
    <s v="11941743784"/>
    <s v=""/>
    <s v="aflordk@gmail.com"/>
    <s v=""/>
    <s v=""/>
    <s v=""/>
    <s v=""/>
    <s v=""/>
    <s v="Feiras"/>
    <s v=""/>
    <s v=""/>
    <s v="Abcasa2025fevereiro"/>
    <s v="Pipeline de Vendas"/>
    <s v="Em negociação (75%)"/>
    <s v="6x sem juros (0/30/60/90/120/150...)"/>
    <m/>
    <n v="64600"/>
    <n v="199064"/>
    <n v="53"/>
    <s v="Paulo Souza"/>
    <d v="2025-02-14T00:00:00"/>
    <d v="1899-12-30T16:18:04"/>
    <s v=""/>
    <s v="Perdido"/>
    <d v="2025-04-08T00:00:00"/>
    <d v="1899-12-30T09:04:24"/>
    <s v="Não quer mudar a solução atual"/>
    <s v=""/>
    <s v=""/>
    <x v="42"/>
    <s v=""/>
    <x v="52"/>
    <s v=""/>
    <m/>
    <m/>
    <s v=""/>
    <s v=""/>
    <s v=""/>
    <s v=""/>
    <n v="1"/>
  </r>
  <r>
    <x v="0"/>
    <n v="249"/>
    <m/>
    <n v="1771"/>
    <s v=""/>
    <s v=""/>
    <x v="92"/>
    <m/>
    <s v=""/>
    <s v="Keila"/>
    <s v="11996600206"/>
    <s v=""/>
    <s v="null"/>
    <s v=""/>
    <s v=""/>
    <s v=""/>
    <s v=""/>
    <s v=""/>
    <s v="Indicação"/>
    <s v=""/>
    <s v=""/>
    <s v="Abcasa2025fevereiro"/>
    <s v="Pipeline de Vendas"/>
    <s v="Em negociação (75%)"/>
    <s v="6x sem juros (0/30/60/90/120/150...)"/>
    <m/>
    <n v="16000"/>
    <n v="3724"/>
    <n v="116"/>
    <s v="Paulo Souza"/>
    <d v="2025-02-14T00:00:00"/>
    <d v="1899-12-30T16:24:00"/>
    <s v=""/>
    <s v="Perdido"/>
    <d v="2025-06-10T00:00:00"/>
    <d v="1899-12-30T14:49:46"/>
    <s v="Não quer mudar a solução atual"/>
    <s v=""/>
    <s v=""/>
    <x v="45"/>
    <s v="Paulo Souza"/>
    <x v="53"/>
    <s v=""/>
    <m/>
    <m/>
    <s v=""/>
    <s v=""/>
    <s v=""/>
    <s v=""/>
    <n v="1"/>
  </r>
  <r>
    <x v="0"/>
    <n v="250"/>
    <m/>
    <n v="1772"/>
    <s v=""/>
    <s v=""/>
    <x v="93"/>
    <m/>
    <s v=""/>
    <s v="Fabio"/>
    <s v="11981721166"/>
    <s v=""/>
    <s v="null"/>
    <s v=""/>
    <s v=""/>
    <s v=""/>
    <s v=""/>
    <s v=""/>
    <s v="Feiras"/>
    <s v=""/>
    <s v=""/>
    <s v="30%;Abcasa2025fevereiro;Pausado"/>
    <s v="Pipeline de Vendas"/>
    <s v="Apresentar Solução (35%)"/>
    <s v="6x sem juros (0/30/60/90/120/150...)"/>
    <d v="2028-07-01T00:00:00"/>
    <m/>
    <m/>
    <n v="208"/>
    <s v="Paulo Souza"/>
    <d v="2025-02-14T00:00:00"/>
    <d v="1899-12-30T16:27:14"/>
    <s v=""/>
    <s v="Perdido"/>
    <d v="2025-09-10T00:00:00"/>
    <d v="1899-12-30T16:11:00"/>
    <s v="Projeto adiado / sem prazo definido"/>
    <s v=""/>
    <s v=""/>
    <x v="0"/>
    <s v="Paulo Souza"/>
    <x v="54"/>
    <s v=""/>
    <m/>
    <m/>
    <s v=""/>
    <s v=""/>
    <s v=""/>
    <s v=""/>
    <n v="1"/>
  </r>
  <r>
    <x v="0"/>
    <n v="253"/>
    <m/>
    <n v="1776"/>
    <s v=""/>
    <s v=""/>
    <x v="94"/>
    <m/>
    <s v=""/>
    <s v="Guga"/>
    <s v="31984513164"/>
    <s v=""/>
    <s v="null"/>
    <s v=""/>
    <s v=""/>
    <s v=""/>
    <s v=""/>
    <s v=""/>
    <s v="Feiras"/>
    <s v=""/>
    <s v=""/>
    <s v="Abcasa2025fevereiro;Pausado"/>
    <s v="Pipeline de Vendas"/>
    <s v="Em negociação (75%)"/>
    <s v="6x sem juros (0/30/60/90/120/150...)"/>
    <d v="2026-01-15T00:00:00"/>
    <n v="48000"/>
    <n v="1690959"/>
    <n v="299"/>
    <s v="Paulo Souza"/>
    <d v="2025-02-14T00:00:00"/>
    <d v="1899-12-30T17:28:04"/>
    <s v=""/>
    <s v="Perdido"/>
    <d v="2025-12-10T00:00:00"/>
    <d v="1899-12-30T17:09:31"/>
    <s v="Não quer mudar a solução atual"/>
    <s v=""/>
    <s v=""/>
    <x v="46"/>
    <s v="Paulo Souza"/>
    <x v="51"/>
    <s v=""/>
    <m/>
    <m/>
    <s v=""/>
    <s v=""/>
    <s v=""/>
    <s v=""/>
    <n v="1"/>
  </r>
  <r>
    <x v="0"/>
    <n v="254"/>
    <m/>
    <n v="1777"/>
    <s v=""/>
    <s v=""/>
    <x v="95"/>
    <m/>
    <s v=""/>
    <s v="Emilio"/>
    <s v="11947392525"/>
    <s v=""/>
    <s v="null"/>
    <s v=""/>
    <s v=""/>
    <s v=""/>
    <s v=""/>
    <s v=""/>
    <s v="Feiras"/>
    <s v=""/>
    <s v=""/>
    <s v="Abcasa2025fevereiro"/>
    <s v="Pipeline de Vendas"/>
    <s v="Qualificação de Vendas (SQL) (25%)"/>
    <s v="6x sem juros (0/30/60/90/120/150...)"/>
    <m/>
    <m/>
    <m/>
    <n v="40"/>
    <s v="Paulo Souza"/>
    <d v="2025-02-14T00:00:00"/>
    <d v="1899-12-30T17:35:16"/>
    <s v=""/>
    <s v="Perdido"/>
    <d v="2025-03-26T00:00:00"/>
    <d v="1899-12-30T17:30:46"/>
    <s v="Fora do porte mínimo (sem fit estrutural)"/>
    <s v=""/>
    <s v=""/>
    <x v="0"/>
    <s v=""/>
    <x v="51"/>
    <s v=""/>
    <m/>
    <m/>
    <s v=""/>
    <s v=""/>
    <s v=""/>
    <s v=""/>
    <n v="1"/>
  </r>
  <r>
    <x v="0"/>
    <n v="255"/>
    <m/>
    <n v="1778"/>
    <s v=""/>
    <s v=""/>
    <x v="96"/>
    <m/>
    <s v=""/>
    <s v="Tiago - Diretor da Empresa"/>
    <s v="54981340574"/>
    <s v=""/>
    <s v="null"/>
    <s v=""/>
    <s v=""/>
    <s v=""/>
    <s v=""/>
    <s v=""/>
    <s v="Feiras"/>
    <s v=""/>
    <s v=""/>
    <s v="Abcasa2025fevereiro"/>
    <s v="Pipeline de Vendas"/>
    <s v="Qualificação de Vendas (SQL) (25%)"/>
    <s v="6x sem juros (0/30/60/90/120/150...)"/>
    <m/>
    <m/>
    <m/>
    <n v="116"/>
    <s v="Paulo Souza"/>
    <d v="2025-02-14T00:00:00"/>
    <d v="1899-12-30T17:37:06"/>
    <s v=""/>
    <s v="Perdido"/>
    <d v="2025-06-10T00:00:00"/>
    <d v="1899-12-30T14:50:38"/>
    <s v="Projeto adiado / sem prazo definido"/>
    <s v=""/>
    <s v=""/>
    <x v="0"/>
    <s v=""/>
    <x v="54"/>
    <s v=""/>
    <m/>
    <m/>
    <s v=""/>
    <s v=""/>
    <s v=""/>
    <s v=""/>
    <n v="1"/>
  </r>
  <r>
    <x v="0"/>
    <n v="256"/>
    <m/>
    <n v="1781"/>
    <s v=""/>
    <s v=""/>
    <x v="97"/>
    <m/>
    <s v=""/>
    <s v="Wanessa"/>
    <s v="38998346343"/>
    <s v=""/>
    <s v="rh@xododeminasmoc.com.br"/>
    <s v=""/>
    <s v=""/>
    <s v=""/>
    <s v=""/>
    <s v=""/>
    <s v="Indicação"/>
    <s v=""/>
    <s v=""/>
    <s v=""/>
    <s v="Pipeline de Vendas"/>
    <s v="Apresentar Solução (35%)"/>
    <s v="6x sem juros (0/30/60/90/120/150...)"/>
    <m/>
    <m/>
    <m/>
    <n v="37"/>
    <s v="Paulo Souza"/>
    <d v="2025-02-17T00:00:00"/>
    <d v="1899-12-30T12:20:30"/>
    <s v=""/>
    <s v="Perdido"/>
    <d v="2025-03-26T00:00:00"/>
    <d v="1899-12-30T17:36:27"/>
    <s v="Não quer mudar a solução atual"/>
    <s v=""/>
    <s v=""/>
    <x v="47"/>
    <s v="Paulo Souza"/>
    <x v="54"/>
    <s v=""/>
    <m/>
    <m/>
    <s v=""/>
    <s v=""/>
    <s v=""/>
    <s v=""/>
    <n v="1"/>
  </r>
  <r>
    <x v="0"/>
    <n v="257"/>
    <m/>
    <n v="1780"/>
    <s v=""/>
    <s v=""/>
    <x v="98"/>
    <m/>
    <s v=""/>
    <s v="Waldemar"/>
    <s v="(43) 99141-6611"/>
    <s v=""/>
    <s v="ti@gelonisorvetes.com.br"/>
    <s v=""/>
    <s v=""/>
    <s v=""/>
    <s v="Flórida"/>
    <s v=""/>
    <s v="Site"/>
    <s v=""/>
    <s v=""/>
    <s v="Abcasa2025fevereiro;Contato;GELADO"/>
    <s v="Pipeline de Vendas"/>
    <s v="Em negociação (75%)"/>
    <s v="6x sem juros (0/30/60/90/120/150...)"/>
    <m/>
    <n v="1234935"/>
    <n v="833725"/>
    <n v="113"/>
    <s v="Paulo Souza"/>
    <d v="2025-02-17T00:00:00"/>
    <d v="1899-12-30T12:55:36"/>
    <s v=""/>
    <s v="Perdido"/>
    <d v="2025-06-10T00:00:00"/>
    <d v="1899-12-30T14:38:18"/>
    <s v="Fechou com o concorrente - preço"/>
    <s v=""/>
    <s v=""/>
    <x v="47"/>
    <s v="Paulo Souza"/>
    <x v="54"/>
    <s v=""/>
    <m/>
    <m/>
    <s v=""/>
    <s v=""/>
    <s v=""/>
    <s v=""/>
    <n v="1"/>
  </r>
  <r>
    <x v="0"/>
    <n v="258"/>
    <m/>
    <n v="1782"/>
    <s v=""/>
    <s v=""/>
    <x v="99"/>
    <m/>
    <s v=""/>
    <s v="Elton"/>
    <s v="73999081706"/>
    <s v=""/>
    <s v="frutyba.rh@hotmail.com"/>
    <s v=""/>
    <s v=""/>
    <s v=""/>
    <s v=""/>
    <s v=""/>
    <s v=""/>
    <s v=""/>
    <s v=""/>
    <s v="Abcasa2025fevereiro"/>
    <s v="Pipeline de Vendas"/>
    <s v="Em negociação (75%)"/>
    <s v=""/>
    <m/>
    <m/>
    <m/>
    <n v="21"/>
    <s v="Paulo Souza"/>
    <d v="2025-02-17T00:00:00"/>
    <d v="1899-12-30T12:57:36"/>
    <s v=""/>
    <s v="Perdido"/>
    <d v="2025-03-10T00:00:00"/>
    <d v="1899-12-30T17:40:22"/>
    <s v="Preço muito alto - fora do budget de investimento"/>
    <s v=""/>
    <s v=""/>
    <x v="47"/>
    <s v="Paulo Souza"/>
    <x v="54"/>
    <s v=""/>
    <m/>
    <m/>
    <s v=""/>
    <s v=""/>
    <s v=""/>
    <s v=""/>
    <n v="1"/>
  </r>
  <r>
    <x v="0"/>
    <n v="259"/>
    <m/>
    <n v="1783"/>
    <s v=""/>
    <s v=""/>
    <x v="100"/>
    <m/>
    <s v=""/>
    <s v="Jose e Felipe"/>
    <s v="11997681796"/>
    <s v=""/>
    <s v="null"/>
    <s v=""/>
    <s v=""/>
    <s v=""/>
    <s v=""/>
    <s v=""/>
    <s v="Feiras"/>
    <s v=""/>
    <s v=""/>
    <s v="Abup2025Fevereiro;Pausado"/>
    <s v="Pipeline de Vendas"/>
    <s v="Qualificação de Vendas (SQL) (25%)"/>
    <s v="6x sem juros (0/30/60/90/120/150...)"/>
    <m/>
    <m/>
    <m/>
    <n v="75"/>
    <s v="Paulo Souza"/>
    <d v="2025-02-17T00:00:00"/>
    <d v="1899-12-30T13:19:01"/>
    <s v=""/>
    <s v="Perdido"/>
    <d v="2025-05-03T00:00:00"/>
    <d v="1899-12-30T11:01:03"/>
    <s v="Projeto adiado / sem prazo definido"/>
    <s v=""/>
    <s v=""/>
    <x v="0"/>
    <s v="Paulo Souza"/>
    <x v="55"/>
    <s v=""/>
    <m/>
    <m/>
    <s v=""/>
    <s v=""/>
    <s v=""/>
    <s v=""/>
    <n v="1"/>
  </r>
  <r>
    <x v="0"/>
    <n v="260"/>
    <m/>
    <n v="1785"/>
    <s v=""/>
    <s v=""/>
    <x v="101"/>
    <m/>
    <s v=""/>
    <s v="Luis Felips"/>
    <s v="11964237222"/>
    <s v=""/>
    <s v="null"/>
    <s v=""/>
    <s v=""/>
    <s v=""/>
    <s v=""/>
    <s v=""/>
    <s v="Feiras"/>
    <s v=""/>
    <s v=""/>
    <s v="Abup2025Fevereiro"/>
    <s v="Pipeline de Vendas"/>
    <s v="Qualificação de Vendas (SQL) (25%)"/>
    <s v="6x sem juros (0/30/60/90/120/150...)"/>
    <m/>
    <m/>
    <m/>
    <n v="37"/>
    <s v="Paulo Souza"/>
    <d v="2025-02-17T00:00:00"/>
    <d v="1899-12-30T13:24:02"/>
    <s v=""/>
    <s v="Perdido"/>
    <d v="2025-03-26T00:00:00"/>
    <d v="1899-12-30T17:33:35"/>
    <s v="Preço muito alto - fora do budget de investimento"/>
    <s v=""/>
    <s v=""/>
    <x v="0"/>
    <s v="Paulo Souza"/>
    <x v="55"/>
    <s v=""/>
    <m/>
    <m/>
    <s v=""/>
    <s v=""/>
    <s v=""/>
    <s v=""/>
    <n v="1"/>
  </r>
  <r>
    <x v="1"/>
    <n v="261"/>
    <m/>
    <n v="1786"/>
    <s v=""/>
    <s v=""/>
    <x v="102"/>
    <m/>
    <s v=""/>
    <s v="Prioridade 10"/>
    <s v="49991999161"/>
    <s v=""/>
    <s v="prioridade10e20financeiro@hotmail.com"/>
    <s v=""/>
    <s v=""/>
    <s v=""/>
    <s v=""/>
    <s v=""/>
    <s v=""/>
    <s v=""/>
    <s v=""/>
    <s v="Abcasa2025fevereiro"/>
    <s v="Pipeline de Vendas"/>
    <s v="Apresentar Proposta (50%)"/>
    <s v=""/>
    <m/>
    <n v="1600"/>
    <n v="2101"/>
    <n v="7"/>
    <s v="Junior Lopes"/>
    <d v="2025-02-17T00:00:00"/>
    <d v="1899-12-30T14:58:43"/>
    <s v=""/>
    <s v="Perdido"/>
    <d v="2025-02-24T00:00:00"/>
    <d v="1899-12-30T17:14:55"/>
    <s v="Preço muito alto - fora do budget de investimento"/>
    <s v="Bom dia_x000a_Junior, achei o sistema completo, não foge do que outras empresas proporcionam no mercado… no entanto, achei o valor de implantação muito elevado, da próximo de 80 mil reais pra fazer a implantação de um sistema"/>
    <s v=""/>
    <x v="42"/>
    <s v=""/>
    <x v="50"/>
    <s v=""/>
    <m/>
    <m/>
    <s v=""/>
    <s v=""/>
    <s v=""/>
    <s v=""/>
    <n v="1"/>
  </r>
  <r>
    <x v="0"/>
    <n v="263"/>
    <m/>
    <n v="1790"/>
    <s v="Falei com a Suzana sobre a sequencia do projeto. Ela esta de férias e retorna na semana do dia 12/01e vamos retomar. _x000a_Ligar para Susana no dia 14/01._x000a_23/01 Fiz FUP com a Susana que estava de férias e retornou hoje. Combinamos de eu Enviar para ela o form para ela preencher e após fazer a proposta ._x000a_17/02 Por falta de interação e interesse, estou declinando o lead."/>
    <s v=""/>
    <x v="103"/>
    <m/>
    <s v=""/>
    <s v="Suzana"/>
    <s v="11914779683"/>
    <s v=""/>
    <s v="null"/>
    <s v=""/>
    <s v=""/>
    <s v=""/>
    <s v=""/>
    <s v=""/>
    <s v="Outbound"/>
    <s v=""/>
    <s v=""/>
    <s v="50%"/>
    <s v="Pipeline de Vendas"/>
    <s v="Apresentar Proposta (50%)"/>
    <s v="6x sem juros (0/30/60/90/120/150...)"/>
    <d v="2026-01-31T00:00:00"/>
    <m/>
    <m/>
    <n v="364"/>
    <s v="Paulo Souza"/>
    <d v="2025-02-18T00:00:00"/>
    <d v="1899-12-30T10:00:38"/>
    <s v=""/>
    <s v="Perdido"/>
    <d v="2026-02-17T00:00:00"/>
    <d v="1899-12-30T14:29:08"/>
    <s v="Projeto adiado / sem prazo definido"/>
    <s v="17/02 Por falta de interação e interesse, estou declinando o lead."/>
    <s v=""/>
    <x v="48"/>
    <s v="Paulo Souza"/>
    <x v="56"/>
    <s v="21/11/2025"/>
    <d v="2026-01-23T00:00:00"/>
    <n v="50"/>
    <s v=""/>
    <s v=""/>
    <s v=""/>
    <s v=""/>
    <n v="1"/>
  </r>
  <r>
    <x v="1"/>
    <n v="266"/>
    <m/>
    <n v="1866"/>
    <s v=""/>
    <s v=""/>
    <x v="104"/>
    <n v="8652421000109"/>
    <s v=""/>
    <s v="Berenardi &amp; Bernardi"/>
    <s v="(55) 3744-6412 / (55) 3744-3600"/>
    <s v=""/>
    <s v="pedidos@suifarma.com.br"/>
    <s v=""/>
    <s v=""/>
    <s v=""/>
    <s v="FREDERICO WESTPHALEN"/>
    <s v="RS"/>
    <s v=""/>
    <s v=""/>
    <s v=""/>
    <s v=""/>
    <s v="Pipeline de Vendas"/>
    <s v="Qualificação de Vendas (SQL) (25%)"/>
    <s v=""/>
    <m/>
    <n v="14400"/>
    <n v="18034"/>
    <n v="30"/>
    <s v="Junior Lopes"/>
    <d v="2025-02-19T00:00:00"/>
    <d v="1899-12-30T17:02:21"/>
    <s v=""/>
    <s v="Perdido"/>
    <d v="2025-03-21T00:00:00"/>
    <d v="1899-12-30T14:43:49"/>
    <s v="Não quer mudar a solução atual"/>
    <s v="cliente esfriou após envio da proposta"/>
    <s v=""/>
    <x v="49"/>
    <s v=""/>
    <x v="57"/>
    <s v=""/>
    <m/>
    <m/>
    <s v=""/>
    <s v=""/>
    <s v=""/>
    <s v=""/>
    <n v="1"/>
  </r>
  <r>
    <x v="1"/>
    <n v="267"/>
    <m/>
    <n v="1871"/>
    <s v=""/>
    <s v=""/>
    <x v="105"/>
    <n v="21969045000149"/>
    <s v=""/>
    <s v="Açomix"/>
    <s v="(18) 3638-8000"/>
    <s v=""/>
    <s v="paulo@acomix.net"/>
    <s v=""/>
    <s v=""/>
    <s v=""/>
    <s v="COROADOS"/>
    <s v="SP"/>
    <s v="Feiras"/>
    <s v=""/>
    <s v=""/>
    <s v="Abup2025Fevereiro"/>
    <s v="Pipeline de Vendas"/>
    <s v="Em Fechamento (100%)"/>
    <s v="6x sem juros (0/30/60/90/120/150...)"/>
    <m/>
    <n v="88000"/>
    <n v="450432"/>
    <n v="64"/>
    <s v="Junior Lopes"/>
    <d v="2025-02-19T00:00:00"/>
    <d v="1899-12-30T17:06:03"/>
    <s v=""/>
    <s v="Ganho"/>
    <d v="2025-04-24T00:00:00"/>
    <d v="1899-12-30T12:10:45"/>
    <s v=""/>
    <s v=""/>
    <s v=""/>
    <x v="50"/>
    <s v=""/>
    <x v="0"/>
    <s v=""/>
    <m/>
    <m/>
    <s v=""/>
    <s v=""/>
    <s v=""/>
    <s v=""/>
    <n v="1"/>
  </r>
  <r>
    <x v="1"/>
    <n v="268"/>
    <m/>
    <n v="1874"/>
    <s v=""/>
    <s v=""/>
    <x v="106"/>
    <n v="52556578000122"/>
    <s v=""/>
    <s v="Elgin S/A"/>
    <s v="(11) 3411-2010"/>
    <s v=""/>
    <s v="rogerio.machado@elgin.com.br"/>
    <s v=""/>
    <s v=""/>
    <s v=""/>
    <s v="MOGI DAS CRUZES"/>
    <s v="SP"/>
    <s v="Feiras"/>
    <s v=""/>
    <s v=""/>
    <s v="Abup2025Fevereiro"/>
    <s v="Pipeline de Vendas"/>
    <s v="Qualificação de Vendas (SQL) (25%)"/>
    <s v="6x sem juros (0/30/60/90/120/150...)"/>
    <m/>
    <m/>
    <m/>
    <n v="54"/>
    <s v="Junior Lopes"/>
    <d v="2025-02-20T00:00:00"/>
    <d v="1899-12-30T10:37:30"/>
    <s v=""/>
    <s v="Perdido"/>
    <d v="2025-04-15T00:00:00"/>
    <d v="1899-12-30T16:39:42"/>
    <s v="Projeto adiado / sem prazo definido"/>
    <s v="cliente não responde as mensagens continuarei a prospectar em paralelo"/>
    <s v=""/>
    <x v="0"/>
    <s v=""/>
    <x v="0"/>
    <s v=""/>
    <m/>
    <m/>
    <s v=""/>
    <s v=""/>
    <s v=""/>
    <s v=""/>
    <n v="1"/>
  </r>
  <r>
    <x v="1"/>
    <n v="270"/>
    <n v="167"/>
    <n v="1880"/>
    <s v=""/>
    <s v=""/>
    <x v="107"/>
    <n v="7973104000121"/>
    <s v="ELMO ATACADO"/>
    <s v="Fabio"/>
    <s v="47999949301"/>
    <s v=""/>
    <s v="joao@atacadoelmo.com.br"/>
    <s v=""/>
    <s v=""/>
    <s v=""/>
    <s v="Joinville"/>
    <s v="SC"/>
    <s v=""/>
    <s v=""/>
    <s v=""/>
    <s v=""/>
    <s v="Pipeline de Vendas"/>
    <s v="Em Fechamento (100%)"/>
    <s v=""/>
    <m/>
    <n v="0"/>
    <n v="49896"/>
    <n v="11"/>
    <s v="Junior Lopes"/>
    <d v="2025-02-20T00:00:00"/>
    <d v="1899-12-30T11:43:19"/>
    <s v=""/>
    <s v="Ganho"/>
    <d v="2025-03-03T00:00:00"/>
    <d v="1899-12-30T11:34:05"/>
    <s v=""/>
    <s v=""/>
    <s v=""/>
    <x v="50"/>
    <s v=""/>
    <x v="0"/>
    <s v=""/>
    <m/>
    <m/>
    <s v=""/>
    <s v=""/>
    <s v=""/>
    <s v=""/>
    <n v="1"/>
  </r>
  <r>
    <x v="1"/>
    <n v="272"/>
    <m/>
    <n v="1882"/>
    <s v=""/>
    <s v=""/>
    <x v="108"/>
    <m/>
    <s v=""/>
    <s v="123 util"/>
    <s v="31987570994"/>
    <s v=""/>
    <s v="123util@maxximusimportadora.com.br"/>
    <s v=""/>
    <s v=""/>
    <s v=""/>
    <s v=""/>
    <s v=""/>
    <s v="Feiras"/>
    <s v=""/>
    <s v=""/>
    <s v="Abcasa2025fevereiro"/>
    <s v="Pipeline de Vendas"/>
    <s v="Qualificação de Vendas (SQL) (25%)"/>
    <s v="6x sem juros (0/30/60/90/120/150...)"/>
    <m/>
    <m/>
    <m/>
    <n v="50"/>
    <s v="Junior Lopes"/>
    <d v="2025-02-24T00:00:00"/>
    <d v="1899-12-30T09:24:09"/>
    <s v=""/>
    <s v="Perdido"/>
    <d v="2025-04-15T00:00:00"/>
    <d v="1899-12-30T16:37:27"/>
    <s v="Projeto adiado / sem prazo definido"/>
    <s v="cliente não responde as mensagens , continuarei a prospectar em paralelo"/>
    <s v=""/>
    <x v="0"/>
    <s v=""/>
    <x v="44"/>
    <s v=""/>
    <m/>
    <m/>
    <s v=""/>
    <s v=""/>
    <s v=""/>
    <s v=""/>
    <n v="1"/>
  </r>
  <r>
    <x v="2"/>
    <n v="273"/>
    <m/>
    <n v="1883"/>
    <s v=""/>
    <s v=""/>
    <x v="109"/>
    <m/>
    <s v=""/>
    <s v="Ilan Couselo"/>
    <s v="11991554630"/>
    <s v=""/>
    <s v="ilan@couselo.com.br"/>
    <s v=""/>
    <s v=""/>
    <s v=""/>
    <s v=""/>
    <s v=""/>
    <s v="Feiras"/>
    <s v=""/>
    <s v=""/>
    <s v=""/>
    <s v="Pipeline de Vendas"/>
    <s v="Em Fechamento (100%)"/>
    <s v="6x sem juros (0/30/60/90/120/150...)"/>
    <m/>
    <n v="55440"/>
    <n v="560465"/>
    <n v="39"/>
    <s v="Rayssa Karapeticov"/>
    <d v="2025-02-24T00:00:00"/>
    <d v="1899-12-30T15:53:45"/>
    <s v=""/>
    <s v="Perdido"/>
    <d v="2025-04-04T00:00:00"/>
    <d v="1899-12-30T15:28:34"/>
    <s v="Preço muito alto - fora do budget de investimento"/>
    <s v=""/>
    <s v=""/>
    <x v="51"/>
    <s v="Rayssa Karapeticov"/>
    <x v="58"/>
    <s v="24/02/2025 00:00"/>
    <m/>
    <m/>
    <s v=""/>
    <s v=""/>
    <s v=""/>
    <s v=""/>
    <n v="1"/>
  </r>
  <r>
    <x v="1"/>
    <n v="277"/>
    <m/>
    <n v="1887"/>
    <s v=""/>
    <s v=""/>
    <x v="110"/>
    <m/>
    <s v=""/>
    <s v="Erca Aluminio"/>
    <s v="19997023116"/>
    <s v=""/>
    <s v="rafael@ercaaluminio.com.br"/>
    <s v=""/>
    <s v=""/>
    <s v=""/>
    <s v=""/>
    <s v=""/>
    <s v=""/>
    <s v=""/>
    <s v=""/>
    <s v=""/>
    <s v="Pipeline de Vendas"/>
    <s v="Em Fechamento (100%)"/>
    <s v=""/>
    <m/>
    <n v="0"/>
    <n v="3564"/>
    <n v="5"/>
    <s v="Junior Lopes"/>
    <d v="2025-02-26T00:00:00"/>
    <d v="1899-12-30T09:12:09"/>
    <s v=""/>
    <s v="Ganho"/>
    <d v="2025-03-03T00:00:00"/>
    <d v="1899-12-30T11:34:23"/>
    <s v=""/>
    <s v=""/>
    <s v=""/>
    <x v="52"/>
    <s v=""/>
    <x v="0"/>
    <s v=""/>
    <m/>
    <m/>
    <s v=""/>
    <s v=""/>
    <s v=""/>
    <s v=""/>
    <n v="1"/>
  </r>
  <r>
    <x v="1"/>
    <n v="279"/>
    <m/>
    <n v="1890"/>
    <s v=""/>
    <s v=""/>
    <x v="111"/>
    <m/>
    <s v=""/>
    <s v="Claudio"/>
    <s v="14997530243"/>
    <s v=""/>
    <s v="null"/>
    <s v=""/>
    <s v=""/>
    <s v=""/>
    <s v=""/>
    <s v=""/>
    <s v=""/>
    <s v=""/>
    <s v=""/>
    <s v=""/>
    <s v="Pipeline de Vendas"/>
    <s v="Qualificação de Vendas (SQL) (25%)"/>
    <s v=""/>
    <m/>
    <m/>
    <m/>
    <n v="2"/>
    <s v="Paulo Souza"/>
    <d v="2025-02-26T00:00:00"/>
    <d v="1899-12-30T17:34:49"/>
    <s v=""/>
    <s v="Perdido"/>
    <d v="2025-02-28T00:00:00"/>
    <d v="1899-12-30T17:04:22"/>
    <s v="Fora do porte mínimo (sem fit estrutural)"/>
    <s v="Representante"/>
    <s v=""/>
    <x v="0"/>
    <s v="Junior Lopes"/>
    <x v="0"/>
    <s v=""/>
    <m/>
    <m/>
    <s v=""/>
    <s v=""/>
    <s v=""/>
    <s v=""/>
    <n v="1"/>
  </r>
  <r>
    <x v="1"/>
    <n v="281"/>
    <m/>
    <n v="1892"/>
    <s v=""/>
    <s v=""/>
    <x v="112"/>
    <m/>
    <s v=""/>
    <s v="açomix soluções para o lar"/>
    <s v="17996266839"/>
    <s v=""/>
    <s v="fernando@acomix.net"/>
    <s v=""/>
    <s v=""/>
    <s v=""/>
    <s v=""/>
    <s v=""/>
    <s v="Feiras"/>
    <s v=""/>
    <s v=""/>
    <s v=""/>
    <s v="Pipeline de Vendas"/>
    <s v="Em Fechamento (100%)"/>
    <s v="6x sem juros (0/30/60/90/120/150...)"/>
    <m/>
    <n v="0"/>
    <n v="449635"/>
    <n v="55"/>
    <s v="Junior Lopes"/>
    <d v="2025-02-28T00:00:00"/>
    <d v="1899-12-30T10:13:32"/>
    <s v=""/>
    <s v="Ganho"/>
    <d v="2025-04-24T00:00:00"/>
    <d v="1899-12-30T12:11:29"/>
    <s v=""/>
    <s v=""/>
    <s v=""/>
    <x v="46"/>
    <s v=""/>
    <x v="59"/>
    <s v=""/>
    <m/>
    <m/>
    <s v=""/>
    <s v=""/>
    <s v=""/>
    <s v=""/>
    <n v="1"/>
  </r>
  <r>
    <x v="1"/>
    <n v="282"/>
    <m/>
    <n v="1894"/>
    <s v=""/>
    <s v=""/>
    <x v="113"/>
    <m/>
    <s v=""/>
    <s v="Plasberg"/>
    <s v="75981412000"/>
    <s v=""/>
    <s v="breno@plasberg.com.br"/>
    <s v=""/>
    <s v=""/>
    <s v=""/>
    <s v=""/>
    <s v=""/>
    <s v="Feiras"/>
    <s v=""/>
    <s v=""/>
    <s v=""/>
    <s v="Pipeline de Vendas"/>
    <s v="Apresentar Proposta (50%)"/>
    <s v="6x sem juros (0/30/60/90/120/150...)"/>
    <m/>
    <n v="1600"/>
    <n v="5"/>
    <n v="47"/>
    <s v="Junior Lopes"/>
    <d v="2025-02-28T00:00:00"/>
    <d v="1899-12-30T16:52:57"/>
    <s v=""/>
    <s v="Perdido"/>
    <d v="2025-04-16T00:00:00"/>
    <d v="1899-12-30T09:28:18"/>
    <s v="Projeto adiado / sem prazo definido"/>
    <s v="Breno não responde as mensagens ! estou fechando oportunidade mas continuo em busca da oportunidade"/>
    <s v=""/>
    <x v="43"/>
    <s v=""/>
    <x v="47"/>
    <s v=""/>
    <m/>
    <m/>
    <s v=""/>
    <s v=""/>
    <s v=""/>
    <s v=""/>
    <n v="1"/>
  </r>
  <r>
    <x v="2"/>
    <n v="283"/>
    <m/>
    <n v="1895"/>
    <s v=""/>
    <s v=""/>
    <x v="114"/>
    <n v="37075503000136"/>
    <s v=""/>
    <s v="Rafael"/>
    <s v="(48) 3380-3374"/>
    <s v=""/>
    <s v="pupiimports@gmail.com"/>
    <s v=""/>
    <s v=""/>
    <s v=""/>
    <s v="TIJUCAS"/>
    <s v="SC"/>
    <s v=""/>
    <s v=""/>
    <s v=""/>
    <s v=""/>
    <s v="Pipeline de Vendas"/>
    <s v="Em Fechamento (100%)"/>
    <s v=""/>
    <m/>
    <n v="63000"/>
    <n v="211328"/>
    <n v="20"/>
    <s v="Rayssa Karapeticov"/>
    <d v="2025-03-04T00:00:00"/>
    <d v="1899-12-30T09:43:38"/>
    <s v=""/>
    <s v="Ganho"/>
    <d v="2025-03-24T00:00:00"/>
    <d v="1899-12-30T19:14:21"/>
    <s v=""/>
    <s v=""/>
    <s v=""/>
    <x v="53"/>
    <s v="Rayssa Karapeticov"/>
    <x v="0"/>
    <s v=""/>
    <m/>
    <m/>
    <s v=""/>
    <s v=""/>
    <s v=""/>
    <s v=""/>
    <n v="1"/>
  </r>
  <r>
    <x v="2"/>
    <n v="284"/>
    <m/>
    <n v="1897"/>
    <s v=""/>
    <s v=""/>
    <x v="115"/>
    <n v="37075503000136"/>
    <s v=""/>
    <s v="Rafael"/>
    <s v="(48) 3380-3374"/>
    <s v=""/>
    <s v="pupiimports@gmail.com"/>
    <s v=""/>
    <s v=""/>
    <s v=""/>
    <s v="TIJUCAS"/>
    <s v="SC"/>
    <s v="Feiras"/>
    <s v=""/>
    <s v=""/>
    <s v=""/>
    <s v="Pipeline de Vendas"/>
    <s v="Em Fechamento (100%)"/>
    <s v=""/>
    <m/>
    <n v="1600"/>
    <n v="287073"/>
    <n v="22"/>
    <s v="Rayssa Karapeticov"/>
    <d v="2025-03-04T00:00:00"/>
    <d v="1899-12-30T15:18:52"/>
    <s v=""/>
    <s v="Ganho"/>
    <d v="2025-03-26T00:00:00"/>
    <d v="1899-12-30T10:41:15"/>
    <s v=""/>
    <s v=""/>
    <s v=""/>
    <x v="53"/>
    <s v="Rayssa Karapeticov"/>
    <x v="60"/>
    <s v=""/>
    <m/>
    <m/>
    <s v=""/>
    <s v=""/>
    <s v=""/>
    <s v=""/>
    <n v="1"/>
  </r>
  <r>
    <x v="2"/>
    <n v="286"/>
    <m/>
    <n v="1900"/>
    <s v=""/>
    <s v=""/>
    <x v="116"/>
    <n v="37075503000136"/>
    <s v=""/>
    <s v="Rafael"/>
    <s v="5196199231"/>
    <s v=""/>
    <s v="pupiimports@gmail.com"/>
    <s v=""/>
    <s v=""/>
    <s v=""/>
    <s v="TIJUCAS"/>
    <s v="SC"/>
    <s v="Outbound"/>
    <s v=""/>
    <s v=""/>
    <s v=""/>
    <s v="Pipeline de Vendas"/>
    <s v="Em negociação (75%)"/>
    <s v="6x sem juros (0/30/60/90/120/150...)"/>
    <m/>
    <n v="23580"/>
    <n v="1800"/>
    <n v="65"/>
    <s v="Rayssa Karapeticov"/>
    <d v="2025-03-10T00:00:00"/>
    <d v="1899-12-30T15:20:29"/>
    <s v=""/>
    <s v="Perdido"/>
    <d v="2025-05-14T00:00:00"/>
    <d v="1899-12-30T11:32:41"/>
    <s v="Não houve aprovação financeira"/>
    <s v=""/>
    <s v=""/>
    <x v="54"/>
    <s v="Rayssa Karapeticov"/>
    <x v="61"/>
    <s v=""/>
    <m/>
    <m/>
    <s v=""/>
    <s v=""/>
    <s v=""/>
    <s v=""/>
    <n v="1"/>
  </r>
  <r>
    <x v="0"/>
    <n v="287"/>
    <m/>
    <n v="1902"/>
    <s v=""/>
    <s v=""/>
    <x v="117"/>
    <n v="7764744000202"/>
    <s v=""/>
    <s v="Xeryus"/>
    <s v="11997802621"/>
    <s v=""/>
    <s v="jesica@xeryus.com.br"/>
    <s v=""/>
    <s v=""/>
    <s v=""/>
    <s v=""/>
    <s v=""/>
    <s v="Outbound"/>
    <s v=""/>
    <s v=""/>
    <s v="MORNO"/>
    <s v="Pipeline de Vendas"/>
    <s v="Em negociação (75%)"/>
    <s v="6x sem juros (0/30/60/90/120/150...)"/>
    <m/>
    <n v="16000"/>
    <n v="68607"/>
    <n v="54"/>
    <s v="Paulo Souza"/>
    <d v="2025-03-10T00:00:00"/>
    <d v="1899-12-30T16:44:02"/>
    <s v=""/>
    <s v="Perdido"/>
    <d v="2025-05-03T00:00:00"/>
    <d v="1899-12-30T10:37:26"/>
    <s v="Fechou com o concorrente - preço"/>
    <s v=""/>
    <s v=""/>
    <x v="55"/>
    <s v="Paulo Souza"/>
    <x v="62"/>
    <s v="11/03/2025 00:00"/>
    <m/>
    <m/>
    <s v=""/>
    <s v=""/>
    <s v=""/>
    <s v=""/>
    <n v="1"/>
  </r>
  <r>
    <x v="1"/>
    <n v="291"/>
    <m/>
    <n v="1904"/>
    <s v=""/>
    <s v=""/>
    <x v="118"/>
    <m/>
    <s v=""/>
    <s v="Ponto 10"/>
    <s v="7199841895"/>
    <s v=""/>
    <s v="gabriel@grupoponto10.com.br"/>
    <s v=""/>
    <s v=""/>
    <s v=""/>
    <s v=""/>
    <s v=""/>
    <s v="Parceiros"/>
    <s v=""/>
    <s v=""/>
    <s v=""/>
    <s v="Pipeline de Vendas"/>
    <s v="Em Fechamento (100%)"/>
    <s v="6x sem juros (0/30/60/90/120/150...)"/>
    <m/>
    <n v="12720"/>
    <n v="1764"/>
    <n v="47"/>
    <s v="Junior Lopes"/>
    <d v="2025-03-13T00:00:00"/>
    <d v="1899-12-30T14:19:18"/>
    <s v=""/>
    <s v="Ganho"/>
    <d v="2025-04-29T00:00:00"/>
    <d v="1899-12-30T14:35:30"/>
    <s v=""/>
    <s v=""/>
    <s v=""/>
    <x v="56"/>
    <s v=""/>
    <x v="63"/>
    <s v=""/>
    <m/>
    <m/>
    <s v=""/>
    <s v=""/>
    <s v=""/>
    <s v=""/>
    <n v="1"/>
  </r>
  <r>
    <x v="0"/>
    <n v="293"/>
    <m/>
    <n v="1907"/>
    <s v=""/>
    <s v=""/>
    <x v="119"/>
    <m/>
    <s v=""/>
    <s v="Rodrigo"/>
    <s v="(17) 99734-7687"/>
    <s v=""/>
    <s v="rodrigovaquerosilva@gmail.com"/>
    <s v=""/>
    <s v=""/>
    <s v=""/>
    <s v="Jales"/>
    <s v=""/>
    <s v="Site"/>
    <s v=""/>
    <s v=""/>
    <s v="Contato"/>
    <s v="Pipeline de Vendas"/>
    <s v="Apresentar Solução (35%)"/>
    <s v="6x sem juros (0/30/60/90/120/150...)"/>
    <m/>
    <m/>
    <m/>
    <n v="21"/>
    <s v="Paulo Souza"/>
    <d v="2025-03-17T00:00:00"/>
    <d v="1899-12-30T08:53:12"/>
    <s v=""/>
    <s v="Perdido"/>
    <d v="2025-04-07T00:00:00"/>
    <d v="1899-12-30T14:00:24"/>
    <s v="Não quer mudar a solução atual"/>
    <s v=""/>
    <s v=""/>
    <x v="57"/>
    <s v=""/>
    <x v="64"/>
    <s v=""/>
    <m/>
    <m/>
    <s v=""/>
    <s v=""/>
    <s v=""/>
    <s v=""/>
    <n v="1"/>
  </r>
  <r>
    <x v="0"/>
    <n v="294"/>
    <m/>
    <n v="1908"/>
    <s v=""/>
    <s v=""/>
    <x v="120"/>
    <m/>
    <s v=""/>
    <s v="Anne"/>
    <s v="31995069963"/>
    <s v=""/>
    <s v="null"/>
    <s v=""/>
    <s v=""/>
    <s v=""/>
    <s v=""/>
    <s v=""/>
    <s v="Inbound"/>
    <s v=""/>
    <s v=""/>
    <s v=""/>
    <s v="Pipeline de Vendas"/>
    <s v="Apresentar Solução (35%)"/>
    <s v="6x sem juros (0/30/60/90/120/150...)"/>
    <m/>
    <m/>
    <m/>
    <n v="21"/>
    <s v="Paulo Souza"/>
    <d v="2025-03-17T00:00:00"/>
    <d v="1899-12-30T08:58:27"/>
    <s v=""/>
    <s v="Perdido"/>
    <d v="2025-04-07T00:00:00"/>
    <d v="1899-12-30T11:48:49"/>
    <s v="Não quer mudar a solução atual"/>
    <s v=""/>
    <s v=""/>
    <x v="57"/>
    <s v="Paulo Souza"/>
    <x v="64"/>
    <s v=""/>
    <m/>
    <m/>
    <s v=""/>
    <s v=""/>
    <s v=""/>
    <s v=""/>
    <n v="1"/>
  </r>
  <r>
    <x v="1"/>
    <n v="295"/>
    <m/>
    <n v="1909"/>
    <s v=""/>
    <s v=""/>
    <x v="121"/>
    <m/>
    <s v=""/>
    <s v="GBL Import"/>
    <s v="21996127685"/>
    <s v=""/>
    <s v="gilberto@gblimport.com.br"/>
    <s v=""/>
    <s v=""/>
    <s v=""/>
    <s v=""/>
    <s v=""/>
    <s v="Indicação"/>
    <s v=""/>
    <s v=""/>
    <s v=""/>
    <s v="Pipeline de Vendas"/>
    <s v="Em negociação (75%)"/>
    <s v="6x sem juros (0/30/60/90/120/150...)"/>
    <m/>
    <n v="79920"/>
    <n v="33813"/>
    <n v="59"/>
    <s v="Junior Lopes"/>
    <d v="2025-03-17T00:00:00"/>
    <d v="1899-12-30T12:35:35"/>
    <s v=""/>
    <s v="Perdido"/>
    <d v="2025-05-15T00:00:00"/>
    <d v="1899-12-30T16:21:33"/>
    <s v="Projeto adiado / sem prazo definido"/>
    <s v="sem retorno do cliente"/>
    <s v=""/>
    <x v="58"/>
    <s v=""/>
    <x v="65"/>
    <s v=""/>
    <m/>
    <m/>
    <s v=""/>
    <s v=""/>
    <s v=""/>
    <s v=""/>
    <n v="1"/>
  </r>
  <r>
    <x v="1"/>
    <n v="298"/>
    <m/>
    <n v="1913"/>
    <s v=""/>
    <s v=""/>
    <x v="122"/>
    <m/>
    <s v=""/>
    <s v="GBL Import - Cloud"/>
    <s v="21996127685"/>
    <s v=""/>
    <s v="geraldolima@gblimport.com.br"/>
    <s v=""/>
    <s v=""/>
    <s v=""/>
    <s v=""/>
    <s v=""/>
    <s v="Indicação"/>
    <s v=""/>
    <s v=""/>
    <s v=""/>
    <s v="Pipeline de Vendas"/>
    <s v="Em negociação (75%)"/>
    <s v="6x sem juros (0/30/60/90/120/150...)"/>
    <m/>
    <n v="1600"/>
    <n v="3196"/>
    <n v="58"/>
    <s v="Junior Lopes"/>
    <d v="2025-03-18T00:00:00"/>
    <d v="1899-12-30T15:00:29"/>
    <s v=""/>
    <s v="Perdido"/>
    <d v="2025-05-15T00:00:00"/>
    <d v="1899-12-30T16:22:10"/>
    <s v="Projeto adiado / sem prazo definido"/>
    <s v="sem retorno do cliente"/>
    <s v=""/>
    <x v="58"/>
    <s v=""/>
    <x v="65"/>
    <s v=""/>
    <m/>
    <m/>
    <s v=""/>
    <s v=""/>
    <s v=""/>
    <s v=""/>
    <n v="1"/>
  </r>
  <r>
    <x v="1"/>
    <n v="301"/>
    <m/>
    <n v="1916"/>
    <s v=""/>
    <s v=""/>
    <x v="123"/>
    <m/>
    <s v=""/>
    <s v="Erca alumínio"/>
    <s v="19997023116"/>
    <s v=""/>
    <s v="rafael@ercaaluminio.com.br"/>
    <s v=""/>
    <s v=""/>
    <s v=""/>
    <s v=""/>
    <s v=""/>
    <s v="Outbound"/>
    <s v=""/>
    <s v=""/>
    <s v=""/>
    <s v="Pipeline de Vendas"/>
    <s v="Em Fechamento (100%)"/>
    <s v=""/>
    <m/>
    <n v="2339208"/>
    <n v="0"/>
    <n v="13"/>
    <s v="Junior Lopes"/>
    <d v="2025-03-20T00:00:00"/>
    <d v="1899-12-30T14:50:12"/>
    <s v=""/>
    <s v="Ganho"/>
    <d v="2025-04-02T00:00:00"/>
    <d v="1899-12-30T10:04:50"/>
    <s v=""/>
    <s v=""/>
    <s v=""/>
    <x v="59"/>
    <s v=""/>
    <x v="0"/>
    <s v=""/>
    <m/>
    <m/>
    <s v=""/>
    <s v=""/>
    <s v=""/>
    <s v=""/>
    <n v="1"/>
  </r>
  <r>
    <x v="1"/>
    <n v="303"/>
    <m/>
    <n v="1919"/>
    <s v=""/>
    <s v=""/>
    <x v="124"/>
    <m/>
    <s v=""/>
    <s v="Dayane"/>
    <s v="(62) 99360-9476"/>
    <s v=""/>
    <s v="dayane.tecelagemcastilho@gmail.com"/>
    <s v=""/>
    <s v=""/>
    <s v=""/>
    <s v="Goiânia"/>
    <s v=""/>
    <s v="Site"/>
    <s v=""/>
    <s v=""/>
    <s v="Solicita demo"/>
    <s v="Pipeline de Vendas"/>
    <s v="Em Fechamento (100%)"/>
    <s v="6x sem juros (0/30/60/90/120/150...)"/>
    <m/>
    <n v="583848"/>
    <n v="229112"/>
    <n v="57"/>
    <s v="Paulo Souza"/>
    <d v="2025-03-25T00:00:00"/>
    <d v="1899-12-30T09:13:21"/>
    <s v=""/>
    <s v="Ganho"/>
    <d v="2025-05-21T00:00:00"/>
    <d v="1899-12-30T09:01:18"/>
    <s v=""/>
    <s v=""/>
    <s v=""/>
    <x v="60"/>
    <s v=""/>
    <x v="66"/>
    <s v="28/03/2025"/>
    <m/>
    <m/>
    <s v=""/>
    <s v=""/>
    <s v=""/>
    <s v=""/>
    <n v="1"/>
  </r>
  <r>
    <x v="1"/>
    <n v="304"/>
    <m/>
    <n v="1922"/>
    <s v=""/>
    <s v=""/>
    <x v="125"/>
    <m/>
    <s v=""/>
    <s v="Erca Alumínio"/>
    <s v="19997023116"/>
    <s v=""/>
    <s v="rafael@ercaaluminio.com.br"/>
    <s v=""/>
    <s v=""/>
    <s v=""/>
    <s v=""/>
    <s v=""/>
    <s v=""/>
    <s v=""/>
    <s v=""/>
    <s v=""/>
    <s v="Pipeline de Vendas"/>
    <s v="Em Fechamento (100%)"/>
    <s v=""/>
    <m/>
    <n v="0"/>
    <n v="14256"/>
    <n v="0"/>
    <s v="Junior Lopes"/>
    <d v="2025-03-26T00:00:00"/>
    <d v="1899-12-30T12:26:05"/>
    <s v=""/>
    <s v="Ganho"/>
    <d v="2025-03-26T00:00:00"/>
    <d v="1899-12-30T12:28:36"/>
    <s v=""/>
    <s v=""/>
    <s v=""/>
    <x v="61"/>
    <s v=""/>
    <x v="0"/>
    <s v=""/>
    <m/>
    <m/>
    <s v=""/>
    <s v=""/>
    <s v=""/>
    <s v=""/>
    <n v="1"/>
  </r>
  <r>
    <x v="1"/>
    <n v="305"/>
    <m/>
    <n v="1923"/>
    <s v=""/>
    <s v=""/>
    <x v="126"/>
    <n v="49695060000165"/>
    <s v=""/>
    <s v="Sk Importacao e Exportacao"/>
    <s v="(11) 2171-0800"/>
    <s v=""/>
    <s v="legal@vrscontabil.com.br"/>
    <s v=""/>
    <s v=""/>
    <s v=""/>
    <s v="SAO PAULO"/>
    <s v="SP"/>
    <s v="Inbound"/>
    <s v=""/>
    <s v=""/>
    <s v=""/>
    <s v="Pipeline de Vendas"/>
    <s v="Apresentar Proposta (50%)"/>
    <s v="6x sem juros (0/30/60/90/120/150...)"/>
    <m/>
    <n v="64448"/>
    <n v="159326"/>
    <n v="50"/>
    <s v="Junior Lopes"/>
    <d v="2025-03-26T00:00:00"/>
    <d v="1899-12-30T12:54:52"/>
    <s v=""/>
    <s v="Perdido"/>
    <d v="2025-05-15T00:00:00"/>
    <d v="1899-12-30T15:25:04"/>
    <s v="Projeto adiado / sem prazo definido"/>
    <s v="14:31, 06/05/2025 Jamal: Tudo bem_x000a_14:34, 06/05/2025 Junior Lopes: por aqui td bem Jamal_x000a_14:35, 06/05/2025 Junior Lopes: sobre o Software Guarani, vamos dar sequencia ?_x000a_15:02, 06/05/2025 Jamal: Meu amigo pra ser sincero estou em mudanças e esta muita correria por aqui_x000a_15:02, 06/05/2025 Jamal: Mas depois vou estudar melhor sobre"/>
    <s v=""/>
    <x v="62"/>
    <s v=""/>
    <x v="67"/>
    <s v=""/>
    <m/>
    <m/>
    <s v=""/>
    <s v=""/>
    <s v=""/>
    <s v=""/>
    <n v="1"/>
  </r>
  <r>
    <x v="1"/>
    <n v="311"/>
    <m/>
    <n v="1942"/>
    <s v=""/>
    <s v=""/>
    <x v="127"/>
    <m/>
    <s v=""/>
    <s v="Tritec"/>
    <s v="47991900625"/>
    <s v=""/>
    <s v="gisele.ehlert@tritec.ind.com"/>
    <s v=""/>
    <s v=""/>
    <s v=""/>
    <s v=""/>
    <s v=""/>
    <s v=""/>
    <s v=""/>
    <s v=""/>
    <s v=""/>
    <s v="Pipeline de Vendas"/>
    <s v="Em Fechamento (100%)"/>
    <s v="4x sem juros (0/30/60/90)"/>
    <m/>
    <n v="16960"/>
    <n v="10810"/>
    <n v="43"/>
    <s v="Junior Lopes"/>
    <d v="2025-03-27T00:00:00"/>
    <d v="1899-12-30T12:48:43"/>
    <s v=""/>
    <s v="Ganho"/>
    <d v="2025-05-09T00:00:00"/>
    <d v="1899-12-30T12:02:54"/>
    <s v=""/>
    <s v=""/>
    <s v=""/>
    <x v="60"/>
    <s v=""/>
    <x v="66"/>
    <s v="24/04/2025"/>
    <m/>
    <m/>
    <s v=""/>
    <s v=""/>
    <s v=""/>
    <s v=""/>
    <n v="1"/>
  </r>
  <r>
    <x v="0"/>
    <n v="313"/>
    <m/>
    <n v="1944"/>
    <s v=""/>
    <s v=""/>
    <x v="128"/>
    <n v="1787082000129"/>
    <s v=""/>
    <s v="Marcos"/>
    <s v="(11) 99755-7094"/>
    <s v=""/>
    <s v="contato@styroform.com.br"/>
    <s v=""/>
    <s v=""/>
    <s v=""/>
    <s v=""/>
    <s v=""/>
    <s v="Indicação"/>
    <s v=""/>
    <s v=""/>
    <s v="MORNO"/>
    <s v="Pipeline de Vendas"/>
    <s v="Em Fechamento (100%)"/>
    <s v="6x sem juros (0/30/60/90/120/150...)"/>
    <d v="2028-05-31T00:00:00"/>
    <n v="51200"/>
    <n v="42262"/>
    <n v="75"/>
    <s v="Paulo Souza"/>
    <d v="2025-03-27T00:00:00"/>
    <d v="1899-12-30T15:59:16"/>
    <s v=""/>
    <s v="Perdido"/>
    <d v="2025-06-10T00:00:00"/>
    <d v="1899-12-30T12:16:08"/>
    <s v="Preço muito alto - fora do budget de investimento"/>
    <s v=""/>
    <s v=""/>
    <x v="45"/>
    <s v="Paulo Souza"/>
    <x v="68"/>
    <s v=""/>
    <m/>
    <m/>
    <s v=""/>
    <s v=""/>
    <s v=""/>
    <s v=""/>
    <n v="1"/>
  </r>
  <r>
    <x v="0"/>
    <n v="314"/>
    <m/>
    <n v="1948"/>
    <s v=""/>
    <s v=""/>
    <x v="129"/>
    <m/>
    <s v=""/>
    <s v="Claudio"/>
    <s v="12991051939"/>
    <s v=""/>
    <s v="null"/>
    <s v=""/>
    <s v=""/>
    <s v=""/>
    <s v=""/>
    <s v=""/>
    <s v=""/>
    <s v=""/>
    <s v=""/>
    <s v=""/>
    <s v="Pipeline de Vendas"/>
    <s v="Qualificação de Vendas (SQL) (25%)"/>
    <s v=""/>
    <m/>
    <m/>
    <m/>
    <n v="10"/>
    <s v="Paulo Souza"/>
    <d v="2025-03-28T00:00:00"/>
    <d v="1899-12-30T11:11:42"/>
    <s v=""/>
    <s v="Perdido"/>
    <d v="2025-04-07T00:00:00"/>
    <d v="1899-12-30T14:36:03"/>
    <s v="Fora do porte mínimo (sem fit estrutural)"/>
    <s v=""/>
    <s v=""/>
    <x v="0"/>
    <s v="Paulo Souza"/>
    <x v="69"/>
    <s v=""/>
    <m/>
    <m/>
    <s v=""/>
    <s v=""/>
    <s v=""/>
    <s v=""/>
    <n v="1"/>
  </r>
  <r>
    <x v="1"/>
    <n v="315"/>
    <m/>
    <n v="1949"/>
    <s v=""/>
    <s v=""/>
    <x v="130"/>
    <m/>
    <s v=""/>
    <s v="Tecelagem Castitho - Cloud"/>
    <s v="62993609476"/>
    <s v=""/>
    <s v="dayane.tecelagemcastilho@gmail.com"/>
    <s v=""/>
    <s v=""/>
    <s v=""/>
    <s v=""/>
    <s v=""/>
    <s v=""/>
    <s v=""/>
    <s v=""/>
    <s v=""/>
    <s v="Pipeline de Vendas"/>
    <s v="Em Fechamento (100%)"/>
    <s v="10x sem juros (0/30/60/90/120/150...)"/>
    <m/>
    <n v="1600"/>
    <n v="180443"/>
    <n v="54"/>
    <s v="Junior Lopes"/>
    <d v="2025-03-28T00:00:00"/>
    <d v="1899-12-30T11:49:45"/>
    <s v=""/>
    <s v="Ganho"/>
    <d v="2025-05-21T00:00:00"/>
    <d v="1899-12-30T09:02:37"/>
    <s v=""/>
    <s v=""/>
    <s v=""/>
    <x v="60"/>
    <s v=""/>
    <x v="66"/>
    <s v=""/>
    <m/>
    <m/>
    <s v=""/>
    <s v=""/>
    <s v=""/>
    <s v=""/>
    <n v="1"/>
  </r>
  <r>
    <x v="1"/>
    <n v="316"/>
    <m/>
    <n v="1950"/>
    <s v=""/>
    <s v=""/>
    <x v="131"/>
    <n v="49695060000165"/>
    <s v=""/>
    <s v="SK Importação - Cloud"/>
    <s v="(11) 2171-0800"/>
    <s v=""/>
    <s v="legal@vrscontabil.com.br"/>
    <s v=""/>
    <s v=""/>
    <s v=""/>
    <s v="SAO PAULO"/>
    <s v="SP"/>
    <s v=""/>
    <s v=""/>
    <s v=""/>
    <s v=""/>
    <s v="Pipeline de Vendas"/>
    <s v="Apresentar Proposta (50%)"/>
    <s v=""/>
    <m/>
    <n v="1600"/>
    <n v="2178"/>
    <n v="48"/>
    <s v="Junior Lopes"/>
    <d v="2025-03-28T00:00:00"/>
    <d v="1899-12-30T15:06:00"/>
    <s v=""/>
    <s v="Perdido"/>
    <d v="2025-05-15T00:00:00"/>
    <d v="1899-12-30T15:26:40"/>
    <s v="Projeto adiado / sem prazo definido"/>
    <s v="14:31, 06/05/2025 Jamal: Tudo bem_x000a_14:34, 06/05/2025 Junior Lopes: por aqui td bem Jamal_x000a_14:35, 06/05/2025 Junior Lopes: sobre o Software Guarani, vamos dar sequencia ?_x000a_15:02, 06/05/2025 Jamal: Meu amigo pra ser sincero estou em mudanças e esta muita correria por aqui_x000a_15:02, 06/05/2025 Jamal: Mas depois vou estudar melhor sobre"/>
    <s v="26/03/2025"/>
    <x v="61"/>
    <s v=""/>
    <x v="67"/>
    <s v=""/>
    <m/>
    <m/>
    <s v=""/>
    <s v=""/>
    <s v=""/>
    <s v=""/>
    <n v="1"/>
  </r>
  <r>
    <x v="1"/>
    <n v="317"/>
    <m/>
    <n v="1952"/>
    <s v=""/>
    <s v=""/>
    <x v="132"/>
    <n v="8652421000109"/>
    <s v=""/>
    <s v="Comércio de prod. vet. bernardi e bernardi"/>
    <s v="(55) 3744-6412"/>
    <s v=""/>
    <s v="pedidos@suifarma.com.br"/>
    <s v=""/>
    <s v=""/>
    <s v=""/>
    <s v="FREDERICO WESTPHALEN"/>
    <s v="RS"/>
    <s v=""/>
    <s v=""/>
    <s v=""/>
    <s v=""/>
    <s v="Pipeline de Vendas"/>
    <s v="Em negociação (75%)"/>
    <s v=""/>
    <m/>
    <n v="74860"/>
    <n v="641932"/>
    <n v="48"/>
    <s v="Junior Lopes"/>
    <d v="2025-03-28T00:00:00"/>
    <d v="1899-12-30T15:37:47"/>
    <s v=""/>
    <s v="Perdido"/>
    <d v="2025-05-15T00:00:00"/>
    <d v="1899-12-30T11:35:21"/>
    <s v="Projeto adiado / sem prazo definido"/>
    <s v="cliente ainda não definiu _x000a_estou baixando oportunidade mas manterei contato via WhatsApp"/>
    <s v=""/>
    <x v="60"/>
    <s v=""/>
    <x v="70"/>
    <s v=""/>
    <m/>
    <m/>
    <s v=""/>
    <s v=""/>
    <s v=""/>
    <s v=""/>
    <n v="1"/>
  </r>
  <r>
    <x v="1"/>
    <n v="318"/>
    <m/>
    <n v="1957"/>
    <s v=""/>
    <s v=""/>
    <x v="133"/>
    <n v="8652421000109"/>
    <s v=""/>
    <s v="Comércio Bernardi e Bernardi - Cloud"/>
    <s v="43991395000"/>
    <s v=""/>
    <s v="pedidos@suifarma.com.br"/>
    <s v=""/>
    <s v=""/>
    <s v=""/>
    <s v=""/>
    <s v=""/>
    <s v=""/>
    <s v=""/>
    <s v=""/>
    <s v=""/>
    <s v="Pipeline de Vendas"/>
    <s v="Apresentar Proposta (50%)"/>
    <s v=""/>
    <m/>
    <m/>
    <m/>
    <n v="19"/>
    <s v="Junior Lopes"/>
    <d v="2025-03-28T00:00:00"/>
    <d v="1899-12-30T15:40:43"/>
    <s v=""/>
    <s v="Perdido"/>
    <d v="2025-04-16T00:00:00"/>
    <d v="1899-12-30T09:39:03"/>
    <s v="Projeto adiado / sem prazo definido"/>
    <s v="cadastro em duplicidade"/>
    <s v=""/>
    <x v="60"/>
    <s v=""/>
    <x v="70"/>
    <s v=""/>
    <m/>
    <m/>
    <s v=""/>
    <s v=""/>
    <s v=""/>
    <s v=""/>
    <n v="1"/>
  </r>
  <r>
    <x v="1"/>
    <n v="319"/>
    <m/>
    <n v="1958"/>
    <s v=""/>
    <s v=""/>
    <x v="134"/>
    <m/>
    <s v=""/>
    <s v="culturama - Horas"/>
    <s v="54996596274"/>
    <s v=""/>
    <s v="vinicius.mathyas@culturama.com.br"/>
    <s v=""/>
    <s v=""/>
    <s v=""/>
    <s v=""/>
    <s v=""/>
    <s v=""/>
    <s v=""/>
    <s v=""/>
    <s v=""/>
    <s v="Pipeline de Vendas"/>
    <s v="Em Fechamento (100%)"/>
    <s v=""/>
    <m/>
    <n v="1760013"/>
    <n v="0"/>
    <n v="0"/>
    <s v="Junior Lopes"/>
    <d v="2025-03-31T00:00:00"/>
    <d v="1899-12-30T11:20:59"/>
    <s v=""/>
    <s v="Ganho"/>
    <d v="2025-03-31T00:00:00"/>
    <d v="1899-12-30T11:36:21"/>
    <s v=""/>
    <s v=""/>
    <s v=""/>
    <x v="56"/>
    <s v=""/>
    <x v="0"/>
    <s v=""/>
    <m/>
    <m/>
    <s v=""/>
    <s v=""/>
    <s v=""/>
    <s v=""/>
    <n v="1"/>
  </r>
  <r>
    <x v="1"/>
    <n v="321"/>
    <m/>
    <n v="1961"/>
    <s v=""/>
    <s v=""/>
    <x v="133"/>
    <m/>
    <s v=""/>
    <s v="Comércio Bernardi e Bernardi - Cloud"/>
    <s v="5537446412"/>
    <s v=""/>
    <s v="pedidos@suifarma.com.br"/>
    <s v=""/>
    <s v=""/>
    <s v=""/>
    <s v=""/>
    <s v=""/>
    <s v=""/>
    <s v=""/>
    <s v=""/>
    <s v=""/>
    <s v="Pipeline de Vendas"/>
    <s v="Em negociação (75%)"/>
    <s v=""/>
    <m/>
    <n v="1600"/>
    <n v="462522"/>
    <n v="45"/>
    <s v="Junior Lopes"/>
    <d v="2025-03-31T00:00:00"/>
    <d v="1899-12-30T15:10:22"/>
    <s v=""/>
    <s v="Perdido"/>
    <d v="2025-05-15T00:00:00"/>
    <d v="1899-12-30T11:36:48"/>
    <s v="Projeto adiado / sem prazo definido"/>
    <s v="cliente ainda não definiu _x000a_estou baixando oportunidade mas manterei contato via WhatsApp"/>
    <s v=""/>
    <x v="60"/>
    <s v=""/>
    <x v="70"/>
    <s v=""/>
    <m/>
    <m/>
    <s v=""/>
    <s v=""/>
    <s v=""/>
    <s v=""/>
    <n v="1"/>
  </r>
  <r>
    <x v="1"/>
    <n v="322"/>
    <m/>
    <n v="1962"/>
    <s v=""/>
    <s v=""/>
    <x v="135"/>
    <m/>
    <s v=""/>
    <s v="GB . Importadora - XML"/>
    <s v="19993040768"/>
    <s v=""/>
    <s v="pehpbroglio@gmail.com"/>
    <s v=""/>
    <s v=""/>
    <s v=""/>
    <s v=""/>
    <s v=""/>
    <s v=""/>
    <s v=""/>
    <s v=""/>
    <s v=""/>
    <s v="Pipeline de Vendas"/>
    <s v="Em Fechamento (100%)"/>
    <s v=""/>
    <m/>
    <n v="0"/>
    <n v="30002"/>
    <n v="24"/>
    <s v="Junior Lopes"/>
    <d v="2025-03-31T00:00:00"/>
    <d v="1899-12-30T16:37:55"/>
    <s v=""/>
    <s v="Ganho"/>
    <d v="2025-04-24T00:00:00"/>
    <d v="1899-12-30T12:03:46"/>
    <s v=""/>
    <s v=""/>
    <s v=""/>
    <x v="60"/>
    <s v=""/>
    <x v="0"/>
    <s v=""/>
    <m/>
    <m/>
    <s v=""/>
    <s v=""/>
    <s v=""/>
    <s v=""/>
    <n v="1"/>
  </r>
  <r>
    <x v="1"/>
    <n v="323"/>
    <m/>
    <n v="1963"/>
    <s v=""/>
    <s v=""/>
    <x v="136"/>
    <m/>
    <s v=""/>
    <s v="ARK Brasil"/>
    <s v="21964397621"/>
    <s v=""/>
    <s v="luana.dale@arkbrasil.com.br"/>
    <s v=""/>
    <s v=""/>
    <s v=""/>
    <s v=""/>
    <s v=""/>
    <s v=""/>
    <s v=""/>
    <s v=""/>
    <s v=""/>
    <s v="Pipeline de Vendas"/>
    <s v="Apresentar Proposta (50%)"/>
    <s v=""/>
    <m/>
    <n v="16960"/>
    <n v="1980"/>
    <n v="64"/>
    <s v="Junior Lopes"/>
    <d v="2025-03-31T00:00:00"/>
    <d v="1899-12-30T16:49:47"/>
    <s v=""/>
    <s v="Perdido"/>
    <d v="2025-06-03T00:00:00"/>
    <d v="1899-12-30T11:06:14"/>
    <s v="Não quer mudar a solução atual"/>
    <s v="estou mantendo contato para força de vendas"/>
    <s v=""/>
    <x v="60"/>
    <s v=""/>
    <x v="71"/>
    <s v=""/>
    <m/>
    <m/>
    <s v=""/>
    <s v=""/>
    <s v=""/>
    <s v=""/>
    <n v="1"/>
  </r>
  <r>
    <x v="1"/>
    <n v="328"/>
    <m/>
    <n v="1970"/>
    <s v=""/>
    <s v=""/>
    <x v="137"/>
    <m/>
    <s v=""/>
    <s v="Casa Ambiente"/>
    <s v="11983264135"/>
    <s v=""/>
    <s v="contato@casaambienteud.com.br"/>
    <s v=""/>
    <s v=""/>
    <s v=""/>
    <s v=""/>
    <s v=""/>
    <s v=""/>
    <s v=""/>
    <s v=""/>
    <s v=""/>
    <s v="Pipeline de Vendas"/>
    <s v="Qualificação de Vendas (SQL) (25%)"/>
    <s v=""/>
    <m/>
    <m/>
    <m/>
    <n v="71"/>
    <s v="Junior Lopes"/>
    <d v="2025-04-01T00:00:00"/>
    <d v="1899-12-30T15:57:21"/>
    <s v=""/>
    <s v="Perdido"/>
    <d v="2025-06-11T00:00:00"/>
    <d v="1899-12-30T14:35:24"/>
    <s v="Projeto adiado / sem prazo definido"/>
    <s v="sem resposta ao contato"/>
    <s v="09/04/2025"/>
    <x v="0"/>
    <s v=""/>
    <x v="0"/>
    <s v=""/>
    <m/>
    <m/>
    <s v=""/>
    <s v=""/>
    <s v=""/>
    <s v=""/>
    <n v="1"/>
  </r>
  <r>
    <x v="1"/>
    <n v="333"/>
    <m/>
    <n v="1977"/>
    <s v=""/>
    <s v=""/>
    <x v="138"/>
    <n v="32921219000110"/>
    <s v=""/>
    <s v="MDL Import"/>
    <s v="11910695515"/>
    <s v=""/>
    <s v="janaina@mdlimport.com.br"/>
    <s v=""/>
    <s v=""/>
    <s v=""/>
    <s v=""/>
    <s v=""/>
    <s v=""/>
    <s v=""/>
    <s v=""/>
    <s v="80%"/>
    <s v="Pipeline de Vendas"/>
    <s v="Em negociação (75%)"/>
    <s v=""/>
    <m/>
    <n v="69112"/>
    <n v="318388"/>
    <n v="88"/>
    <s v="Junior Lopes"/>
    <d v="2025-04-03T00:00:00"/>
    <d v="1899-12-30T15:52:15"/>
    <s v=""/>
    <s v="Perdido"/>
    <d v="2025-06-30T00:00:00"/>
    <d v="1899-12-30T15:11:40"/>
    <s v="Não houve aprovação financeira"/>
    <s v="integração com WMS inviabilizou o projeto"/>
    <s v=""/>
    <x v="63"/>
    <s v="Junior Lopes"/>
    <x v="72"/>
    <s v="15/04/2025"/>
    <m/>
    <m/>
    <s v=""/>
    <s v=""/>
    <s v=""/>
    <s v=""/>
    <n v="1"/>
  </r>
  <r>
    <x v="2"/>
    <n v="334"/>
    <m/>
    <n v="1978"/>
    <s v=""/>
    <s v=""/>
    <x v="139"/>
    <n v="55940574000131"/>
    <s v=""/>
    <s v="Herbert Felipe Monteiro"/>
    <s v="16994380062"/>
    <s v=""/>
    <s v="felipe.monteiro@pimpinella.com.br"/>
    <s v=""/>
    <s v=""/>
    <s v=""/>
    <s v=""/>
    <s v=""/>
    <s v="Indicação"/>
    <s v=""/>
    <s v=""/>
    <s v="80%"/>
    <s v="Pipeline de Vendas"/>
    <s v="Em negociação (75%)"/>
    <s v="10x sem juros (0/30/60/90/120/150...)"/>
    <d v="2026-01-31T00:00:00"/>
    <m/>
    <m/>
    <n v="228"/>
    <s v="Rayssa Karapeticov"/>
    <d v="2025-04-04T00:00:00"/>
    <d v="1899-12-30T15:30:02"/>
    <s v=""/>
    <s v="Perdido"/>
    <d v="2025-11-18T00:00:00"/>
    <d v="1899-12-30T09:22:52"/>
    <s v="Projeto adiado / sem prazo definido"/>
    <s v=""/>
    <s v=""/>
    <x v="64"/>
    <s v="Rayssa Karapeticov"/>
    <x v="73"/>
    <s v="16/04/2025"/>
    <m/>
    <m/>
    <s v=""/>
    <s v=""/>
    <s v=""/>
    <s v=""/>
    <n v="1"/>
  </r>
  <r>
    <x v="1"/>
    <n v="336"/>
    <m/>
    <n v="1980"/>
    <s v=""/>
    <s v=""/>
    <x v="140"/>
    <n v="56262451000151"/>
    <s v=""/>
    <s v="Mais Barato Brinquedos"/>
    <s v="(11) 2492-2763"/>
    <s v=""/>
    <s v="fbastosauditores@terra.com.br"/>
    <s v=""/>
    <s v=""/>
    <s v=""/>
    <s v="GUARULHOS"/>
    <s v="SP"/>
    <s v=""/>
    <s v=""/>
    <s v=""/>
    <s v=""/>
    <s v="Pipeline de Vendas"/>
    <s v="Em negociação (75%)"/>
    <s v=""/>
    <m/>
    <n v="110486"/>
    <n v="704412"/>
    <n v="16"/>
    <s v="Junior Lopes"/>
    <d v="2025-04-07T00:00:00"/>
    <d v="1899-12-30T10:11:44"/>
    <s v=""/>
    <s v="Perdido"/>
    <d v="2025-04-23T00:00:00"/>
    <d v="1899-12-30T15:03:14"/>
    <s v="Não houve aprovação financeira"/>
    <s v="Após envio da proposta comercial, não obtive mais retorno do Kaique, estou declinando a oportunidade mas continuarei tentando contato"/>
    <s v="10/04/2025"/>
    <x v="65"/>
    <s v=""/>
    <x v="0"/>
    <s v=""/>
    <m/>
    <m/>
    <s v=""/>
    <s v=""/>
    <s v=""/>
    <s v=""/>
    <n v="1"/>
  </r>
  <r>
    <x v="0"/>
    <n v="338"/>
    <m/>
    <n v="1983"/>
    <s v=""/>
    <s v=""/>
    <x v="141"/>
    <n v="750764000102"/>
    <s v=""/>
    <s v="Adavilson"/>
    <s v="4834332503"/>
    <s v=""/>
    <s v="adavilson@bruver.com.br"/>
    <s v=""/>
    <s v=""/>
    <s v=""/>
    <s v=""/>
    <s v=""/>
    <s v=""/>
    <s v=""/>
    <s v=""/>
    <s v=""/>
    <s v="Pipeline de Vendas"/>
    <s v="Em negociação (75%)"/>
    <s v=""/>
    <m/>
    <n v="50000"/>
    <n v="30502"/>
    <n v="26"/>
    <s v="Paulo Souza"/>
    <d v="2025-04-07T00:00:00"/>
    <d v="1899-12-30T14:24:21"/>
    <s v=""/>
    <s v="Perdido"/>
    <d v="2025-05-03T00:00:00"/>
    <d v="1899-12-30T10:41:00"/>
    <s v="Preço muito alto - fora do budget de investimento"/>
    <s v=""/>
    <s v=""/>
    <x v="66"/>
    <s v="Paulo Souza"/>
    <x v="74"/>
    <s v=""/>
    <m/>
    <m/>
    <s v=""/>
    <s v=""/>
    <s v=""/>
    <s v=""/>
    <n v="1"/>
  </r>
  <r>
    <x v="1"/>
    <n v="343"/>
    <m/>
    <n v="1988"/>
    <s v=""/>
    <s v=""/>
    <x v="142"/>
    <m/>
    <s v=""/>
    <s v="ALMAPY"/>
    <s v="11940062281"/>
    <s v=""/>
    <s v="projetos@almapy.com.br"/>
    <s v=""/>
    <s v=""/>
    <s v=""/>
    <s v=""/>
    <s v=""/>
    <s v=""/>
    <s v=""/>
    <s v=""/>
    <s v=""/>
    <s v="Pipeline de Vendas"/>
    <s v="Apresentar Proposta (50%)"/>
    <s v=""/>
    <m/>
    <n v="32400"/>
    <n v="104544"/>
    <n v="34"/>
    <s v="Junior Lopes"/>
    <d v="2025-04-11T00:00:00"/>
    <d v="1899-12-30T11:56:04"/>
    <s v=""/>
    <s v="Perdido"/>
    <d v="2025-05-15T00:00:00"/>
    <d v="1899-12-30T11:17:15"/>
    <s v="Projeto adiado / sem prazo definido"/>
    <s v="Não vai dar sequencia no momento"/>
    <s v=""/>
    <x v="67"/>
    <s v=""/>
    <x v="75"/>
    <s v=""/>
    <m/>
    <m/>
    <s v=""/>
    <s v=""/>
    <s v=""/>
    <s v=""/>
    <n v="1"/>
  </r>
  <r>
    <x v="1"/>
    <n v="346"/>
    <m/>
    <n v="1991"/>
    <s v=""/>
    <s v=""/>
    <x v="143"/>
    <m/>
    <s v=""/>
    <s v="Renovação Porcelanas"/>
    <s v="11965745182"/>
    <s v=""/>
    <s v="camila@rnporcelanas.com.br"/>
    <s v=""/>
    <s v=""/>
    <s v=""/>
    <s v=""/>
    <s v=""/>
    <s v=""/>
    <s v=""/>
    <s v=""/>
    <s v="30%;90%;Fabio Indica"/>
    <s v="Pipeline de Vendas"/>
    <s v="Em Fechamento (100%)"/>
    <s v=""/>
    <d v="2026-01-31T00:00:00"/>
    <n v="51306"/>
    <n v="2700"/>
    <n v="296"/>
    <s v="Junior Lopes"/>
    <d v="2025-04-15T00:00:00"/>
    <d v="1899-12-30T14:58:16"/>
    <s v=""/>
    <s v="Ganho"/>
    <d v="2025-05-06T00:00:00"/>
    <d v="1899-12-30T11:39:55"/>
    <s v=""/>
    <s v="0"/>
    <s v=""/>
    <x v="6"/>
    <s v=""/>
    <x v="41"/>
    <s v=""/>
    <d v="2026-01-06T00:00:00"/>
    <m/>
    <s v=""/>
    <s v=""/>
    <s v=""/>
    <s v=""/>
    <n v="1"/>
  </r>
  <r>
    <x v="1"/>
    <n v="347"/>
    <m/>
    <n v="1992"/>
    <s v=""/>
    <s v=""/>
    <x v="144"/>
    <m/>
    <s v=""/>
    <s v="Renovação Porcelanas - AFV"/>
    <s v="11965745182"/>
    <s v=""/>
    <s v="camila@rnporcelanas.com.br"/>
    <s v=""/>
    <s v=""/>
    <s v=""/>
    <s v=""/>
    <s v=""/>
    <s v=""/>
    <s v=""/>
    <s v=""/>
    <s v=""/>
    <s v="Pipeline de Vendas"/>
    <s v="Em negociação (75%)"/>
    <s v=""/>
    <m/>
    <n v="15216"/>
    <n v="37684"/>
    <n v="21"/>
    <s v="Junior Lopes"/>
    <d v="2025-04-15T00:00:00"/>
    <d v="1899-12-30T14:59:35"/>
    <s v=""/>
    <s v="Perdido"/>
    <d v="2025-05-06T00:00:00"/>
    <d v="1899-12-30T11:41:13"/>
    <s v="Preço muito alto - fora do budget de investimento"/>
    <s v="Camila ! Sobre o projeto, acredita que vamos dar sequência?_x000a_,_x000a_Camila ? Boa tarde ! Espero que esteja bem ._x000a_Acredita que vamos seguir !_x000a_Oi boa tarde_x000a_Olá Camila ! Bom dia _x000a_Sobre o software? Tem interesse em dar continuidade?_x000a_Oi Camila, acredito que não tenham interesse nesse momento e tudo bem ! fico a disposição caso queira voltar sobre o projeto em breve_x000a_Junior bom dia_x000a_estou te devendo um retorno_x000a_esse valor de investimento no momento não faz sentido pra nós_x000a_voces querem fazer uma contra proposta ? posso verificar com minha diretoria"/>
    <s v=""/>
    <x v="68"/>
    <s v=""/>
    <x v="76"/>
    <s v=""/>
    <m/>
    <m/>
    <s v=""/>
    <s v=""/>
    <s v=""/>
    <s v=""/>
    <n v="1"/>
  </r>
  <r>
    <x v="1"/>
    <n v="348"/>
    <m/>
    <n v="1993"/>
    <s v=""/>
    <s v=""/>
    <x v="145"/>
    <m/>
    <s v=""/>
    <s v="Unik"/>
    <s v="11997371774"/>
    <s v=""/>
    <s v="leonardo@unik.com.br"/>
    <s v=""/>
    <s v=""/>
    <s v=""/>
    <s v=""/>
    <s v=""/>
    <s v=""/>
    <s v=""/>
    <s v=""/>
    <s v=""/>
    <s v="Pipeline de Vendas"/>
    <s v="Em Fechamento (100%)"/>
    <s v="10x sem juros (0/30/60/90/120/150...)"/>
    <m/>
    <n v="15264"/>
    <n v="8210"/>
    <n v="22"/>
    <s v="Junior Lopes"/>
    <d v="2025-04-15T00:00:00"/>
    <d v="1899-12-30T17:21:27"/>
    <s v=""/>
    <s v="Ganho"/>
    <d v="2025-05-07T00:00:00"/>
    <d v="1899-12-30T08:54:54"/>
    <s v=""/>
    <s v=""/>
    <s v=""/>
    <x v="69"/>
    <s v=""/>
    <x v="0"/>
    <s v=""/>
    <m/>
    <m/>
    <s v=""/>
    <s v=""/>
    <s v=""/>
    <s v=""/>
    <n v="1"/>
  </r>
  <r>
    <x v="1"/>
    <n v="351"/>
    <m/>
    <n v="1997"/>
    <s v=""/>
    <s v=""/>
    <x v="146"/>
    <n v="56262451000151"/>
    <s v=""/>
    <s v="XieXie Com. de brinquedos - B2B"/>
    <s v="(11) 2492-2763"/>
    <s v=""/>
    <s v="fbastosauditores@terra.com.br"/>
    <s v=""/>
    <s v=""/>
    <s v=""/>
    <s v="GUARULHOS"/>
    <s v="SP"/>
    <s v=""/>
    <s v=""/>
    <s v=""/>
    <s v=""/>
    <s v="Pipeline de Vendas"/>
    <s v="Em negociação (75%)"/>
    <s v=""/>
    <m/>
    <n v="1620001"/>
    <n v="3400"/>
    <n v="6"/>
    <s v="Junior Lopes"/>
    <d v="2025-04-17T00:00:00"/>
    <d v="1899-12-30T10:20:26"/>
    <s v=""/>
    <s v="Perdido"/>
    <d v="2025-04-23T00:00:00"/>
    <d v="1899-12-30T15:04:23"/>
    <s v="Não houve aprovação financeira"/>
    <s v="Após envio da proposta comercial, não obtive mais retorno do Kaique, estou declinando a oportunidade mas continuarei tentando contato"/>
    <s v=""/>
    <x v="70"/>
    <s v=""/>
    <x v="77"/>
    <s v=""/>
    <m/>
    <m/>
    <s v=""/>
    <s v=""/>
    <s v=""/>
    <s v=""/>
    <n v="1"/>
  </r>
  <r>
    <x v="1"/>
    <n v="352"/>
    <m/>
    <n v="1999"/>
    <s v=""/>
    <s v=""/>
    <x v="147"/>
    <m/>
    <s v=""/>
    <s v="XieXie Com. de brinquedos - BI"/>
    <s v="11949590732"/>
    <s v=""/>
    <s v="fbastosauditores@terra.com.br"/>
    <s v=""/>
    <s v=""/>
    <s v=""/>
    <s v=""/>
    <s v=""/>
    <s v=""/>
    <s v=""/>
    <s v=""/>
    <s v=""/>
    <s v="Pipeline de Vendas"/>
    <s v="Em negociação (75%)"/>
    <s v=""/>
    <m/>
    <n v="16200"/>
    <n v="2160"/>
    <n v="6"/>
    <s v="Junior Lopes"/>
    <d v="2025-04-17T00:00:00"/>
    <d v="1899-12-30T11:11:07"/>
    <s v=""/>
    <s v="Perdido"/>
    <d v="2025-04-23T00:00:00"/>
    <d v="1899-12-30T15:05:19"/>
    <s v="Não houve aprovação financeira"/>
    <s v="Após envio da proposta comercial, não obtive mais retorno do Kaique, estou declinando a oportunidade mas continuarei tentando contato"/>
    <s v=""/>
    <x v="70"/>
    <s v=""/>
    <x v="77"/>
    <s v=""/>
    <m/>
    <m/>
    <s v=""/>
    <s v=""/>
    <s v=""/>
    <s v=""/>
    <n v="1"/>
  </r>
  <r>
    <x v="1"/>
    <n v="353"/>
    <m/>
    <n v="2000"/>
    <s v=""/>
    <s v=""/>
    <x v="148"/>
    <n v="8678467000105"/>
    <s v=""/>
    <s v="Y-888 - ERP"/>
    <s v="(21) 2784-2650"/>
    <s v=""/>
    <s v=""/>
    <s v=""/>
    <s v=""/>
    <s v=""/>
    <s v="DUQUE DE CAXIAS"/>
    <s v="RJ"/>
    <s v=""/>
    <s v=""/>
    <s v=""/>
    <s v="50%"/>
    <s v="Pipeline de Vendas"/>
    <s v="Em negociação (75%)"/>
    <s v=""/>
    <m/>
    <n v="5667184"/>
    <n v="539533"/>
    <n v="68"/>
    <s v="Junior Lopes"/>
    <d v="2025-04-17T00:00:00"/>
    <d v="1899-12-30T12:16:07"/>
    <s v=""/>
    <s v="Perdido"/>
    <d v="2025-06-24T00:00:00"/>
    <d v="1899-12-30T11:54:52"/>
    <s v="Não houve aprovação financeira"/>
    <s v="estou fechando oportunidade porem manterei contato com Victor"/>
    <s v=""/>
    <x v="63"/>
    <s v=""/>
    <x v="72"/>
    <s v=""/>
    <m/>
    <m/>
    <s v=""/>
    <s v=""/>
    <s v=""/>
    <s v=""/>
    <n v="1"/>
  </r>
  <r>
    <x v="1"/>
    <n v="354"/>
    <m/>
    <n v="2002"/>
    <s v=""/>
    <s v=""/>
    <x v="149"/>
    <n v="8678467000105"/>
    <s v=""/>
    <s v="Y 888 importação - AFV"/>
    <s v="(21) 2784-2650"/>
    <s v=""/>
    <s v=""/>
    <s v=""/>
    <s v=""/>
    <s v=""/>
    <s v="DUQUE DE CAXIAS"/>
    <s v="RJ"/>
    <s v=""/>
    <s v=""/>
    <s v=""/>
    <s v="50%"/>
    <s v="Pipeline de Vendas"/>
    <s v="Em negociação (75%)"/>
    <s v=""/>
    <m/>
    <n v="1600"/>
    <n v="28747"/>
    <n v="68"/>
    <s v="Junior Lopes"/>
    <d v="2025-04-17T00:00:00"/>
    <d v="1899-12-30T14:20:48"/>
    <s v=""/>
    <s v="Perdido"/>
    <d v="2025-06-24T00:00:00"/>
    <d v="1899-12-30T11:56:26"/>
    <s v="Não houve aprovação financeira"/>
    <s v="estou descartando oportunidade porem vou manter contato com Victor"/>
    <s v=""/>
    <x v="63"/>
    <s v=""/>
    <x v="72"/>
    <s v=""/>
    <m/>
    <m/>
    <s v=""/>
    <s v=""/>
    <s v=""/>
    <s v=""/>
    <n v="1"/>
  </r>
  <r>
    <x v="1"/>
    <n v="355"/>
    <m/>
    <n v="2004"/>
    <s v=""/>
    <s v=""/>
    <x v="150"/>
    <m/>
    <s v=""/>
    <s v="MDL Import - Cloud"/>
    <s v="11910695515"/>
    <s v=""/>
    <s v="janaina@mdlimpoort.com.br"/>
    <s v=""/>
    <s v=""/>
    <s v=""/>
    <s v=""/>
    <s v=""/>
    <s v=""/>
    <s v=""/>
    <s v=""/>
    <s v="80%"/>
    <s v="Pipeline de Vendas"/>
    <s v="Em negociação (75%)"/>
    <s v=""/>
    <m/>
    <n v="1600"/>
    <n v="32107"/>
    <n v="74"/>
    <s v="Junior Lopes"/>
    <d v="2025-04-17T00:00:00"/>
    <d v="1899-12-30T15:26:06"/>
    <s v=""/>
    <s v="Perdido"/>
    <d v="2025-06-30T00:00:00"/>
    <d v="1899-12-30T15:13:09"/>
    <s v="Não houve aprovação financeira"/>
    <s v="integração com WMS inviabilizou projeto"/>
    <s v=""/>
    <x v="63"/>
    <s v=""/>
    <x v="72"/>
    <s v="15/04/2025"/>
    <m/>
    <m/>
    <s v=""/>
    <s v=""/>
    <s v=""/>
    <s v=""/>
    <n v="1"/>
  </r>
  <r>
    <x v="1"/>
    <n v="358"/>
    <m/>
    <n v="2008"/>
    <s v=""/>
    <s v=""/>
    <x v="151"/>
    <m/>
    <s v=""/>
    <s v="Cassio"/>
    <s v="(22) 99967-1888"/>
    <s v=""/>
    <s v="ngcassio@gmail.com"/>
    <s v=""/>
    <s v=""/>
    <s v=""/>
    <s v="Nova Friburgo"/>
    <s v=""/>
    <s v="Site"/>
    <s v=""/>
    <s v=""/>
    <s v="Solicita demo"/>
    <s v="Pipeline de Vendas"/>
    <s v="Apresentar Proposta (50%)"/>
    <s v=""/>
    <m/>
    <n v="58088"/>
    <n v="112089"/>
    <n v="17"/>
    <s v="Paulo Souza"/>
    <d v="2025-04-28T00:00:00"/>
    <d v="1899-12-30T16:40:49"/>
    <s v=""/>
    <s v="Perdido"/>
    <d v="2025-05-15T00:00:00"/>
    <d v="1899-12-30T15:31:10"/>
    <s v="Projeto adiado / sem prazo definido"/>
    <s v="empresa ainda esta no zero ! cliente mentaliza algo fora da realidade !"/>
    <s v=""/>
    <x v="64"/>
    <s v="Junior Lopes"/>
    <x v="78"/>
    <s v=""/>
    <m/>
    <m/>
    <s v=""/>
    <s v=""/>
    <s v=""/>
    <s v=""/>
    <n v="1"/>
  </r>
  <r>
    <x v="0"/>
    <n v="359"/>
    <m/>
    <n v="2019"/>
    <s v=""/>
    <s v=""/>
    <x v="152"/>
    <m/>
    <s v=""/>
    <s v="Vagner"/>
    <s v="(16) 99126-8825"/>
    <s v=""/>
    <s v="flordesedaimportadora@outlook.com"/>
    <s v=""/>
    <s v=""/>
    <s v=""/>
    <s v=""/>
    <s v=""/>
    <s v=""/>
    <s v=""/>
    <s v=""/>
    <s v=""/>
    <s v="Pipeline de Vendas"/>
    <s v="Em Fechamento (100%)"/>
    <s v=""/>
    <m/>
    <n v="40000"/>
    <n v="23581"/>
    <n v="43"/>
    <s v="Paulo Souza"/>
    <d v="2025-04-28T00:00:00"/>
    <d v="1899-12-30T16:44:09"/>
    <s v=""/>
    <s v="Ganho"/>
    <d v="2025-06-10T00:00:00"/>
    <d v="1899-12-30T12:15:46"/>
    <s v=""/>
    <s v=""/>
    <s v=""/>
    <x v="71"/>
    <s v="Paulo Souza"/>
    <x v="79"/>
    <s v=""/>
    <m/>
    <m/>
    <s v=""/>
    <s v=""/>
    <s v=""/>
    <s v=""/>
    <n v="1"/>
  </r>
  <r>
    <x v="0"/>
    <n v="360"/>
    <m/>
    <n v="1986"/>
    <s v=""/>
    <s v=""/>
    <x v="153"/>
    <m/>
    <s v=""/>
    <s v="Gabrielle"/>
    <s v="(11) 93449-7333"/>
    <s v=""/>
    <s v="gabi.bertoni@outlook.com"/>
    <s v=""/>
    <s v=""/>
    <s v=""/>
    <s v="São Paulo"/>
    <s v=""/>
    <s v="Site"/>
    <s v=""/>
    <s v=""/>
    <s v="Solicita demo"/>
    <s v="Pipeline de Vendas"/>
    <s v="Em negociação (75%)"/>
    <s v=""/>
    <m/>
    <n v="68400"/>
    <n v="302046"/>
    <n v="43"/>
    <s v="Paulo Souza"/>
    <d v="2025-04-28T00:00:00"/>
    <d v="1899-12-30T16:51:09"/>
    <s v=""/>
    <s v="Perdido"/>
    <d v="2025-06-10T00:00:00"/>
    <d v="1899-12-30T14:43:33"/>
    <s v="Não quer mudar a solução atual"/>
    <s v=""/>
    <s v=""/>
    <x v="71"/>
    <s v="Paulo Souza"/>
    <x v="79"/>
    <s v=""/>
    <m/>
    <m/>
    <s v=""/>
    <s v=""/>
    <s v=""/>
    <s v=""/>
    <n v="1"/>
  </r>
  <r>
    <x v="1"/>
    <n v="361"/>
    <m/>
    <n v="2010"/>
    <s v=""/>
    <s v=""/>
    <x v="154"/>
    <m/>
    <s v=""/>
    <s v="Importadora Cassio - Cloud"/>
    <s v="22999671888"/>
    <s v=""/>
    <s v="ngcassio@gmail.com"/>
    <s v=""/>
    <s v=""/>
    <s v=""/>
    <s v=""/>
    <s v=""/>
    <s v=""/>
    <s v=""/>
    <s v=""/>
    <s v=""/>
    <s v="Pipeline de Vendas"/>
    <s v="Apresentar Proposta (50%)"/>
    <s v=""/>
    <m/>
    <n v="26200"/>
    <n v="3400"/>
    <n v="16"/>
    <s v="Junior Lopes"/>
    <d v="2025-04-29T00:00:00"/>
    <d v="1899-12-30T14:49:37"/>
    <s v=""/>
    <s v="Perdido"/>
    <d v="2025-05-15T00:00:00"/>
    <d v="1899-12-30T15:31:35"/>
    <s v="Projeto adiado / sem prazo definido"/>
    <s v="empresa ainda esta no zero ! cliente mentaliza algo fora da realidade !"/>
    <s v=""/>
    <x v="64"/>
    <s v=""/>
    <x v="78"/>
    <s v=""/>
    <m/>
    <m/>
    <s v=""/>
    <s v=""/>
    <s v=""/>
    <s v=""/>
    <n v="1"/>
  </r>
  <r>
    <x v="1"/>
    <n v="362"/>
    <m/>
    <n v="2011"/>
    <s v=""/>
    <s v=""/>
    <x v="155"/>
    <m/>
    <s v=""/>
    <s v="Renovação porcelanas - Cloud"/>
    <s v="11965745182"/>
    <s v=""/>
    <s v="camila@rnporcelanas.com.br"/>
    <s v=""/>
    <s v=""/>
    <s v=""/>
    <s v=""/>
    <s v=""/>
    <s v=""/>
    <s v=""/>
    <s v=""/>
    <s v=""/>
    <s v="Pipeline de Vendas"/>
    <s v="Em negociação (75%)"/>
    <s v=""/>
    <m/>
    <n v="1600"/>
    <n v="1026"/>
    <n v="7"/>
    <s v="Junior Lopes"/>
    <d v="2025-04-29T00:00:00"/>
    <d v="1899-12-30T16:51:32"/>
    <s v=""/>
    <s v="Perdido"/>
    <d v="2025-05-06T00:00:00"/>
    <d v="1899-12-30T15:02:15"/>
    <s v="Preço muito alto - fora do budget de investimento"/>
    <s v=""/>
    <s v=""/>
    <x v="68"/>
    <s v=""/>
    <x v="76"/>
    <s v=""/>
    <m/>
    <m/>
    <s v=""/>
    <s v=""/>
    <s v=""/>
    <s v=""/>
    <n v="1"/>
  </r>
  <r>
    <x v="2"/>
    <n v="366"/>
    <m/>
    <n v="2015"/>
    <s v=""/>
    <s v=""/>
    <x v="156"/>
    <m/>
    <s v=""/>
    <s v="Jose Roberto"/>
    <s v=""/>
    <s v=""/>
    <s v="diretoria@grupobeline.com.br"/>
    <s v=""/>
    <s v=""/>
    <s v=""/>
    <s v=""/>
    <s v=""/>
    <s v=""/>
    <s v=""/>
    <s v=""/>
    <s v=""/>
    <s v="Pipeline de Vendas"/>
    <s v="Em Fechamento (100%)"/>
    <s v=""/>
    <m/>
    <n v="3360"/>
    <n v="165372"/>
    <n v="19"/>
    <s v="Rayssa Karapeticov"/>
    <d v="2025-04-30T00:00:00"/>
    <d v="1899-12-30T15:10:38"/>
    <s v=""/>
    <s v="Ganho"/>
    <d v="2025-05-19T00:00:00"/>
    <d v="1899-12-30T09:02:32"/>
    <s v=""/>
    <s v=""/>
    <s v=""/>
    <x v="72"/>
    <s v=""/>
    <x v="80"/>
    <s v=""/>
    <m/>
    <m/>
    <s v=""/>
    <s v=""/>
    <s v=""/>
    <s v=""/>
    <n v="1"/>
  </r>
  <r>
    <x v="1"/>
    <n v="367"/>
    <m/>
    <n v="2016"/>
    <s v=""/>
    <s v=""/>
    <x v="157"/>
    <m/>
    <s v=""/>
    <s v="Cassio importadora - Cloud"/>
    <s v="22999671888"/>
    <s v=""/>
    <s v="ngcassio@gmail.com"/>
    <s v=""/>
    <s v=""/>
    <s v=""/>
    <s v=""/>
    <s v=""/>
    <s v=""/>
    <s v=""/>
    <s v=""/>
    <s v=""/>
    <s v="Pipeline de Vendas"/>
    <s v="Apresentar Proposta (50%)"/>
    <s v=""/>
    <m/>
    <n v="1600"/>
    <n v="210169"/>
    <n v="15"/>
    <s v="Junior Lopes"/>
    <d v="2025-04-30T00:00:00"/>
    <d v="1899-12-30T15:30:14"/>
    <s v=""/>
    <s v="Perdido"/>
    <d v="2025-05-15T00:00:00"/>
    <d v="1899-12-30T15:31:57"/>
    <s v="Projeto adiado / sem prazo definido"/>
    <s v="empresa ainda esta no zero ! cliente mentaliza algo fora da realidade !"/>
    <s v=""/>
    <x v="64"/>
    <s v=""/>
    <x v="78"/>
    <s v=""/>
    <m/>
    <m/>
    <s v=""/>
    <s v=""/>
    <s v=""/>
    <s v=""/>
    <n v="1"/>
  </r>
  <r>
    <x v="0"/>
    <n v="368"/>
    <m/>
    <n v="2017"/>
    <s v=""/>
    <s v=""/>
    <x v="158"/>
    <n v="18677964000134"/>
    <s v=""/>
    <s v="L&amp;T Importadora"/>
    <s v="1127696004"/>
    <s v=""/>
    <s v="financeiro@ltimportadora.com.br"/>
    <s v=""/>
    <s v=""/>
    <s v=""/>
    <s v=""/>
    <s v=""/>
    <s v=""/>
    <s v=""/>
    <s v=""/>
    <s v=""/>
    <s v="Pipeline de Vendas"/>
    <s v="Em Fechamento (100%)"/>
    <s v=""/>
    <m/>
    <n v="14000"/>
    <n v="886"/>
    <n v="0"/>
    <s v="Paulo Souza"/>
    <d v="2025-05-02T00:00:00"/>
    <d v="1899-12-30T13:58:07"/>
    <s v=""/>
    <s v="Ganho"/>
    <d v="2025-05-02T00:00:00"/>
    <d v="1899-12-30T14:04:33"/>
    <s v=""/>
    <s v=""/>
    <s v=""/>
    <x v="73"/>
    <s v="Paulo Souza"/>
    <x v="81"/>
    <s v=""/>
    <m/>
    <m/>
    <s v=""/>
    <s v=""/>
    <s v=""/>
    <s v=""/>
    <n v="1"/>
  </r>
  <r>
    <x v="0"/>
    <n v="369"/>
    <m/>
    <n v="2018"/>
    <s v=""/>
    <s v=""/>
    <x v="159"/>
    <n v="10906096000105"/>
    <s v=""/>
    <s v="Sakes"/>
    <s v="1133133243"/>
    <s v=""/>
    <s v="MARCIA@SAKES.COM.BR"/>
    <s v=""/>
    <s v=""/>
    <s v=""/>
    <s v=""/>
    <s v=""/>
    <s v=""/>
    <s v=""/>
    <s v=""/>
    <s v=""/>
    <s v="Pipeline de Vendas"/>
    <s v="Agendamento (0%)"/>
    <s v=""/>
    <m/>
    <n v="13600"/>
    <n v="886"/>
    <n v="0"/>
    <s v="Paulo Souza"/>
    <d v="2025-05-02T00:00:00"/>
    <d v="1899-12-30T14:06:04"/>
    <s v=""/>
    <s v="Ganho"/>
    <d v="2025-05-02T00:00:00"/>
    <d v="1899-12-30T14:08:29"/>
    <s v=""/>
    <s v=""/>
    <s v=""/>
    <x v="73"/>
    <s v="Paulo Souza"/>
    <x v="81"/>
    <s v=""/>
    <m/>
    <m/>
    <s v=""/>
    <s v=""/>
    <s v=""/>
    <s v=""/>
    <n v="1"/>
  </r>
  <r>
    <x v="0"/>
    <n v="370"/>
    <m/>
    <n v="2020"/>
    <s v=""/>
    <s v=""/>
    <x v="160"/>
    <m/>
    <s v=""/>
    <s v="Nathan"/>
    <s v="15998182143"/>
    <s v=""/>
    <s v="null"/>
    <s v=""/>
    <s v=""/>
    <s v=""/>
    <s v=""/>
    <s v=""/>
    <s v=""/>
    <s v=""/>
    <s v=""/>
    <s v="50%"/>
    <s v="Pipeline de Vendas"/>
    <s v="Em negociação (75%)"/>
    <s v=""/>
    <m/>
    <n v="51250"/>
    <n v="33381"/>
    <n v="114"/>
    <s v="Paulo Souza"/>
    <d v="2025-05-03T00:00:00"/>
    <d v="1899-12-30T11:03:22"/>
    <s v=""/>
    <s v="Perdido"/>
    <d v="2025-08-25T00:00:00"/>
    <d v="1899-12-30T14:34:31"/>
    <s v="Projeto adiado / sem prazo definido"/>
    <s v=""/>
    <s v=""/>
    <x v="0"/>
    <s v="Paulo Souza"/>
    <x v="82"/>
    <s v=""/>
    <m/>
    <m/>
    <s v=""/>
    <s v=""/>
    <s v=""/>
    <s v=""/>
    <n v="1"/>
  </r>
  <r>
    <x v="1"/>
    <n v="375"/>
    <m/>
    <n v="2024"/>
    <s v=""/>
    <s v=""/>
    <x v="161"/>
    <m/>
    <s v=""/>
    <s v="Mundial Log"/>
    <s v="11947482090"/>
    <s v=""/>
    <s v="rafael@mundiallog.com.br"/>
    <s v=""/>
    <s v=""/>
    <s v=""/>
    <s v=""/>
    <s v=""/>
    <s v=""/>
    <s v=""/>
    <s v=""/>
    <s v=""/>
    <s v="Pipeline de Vendas"/>
    <s v="Apresentar Proposta (50%)"/>
    <s v=""/>
    <m/>
    <n v="69112"/>
    <n v="508112"/>
    <n v="7"/>
    <s v="Junior Lopes"/>
    <d v="2025-05-08T00:00:00"/>
    <d v="1899-12-30T16:11:25"/>
    <s v=""/>
    <s v="Perdido"/>
    <d v="2025-05-15T00:00:00"/>
    <d v="1899-12-30T16:22:48"/>
    <s v="Não houve aprovação financeira"/>
    <s v=""/>
    <s v=""/>
    <x v="74"/>
    <s v=""/>
    <x v="83"/>
    <s v=""/>
    <m/>
    <m/>
    <s v=""/>
    <s v=""/>
    <s v=""/>
    <s v=""/>
    <n v="1"/>
  </r>
  <r>
    <x v="1"/>
    <n v="376"/>
    <m/>
    <n v="2025"/>
    <s v=""/>
    <s v=""/>
    <x v="162"/>
    <m/>
    <s v=""/>
    <s v="Mundial Log - Cloud"/>
    <s v="11947482090"/>
    <s v=""/>
    <s v="rafael@mundiallog.com.br"/>
    <s v=""/>
    <s v=""/>
    <s v=""/>
    <s v=""/>
    <s v=""/>
    <s v=""/>
    <s v=""/>
    <s v=""/>
    <s v=""/>
    <s v="Pipeline de Vendas"/>
    <s v="Apresentar Proposta (50%)"/>
    <s v=""/>
    <m/>
    <n v="1600"/>
    <n v="32107"/>
    <n v="7"/>
    <s v="Junior Lopes"/>
    <d v="2025-05-08T00:00:00"/>
    <d v="1899-12-30T16:29:40"/>
    <s v=""/>
    <s v="Perdido"/>
    <d v="2025-05-15T00:00:00"/>
    <d v="1899-12-30T16:23:14"/>
    <s v="Não houve aprovação financeira"/>
    <s v=""/>
    <s v=""/>
    <x v="74"/>
    <s v=""/>
    <x v="83"/>
    <s v=""/>
    <m/>
    <m/>
    <s v=""/>
    <s v=""/>
    <s v=""/>
    <s v=""/>
    <n v="1"/>
  </r>
  <r>
    <x v="0"/>
    <n v="379"/>
    <m/>
    <n v="2199"/>
    <s v=""/>
    <s v=""/>
    <x v="163"/>
    <m/>
    <s v=""/>
    <s v="Anderson"/>
    <s v="(16) 99707-0733"/>
    <s v=""/>
    <s v=""/>
    <s v=""/>
    <s v=""/>
    <s v=""/>
    <s v=""/>
    <s v=""/>
    <s v="Indicação"/>
    <s v=""/>
    <s v=""/>
    <s v="50%"/>
    <s v="Pipeline de Vendas"/>
    <s v="Em negociação (75%)"/>
    <s v=""/>
    <m/>
    <n v="68400"/>
    <n v="17345"/>
    <n v="108"/>
    <s v="Paulo Souza"/>
    <d v="2025-05-09T00:00:00"/>
    <d v="1899-12-30T16:01:00"/>
    <s v=""/>
    <s v="Perdido"/>
    <d v="2025-08-25T00:00:00"/>
    <d v="1899-12-30T14:28:20"/>
    <s v="Fechou com o concorrente - preço"/>
    <s v=""/>
    <s v=""/>
    <x v="0"/>
    <s v=""/>
    <x v="0"/>
    <s v=""/>
    <m/>
    <m/>
    <s v=""/>
    <s v=""/>
    <s v=""/>
    <s v=""/>
    <n v="1"/>
  </r>
  <r>
    <x v="1"/>
    <n v="382"/>
    <m/>
    <n v="2031"/>
    <s v=""/>
    <s v=""/>
    <x v="164"/>
    <n v="27173648000116"/>
    <s v=""/>
    <s v="Fest Buuble"/>
    <s v="(11) 9342-9915"/>
    <s v=""/>
    <s v="amandfast@gmail.com"/>
    <s v=""/>
    <s v=""/>
    <s v=""/>
    <s v="SAO PAULO"/>
    <s v="SP"/>
    <s v=""/>
    <s v=""/>
    <s v=""/>
    <s v=""/>
    <s v="Pipeline de Vendas"/>
    <s v="Agendamento (0%)"/>
    <s v=""/>
    <m/>
    <m/>
    <m/>
    <n v="50"/>
    <s v="Junior Lopes"/>
    <d v="2025-05-12T00:00:00"/>
    <d v="1899-12-30T15:21:57"/>
    <s v=""/>
    <s v="Perdido"/>
    <d v="2025-07-01T00:00:00"/>
    <d v="1899-12-30T09:46:00"/>
    <s v="Projeto adiado / sem prazo definido"/>
    <s v="Aguardar Rep Mais"/>
    <s v=""/>
    <x v="0"/>
    <s v=""/>
    <x v="84"/>
    <s v=""/>
    <m/>
    <m/>
    <s v=""/>
    <s v=""/>
    <s v=""/>
    <s v=""/>
    <n v="1"/>
  </r>
  <r>
    <x v="1"/>
    <n v="383"/>
    <m/>
    <n v="2033"/>
    <s v=""/>
    <s v=""/>
    <x v="165"/>
    <n v="86890639000105"/>
    <s v=""/>
    <s v="Arrtef Brasil - RMS"/>
    <s v=""/>
    <s v=""/>
    <s v=""/>
    <s v=""/>
    <s v=""/>
    <s v=""/>
    <s v="CURITIBA"/>
    <s v="PR"/>
    <s v=""/>
    <s v=""/>
    <s v=""/>
    <s v=""/>
    <s v="Pipeline de Vendas"/>
    <s v="Agendamento (0%)"/>
    <s v=""/>
    <m/>
    <m/>
    <m/>
    <n v="50"/>
    <s v="Junior Lopes"/>
    <d v="2025-05-12T00:00:00"/>
    <d v="1899-12-30T15:34:32"/>
    <s v=""/>
    <s v="Perdido"/>
    <d v="2025-07-01T00:00:00"/>
    <d v="1899-12-30T09:46:34"/>
    <s v="Projeto adiado / sem prazo definido"/>
    <s v="Aguardar Rep Mais"/>
    <s v=""/>
    <x v="0"/>
    <s v=""/>
    <x v="0"/>
    <s v=""/>
    <m/>
    <m/>
    <s v=""/>
    <s v=""/>
    <s v=""/>
    <s v=""/>
    <n v="1"/>
  </r>
  <r>
    <x v="1"/>
    <n v="384"/>
    <m/>
    <n v="2036"/>
    <s v=""/>
    <s v=""/>
    <x v="166"/>
    <m/>
    <s v=""/>
    <s v="Fa fa Import"/>
    <s v="21989290057"/>
    <s v=""/>
    <s v="lucianadsmoura@gmail.com"/>
    <s v=""/>
    <s v=""/>
    <s v=""/>
    <s v=""/>
    <s v=""/>
    <s v=""/>
    <s v=""/>
    <s v=""/>
    <s v="90%"/>
    <s v="Pipeline de Vendas"/>
    <s v="Em Fechamento (100%)"/>
    <s v=""/>
    <m/>
    <n v="3230634"/>
    <n v="17706"/>
    <n v="35"/>
    <s v="Junior Lopes"/>
    <d v="2025-05-13T00:00:00"/>
    <d v="1899-12-30T17:15:52"/>
    <s v=""/>
    <s v="Ganho"/>
    <d v="2025-06-17T00:00:00"/>
    <d v="1899-12-30T16:19:34"/>
    <s v=""/>
    <s v=""/>
    <s v=""/>
    <x v="75"/>
    <s v=""/>
    <x v="85"/>
    <s v=""/>
    <m/>
    <m/>
    <s v=""/>
    <s v=""/>
    <s v=""/>
    <s v=""/>
    <n v="1"/>
  </r>
  <r>
    <x v="1"/>
    <n v="385"/>
    <m/>
    <n v="2037"/>
    <s v=""/>
    <s v=""/>
    <x v="167"/>
    <m/>
    <s v=""/>
    <s v="Fa Fa Import - Cloud"/>
    <s v="21989290058"/>
    <s v=""/>
    <s v="lucianadsmoura@gmail.com"/>
    <s v=""/>
    <s v=""/>
    <s v=""/>
    <s v=""/>
    <s v=""/>
    <s v=""/>
    <s v=""/>
    <s v=""/>
    <s v="90%"/>
    <s v="Pipeline de Vendas"/>
    <s v="Em Fechamento (100%)"/>
    <s v=""/>
    <m/>
    <n v="0"/>
    <n v="208313"/>
    <n v="35"/>
    <s v="Junior Lopes"/>
    <d v="2025-05-13T00:00:00"/>
    <d v="1899-12-30T17:16:59"/>
    <s v=""/>
    <s v="Ganho"/>
    <d v="2025-06-17T00:00:00"/>
    <d v="1899-12-30T16:20:18"/>
    <s v=""/>
    <s v=""/>
    <s v=""/>
    <x v="75"/>
    <s v=""/>
    <x v="85"/>
    <s v=""/>
    <m/>
    <m/>
    <s v=""/>
    <s v=""/>
    <s v=""/>
    <s v=""/>
    <n v="1"/>
  </r>
  <r>
    <x v="1"/>
    <n v="405"/>
    <m/>
    <n v="2061"/>
    <s v=""/>
    <s v=""/>
    <x v="168"/>
    <m/>
    <s v=""/>
    <s v="Amazonia aromas"/>
    <s v="11991266405"/>
    <s v=""/>
    <s v="atendimento@amazoniaaromas.com.br"/>
    <s v=""/>
    <s v=""/>
    <s v=""/>
    <s v=""/>
    <s v=""/>
    <s v=""/>
    <s v=""/>
    <s v=""/>
    <s v="50%"/>
    <s v="Pipeline de Vendas"/>
    <s v="Em negociação (75%)"/>
    <s v=""/>
    <m/>
    <m/>
    <m/>
    <n v="20"/>
    <s v="Junior Lopes"/>
    <d v="2025-05-28T00:00:00"/>
    <d v="1899-12-30T09:32:20"/>
    <s v=""/>
    <s v="Perdido"/>
    <d v="2025-06-17T00:00:00"/>
    <d v="1899-12-30T16:21:42"/>
    <s v="Nossa solução não atende - falta funcionalidade"/>
    <s v="15:18, 3/6/2025 André Oliveira (Amazonia Aromas): Quanto?_x000a_15:21, 3/6/2025 Junior Lopes: acredito que uns 90 dias ! estamos em homologação em um cliente da nossa base_x000a_15:31, 3/6/2025 André Oliveira (Amazonia Aromas): Mobile Android e ios normal_x000a_15:34, 3/6/2025 Junior Lopes: Mobile Android Off-line _x000a_iOS e Windows on-line_x000a_15:37, 3/6/2025 André Oliveira (Amazonia Aromas): Hum ios ferra um pouco"/>
    <s v=""/>
    <x v="76"/>
    <s v=""/>
    <x v="86"/>
    <s v=""/>
    <m/>
    <m/>
    <s v=""/>
    <s v=""/>
    <s v=""/>
    <s v=""/>
    <n v="1"/>
  </r>
  <r>
    <x v="1"/>
    <n v="406"/>
    <m/>
    <n v="2062"/>
    <s v=""/>
    <s v=""/>
    <x v="169"/>
    <n v="5215210000110"/>
    <s v=""/>
    <s v="AZPR"/>
    <s v="(41) 3376-2439"/>
    <s v=""/>
    <s v=""/>
    <s v=""/>
    <s v=""/>
    <s v=""/>
    <s v="CURITIBA"/>
    <s v="PR"/>
    <s v=""/>
    <s v=""/>
    <s v=""/>
    <s v="30%"/>
    <s v="Pipeline de Vendas"/>
    <s v="Apresentar Solução (35%)"/>
    <s v=""/>
    <m/>
    <n v="622008"/>
    <n v="23661"/>
    <n v="26"/>
    <s v="Junior Lopes"/>
    <d v="2025-05-28T00:00:00"/>
    <d v="1899-12-30T09:50:40"/>
    <s v=""/>
    <s v="Perdido"/>
    <d v="2025-06-23T00:00:00"/>
    <d v="1899-12-30T08:51:59"/>
    <s v="Projeto adiado / sem prazo definido"/>
    <s v="voltar contato quando RepMais"/>
    <s v=""/>
    <x v="77"/>
    <s v=""/>
    <x v="87"/>
    <s v=""/>
    <m/>
    <m/>
    <s v=""/>
    <s v=""/>
    <s v=""/>
    <s v=""/>
    <n v="1"/>
  </r>
  <r>
    <x v="1"/>
    <n v="407"/>
    <m/>
    <n v="2065"/>
    <s v=""/>
    <s v=""/>
    <x v="170"/>
    <n v="5215210000110"/>
    <s v=""/>
    <s v="AZPR"/>
    <s v="(41) 3376-2439"/>
    <s v=""/>
    <s v=""/>
    <s v=""/>
    <s v=""/>
    <s v=""/>
    <s v="CURITIBA"/>
    <s v="PR"/>
    <s v=""/>
    <s v=""/>
    <s v=""/>
    <s v="30%"/>
    <s v="Pipeline de Vendas"/>
    <s v="Apresentar Solução (35%)"/>
    <s v=""/>
    <m/>
    <n v="1600"/>
    <n v="26507"/>
    <n v="26"/>
    <s v="Junior Lopes"/>
    <d v="2025-05-28T00:00:00"/>
    <d v="1899-12-30T09:54:27"/>
    <s v=""/>
    <s v="Perdido"/>
    <d v="2025-06-23T00:00:00"/>
    <d v="1899-12-30T08:53:19"/>
    <s v="Projeto adiado / sem prazo definido"/>
    <s v="Procurar quando RepMais"/>
    <s v=""/>
    <x v="77"/>
    <s v=""/>
    <x v="87"/>
    <s v=""/>
    <m/>
    <m/>
    <s v=""/>
    <s v=""/>
    <s v=""/>
    <s v=""/>
    <n v="1"/>
  </r>
  <r>
    <x v="1"/>
    <n v="408"/>
    <m/>
    <n v="2068"/>
    <s v=""/>
    <s v=""/>
    <x v="171"/>
    <m/>
    <s v=""/>
    <s v="Erca alumínio"/>
    <s v="19997023116"/>
    <s v=""/>
    <s v="rafael@ercaaluminio.com.br"/>
    <s v=""/>
    <s v=""/>
    <s v=""/>
    <s v=""/>
    <s v=""/>
    <s v=""/>
    <s v=""/>
    <s v=""/>
    <s v=""/>
    <s v="Pipeline de Vendas"/>
    <s v="Em Fechamento (100%)"/>
    <s v="10x sem juros (0/30/60/90/120/150...)"/>
    <m/>
    <n v="123066"/>
    <n v="0"/>
    <n v="0"/>
    <s v="Junior Lopes"/>
    <d v="2025-05-28T00:00:00"/>
    <d v="1899-12-30T10:09:38"/>
    <s v=""/>
    <s v="Ganho"/>
    <d v="2025-05-28T00:00:00"/>
    <d v="1899-12-30T10:22:07"/>
    <s v=""/>
    <s v=""/>
    <s v=""/>
    <x v="78"/>
    <s v=""/>
    <x v="0"/>
    <s v=""/>
    <m/>
    <m/>
    <s v=""/>
    <s v=""/>
    <s v=""/>
    <s v=""/>
    <n v="1"/>
  </r>
  <r>
    <x v="1"/>
    <n v="409"/>
    <m/>
    <n v="2069"/>
    <s v=""/>
    <s v=""/>
    <x v="172"/>
    <n v="56262451000151"/>
    <s v=""/>
    <s v="XieXie Mais barato"/>
    <s v="(11) 2492-2763"/>
    <s v=""/>
    <s v="fbastosauditores@terra.com.br"/>
    <s v=""/>
    <s v=""/>
    <s v=""/>
    <s v="GUARULHOS"/>
    <s v="SP"/>
    <s v=""/>
    <s v=""/>
    <s v=""/>
    <s v=""/>
    <s v="Pipeline de Vendas"/>
    <s v="Em negociação (75%)"/>
    <s v=""/>
    <m/>
    <n v="52258"/>
    <n v="606364"/>
    <n v="6"/>
    <s v="Junior Lopes"/>
    <d v="2025-05-28T00:00:00"/>
    <d v="1899-12-30T10:32:07"/>
    <s v=""/>
    <s v="Perdido"/>
    <d v="2025-06-03T00:00:00"/>
    <d v="1899-12-30T10:00:29"/>
    <s v="Preço muito alto - fora do budget de investimento"/>
    <s v="PROPOSTA RENOVCADA POREM CLIENTE NÃO DEU SEQUENCIA"/>
    <s v=""/>
    <x v="79"/>
    <s v=""/>
    <x v="0"/>
    <s v=""/>
    <m/>
    <m/>
    <s v=""/>
    <s v=""/>
    <s v=""/>
    <s v=""/>
    <n v="1"/>
  </r>
  <r>
    <x v="1"/>
    <n v="410"/>
    <m/>
    <n v="2071"/>
    <s v=""/>
    <s v=""/>
    <x v="173"/>
    <n v="56262451000151"/>
    <s v=""/>
    <s v="XieXie Mais Barato - BI B2B"/>
    <s v="(11) 2492-2763"/>
    <s v=""/>
    <s v="fbastosauditores@terra.com.br"/>
    <s v=""/>
    <s v=""/>
    <s v=""/>
    <s v="GUARULHOS"/>
    <s v="SP"/>
    <s v=""/>
    <s v=""/>
    <s v=""/>
    <s v=""/>
    <s v="Pipeline de Vendas"/>
    <s v="Em negociação (75%)"/>
    <s v=""/>
    <m/>
    <n v="42400"/>
    <n v="5560"/>
    <n v="6"/>
    <s v="Junior Lopes"/>
    <d v="2025-05-28T00:00:00"/>
    <d v="1899-12-30T10:38:48"/>
    <s v=""/>
    <s v="Perdido"/>
    <d v="2025-06-03T00:00:00"/>
    <d v="1899-12-30T10:01:26"/>
    <s v="Preço muito alto - fora do budget de investimento"/>
    <s v="PROPOSTA RENOVADA POREM CÇIENTE NÃO DEU SEQUENCIA"/>
    <s v=""/>
    <x v="79"/>
    <s v=""/>
    <x v="0"/>
    <s v=""/>
    <m/>
    <m/>
    <s v=""/>
    <s v=""/>
    <s v=""/>
    <s v=""/>
    <n v="1"/>
  </r>
  <r>
    <x v="1"/>
    <n v="412"/>
    <m/>
    <n v="2075"/>
    <s v=""/>
    <s v=""/>
    <x v="174"/>
    <m/>
    <s v=""/>
    <s v="Gala - B2B"/>
    <s v="67981004151"/>
    <s v=""/>
    <s v="diego@grupogala.com.br"/>
    <s v=""/>
    <s v=""/>
    <s v=""/>
    <s v=""/>
    <s v=""/>
    <s v=""/>
    <s v=""/>
    <s v=""/>
    <s v="50%"/>
    <s v="Pipeline de Vendas"/>
    <s v="Em negociação (75%)"/>
    <s v=""/>
    <m/>
    <n v="26200"/>
    <n v="3400"/>
    <n v="92"/>
    <s v="Junior Lopes"/>
    <d v="2025-05-28T00:00:00"/>
    <d v="1899-12-30T10:50:13"/>
    <s v=""/>
    <s v="Perdido"/>
    <d v="2025-08-28T00:00:00"/>
    <d v="1899-12-30T15:33:20"/>
    <s v="Não houve aprovação financeira"/>
    <s v=""/>
    <s v=""/>
    <x v="80"/>
    <s v=""/>
    <x v="87"/>
    <s v=""/>
    <m/>
    <m/>
    <s v=""/>
    <s v=""/>
    <s v=""/>
    <s v=""/>
    <n v="1"/>
  </r>
  <r>
    <x v="1"/>
    <n v="413"/>
    <m/>
    <n v="2076"/>
    <s v=""/>
    <s v=""/>
    <x v="175"/>
    <m/>
    <s v=""/>
    <s v="Flora Nectar - AFV"/>
    <s v="19971332893"/>
    <s v=""/>
    <s v="marina.dopekevicuz@v4company.com"/>
    <s v=""/>
    <s v=""/>
    <s v=""/>
    <s v=""/>
    <s v=""/>
    <s v=""/>
    <s v=""/>
    <s v=""/>
    <s v=""/>
    <s v="Pipeline de Vendas"/>
    <s v="Apresentar Solução (35%)"/>
    <s v=""/>
    <m/>
    <m/>
    <m/>
    <n v="12"/>
    <s v="Junior Lopes"/>
    <d v="2025-05-28T00:00:00"/>
    <d v="1899-12-30T11:12:16"/>
    <s v=""/>
    <s v="Perdido"/>
    <d v="2025-06-09T00:00:00"/>
    <d v="1899-12-30T15:53:56"/>
    <s v="Projeto adiado / sem prazo definido"/>
    <s v="Rayssa esta mantendo contato"/>
    <s v=""/>
    <x v="0"/>
    <s v=""/>
    <x v="88"/>
    <s v=""/>
    <m/>
    <m/>
    <s v=""/>
    <s v=""/>
    <s v=""/>
    <s v=""/>
    <n v="1"/>
  </r>
  <r>
    <x v="1"/>
    <n v="415"/>
    <m/>
    <n v="2127"/>
    <s v=""/>
    <s v=""/>
    <x v="176"/>
    <m/>
    <s v=""/>
    <s v="Xpert - ERP"/>
    <s v="11996219888"/>
    <s v=""/>
    <s v="manuela.xpert@gmail.com"/>
    <s v=""/>
    <s v=""/>
    <s v=""/>
    <s v=""/>
    <s v=""/>
    <s v=""/>
    <s v=""/>
    <s v=""/>
    <s v=""/>
    <s v="Pipeline de Vendas"/>
    <s v="Apresentar Solução (35%)"/>
    <s v=""/>
    <m/>
    <n v="622008"/>
    <n v="28481"/>
    <n v="12"/>
    <s v="Junior Lopes"/>
    <d v="2025-05-30T00:00:00"/>
    <d v="1899-12-30T09:10:03"/>
    <s v=""/>
    <s v="Perdido"/>
    <d v="2025-06-11T00:00:00"/>
    <d v="1899-12-30T14:24:50"/>
    <s v="Não houve aprovação financeira"/>
    <s v="informou que não tem verba de investimento"/>
    <s v=""/>
    <x v="76"/>
    <s v=""/>
    <x v="89"/>
    <s v=""/>
    <m/>
    <m/>
    <s v=""/>
    <s v=""/>
    <s v=""/>
    <s v=""/>
    <n v="1"/>
  </r>
  <r>
    <x v="1"/>
    <n v="416"/>
    <m/>
    <n v="2132"/>
    <s v=""/>
    <s v=""/>
    <x v="177"/>
    <m/>
    <s v=""/>
    <s v="Xpert - Cloud"/>
    <s v="11996219888"/>
    <s v=""/>
    <s v="manuela.xpert@gmail.com"/>
    <s v=""/>
    <s v=""/>
    <s v=""/>
    <s v=""/>
    <s v=""/>
    <s v=""/>
    <s v=""/>
    <s v=""/>
    <s v=""/>
    <s v="Pipeline de Vendas"/>
    <s v="Apresentar Proposta (50%)"/>
    <s v=""/>
    <m/>
    <n v="1600"/>
    <n v="28747"/>
    <n v="12"/>
    <s v="Junior Lopes"/>
    <d v="2025-05-30T00:00:00"/>
    <d v="1899-12-30T10:11:13"/>
    <s v=""/>
    <s v="Perdido"/>
    <d v="2025-06-11T00:00:00"/>
    <d v="1899-12-30T14:25:29"/>
    <s v="Não houve aprovação financeira"/>
    <s v="informou que não tem verba para investimento"/>
    <s v=""/>
    <x v="76"/>
    <s v=""/>
    <x v="89"/>
    <s v=""/>
    <m/>
    <m/>
    <s v=""/>
    <s v=""/>
    <s v=""/>
    <s v=""/>
    <n v="1"/>
  </r>
  <r>
    <x v="1"/>
    <n v="417"/>
    <m/>
    <n v="2133"/>
    <s v=""/>
    <s v=""/>
    <x v="178"/>
    <m/>
    <s v=""/>
    <s v="Ponto das festas"/>
    <s v="43988505997"/>
    <s v=""/>
    <s v="gerencia@pontodasfestas.com.br"/>
    <s v=""/>
    <s v=""/>
    <s v=""/>
    <s v=""/>
    <s v=""/>
    <s v=""/>
    <s v=""/>
    <s v=""/>
    <s v="30%"/>
    <s v="Pipeline de Vendas"/>
    <s v="Apresentar Proposta (50%)"/>
    <s v=""/>
    <m/>
    <n v="16960"/>
    <n v="40572"/>
    <n v="52"/>
    <s v="Junior Lopes"/>
    <d v="2025-05-30T00:00:00"/>
    <d v="1899-12-30T10:33:15"/>
    <s v=""/>
    <s v="Perdido"/>
    <d v="2025-07-21T00:00:00"/>
    <d v="1899-12-30T09:14:38"/>
    <s v="Projeto adiado / sem prazo definido"/>
    <s v="varias tentativas de contato sem retorno"/>
    <s v=""/>
    <x v="76"/>
    <s v=""/>
    <x v="89"/>
    <s v=""/>
    <m/>
    <m/>
    <s v=""/>
    <s v=""/>
    <s v=""/>
    <s v=""/>
    <n v="1"/>
  </r>
  <r>
    <x v="1"/>
    <n v="419"/>
    <m/>
    <n v="2144"/>
    <s v=""/>
    <s v=""/>
    <x v="179"/>
    <m/>
    <s v=""/>
    <s v="Oikos - Cloud"/>
    <s v="11987154112"/>
    <s v=""/>
    <s v="pedro@grupoecoa.com.br"/>
    <s v=""/>
    <s v=""/>
    <s v=""/>
    <s v=""/>
    <s v=""/>
    <s v=""/>
    <s v=""/>
    <s v=""/>
    <s v="90%"/>
    <s v="Pipeline de Vendas"/>
    <s v="Em Fechamento (100%)"/>
    <s v=""/>
    <m/>
    <n v="1600"/>
    <n v="1833334"/>
    <n v="52"/>
    <s v="Junior Lopes"/>
    <d v="2025-05-30T00:00:00"/>
    <d v="1899-12-30T14:05:15"/>
    <s v=""/>
    <s v="Perdido"/>
    <d v="2025-07-21T00:00:00"/>
    <d v="1899-12-30T09:47:38"/>
    <s v="Projeto adiado / sem prazo definido"/>
    <s v="cliente não responde sobre a continuidade"/>
    <s v=""/>
    <x v="80"/>
    <s v=""/>
    <x v="0"/>
    <s v=""/>
    <m/>
    <m/>
    <s v=""/>
    <s v=""/>
    <s v=""/>
    <s v=""/>
    <n v="1"/>
  </r>
  <r>
    <x v="1"/>
    <n v="422"/>
    <m/>
    <n v="2141"/>
    <s v=""/>
    <s v=""/>
    <x v="180"/>
    <n v="27898532000144"/>
    <s v=""/>
    <s v="Tainã"/>
    <s v="(14) 99811-7753"/>
    <s v=""/>
    <s v="atacadaodastripasfinanceiro@hotmail.com"/>
    <s v=""/>
    <s v=""/>
    <s v=""/>
    <s v="Tupã"/>
    <s v="SP"/>
    <s v="Inbound Opens"/>
    <s v=""/>
    <s v=""/>
    <s v=""/>
    <s v="Pipeline de Vendas"/>
    <s v="Apresentar Solução (35%)"/>
    <s v=""/>
    <m/>
    <n v="69592"/>
    <n v="23661"/>
    <n v="42"/>
    <s v="Débora Duarte"/>
    <d v="2025-06-02T00:00:00"/>
    <d v="1899-12-30T10:51:39"/>
    <s v=""/>
    <s v="Perdido"/>
    <d v="2025-07-14T00:00:00"/>
    <d v="1899-12-30T10:33:15"/>
    <s v="Projeto adiado / sem prazo definido"/>
    <s v="Descartando ! cliente não encontra tempo para seguir"/>
    <s v="30/05/2025 11:00"/>
    <x v="81"/>
    <s v="Débora Duarte"/>
    <x v="90"/>
    <s v="13/06/2025"/>
    <m/>
    <m/>
    <s v=""/>
    <s v=""/>
    <s v=""/>
    <s v=""/>
    <n v="1"/>
  </r>
  <r>
    <x v="2"/>
    <n v="423"/>
    <m/>
    <n v="2179"/>
    <s v=""/>
    <s v=""/>
    <x v="181"/>
    <n v="62182753000112"/>
    <s v=""/>
    <s v="Felipe"/>
    <s v="16994380062"/>
    <s v=""/>
    <s v="felipe.monteiro@pimpinella.com.br"/>
    <s v=""/>
    <s v=""/>
    <s v=""/>
    <s v=""/>
    <s v=""/>
    <s v="Indicação"/>
    <s v=""/>
    <s v=""/>
    <s v="80%"/>
    <s v="Pipeline de Vendas"/>
    <s v="Em negociação (75%)"/>
    <s v=""/>
    <m/>
    <n v="14280"/>
    <n v="127673"/>
    <n v="168"/>
    <s v="Rayssa Karapeticov"/>
    <d v="2025-06-03T00:00:00"/>
    <d v="1899-12-30T11:32:35"/>
    <s v=""/>
    <s v="Perdido"/>
    <d v="2025-11-18T00:00:00"/>
    <d v="1899-12-30T09:34:53"/>
    <s v="Projeto adiado / sem prazo definido"/>
    <s v=""/>
    <s v=""/>
    <x v="82"/>
    <s v="Rayssa Karapeticov"/>
    <x v="91"/>
    <s v=""/>
    <m/>
    <m/>
    <s v=""/>
    <s v=""/>
    <s v=""/>
    <s v=""/>
    <n v="1"/>
  </r>
  <r>
    <x v="1"/>
    <n v="425"/>
    <m/>
    <n v="2181"/>
    <s v=""/>
    <s v=""/>
    <x v="182"/>
    <n v="3971592000187"/>
    <s v=""/>
    <s v="Brinquedos Afv (RMS_AFV)"/>
    <s v="(51) 99840-3160"/>
    <s v=""/>
    <s v=""/>
    <s v=""/>
    <s v=""/>
    <s v=""/>
    <s v="PORTAO"/>
    <s v="RS"/>
    <s v=""/>
    <s v=""/>
    <s v=""/>
    <s v="30%"/>
    <s v="Pipeline de Vendas"/>
    <s v="Apresentar Solução (35%)"/>
    <s v=""/>
    <m/>
    <m/>
    <m/>
    <n v="26"/>
    <s v="Junior Lopes"/>
    <d v="2025-06-05T00:00:00"/>
    <d v="1899-12-30T10:52:19"/>
    <s v=""/>
    <s v="Perdido"/>
    <d v="2025-07-01T00:00:00"/>
    <d v="1899-12-30T09:56:25"/>
    <s v="Projeto adiado / sem prazo definido"/>
    <s v="Aguardar Rep Mais"/>
    <s v=""/>
    <x v="0"/>
    <s v=""/>
    <x v="0"/>
    <s v=""/>
    <m/>
    <m/>
    <s v=""/>
    <s v=""/>
    <s v=""/>
    <s v=""/>
    <n v="1"/>
  </r>
  <r>
    <x v="1"/>
    <n v="426"/>
    <m/>
    <n v="2186"/>
    <s v=""/>
    <s v=""/>
    <x v="183"/>
    <n v="480542000290"/>
    <s v=""/>
    <s v="Anjo brinquedos (RMS - AFV)"/>
    <s v="15997651713"/>
    <s v=""/>
    <s v="fat@brinquedosanjo.com.br"/>
    <s v=""/>
    <s v=""/>
    <s v=""/>
    <s v="LARANJAL PAULISTA"/>
    <s v="SP"/>
    <s v=""/>
    <s v=""/>
    <s v=""/>
    <s v=""/>
    <s v="Pipeline de Vendas"/>
    <s v="Agendamento (0%)"/>
    <s v=""/>
    <m/>
    <m/>
    <m/>
    <n v="26"/>
    <s v="Junior Lopes"/>
    <d v="2025-06-05T00:00:00"/>
    <d v="1899-12-30T11:03:34"/>
    <s v=""/>
    <s v="Perdido"/>
    <d v="2025-07-01T00:00:00"/>
    <d v="1899-12-30T09:47:14"/>
    <s v="Projeto adiado / sem prazo definido"/>
    <s v="Aguardar Rep Mais"/>
    <s v=""/>
    <x v="0"/>
    <s v=""/>
    <x v="0"/>
    <s v=""/>
    <m/>
    <m/>
    <s v=""/>
    <s v=""/>
    <s v=""/>
    <s v=""/>
    <n v="1"/>
  </r>
  <r>
    <x v="1"/>
    <n v="428"/>
    <m/>
    <n v="2189"/>
    <s v=""/>
    <s v=""/>
    <x v="184"/>
    <n v="10509268000107"/>
    <s v=""/>
    <s v="meio atacado"/>
    <s v="19997556622"/>
    <s v=""/>
    <s v="camila@meioatacado.com.br"/>
    <s v=""/>
    <s v=""/>
    <s v=""/>
    <s v="PIRACICABA"/>
    <s v="SP"/>
    <s v=""/>
    <s v=""/>
    <s v=""/>
    <s v="30%"/>
    <s v="Pipeline de Vendas"/>
    <s v="Apresentar Solução (35%)"/>
    <s v=""/>
    <m/>
    <n v="73430"/>
    <n v="37382"/>
    <n v="24"/>
    <s v="Junior Lopes"/>
    <d v="2025-06-06T00:00:00"/>
    <d v="1899-12-30T10:17:02"/>
    <s v=""/>
    <s v="Perdido"/>
    <d v="2025-06-30T00:00:00"/>
    <d v="1899-12-30T15:06:25"/>
    <s v="Projeto adiado / sem prazo definido"/>
    <s v="não responde mais aos contatos"/>
    <s v=""/>
    <x v="83"/>
    <s v=""/>
    <x v="92"/>
    <s v="16/06/2025"/>
    <m/>
    <m/>
    <s v=""/>
    <s v=""/>
    <s v=""/>
    <s v=""/>
    <n v="1"/>
  </r>
  <r>
    <x v="1"/>
    <n v="431"/>
    <m/>
    <n v="2194"/>
    <s v=""/>
    <s v=""/>
    <x v="185"/>
    <n v="28646036000166"/>
    <s v=""/>
    <s v="Goal comercial"/>
    <s v="11938010304"/>
    <s v=""/>
    <s v="juraci@goalcomercial.com.br"/>
    <s v=""/>
    <s v=""/>
    <s v=""/>
    <s v="SAO CAETANO DO SUL"/>
    <s v="SP"/>
    <s v=""/>
    <s v=""/>
    <s v=""/>
    <s v="30%"/>
    <s v="Pipeline de Vendas"/>
    <s v="Em negociação (75%)"/>
    <s v=""/>
    <m/>
    <n v="16960"/>
    <n v="70432"/>
    <n v="80"/>
    <s v="Junior Lopes"/>
    <d v="2025-06-09T00:00:00"/>
    <d v="1899-12-30T11:25:17"/>
    <s v=""/>
    <s v="Perdido"/>
    <d v="2025-08-28T00:00:00"/>
    <d v="1899-12-30T15:35:05"/>
    <s v="Projeto adiado / sem prazo definido"/>
    <s v="sem retorno do cliente"/>
    <s v=""/>
    <x v="84"/>
    <s v=""/>
    <x v="93"/>
    <s v="13/03/2026"/>
    <m/>
    <m/>
    <s v=""/>
    <s v=""/>
    <s v=""/>
    <s v=""/>
    <n v="1"/>
  </r>
  <r>
    <x v="1"/>
    <n v="433"/>
    <m/>
    <n v="2197"/>
    <s v=""/>
    <s v=""/>
    <x v="186"/>
    <m/>
    <s v=""/>
    <s v="Galpão importadora"/>
    <s v="81992522279"/>
    <s v=""/>
    <s v="null"/>
    <s v=""/>
    <s v=""/>
    <s v=""/>
    <s v=""/>
    <s v=""/>
    <s v=""/>
    <s v=""/>
    <s v=""/>
    <s v=""/>
    <s v="Pipeline de Vendas"/>
    <s v="Apresentar Solução (35%)"/>
    <s v=""/>
    <m/>
    <n v="16960"/>
    <n v="998"/>
    <n v="20"/>
    <s v="Junior Lopes"/>
    <d v="2025-06-11T00:00:00"/>
    <d v="1899-12-30T09:05:28"/>
    <s v=""/>
    <s v="Perdido"/>
    <d v="2025-07-01T00:00:00"/>
    <d v="1899-12-30T09:59:28"/>
    <s v="Projeto adiado / sem prazo definido"/>
    <s v="cliente não encontra tempo para apresentação"/>
    <s v=""/>
    <x v="85"/>
    <s v=""/>
    <x v="94"/>
    <s v=""/>
    <m/>
    <m/>
    <s v=""/>
    <s v=""/>
    <s v=""/>
    <s v=""/>
    <n v="1"/>
  </r>
  <r>
    <x v="0"/>
    <n v="434"/>
    <m/>
    <n v="2198"/>
    <s v=""/>
    <s v=""/>
    <x v="187"/>
    <m/>
    <s v=""/>
    <s v="Alexandre"/>
    <s v="11976806556"/>
    <s v=""/>
    <s v="vendas@finaideia.com.br"/>
    <s v=""/>
    <s v=""/>
    <s v=""/>
    <s v=""/>
    <s v=""/>
    <s v="Indicação"/>
    <s v=""/>
    <s v=""/>
    <s v="30%"/>
    <s v="Pipeline de Vendas"/>
    <s v="Apresentar Solução (35%)"/>
    <s v="6x sem juros (0/30/60/90/120/150...)"/>
    <m/>
    <m/>
    <m/>
    <n v="90"/>
    <s v="Paulo Souza"/>
    <d v="2025-06-12T00:00:00"/>
    <d v="1899-12-30T15:13:20"/>
    <s v=""/>
    <s v="Perdido"/>
    <d v="2025-09-10T00:00:00"/>
    <d v="1899-12-30T16:13:03"/>
    <s v="Projeto adiado / sem prazo definido"/>
    <s v=""/>
    <s v=""/>
    <x v="0"/>
    <s v="Paulo Souza"/>
    <x v="0"/>
    <s v=""/>
    <m/>
    <m/>
    <s v=""/>
    <s v=""/>
    <s v=""/>
    <s v=""/>
    <n v="1"/>
  </r>
  <r>
    <x v="0"/>
    <n v="435"/>
    <m/>
    <n v="2200"/>
    <s v=""/>
    <s v=""/>
    <x v="188"/>
    <m/>
    <s v=""/>
    <s v="Gustavo"/>
    <s v="16996352359"/>
    <s v=""/>
    <s v="null"/>
    <s v=""/>
    <s v=""/>
    <s v=""/>
    <s v=""/>
    <s v=""/>
    <s v="Indicação"/>
    <s v=""/>
    <s v=""/>
    <s v="50%"/>
    <s v="Pipeline de Vendas"/>
    <s v="Em Fechamento (100%)"/>
    <s v=""/>
    <m/>
    <n v="28800"/>
    <n v="201012"/>
    <n v="56"/>
    <s v="Paulo Souza"/>
    <d v="2025-06-12T00:00:00"/>
    <d v="1899-12-30T16:24:50"/>
    <s v=""/>
    <s v="Ganho"/>
    <d v="2025-08-07T00:00:00"/>
    <d v="1899-12-30T12:06:18"/>
    <s v=""/>
    <s v=""/>
    <s v=""/>
    <x v="0"/>
    <s v="Paulo Souza"/>
    <x v="0"/>
    <s v=""/>
    <m/>
    <m/>
    <s v=""/>
    <s v=""/>
    <s v=""/>
    <s v=""/>
    <n v="1"/>
  </r>
  <r>
    <x v="1"/>
    <n v="447"/>
    <m/>
    <n v="2213"/>
    <s v=""/>
    <s v=""/>
    <x v="189"/>
    <m/>
    <s v=""/>
    <s v="Vitoria cortinas"/>
    <s v="53999594657"/>
    <s v=""/>
    <s v="compras@vitoriacortinasdecoracoes.com.br"/>
    <s v=""/>
    <s v=""/>
    <s v=""/>
    <s v=""/>
    <s v=""/>
    <s v=""/>
    <s v=""/>
    <s v=""/>
    <s v=""/>
    <s v="Pipeline de Vendas"/>
    <s v="Em Fechamento (100%)"/>
    <s v=""/>
    <m/>
    <n v="1782"/>
    <n v="3564"/>
    <n v="2"/>
    <s v="Junior Lopes"/>
    <d v="2025-06-16T00:00:00"/>
    <d v="1899-12-30T15:57:47"/>
    <s v=""/>
    <s v="Ganho"/>
    <d v="2025-06-18T00:00:00"/>
    <d v="1899-12-30T14:49:21"/>
    <s v=""/>
    <s v=""/>
    <s v=""/>
    <x v="86"/>
    <s v=""/>
    <x v="93"/>
    <s v=""/>
    <m/>
    <m/>
    <s v=""/>
    <s v=""/>
    <s v=""/>
    <s v=""/>
    <n v="1"/>
  </r>
  <r>
    <x v="1"/>
    <n v="451"/>
    <m/>
    <n v="2217"/>
    <s v=""/>
    <s v=""/>
    <x v="190"/>
    <n v="27898532000144"/>
    <s v=""/>
    <s v="Atacadão das Tripas (cloud)"/>
    <s v="14998117753"/>
    <s v=""/>
    <s v="atacadaodastripasfinanceiro@hotmail.com"/>
    <s v=""/>
    <s v=""/>
    <s v=""/>
    <s v="TUPA"/>
    <s v="SP"/>
    <s v=""/>
    <s v=""/>
    <s v=""/>
    <s v=""/>
    <s v="Pipeline de Vendas"/>
    <s v="Apresentar Solução (35%)"/>
    <s v=""/>
    <m/>
    <n v="1600"/>
    <n v="26507"/>
    <n v="26"/>
    <s v="Junior Lopes"/>
    <d v="2025-06-18T00:00:00"/>
    <d v="1899-12-30T14:31:48"/>
    <s v=""/>
    <s v="Perdido"/>
    <d v="2025-07-14T00:00:00"/>
    <d v="1899-12-30T10:34:04"/>
    <s v="Projeto adiado / sem prazo definido"/>
    <s v="Descartando ! cliente não encontra tempo para seguir"/>
    <s v=""/>
    <x v="81"/>
    <s v=""/>
    <x v="93"/>
    <s v=""/>
    <m/>
    <m/>
    <s v=""/>
    <s v=""/>
    <s v=""/>
    <s v=""/>
    <n v="1"/>
  </r>
  <r>
    <x v="1"/>
    <n v="453"/>
    <m/>
    <n v="2219"/>
    <s v=""/>
    <s v=""/>
    <x v="191"/>
    <m/>
    <s v=""/>
    <s v="MDL Import - int.WMS"/>
    <s v="11910695515"/>
    <s v=""/>
    <s v="janaina@mdlimport.com.br"/>
    <s v=""/>
    <s v=""/>
    <s v=""/>
    <s v=""/>
    <s v=""/>
    <s v=""/>
    <s v=""/>
    <s v=""/>
    <s v="30%"/>
    <s v="Pipeline de Vendas"/>
    <s v="Em negociação (75%)"/>
    <s v=""/>
    <m/>
    <n v="29680"/>
    <n v="0"/>
    <n v="7"/>
    <s v="Junior Lopes"/>
    <d v="2025-06-23T00:00:00"/>
    <d v="1899-12-30T09:14:24"/>
    <s v=""/>
    <s v="Perdido"/>
    <d v="2025-06-30T00:00:00"/>
    <d v="1899-12-30T15:12:28"/>
    <s v="Não houve aprovação financeira"/>
    <s v="orçamento não foi aprovado"/>
    <s v=""/>
    <x v="83"/>
    <s v=""/>
    <x v="95"/>
    <s v=""/>
    <m/>
    <m/>
    <s v=""/>
    <s v=""/>
    <s v=""/>
    <s v=""/>
    <n v="1"/>
  </r>
  <r>
    <x v="1"/>
    <n v="455"/>
    <m/>
    <n v="2221"/>
    <s v=""/>
    <s v=""/>
    <x v="192"/>
    <n v="1537246000160"/>
    <s v=""/>
    <s v="BS Toys (RMS)"/>
    <s v="15997551770"/>
    <s v=""/>
    <s v="atendimento@bstoys.com.br"/>
    <s v=""/>
    <s v=""/>
    <s v=""/>
    <s v="BOITUVA"/>
    <s v="SP"/>
    <s v=""/>
    <s v=""/>
    <s v=""/>
    <s v=""/>
    <s v="Pipeline de Vendas"/>
    <s v="Agendamento (0%)"/>
    <s v=""/>
    <m/>
    <m/>
    <m/>
    <n v="7"/>
    <s v="Junior Lopes"/>
    <d v="2025-06-24T00:00:00"/>
    <d v="1899-12-30T11:14:18"/>
    <s v=""/>
    <s v="Perdido"/>
    <d v="2025-07-01T00:00:00"/>
    <d v="1899-12-30T09:49:52"/>
    <s v="Projeto adiado / sem prazo definido"/>
    <s v="Aguardar Rep Mais"/>
    <s v=""/>
    <x v="0"/>
    <s v=""/>
    <x v="0"/>
    <s v=""/>
    <m/>
    <m/>
    <s v=""/>
    <s v=""/>
    <s v=""/>
    <s v=""/>
    <n v="1"/>
  </r>
  <r>
    <x v="1"/>
    <n v="456"/>
    <m/>
    <n v="2226"/>
    <s v=""/>
    <s v=""/>
    <x v="193"/>
    <n v="1684187000152"/>
    <s v=""/>
    <s v="Dielu"/>
    <s v="11947837975"/>
    <s v=""/>
    <s v=""/>
    <s v=""/>
    <s v=""/>
    <s v=""/>
    <s v="SAO PAULO"/>
    <s v="SP"/>
    <s v=""/>
    <s v=""/>
    <s v=""/>
    <s v=""/>
    <s v="Pipeline de Vendas"/>
    <s v="Agendamento (0%)"/>
    <s v=""/>
    <m/>
    <m/>
    <m/>
    <n v="7"/>
    <s v="Junior Lopes"/>
    <d v="2025-06-24T00:00:00"/>
    <d v="1899-12-30T11:20:52"/>
    <s v=""/>
    <s v="Perdido"/>
    <d v="2025-07-01T00:00:00"/>
    <d v="1899-12-30T09:50:21"/>
    <s v="Projeto adiado / sem prazo definido"/>
    <s v="Aguardar Rep Mais"/>
    <s v=""/>
    <x v="0"/>
    <s v=""/>
    <x v="0"/>
    <s v=""/>
    <m/>
    <m/>
    <s v=""/>
    <s v=""/>
    <s v=""/>
    <s v=""/>
    <n v="1"/>
  </r>
  <r>
    <x v="1"/>
    <n v="457"/>
    <m/>
    <n v="2230"/>
    <s v=""/>
    <s v=""/>
    <x v="194"/>
    <n v="28895260000191"/>
    <s v=""/>
    <s v="ceramica salute"/>
    <s v="19999094519"/>
    <s v=""/>
    <s v="comercial@ceramicasalute.com.br"/>
    <s v=""/>
    <s v=""/>
    <s v=""/>
    <s v="JABOTICABAL"/>
    <s v="SP"/>
    <s v=""/>
    <s v=""/>
    <s v=""/>
    <s v=""/>
    <s v="Pipeline de Vendas"/>
    <s v="Agendamento (0%)"/>
    <s v=""/>
    <m/>
    <m/>
    <m/>
    <n v="7"/>
    <s v="Junior Lopes"/>
    <d v="2025-06-24T00:00:00"/>
    <d v="1899-12-30T11:28:08"/>
    <s v=""/>
    <s v="Perdido"/>
    <d v="2025-07-01T00:00:00"/>
    <d v="1899-12-30T09:50:51"/>
    <s v="Projeto adiado / sem prazo definido"/>
    <s v="Aguardar Rep Mais"/>
    <s v=""/>
    <x v="0"/>
    <s v=""/>
    <x v="0"/>
    <s v=""/>
    <m/>
    <m/>
    <s v=""/>
    <s v=""/>
    <s v=""/>
    <s v=""/>
    <n v="1"/>
  </r>
  <r>
    <x v="1"/>
    <n v="462"/>
    <m/>
    <n v="2237"/>
    <s v=""/>
    <s v=""/>
    <x v="195"/>
    <n v="61630786000115"/>
    <s v=""/>
    <s v="Palete Chiari"/>
    <s v="16993303692"/>
    <s v=""/>
    <s v=""/>
    <s v=""/>
    <s v=""/>
    <s v=""/>
    <s v="SAO CARLOS"/>
    <s v="SP"/>
    <s v=""/>
    <s v=""/>
    <s v=""/>
    <s v=""/>
    <s v="Pipeline de Vendas"/>
    <s v="Apresentar Solução (35%)"/>
    <s v=""/>
    <m/>
    <n v="80560"/>
    <n v="249008"/>
    <n v="1"/>
    <s v="Junior Lopes"/>
    <d v="2025-06-25T00:00:00"/>
    <d v="1899-12-30T10:30:51"/>
    <s v=""/>
    <s v="Perdido"/>
    <d v="2025-06-26T00:00:00"/>
    <d v="1899-12-30T10:45:55"/>
    <s v="Projeto adiado / sem prazo definido"/>
    <s v="cliente não respondeu mais aos contatos ! estou decertando e manterei contato"/>
    <s v=""/>
    <x v="86"/>
    <s v=""/>
    <x v="96"/>
    <s v=""/>
    <m/>
    <m/>
    <s v=""/>
    <s v=""/>
    <s v=""/>
    <s v=""/>
    <n v="1"/>
  </r>
  <r>
    <x v="1"/>
    <n v="463"/>
    <m/>
    <n v="2239"/>
    <s v=""/>
    <s v=""/>
    <x v="196"/>
    <n v="61630786000115"/>
    <s v=""/>
    <s v="Chiare Palete - Cloud"/>
    <s v="16993303692"/>
    <s v=""/>
    <s v=""/>
    <s v=""/>
    <s v=""/>
    <s v=""/>
    <s v="SAO CARLOS"/>
    <s v="SP"/>
    <s v=""/>
    <s v=""/>
    <s v=""/>
    <s v=""/>
    <s v="Pipeline de Vendas"/>
    <s v="Apresentar Solução (35%)"/>
    <s v=""/>
    <m/>
    <n v="1600"/>
    <n v="278556"/>
    <n v="1"/>
    <s v="Junior Lopes"/>
    <d v="2025-06-25T00:00:00"/>
    <d v="1899-12-30T10:37:01"/>
    <s v=""/>
    <s v="Perdido"/>
    <d v="2025-06-26T00:00:00"/>
    <d v="1899-12-30T10:46:25"/>
    <s v="Projeto adiado / sem prazo definido"/>
    <s v="cliente não respondeu mais aos contatos ! estou decertando e manterei contato"/>
    <s v=""/>
    <x v="86"/>
    <s v=""/>
    <x v="96"/>
    <s v=""/>
    <m/>
    <m/>
    <s v=""/>
    <s v=""/>
    <s v=""/>
    <s v=""/>
    <n v="1"/>
  </r>
  <r>
    <x v="1"/>
    <n v="466"/>
    <m/>
    <n v="2243"/>
    <s v=""/>
    <s v=""/>
    <x v="197"/>
    <m/>
    <s v=""/>
    <s v="vitoria cortinas - User AFV"/>
    <s v="3599959465"/>
    <s v=""/>
    <s v="comercial@vitoriacortninasdecoracoes.com.br"/>
    <s v=""/>
    <s v=""/>
    <s v=""/>
    <s v=""/>
    <s v=""/>
    <s v=""/>
    <s v=""/>
    <s v=""/>
    <s v=""/>
    <s v="Pipeline de Vendas"/>
    <s v="Em Fechamento (100%)"/>
    <s v=""/>
    <m/>
    <n v="0"/>
    <n v="54887"/>
    <n v="5"/>
    <s v="Junior Lopes"/>
    <d v="2025-06-25T00:00:00"/>
    <d v="1899-12-30T14:32:40"/>
    <s v=""/>
    <s v="Ganho"/>
    <d v="2025-06-30T00:00:00"/>
    <d v="1899-12-30T08:34:12"/>
    <s v=""/>
    <s v=""/>
    <s v=""/>
    <x v="87"/>
    <s v=""/>
    <x v="97"/>
    <s v=""/>
    <m/>
    <m/>
    <s v=""/>
    <s v=""/>
    <s v=""/>
    <s v=""/>
    <n v="1"/>
  </r>
  <r>
    <x v="1"/>
    <n v="467"/>
    <m/>
    <n v="2244"/>
    <s v=""/>
    <s v=""/>
    <x v="198"/>
    <m/>
    <s v=""/>
    <s v="Meio atacado - Cloud"/>
    <s v="19997556622"/>
    <s v=""/>
    <s v="camila@meioatacado.com.br"/>
    <s v=""/>
    <s v=""/>
    <s v=""/>
    <s v=""/>
    <s v=""/>
    <s v=""/>
    <s v=""/>
    <s v=""/>
    <s v=""/>
    <s v="Pipeline de Vendas"/>
    <s v="Apresentar Solução (35%)"/>
    <s v=""/>
    <m/>
    <n v="1600"/>
    <n v="309656"/>
    <n v="5"/>
    <s v="Junior Lopes"/>
    <d v="2025-06-25T00:00:00"/>
    <d v="1899-12-30T15:54:02"/>
    <s v=""/>
    <s v="Perdido"/>
    <d v="2025-06-30T00:00:00"/>
    <d v="1899-12-30T15:06:57"/>
    <s v="Projeto adiado / sem prazo definido"/>
    <s v="não responde mais aos contatos"/>
    <s v=""/>
    <x v="83"/>
    <s v=""/>
    <x v="98"/>
    <s v=""/>
    <m/>
    <m/>
    <s v=""/>
    <s v=""/>
    <s v=""/>
    <s v=""/>
    <n v="1"/>
  </r>
  <r>
    <x v="1"/>
    <n v="468"/>
    <m/>
    <n v="2245"/>
    <s v=""/>
    <s v=""/>
    <x v="199"/>
    <n v="9509581000166"/>
    <s v=""/>
    <s v="Emporio Villamarin"/>
    <s v="11999265872"/>
    <s v=""/>
    <s v="alfonso@emporiovillamarin.com.br"/>
    <s v=""/>
    <s v=""/>
    <s v=""/>
    <s v="SAO PAULO"/>
    <s v="SP"/>
    <s v=""/>
    <s v=""/>
    <s v=""/>
    <s v=""/>
    <s v="Pipeline de Vendas"/>
    <s v="Apresentar Proposta (50%)"/>
    <s v=""/>
    <m/>
    <n v="10800"/>
    <n v="450"/>
    <n v="5"/>
    <s v="Junior Lopes"/>
    <d v="2025-06-25T00:00:00"/>
    <d v="1899-12-30T16:08:55"/>
    <s v=""/>
    <s v="Perdido"/>
    <d v="2025-06-30T00:00:00"/>
    <d v="1899-12-30T15:05:29"/>
    <s v="Projeto adiado / sem prazo definido"/>
    <s v="não ira dar continuidade no momento"/>
    <s v=""/>
    <x v="88"/>
    <s v=""/>
    <x v="92"/>
    <s v=""/>
    <m/>
    <m/>
    <s v=""/>
    <s v=""/>
    <s v=""/>
    <s v=""/>
    <n v="1"/>
  </r>
  <r>
    <x v="1"/>
    <n v="469"/>
    <m/>
    <n v="2250"/>
    <s v=""/>
    <s v=""/>
    <x v="200"/>
    <m/>
    <s v=""/>
    <s v="Elmo atacado (horas exc)"/>
    <s v="47984366161"/>
    <s v=""/>
    <s v="fabio@elmoatacado.com.br"/>
    <s v=""/>
    <s v=""/>
    <s v=""/>
    <s v=""/>
    <s v=""/>
    <s v=""/>
    <s v=""/>
    <s v=""/>
    <s v=""/>
    <s v="Pipeline de Vendas"/>
    <s v="Em Fechamento (100%)"/>
    <s v=""/>
    <m/>
    <n v="607121"/>
    <n v="0"/>
    <n v="25"/>
    <s v="Junior Lopes"/>
    <d v="2025-06-26T00:00:00"/>
    <d v="1899-12-30T11:58:43"/>
    <s v=""/>
    <s v="Ganho"/>
    <d v="2025-07-21T00:00:00"/>
    <d v="1899-12-30T09:16:58"/>
    <s v=""/>
    <s v=""/>
    <s v=""/>
    <x v="89"/>
    <s v=""/>
    <x v="99"/>
    <s v=""/>
    <m/>
    <m/>
    <s v=""/>
    <s v=""/>
    <s v=""/>
    <s v=""/>
    <n v="1"/>
  </r>
  <r>
    <x v="1"/>
    <n v="470"/>
    <m/>
    <n v="2272"/>
    <s v=""/>
    <s v=""/>
    <x v="201"/>
    <n v="912882000161"/>
    <s v=""/>
    <s v="Grupo K1"/>
    <s v="51980225006"/>
    <s v=""/>
    <s v="angela@kappersberg.com.br"/>
    <s v=""/>
    <s v=""/>
    <s v=""/>
    <s v="TUPANDI"/>
    <s v="RS"/>
    <s v=""/>
    <s v=""/>
    <s v=""/>
    <s v="30%"/>
    <s v="Pipeline de Vendas"/>
    <s v="Em negociação (75%)"/>
    <s v=""/>
    <m/>
    <n v="16960"/>
    <n v="14034"/>
    <n v="84"/>
    <s v="Junior Lopes"/>
    <d v="2025-06-30T00:00:00"/>
    <d v="1899-12-30T11:52:50"/>
    <s v=""/>
    <s v="Perdido"/>
    <d v="2025-09-22T00:00:00"/>
    <d v="1899-12-30T11:28:00"/>
    <s v="Projeto adiado / sem prazo definido"/>
    <s v="em contato com Ângela, nao esta descartado porem não seguirá nesse momento"/>
    <s v=""/>
    <x v="90"/>
    <s v=""/>
    <x v="100"/>
    <s v=""/>
    <m/>
    <m/>
    <s v=""/>
    <s v=""/>
    <s v=""/>
    <s v=""/>
    <n v="1"/>
  </r>
  <r>
    <x v="2"/>
    <n v="475"/>
    <m/>
    <n v="2299"/>
    <s v=""/>
    <s v=""/>
    <x v="202"/>
    <n v="3436772000169"/>
    <s v=""/>
    <s v="Julia Soares"/>
    <s v="11983386298"/>
    <s v=""/>
    <s v="vendas@trilharty.com.br"/>
    <s v=""/>
    <s v=""/>
    <s v=""/>
    <s v="SAO PAULO"/>
    <s v="SP"/>
    <s v=""/>
    <s v=""/>
    <s v=""/>
    <s v=""/>
    <s v="Pipeline de Vendas"/>
    <s v="Apresentar Proposta (50%)"/>
    <s v=""/>
    <m/>
    <m/>
    <m/>
    <n v="60"/>
    <s v="Rayssa Karapeticov"/>
    <d v="2025-07-04T00:00:00"/>
    <d v="1899-12-30T09:23:22"/>
    <s v=""/>
    <s v="Perdido"/>
    <d v="2025-09-02T00:00:00"/>
    <d v="1899-12-30T09:58:39"/>
    <s v="Projeto adiado / sem prazo definido"/>
    <s v=""/>
    <s v=""/>
    <x v="91"/>
    <s v=""/>
    <x v="101"/>
    <s v=""/>
    <m/>
    <m/>
    <s v=""/>
    <s v=""/>
    <s v=""/>
    <s v=""/>
    <n v="1"/>
  </r>
  <r>
    <x v="1"/>
    <n v="485"/>
    <m/>
    <n v="2341"/>
    <s v=""/>
    <s v=""/>
    <x v="203"/>
    <n v="20750928000109"/>
    <s v=""/>
    <s v="Tiago eletrodomésticos"/>
    <s v="(48) 9960-6091"/>
    <s v=""/>
    <s v="financeiro@saeletronicos.com.br"/>
    <s v=""/>
    <s v=""/>
    <s v=""/>
    <s v="ICARA"/>
    <s v="SC"/>
    <s v=""/>
    <s v=""/>
    <s v=""/>
    <s v="50%"/>
    <s v="Pipeline de Vendas"/>
    <s v="Em Fechamento (100%)"/>
    <s v=""/>
    <m/>
    <n v="6429976"/>
    <n v="399322"/>
    <n v="73"/>
    <s v="Junior Lopes"/>
    <d v="2025-07-14T00:00:00"/>
    <d v="1899-12-30T10:10:19"/>
    <s v=""/>
    <s v="Ganho"/>
    <d v="2025-09-25T00:00:00"/>
    <d v="1899-12-30T15:08:43"/>
    <s v=""/>
    <s v=""/>
    <s v=""/>
    <x v="92"/>
    <s v=""/>
    <x v="102"/>
    <s v=""/>
    <m/>
    <m/>
    <s v=""/>
    <s v=""/>
    <s v=""/>
    <s v=""/>
    <n v="1"/>
  </r>
  <r>
    <x v="1"/>
    <n v="486"/>
    <m/>
    <n v="2343"/>
    <s v=""/>
    <s v=""/>
    <x v="204"/>
    <n v="20750928000109"/>
    <s v=""/>
    <s v="Tiago eleytonicos"/>
    <s v="(48) 9960-6091"/>
    <s v=""/>
    <s v="financeiro@saeletronicos.com.br"/>
    <s v=""/>
    <s v=""/>
    <s v=""/>
    <s v="ICARA"/>
    <s v="SC"/>
    <s v=""/>
    <s v=""/>
    <s v=""/>
    <s v=""/>
    <s v="Pipeline de Vendas"/>
    <s v="Em Fechamento (100%)"/>
    <s v=""/>
    <m/>
    <n v="1600"/>
    <n v="2325"/>
    <n v="73"/>
    <s v="Junior Lopes"/>
    <d v="2025-07-14T00:00:00"/>
    <d v="1899-12-30T10:59:03"/>
    <s v=""/>
    <s v="Perdido"/>
    <d v="2025-09-25T00:00:00"/>
    <d v="1899-12-30T14:59:17"/>
    <s v="Não quer mudar a solução atual"/>
    <s v="cliente decidiu manter o servidor local"/>
    <s v=""/>
    <x v="92"/>
    <s v=""/>
    <x v="102"/>
    <s v=""/>
    <m/>
    <m/>
    <s v=""/>
    <s v=""/>
    <s v=""/>
    <s v=""/>
    <n v="1"/>
  </r>
  <r>
    <x v="1"/>
    <n v="487"/>
    <m/>
    <n v="2345"/>
    <s v=""/>
    <s v=""/>
    <x v="205"/>
    <m/>
    <s v=""/>
    <s v="Star distribuidora - Expede"/>
    <s v="17997793113"/>
    <s v=""/>
    <s v="comercial@distribuidorastar.com.br"/>
    <s v=""/>
    <s v=""/>
    <s v=""/>
    <s v=""/>
    <s v=""/>
    <s v=""/>
    <s v=""/>
    <s v=""/>
    <s v=""/>
    <s v="Pipeline de Vendas"/>
    <s v="Em Fechamento (100%)"/>
    <s v=""/>
    <m/>
    <n v="0"/>
    <n v="14256"/>
    <n v="7"/>
    <s v="Junior Lopes"/>
    <d v="2025-07-14T00:00:00"/>
    <d v="1899-12-30T14:38:51"/>
    <s v=""/>
    <s v="Ganho"/>
    <d v="2025-07-21T00:00:00"/>
    <d v="1899-12-30T09:23:38"/>
    <s v=""/>
    <s v=""/>
    <s v=""/>
    <x v="93"/>
    <s v=""/>
    <x v="103"/>
    <s v=""/>
    <m/>
    <m/>
    <s v=""/>
    <s v=""/>
    <s v=""/>
    <s v=""/>
    <n v="1"/>
  </r>
  <r>
    <x v="1"/>
    <n v="488"/>
    <m/>
    <n v="2346"/>
    <s v="O projeto B2B já está fechado, porém a continuidade dependerá da finalização da carga de dados na implantação do ERP. Assim que essa etapa for concluída, Junior Lopes deve retomar o contato com o cliente, verificar pendências e alinhar os próximos passos com data definida."/>
    <s v=""/>
    <x v="206"/>
    <n v="20750928000109"/>
    <s v=""/>
    <s v="Tiago eletrônicos - B2B"/>
    <s v="4899606091"/>
    <s v=""/>
    <s v="financeiro@saeletronicos.com.br"/>
    <s v=""/>
    <s v=""/>
    <s v=""/>
    <s v=""/>
    <s v=""/>
    <s v=""/>
    <s v=""/>
    <s v=""/>
    <s v="90%"/>
    <s v="Pipeline de Vendas"/>
    <s v="Em Fechamento (100%)"/>
    <s v=""/>
    <d v="2026-02-02T00:00:00"/>
    <n v="26200"/>
    <n v="3400"/>
    <n v="206"/>
    <s v="Junior Lopes"/>
    <d v="2025-07-15T00:00:00"/>
    <d v="1899-12-30T17:26:45"/>
    <s v=""/>
    <s v="Ganho"/>
    <d v="2026-02-06T00:00:00"/>
    <d v="1899-12-30T12:10:05"/>
    <s v=""/>
    <s v=""/>
    <s v=""/>
    <x v="92"/>
    <s v="Junior Lopes"/>
    <x v="102"/>
    <s v=""/>
    <d v="2025-12-10T00:00:00"/>
    <m/>
    <s v=""/>
    <s v=""/>
    <s v=""/>
    <s v=""/>
    <n v="1"/>
  </r>
  <r>
    <x v="1"/>
    <n v="493"/>
    <m/>
    <n v="2352"/>
    <s v=""/>
    <s v=""/>
    <x v="207"/>
    <n v="39750889000160"/>
    <s v=""/>
    <s v="MDL Comércio importação (ERP+AFV"/>
    <s v="(11) 91069-5515"/>
    <s v=""/>
    <s v="janaina@mdlimport.com.br"/>
    <s v=""/>
    <s v=""/>
    <s v=""/>
    <s v="SAO CAETANO DO SUL"/>
    <s v="SP"/>
    <s v=""/>
    <s v=""/>
    <s v=""/>
    <s v=""/>
    <s v="Pipeline de Vendas"/>
    <s v="Em Fechamento (100%)"/>
    <s v="10x sem juros (0/30/60/90/120/150...)"/>
    <m/>
    <n v="4327344"/>
    <n v="37442"/>
    <n v="42"/>
    <s v="Junior Lopes"/>
    <d v="2025-07-17T00:00:00"/>
    <d v="1899-12-30T14:23:39"/>
    <s v=""/>
    <s v="Ganho"/>
    <d v="2025-08-28T00:00:00"/>
    <d v="1899-12-30T15:08:55"/>
    <s v=""/>
    <s v=""/>
    <s v=""/>
    <x v="94"/>
    <s v=""/>
    <x v="104"/>
    <s v=""/>
    <m/>
    <m/>
    <s v=""/>
    <s v=""/>
    <s v=""/>
    <s v=""/>
    <n v="1"/>
  </r>
  <r>
    <x v="1"/>
    <n v="494"/>
    <m/>
    <n v="2354"/>
    <s v=""/>
    <s v=""/>
    <x v="208"/>
    <m/>
    <s v=""/>
    <s v="MDL comércio de importação (Int.WMS)"/>
    <s v="11910695515"/>
    <s v=""/>
    <s v="janaina@mdlimport.com.br"/>
    <s v=""/>
    <s v=""/>
    <s v=""/>
    <s v=""/>
    <s v=""/>
    <s v=""/>
    <s v=""/>
    <s v=""/>
    <s v=""/>
    <s v="Pipeline de Vendas"/>
    <s v="Em Fechamento (100%)"/>
    <s v="10x sem juros (0/30/60/90/120/150...)"/>
    <m/>
    <n v="1167696"/>
    <n v="0"/>
    <n v="42"/>
    <s v="Junior Lopes"/>
    <d v="2025-07-17T00:00:00"/>
    <d v="1899-12-30T14:38:09"/>
    <s v=""/>
    <s v="Ganho"/>
    <d v="2025-08-28T00:00:00"/>
    <d v="1899-12-30T15:11:27"/>
    <s v=""/>
    <s v=""/>
    <s v=""/>
    <x v="94"/>
    <s v=""/>
    <x v="104"/>
    <s v=""/>
    <m/>
    <m/>
    <s v=""/>
    <s v=""/>
    <s v=""/>
    <s v=""/>
    <n v="1"/>
  </r>
  <r>
    <x v="1"/>
    <n v="495"/>
    <m/>
    <n v="2356"/>
    <s v=""/>
    <s v=""/>
    <x v="209"/>
    <m/>
    <s v=""/>
    <s v="Germer porcenalas"/>
    <s v="41984816685"/>
    <s v=""/>
    <s v="ti@germerporcelanas.com.br"/>
    <s v=""/>
    <s v=""/>
    <s v=""/>
    <s v=""/>
    <s v=""/>
    <s v=""/>
    <s v=""/>
    <s v=""/>
    <s v="30%"/>
    <s v="Pipeline de Vendas"/>
    <s v="Em negociação (75%)"/>
    <s v=""/>
    <m/>
    <n v="16960"/>
    <n v="10748"/>
    <n v="67"/>
    <s v="Junior Lopes"/>
    <d v="2025-07-17T00:00:00"/>
    <d v="1899-12-30T16:01:44"/>
    <s v=""/>
    <s v="Perdido"/>
    <d v="2025-09-22T00:00:00"/>
    <d v="1899-12-30T11:35:25"/>
    <s v="Não quer mudar a solução atual"/>
    <s v="em contato com Claudinei projeto está estagnado"/>
    <s v=""/>
    <x v="93"/>
    <s v=""/>
    <x v="103"/>
    <s v="10/07/2025"/>
    <m/>
    <m/>
    <s v=""/>
    <s v=""/>
    <s v=""/>
    <s v=""/>
    <n v="1"/>
  </r>
  <r>
    <x v="1"/>
    <n v="496"/>
    <m/>
    <n v="2361"/>
    <s v="O próximo passo é Junior Lopes alinhar com o cliente o objetivo final da oportunidade, considerando que o cliente ainda está negociando o desenvolvimento da integração técnica que o ERP deles precisa construir. Somente após essa definição e após os ajustes técnicos com a Marília será possível retomar as conversas em janeiro de 2026 e avançar para o fechamento, previsto para 31/01/2026."/>
    <s v="Editora Dcl - Difusao Cultural Do Livro Ltda"/>
    <x v="210"/>
    <n v="60444098000521"/>
    <s v=""/>
    <s v="Editora Dcl - Difusao Cultural Do Livro Ltda"/>
    <s v="(11) 3932-5222"/>
    <s v=""/>
    <s v="welington@editoradcl.com.br"/>
    <s v=""/>
    <s v=""/>
    <s v=""/>
    <s v="ITUPEVA"/>
    <s v="SP"/>
    <s v="Base de empresas Leads2b"/>
    <s v=""/>
    <s v=""/>
    <s v="80%"/>
    <s v="Pipeline de Vendas"/>
    <s v="Em Fechamento (100%)"/>
    <s v="4x sem juros (0/30/60/90)"/>
    <d v="2026-01-30T00:00:00"/>
    <n v="16960"/>
    <n v="37395"/>
    <n v="166"/>
    <s v="Junior Lopes"/>
    <d v="2025-07-23T00:00:00"/>
    <d v="1899-12-30T11:53:55"/>
    <s v=""/>
    <s v="Ganho"/>
    <d v="2026-01-05T00:00:00"/>
    <d v="1899-12-30T14:50:49"/>
    <s v=""/>
    <s v=""/>
    <s v=""/>
    <x v="93"/>
    <s v="Junior Lopes"/>
    <x v="105"/>
    <s v="11/07/2025"/>
    <d v="2025-12-12T00:00:00"/>
    <m/>
    <s v=""/>
    <s v=""/>
    <s v=""/>
    <s v=""/>
    <n v="1"/>
  </r>
  <r>
    <x v="1"/>
    <n v="497"/>
    <m/>
    <n v="2363"/>
    <s v=""/>
    <s v="Associacao Medianeira Fuzipar"/>
    <x v="211"/>
    <n v="8306975000154"/>
    <s v=""/>
    <s v="Associacao Medianeira Fuzipar"/>
    <s v="(54) 3321-5456"/>
    <s v=""/>
    <s v=""/>
    <s v=""/>
    <s v=""/>
    <s v=""/>
    <s v="ERECHIM"/>
    <s v="RS"/>
    <s v="Base de empresas Leads2b"/>
    <s v=""/>
    <s v=""/>
    <s v=""/>
    <s v="Pipeline de Vendas"/>
    <s v="Em Fechamento (100%)"/>
    <s v=""/>
    <m/>
    <n v="16960"/>
    <n v="2455"/>
    <n v="64"/>
    <s v="Junior Lopes"/>
    <d v="2025-07-23T00:00:00"/>
    <d v="1899-12-30T12:05:00"/>
    <s v=""/>
    <s v="Ganho"/>
    <d v="2025-09-25T00:00:00"/>
    <d v="1899-12-30T14:58:22"/>
    <s v=""/>
    <s v=""/>
    <s v=""/>
    <x v="95"/>
    <s v=""/>
    <x v="105"/>
    <s v="18/08/2025"/>
    <m/>
    <m/>
    <s v=""/>
    <s v=""/>
    <s v=""/>
    <s v=""/>
    <n v="1"/>
  </r>
  <r>
    <x v="1"/>
    <n v="503"/>
    <m/>
    <n v="2433"/>
    <s v=""/>
    <s v=""/>
    <x v="212"/>
    <n v="46083438000181"/>
    <s v=""/>
    <s v="Adelmo Jeronimo"/>
    <s v="(81) 99252-2279"/>
    <s v=""/>
    <s v="adelmoo.jeronimo@gmail.com"/>
    <s v=""/>
    <s v=""/>
    <s v=""/>
    <s v=""/>
    <s v=""/>
    <s v="Base de empresas Leads2b"/>
    <s v=""/>
    <s v=""/>
    <s v=""/>
    <s v="Pipeline de Vendas"/>
    <s v="Apresentar Solução (35%)"/>
    <s v=""/>
    <m/>
    <n v="16960"/>
    <n v="998"/>
    <n v="29"/>
    <s v="Junior Lopes"/>
    <d v="2025-07-30T00:00:00"/>
    <d v="1899-12-30T11:50:21"/>
    <s v=""/>
    <s v="Perdido"/>
    <d v="2025-08-28T00:00:00"/>
    <d v="1899-12-30T16:43:54"/>
    <s v="Projeto adiado / sem prazo definido"/>
    <s v="após vários contatos não obtivemos retorno"/>
    <s v=""/>
    <x v="96"/>
    <s v=""/>
    <x v="106"/>
    <s v=""/>
    <m/>
    <m/>
    <s v=""/>
    <s v=""/>
    <s v=""/>
    <s v=""/>
    <n v="1"/>
  </r>
  <r>
    <x v="1"/>
    <n v="504"/>
    <m/>
    <n v="2434"/>
    <s v=""/>
    <s v=""/>
    <x v="213"/>
    <n v="8306975000154"/>
    <s v=""/>
    <s v="Fuzipar (ERP)"/>
    <s v="5499823395"/>
    <s v=""/>
    <s v=""/>
    <s v=""/>
    <s v=""/>
    <s v=""/>
    <s v="ERECHIM"/>
    <s v="RS"/>
    <s v=""/>
    <s v=""/>
    <s v=""/>
    <s v="50%"/>
    <s v="Pipeline de Vendas"/>
    <s v="Em negociação (75%)"/>
    <s v=""/>
    <m/>
    <n v="87344"/>
    <n v="514788"/>
    <n v="41"/>
    <s v="Junior Lopes"/>
    <d v="2025-07-30T00:00:00"/>
    <d v="1899-12-30T15:13:04"/>
    <s v=""/>
    <s v="Perdido"/>
    <d v="2025-09-09T00:00:00"/>
    <d v="1899-12-30T15:35:44"/>
    <s v="Não quer mudar a solução atual"/>
    <s v="cliente vai seguir somente com força de vendas"/>
    <s v=""/>
    <x v="97"/>
    <s v=""/>
    <x v="0"/>
    <s v=""/>
    <m/>
    <m/>
    <s v=""/>
    <s v=""/>
    <s v=""/>
    <s v=""/>
    <n v="1"/>
  </r>
  <r>
    <x v="1"/>
    <n v="505"/>
    <m/>
    <n v="2436"/>
    <s v=""/>
    <s v=""/>
    <x v="214"/>
    <n v="8306975000154"/>
    <s v=""/>
    <s v="Fuzipar (Cloud)"/>
    <s v="5499823395"/>
    <s v=""/>
    <s v=""/>
    <s v=""/>
    <s v=""/>
    <s v=""/>
    <s v="ERECHIM"/>
    <s v="RS"/>
    <s v=""/>
    <s v=""/>
    <s v=""/>
    <s v=""/>
    <s v="Pipeline de Vendas"/>
    <s v="Apresentar Solução (35%)"/>
    <s v=""/>
    <m/>
    <n v="1600"/>
    <n v="334556"/>
    <n v="30"/>
    <s v="Junior Lopes"/>
    <d v="2025-07-30T00:00:00"/>
    <d v="1899-12-30T16:07:10"/>
    <s v=""/>
    <s v="Perdido"/>
    <d v="2025-08-29T00:00:00"/>
    <d v="1899-12-30T15:49:29"/>
    <s v="Não quer mudar a solução atual"/>
    <s v="vai seguir somente com força de vendas"/>
    <s v=""/>
    <x v="96"/>
    <s v=""/>
    <x v="0"/>
    <s v=""/>
    <m/>
    <m/>
    <s v=""/>
    <s v=""/>
    <s v=""/>
    <s v=""/>
    <n v="1"/>
  </r>
  <r>
    <x v="1"/>
    <n v="506"/>
    <m/>
    <n v="2439"/>
    <s v=""/>
    <s v=""/>
    <x v="215"/>
    <n v="30924882000142"/>
    <s v=""/>
    <s v="PEDRO DE ROZENDO PACO DA SILVEIRA"/>
    <s v=""/>
    <s v=""/>
    <s v="pedro@grupoecoa.com.br"/>
    <s v=""/>
    <s v=""/>
    <s v=""/>
    <s v=""/>
    <s v=""/>
    <s v="Base de empresas Leads2b"/>
    <s v=""/>
    <s v=""/>
    <s v="90%"/>
    <s v="Pipeline de Vendas"/>
    <s v="Em Fechamento (100%)"/>
    <s v=""/>
    <m/>
    <n v="72240"/>
    <n v="2167539"/>
    <n v="56"/>
    <s v="Junior Lopes"/>
    <d v="2025-07-30T00:00:00"/>
    <d v="1899-12-30T16:26:43"/>
    <s v=""/>
    <s v="Perdido"/>
    <d v="2025-09-24T00:00:00"/>
    <d v="1899-12-30T09:34:51"/>
    <s v="Não quer mudar a solução atual"/>
    <s v="Pedro não responde mais aos contatos"/>
    <s v=""/>
    <x v="96"/>
    <s v=""/>
    <x v="0"/>
    <s v=""/>
    <m/>
    <m/>
    <s v=""/>
    <s v=""/>
    <s v=""/>
    <s v=""/>
    <n v="1"/>
  </r>
  <r>
    <x v="1"/>
    <n v="507"/>
    <m/>
    <n v="2440"/>
    <s v=""/>
    <s v=""/>
    <x v="216"/>
    <n v="30924882000142"/>
    <s v=""/>
    <s v="Grupo Ecoa"/>
    <s v="11987154112"/>
    <s v=""/>
    <s v="pedro@grupoecoa.com"/>
    <s v=""/>
    <s v=""/>
    <s v=""/>
    <s v="DUQUE DE CAXIAS"/>
    <s v="RJ"/>
    <s v=""/>
    <s v=""/>
    <s v=""/>
    <s v="80%"/>
    <s v="Pipeline de Vendas"/>
    <s v="Em Fechamento (100%)"/>
    <s v=""/>
    <m/>
    <n v="1620001"/>
    <n v="2900"/>
    <n v="56"/>
    <s v="Junior Lopes"/>
    <d v="2025-07-30T00:00:00"/>
    <d v="1899-12-30T17:20:05"/>
    <s v=""/>
    <s v="Perdido"/>
    <d v="2025-09-24T00:00:00"/>
    <d v="1899-12-30T09:17:39"/>
    <s v="Não quer mudar a solução atual"/>
    <s v="Pedro não responde mais os contatos"/>
    <s v=""/>
    <x v="96"/>
    <s v=""/>
    <x v="0"/>
    <s v=""/>
    <m/>
    <m/>
    <s v=""/>
    <s v=""/>
    <s v=""/>
    <s v=""/>
    <n v="1"/>
  </r>
  <r>
    <x v="1"/>
    <n v="508"/>
    <m/>
    <n v="2442"/>
    <s v=""/>
    <s v=""/>
    <x v="217"/>
    <m/>
    <s v=""/>
    <s v="Vitoria cortinas"/>
    <s v="35993445286"/>
    <s v=""/>
    <s v="compras@vitoriacortinasdecoracoes.com.br"/>
    <s v=""/>
    <s v=""/>
    <s v=""/>
    <s v=""/>
    <s v=""/>
    <s v=""/>
    <s v=""/>
    <s v=""/>
    <s v=""/>
    <s v="Pipeline de Vendas"/>
    <s v="Em Fechamento (100%)"/>
    <s v=""/>
    <m/>
    <n v="62169"/>
    <n v="0"/>
    <n v="53"/>
    <s v="Junior Lopes"/>
    <d v="2025-07-31T00:00:00"/>
    <d v="1899-12-30T09:07:55"/>
    <s v=""/>
    <s v="Ganho"/>
    <d v="2025-09-22T00:00:00"/>
    <d v="1899-12-30T10:43:58"/>
    <s v=""/>
    <s v=""/>
    <s v=""/>
    <x v="98"/>
    <s v=""/>
    <x v="107"/>
    <s v=""/>
    <m/>
    <m/>
    <s v=""/>
    <s v=""/>
    <s v=""/>
    <s v=""/>
    <n v="1"/>
  </r>
  <r>
    <x v="1"/>
    <n v="509"/>
    <m/>
    <n v="2443"/>
    <s v=""/>
    <s v="Maxsoy Alimentos Ltda"/>
    <x v="218"/>
    <n v="6346005000157"/>
    <s v=""/>
    <s v="Maxsoy Alimentos Ltda"/>
    <s v="(19) 3809-5454"/>
    <s v=""/>
    <s v="vendas@maxsoy.com.br"/>
    <s v=""/>
    <s v=""/>
    <s v=""/>
    <s v="HORTOLANDIA"/>
    <s v="SP"/>
    <s v="Base de empresas Leads2b"/>
    <s v=""/>
    <s v=""/>
    <s v=""/>
    <s v="Pipeline de Vendas"/>
    <s v="Apresentar Solução (35%)"/>
    <s v=""/>
    <m/>
    <n v="16960"/>
    <n v="67275"/>
    <n v="28"/>
    <s v="Junior Lopes"/>
    <d v="2025-07-31T00:00:00"/>
    <d v="1899-12-30T11:57:17"/>
    <s v=""/>
    <s v="Perdido"/>
    <d v="2025-08-28T00:00:00"/>
    <d v="1899-12-30T16:25:26"/>
    <s v="Preço muito alto - fora do budget de investimento"/>
    <s v="cliente não quer dar sequencia no momento por conta do valor"/>
    <s v=""/>
    <x v="99"/>
    <s v=""/>
    <x v="108"/>
    <s v="01/08/2025"/>
    <m/>
    <m/>
    <s v=""/>
    <s v=""/>
    <s v=""/>
    <s v=""/>
    <n v="1"/>
  </r>
  <r>
    <x v="1"/>
    <n v="510"/>
    <m/>
    <n v="2446"/>
    <s v=""/>
    <s v="Brinquemix Industria E Comercio Ltda"/>
    <x v="219"/>
    <n v="60315995000101"/>
    <s v=""/>
    <s v="Brinquemix Industria E Comercio Ltda"/>
    <s v="(11) 4116-5272"/>
    <s v=""/>
    <s v="fiscal@codepcontabilidade.com.br"/>
    <s v=""/>
    <s v=""/>
    <s v=""/>
    <s v="ITAQUAQUECETUBA"/>
    <s v="SP"/>
    <s v="Base de empresas Leads2b"/>
    <s v=""/>
    <s v=""/>
    <s v=""/>
    <s v="Pipeline de Vendas"/>
    <s v="Apresentar Solução (35%)"/>
    <s v=""/>
    <m/>
    <n v="94976"/>
    <n v="566152"/>
    <n v="29"/>
    <s v="Junior Lopes"/>
    <d v="2025-07-31T00:00:00"/>
    <d v="1899-12-30T17:09:31"/>
    <s v=""/>
    <s v="Perdido"/>
    <d v="2025-08-29T00:00:00"/>
    <d v="1899-12-30T11:05:45"/>
    <s v="Projeto adiado / sem prazo definido"/>
    <s v="16:26, 28/8/2025 Junior Lopes: Olá Simone, boa tarde_x000a_17:06, 28/8/2025 Simone Brinquemix : Olá Dra_x000a_17:06, 28/8/2025 Simone Brinquemix : Olá_x000a_11:03, 29/8/2025 Junior Lopes: Olá Simone ! Como não tive retorno de sua parte, vou encerrar este atendimento! _x000a_Caso mude de ideia ou precise de algo no futuro pode me chamar por aqui _x000a_Estimo sucesso para vocês 🤝"/>
    <s v=""/>
    <x v="100"/>
    <s v=""/>
    <x v="109"/>
    <s v="05/08/2025"/>
    <m/>
    <m/>
    <s v=""/>
    <s v=""/>
    <s v=""/>
    <s v=""/>
    <n v="1"/>
  </r>
  <r>
    <x v="0"/>
    <n v="516"/>
    <m/>
    <n v="2454"/>
    <s v=""/>
    <s v=""/>
    <x v="220"/>
    <n v="72677693000162"/>
    <s v=""/>
    <s v="Milene Fonseca"/>
    <s v="(11) 2431-1432"/>
    <s v=""/>
    <s v="compras@tapetesoasis.com.br"/>
    <s v=""/>
    <s v=""/>
    <s v=""/>
    <s v="Campinas"/>
    <s v=""/>
    <s v="Site"/>
    <s v=""/>
    <s v=""/>
    <s v="Solicita demo"/>
    <s v="Pipeline de Vendas"/>
    <s v="Em negociação (75%)"/>
    <s v=""/>
    <m/>
    <m/>
    <m/>
    <n v="53"/>
    <s v="Paulo Souza"/>
    <d v="2025-08-07T00:00:00"/>
    <d v="1899-12-30T12:08:11"/>
    <s v=""/>
    <s v="Perdido"/>
    <d v="2025-09-29T00:00:00"/>
    <d v="1899-12-30T16:35:41"/>
    <s v="Projeto adiado / sem prazo definido"/>
    <s v=""/>
    <s v=""/>
    <x v="0"/>
    <s v="Paulo Souza"/>
    <x v="110"/>
    <s v=""/>
    <m/>
    <m/>
    <s v=""/>
    <s v=""/>
    <s v=""/>
    <s v=""/>
    <n v="1"/>
  </r>
  <r>
    <x v="0"/>
    <n v="517"/>
    <m/>
    <n v="2453"/>
    <s v=""/>
    <s v=""/>
    <x v="221"/>
    <n v="38470026000176"/>
    <s v=""/>
    <s v="Matheus Ambrosi"/>
    <s v="(51) 99658-9275"/>
    <s v=""/>
    <s v="matheus.ambrosi@sanremo.com.br"/>
    <s v=""/>
    <s v=""/>
    <s v=""/>
    <s v="São Paulo"/>
    <s v=""/>
    <s v="Site"/>
    <s v=""/>
    <s v=""/>
    <s v=""/>
    <s v="Pipeline de Vendas"/>
    <s v="Qualificação de Vendas (SQL) (25%)"/>
    <s v=""/>
    <m/>
    <m/>
    <m/>
    <n v="53"/>
    <s v="Paulo Souza"/>
    <d v="2025-08-07T00:00:00"/>
    <d v="1899-12-30T12:08:57"/>
    <s v=""/>
    <s v="Perdido"/>
    <d v="2025-09-29T00:00:00"/>
    <d v="1899-12-30T16:37:57"/>
    <s v="Projeto adiado / sem prazo definido"/>
    <s v=""/>
    <s v=""/>
    <x v="0"/>
    <s v="Paulo Souza"/>
    <x v="0"/>
    <s v=""/>
    <m/>
    <m/>
    <s v=""/>
    <s v=""/>
    <s v=""/>
    <s v=""/>
    <n v="1"/>
  </r>
  <r>
    <x v="0"/>
    <n v="518"/>
    <m/>
    <n v="2456"/>
    <s v="Falei hoje com o Gomes consultor Totvs da empresa Oyshi e o mesmo que agendar uma reunião técnica de alinhamento para integrar o AFV com Protheus._x000a_19-01; Após nossa reunião na sexta-feira para alinhar sobre a integração, o Gomes ficou de providências uma agenda com o Rodrigo para fechar a negociação._x000a_22/01 - Cobrei novamente o Evandro para ele me posicionar se conseguiu falar com o Rodrigo para avançar com o contrato e fechamento e assim dar sequencias no projeto. Ele falou que estava envolvido em tarefas adicionais e isso atrasou a conversa que vai ocorrer na próxima semana._x000a_26/02 Fiz FUP com o Evandro hoje perguntando uma posição, no aguardo. Já falei com a Isabella diretor comercial, e até agora nada de retorno._x000a_12/03 Fiz FUP com o Evandro e ele falou que a decisão para seguir ou não vai ser tomada na próxima sexta-feira 13/03._x000a_23/03 Falei com a Isabella a mesma me avisou que semana que vem vai"/>
    <s v=""/>
    <x v="222"/>
    <n v="30340720000167"/>
    <s v=""/>
    <s v="Rodrigo"/>
    <s v="4491813443"/>
    <s v=""/>
    <s v="rodrigo.fongari@oyshi.com.br"/>
    <s v=""/>
    <s v=""/>
    <s v=""/>
    <s v=""/>
    <s v=""/>
    <s v="Outbound"/>
    <s v=""/>
    <s v=""/>
    <s v="80%"/>
    <s v="Pipeline de Vendas"/>
    <s v="Em Fechamento (100%)"/>
    <s v=""/>
    <d v="2026-03-31T00:00:00"/>
    <n v="27340"/>
    <n v="32992"/>
    <n v="246"/>
    <s v="Paulo Souza"/>
    <d v="2025-08-07T00:00:00"/>
    <d v="1899-12-30T13:57:39"/>
    <s v=""/>
    <s v="Perdido"/>
    <d v="2026-04-10T00:00:00"/>
    <d v="1899-12-30T16:56:59"/>
    <s v="Projeto adiado / sem prazo definido"/>
    <s v=""/>
    <s v=""/>
    <x v="101"/>
    <s v="Paulo Souza"/>
    <x v="111"/>
    <s v=""/>
    <d v="2026-04-10T00:00:00"/>
    <n v="90"/>
    <s v="80"/>
    <s v="AFV, BI"/>
    <s v="R$ 16.000"/>
    <s v="R$ 1.558"/>
    <n v="1"/>
  </r>
  <r>
    <x v="0"/>
    <n v="519"/>
    <m/>
    <n v="2457"/>
    <s v=""/>
    <s v=""/>
    <x v="223"/>
    <m/>
    <s v=""/>
    <s v="Fernanda"/>
    <s v="11997633759"/>
    <s v=""/>
    <s v="fernanda@jlkplasticos.com"/>
    <s v=""/>
    <s v=""/>
    <s v=""/>
    <s v=""/>
    <s v=""/>
    <s v=""/>
    <s v=""/>
    <s v=""/>
    <s v=""/>
    <s v="Pipeline de Vendas"/>
    <s v="Em negociação (75%)"/>
    <s v=""/>
    <m/>
    <m/>
    <m/>
    <n v="34"/>
    <s v="Paulo Souza"/>
    <d v="2025-08-07T00:00:00"/>
    <d v="1899-12-30T14:05:56"/>
    <s v=""/>
    <s v="Perdido"/>
    <d v="2025-09-10T00:00:00"/>
    <d v="1899-12-30T16:14:07"/>
    <s v="Preço muito alto - fora do budget de investimento"/>
    <s v=""/>
    <s v=""/>
    <x v="99"/>
    <s v="Paulo Souza"/>
    <x v="110"/>
    <s v=""/>
    <m/>
    <m/>
    <s v=""/>
    <s v=""/>
    <s v=""/>
    <s v=""/>
    <n v="1"/>
  </r>
  <r>
    <x v="0"/>
    <n v="521"/>
    <m/>
    <n v="2459"/>
    <s v=""/>
    <s v=""/>
    <x v="224"/>
    <n v="7380599000428"/>
    <s v=""/>
    <s v="Raymond"/>
    <s v="11982685555"/>
    <s v=""/>
    <s v="raymond@deltaimport.com.br"/>
    <s v=""/>
    <s v=""/>
    <s v=""/>
    <s v=""/>
    <s v=""/>
    <s v=""/>
    <s v=""/>
    <s v=""/>
    <s v=""/>
    <s v="Pipeline de Vendas"/>
    <s v="Em Fechamento (100%)"/>
    <s v=""/>
    <m/>
    <n v="55500"/>
    <n v="53662"/>
    <n v="17"/>
    <s v="Paulo Souza"/>
    <d v="2025-08-08T00:00:00"/>
    <d v="1899-12-30T11:45:56"/>
    <s v=""/>
    <s v="Ganho"/>
    <d v="2025-08-25T00:00:00"/>
    <d v="1899-12-30T14:26:43"/>
    <s v=""/>
    <s v=""/>
    <s v=""/>
    <x v="102"/>
    <s v="Paulo Souza"/>
    <x v="112"/>
    <s v=""/>
    <m/>
    <m/>
    <s v=""/>
    <s v=""/>
    <s v=""/>
    <s v=""/>
    <n v="1"/>
  </r>
  <r>
    <x v="2"/>
    <n v="531"/>
    <m/>
    <n v="2475"/>
    <s v=""/>
    <s v=""/>
    <x v="225"/>
    <n v="19733550000148"/>
    <s v=""/>
    <s v="Naiara"/>
    <s v="(19) 3496-7474 / (19) 3885-1725"/>
    <s v=""/>
    <s v="renatapalace@impal.ind.br"/>
    <s v=""/>
    <s v=""/>
    <s v=""/>
    <s v="RAFARD"/>
    <s v="SP"/>
    <s v=""/>
    <s v=""/>
    <s v=""/>
    <s v=""/>
    <s v="Pipeline de Vendas"/>
    <s v="Em negociação (75%)"/>
    <s v=""/>
    <m/>
    <n v="84420"/>
    <n v="4137"/>
    <n v="34"/>
    <s v="Rayssa Karapeticov"/>
    <d v="2025-08-20T00:00:00"/>
    <d v="1899-12-30T09:16:59"/>
    <s v=""/>
    <s v="Perdido"/>
    <d v="2025-09-23T00:00:00"/>
    <d v="1899-12-30T11:10:15"/>
    <s v="Preço muito alto - fora do budget de investimento"/>
    <s v=""/>
    <s v=""/>
    <x v="103"/>
    <s v=""/>
    <x v="113"/>
    <s v=""/>
    <m/>
    <m/>
    <s v=""/>
    <s v=""/>
    <s v=""/>
    <s v=""/>
    <n v="1"/>
  </r>
  <r>
    <x v="1"/>
    <n v="532"/>
    <m/>
    <n v="2478"/>
    <s v=""/>
    <s v="Distribuidora Tropical Aromas Ltda"/>
    <x v="226"/>
    <n v="12902777000120"/>
    <s v=""/>
    <s v="Distribuidora Tropical Aromas Ltda"/>
    <s v="(13) 3329-5855"/>
    <s v=""/>
    <s v="contato@keurequimica.com.br"/>
    <s v=""/>
    <s v=""/>
    <s v=""/>
    <s v="ITAQUAQUECETUBA"/>
    <s v="SP"/>
    <s v="Base de empresas Leads2b"/>
    <s v=""/>
    <s v=""/>
    <s v=""/>
    <s v="Pipeline de Vendas"/>
    <s v="Apresentar Solução (35%)"/>
    <s v=""/>
    <m/>
    <n v="16960"/>
    <n v="4910"/>
    <n v="69"/>
    <s v="Junior Lopes"/>
    <d v="2025-08-20T00:00:00"/>
    <d v="1899-12-30T09:53:51"/>
    <s v=""/>
    <s v="Perdido"/>
    <d v="2025-10-28T00:00:00"/>
    <d v="1899-12-30T10:23:56"/>
    <s v="Projeto adiado / sem prazo definido"/>
    <s v="Voltar contato em Janeiro 2026"/>
    <s v=""/>
    <x v="95"/>
    <s v=""/>
    <x v="114"/>
    <s v=""/>
    <m/>
    <m/>
    <s v=""/>
    <s v=""/>
    <s v=""/>
    <s v=""/>
    <n v="1"/>
  </r>
  <r>
    <x v="1"/>
    <n v="534"/>
    <m/>
    <n v="2481"/>
    <s v=""/>
    <s v="Usual Plastic - Utilidade Domestica E Comercio Ltda"/>
    <x v="227"/>
    <n v="12589391000291"/>
    <s v=""/>
    <s v="Usual Plastic - Utilidade Domestica E Comercio Ltda"/>
    <s v="(15) 3283-3659"/>
    <s v=""/>
    <s v="adm@usualutilidades.com.br"/>
    <s v=""/>
    <s v=""/>
    <s v=""/>
    <s v="CESARIO LANGE"/>
    <s v="SP"/>
    <s v="Base de empresas Leads2b"/>
    <s v=""/>
    <s v=""/>
    <s v="30%;50%"/>
    <s v="Pipeline de Vendas"/>
    <s v="Apresentar Solução (35%)"/>
    <s v=""/>
    <m/>
    <n v="16960"/>
    <n v="56568"/>
    <n v="20"/>
    <s v="Junior Lopes"/>
    <d v="2025-08-20T00:00:00"/>
    <d v="1899-12-30T09:59:57"/>
    <s v=""/>
    <s v="Perdido"/>
    <d v="2025-09-09T00:00:00"/>
    <d v="1899-12-30T15:34:30"/>
    <s v="Não quer mudar a solução atual"/>
    <s v="Gustavo conversou com os sócios e decidiu por não trocar de software no momento"/>
    <s v=""/>
    <x v="104"/>
    <s v=""/>
    <x v="115"/>
    <s v=""/>
    <m/>
    <m/>
    <s v=""/>
    <s v=""/>
    <s v=""/>
    <s v=""/>
    <n v="1"/>
  </r>
  <r>
    <x v="1"/>
    <n v="537"/>
    <m/>
    <n v="2486"/>
    <s v="O projeto já está fechado; porém, devido ao fim de ano e à alta demanda interna do cliente, a assinatura do contrato foi adiada. O cliente preferiu formalizar tudo na primeira semana de janeiro, com assinatura prevista para 05/01/2026."/>
    <s v=""/>
    <x v="228"/>
    <n v="4049280000183"/>
    <s v=""/>
    <s v="AmilPlast indústria"/>
    <s v="11973107041"/>
    <s v=""/>
    <s v="amilplast@amilplastt.com.br"/>
    <s v=""/>
    <s v=""/>
    <s v=""/>
    <s v="GUARULHOS"/>
    <s v="SP"/>
    <s v=""/>
    <s v=""/>
    <s v=""/>
    <s v="90%"/>
    <s v="Pipeline de Vendas"/>
    <s v="Em Fechamento (100%)"/>
    <s v=""/>
    <d v="2026-01-16T00:00:00"/>
    <n v="51300"/>
    <n v="17345"/>
    <n v="160"/>
    <s v="Junior Lopes"/>
    <d v="2025-08-20T00:00:00"/>
    <d v="1899-12-30T10:42:44"/>
    <s v=""/>
    <s v="Ganho"/>
    <d v="2026-01-27T00:00:00"/>
    <d v="1899-12-30T17:02:07"/>
    <s v=""/>
    <s v=""/>
    <s v="21/10/2025"/>
    <x v="105"/>
    <s v="Junior Lopes"/>
    <x v="116"/>
    <s v=""/>
    <d v="2026-01-06T00:00:00"/>
    <m/>
    <s v=""/>
    <s v=""/>
    <s v=""/>
    <s v=""/>
    <n v="1"/>
  </r>
  <r>
    <x v="1"/>
    <n v="539"/>
    <m/>
    <n v="2490"/>
    <s v=""/>
    <s v="Pracaza Decor Comercio Importacao E Exportacao De Artigos Para Decoracao Ltda."/>
    <x v="229"/>
    <n v="39679781000128"/>
    <s v=""/>
    <s v="Pracaza Decor Comercio Importacao E Exportacao De Artigos Para Decoracao Ltda."/>
    <s v="(11) 4395-7650"/>
    <s v=""/>
    <s v="contato@acrosscontabil.com.br"/>
    <s v=""/>
    <s v=""/>
    <s v=""/>
    <s v="SAO PAULO"/>
    <s v="SP"/>
    <s v="Base de empresas Leads2b"/>
    <s v=""/>
    <s v=""/>
    <s v=""/>
    <s v="Pipeline de Vendas"/>
    <s v="Apresentar Solução (35%)"/>
    <s v=""/>
    <m/>
    <n v="67840"/>
    <n v="13781"/>
    <n v="69"/>
    <s v="Junior Lopes"/>
    <d v="2025-08-20T00:00:00"/>
    <d v="1899-12-30T11:16:16"/>
    <s v=""/>
    <s v="Perdido"/>
    <d v="2025-10-28T00:00:00"/>
    <d v="1899-12-30T10:24:21"/>
    <s v="Não quer mudar a solução atual"/>
    <s v="sem retorno"/>
    <s v=""/>
    <x v="106"/>
    <s v=""/>
    <x v="0"/>
    <s v=""/>
    <m/>
    <m/>
    <s v=""/>
    <s v=""/>
    <s v=""/>
    <s v=""/>
    <n v="1"/>
  </r>
  <r>
    <x v="1"/>
    <n v="540"/>
    <m/>
    <n v="2493"/>
    <s v=""/>
    <s v="Aluminio Marcolar Ltda"/>
    <x v="230"/>
    <n v="43066372000204"/>
    <s v=""/>
    <s v="Aluminio Marcolar Ltda"/>
    <s v="(11) 2067-1299"/>
    <s v=""/>
    <s v="sac@marcolar.com.br"/>
    <s v=""/>
    <s v=""/>
    <s v=""/>
    <s v="RIBEIRAO PIRES"/>
    <s v="SP"/>
    <s v="Base de empresas Leads2b"/>
    <s v=""/>
    <s v=""/>
    <s v=""/>
    <s v="Pipeline de Vendas"/>
    <s v="Apresentar Solução (35%)"/>
    <s v=""/>
    <m/>
    <n v="16960"/>
    <n v="37712"/>
    <n v="71"/>
    <s v="Junior Lopes"/>
    <d v="2025-08-20T00:00:00"/>
    <d v="1899-12-30T11:29:31"/>
    <s v=""/>
    <s v="Perdido"/>
    <d v="2025-10-30T00:00:00"/>
    <d v="1899-12-30T10:08:50"/>
    <s v="Projeto adiado / sem prazo definido"/>
    <s v="Rogerio pediu para aguardar um pouco mais"/>
    <s v=""/>
    <x v="107"/>
    <s v=""/>
    <x v="117"/>
    <s v=""/>
    <m/>
    <m/>
    <s v=""/>
    <s v=""/>
    <s v=""/>
    <s v=""/>
    <n v="1"/>
  </r>
  <r>
    <x v="1"/>
    <n v="542"/>
    <m/>
    <n v="2496"/>
    <s v=""/>
    <s v=""/>
    <x v="231"/>
    <n v="1715468000125"/>
    <s v=""/>
    <s v="Off Paper"/>
    <s v="35984074473"/>
    <s v=""/>
    <s v="jessica@papeisoffpaper.com.br"/>
    <s v=""/>
    <s v=""/>
    <s v=""/>
    <s v="LAMBARI"/>
    <s v="MG"/>
    <s v=""/>
    <s v=""/>
    <s v=""/>
    <s v="30%"/>
    <s v="Pipeline de Vendas"/>
    <s v="Apresentar Proposta (50%)"/>
    <s v=""/>
    <m/>
    <n v="212"/>
    <n v="69045"/>
    <n v="41"/>
    <s v="Junior Lopes"/>
    <d v="2025-08-21T00:00:00"/>
    <d v="1899-12-30T09:33:37"/>
    <s v=""/>
    <s v="Perdido"/>
    <d v="2025-10-01T00:00:00"/>
    <d v="1899-12-30T15:59:20"/>
    <s v="Fechou com o concorrente - preço"/>
    <s v="fechou sem mesmo falar com Guarani"/>
    <s v=""/>
    <x v="106"/>
    <s v=""/>
    <x v="115"/>
    <s v="22/08/2025"/>
    <m/>
    <m/>
    <s v=""/>
    <s v=""/>
    <s v=""/>
    <s v=""/>
    <n v="1"/>
  </r>
  <r>
    <x v="0"/>
    <n v="545"/>
    <m/>
    <n v="2464"/>
    <s v=""/>
    <s v=""/>
    <x v="232"/>
    <m/>
    <s v=""/>
    <s v="Carlos"/>
    <s v="(11) 91852-0852"/>
    <s v=""/>
    <s v="cpedro@shinyt.com.br"/>
    <s v=""/>
    <s v=""/>
    <s v=""/>
    <s v="São Paulo"/>
    <s v=""/>
    <s v="Site"/>
    <s v=""/>
    <s v=""/>
    <s v=""/>
    <s v="Pipeline de Vendas"/>
    <s v="Apresentar Proposta (50%)"/>
    <s v=""/>
    <m/>
    <n v="47500"/>
    <n v="28571"/>
    <n v="3"/>
    <s v="Paulo Souza"/>
    <d v="2025-08-22T00:00:00"/>
    <d v="1899-12-30T16:30:14"/>
    <s v=""/>
    <s v="Perdido"/>
    <d v="2025-08-25T00:00:00"/>
    <d v="1899-12-30T14:44:29"/>
    <s v="Preço muito alto - fora do budget de investimento"/>
    <s v=""/>
    <s v=""/>
    <x v="99"/>
    <s v="Paulo Souza"/>
    <x v="113"/>
    <s v=""/>
    <m/>
    <m/>
    <s v=""/>
    <s v=""/>
    <s v=""/>
    <s v=""/>
    <n v="1"/>
  </r>
  <r>
    <x v="0"/>
    <n v="546"/>
    <m/>
    <n v="2463"/>
    <s v=""/>
    <s v=""/>
    <x v="233"/>
    <n v="27616615000101"/>
    <s v=""/>
    <s v="Raquel"/>
    <s v="(47) 99227-7535"/>
    <s v=""/>
    <s v="comercial@dgbcomex.com.br"/>
    <s v=""/>
    <s v=""/>
    <s v=""/>
    <s v="Santa Bárbara d'Oeste"/>
    <s v=""/>
    <s v="Site"/>
    <s v=""/>
    <s v=""/>
    <s v="Contato"/>
    <s v="Pipeline de Vendas"/>
    <s v="Em negociação (75%)"/>
    <s v=""/>
    <m/>
    <n v="56000"/>
    <n v="340834"/>
    <n v="38"/>
    <s v="Paulo Souza"/>
    <d v="2025-08-22T00:00:00"/>
    <d v="1899-12-30T16:30:46"/>
    <s v=""/>
    <s v="Perdido"/>
    <d v="2025-09-29T00:00:00"/>
    <d v="1899-12-30T16:42:31"/>
    <s v="Projeto adiado / sem prazo definido"/>
    <s v=""/>
    <s v=""/>
    <x v="108"/>
    <s v="Paulo Souza"/>
    <x v="118"/>
    <s v=""/>
    <m/>
    <m/>
    <s v=""/>
    <s v=""/>
    <s v=""/>
    <s v=""/>
    <n v="1"/>
  </r>
  <r>
    <x v="0"/>
    <n v="550"/>
    <m/>
    <n v="2506"/>
    <s v=""/>
    <s v=""/>
    <x v="234"/>
    <n v="7225431000103"/>
    <s v=""/>
    <s v="Ezequiel"/>
    <s v="49999523158"/>
    <s v=""/>
    <s v="adm@duarteestofaria.com.br"/>
    <s v=""/>
    <s v=""/>
    <s v=""/>
    <s v=""/>
    <s v=""/>
    <s v=""/>
    <s v=""/>
    <s v=""/>
    <s v=""/>
    <s v="Pipeline de Vendas"/>
    <s v="Em negociação (75%)"/>
    <s v=""/>
    <m/>
    <n v="519984"/>
    <n v="15378"/>
    <n v="0"/>
    <s v="Paulo Souza"/>
    <d v="2025-08-25T00:00:00"/>
    <d v="1899-12-30T14:30:34"/>
    <s v=""/>
    <s v="Perdido"/>
    <d v="2025-08-25T00:00:00"/>
    <d v="1899-12-30T14:33:38"/>
    <s v="Preço muito alto - fora do budget de investimento"/>
    <s v=""/>
    <s v=""/>
    <x v="109"/>
    <s v="Paulo Souza"/>
    <x v="119"/>
    <s v=""/>
    <m/>
    <m/>
    <s v=""/>
    <s v=""/>
    <s v=""/>
    <s v=""/>
    <n v="1"/>
  </r>
  <r>
    <x v="0"/>
    <n v="552"/>
    <m/>
    <n v="2508"/>
    <s v="Falei hoje 09/01/2026 com Helton e questionei ele sobre a sequência ou não do projeto sistema._x000a_Esta oportunidade encontra-se pausado durante 2026._x000a_22/01 - Retorno do Helton:  Paulo, bom dia! Peço desculpas pelo atraso na resposta. Desejo um ótimo 2026 para você também! _x000a_Analisamos as opções para uma possível troca, mas infelizmente não obtivemos a adesão esperada. Portanto, por enquanto, vamos manter o ERP atual."/>
    <s v=""/>
    <x v="235"/>
    <n v="17739326000138"/>
    <s v=""/>
    <s v="Helton"/>
    <s v="1633347333"/>
    <s v=""/>
    <s v="helton@ramos.com.br"/>
    <s v=""/>
    <s v=""/>
    <s v=""/>
    <s v=""/>
    <s v=""/>
    <s v=""/>
    <s v=""/>
    <s v=""/>
    <s v="30%"/>
    <s v="Pipeline de Vendas"/>
    <s v="Em negociação (75%)"/>
    <s v=""/>
    <d v="2026-01-22T00:00:00"/>
    <n v="15359994"/>
    <n v="924744"/>
    <n v="151"/>
    <s v="Paulo Souza"/>
    <d v="2025-08-25T00:00:00"/>
    <d v="1899-12-30T14:49:40"/>
    <s v=""/>
    <s v="Perdido"/>
    <d v="2026-01-23T00:00:00"/>
    <d v="1899-12-30T11:11:59"/>
    <s v="Não quer mudar a solução atual"/>
    <s v=""/>
    <s v=""/>
    <x v="110"/>
    <s v="Paulo Souza"/>
    <x v="120"/>
    <s v=""/>
    <d v="2026-01-22T00:00:00"/>
    <m/>
    <s v=""/>
    <s v=""/>
    <s v=""/>
    <s v=""/>
    <n v="1"/>
  </r>
  <r>
    <x v="0"/>
    <n v="553"/>
    <m/>
    <n v="2509"/>
    <s v=""/>
    <s v=""/>
    <x v="236"/>
    <m/>
    <s v=""/>
    <s v="Fabiana e Gilson"/>
    <s v="11950946784"/>
    <s v=""/>
    <s v="null"/>
    <s v=""/>
    <s v=""/>
    <s v=""/>
    <s v=""/>
    <s v=""/>
    <s v=""/>
    <s v=""/>
    <s v=""/>
    <s v=""/>
    <s v="Pipeline de Vendas"/>
    <s v="Em Fechamento (100%)"/>
    <s v=""/>
    <m/>
    <n v="9600"/>
    <n v="412064"/>
    <n v="84"/>
    <s v="Paulo Souza"/>
    <d v="2025-08-25T00:00:00"/>
    <d v="1899-12-30T14:58:26"/>
    <s v=""/>
    <s v="Ganho"/>
    <d v="2025-11-17T00:00:00"/>
    <d v="1899-12-30T15:27:00"/>
    <s v=""/>
    <s v=""/>
    <s v=""/>
    <x v="110"/>
    <s v="Paulo Souza"/>
    <x v="120"/>
    <s v=""/>
    <m/>
    <m/>
    <s v=""/>
    <s v=""/>
    <s v=""/>
    <s v=""/>
    <n v="1"/>
  </r>
  <r>
    <x v="1"/>
    <n v="557"/>
    <m/>
    <n v="2516"/>
    <s v=""/>
    <s v=""/>
    <x v="237"/>
    <n v="59716480000134"/>
    <s v=""/>
    <s v="Plastutti - Cloud"/>
    <s v="1146311986"/>
    <s v=""/>
    <s v="thiago@plasstutti.com.br"/>
    <s v=""/>
    <s v=""/>
    <s v=""/>
    <s v="DIADEMA"/>
    <s v="SP"/>
    <s v=""/>
    <s v=""/>
    <s v=""/>
    <s v=""/>
    <s v="Pipeline de Vendas"/>
    <s v="Apresentar Proposta (50%)"/>
    <s v=""/>
    <m/>
    <m/>
    <m/>
    <n v="0"/>
    <s v="Junior Lopes"/>
    <d v="2025-08-28T00:00:00"/>
    <d v="1899-12-30T16:54:42"/>
    <s v=""/>
    <s v="Perdido"/>
    <d v="2025-08-28T00:00:00"/>
    <d v="1899-12-30T17:00:14"/>
    <s v="Preço muito alto - fora do budget de investimento"/>
    <s v="achou valores acima"/>
    <s v=""/>
    <x v="111"/>
    <s v=""/>
    <x v="121"/>
    <s v=""/>
    <m/>
    <m/>
    <s v=""/>
    <s v=""/>
    <s v=""/>
    <s v=""/>
    <n v="1"/>
  </r>
  <r>
    <x v="1"/>
    <n v="558"/>
    <m/>
    <n v="2518"/>
    <s v=""/>
    <s v=""/>
    <x v="238"/>
    <n v="60315995000101"/>
    <s v=""/>
    <s v="Brinquemix - Cloud"/>
    <s v="11996823494"/>
    <s v=""/>
    <s v="simonee@brinquemix.com.br"/>
    <s v=""/>
    <s v=""/>
    <s v=""/>
    <s v="ITAQUAQUECETUBA"/>
    <s v="SP"/>
    <s v=""/>
    <s v=""/>
    <s v=""/>
    <s v=""/>
    <s v="Pipeline de Vendas"/>
    <s v="Apresentar Solução (35%)"/>
    <s v=""/>
    <m/>
    <n v="1600"/>
    <n v="323356"/>
    <n v="0"/>
    <s v="Junior Lopes"/>
    <d v="2025-08-29T00:00:00"/>
    <d v="1899-12-30T10:43:20"/>
    <s v=""/>
    <s v="Perdido"/>
    <d v="2025-08-29T00:00:00"/>
    <d v="1899-12-30T11:06:35"/>
    <s v="Projeto adiado / sem prazo definido"/>
    <s v="16:26, 28/8/2025 Junior Lopes: Olá Simone, boa tarde_x000a_17:06, 28/8/2025 Simone Brinquemix : Olá Dra_x000a_17:06, 28/8/2025 Simone Brinquemix : Olá_x000a_11:03, 29/8/2025 Junior Lopes: Olá Simone ! Como não tive retorno de sua parte, vou encerrar este atendimento! _x000a_Caso mude de ideia ou precise de algo no futuro pode me chamar por aqui _x000a_Estimo sucesso para vocês 🤝"/>
    <s v=""/>
    <x v="112"/>
    <s v=""/>
    <x v="109"/>
    <s v=""/>
    <m/>
    <m/>
    <s v=""/>
    <s v=""/>
    <s v=""/>
    <s v=""/>
    <n v="1"/>
  </r>
  <r>
    <x v="1"/>
    <n v="559"/>
    <n v="155"/>
    <m/>
    <s v=""/>
    <s v=""/>
    <x v="239"/>
    <n v="13609763000186"/>
    <s v="BAAG (Bahia Artes Gráficas)"/>
    <s v=""/>
    <s v=""/>
    <s v=""/>
    <s v="cleber@bahiagrafica.com.br"/>
    <s v=""/>
    <s v=""/>
    <s v=""/>
    <s v="Feira de Santana"/>
    <s v="BA"/>
    <s v=""/>
    <s v=""/>
    <s v=""/>
    <s v=""/>
    <s v="Pipeline de Vendas"/>
    <s v="Apresentar Solução (35%)"/>
    <s v=""/>
    <m/>
    <n v="16960"/>
    <n v="14256"/>
    <n v="32"/>
    <s v="Junior Lopes"/>
    <d v="2025-08-29T00:00:00"/>
    <d v="1899-12-30T15:55:01"/>
    <s v=""/>
    <s v="Perdido"/>
    <d v="2025-09-30T00:00:00"/>
    <d v="1899-12-30T16:26:43"/>
    <s v="Projeto adiado / sem prazo definido"/>
    <s v="em analise do consultor Munhoz, cliente não esta no momento  certo"/>
    <s v=""/>
    <x v="113"/>
    <s v=""/>
    <x v="0"/>
    <s v=""/>
    <m/>
    <m/>
    <s v=""/>
    <s v=""/>
    <s v=""/>
    <s v=""/>
    <n v="1"/>
  </r>
  <r>
    <x v="1"/>
    <n v="561"/>
    <m/>
    <n v="2523"/>
    <s v=""/>
    <s v=""/>
    <x v="240"/>
    <n v="4049280000183"/>
    <s v=""/>
    <s v="Amilplast - Cloud"/>
    <s v="11973107041"/>
    <s v=""/>
    <s v="amilplast@amilplastt.com.br"/>
    <s v=""/>
    <s v=""/>
    <s v=""/>
    <s v="GUARULHOS"/>
    <s v="SP"/>
    <s v=""/>
    <s v=""/>
    <s v=""/>
    <s v=""/>
    <s v="Pipeline de Vendas"/>
    <s v="Em Fechamento (100%)"/>
    <s v=""/>
    <m/>
    <n v="1600"/>
    <n v="390556"/>
    <n v="61"/>
    <s v="Junior Lopes"/>
    <d v="2025-08-29T00:00:00"/>
    <d v="1899-12-30T16:40:34"/>
    <s v=""/>
    <s v="Perdido"/>
    <d v="2025-10-29T00:00:00"/>
    <d v="1899-12-30T10:37:03"/>
    <s v="Não quer mudar a solução atual"/>
    <s v="Amilplast continuará com servidor físico"/>
    <s v="21/10/2025"/>
    <x v="105"/>
    <s v=""/>
    <x v="116"/>
    <s v=""/>
    <m/>
    <m/>
    <s v=""/>
    <s v=""/>
    <s v=""/>
    <s v=""/>
    <n v="1"/>
  </r>
  <r>
    <x v="1"/>
    <n v="562"/>
    <m/>
    <n v="2526"/>
    <s v=""/>
    <s v=""/>
    <x v="241"/>
    <n v="1715468000125"/>
    <s v=""/>
    <s v="Off Paper (ERP)"/>
    <s v="35984074473"/>
    <s v=""/>
    <s v="jessica@papeisoffpaper.com.br"/>
    <s v=""/>
    <s v=""/>
    <s v=""/>
    <s v="LAMBARI"/>
    <s v="MG"/>
    <s v=""/>
    <s v=""/>
    <s v=""/>
    <s v=""/>
    <s v="Pipeline de Vendas"/>
    <s v="Apresentar Solução (35%)"/>
    <s v=""/>
    <m/>
    <n v="1600"/>
    <n v="480156"/>
    <n v="33"/>
    <s v="Junior Lopes"/>
    <d v="2025-08-29T00:00:00"/>
    <d v="1899-12-30T16:52:44"/>
    <s v=""/>
    <s v="Perdido"/>
    <d v="2025-10-01T00:00:00"/>
    <d v="1899-12-30T15:58:53"/>
    <s v="Fechou com o concorrente - preço"/>
    <s v="fechou sem mesmo falar com Guarani"/>
    <s v=""/>
    <x v="106"/>
    <s v=""/>
    <x v="0"/>
    <s v=""/>
    <m/>
    <m/>
    <s v=""/>
    <s v=""/>
    <s v=""/>
    <s v=""/>
    <n v="1"/>
  </r>
  <r>
    <x v="1"/>
    <n v="563"/>
    <m/>
    <n v="2530"/>
    <s v=""/>
    <s v=""/>
    <x v="242"/>
    <n v="1715468000125"/>
    <s v=""/>
    <s v="Off Paper (Cloud)"/>
    <s v="35984074473"/>
    <s v=""/>
    <s v="jessica@papeisoffpaper.com.br"/>
    <s v=""/>
    <s v=""/>
    <s v=""/>
    <s v="LAMBARI"/>
    <s v="MG"/>
    <s v=""/>
    <s v=""/>
    <s v=""/>
    <s v=""/>
    <s v="Pipeline de Vendas"/>
    <s v="Apresentar Solução (35%)"/>
    <s v=""/>
    <m/>
    <n v="93280"/>
    <n v="1163416"/>
    <n v="33"/>
    <s v="Junior Lopes"/>
    <d v="2025-08-29T00:00:00"/>
    <d v="1899-12-30T16:55:00"/>
    <s v=""/>
    <s v="Perdido"/>
    <d v="2025-10-01T00:00:00"/>
    <d v="1899-12-30T15:58:22"/>
    <s v="Fechou com o concorrente - preço"/>
    <s v="fechou sem mesmo falar com Guarani"/>
    <s v=""/>
    <x v="106"/>
    <s v=""/>
    <x v="0"/>
    <s v=""/>
    <m/>
    <m/>
    <s v=""/>
    <s v=""/>
    <s v=""/>
    <s v=""/>
    <n v="1"/>
  </r>
  <r>
    <x v="1"/>
    <n v="564"/>
    <m/>
    <n v="2534"/>
    <s v=""/>
    <s v=""/>
    <x v="243"/>
    <m/>
    <s v=""/>
    <s v="Usual plastic (BI)"/>
    <s v="1532833659"/>
    <s v=""/>
    <s v="adm@usualutilidades.com.br"/>
    <s v=""/>
    <s v=""/>
    <s v=""/>
    <s v=""/>
    <s v=""/>
    <s v=""/>
    <s v=""/>
    <s v=""/>
    <s v=""/>
    <s v="Pipeline de Vendas"/>
    <s v="Apresentar Solução (35%)"/>
    <s v=""/>
    <m/>
    <n v="16200"/>
    <n v="2160"/>
    <n v="11"/>
    <s v="Junior Lopes"/>
    <d v="2025-08-29T00:00:00"/>
    <d v="1899-12-30T17:43:06"/>
    <s v=""/>
    <s v="Perdido"/>
    <d v="2025-09-09T00:00:00"/>
    <d v="1899-12-30T15:32:46"/>
    <s v="Não quer mudar a solução atual"/>
    <s v="Gustavo conversou com os sócios e decidiu por não trocar de software no momento"/>
    <s v=""/>
    <x v="104"/>
    <s v=""/>
    <x v="0"/>
    <s v=""/>
    <m/>
    <m/>
    <s v=""/>
    <s v=""/>
    <s v=""/>
    <s v=""/>
    <n v="1"/>
  </r>
  <r>
    <x v="2"/>
    <n v="566"/>
    <m/>
    <n v="2538"/>
    <s v=""/>
    <s v="Jr Comercio De Motos E Pecas Ltda"/>
    <x v="244"/>
    <n v="46964028000140"/>
    <s v=""/>
    <s v="Jr Comercio De Motos E Pecas Ltda"/>
    <s v="(67) 9121-3638"/>
    <s v=""/>
    <s v="custodiojadi@gmail.com"/>
    <s v=""/>
    <s v=""/>
    <s v=""/>
    <s v="CAMPO GRANDE"/>
    <s v="MS"/>
    <s v="Base de empresas Leads2b"/>
    <s v=""/>
    <s v=""/>
    <s v=""/>
    <s v="Pipeline de Vendas"/>
    <s v="Apresentar Solução (35%)"/>
    <s v=""/>
    <m/>
    <m/>
    <m/>
    <n v="28"/>
    <s v="Rayssa Karapeticov"/>
    <d v="2025-09-02T00:00:00"/>
    <d v="1899-12-30T09:34:13"/>
    <s v=""/>
    <s v="Perdido"/>
    <d v="2025-09-30T00:00:00"/>
    <d v="1899-12-30T09:44:47"/>
    <s v="Preço muito alto - fora do budget de investimento"/>
    <s v=""/>
    <s v=""/>
    <x v="0"/>
    <s v=""/>
    <x v="0"/>
    <s v=""/>
    <m/>
    <m/>
    <s v=""/>
    <s v=""/>
    <s v=""/>
    <s v=""/>
    <n v="1"/>
  </r>
  <r>
    <x v="2"/>
    <n v="567"/>
    <m/>
    <n v="2541"/>
    <s v=""/>
    <s v="Jomafe Brasil - Comercio De Utensilios Domesticos E Cutelarias Ltda."/>
    <x v="245"/>
    <n v="13039863000203"/>
    <s v=""/>
    <s v="Jomafe Brasil - Comercio De Utensilios Domesticos E Cutelarias Ltda."/>
    <s v="(11) 3283-3767"/>
    <s v=""/>
    <s v="vendas.br@jomafe.pt"/>
    <s v=""/>
    <s v=""/>
    <s v=""/>
    <s v="SAO PAULO"/>
    <s v="SP"/>
    <s v="Base de empresas Leads2b"/>
    <s v=""/>
    <s v=""/>
    <s v="WhatsappRayssa"/>
    <s v="Pipeline de Vendas"/>
    <s v="Agendamento (0%)"/>
    <s v=""/>
    <m/>
    <m/>
    <m/>
    <n v="98"/>
    <s v="Rayssa Karapeticov"/>
    <d v="2025-09-02T00:00:00"/>
    <d v="1899-12-30T10:57:13"/>
    <s v=""/>
    <s v="Perdido"/>
    <d v="2025-12-09T00:00:00"/>
    <d v="1899-12-30T11:48:37"/>
    <s v="Projeto adiado / sem prazo definido"/>
    <s v=""/>
    <s v=""/>
    <x v="0"/>
    <s v=""/>
    <x v="0"/>
    <s v=""/>
    <m/>
    <m/>
    <s v=""/>
    <s v=""/>
    <s v=""/>
    <s v=""/>
    <n v="1"/>
  </r>
  <r>
    <x v="0"/>
    <n v="575"/>
    <m/>
    <n v="2547"/>
    <s v=""/>
    <s v=""/>
    <x v="246"/>
    <m/>
    <s v=""/>
    <s v="NATALIA GABRIELA DAMACENO MOTA"/>
    <s v="(11) 9667-2094"/>
    <s v=""/>
    <s v="naty-gabriela@hotmail.com"/>
    <s v=""/>
    <s v=""/>
    <s v=""/>
    <s v="São Paulo"/>
    <s v=""/>
    <s v="Site"/>
    <s v=""/>
    <s v=""/>
    <s v="Contato"/>
    <s v="Pipeline de Vendas"/>
    <s v="Apresentar Proposta (50%)"/>
    <s v=""/>
    <m/>
    <m/>
    <m/>
    <n v="19"/>
    <s v="Paulo Souza"/>
    <d v="2025-09-10T00:00:00"/>
    <d v="1899-12-30T15:39:28"/>
    <s v=""/>
    <s v="Perdido"/>
    <d v="2025-09-29T00:00:00"/>
    <d v="1899-12-30T16:41:35"/>
    <s v="Fora do porte mínimo (sem fit estrutural)"/>
    <s v=""/>
    <s v=""/>
    <x v="108"/>
    <s v="Paulo Souza"/>
    <x v="118"/>
    <s v=""/>
    <m/>
    <m/>
    <s v=""/>
    <s v=""/>
    <s v=""/>
    <s v=""/>
    <n v="1"/>
  </r>
  <r>
    <x v="1"/>
    <n v="576"/>
    <m/>
    <n v="2551"/>
    <s v=""/>
    <s v="Natalia Gabriela Damaceno Mota"/>
    <x v="247"/>
    <n v="36621794000158"/>
    <s v=""/>
    <s v="Natalia Gabriela Damaceno Mota"/>
    <s v="(11) 4292-3358"/>
    <s v=""/>
    <s v="catocontabilidade@gmail.com"/>
    <s v=""/>
    <s v=""/>
    <s v=""/>
    <s v="SUZANO"/>
    <s v="SP"/>
    <s v="Base de empresas Leads2b"/>
    <s v=""/>
    <s v=""/>
    <s v=""/>
    <s v="Pipeline de Vendas"/>
    <s v="Apresentar Solução (35%)"/>
    <s v=""/>
    <m/>
    <n v="10176"/>
    <n v="2060"/>
    <n v="23"/>
    <s v="Junior Lopes"/>
    <d v="2025-09-10T00:00:00"/>
    <d v="1899-12-30T15:53:14"/>
    <s v=""/>
    <s v="Perdido"/>
    <d v="2025-10-03T00:00:00"/>
    <d v="1899-12-30T09:59:47"/>
    <s v="Não houve aprovação financeira"/>
    <s v="Após proposta cliente não respondeu mais"/>
    <s v=""/>
    <x v="114"/>
    <s v=""/>
    <x v="122"/>
    <s v=""/>
    <m/>
    <m/>
    <s v=""/>
    <s v=""/>
    <s v=""/>
    <s v=""/>
    <n v="1"/>
  </r>
  <r>
    <x v="0"/>
    <n v="577"/>
    <m/>
    <n v="2502"/>
    <s v=""/>
    <s v=""/>
    <x v="248"/>
    <m/>
    <s v=""/>
    <s v="Lara"/>
    <s v="(19) 99985-2953"/>
    <s v=""/>
    <s v="lfabian.pereira@gmail.com"/>
    <s v=""/>
    <s v=""/>
    <s v=""/>
    <s v="Pedreira"/>
    <s v=""/>
    <s v="Site"/>
    <s v=""/>
    <s v=""/>
    <s v="Contato"/>
    <s v="Pipeline de Vendas"/>
    <s v="Em negociação (75%)"/>
    <s v=""/>
    <m/>
    <m/>
    <m/>
    <n v="0"/>
    <s v="Paulo Souza"/>
    <d v="2025-09-10T00:00:00"/>
    <d v="1899-12-30T15:54:51"/>
    <s v=""/>
    <s v="Perdido"/>
    <d v="2025-09-10T00:00:00"/>
    <d v="1899-12-30T15:56:27"/>
    <s v="Preço muito alto - fora do budget de investimento"/>
    <s v=""/>
    <s v=""/>
    <x v="115"/>
    <s v="Paulo Souza"/>
    <x v="123"/>
    <s v=""/>
    <m/>
    <m/>
    <s v=""/>
    <s v=""/>
    <s v=""/>
    <s v=""/>
    <n v="1"/>
  </r>
  <r>
    <x v="0"/>
    <n v="578"/>
    <m/>
    <n v="2515"/>
    <s v=""/>
    <s v=""/>
    <x v="249"/>
    <m/>
    <s v=""/>
    <s v="Sidney Stabile"/>
    <s v="(11) 98122-0797"/>
    <s v=""/>
    <s v="sidneysmr1@gmail.com"/>
    <s v=""/>
    <s v=""/>
    <s v=""/>
    <s v="São Paulo"/>
    <s v=""/>
    <s v="Site"/>
    <s v=""/>
    <s v=""/>
    <s v="Solicita demo"/>
    <s v="Pipeline de Vendas"/>
    <s v="Apresentar Proposta (50%)"/>
    <s v=""/>
    <m/>
    <m/>
    <m/>
    <n v="0"/>
    <s v="Paulo Souza"/>
    <d v="2025-09-11T00:00:00"/>
    <d v="1899-12-30T08:35:20"/>
    <s v=""/>
    <s v="Perdido"/>
    <d v="2025-09-11T00:00:00"/>
    <d v="1899-12-30T08:38:05"/>
    <s v="Preço muito alto - fora do budget de investimento"/>
    <s v=""/>
    <s v=""/>
    <x v="116"/>
    <s v=""/>
    <x v="124"/>
    <s v=""/>
    <m/>
    <m/>
    <s v=""/>
    <s v=""/>
    <s v=""/>
    <s v=""/>
    <n v="1"/>
  </r>
  <r>
    <x v="1"/>
    <n v="582"/>
    <m/>
    <n v="2555"/>
    <s v="O projeto só avançará após o ERP entrar em produção. É necessário alinhar com o Mário e o Fernando para confirmar a data exata de go-live, pois o projeto permanece aguardando essa etapa da implantação para seguir com as próximas fases."/>
    <s v=""/>
    <x v="150"/>
    <n v="32921219000110"/>
    <s v=""/>
    <s v="MDL Import - Cloud"/>
    <s v="1190695515"/>
    <s v=""/>
    <s v="janaina@mdlimport.com.br"/>
    <s v=""/>
    <s v=""/>
    <s v=""/>
    <s v=""/>
    <s v=""/>
    <s v=""/>
    <s v=""/>
    <s v=""/>
    <s v="80%"/>
    <s v="Pipeline de Vendas"/>
    <s v="Em Fechamento (100%)"/>
    <s v=""/>
    <d v="2026-02-02T00:00:00"/>
    <n v="1600"/>
    <n v="256856"/>
    <n v="231"/>
    <s v="Junior Lopes"/>
    <d v="2025-09-11T00:00:00"/>
    <d v="1899-12-30T13:00:08"/>
    <s v=""/>
    <s v="Perdido"/>
    <d v="2026-04-30T00:00:00"/>
    <d v="1899-12-30T14:30:32"/>
    <s v="Não quer mudar a solução atual"/>
    <s v="esta em uso de servidor próprio"/>
    <s v=""/>
    <x v="117"/>
    <s v="Junior Lopes"/>
    <x v="125"/>
    <s v=""/>
    <d v="2025-12-12T00:00:00"/>
    <n v="80"/>
    <s v=""/>
    <s v=""/>
    <s v=""/>
    <s v=""/>
    <n v="1"/>
  </r>
  <r>
    <x v="0"/>
    <n v="583"/>
    <m/>
    <n v="578"/>
    <s v="A empresa está enfrentando uma situação delicada com a Receita Federal e, por isso, decidiu aguardar antes de assinar o contrato, já que não sabe se manterá a operação de atacado. O plano é retomar o contato na primeira semana de janeiro de 2026._x000a_06/02 A Michele me ligou retomando o projeto, agora estamos na fase de negociação."/>
    <s v="Futuro Brasil Importacao E Exportacao Ltda"/>
    <x v="250"/>
    <n v="7664689000289"/>
    <s v=""/>
    <s v="Futuro Brasil Importacao E Exportacao Ltda"/>
    <s v="(11) 3312-3990"/>
    <s v=""/>
    <s v="financeiro.michele@futurobrasil.com"/>
    <s v=""/>
    <s v=""/>
    <s v=""/>
    <s v="EXTREMA"/>
    <s v="MG"/>
    <s v="Base de empresas Leads2b"/>
    <s v=""/>
    <s v=""/>
    <s v="30%;Pausado"/>
    <s v="Pipeline de Vendas"/>
    <s v="Em negociação (75%)"/>
    <s v=""/>
    <d v="2026-04-30T00:00:00"/>
    <n v="100800"/>
    <n v="5484"/>
    <n v="249"/>
    <s v="Paulo Souza"/>
    <d v="2025-09-11T00:00:00"/>
    <d v="1899-12-30T15:56:45"/>
    <s v=""/>
    <s v="Perdido"/>
    <d v="2026-05-18T00:00:00"/>
    <d v="1899-12-30T16:49:23"/>
    <s v="Projeto adiado / sem prazo definido"/>
    <s v=""/>
    <s v=""/>
    <x v="118"/>
    <s v="Paulo Souza"/>
    <x v="126"/>
    <s v=""/>
    <d v="2026-03-31T00:00:00"/>
    <n v="30"/>
    <s v="504"/>
    <s v="ERP, AFV, ADICIONAIS, CLOUD, WMS"/>
    <s v="R$ 100.800"/>
    <s v="R$ 5.484"/>
    <n v="1"/>
  </r>
  <r>
    <x v="1"/>
    <n v="585"/>
    <m/>
    <n v="2557"/>
    <s v=""/>
    <s v=""/>
    <x v="251"/>
    <m/>
    <s v=""/>
    <s v="Fantoys comércio de brinquedos ltda"/>
    <s v="44999841977"/>
    <s v=""/>
    <s v="Fantoyscomercial@gmail.com"/>
    <s v=""/>
    <s v=""/>
    <s v=""/>
    <s v=""/>
    <s v=""/>
    <s v=""/>
    <s v=""/>
    <s v=""/>
    <s v=""/>
    <s v="Pipeline de Vendas"/>
    <s v="Apresentar Proposta (50%)"/>
    <s v=""/>
    <m/>
    <n v="58088"/>
    <n v="645602"/>
    <n v="13"/>
    <s v="Junior Lopes"/>
    <d v="2025-09-12T00:00:00"/>
    <d v="1899-12-30T14:48:47"/>
    <s v=""/>
    <s v="Perdido"/>
    <d v="2025-09-25T00:00:00"/>
    <d v="1899-12-30T16:14:01"/>
    <s v="Não houve aprovação financeira"/>
    <s v="cliente achou investimento muito alto"/>
    <s v=""/>
    <x v="119"/>
    <s v=""/>
    <x v="127"/>
    <s v=""/>
    <m/>
    <m/>
    <s v=""/>
    <s v=""/>
    <s v=""/>
    <s v=""/>
    <n v="1"/>
  </r>
  <r>
    <x v="2"/>
    <n v="587"/>
    <m/>
    <n v="2559"/>
    <s v=""/>
    <s v=""/>
    <x v="252"/>
    <m/>
    <s v=""/>
    <s v="Junior"/>
    <s v="19987126669"/>
    <s v=""/>
    <s v="null"/>
    <s v=""/>
    <s v=""/>
    <s v=""/>
    <s v=""/>
    <s v=""/>
    <s v=""/>
    <s v=""/>
    <s v=""/>
    <s v=""/>
    <s v="Pipeline de Vendas"/>
    <s v="Em Fechamento (100%)"/>
    <s v=""/>
    <m/>
    <n v="64200"/>
    <n v="254344"/>
    <n v="78"/>
    <s v="Rayssa Karapeticov"/>
    <d v="2025-09-15T00:00:00"/>
    <d v="1899-12-30T10:48:08"/>
    <s v=""/>
    <s v="Ganho"/>
    <d v="2025-12-02T00:00:00"/>
    <d v="1899-12-30T11:19:47"/>
    <s v=""/>
    <s v=""/>
    <s v=""/>
    <x v="120"/>
    <s v=""/>
    <x v="128"/>
    <s v="17/09/2025 00:00"/>
    <m/>
    <m/>
    <s v=""/>
    <s v=""/>
    <s v=""/>
    <s v=""/>
    <n v="1"/>
  </r>
  <r>
    <x v="1"/>
    <n v="589"/>
    <m/>
    <n v="2561"/>
    <s v=""/>
    <s v=""/>
    <x v="253"/>
    <n v="7548592000120"/>
    <s v=""/>
    <s v="KAIQUE ARAUJO"/>
    <s v="(67) 99250-3056"/>
    <s v=""/>
    <s v="comercial.centralracoes@hotmail.com"/>
    <s v=""/>
    <s v=""/>
    <s v=""/>
    <s v="CAMPO GRANDE"/>
    <s v="MS"/>
    <s v="Site"/>
    <s v=""/>
    <s v=""/>
    <s v="Solicita demo"/>
    <s v="Pipeline de Vendas"/>
    <s v="Apresentar Proposta (50%)"/>
    <s v=""/>
    <m/>
    <n v="103032"/>
    <n v="696032"/>
    <n v="30"/>
    <s v="Paulo Souza"/>
    <d v="2025-09-16T00:00:00"/>
    <d v="1899-12-30T09:41:24"/>
    <s v=""/>
    <s v="Perdido"/>
    <d v="2025-10-16T00:00:00"/>
    <d v="1899-12-30T12:01:25"/>
    <s v="Projeto adiado / sem prazo definido"/>
    <s v="informações salvo em notas"/>
    <s v=""/>
    <x v="121"/>
    <s v="Junior Lopes"/>
    <x v="129"/>
    <s v="30/09/2025"/>
    <m/>
    <m/>
    <s v=""/>
    <s v=""/>
    <s v=""/>
    <s v=""/>
    <n v="1"/>
  </r>
  <r>
    <x v="1"/>
    <n v="590"/>
    <m/>
    <n v="2561"/>
    <s v=""/>
    <s v=""/>
    <x v="254"/>
    <n v="7548592000120"/>
    <s v=""/>
    <s v="KAIQUE ARAUJO"/>
    <s v="(67) 99250-3056"/>
    <s v=""/>
    <s v="comercial.centralracoes@hotmail.com"/>
    <s v=""/>
    <s v=""/>
    <s v=""/>
    <s v="CAMPO GRANDE"/>
    <s v="MS"/>
    <s v="Site"/>
    <s v=""/>
    <s v=""/>
    <s v="Solicita demo"/>
    <s v="Pipeline de Vendas"/>
    <s v="Agendamento (0%)"/>
    <s v=""/>
    <m/>
    <m/>
    <m/>
    <n v="0"/>
    <s v="Junior Lopes"/>
    <d v="2025-09-16T00:00:00"/>
    <d v="1899-12-30T09:45:26"/>
    <s v=""/>
    <s v="Perdido"/>
    <d v="2025-09-16T00:00:00"/>
    <d v="1899-12-30T09:58:11"/>
    <s v="Fora do porte mínimo (sem fit estrutural)"/>
    <s v="cadastro duplicado"/>
    <s v=""/>
    <x v="0"/>
    <s v=""/>
    <x v="0"/>
    <s v=""/>
    <m/>
    <m/>
    <s v=""/>
    <s v=""/>
    <s v=""/>
    <s v=""/>
    <n v="1"/>
  </r>
  <r>
    <x v="1"/>
    <n v="597"/>
    <m/>
    <n v="2571"/>
    <s v=""/>
    <s v="Ilumac Industria Comercio E Servicos Ltda"/>
    <x v="255"/>
    <n v="49872306000127"/>
    <s v=""/>
    <s v="Ilumac Industria Comercio E Servicos Ltda"/>
    <s v="(14) 3213-1100"/>
    <s v=""/>
    <s v="direcao@safeway.ind.br"/>
    <s v=""/>
    <s v=""/>
    <s v=""/>
    <s v="BAURU"/>
    <s v="SP"/>
    <s v="Base de empresas Leads2b"/>
    <s v=""/>
    <s v=""/>
    <s v=""/>
    <s v="Pipeline de Vendas"/>
    <s v="Apresentar Proposta (50%)"/>
    <s v=""/>
    <m/>
    <n v="7021439"/>
    <n v="37362"/>
    <n v="14"/>
    <s v="Junior Lopes"/>
    <d v="2025-09-19T00:00:00"/>
    <d v="1899-12-30T15:49:06"/>
    <s v=""/>
    <s v="Perdido"/>
    <d v="2025-10-03T00:00:00"/>
    <d v="1899-12-30T09:41:38"/>
    <s v="Não quer mudar a solução atual"/>
    <s v="cliente não responde as mensagens e ligações"/>
    <s v=""/>
    <x v="114"/>
    <s v=""/>
    <x v="130"/>
    <s v=""/>
    <m/>
    <m/>
    <s v=""/>
    <s v=""/>
    <s v=""/>
    <s v=""/>
    <n v="1"/>
  </r>
  <r>
    <x v="0"/>
    <n v="600"/>
    <m/>
    <n v="2477"/>
    <s v=""/>
    <s v=""/>
    <x v="256"/>
    <m/>
    <s v=""/>
    <s v="Lucas"/>
    <s v="(11) 98527-7256"/>
    <s v=""/>
    <s v="marketing@mewoof.com.br"/>
    <s v=""/>
    <s v=""/>
    <s v=""/>
    <s v="São Paulo"/>
    <s v=""/>
    <s v="Site"/>
    <s v=""/>
    <s v=""/>
    <s v="Solicita demo"/>
    <s v="Pipeline de Vendas"/>
    <s v="Em negociação (75%)"/>
    <s v=""/>
    <m/>
    <m/>
    <m/>
    <n v="43"/>
    <s v="Paulo Souza"/>
    <d v="2025-09-23T00:00:00"/>
    <d v="1899-12-30T16:50:25"/>
    <s v=""/>
    <s v="Perdido"/>
    <d v="2025-11-05T00:00:00"/>
    <d v="1899-12-30T09:56:42"/>
    <s v="Fora do porte mínimo (sem fit estrutural)"/>
    <s v=""/>
    <s v=""/>
    <x v="108"/>
    <s v="Paulo Souza"/>
    <x v="131"/>
    <s v=""/>
    <m/>
    <m/>
    <s v=""/>
    <s v=""/>
    <s v=""/>
    <s v=""/>
    <n v="1"/>
  </r>
  <r>
    <x v="1"/>
    <n v="601"/>
    <m/>
    <n v="2579"/>
    <s v=""/>
    <s v=""/>
    <x v="257"/>
    <m/>
    <s v=""/>
    <s v="Fantoys Brinquedos - Cloud"/>
    <s v="44999841977"/>
    <s v=""/>
    <s v="Fantoyscomercial@gmail.com"/>
    <s v=""/>
    <s v=""/>
    <s v=""/>
    <s v=""/>
    <s v=""/>
    <s v=""/>
    <s v=""/>
    <s v=""/>
    <s v=""/>
    <s v="Pipeline de Vendas"/>
    <s v="Apresentar Proposta (50%)"/>
    <s v=""/>
    <m/>
    <n v="1600"/>
    <n v="2396"/>
    <n v="1"/>
    <s v="Junior Lopes"/>
    <d v="2025-09-24T00:00:00"/>
    <d v="1899-12-30T09:48:02"/>
    <s v=""/>
    <s v="Perdido"/>
    <d v="2025-09-25T00:00:00"/>
    <d v="1899-12-30T16:14:54"/>
    <s v="Não houve aprovação financeira"/>
    <s v="cliente achou investimento muito  alto"/>
    <s v=""/>
    <x v="119"/>
    <s v=""/>
    <x v="127"/>
    <s v=""/>
    <m/>
    <m/>
    <s v=""/>
    <s v=""/>
    <s v=""/>
    <s v=""/>
    <n v="1"/>
  </r>
  <r>
    <x v="1"/>
    <n v="602"/>
    <m/>
    <n v="2582"/>
    <s v=""/>
    <s v="Principios Representacoes De Artigos De Uso Domestico Ltda"/>
    <x v="258"/>
    <n v="11392803000155"/>
    <s v=""/>
    <s v="Principios Representacoes De Artigos De Uso Domestico Ltda"/>
    <s v="(48) 9123-3777"/>
    <s v=""/>
    <s v="fabiane.principios@gmail.com"/>
    <s v=""/>
    <s v=""/>
    <s v=""/>
    <s v="ARARANGUA"/>
    <s v="SC"/>
    <s v="Base de empresas Leads2b"/>
    <s v=""/>
    <s v=""/>
    <s v=""/>
    <s v="Pipeline de Vendas"/>
    <s v="Apresentar Proposta (50%)"/>
    <s v=""/>
    <m/>
    <m/>
    <m/>
    <n v="42"/>
    <s v="Junior Lopes"/>
    <d v="2025-09-24T00:00:00"/>
    <d v="1899-12-30T14:10:49"/>
    <s v=""/>
    <s v="Perdido"/>
    <d v="2025-11-05T00:00:00"/>
    <d v="1899-12-30T09:29:11"/>
    <s v="Projeto adiado / sem prazo definido"/>
    <s v="cliente Rep Mais"/>
    <s v=""/>
    <x v="0"/>
    <s v=""/>
    <x v="118"/>
    <s v=""/>
    <m/>
    <m/>
    <s v=""/>
    <s v=""/>
    <s v=""/>
    <s v=""/>
    <n v="1"/>
  </r>
  <r>
    <x v="1"/>
    <n v="603"/>
    <m/>
    <n v="2581"/>
    <s v=""/>
    <s v=""/>
    <x v="259"/>
    <n v="8019257000105"/>
    <s v=""/>
    <s v="Ramão"/>
    <s v=""/>
    <s v=""/>
    <s v="diego.barcelli@guaranisistemas.com.br"/>
    <s v=""/>
    <s v=""/>
    <s v=""/>
    <s v="Brumadinho"/>
    <s v=""/>
    <s v="Indicação"/>
    <s v=""/>
    <s v=""/>
    <s v=""/>
    <s v="Pipeline de Vendas"/>
    <s v="Agendamento (0%)"/>
    <s v=""/>
    <m/>
    <m/>
    <m/>
    <n v="13"/>
    <s v="Paulo Souza"/>
    <d v="2025-09-24T00:00:00"/>
    <d v="1899-12-30T16:01:16"/>
    <s v=""/>
    <s v="Perdido"/>
    <d v="2025-10-07T00:00:00"/>
    <d v="1899-12-30T14:43:39"/>
    <s v="Não quer mudar a solução atual"/>
    <s v="Sem retorno dos contatos"/>
    <s v=""/>
    <x v="0"/>
    <s v="Junior Lopes"/>
    <x v="132"/>
    <s v=""/>
    <m/>
    <m/>
    <s v=""/>
    <s v=""/>
    <s v=""/>
    <s v=""/>
    <n v="1"/>
  </r>
  <r>
    <x v="1"/>
    <n v="604"/>
    <m/>
    <n v="2580"/>
    <s v="Todos os dados preenchidos:_x000a_name: Ramão _x000a_phone: 67 9 9169-7702 _x000a_email: ramaodlara@gmail.com _x000a_nome_da_empresa_indicada: LUZIA LARA GUILHEN- MEI _x000a_field_6: Guarani ERP, PDV _x000a_nome_de_quem_indica: Diego Luis Barcelli _x000a_e_mail_de_quem_indica: diego.barcelli@guaranisistemas.com.br _x000a_telefone_de_quem_indica: 16 9 9265-3506 _x000a_Quais_produtos_Guarani_você_indica_para_essa_empresa?: Guarani ERP, PDV _x000a_0: Guarani ERP, PDV"/>
    <s v=""/>
    <x v="260"/>
    <m/>
    <s v=""/>
    <s v="Ramão"/>
    <s v="67 9 9169-7702"/>
    <s v=""/>
    <s v="ramaodlara@gmail.com"/>
    <s v=""/>
    <s v=""/>
    <s v=""/>
    <s v=""/>
    <s v=""/>
    <s v="Indicação"/>
    <s v=""/>
    <s v=""/>
    <s v=""/>
    <s v="Pipeline de Vendas"/>
    <s v="Agendamento (0%)"/>
    <s v=""/>
    <m/>
    <m/>
    <m/>
    <n v="13"/>
    <s v="Paulo Souza"/>
    <d v="2025-09-24T00:00:00"/>
    <d v="1899-12-30T16:02:08"/>
    <s v=""/>
    <s v="Perdido"/>
    <d v="2025-10-07T00:00:00"/>
    <d v="1899-12-30T09:36:27"/>
    <s v="Não quer mudar a solução atual"/>
    <s v="não responde ao contato"/>
    <s v=""/>
    <x v="0"/>
    <s v="Junior Lopes"/>
    <x v="132"/>
    <s v=""/>
    <m/>
    <m/>
    <s v=""/>
    <s v=""/>
    <s v=""/>
    <s v=""/>
    <n v="1"/>
  </r>
  <r>
    <x v="1"/>
    <n v="607"/>
    <m/>
    <n v="2590"/>
    <s v=""/>
    <s v=""/>
    <x v="261"/>
    <n v="1099426000107"/>
    <s v=""/>
    <s v="Chame Rio (Cloud)"/>
    <s v="21996087296"/>
    <s v=""/>
    <s v="leon@chamerio.com.br"/>
    <s v=""/>
    <s v=""/>
    <s v=""/>
    <s v=""/>
    <s v=""/>
    <s v=""/>
    <s v=""/>
    <s v=""/>
    <s v=""/>
    <s v="Pipeline de Vendas"/>
    <s v="Em negociação (75%)"/>
    <s v=""/>
    <m/>
    <n v="1600"/>
    <n v="3360"/>
    <n v="62"/>
    <s v="Junior Lopes"/>
    <d v="2025-09-25T00:00:00"/>
    <d v="1899-12-30T15:54:00"/>
    <s v=""/>
    <s v="Perdido"/>
    <d v="2025-11-26T00:00:00"/>
    <d v="1899-12-30T14:16:02"/>
    <s v="Projeto adiado / sem prazo definido"/>
    <s v="Aguardar ativação das lojas"/>
    <s v=""/>
    <x v="122"/>
    <s v=""/>
    <x v="133"/>
    <s v=""/>
    <m/>
    <m/>
    <s v=""/>
    <s v=""/>
    <s v=""/>
    <s v=""/>
    <n v="1"/>
  </r>
  <r>
    <x v="1"/>
    <n v="608"/>
    <m/>
    <n v="2591"/>
    <s v=""/>
    <s v=""/>
    <x v="262"/>
    <n v="6302372000159"/>
    <s v=""/>
    <s v="DVidros (CNPJ)"/>
    <s v="31992324071"/>
    <s v=""/>
    <s v="comercial@dvidros.com.br"/>
    <s v=""/>
    <s v=""/>
    <s v=""/>
    <s v=""/>
    <s v=""/>
    <s v=""/>
    <s v=""/>
    <s v=""/>
    <s v=""/>
    <s v="Pipeline de Vendas"/>
    <s v="Em Fechamento (100%)"/>
    <s v=""/>
    <m/>
    <n v="260148"/>
    <n v="0"/>
    <n v="0"/>
    <s v="Junior Lopes"/>
    <d v="2025-09-25T00:00:00"/>
    <d v="1899-12-30T16:03:28"/>
    <s v=""/>
    <s v="Ganho"/>
    <d v="2025-09-25T00:00:00"/>
    <d v="1899-12-30T16:12:47"/>
    <s v=""/>
    <s v=""/>
    <s v=""/>
    <x v="115"/>
    <s v=""/>
    <x v="123"/>
    <s v=""/>
    <m/>
    <m/>
    <s v=""/>
    <s v=""/>
    <s v=""/>
    <s v=""/>
    <n v="1"/>
  </r>
  <r>
    <x v="1"/>
    <n v="609"/>
    <m/>
    <n v="2592"/>
    <s v=""/>
    <s v=""/>
    <x v="263"/>
    <n v="7548592000120"/>
    <s v=""/>
    <s v="Central Rações - BI"/>
    <s v="67992503056"/>
    <s v=""/>
    <s v="comercial.centralracoes@hotmail.com"/>
    <s v=""/>
    <s v=""/>
    <s v=""/>
    <s v="CAMPO GRANDE"/>
    <s v="MS"/>
    <s v=""/>
    <s v=""/>
    <s v=""/>
    <s v=""/>
    <s v="Pipeline de Vendas"/>
    <s v="Apresentar Proposta (50%)"/>
    <s v=""/>
    <m/>
    <n v="16200"/>
    <n v="2160"/>
    <n v="21"/>
    <s v="Junior Lopes"/>
    <d v="2025-09-25T00:00:00"/>
    <d v="1899-12-30T16:39:10"/>
    <s v=""/>
    <s v="Perdido"/>
    <d v="2025-10-16T00:00:00"/>
    <d v="1899-12-30T12:02:57"/>
    <s v="Projeto adiado / sem prazo definido"/>
    <s v="informações salvo em notas"/>
    <s v=""/>
    <x v="121"/>
    <s v=""/>
    <x v="134"/>
    <s v=""/>
    <m/>
    <m/>
    <s v=""/>
    <s v=""/>
    <s v=""/>
    <s v=""/>
    <n v="1"/>
  </r>
  <r>
    <x v="1"/>
    <n v="610"/>
    <m/>
    <n v="2595"/>
    <s v=""/>
    <s v=""/>
    <x v="264"/>
    <n v="7548592000120"/>
    <s v=""/>
    <s v="Central Rações - Cloud"/>
    <s v="67992503056"/>
    <s v=""/>
    <s v="comercial.centralracoes@hotmail.com"/>
    <s v=""/>
    <s v=""/>
    <s v=""/>
    <s v="CAMPO GRANDE"/>
    <s v="MS"/>
    <s v=""/>
    <s v=""/>
    <s v=""/>
    <s v=""/>
    <s v="Pipeline de Vendas"/>
    <s v="Apresentar Proposta (50%)"/>
    <s v=""/>
    <m/>
    <n v="1600"/>
    <n v="405552"/>
    <n v="21"/>
    <s v="Junior Lopes"/>
    <d v="2025-09-25T00:00:00"/>
    <d v="1899-12-30T16:41:53"/>
    <s v=""/>
    <s v="Perdido"/>
    <d v="2025-10-16T00:00:00"/>
    <d v="1899-12-30T12:02:06"/>
    <s v="Projeto adiado / sem prazo definido"/>
    <s v="informações salvo em notas"/>
    <s v=""/>
    <x v="121"/>
    <s v=""/>
    <x v="134"/>
    <s v=""/>
    <m/>
    <m/>
    <s v=""/>
    <s v=""/>
    <s v=""/>
    <s v=""/>
    <n v="1"/>
  </r>
  <r>
    <x v="2"/>
    <n v="611"/>
    <m/>
    <n v="2598"/>
    <s v=""/>
    <s v=""/>
    <x v="265"/>
    <n v="11861121000306"/>
    <s v=""/>
    <s v="Emerson Silva"/>
    <s v="(55) 11941-3524"/>
    <s v=""/>
    <s v="operacional@facinato.com.br"/>
    <s v=""/>
    <s v=""/>
    <s v=""/>
    <s v="São Paulo"/>
    <s v=""/>
    <s v="Site"/>
    <s v=""/>
    <s v=""/>
    <s v="Solicita demo"/>
    <s v="Pipeline de Vendas"/>
    <s v="Apresentar Proposta (50%)"/>
    <s v=""/>
    <m/>
    <m/>
    <m/>
    <n v="28"/>
    <s v="Paulo Souza"/>
    <d v="2025-09-26T00:00:00"/>
    <d v="1899-12-30T10:12:27"/>
    <s v=""/>
    <s v="Perdido"/>
    <d v="2025-10-24T00:00:00"/>
    <d v="1899-12-30T12:02:58"/>
    <s v="Preço muito alto - fora do budget de investimento"/>
    <s v=""/>
    <s v=""/>
    <x v="0"/>
    <s v="Rayssa Karapeticov"/>
    <x v="135"/>
    <s v=""/>
    <m/>
    <m/>
    <s v=""/>
    <s v=""/>
    <s v=""/>
    <s v=""/>
    <n v="1"/>
  </r>
  <r>
    <x v="1"/>
    <n v="613"/>
    <m/>
    <n v="2600"/>
    <s v="11:51, 06/01/2026 Junior Lopes: lá Wilkerson, bom dia_x000a_11:51, 06/01/2026 Junior Lopes: Um Feliz 2026 para vc e toda equipe 🙏🙏_x000a_11:51, 06/01/2026 Junior Lopes: Me recebe aí para discutirmos sobre a proposta comercial?_x000a_15:32, 23/01/2026 Junior Lopes: Olá Wilkerson, boa tarde_x000a_13:34, 27/01/2026 Wilkerson Plasbrin: Ola_x000a_13:34, 27/01/2026 Wilkerson Plasbrin: Estou analisando a proposta sina_x000a_13:34, 27/01/2026 Wilkerson Plasbrin: Ainda_x000a_13:35, 27/01/2026 Wilkerson Plasbrin: Creio que em fevereiro te contato sobre uma negociação_x000a_13:36, 27/01/2026 Junior Lopes: Olá meu amigo! Ótimo _x000a_Veja o que precisa para fecharmos! Nossa solução vai ajudar muito em seus processos _x000a_Te aguardo 👊_x000a_14:25, 27/01/2026 Wilkerson Plasbrin: Pode deixar_x000a_14:25, 27/01/2026 Wilkerson Plasbrin: Vamos avaliar_x000a_08:53, 24/02/2026 Junior Lopes: Olá Wilkerson, bom dia , Td bem ?_x000a_08:54, 24/02/2026 Junior Lopes: Vamos agendar um bate papo para próxima semana ? _x000a_Se sim vou até você !"/>
    <s v=""/>
    <x v="266"/>
    <n v="221294000181"/>
    <s v=""/>
    <s v="PlasBink"/>
    <s v="11997580006"/>
    <s v=""/>
    <s v="falgat@terra.com.br"/>
    <s v=""/>
    <s v=""/>
    <s v=""/>
    <s v="CABREUVA"/>
    <s v="SP"/>
    <s v=""/>
    <s v=""/>
    <s v=""/>
    <s v="50%"/>
    <s v="Pipeline de Vendas"/>
    <s v="Em negociação (75%)"/>
    <s v=""/>
    <d v="2026-03-31T00:00:00"/>
    <n v="81786"/>
    <n v="79654"/>
    <n v="233"/>
    <s v="Junior Lopes"/>
    <d v="2025-09-29T00:00:00"/>
    <d v="1899-12-30T11:41:56"/>
    <s v=""/>
    <s v="Ativo"/>
    <m/>
    <m/>
    <s v=""/>
    <s v=""/>
    <s v="08/10/2025"/>
    <x v="123"/>
    <s v="Junior Lopes"/>
    <x v="118"/>
    <s v=""/>
    <d v="2026-02-24T00:00:00"/>
    <n v="50"/>
    <s v=""/>
    <s v=""/>
    <s v=""/>
    <s v=""/>
    <n v="1"/>
  </r>
  <r>
    <x v="0"/>
    <n v="614"/>
    <m/>
    <n v="2603"/>
    <s v="Indefinido se vamos ou não seguir . O Wellington esta em analise se vamos evoluir!_x000a_Esta oportunidade encontra-se pausado durante 2026._x000a_07/02 Por motivo de gerenciamento do meu CRM, estou declinando a proposta e futuramente quando o cliente demonstrar interesse novamente retornamos com a proposta."/>
    <s v=""/>
    <x v="267"/>
    <n v="9517464000144"/>
    <s v=""/>
    <s v="Wellington"/>
    <s v=""/>
    <s v=""/>
    <s v="well@wellmix.com.br"/>
    <s v=""/>
    <s v=""/>
    <s v=""/>
    <s v=""/>
    <s v=""/>
    <s v=""/>
    <s v=""/>
    <s v=""/>
    <s v="30%;Pausado"/>
    <s v="Pipeline de Vendas"/>
    <s v="Em negociação (75%)"/>
    <s v=""/>
    <d v="2026-03-31T00:00:00"/>
    <n v="254760"/>
    <n v="1578632"/>
    <n v="131"/>
    <s v="Paulo Souza"/>
    <d v="2025-09-29T00:00:00"/>
    <d v="1899-12-30T17:19:09"/>
    <s v=""/>
    <s v="Perdido"/>
    <d v="2026-02-07T00:00:00"/>
    <d v="1899-12-30T08:47:53"/>
    <s v="Não quer mudar a solução atual"/>
    <s v="07/02 Por motivo de gerenciamento do meu CRM, estou declinando a proposta e futuramente quando o cliente demonstrar interesse novamente retornamos com a proposta."/>
    <s v=""/>
    <x v="124"/>
    <s v="Paulo Souza"/>
    <x v="136"/>
    <s v=""/>
    <d v="2026-02-07T00:00:00"/>
    <n v="30"/>
    <s v=""/>
    <s v=""/>
    <s v=""/>
    <s v=""/>
    <n v="1"/>
  </r>
  <r>
    <x v="0"/>
    <n v="615"/>
    <m/>
    <n v="2604"/>
    <s v=""/>
    <s v=""/>
    <x v="268"/>
    <n v="73114894000114"/>
    <s v=""/>
    <s v="Sidney"/>
    <s v=""/>
    <s v=""/>
    <s v="sidney@unikhome.com.br"/>
    <s v=""/>
    <s v=""/>
    <s v=""/>
    <s v=""/>
    <s v=""/>
    <s v=""/>
    <s v=""/>
    <s v=""/>
    <s v=""/>
    <s v="Pipeline de Vendas"/>
    <s v="Em negociação (75%)"/>
    <s v=""/>
    <m/>
    <m/>
    <m/>
    <n v="0"/>
    <s v="Paulo Souza"/>
    <d v="2025-09-29T00:00:00"/>
    <d v="1899-12-30T17:22:41"/>
    <s v=""/>
    <s v="Perdido"/>
    <d v="2025-09-29T00:00:00"/>
    <d v="1899-12-30T17:22:55"/>
    <s v="Preço muito alto - fora do budget de investimento"/>
    <s v=""/>
    <s v=""/>
    <x v="125"/>
    <s v="Paulo Souza"/>
    <x v="137"/>
    <s v=""/>
    <m/>
    <m/>
    <s v=""/>
    <s v=""/>
    <s v=""/>
    <s v=""/>
    <n v="1"/>
  </r>
  <r>
    <x v="0"/>
    <n v="616"/>
    <m/>
    <n v="2605"/>
    <s v=""/>
    <s v=""/>
    <x v="269"/>
    <n v="18628799000120"/>
    <s v=""/>
    <s v="Gabeirl"/>
    <s v="(11) 3567-5470"/>
    <s v=""/>
    <s v="atendimento@dolcehome.com.br"/>
    <s v=""/>
    <s v=""/>
    <s v=""/>
    <s v="SAO PAULO"/>
    <s v="SP"/>
    <s v=""/>
    <s v=""/>
    <s v=""/>
    <s v=""/>
    <s v="Pipeline de Vendas"/>
    <s v="Em negociação (75%)"/>
    <s v=""/>
    <m/>
    <m/>
    <m/>
    <n v="37"/>
    <s v="Paulo Souza"/>
    <d v="2025-09-29T00:00:00"/>
    <d v="1899-12-30T17:28:50"/>
    <s v=""/>
    <s v="Perdido"/>
    <d v="2025-11-05T00:00:00"/>
    <d v="1899-12-30T09:54:48"/>
    <s v="Fora do porte mínimo (sem fit estrutural)"/>
    <s v=""/>
    <s v=""/>
    <x v="126"/>
    <s v="Paulo Souza"/>
    <x v="136"/>
    <s v=""/>
    <m/>
    <m/>
    <s v=""/>
    <s v=""/>
    <s v=""/>
    <s v=""/>
    <n v="1"/>
  </r>
  <r>
    <x v="1"/>
    <n v="618"/>
    <m/>
    <n v="2609"/>
    <s v=""/>
    <s v=""/>
    <x v="270"/>
    <n v="49872306000127"/>
    <s v=""/>
    <s v="Illumac Industria - Cloud"/>
    <s v="1432131100"/>
    <s v=""/>
    <s v="direcao@safeway.ind.br"/>
    <s v=""/>
    <s v=""/>
    <s v=""/>
    <s v="BAURU"/>
    <s v="SP"/>
    <s v=""/>
    <s v=""/>
    <s v=""/>
    <s v=""/>
    <s v="Pipeline de Vendas"/>
    <s v="Apresentar Proposta (50%)"/>
    <s v=""/>
    <m/>
    <n v="1600"/>
    <n v="2468"/>
    <n v="3"/>
    <s v="Junior Lopes"/>
    <d v="2025-09-30T00:00:00"/>
    <d v="1899-12-30T14:38:16"/>
    <s v=""/>
    <s v="Perdido"/>
    <d v="2025-10-03T00:00:00"/>
    <d v="1899-12-30T09:42:31"/>
    <s v="Não quer mudar a solução atual"/>
    <s v="cliente não responde as mensagens e ligações"/>
    <s v=""/>
    <x v="114"/>
    <s v=""/>
    <x v="130"/>
    <s v=""/>
    <m/>
    <m/>
    <s v=""/>
    <s v=""/>
    <s v=""/>
    <s v=""/>
    <n v="1"/>
  </r>
  <r>
    <x v="1"/>
    <n v="619"/>
    <m/>
    <n v="2614"/>
    <s v=""/>
    <s v=""/>
    <x v="271"/>
    <n v="1099426000107"/>
    <s v=""/>
    <s v="Chame Rio - Horas"/>
    <s v="21996087296"/>
    <s v=""/>
    <s v="leon@chamerio.com.br"/>
    <s v=""/>
    <s v=""/>
    <s v=""/>
    <s v=""/>
    <s v=""/>
    <s v=""/>
    <s v=""/>
    <s v=""/>
    <s v=""/>
    <s v="Pipeline de Vendas"/>
    <s v="Em Fechamento (100%)"/>
    <s v=""/>
    <m/>
    <n v="2527318"/>
    <n v="0"/>
    <n v="29"/>
    <s v="Junior Lopes"/>
    <d v="2025-09-30T00:00:00"/>
    <d v="1899-12-30T15:58:34"/>
    <s v=""/>
    <s v="Ganho"/>
    <d v="2025-10-29T00:00:00"/>
    <d v="1899-12-30T10:50:59"/>
    <s v=""/>
    <s v=""/>
    <s v=""/>
    <x v="127"/>
    <s v=""/>
    <x v="0"/>
    <s v=""/>
    <m/>
    <m/>
    <s v=""/>
    <s v=""/>
    <s v=""/>
    <s v=""/>
    <n v="1"/>
  </r>
  <r>
    <x v="0"/>
    <n v="620"/>
    <m/>
    <n v="2615"/>
    <s v=""/>
    <s v=""/>
    <x v="272"/>
    <n v="5856090000130"/>
    <s v=""/>
    <s v="José Luiz Gomes Junior"/>
    <s v=""/>
    <s v=""/>
    <s v="controladoria@bionov.com.br"/>
    <s v=""/>
    <s v=""/>
    <s v=""/>
    <s v=""/>
    <s v=""/>
    <s v=""/>
    <s v=""/>
    <s v=""/>
    <s v=""/>
    <s v="Pipeline de Vendas"/>
    <s v="Em negociação (75%)"/>
    <s v=""/>
    <m/>
    <m/>
    <m/>
    <n v="36"/>
    <s v="Paulo Souza"/>
    <d v="2025-09-30T00:00:00"/>
    <d v="1899-12-30T16:04:40"/>
    <s v=""/>
    <s v="Perdido"/>
    <d v="2025-11-05T00:00:00"/>
    <d v="1899-12-30T09:53:42"/>
    <s v="Preço muito alto - fora do budget de investimento"/>
    <s v=""/>
    <s v=""/>
    <x v="128"/>
    <s v="Paulo Souza"/>
    <x v="138"/>
    <s v=""/>
    <m/>
    <m/>
    <s v=""/>
    <s v=""/>
    <s v=""/>
    <s v=""/>
    <n v="1"/>
  </r>
  <r>
    <x v="1"/>
    <n v="621"/>
    <m/>
    <n v="2616"/>
    <s v=""/>
    <s v=""/>
    <x v="273"/>
    <m/>
    <s v=""/>
    <s v="Vitoria cortinas - Horas"/>
    <s v="35999594857"/>
    <s v=""/>
    <s v="financeiro@vitoriacortinas.com.br"/>
    <s v=""/>
    <s v=""/>
    <s v=""/>
    <s v=""/>
    <s v=""/>
    <s v=""/>
    <s v=""/>
    <s v=""/>
    <s v=""/>
    <s v="Pipeline de Vendas"/>
    <s v="Em Fechamento (100%)"/>
    <s v=""/>
    <m/>
    <n v="5406"/>
    <n v="0"/>
    <n v="0"/>
    <s v="Junior Lopes"/>
    <d v="2025-09-30T00:00:00"/>
    <d v="1899-12-30T16:31:01"/>
    <s v=""/>
    <s v="Ganho"/>
    <d v="2025-09-30T00:00:00"/>
    <d v="1899-12-30T16:32:13"/>
    <s v=""/>
    <s v=""/>
    <s v=""/>
    <x v="121"/>
    <s v=""/>
    <x v="0"/>
    <s v=""/>
    <m/>
    <m/>
    <s v=""/>
    <s v=""/>
    <s v=""/>
    <s v=""/>
    <n v="1"/>
  </r>
  <r>
    <x v="1"/>
    <n v="622"/>
    <m/>
    <n v="2617"/>
    <s v=""/>
    <s v=""/>
    <x v="274"/>
    <m/>
    <s v=""/>
    <s v="Casa Bonitta - Cloud"/>
    <s v="1142923358"/>
    <s v=""/>
    <s v="catocontabilidade@gmail.com"/>
    <s v=""/>
    <s v=""/>
    <s v=""/>
    <s v=""/>
    <s v=""/>
    <s v=""/>
    <s v=""/>
    <s v=""/>
    <s v=""/>
    <s v="Pipeline de Vendas"/>
    <s v="Apresentar Solução (35%)"/>
    <s v=""/>
    <m/>
    <n v="1600"/>
    <n v="2468"/>
    <n v="3"/>
    <s v="Junior Lopes"/>
    <d v="2025-09-30T00:00:00"/>
    <d v="1899-12-30T16:35:41"/>
    <s v=""/>
    <s v="Perdido"/>
    <d v="2025-10-03T00:00:00"/>
    <d v="1899-12-30T09:59:20"/>
    <s v="Não houve aprovação financeira"/>
    <s v="Após proposta cliente não respondeu mais"/>
    <s v=""/>
    <x v="114"/>
    <s v=""/>
    <x v="122"/>
    <s v=""/>
    <m/>
    <m/>
    <s v=""/>
    <s v=""/>
    <s v=""/>
    <s v=""/>
    <n v="1"/>
  </r>
  <r>
    <x v="1"/>
    <n v="623"/>
    <m/>
    <n v="2618"/>
    <s v=""/>
    <s v=""/>
    <x v="275"/>
    <m/>
    <s v=""/>
    <s v="Casa Bonitta - PDV"/>
    <s v="1142923358"/>
    <s v=""/>
    <s v="catocontabilidade@gmail.com"/>
    <s v=""/>
    <s v=""/>
    <s v=""/>
    <s v=""/>
    <s v=""/>
    <s v=""/>
    <s v=""/>
    <s v=""/>
    <s v=""/>
    <s v="Pipeline de Vendas"/>
    <s v="Apresentar Solução (35%)"/>
    <s v=""/>
    <m/>
    <n v="59360"/>
    <n v="27562"/>
    <n v="3"/>
    <s v="Junior Lopes"/>
    <d v="2025-09-30T00:00:00"/>
    <d v="1899-12-30T16:38:47"/>
    <s v=""/>
    <s v="Perdido"/>
    <d v="2025-10-03T00:00:00"/>
    <d v="1899-12-30T09:58:51"/>
    <s v="Não houve aprovação financeira"/>
    <s v="Após proposta cliente não respondeu mais"/>
    <s v=""/>
    <x v="114"/>
    <s v=""/>
    <x v="122"/>
    <s v=""/>
    <m/>
    <m/>
    <s v=""/>
    <s v=""/>
    <s v=""/>
    <s v=""/>
    <n v="1"/>
  </r>
  <r>
    <x v="0"/>
    <n v="624"/>
    <m/>
    <n v="2619"/>
    <s v=""/>
    <s v=""/>
    <x v="276"/>
    <m/>
    <s v=""/>
    <s v="Hussein"/>
    <s v="96170057610"/>
    <s v=""/>
    <s v="null"/>
    <s v=""/>
    <s v=""/>
    <s v=""/>
    <s v=""/>
    <s v=""/>
    <s v=""/>
    <s v=""/>
    <s v=""/>
    <s v=""/>
    <s v="Pipeline de Vendas"/>
    <s v="Em negociação (75%)"/>
    <s v=""/>
    <m/>
    <m/>
    <m/>
    <n v="36"/>
    <s v="Paulo Souza"/>
    <d v="2025-09-30T00:00:00"/>
    <d v="1899-12-30T17:35:39"/>
    <s v=""/>
    <s v="Perdido"/>
    <d v="2025-11-05T00:00:00"/>
    <d v="1899-12-30T09:51:43"/>
    <s v="Projeto adiado / sem prazo definido"/>
    <s v=""/>
    <s v=""/>
    <x v="128"/>
    <s v="Paulo Souza"/>
    <x v="138"/>
    <s v=""/>
    <m/>
    <m/>
    <s v=""/>
    <s v=""/>
    <s v=""/>
    <s v=""/>
    <n v="1"/>
  </r>
  <r>
    <x v="1"/>
    <n v="628"/>
    <m/>
    <n v="2622"/>
    <s v=""/>
    <s v=""/>
    <x v="277"/>
    <m/>
    <s v=""/>
    <s v="Leandro carlos gonçalves"/>
    <s v="(16) 99270-3152"/>
    <s v=""/>
    <s v="solpratae@gmail.com"/>
    <s v=""/>
    <s v=""/>
    <s v=""/>
    <s v="São Carlos"/>
    <s v=""/>
    <s v="Site"/>
    <s v=""/>
    <s v=""/>
    <s v="Solicita demo"/>
    <s v="Pipeline de Vendas"/>
    <s v="Qualificação de Vendas (SQL) (25%)"/>
    <s v=""/>
    <m/>
    <m/>
    <m/>
    <n v="4"/>
    <s v="Paulo Souza"/>
    <d v="2025-10-03T00:00:00"/>
    <d v="1899-12-30T11:10:44"/>
    <s v=""/>
    <s v="Perdido"/>
    <d v="2025-10-07T00:00:00"/>
    <d v="1899-12-30T09:34:17"/>
    <s v="Nossa solução não atende - falta funcionalidade"/>
    <s v="cliente fora do perfil"/>
    <s v=""/>
    <x v="0"/>
    <s v="Junior Lopes"/>
    <x v="0"/>
    <s v=""/>
    <m/>
    <m/>
    <s v=""/>
    <s v=""/>
    <s v=""/>
    <s v=""/>
    <n v="1"/>
  </r>
  <r>
    <x v="1"/>
    <n v="634"/>
    <m/>
    <n v="2631"/>
    <s v=""/>
    <s v="Artesanato Uni-art Industria E Comercio Ltda"/>
    <x v="278"/>
    <n v="43400571000126"/>
    <s v=""/>
    <s v="Artesanato Uni-art Industria E Comercio Ltda"/>
    <s v="(19) 3876-4260"/>
    <s v=""/>
    <s v="thiago@uniartrelogios.com.br"/>
    <s v=""/>
    <s v=""/>
    <s v=""/>
    <s v="VINHEDO"/>
    <s v="SP"/>
    <s v="Base de empresas Leads2b"/>
    <s v=""/>
    <s v=""/>
    <s v=""/>
    <s v="Pipeline de Vendas"/>
    <s v="Apresentar Proposta (50%)"/>
    <s v=""/>
    <m/>
    <n v="7021439"/>
    <n v="417338"/>
    <n v="20"/>
    <s v="Junior Lopes"/>
    <d v="2025-10-09T00:00:00"/>
    <d v="1899-12-30T15:47:08"/>
    <s v=""/>
    <s v="Perdido"/>
    <d v="2025-10-29T00:00:00"/>
    <d v="1899-12-30T10:23:53"/>
    <s v="Projeto adiado / sem prazo definido"/>
    <s v="sem retorno do cliente"/>
    <s v=""/>
    <x v="129"/>
    <s v=""/>
    <x v="139"/>
    <s v=""/>
    <m/>
    <m/>
    <s v=""/>
    <s v=""/>
    <s v=""/>
    <s v=""/>
    <n v="1"/>
  </r>
  <r>
    <x v="1"/>
    <n v="638"/>
    <m/>
    <n v="2640"/>
    <s v=""/>
    <s v=""/>
    <x v="279"/>
    <m/>
    <s v=""/>
    <s v="Star Distribuidora (WMS)"/>
    <s v="17996266970"/>
    <s v=""/>
    <s v="null"/>
    <s v=""/>
    <s v=""/>
    <s v=""/>
    <s v=""/>
    <s v=""/>
    <s v=""/>
    <s v=""/>
    <s v=""/>
    <s v=""/>
    <s v="Pipeline de Vendas"/>
    <s v="Em negociação (75%)"/>
    <s v=""/>
    <m/>
    <m/>
    <m/>
    <n v="62"/>
    <s v="Junior Lopes"/>
    <d v="2025-10-10T00:00:00"/>
    <d v="1899-12-30T15:25:31"/>
    <s v=""/>
    <s v="Perdido"/>
    <d v="2025-12-11T00:00:00"/>
    <d v="1899-12-30T15:22:39"/>
    <s v="Projeto adiado / sem prazo definido"/>
    <s v=""/>
    <s v=""/>
    <x v="0"/>
    <s v=""/>
    <x v="139"/>
    <s v=""/>
    <m/>
    <m/>
    <s v=""/>
    <s v=""/>
    <s v=""/>
    <s v=""/>
    <n v="1"/>
  </r>
  <r>
    <x v="0"/>
    <n v="639"/>
    <m/>
    <n v="2644"/>
    <s v=""/>
    <s v=""/>
    <x v="280"/>
    <m/>
    <s v=""/>
    <s v="Alexsandro"/>
    <s v="75988472625"/>
    <s v=""/>
    <s v="null"/>
    <s v=""/>
    <s v=""/>
    <s v=""/>
    <s v=""/>
    <s v=""/>
    <s v=""/>
    <s v=""/>
    <s v=""/>
    <s v=""/>
    <s v="Pipeline de Vendas"/>
    <s v="Em negociação (75%)"/>
    <s v=""/>
    <m/>
    <m/>
    <m/>
    <n v="33"/>
    <s v="Paulo Souza"/>
    <d v="2025-10-15T00:00:00"/>
    <d v="1899-12-30T17:33:19"/>
    <s v=""/>
    <s v="Perdido"/>
    <d v="2025-11-17T00:00:00"/>
    <d v="1899-12-30T15:27:20"/>
    <s v="Não houve aprovação financeira"/>
    <s v=""/>
    <s v=""/>
    <x v="130"/>
    <s v="Paulo Souza"/>
    <x v="140"/>
    <s v=""/>
    <m/>
    <m/>
    <s v=""/>
    <s v=""/>
    <s v=""/>
    <s v=""/>
    <n v="1"/>
  </r>
  <r>
    <x v="1"/>
    <n v="640"/>
    <m/>
    <n v="2646"/>
    <s v=""/>
    <s v=""/>
    <x v="281"/>
    <m/>
    <s v=""/>
    <s v="Preciza Import"/>
    <s v="11947600755"/>
    <s v=""/>
    <s v="financeiro@precizaimports.com.br"/>
    <s v=""/>
    <s v=""/>
    <s v=""/>
    <s v=""/>
    <s v=""/>
    <s v=""/>
    <s v=""/>
    <s v=""/>
    <s v=""/>
    <s v="Pipeline de Vendas"/>
    <s v="Em Fechamento (100%)"/>
    <s v=""/>
    <m/>
    <n v="1380825"/>
    <n v="0"/>
    <n v="0"/>
    <s v="Junior Lopes"/>
    <d v="2025-10-16T00:00:00"/>
    <d v="1899-12-30T14:48:50"/>
    <s v=""/>
    <s v="Ganho"/>
    <d v="2025-10-16T00:00:00"/>
    <d v="1899-12-30T14:51:47"/>
    <s v=""/>
    <s v=""/>
    <s v=""/>
    <x v="131"/>
    <s v=""/>
    <x v="0"/>
    <s v=""/>
    <m/>
    <m/>
    <s v=""/>
    <s v=""/>
    <s v=""/>
    <s v=""/>
    <n v="1"/>
  </r>
  <r>
    <x v="1"/>
    <n v="641"/>
    <m/>
    <n v="2647"/>
    <s v=""/>
    <s v=""/>
    <x v="282"/>
    <m/>
    <s v=""/>
    <s v="Artesanato Uni-art Ind.- Cloud"/>
    <s v="1938764260"/>
    <s v=""/>
    <s v="thiago@uniartrelogios.com.br"/>
    <s v=""/>
    <s v=""/>
    <s v=""/>
    <s v=""/>
    <s v=""/>
    <s v=""/>
    <s v=""/>
    <s v=""/>
    <s v=""/>
    <s v="Pipeline de Vendas"/>
    <s v="Apresentar Proposta (50%)"/>
    <s v=""/>
    <m/>
    <n v="1600"/>
    <n v="3695"/>
    <n v="13"/>
    <s v="Junior Lopes"/>
    <d v="2025-10-16T00:00:00"/>
    <d v="1899-12-30T16:42:09"/>
    <s v=""/>
    <s v="Perdido"/>
    <d v="2025-10-29T00:00:00"/>
    <d v="1899-12-30T10:25:19"/>
    <s v="Projeto adiado / sem prazo definido"/>
    <s v="cliente não atende aos contatos"/>
    <s v=""/>
    <x v="129"/>
    <s v=""/>
    <x v="139"/>
    <s v=""/>
    <m/>
    <m/>
    <s v=""/>
    <s v=""/>
    <s v=""/>
    <s v=""/>
    <n v="1"/>
  </r>
  <r>
    <x v="1"/>
    <n v="642"/>
    <m/>
    <n v="2648"/>
    <s v="11:51, 06/01/2026 Junior Lopes: lá Wilkerson, bom dia_x000a_11:51, 06/01/2026 Junior Lopes: Um Feliz 2026 para vc e toda equipe 🙏🙏_x000a_11:51, 06/01/2026 Junior Lopes: Me recebe aí para discutirmos sobre a proposta comercial?_x000a_15:32, 23/01/2026 Junior Lopes: Olá Wilkerson, boa tarde_x000a_13:34, 27/01/2026 Wilkerson Plasbrin: Ola_x000a_13:34, 27/01/2026 Wilkerson Plasbrin: Estou analisando a proposta sina_x000a_13:34, 27/01/2026 Wilkerson Plasbrin: Ainda_x000a_13:35, 27/01/2026 Wilkerson Plasbrin: Creio que em fevereiro te contato sobre uma negociação_x000a_13:36, 27/01/2026 Junior Lopes: Olá meu amigo! Ótimo _x000a_Veja o que precisa para fecharmos! Nossa solução vai ajudar muito em seus processos _x000a_Te aguardo 👊_x000a_14:25, 27/01/2026 Wilkerson Plasbrin: Pode deixar_x000a_14:25, 27/01/2026 Wilkerson Plasbrin: Vamos avaliar_x000a_08:53, 24/02/2026 Junior Lopes: Olá Wilkerson, bom dia , Td bem ?_x000a_08:54, 24/02/2026 Junior Lopes: Vamos agendar um bate papo para próxima semana ? _x000a_Se sim vou até você !"/>
    <s v=""/>
    <x v="283"/>
    <m/>
    <s v=""/>
    <s v="Plasbrink Embalagens Plasticas Ltda - Cloud"/>
    <s v="11997580006"/>
    <s v=""/>
    <s v="falgat@terra.com.br"/>
    <s v=""/>
    <s v=""/>
    <s v=""/>
    <s v=""/>
    <s v=""/>
    <s v=""/>
    <s v=""/>
    <s v=""/>
    <s v="50%"/>
    <s v="Pipeline de Vendas"/>
    <s v="Em negociação (75%)"/>
    <s v=""/>
    <d v="2026-03-31T00:00:00"/>
    <n v="1600"/>
    <n v="335607"/>
    <n v="215"/>
    <s v="Junior Lopes"/>
    <d v="2025-10-17T00:00:00"/>
    <d v="1899-12-30T09:45:53"/>
    <s v=""/>
    <s v="Ativo"/>
    <m/>
    <m/>
    <s v=""/>
    <s v=""/>
    <s v=""/>
    <x v="123"/>
    <s v="Junior Lopes"/>
    <x v="141"/>
    <s v=""/>
    <d v="2026-02-24T00:00:00"/>
    <n v="50"/>
    <s v=""/>
    <s v=""/>
    <s v=""/>
    <s v=""/>
    <n v="1"/>
  </r>
  <r>
    <x v="1"/>
    <n v="643"/>
    <m/>
    <n v="2649"/>
    <s v="O cliente está utilizando o módulo em período de degustação de 7 dias, com término em 16/12/2025. Após essa data, ele deverá decidir se seguirá com a contratação ou se irá declinar."/>
    <s v=""/>
    <x v="284"/>
    <n v="43028557000143"/>
    <s v=""/>
    <s v="Preciza Import - Boleto WhatsApp"/>
    <s v="11947600755"/>
    <s v=""/>
    <s v="financeiro@precizaimports.com.br"/>
    <s v=""/>
    <s v=""/>
    <s v=""/>
    <s v=""/>
    <s v=""/>
    <s v=""/>
    <s v=""/>
    <s v=""/>
    <s v="80%"/>
    <s v="Pipeline de Vendas"/>
    <s v="Em Fechamento (100%)"/>
    <s v=""/>
    <d v="2025-11-28T00:00:00"/>
    <n v="0"/>
    <n v="3564"/>
    <n v="129"/>
    <s v="Junior Lopes"/>
    <d v="2025-10-17T00:00:00"/>
    <d v="1899-12-30T09:48:43"/>
    <s v=""/>
    <s v="Perdido"/>
    <d v="2026-02-23T00:00:00"/>
    <d v="1899-12-30T10:22:57"/>
    <s v="Projeto adiado / sem prazo definido"/>
    <s v="cliente não assinou contrato"/>
    <s v=""/>
    <x v="132"/>
    <s v="Junior Lopes"/>
    <x v="142"/>
    <s v=""/>
    <d v="2025-12-12T00:00:00"/>
    <n v="80"/>
    <s v=""/>
    <s v=""/>
    <s v=""/>
    <s v=""/>
    <n v="1"/>
  </r>
  <r>
    <x v="1"/>
    <n v="644"/>
    <m/>
    <n v="2650"/>
    <s v="Após a apresentação de 10/12/2025, ficou definido que a equipe da Marka Têxtil se reunirá para decidir sobre a continuidade do projeto. Farei um follow-up em 15/12/2025 para obter a definição._x000a_16:22, 27/01/2026 Junior Lopes: Olá Regina ! Boa tarde_x000a_16:22, 27/01/2026 Regina Chagas: Boa tarde_x000a_16:27, 27/01/2026 Junior Lopes: Como está a evolução do projeto?_x000a_16:29, 27/01/2026 Junior Lopes: Sei que vcs estão em contato com outras ferramentas! E que está tudo bem _x000a_Porém fico preocupado com valor que já negociamos! A proposta é do ano passado ! Viramos a nossa tabela _x000a_Estou segurando os valores aqui ! Mas preciso de um feedback_x000a_16:49, 27/01/2026 Regina Chagas: Entendo, acredito que até sexta feira eu te dou um retorno final_x000a_(03/02/2026) em contato com a Bruna na feira Abup informou que decidiu seguir com ERP que apresentou uma proposta mais atrativa em questão de valores ! abaixo mensagem da Regina com mesmo contexto : _x000a_07:57, 09/02/2026 Regina Chagas: Bom dia Junior, desculpe a demora no retorno._x000a_Fechamos com outra empresa, em reunião foi decidido que seria mais vantajoso além do custo/beneficio._x000a_Muito obrigada pelo seu ótimo atendimento_x000a_08:59, 09/02/2026 Junior Lopes: Olá Regina bom dia ! Falei com a Bruna na feira _x000a_Desejo sucesso para vocês"/>
    <s v=""/>
    <x v="285"/>
    <n v="62499934000177"/>
    <s v=""/>
    <s v="Marka Textil"/>
    <s v="11975444564"/>
    <s v=""/>
    <s v="brunaantonelli@markatextil.com.br"/>
    <s v=""/>
    <s v=""/>
    <s v=""/>
    <s v="GUARAREMA"/>
    <s v="SP"/>
    <s v=""/>
    <s v=""/>
    <s v=""/>
    <s v="80%"/>
    <s v="Pipeline de Vendas"/>
    <s v="Em negociação (75%)"/>
    <s v=""/>
    <d v="2026-02-28T00:00:00"/>
    <n v="118908"/>
    <n v="1304844"/>
    <n v="117"/>
    <s v="Junior Lopes"/>
    <d v="2025-10-17T00:00:00"/>
    <d v="1899-12-30T10:09:46"/>
    <s v=""/>
    <s v="Perdido"/>
    <d v="2026-02-11T00:00:00"/>
    <d v="1899-12-30T17:32:54"/>
    <s v="Fechou com o concorrente - preço"/>
    <s v="fechou por preço"/>
    <s v=""/>
    <x v="133"/>
    <s v="Junior Lopes"/>
    <x v="142"/>
    <s v="05/11/2025"/>
    <d v="2026-02-03T00:00:00"/>
    <n v="80"/>
    <s v=""/>
    <s v=""/>
    <s v=""/>
    <s v=""/>
    <n v="1"/>
  </r>
  <r>
    <x v="1"/>
    <n v="645"/>
    <m/>
    <n v="2654"/>
    <s v="Após a apresentação de 10/12/2025, ficou definido que a equipe da Marka Têxtil se reunirá para decidir sobre a continuidade do projeto. Farei um follow-up em 15/12/2025 para obter a definição._x000a_16:22, 27/01/2026 Junior Lopes: Olá Regina ! Boa tarde_x000a_16:22, 27/01/2026 Regina Chagas: Boa tarde_x000a_16:27, 27/01/2026 Junior Lopes: Como está a evolução do projeto?_x000a_16:29, 27/01/2026 Junior Lopes: Sei que vcs estão em contato com outras ferramentas! E que está tudo bem _x000a_Porém fico preocupado com valor que já negociamos! A proposta é do ano passado ! Viramos a nossa tabela _x000a_Estou segurando os valores aqui ! Mas preciso de um feedback_x000a_16:49, 27/01/2026 Regina Chagas: Entendo, acredito que até sexta feira eu te dou um retorno final_x000a_(03/02/2026) em contato com a Bruna na feira Abup informou que decidiu seguir com ERP que apresentou uma proposta mais atrativa em questão de valores ! abaixo mensagem da Regina com mesmo contexto : _x000a_07:57, 09/02/2026 Regina Chagas: Bom dia Junior, desculpe a demora no retorno._x000a_Fechamos com outra empresa, em reunião foi decidido que seria mais vantajoso além do custo/beneficio._x000a_Muito obrigada pelo seu ótimo atendimento_x000a_08:59, 09/02/2026 Junior Lopes: Olá Regina bom dia ! Falei com a Bruna na feira _x000a_Desejo sucesso para vocês"/>
    <s v=""/>
    <x v="286"/>
    <n v="62499934000177"/>
    <s v=""/>
    <s v="Marka Textil - Cloud"/>
    <s v="11975444564"/>
    <s v=""/>
    <s v="brunaantonelli@markatextil.com.br"/>
    <s v=""/>
    <s v=""/>
    <s v=""/>
    <s v="GUARAREMA"/>
    <s v="SP"/>
    <s v=""/>
    <s v=""/>
    <s v=""/>
    <s v="80%"/>
    <s v="Pipeline de Vendas"/>
    <s v="Em negociação (75%)"/>
    <s v=""/>
    <d v="2026-02-28T00:00:00"/>
    <n v="1600"/>
    <n v="68466"/>
    <n v="117"/>
    <s v="Junior Lopes"/>
    <d v="2025-10-17T00:00:00"/>
    <d v="1899-12-30T10:12:49"/>
    <s v=""/>
    <s v="Perdido"/>
    <d v="2026-02-11T00:00:00"/>
    <d v="1899-12-30T17:34:29"/>
    <s v="Fechou com o concorrente - preço"/>
    <s v="fechou por preço"/>
    <s v=""/>
    <x v="134"/>
    <s v="Junior Lopes"/>
    <x v="143"/>
    <s v=""/>
    <d v="2026-02-03T00:00:00"/>
    <n v="80"/>
    <s v=""/>
    <s v=""/>
    <s v=""/>
    <s v=""/>
    <n v="1"/>
  </r>
  <r>
    <x v="1"/>
    <n v="656"/>
    <m/>
    <n v="2261"/>
    <s v=""/>
    <s v="Imprime Industria E Comercio De Plasticos Ltda"/>
    <x v="287"/>
    <n v="37905383000157"/>
    <s v=""/>
    <s v="Imprime Industria E Comercio De Plasticos Ltda"/>
    <s v="(11) 4552-8400"/>
    <s v=""/>
    <s v="sac@ascampoli.com.br"/>
    <s v=""/>
    <s v=""/>
    <s v=""/>
    <s v="SAO PAULO"/>
    <s v="SP"/>
    <s v="Base de empresas Leads2b"/>
    <s v=""/>
    <s v=""/>
    <s v=""/>
    <s v="Pipeline de Vendas"/>
    <s v="Apresentar Solução (35%)"/>
    <s v=""/>
    <m/>
    <m/>
    <m/>
    <n v="34"/>
    <s v="Junior Lopes"/>
    <d v="2025-10-22T00:00:00"/>
    <d v="1899-12-30T17:04:38"/>
    <s v=""/>
    <s v="Perdido"/>
    <d v="2025-11-25T00:00:00"/>
    <d v="1899-12-30T16:56:11"/>
    <s v="Não quer mudar a solução atual"/>
    <s v=""/>
    <s v=""/>
    <x v="0"/>
    <s v=""/>
    <x v="0"/>
    <s v=""/>
    <m/>
    <m/>
    <s v=""/>
    <s v=""/>
    <s v=""/>
    <s v=""/>
    <n v="1"/>
  </r>
  <r>
    <x v="1"/>
    <n v="657"/>
    <m/>
    <n v="2659"/>
    <s v=""/>
    <s v=""/>
    <x v="288"/>
    <m/>
    <s v=""/>
    <s v="Jones da Costa Grance"/>
    <s v="(67) 99147-9660"/>
    <s v=""/>
    <s v="distribuidoraprime067@gmail.com"/>
    <s v=""/>
    <s v=""/>
    <s v=""/>
    <s v="Campo Grande"/>
    <s v=""/>
    <s v="Site"/>
    <s v=""/>
    <s v=""/>
    <s v="Solicita demo"/>
    <s v="Pipeline de Vendas"/>
    <s v="Apresentar Solução (35%)"/>
    <s v=""/>
    <m/>
    <n v="38380"/>
    <n v="107526"/>
    <n v="32"/>
    <s v="Paulo Souza"/>
    <d v="2025-10-23T00:00:00"/>
    <d v="1899-12-30T15:08:08"/>
    <s v=""/>
    <s v="Perdido"/>
    <d v="2025-11-24T00:00:00"/>
    <d v="1899-12-30T16:49:44"/>
    <s v="Preço muito alto - fora do budget de investimento"/>
    <s v="cliente não esta no tempo certo, achou investimento muito alto"/>
    <s v=""/>
    <x v="123"/>
    <s v="Junior Lopes"/>
    <x v="144"/>
    <s v=""/>
    <m/>
    <m/>
    <s v=""/>
    <s v=""/>
    <s v=""/>
    <s v=""/>
    <n v="1"/>
  </r>
  <r>
    <x v="1"/>
    <n v="659"/>
    <m/>
    <n v="2680"/>
    <s v=""/>
    <s v=""/>
    <x v="289"/>
    <m/>
    <s v=""/>
    <s v="Karam kaiss"/>
    <s v="(11) 98348-6116"/>
    <s v=""/>
    <s v="mbcontatokaram@gmail.com"/>
    <s v=""/>
    <s v=""/>
    <s v=""/>
    <s v="São Paulo"/>
    <s v=""/>
    <s v="Site"/>
    <s v=""/>
    <s v=""/>
    <s v="Solicita demo"/>
    <s v="Pipeline de Vendas"/>
    <s v="Qualificação de Vendas (SQL) (25%)"/>
    <s v=""/>
    <m/>
    <m/>
    <m/>
    <n v="9"/>
    <s v="Paulo Souza"/>
    <d v="2025-10-27T00:00:00"/>
    <d v="1899-12-30T15:37:34"/>
    <s v=""/>
    <s v="Perdido"/>
    <d v="2025-11-05T00:00:00"/>
    <d v="1899-12-30T09:12:53"/>
    <s v="Nossa solução não atende - falta funcionalidade"/>
    <s v="cliente busca apenas módulo de compras"/>
    <s v=""/>
    <x v="0"/>
    <s v="Junior Lopes"/>
    <x v="0"/>
    <s v=""/>
    <m/>
    <m/>
    <s v=""/>
    <s v=""/>
    <s v=""/>
    <s v=""/>
    <n v="1"/>
  </r>
  <r>
    <x v="1"/>
    <n v="662"/>
    <m/>
    <n v="2684"/>
    <s v="(16/01/2026) Bruno decidiu por não fazer o investimento nesse momento ! esta estruturando a equipe de vendas"/>
    <s v="Sevilha Comercio Internacional Ltda"/>
    <x v="290"/>
    <n v="44628219000105"/>
    <s v=""/>
    <s v="Sevilha Comercio Internacional Ltda"/>
    <s v="(11) 4115-0797"/>
    <s v=""/>
    <s v="diego@gruposevilha.com"/>
    <s v=""/>
    <s v=""/>
    <s v=""/>
    <s v="NAVEGANTES"/>
    <s v="SC"/>
    <s v="Base de empresas Leads2b"/>
    <s v=""/>
    <s v=""/>
    <s v="30%"/>
    <s v="Pipeline de Vendas"/>
    <s v="Em negociação (75%)"/>
    <s v=""/>
    <d v="2026-01-30T00:00:00"/>
    <n v="38380"/>
    <n v="107526"/>
    <n v="80"/>
    <s v="Junior Lopes"/>
    <d v="2025-10-28T00:00:00"/>
    <d v="1899-12-30T10:15:43"/>
    <s v=""/>
    <s v="Perdido"/>
    <d v="2026-01-16T00:00:00"/>
    <d v="1899-12-30T15:59:13"/>
    <s v="Não houve aprovação financeira"/>
    <s v="(16/01/2026) Bruno decidiu por não fazer o investimento nesse momento ! esta estruturando a equipe de vendas"/>
    <s v=""/>
    <x v="135"/>
    <s v=""/>
    <x v="145"/>
    <s v=""/>
    <d v="2026-01-16T00:00:00"/>
    <m/>
    <s v=""/>
    <s v=""/>
    <s v=""/>
    <s v=""/>
    <n v="1"/>
  </r>
  <r>
    <x v="1"/>
    <n v="665"/>
    <m/>
    <n v="2692"/>
    <s v="(16/01/2026) Bruno decidiu por não fazer o investimento nesse momento ! esta estruturando a equipe de vendas"/>
    <s v=""/>
    <x v="291"/>
    <m/>
    <s v=""/>
    <s v="Sevilha Trade - Cloud"/>
    <s v="1141150797"/>
    <s v=""/>
    <s v="diego@gruposevilha.com"/>
    <s v=""/>
    <s v=""/>
    <s v=""/>
    <s v=""/>
    <s v=""/>
    <s v=""/>
    <s v=""/>
    <s v=""/>
    <s v="30%"/>
    <s v="Pipeline de Vendas"/>
    <s v="Em negociação (75%)"/>
    <s v=""/>
    <d v="2026-01-30T00:00:00"/>
    <n v="1600"/>
    <n v="2174"/>
    <n v="79"/>
    <s v="Junior Lopes"/>
    <d v="2025-10-29T00:00:00"/>
    <d v="1899-12-30T17:01:18"/>
    <s v=""/>
    <s v="Perdido"/>
    <d v="2026-01-16T00:00:00"/>
    <d v="1899-12-30T16:00:32"/>
    <s v="Não houve aprovação financeira"/>
    <s v="(16/01/2026) Bruno decidiu por não fazer o investimento nesse momento ! esta estruturando a equipe de vendas"/>
    <s v=""/>
    <x v="135"/>
    <s v=""/>
    <x v="145"/>
    <s v=""/>
    <d v="2026-01-16T00:00:00"/>
    <m/>
    <s v=""/>
    <s v=""/>
    <s v=""/>
    <s v=""/>
    <n v="1"/>
  </r>
  <r>
    <x v="1"/>
    <n v="667"/>
    <m/>
    <n v="2698"/>
    <s v=""/>
    <s v=""/>
    <x v="292"/>
    <m/>
    <s v=""/>
    <s v="Distribuidora Prime - Cloud"/>
    <s v="67991479660"/>
    <s v=""/>
    <s v="distribuidoraprime067@gmail.com"/>
    <s v=""/>
    <s v=""/>
    <s v=""/>
    <s v=""/>
    <s v=""/>
    <s v=""/>
    <s v=""/>
    <s v=""/>
    <s v=""/>
    <s v="Pipeline de Vendas"/>
    <s v="Apresentar Solução (35%)"/>
    <s v=""/>
    <m/>
    <n v="1600"/>
    <n v="21746"/>
    <n v="25"/>
    <s v="Junior Lopes"/>
    <d v="2025-10-30T00:00:00"/>
    <d v="1899-12-30T10:55:07"/>
    <s v=""/>
    <s v="Perdido"/>
    <d v="2025-11-24T00:00:00"/>
    <d v="1899-12-30T16:50:34"/>
    <s v="Preço muito alto - fora do budget de investimento"/>
    <s v="cliente não esta no tempo certo, achou investimento muito alto"/>
    <s v=""/>
    <x v="123"/>
    <s v=""/>
    <x v="144"/>
    <s v=""/>
    <m/>
    <m/>
    <s v=""/>
    <s v=""/>
    <s v=""/>
    <s v=""/>
    <n v="1"/>
  </r>
  <r>
    <x v="1"/>
    <n v="669"/>
    <m/>
    <n v="2718"/>
    <s v=""/>
    <s v=""/>
    <x v="293"/>
    <m/>
    <s v=""/>
    <s v="Tritec - Proposta Web"/>
    <s v="4791025652"/>
    <s v=""/>
    <s v="null"/>
    <s v=""/>
    <s v=""/>
    <s v=""/>
    <s v=""/>
    <s v=""/>
    <s v=""/>
    <s v=""/>
    <s v=""/>
    <s v=""/>
    <s v="Pipeline de Vendas"/>
    <s v="Apresentar Proposta (50%)"/>
    <s v=""/>
    <m/>
    <n v="0"/>
    <n v="2185"/>
    <n v="26"/>
    <s v="Junior Lopes"/>
    <d v="2025-10-31T00:00:00"/>
    <d v="1899-12-30T11:46:34"/>
    <s v=""/>
    <s v="Perdido"/>
    <d v="2025-11-26T00:00:00"/>
    <d v="1899-12-30T14:03:26"/>
    <s v="Projeto adiado / sem prazo definido"/>
    <s v="por enquanto nao vai adicionar proposta web"/>
    <s v=""/>
    <x v="133"/>
    <s v=""/>
    <x v="146"/>
    <s v=""/>
    <m/>
    <m/>
    <s v=""/>
    <s v=""/>
    <s v=""/>
    <s v=""/>
    <n v="1"/>
  </r>
  <r>
    <x v="2"/>
    <n v="672"/>
    <m/>
    <n v="2729"/>
    <s v="Realizei hoje, 12/12/2025, a apresentação do AFV para os gerentes comerciais e atualizei a proposta com os valores de licença do APP. O próximo passo será negociar a proposta, o que deve ocorrer somente na primeira quinzena de janeiro._x000a_05.02 Iniciaram a importação agora,previsão permace para março_x000a_18.03 tinham previsão para iniciar as importações, mas ainda não deu certo, retomar o contato daqui 3 meses"/>
    <s v=""/>
    <x v="294"/>
    <m/>
    <s v=""/>
    <s v="Lucas Pivetta"/>
    <s v="15996012600"/>
    <s v=""/>
    <s v="null"/>
    <s v=""/>
    <s v=""/>
    <s v=""/>
    <s v=""/>
    <s v=""/>
    <s v="Indicação"/>
    <s v=""/>
    <s v=""/>
    <s v="50%"/>
    <s v="Pipeline de Vendas"/>
    <s v="Em negociação (75%)"/>
    <s v=""/>
    <d v="2026-06-30T00:00:00"/>
    <n v="46200"/>
    <n v="146047"/>
    <n v="191"/>
    <s v="Rayssa Karapeticov"/>
    <d v="2025-11-03T00:00:00"/>
    <d v="1899-12-30T15:43:05"/>
    <s v=""/>
    <s v="Perdido"/>
    <d v="2026-05-13T00:00:00"/>
    <d v="1899-12-30T09:39:49"/>
    <s v="Projeto adiado / sem prazo definido"/>
    <s v=""/>
    <s v=""/>
    <x v="136"/>
    <s v="Rayssa Karapeticov"/>
    <x v="147"/>
    <s v="12/12/2025"/>
    <d v="2026-03-16T00:00:00"/>
    <n v="50"/>
    <s v=""/>
    <s v=""/>
    <s v=""/>
    <s v=""/>
    <n v="1"/>
  </r>
  <r>
    <x v="0"/>
    <n v="673"/>
    <m/>
    <n v="2730"/>
    <s v="Feito vários contatos com o cliente sem sucesso. _x000a_12/01/2026_x000a_23-01 Fiz Fups com o Jairo hoje para saber se ele vai seguir ou não com o projeto. Caso não me responda vou encerrar a oportunidade , prazo 31/01._x000a_06/02 Fiz FUP com  o Jairo e por falta de interesse estou declinando a proposta._x000a_07/02 Jairo me respondeu e avisou que vai implantar o Totvs lá. E futuramente retorna a falar comigo sobre Força de Venda."/>
    <s v=""/>
    <x v="295"/>
    <n v="22949063000121"/>
    <s v=""/>
    <s v="MEDIHOSP"/>
    <s v="(11) 2506-6323/ (11) 2506-6589"/>
    <s v=""/>
    <s v="medihosp@medihosp.com.br"/>
    <s v=""/>
    <s v=""/>
    <s v=""/>
    <s v="SAO PAULO"/>
    <s v="SP"/>
    <s v="Outbound"/>
    <s v=""/>
    <s v=""/>
    <s v="30%"/>
    <s v="Pipeline de Vendas"/>
    <s v="Em negociação (75%)"/>
    <s v=""/>
    <d v="2026-01-31T00:00:00"/>
    <n v="20000"/>
    <n v="5880"/>
    <n v="94"/>
    <s v="Paulo Souza"/>
    <d v="2025-11-05T00:00:00"/>
    <d v="1899-12-30T10:49:02"/>
    <s v=""/>
    <s v="Perdido"/>
    <d v="2026-02-07T00:00:00"/>
    <d v="1899-12-30T08:42:30"/>
    <s v="Fechou com o concorrente - preço"/>
    <s v="07/02 Jairo me respondeu e avisou que vai implantar o Totvs lá. E futuramente retorna a falar comigo sobre Força de Venda."/>
    <s v=""/>
    <x v="137"/>
    <s v="Paulo Souza"/>
    <x v="148"/>
    <s v=""/>
    <d v="2026-01-23T00:00:00"/>
    <n v="30"/>
    <s v=""/>
    <s v=""/>
    <s v=""/>
    <s v=""/>
    <n v="1"/>
  </r>
  <r>
    <x v="1"/>
    <n v="674"/>
    <m/>
    <n v="2733"/>
    <s v=""/>
    <s v="Salopet Embalagens Plasticas Ltda"/>
    <x v="296"/>
    <n v="4911908000370"/>
    <s v=""/>
    <s v="Salopet Embalagens Plasticas Ltda"/>
    <s v="(11) 2575-1800"/>
    <s v=""/>
    <s v="paralegal10@mgcontecnica.com.br"/>
    <s v=""/>
    <s v=""/>
    <s v=""/>
    <s v="EMBU DAS ARTES"/>
    <s v="SP"/>
    <s v="Base de empresas Leads2b"/>
    <s v=""/>
    <s v=""/>
    <s v=""/>
    <s v="Pipeline de Vendas"/>
    <s v="Apresentar Proposta (50%)"/>
    <s v=""/>
    <m/>
    <n v="81786"/>
    <n v="914979"/>
    <n v="21"/>
    <s v="Junior Lopes"/>
    <d v="2025-11-05T00:00:00"/>
    <d v="1899-12-30T15:31:21"/>
    <s v=""/>
    <s v="Perdido"/>
    <d v="2025-11-26T00:00:00"/>
    <d v="1899-12-30T12:30:08"/>
    <s v="Não quer mudar a solução atual"/>
    <s v="estou descartando por falta de atividades do André, já agendou varias vezes e não aparece nas reuniões _x000a_Fala chefe, boa tarde _x000a_Está uma loucura esse final de ano_x000a_Mais vamos lá_x000a_Hoje uso o sistema Areco ele é gigante e tem tudo o que precisamos mais está em falta com o suporte e o preço está ficando alto_x000a_Vou tentar finalizar algumas coisa e na sexta-feira na parte da manhã estarei mais tranquilo ai chamo pra que possamos conversar"/>
    <s v=""/>
    <x v="134"/>
    <s v=""/>
    <x v="149"/>
    <s v=""/>
    <m/>
    <m/>
    <s v=""/>
    <s v=""/>
    <s v=""/>
    <s v=""/>
    <n v="1"/>
  </r>
  <r>
    <x v="1"/>
    <n v="680"/>
    <m/>
    <n v="2755"/>
    <s v=""/>
    <s v=""/>
    <x v="297"/>
    <m/>
    <s v=""/>
    <s v="Tecelegam Castilho - MDFe"/>
    <s v="62993609476"/>
    <s v=""/>
    <s v="dayane.tecelagemcastilho@gmail.com"/>
    <s v=""/>
    <s v=""/>
    <s v=""/>
    <s v=""/>
    <s v=""/>
    <s v=""/>
    <s v=""/>
    <s v=""/>
    <s v=""/>
    <s v="Pipeline de Vendas"/>
    <s v="Em Fechamento (100%)"/>
    <s v=""/>
    <m/>
    <n v="0"/>
    <n v="3564"/>
    <n v="13"/>
    <s v="Junior Lopes"/>
    <d v="2025-11-12T00:00:00"/>
    <d v="1899-12-30T10:20:21"/>
    <s v=""/>
    <s v="Ganho"/>
    <d v="2025-11-25T00:00:00"/>
    <d v="1899-12-30T15:23:44"/>
    <s v=""/>
    <s v=""/>
    <s v=""/>
    <x v="138"/>
    <s v=""/>
    <x v="149"/>
    <s v=""/>
    <m/>
    <m/>
    <s v=""/>
    <s v=""/>
    <s v=""/>
    <s v=""/>
    <n v="1"/>
  </r>
  <r>
    <x v="1"/>
    <n v="681"/>
    <m/>
    <n v="2756"/>
    <s v="O projeto já está fechado e o contrato está com o cliente aguardando assinatura. O follow-up está sendo feito diariamente e a previsão de fechamento é até 19/12/2025."/>
    <s v=""/>
    <x v="298"/>
    <n v="43252675000130"/>
    <s v=""/>
    <s v="Atacadão MOntebello"/>
    <s v="(19) 3377-2746 / (19) 3426-1450"/>
    <s v=""/>
    <s v="administracao@atacadaoamontebello.com.br"/>
    <s v=""/>
    <s v=""/>
    <s v=""/>
    <s v="PIRACICABA"/>
    <s v="SP"/>
    <s v=""/>
    <s v=""/>
    <s v=""/>
    <s v="80%"/>
    <s v="Pipeline de Vendas"/>
    <s v="Em Fechamento (100%)"/>
    <s v=""/>
    <d v="2025-12-31T00:00:00"/>
    <n v="22000"/>
    <n v="1800"/>
    <n v="54"/>
    <s v="Junior Lopes"/>
    <d v="2025-11-12T00:00:00"/>
    <d v="1899-12-30T14:32:23"/>
    <s v=""/>
    <s v="Ganho"/>
    <d v="2026-01-05T00:00:00"/>
    <d v="1899-12-30T14:51:32"/>
    <s v=""/>
    <s v=""/>
    <s v=""/>
    <x v="138"/>
    <s v="Junior Lopes"/>
    <x v="149"/>
    <s v="28/11/2025"/>
    <d v="2025-12-12T00:00:00"/>
    <m/>
    <s v=""/>
    <s v=""/>
    <s v=""/>
    <s v=""/>
    <n v="1"/>
  </r>
  <r>
    <x v="1"/>
    <n v="684"/>
    <m/>
    <n v="2760"/>
    <s v=""/>
    <s v=""/>
    <x v="299"/>
    <m/>
    <s v=""/>
    <s v="NewBaby - ERP"/>
    <s v="11979734057"/>
    <s v=""/>
    <s v="dani@3lrepresentacoes.com.br"/>
    <s v=""/>
    <s v=""/>
    <s v=""/>
    <s v=""/>
    <s v=""/>
    <s v=""/>
    <s v=""/>
    <s v=""/>
    <s v="30%"/>
    <s v="Pipeline de Vendas"/>
    <s v="Apresentar Proposta (50%)"/>
    <s v=""/>
    <m/>
    <n v="106400"/>
    <n v="1419164"/>
    <n v="13"/>
    <s v="Junior Lopes"/>
    <d v="2025-11-13T00:00:00"/>
    <d v="1899-12-30T12:09:17"/>
    <s v=""/>
    <s v="Perdido"/>
    <d v="2025-11-26T00:00:00"/>
    <d v="1899-12-30T12:48:22"/>
    <s v="Projeto adiado / sem prazo definido"/>
    <s v="Em contato com Dani ! _x000a_eles só queriam a priori uma estimativa de investimento nas soluções Guarani ! a ideia é aos poucos convencer a Giselia na troca do sistema"/>
    <s v=""/>
    <x v="139"/>
    <s v=""/>
    <x v="150"/>
    <s v=""/>
    <m/>
    <m/>
    <s v=""/>
    <s v=""/>
    <s v=""/>
    <s v=""/>
    <n v="1"/>
  </r>
  <r>
    <x v="2"/>
    <n v="685"/>
    <m/>
    <n v="2761"/>
    <s v=""/>
    <s v="Kitay Industria E Comercio De Alimentos Ltda"/>
    <x v="300"/>
    <n v="42517186000109"/>
    <s v=""/>
    <s v="Kitay Industria E Comercio De Alimentos Ltda"/>
    <s v="(11) 4018-3764"/>
    <s v=""/>
    <s v="claudiorcsalles@gmail.com"/>
    <s v=""/>
    <s v=""/>
    <s v=""/>
    <s v="VARGEM GRANDE PAULISTA"/>
    <s v="SP"/>
    <s v="Base de empresas Leads2b"/>
    <s v=""/>
    <s v=""/>
    <s v=""/>
    <s v="Pipeline de Vendas"/>
    <s v="Agendamento (0%)"/>
    <s v=""/>
    <m/>
    <m/>
    <m/>
    <n v="0"/>
    <s v="Rayssa Karapeticov"/>
    <d v="2025-11-13T00:00:00"/>
    <d v="1899-12-30T16:09:55"/>
    <s v=""/>
    <s v="Perdido"/>
    <d v="2025-11-13T00:00:00"/>
    <d v="1899-12-30T16:12:25"/>
    <s v="Preço muito alto - fora do budget de investimento"/>
    <s v=""/>
    <s v=""/>
    <x v="0"/>
    <s v="Rayssa Karapeticov"/>
    <x v="0"/>
    <s v=""/>
    <m/>
    <m/>
    <s v=""/>
    <s v=""/>
    <s v=""/>
    <s v=""/>
    <n v="1"/>
  </r>
  <r>
    <x v="1"/>
    <n v="690"/>
    <m/>
    <n v="2872"/>
    <s v=""/>
    <s v=""/>
    <x v="301"/>
    <m/>
    <s v=""/>
    <s v="MDL - WMS"/>
    <s v="11910695515"/>
    <s v=""/>
    <s v="null"/>
    <s v=""/>
    <s v=""/>
    <s v=""/>
    <s v=""/>
    <s v=""/>
    <s v=""/>
    <s v=""/>
    <s v=""/>
    <s v="90%"/>
    <s v="Pipeline de Vendas"/>
    <s v="Em Fechamento (100%)"/>
    <s v=""/>
    <d v="2025-11-26T00:00:00"/>
    <n v="0"/>
    <n v="114048"/>
    <n v="16"/>
    <s v="Junior Lopes"/>
    <d v="2025-11-24T00:00:00"/>
    <d v="1899-12-30T16:53:16"/>
    <s v=""/>
    <s v="Ganho"/>
    <d v="2025-12-10T00:00:00"/>
    <d v="1899-12-30T10:14:04"/>
    <s v=""/>
    <s v=""/>
    <s v=""/>
    <x v="140"/>
    <s v=""/>
    <x v="151"/>
    <s v=""/>
    <m/>
    <m/>
    <s v=""/>
    <s v=""/>
    <s v=""/>
    <s v=""/>
    <n v="1"/>
  </r>
  <r>
    <x v="1"/>
    <n v="692"/>
    <m/>
    <n v="2880"/>
    <s v=""/>
    <s v=""/>
    <x v="302"/>
    <m/>
    <s v=""/>
    <s v="NewBaby - Cloud"/>
    <s v="11979734057"/>
    <s v=""/>
    <s v="dani@3lrepresentacoes.com.br"/>
    <s v=""/>
    <s v=""/>
    <s v=""/>
    <s v=""/>
    <s v=""/>
    <s v=""/>
    <s v=""/>
    <s v=""/>
    <s v="30%"/>
    <s v="Pipeline de Vendas"/>
    <s v="Apresentar Proposta (50%)"/>
    <s v=""/>
    <m/>
    <n v="1600"/>
    <n v="860304"/>
    <n v="1"/>
    <s v="Junior Lopes"/>
    <d v="2025-11-25T00:00:00"/>
    <d v="1899-12-30T15:03:40"/>
    <s v=""/>
    <s v="Perdido"/>
    <d v="2025-11-26T00:00:00"/>
    <d v="1899-12-30T12:49:30"/>
    <s v="Projeto adiado / sem prazo definido"/>
    <s v="Em contato com Dani ! _x000a_eles só queriam a priori uma estimativa de investimento nas soluções Guarani ! a ideia é aos poucos convencer a Giselia na troca do sistema"/>
    <s v=""/>
    <x v="139"/>
    <s v=""/>
    <x v="150"/>
    <s v=""/>
    <m/>
    <m/>
    <s v=""/>
    <s v=""/>
    <s v=""/>
    <s v=""/>
    <n v="1"/>
  </r>
  <r>
    <x v="1"/>
    <n v="693"/>
    <m/>
    <n v="2881"/>
    <s v=""/>
    <s v=""/>
    <x v="303"/>
    <m/>
    <s v=""/>
    <s v="Baag - Incl.CNPJ"/>
    <s v="7530217768"/>
    <s v=""/>
    <s v="null"/>
    <s v=""/>
    <s v=""/>
    <s v=""/>
    <s v=""/>
    <s v=""/>
    <s v=""/>
    <s v=""/>
    <s v=""/>
    <s v=""/>
    <s v="Pipeline de Vendas"/>
    <s v="Agendamento (0%)"/>
    <s v=""/>
    <m/>
    <n v="330714"/>
    <n v="0"/>
    <n v="0"/>
    <s v="Junior Lopes"/>
    <d v="2025-11-25T00:00:00"/>
    <d v="1899-12-30T15:44:44"/>
    <s v=""/>
    <s v="Ganho"/>
    <d v="2025-11-25T00:00:00"/>
    <d v="1899-12-30T15:47:26"/>
    <s v=""/>
    <s v=""/>
    <s v=""/>
    <x v="141"/>
    <s v=""/>
    <x v="152"/>
    <s v=""/>
    <m/>
    <m/>
    <s v=""/>
    <s v=""/>
    <s v=""/>
    <s v=""/>
    <n v="1"/>
  </r>
  <r>
    <x v="1"/>
    <n v="694"/>
    <m/>
    <n v="2882"/>
    <s v=""/>
    <s v=""/>
    <x v="304"/>
    <m/>
    <s v=""/>
    <s v="E.S Maia"/>
    <s v="11969325678"/>
    <s v=""/>
    <s v="null"/>
    <s v=""/>
    <s v=""/>
    <s v=""/>
    <s v=""/>
    <s v=""/>
    <s v=""/>
    <s v=""/>
    <s v=""/>
    <s v="30%"/>
    <s v="Pipeline de Vendas"/>
    <s v="Apresentar Proposta (50%)"/>
    <s v=""/>
    <d v="2026-01-01T00:00:00"/>
    <n v="16960"/>
    <n v="450"/>
    <n v="15"/>
    <s v="Junior Lopes"/>
    <d v="2025-11-25T00:00:00"/>
    <d v="1899-12-30T15:59:24"/>
    <s v=""/>
    <s v="Perdido"/>
    <d v="2025-12-10T00:00:00"/>
    <d v="1899-12-30T09:26:00"/>
    <s v="Projeto adiado / sem prazo definido"/>
    <s v="nao esta no momento certo"/>
    <s v=""/>
    <x v="134"/>
    <s v=""/>
    <x v="143"/>
    <s v=""/>
    <m/>
    <m/>
    <s v=""/>
    <s v=""/>
    <s v=""/>
    <s v=""/>
    <n v="1"/>
  </r>
  <r>
    <x v="1"/>
    <n v="695"/>
    <m/>
    <n v="2883"/>
    <s v=""/>
    <s v=""/>
    <x v="305"/>
    <n v="57524096000104"/>
    <s v=""/>
    <s v="Phabllo Parambu Atacado - ERP"/>
    <s v="88996365702"/>
    <s v=""/>
    <s v="phabllo2022@gmail.com"/>
    <s v=""/>
    <s v=""/>
    <s v=""/>
    <s v="COCAL"/>
    <s v="PI"/>
    <s v=""/>
    <s v=""/>
    <s v=""/>
    <s v="30%"/>
    <s v="Pipeline de Vendas"/>
    <s v="Apresentar Solução (35%)"/>
    <s v=""/>
    <m/>
    <m/>
    <m/>
    <n v="8"/>
    <s v="Junior Lopes"/>
    <d v="2025-11-25T00:00:00"/>
    <d v="1899-12-30T16:25:17"/>
    <s v=""/>
    <s v="Perdido"/>
    <d v="2025-12-03T00:00:00"/>
    <d v="1899-12-30T15:53:51"/>
    <s v="Projeto adiado / sem prazo definido"/>
    <s v="Cliente não tem tempo para fazermos apresentação"/>
    <s v=""/>
    <x v="142"/>
    <s v=""/>
    <x v="153"/>
    <s v=""/>
    <m/>
    <m/>
    <s v=""/>
    <s v=""/>
    <s v=""/>
    <s v=""/>
    <n v="1"/>
  </r>
  <r>
    <x v="1"/>
    <n v="696"/>
    <m/>
    <n v="2885"/>
    <s v=""/>
    <s v=""/>
    <x v="306"/>
    <n v="57524096000104"/>
    <s v=""/>
    <s v="Phabllo Parambu Atacado - Cloud"/>
    <s v="88996365702"/>
    <s v=""/>
    <s v="phabllo2022@gmail.com"/>
    <s v=""/>
    <s v=""/>
    <s v=""/>
    <s v=""/>
    <s v=""/>
    <s v=""/>
    <s v=""/>
    <s v=""/>
    <s v="30%"/>
    <s v="Pipeline de Vendas"/>
    <s v="Apresentar Solução (35%)"/>
    <s v=""/>
    <m/>
    <m/>
    <m/>
    <n v="8"/>
    <s v="Junior Lopes"/>
    <d v="2025-11-25T00:00:00"/>
    <d v="1899-12-30T16:48:26"/>
    <s v=""/>
    <s v="Perdido"/>
    <d v="2025-12-03T00:00:00"/>
    <d v="1899-12-30T15:53:19"/>
    <s v="Projeto adiado / sem prazo definido"/>
    <s v="Cliente não tem tempo para fazermos apresentação"/>
    <s v=""/>
    <x v="142"/>
    <s v=""/>
    <x v="153"/>
    <s v=""/>
    <m/>
    <m/>
    <s v=""/>
    <s v=""/>
    <s v=""/>
    <s v=""/>
    <n v="1"/>
  </r>
  <r>
    <x v="1"/>
    <n v="697"/>
    <m/>
    <n v="2887"/>
    <s v=""/>
    <s v=""/>
    <x v="307"/>
    <m/>
    <s v=""/>
    <s v="Salopet Embalagens Plasticas - Cloud"/>
    <s v="1125751800"/>
    <s v=""/>
    <s v="paralegal10@mgcontecnica.com.br"/>
    <s v=""/>
    <s v=""/>
    <s v=""/>
    <s v=""/>
    <s v=""/>
    <s v=""/>
    <s v=""/>
    <s v=""/>
    <s v=""/>
    <s v="Pipeline de Vendas"/>
    <s v="Apresentar Solução (35%)"/>
    <s v=""/>
    <m/>
    <n v="1600"/>
    <n v="335607"/>
    <n v="1"/>
    <s v="Junior Lopes"/>
    <d v="2025-11-25T00:00:00"/>
    <d v="1899-12-30T17:07:06"/>
    <s v=""/>
    <s v="Perdido"/>
    <d v="2025-11-26T00:00:00"/>
    <d v="1899-12-30T12:32:26"/>
    <s v="Não quer mudar a solução atual"/>
    <s v="estou descartando por falta de atividades do André, já agendou varias vezes e não aparece nas reuniões _x000a_Fala chefe, boa tarde _x000a_Está uma loucura esse final de ano_x000a_Mais vamos lá_x000a_Hoje uso o sistema Areco ele é gigante e tem tudo o que precisamos mais está em falta com o suporte e o preço está ficando alto_x000a_Vou tentar finalizar algumas coisa e na sexta-feira na parte da manhã estarei mais tranquilo ai chamo pra que possamos conversar"/>
    <s v=""/>
    <x v="134"/>
    <s v=""/>
    <x v="149"/>
    <s v=""/>
    <m/>
    <m/>
    <s v=""/>
    <s v=""/>
    <s v=""/>
    <s v=""/>
    <n v="1"/>
  </r>
  <r>
    <x v="0"/>
    <n v="700"/>
    <m/>
    <n v="2874"/>
    <s v=""/>
    <s v=""/>
    <x v="308"/>
    <m/>
    <s v=""/>
    <s v="Samuel Ferreira"/>
    <s v="(38) 99741-8594"/>
    <s v=""/>
    <s v="lojastem.financeiro@gmail.com"/>
    <s v=""/>
    <s v=""/>
    <s v=""/>
    <s v="Montes Claros"/>
    <s v=""/>
    <s v="Site"/>
    <s v=""/>
    <s v=""/>
    <s v="30%;Solicita demo"/>
    <s v="Pipeline de Vendas"/>
    <s v="Apresentar Proposta (50%)"/>
    <s v=""/>
    <d v="2026-01-31T00:00:00"/>
    <m/>
    <m/>
    <n v="14"/>
    <s v="Paulo Souza"/>
    <d v="2025-11-26T00:00:00"/>
    <d v="1899-12-30T11:24:38"/>
    <s v=""/>
    <s v="Perdido"/>
    <d v="2025-12-10T00:00:00"/>
    <d v="1899-12-30T23:13:47"/>
    <s v="Não houve aprovação financeira"/>
    <s v=""/>
    <s v=""/>
    <x v="143"/>
    <s v="Paulo Souza"/>
    <x v="154"/>
    <s v=""/>
    <m/>
    <m/>
    <s v=""/>
    <s v=""/>
    <s v=""/>
    <s v=""/>
    <n v="1"/>
  </r>
  <r>
    <x v="0"/>
    <n v="701"/>
    <m/>
    <n v="2829"/>
    <s v="Cobrei a Luciana sobre a sequência do projeto ou não (09/01/2026)_x000a_23/01 - Fiz FUPs hoje com a Lucimeire, chamando ela para retomar as negociações, aguardar ele responder para saber se vamos seguir ou não? R: Ela retornou avisando que a negociação está pausada por enquanto."/>
    <s v=""/>
    <x v="309"/>
    <n v="5825017000100"/>
    <s v=""/>
    <s v="Lucimeire Jardim"/>
    <s v="(17) 99270-5941"/>
    <s v=""/>
    <s v="gerencia.adm@belaflor.com.br"/>
    <s v=""/>
    <s v=""/>
    <s v=""/>
    <s v="São José do Rio Preto"/>
    <s v=""/>
    <s v="Site"/>
    <s v=""/>
    <s v=""/>
    <s v="30%;Pausado;Solicita demo"/>
    <s v="Pipeline de Vendas"/>
    <s v="Em negociação (75%)"/>
    <s v=""/>
    <d v="2026-03-31T00:00:00"/>
    <n v="130600"/>
    <n v="1680982"/>
    <n v="173"/>
    <s v="Paulo Souza"/>
    <d v="2025-11-26T00:00:00"/>
    <d v="1899-12-30T11:25:27"/>
    <s v=""/>
    <s v="Perdido"/>
    <d v="2026-05-18T00:00:00"/>
    <d v="1899-12-30T16:51:17"/>
    <s v="Projeto adiado / sem prazo definido"/>
    <s v=""/>
    <s v=""/>
    <x v="143"/>
    <s v="Paulo Souza"/>
    <x v="154"/>
    <s v=""/>
    <d v="2026-03-31T00:00:00"/>
    <n v="30"/>
    <s v="653"/>
    <s v="ERP, AFV, BI, WMS"/>
    <s v="R$ 130.600"/>
    <s v="R$ 16.809,82"/>
    <n v="1"/>
  </r>
  <r>
    <x v="0"/>
    <n v="702"/>
    <m/>
    <n v="2890"/>
    <s v="Falei com Rodrigo CFO, e vamos negociar a proposta na semana do dia 12/01/2025._x000a_Falei hoje 12/01 com Rodrigo cobrando um aposição dele._x000a_14/01 - Hoje o Jeferson TI me ligou avisando que a diretoria reprovou o valor mensal. Porém a equipe interna gostou muito do sistema e esta batalhando para seguir. Com isso ele apresentou um valor base de R$60,00 por usuário estou estudando uma estratégia para responder. Acionei o Fábio._x000a_19/01: No dia 15/01 foi resolvido a questão da proposta. A pendência agora é em relação a integração com Sênior, ou seja, Jeferson esta fazendo orçamento com pessoal da Sênior, só após daremos andamento. Previsto uma conversa para sexta-feira próxima, dia 23/01."/>
    <s v=""/>
    <x v="310"/>
    <m/>
    <s v=""/>
    <s v="Wellington"/>
    <s v="43996624014"/>
    <s v=""/>
    <s v="null"/>
    <s v=""/>
    <s v=""/>
    <s v=""/>
    <s v=""/>
    <s v=""/>
    <s v=""/>
    <s v=""/>
    <s v=""/>
    <s v="90%;Fabio Indica"/>
    <s v="Pipeline de Vendas"/>
    <s v="Em Fechamento (100%)"/>
    <s v=""/>
    <d v="2026-01-31T00:00:00"/>
    <n v="16000"/>
    <n v="5880"/>
    <n v="57"/>
    <s v="Paulo Souza"/>
    <d v="2025-11-26T00:00:00"/>
    <d v="1899-12-30T11:28:10"/>
    <s v=""/>
    <s v="Perdido"/>
    <d v="2026-01-22T00:00:00"/>
    <d v="1899-12-30T16:27:10"/>
    <s v="Não houve aprovação financeira"/>
    <s v="A diretoria não aprovou o projeto devido o total da implantação ficar na casa dos 32k. Somando o projeto do Sênior 15-20k e Guarani 16k"/>
    <s v=""/>
    <x v="144"/>
    <s v="Paulo Souza"/>
    <x v="155"/>
    <s v=""/>
    <d v="2026-01-09T00:00:00"/>
    <m/>
    <s v=""/>
    <s v=""/>
    <s v=""/>
    <s v=""/>
    <n v="1"/>
  </r>
  <r>
    <x v="0"/>
    <n v="703"/>
    <m/>
    <n v="2891"/>
    <s v="Falei hoje com o Abdallah, o mesmo esta fora do Brasil. Combinamos de falar na sua volta que é em 15/01/2026!_x000a_23/01 - Após conversa com o Abdallah, o mesmo ainda continua fora do brasil e em nossa conversa falou que não tem resposta se vai ou não mudar. Com base no histórico das conversa ele não tem interesse de mudança no curto prazo. Sendo assim, estou declinando a proposta e futuramente voltamos a falar."/>
    <s v=""/>
    <x v="311"/>
    <n v="7728812000105"/>
    <s v=""/>
    <s v="Abdallah"/>
    <s v="(11) 3228-9751"/>
    <s v=""/>
    <s v="aihfinanceiro@gmail.com"/>
    <s v=""/>
    <s v=""/>
    <s v=""/>
    <s v="SAO PAULO"/>
    <s v="SP"/>
    <s v=""/>
    <s v=""/>
    <s v=""/>
    <s v="30%"/>
    <s v="Pipeline de Vendas"/>
    <s v="Em negociação (75%)"/>
    <s v=""/>
    <d v="2026-01-23T00:00:00"/>
    <n v="72000"/>
    <n v="8045"/>
    <n v="58"/>
    <s v="Paulo Souza"/>
    <d v="2025-11-26T00:00:00"/>
    <d v="1899-12-30T11:30:14"/>
    <s v=""/>
    <s v="Perdido"/>
    <d v="2026-01-23T00:00:00"/>
    <d v="1899-12-30T11:38:34"/>
    <s v="Projeto adiado / sem prazo definido"/>
    <s v=""/>
    <s v=""/>
    <x v="48"/>
    <s v="Paulo Souza"/>
    <x v="156"/>
    <s v=""/>
    <d v="2026-01-23T00:00:00"/>
    <m/>
    <s v=""/>
    <s v=""/>
    <s v=""/>
    <s v=""/>
    <n v="1"/>
  </r>
  <r>
    <x v="0"/>
    <n v="704"/>
    <m/>
    <n v="2894"/>
    <s v="Hoje foi realizada a apresentação do PDV do ERP ao cliente. O fechamento está previsto para ocorrer até 19/12/2025."/>
    <s v=""/>
    <x v="312"/>
    <n v="3761404000196"/>
    <s v=""/>
    <s v="Jose Eduardo"/>
    <s v="(19) 3492-9944"/>
    <s v=""/>
    <s v="adm@plastcap.com.br"/>
    <s v=""/>
    <s v=""/>
    <s v=""/>
    <s v="CAPIVARI"/>
    <s v="SP"/>
    <s v=""/>
    <s v=""/>
    <s v=""/>
    <s v="90%"/>
    <s v="Pipeline de Vendas"/>
    <s v="Em Fechamento (100%)"/>
    <s v=""/>
    <d v="2026-01-15T00:00:00"/>
    <n v="17829"/>
    <n v="83997"/>
    <n v="44"/>
    <s v="Paulo Souza"/>
    <d v="2025-11-26T00:00:00"/>
    <d v="1899-12-30T11:36:11"/>
    <s v=""/>
    <s v="Ganho"/>
    <d v="2026-01-09T00:00:00"/>
    <d v="1899-12-30T14:02:37"/>
    <s v=""/>
    <s v=""/>
    <s v=""/>
    <x v="145"/>
    <s v="Paulo Souza"/>
    <x v="154"/>
    <s v=""/>
    <d v="2025-12-12T00:00:00"/>
    <m/>
    <s v=""/>
    <s v=""/>
    <s v=""/>
    <s v=""/>
    <n v="1"/>
  </r>
  <r>
    <x v="0"/>
    <n v="705"/>
    <m/>
    <n v="2896"/>
    <s v="Não vai seguir com esse projeto no momento! Primeiro vai fazer a reciclagem e no meio do ano de 2026, voltamos a falar."/>
    <s v=""/>
    <x v="313"/>
    <n v="3761404000196"/>
    <s v=""/>
    <s v="Jose Eduardo"/>
    <s v="(19) 3492-9944"/>
    <s v=""/>
    <s v="adm@plastcap.com.br"/>
    <s v=""/>
    <s v=""/>
    <s v=""/>
    <s v="CAPIVARI"/>
    <s v="SP"/>
    <s v=""/>
    <s v=""/>
    <s v=""/>
    <s v="30%"/>
    <s v="Pipeline de Vendas"/>
    <s v="Em negociação (75%)"/>
    <s v=""/>
    <d v="2025-12-31T00:00:00"/>
    <n v="1600"/>
    <n v="384454"/>
    <n v="44"/>
    <s v="Paulo Souza"/>
    <d v="2025-11-26T00:00:00"/>
    <d v="1899-12-30T11:54:10"/>
    <s v=""/>
    <s v="Perdido"/>
    <d v="2026-01-09T00:00:00"/>
    <d v="1899-12-30T14:22:58"/>
    <s v="Projeto adiado / sem prazo definido"/>
    <s v=""/>
    <s v=""/>
    <x v="143"/>
    <s v="Paulo Souza"/>
    <x v="154"/>
    <s v=""/>
    <d v="2026-01-09T00:00:00"/>
    <m/>
    <s v=""/>
    <s v=""/>
    <s v=""/>
    <s v=""/>
    <n v="1"/>
  </r>
  <r>
    <x v="0"/>
    <n v="706"/>
    <m/>
    <n v="2897"/>
    <s v=""/>
    <s v=""/>
    <x v="314"/>
    <m/>
    <s v=""/>
    <s v="Kaue Prado"/>
    <s v="49998169464"/>
    <s v=""/>
    <s v="null"/>
    <s v=""/>
    <s v=""/>
    <s v=""/>
    <s v=""/>
    <s v=""/>
    <s v=""/>
    <s v=""/>
    <s v=""/>
    <s v=""/>
    <s v="Pipeline de Vendas"/>
    <s v="Em negociação (75%)"/>
    <s v=""/>
    <d v="2026-01-15T00:00:00"/>
    <n v="50000"/>
    <n v="2355"/>
    <n v="14"/>
    <s v="Paulo Souza"/>
    <d v="2025-11-26T00:00:00"/>
    <d v="1899-12-30T11:57:13"/>
    <s v=""/>
    <s v="Perdido"/>
    <d v="2025-12-10T00:00:00"/>
    <d v="1899-12-30T17:18:17"/>
    <s v="Não houve aprovação financeira"/>
    <s v=""/>
    <s v=""/>
    <x v="146"/>
    <s v="Paulo Souza"/>
    <x v="157"/>
    <s v=""/>
    <m/>
    <m/>
    <s v=""/>
    <s v=""/>
    <s v=""/>
    <s v=""/>
    <n v="1"/>
  </r>
  <r>
    <x v="0"/>
    <n v="707"/>
    <m/>
    <n v="2898"/>
    <s v="Após retorno do Jeferson fui informado que ele não vai seguir com o projeto no momento."/>
    <s v=""/>
    <x v="315"/>
    <m/>
    <s v=""/>
    <s v="Jeferson"/>
    <s v="83998878069"/>
    <s v=""/>
    <s v="null"/>
    <s v=""/>
    <s v=""/>
    <s v=""/>
    <s v=""/>
    <s v=""/>
    <s v="Outbound"/>
    <s v=""/>
    <s v=""/>
    <s v="90%"/>
    <s v="Pipeline de Vendas"/>
    <s v="Em negociação (75%)"/>
    <s v=""/>
    <d v="2026-01-31T00:00:00"/>
    <n v="14400"/>
    <n v="185328"/>
    <n v="47"/>
    <s v="Paulo Souza"/>
    <d v="2025-11-26T00:00:00"/>
    <d v="1899-12-30T11:59:12"/>
    <s v=""/>
    <s v="Perdido"/>
    <d v="2026-01-12T00:00:00"/>
    <d v="1899-12-30T22:24:16"/>
    <s v="Projeto adiado / sem prazo definido"/>
    <s v=""/>
    <s v=""/>
    <x v="147"/>
    <s v="Paulo Souza"/>
    <x v="158"/>
    <s v=""/>
    <d v="2026-01-12T00:00:00"/>
    <m/>
    <s v=""/>
    <s v=""/>
    <s v=""/>
    <s v=""/>
    <n v="1"/>
  </r>
  <r>
    <x v="0"/>
    <n v="708"/>
    <m/>
    <n v="2899"/>
    <s v=""/>
    <s v=""/>
    <x v="236"/>
    <m/>
    <s v=""/>
    <s v="Fabiana"/>
    <s v="16996352359"/>
    <s v=""/>
    <s v="null"/>
    <s v=""/>
    <s v=""/>
    <s v=""/>
    <s v=""/>
    <s v=""/>
    <s v=""/>
    <s v=""/>
    <s v=""/>
    <s v=""/>
    <s v="Pipeline de Vendas"/>
    <s v="Em Fechamento (100%)"/>
    <s v=""/>
    <m/>
    <m/>
    <m/>
    <n v="12"/>
    <s v="Paulo Souza"/>
    <d v="2025-11-26T00:00:00"/>
    <d v="1899-12-30T12:01:20"/>
    <s v=""/>
    <s v="Ganho"/>
    <d v="2025-12-08T00:00:00"/>
    <d v="1899-12-30T13:53:33"/>
    <s v=""/>
    <s v=""/>
    <s v=""/>
    <x v="148"/>
    <s v="Paulo Souza"/>
    <x v="159"/>
    <s v=""/>
    <m/>
    <m/>
    <s v=""/>
    <s v=""/>
    <s v=""/>
    <s v=""/>
    <n v="1"/>
  </r>
  <r>
    <x v="0"/>
    <n v="709"/>
    <m/>
    <n v="2900"/>
    <s v=""/>
    <s v=""/>
    <x v="316"/>
    <m/>
    <s v=""/>
    <s v="Gustavo"/>
    <s v="16996352359"/>
    <s v=""/>
    <s v="null"/>
    <s v=""/>
    <s v=""/>
    <s v=""/>
    <s v=""/>
    <s v=""/>
    <s v=""/>
    <s v=""/>
    <s v=""/>
    <s v=""/>
    <s v="Pipeline de Vendas"/>
    <s v="Em Fechamento (100%)"/>
    <s v=""/>
    <m/>
    <m/>
    <m/>
    <n v="12"/>
    <s v="Paulo Souza"/>
    <d v="2025-11-26T00:00:00"/>
    <d v="1899-12-30T12:02:41"/>
    <s v=""/>
    <s v="Ganho"/>
    <d v="2025-12-08T00:00:00"/>
    <d v="1899-12-30T14:21:05"/>
    <s v=""/>
    <s v=""/>
    <s v=""/>
    <x v="149"/>
    <s v="Paulo Souza"/>
    <x v="160"/>
    <s v=""/>
    <m/>
    <m/>
    <s v=""/>
    <s v=""/>
    <s v=""/>
    <s v=""/>
    <n v="1"/>
  </r>
  <r>
    <x v="1"/>
    <n v="711"/>
    <m/>
    <n v="2902"/>
    <s v="O próximo passo é Junior Lopes contatar a Tânia para confirmar o envio do vídeo do armazém e obter uma data definida para isso. Ele também deve atualizar no sistema o campo “O que falta para atingir o objetivo” com os requisitos pendentes e registrar um próximo passo com data, como analisar o vídeo ou agendar uma reunião para discutir sua avaliação."/>
    <s v=""/>
    <x v="317"/>
    <m/>
    <s v=""/>
    <s v="FaFa Import - WMS"/>
    <s v="86188758539"/>
    <s v=""/>
    <s v="null"/>
    <s v=""/>
    <s v=""/>
    <s v=""/>
    <s v=""/>
    <s v=""/>
    <s v=""/>
    <s v=""/>
    <s v=""/>
    <s v="50%"/>
    <s v="Pipeline de Vendas"/>
    <s v="Em Fechamento (100%)"/>
    <s v=""/>
    <d v="2026-02-09T00:00:00"/>
    <n v="235848"/>
    <n v="14256"/>
    <n v="65"/>
    <s v="Junior Lopes"/>
    <d v="2025-11-26T00:00:00"/>
    <d v="1899-12-30T15:05:11"/>
    <s v=""/>
    <s v="Perdido"/>
    <d v="2026-01-30T00:00:00"/>
    <d v="1899-12-30T15:36:59"/>
    <s v="Projeto adiado / sem prazo definido"/>
    <s v="sem retorno"/>
    <s v=""/>
    <x v="132"/>
    <s v="Junior Lopes"/>
    <x v="153"/>
    <s v=""/>
    <d v="2025-12-12T00:00:00"/>
    <m/>
    <s v=""/>
    <s v=""/>
    <s v=""/>
    <s v=""/>
    <n v="1"/>
  </r>
  <r>
    <x v="1"/>
    <n v="714"/>
    <m/>
    <n v="2910"/>
    <s v=""/>
    <s v=""/>
    <x v="318"/>
    <m/>
    <s v=""/>
    <s v="Tecelagem Castilho - Proposta Web"/>
    <s v="6293622662"/>
    <s v=""/>
    <s v="null"/>
    <s v=""/>
    <s v=""/>
    <s v=""/>
    <s v=""/>
    <s v=""/>
    <s v=""/>
    <s v=""/>
    <s v=""/>
    <s v=""/>
    <s v="Pipeline de Vendas"/>
    <s v="Em negociação (75%)"/>
    <s v=""/>
    <m/>
    <n v="0"/>
    <n v="209"/>
    <n v="12"/>
    <s v="Junior Lopes"/>
    <d v="2025-11-28T00:00:00"/>
    <d v="1899-12-30T14:27:28"/>
    <s v=""/>
    <s v="Perdido"/>
    <d v="2025-12-10T00:00:00"/>
    <d v="1899-12-30T10:00:03"/>
    <s v="Não quer mudar a solução atual"/>
    <s v="por enquanto vai fazer as aprovações via ERP"/>
    <s v=""/>
    <x v="142"/>
    <s v=""/>
    <x v="161"/>
    <s v=""/>
    <m/>
    <m/>
    <s v=""/>
    <s v=""/>
    <s v=""/>
    <s v=""/>
    <n v="1"/>
  </r>
  <r>
    <x v="0"/>
    <n v="717"/>
    <m/>
    <n v="2945"/>
    <s v="Falei hoje 09/01/2026 com o Mario para saber se seguiremos. Ele está fora do brasil retomar contato em 15/01._x000a_23/01 fazer proposta e enviar ao mario._x000a_06/02 Fiz FUP e não evoluiu a conversa pois o Mario está estruturando a empresa e nesse momento vai aguardar."/>
    <s v=""/>
    <x v="319"/>
    <m/>
    <s v=""/>
    <s v="Mario Perez"/>
    <s v="(11) 99471-3332"/>
    <s v=""/>
    <s v="mariovperez@hotmail.com"/>
    <s v=""/>
    <s v=""/>
    <s v=""/>
    <s v="São Paulo"/>
    <s v=""/>
    <s v="Site"/>
    <s v=""/>
    <s v=""/>
    <s v="30%"/>
    <s v="Pipeline de Vendas"/>
    <s v="Apresentar Proposta (50%)"/>
    <s v=""/>
    <d v="2026-01-31T00:00:00"/>
    <m/>
    <m/>
    <n v="68"/>
    <s v="Paulo Souza"/>
    <d v="2025-12-01T00:00:00"/>
    <d v="1899-12-30T15:50:11"/>
    <s v=""/>
    <s v="Perdido"/>
    <d v="2026-02-07T00:00:00"/>
    <d v="1899-12-30T08:22:44"/>
    <s v="Não quer mudar a solução atual"/>
    <s v=""/>
    <s v=""/>
    <x v="150"/>
    <s v="Paulo Souza"/>
    <x v="162"/>
    <s v=""/>
    <d v="2026-01-23T00:00:00"/>
    <n v="30"/>
    <s v=""/>
    <s v=""/>
    <s v=""/>
    <s v=""/>
    <n v="1"/>
  </r>
  <r>
    <x v="0"/>
    <n v="718"/>
    <m/>
    <n v="2913"/>
    <s v="Falei com a Valeria hoje 09/01/26 para saber sobre a retomada do projeto._x000a_23/01 Fiz FUP hoje com a Valeria cobrando se seguiremos ou não com o projeto, prazo para declinar 31/01."/>
    <s v=""/>
    <x v="320"/>
    <m/>
    <s v=""/>
    <s v="Valéria Honorato da Silva"/>
    <s v="(45) 99903-2312"/>
    <s v=""/>
    <s v="valeriahonoratomkt@gmail.com"/>
    <s v=""/>
    <s v=""/>
    <s v=""/>
    <s v="Santa Tereza do Oeste"/>
    <s v=""/>
    <s v="Site"/>
    <s v=""/>
    <s v=""/>
    <s v="30%;Pausado;Solicita demo"/>
    <s v="Pipeline de Vendas"/>
    <s v="Qualificação de Vendas (SQL) (25%)"/>
    <s v=""/>
    <d v="2026-04-30T00:00:00"/>
    <m/>
    <m/>
    <n v="161"/>
    <s v="Paulo Souza"/>
    <d v="2025-12-01T00:00:00"/>
    <d v="1899-12-30T16:23:02"/>
    <s v=""/>
    <s v="Perdido"/>
    <d v="2026-05-11T00:00:00"/>
    <d v="1899-12-30T11:55:42"/>
    <s v="Projeto adiado / sem prazo definido"/>
    <s v=""/>
    <s v=""/>
    <x v="151"/>
    <s v="Paulo Souza"/>
    <x v="162"/>
    <s v=""/>
    <d v="2026-04-10T00:00:00"/>
    <n v="30"/>
    <s v=""/>
    <s v=""/>
    <s v=""/>
    <s v=""/>
    <n v="1"/>
  </r>
  <r>
    <x v="0"/>
    <n v="719"/>
    <m/>
    <n v="2904"/>
    <s v="Falei com a Kelly hoje que me passou as informações que faltava para formular a proposta. Agora e falar com o Fernando e montar a proposta e apresentar._x000a_23/01 Falei com a Kelly em 19/01, e ela avisou que estava de férias e que retorno essa semana , e que só vai conseguir analisar a proposta na semana do dia 26/01, quando retornarei o contato._x000a_07/02 Fiz FUP com a Kelly e perguntei se ela vai ou não seguir com o projeto, não retornou ainda._x000a_12/03 12/03 Fiz FUP com a Kelly e a mesma esta analisando a proposta. Como esta semana ela tá fazendo compra de natal, vai conseguir parar e ver a proposta amanhã 13/03._x000a_20/03 Cobrando a Kelly para ir para o fechamento."/>
    <s v=""/>
    <x v="321"/>
    <n v="3674537000125"/>
    <s v=""/>
    <s v="kelly"/>
    <s v="(12) 97403-0134"/>
    <s v=""/>
    <s v="mkt@valport.com.br"/>
    <s v=""/>
    <s v=""/>
    <s v=""/>
    <s v="São Paulo"/>
    <s v=""/>
    <s v="Site"/>
    <s v=""/>
    <s v=""/>
    <s v="50%;Solicita demo"/>
    <s v="Pipeline de Vendas"/>
    <s v="Em negociação (75%)"/>
    <s v=""/>
    <d v="2026-03-31T00:00:00"/>
    <n v="104490"/>
    <n v="111957"/>
    <n v="130"/>
    <s v="Paulo Souza"/>
    <d v="2025-12-01T00:00:00"/>
    <d v="1899-12-30T16:37:54"/>
    <s v=""/>
    <s v="Perdido"/>
    <d v="2026-04-10T00:00:00"/>
    <d v="1899-12-30T15:54:49"/>
    <s v="Projeto adiado / sem prazo definido"/>
    <s v=""/>
    <s v=""/>
    <x v="151"/>
    <s v="Paulo Souza"/>
    <x v="163"/>
    <s v=""/>
    <d v="2026-03-20T00:00:00"/>
    <n v="30"/>
    <s v="416"/>
    <s v="ERP, AFV, BI, PDV, ADICIONAIS"/>
    <s v="R$ 104.490"/>
    <s v="R$ 11.195,70"/>
    <n v="1"/>
  </r>
  <r>
    <x v="0"/>
    <n v="725"/>
    <m/>
    <n v="2970"/>
    <s v="Cobrei hoje 09/01 o Alex, para saber sobre a evolução do projeto em 2026._x000a_14/01 - O Alex me ligou hoje avisando que a empresa optou pelo mais barato e fechou com a RioSoft."/>
    <s v=""/>
    <x v="322"/>
    <m/>
    <s v=""/>
    <s v="Alex"/>
    <s v="1799137617"/>
    <s v=""/>
    <s v="null"/>
    <s v=""/>
    <s v=""/>
    <s v=""/>
    <s v=""/>
    <s v=""/>
    <s v=""/>
    <s v=""/>
    <s v=""/>
    <s v="30%;Pausado"/>
    <s v="Pipeline de Vendas"/>
    <s v="Em negociação (75%)"/>
    <s v=""/>
    <d v="2026-03-31T00:00:00"/>
    <n v="315000"/>
    <n v="32575"/>
    <n v="37"/>
    <s v="Paulo Souza"/>
    <d v="2025-12-08T00:00:00"/>
    <d v="1899-12-30T13:58:57"/>
    <s v=""/>
    <s v="Perdido"/>
    <d v="2026-01-14T00:00:00"/>
    <d v="1899-12-30T18:52:38"/>
    <s v="Fechou com o concorrente - preço"/>
    <s v="O Alex me ligou hoje avisando que a empresa optou pelo mais barato e fechou com a RioSoft."/>
    <s v=""/>
    <x v="151"/>
    <s v="Paulo Souza"/>
    <x v="164"/>
    <s v=""/>
    <d v="2026-01-09T00:00:00"/>
    <m/>
    <s v=""/>
    <s v=""/>
    <s v=""/>
    <s v=""/>
    <n v="1"/>
  </r>
  <r>
    <x v="0"/>
    <n v="726"/>
    <m/>
    <n v="2971"/>
    <s v=""/>
    <s v=""/>
    <x v="323"/>
    <m/>
    <s v=""/>
    <s v="Raymond"/>
    <s v="11982685555"/>
    <s v=""/>
    <s v="null"/>
    <s v=""/>
    <s v=""/>
    <s v=""/>
    <s v=""/>
    <s v=""/>
    <s v=""/>
    <s v=""/>
    <s v=""/>
    <s v=""/>
    <s v="Pipeline de Vendas"/>
    <s v="Em Fechamento (100%)"/>
    <s v=""/>
    <m/>
    <n v="0"/>
    <n v="57024"/>
    <n v="0"/>
    <s v="Paulo Souza"/>
    <d v="2025-12-08T00:00:00"/>
    <d v="1899-12-30T14:06:46"/>
    <s v=""/>
    <s v="Ganho"/>
    <d v="2025-12-08T00:00:00"/>
    <d v="1899-12-30T14:09:01"/>
    <s v=""/>
    <s v=""/>
    <s v=""/>
    <x v="152"/>
    <s v="Paulo Souza"/>
    <x v="162"/>
    <s v=""/>
    <m/>
    <m/>
    <s v=""/>
    <s v=""/>
    <s v=""/>
    <s v=""/>
    <n v="1"/>
  </r>
  <r>
    <x v="0"/>
    <n v="727"/>
    <m/>
    <n v="2969"/>
    <s v="Hoje 09/01/26 cobrei a Michelli para saber se ela vai seguir ou não com o projeto._x000a_23/01 - Fiz FUp com a Michelle hoje para saber se vamos ou não seguir com o projeto. _x000a_R: Falou que a proposta esta sobe analise da diretoria e que para a próxima semana já terá um retorno. _x000a_07/02 Fiz FUP com a Michelle e ela me posicionou que não vai trocar de sistema por enquanto."/>
    <s v=""/>
    <x v="324"/>
    <m/>
    <s v=""/>
    <s v="MICHELE"/>
    <s v="(12) 99635-6502"/>
    <s v=""/>
    <s v="flavia.honorato@hotmail.com"/>
    <s v=""/>
    <s v=""/>
    <s v=""/>
    <s v="Guaratinguetá"/>
    <s v=""/>
    <s v="Site"/>
    <s v=""/>
    <s v=""/>
    <s v="30%;Solicita demo"/>
    <s v="Pipeline de Vendas"/>
    <s v="Em negociação (75%)"/>
    <s v=""/>
    <d v="2026-01-31T00:00:00"/>
    <n v="47200"/>
    <n v="22981"/>
    <n v="60"/>
    <s v="Paulo Souza"/>
    <d v="2025-12-09T00:00:00"/>
    <d v="1899-12-30T14:14:17"/>
    <s v=""/>
    <s v="Perdido"/>
    <d v="2026-02-07T00:00:00"/>
    <d v="1899-12-30T08:55:56"/>
    <s v="Não quer mudar a solução atual"/>
    <s v="07/02 Fiz FUP com a Michelle e ela me posicionou que não vai trocar de sistema por enquanto."/>
    <s v=""/>
    <x v="153"/>
    <s v="Paulo Souza"/>
    <x v="165"/>
    <s v=""/>
    <d v="2026-02-07T00:00:00"/>
    <n v="30"/>
    <s v=""/>
    <s v=""/>
    <s v=""/>
    <s v=""/>
    <n v="1"/>
  </r>
  <r>
    <x v="0"/>
    <n v="728"/>
    <m/>
    <n v="2973"/>
    <s v="Falei com a Kelly hoje que me passou as informações que faltava para formular a proposta. Agora e falar com o Fernando e montar a proposta e apresentar._x000a_13/01/2026 - Apresentar proposta_x000a_23/01 Falei com a Kelly em 19/01, e ela avisou que estava de férias e que retorno essa semana , e que só vai conseguir analisar a proposta na semana do dia 26/01, quando retornarei o contato._x000a_07/02 Fiz FUP com a Kelly e perguntei se ela vai ou não seguir com o projeto, não retornou ainda._x000a_12/03 12/03 Fiz FUP com a Kelly e a mesma esta analisando a proposta. Como esta semana ela tá fazendo compra de natal, vai conseguir parar e ver a proposta amanhã 13/03._x000a_20/03 Cobrando a Kelly para ir para o fechamento."/>
    <s v=""/>
    <x v="325"/>
    <n v="3674537000125"/>
    <s v=""/>
    <s v="Kelly"/>
    <s v="(12) 3204-5200"/>
    <s v=""/>
    <s v="financeiro@valport.com.br"/>
    <s v=""/>
    <s v=""/>
    <s v=""/>
    <s v="SAO JOSE DOS CAMPOS"/>
    <s v="SP"/>
    <s v="Outbound"/>
    <s v=""/>
    <s v=""/>
    <s v="50%"/>
    <s v="Pipeline de Vendas"/>
    <s v="Em negociação (75%)"/>
    <s v=""/>
    <d v="2026-03-31T00:00:00"/>
    <n v="1700"/>
    <n v="13100"/>
    <n v="121"/>
    <s v="Paulo Souza"/>
    <d v="2025-12-10T00:00:00"/>
    <d v="1899-12-30T17:33:41"/>
    <s v=""/>
    <s v="Perdido"/>
    <d v="2026-04-10T00:00:00"/>
    <d v="1899-12-30T15:55:20"/>
    <s v="Projeto adiado / sem prazo definido"/>
    <s v=""/>
    <s v=""/>
    <x v="153"/>
    <s v="Paulo Souza"/>
    <x v="165"/>
    <s v=""/>
    <d v="2026-03-20T00:00:00"/>
    <n v="30"/>
    <s v="80"/>
    <s v="B2B"/>
    <s v="R$ 13.100"/>
    <s v="R$ 1.700"/>
    <n v="1"/>
  </r>
  <r>
    <x v="0"/>
    <n v="729"/>
    <m/>
    <n v="2972"/>
    <s v="Falei com o Dalvan que esta devendo os dados para fazer a proposta. Segundo ele até o dia 09/01/26 ele termina de preencher. Após receber fazer proposta junto ao Fernando._x000a_23/01 Fiz FUP hoje com o DALVAN, o bicho é enrolado não responde os questionamentos que preciso para fazer a proposta._x000a_06/02 Estou declinando a proposta por falta de interação. o Dalvan, não me responde."/>
    <s v=""/>
    <x v="326"/>
    <m/>
    <s v=""/>
    <s v="Dalvan barros"/>
    <s v="(99) 98265-8209"/>
    <s v=""/>
    <s v="atualmiix@gmail.com"/>
    <s v=""/>
    <s v=""/>
    <s v=""/>
    <s v="Porto Franco"/>
    <s v=""/>
    <s v="Site"/>
    <s v=""/>
    <s v=""/>
    <s v="30%;Solicita demo"/>
    <s v="Pipeline de Vendas"/>
    <s v="Apresentar Proposta (50%)"/>
    <s v=""/>
    <d v="2026-01-31T00:00:00"/>
    <m/>
    <m/>
    <n v="59"/>
    <s v="Paulo Souza"/>
    <d v="2025-12-10T00:00:00"/>
    <d v="1899-12-30T22:55:29"/>
    <s v=""/>
    <s v="Perdido"/>
    <d v="2026-02-07T00:00:00"/>
    <d v="1899-12-30T08:20:54"/>
    <s v="Projeto adiado / sem prazo definido"/>
    <s v="06/02 Estou declinando a proposta por falta de interação. o Dalvan, não me responde."/>
    <s v=""/>
    <x v="154"/>
    <s v="Paulo Souza"/>
    <x v="166"/>
    <s v=""/>
    <d v="2026-02-06T00:00:00"/>
    <n v="30"/>
    <s v=""/>
    <s v=""/>
    <s v=""/>
    <s v=""/>
    <n v="1"/>
  </r>
  <r>
    <x v="1"/>
    <n v="730"/>
    <m/>
    <n v="2977"/>
    <s v="(07/01/2026) visita comercial _x000a_(14/01/2026) Visita apresentação com Max _x000a_(29/01/2026) cliente esta ligando para nossos clientes  _x000a_(24/04/2026) Bassel não responde , não esta no momento certo"/>
    <s v="Vic Import, Comercio, Importacao E Exportacao De Brinquedos E Utilidades Em Geral Ltda"/>
    <x v="327"/>
    <n v="50828915000168"/>
    <s v=""/>
    <s v="Vic Import, Comercio, Importacao E Exportacao De Brinquedos E Utilidades Em Geral Ltda"/>
    <s v="(11) 2171-0800"/>
    <s v=""/>
    <s v="legal@vrscontabil.com.br"/>
    <s v=""/>
    <s v=""/>
    <s v=""/>
    <s v="SAO PAULO"/>
    <s v="SP"/>
    <s v="Base de empresas Leads2b"/>
    <s v=""/>
    <s v=""/>
    <s v="50%;Fabio Indica"/>
    <s v="Pipeline de Vendas"/>
    <s v="Em negociação (75%)"/>
    <s v=""/>
    <d v="2026-02-28T00:00:00"/>
    <n v="44000"/>
    <n v="13781"/>
    <n v="134"/>
    <s v="Junior Lopes"/>
    <d v="2025-12-11T00:00:00"/>
    <d v="1899-12-30T10:06:06"/>
    <s v=""/>
    <s v="Perdido"/>
    <d v="2026-04-24T00:00:00"/>
    <d v="1899-12-30T09:24:13"/>
    <s v="Projeto adiado / sem prazo definido"/>
    <s v="(24/04/2026) Bassel não responde , não esta no momento certo"/>
    <s v=""/>
    <x v="155"/>
    <s v="Junior Lopes"/>
    <x v="167"/>
    <s v="14/01/2026"/>
    <d v="2026-04-24T00:00:00"/>
    <n v="50"/>
    <s v=""/>
    <s v=""/>
    <s v=""/>
    <s v=""/>
    <n v="1"/>
  </r>
  <r>
    <x v="1"/>
    <n v="731"/>
    <m/>
    <n v="2980"/>
    <s v=""/>
    <s v=""/>
    <x v="328"/>
    <m/>
    <s v=""/>
    <s v="Vic Import - AFV"/>
    <s v="1121710800"/>
    <s v=""/>
    <s v="legal@vrscontabil.com.br"/>
    <s v=""/>
    <s v=""/>
    <s v=""/>
    <s v=""/>
    <s v=""/>
    <s v=""/>
    <s v=""/>
    <s v=""/>
    <s v="50%"/>
    <s v="Pipeline de Vendas"/>
    <s v="Em negociação (75%)"/>
    <s v=""/>
    <d v="2026-01-31T00:00:00"/>
    <n v="8000"/>
    <n v="19642"/>
    <n v="49"/>
    <s v="Junior Lopes"/>
    <d v="2025-12-11T00:00:00"/>
    <d v="1899-12-30T10:21:27"/>
    <s v=""/>
    <s v="Perdido"/>
    <d v="2026-01-29T00:00:00"/>
    <d v="1899-12-30T15:51:08"/>
    <s v="Não quer mudar a solução atual"/>
    <s v="seguindo com ERP"/>
    <s v=""/>
    <x v="156"/>
    <s v=""/>
    <x v="168"/>
    <s v=""/>
    <d v="2026-01-09T00:00:00"/>
    <m/>
    <s v=""/>
    <s v=""/>
    <s v=""/>
    <s v=""/>
    <n v="1"/>
  </r>
  <r>
    <x v="1"/>
    <n v="732"/>
    <m/>
    <n v="2981"/>
    <s v="(07/01/2026) visita comercial _x000a_(14/01/2026) Visita apresentação com Max _x000a_(29/01/2026) cliente esta ligando para nossos clientes"/>
    <s v=""/>
    <x v="329"/>
    <m/>
    <s v=""/>
    <s v="Vic Import - Cloud"/>
    <s v="1121710800"/>
    <s v=""/>
    <s v="legal@vrscontabil.com.br"/>
    <s v=""/>
    <s v=""/>
    <s v=""/>
    <s v=""/>
    <s v=""/>
    <s v=""/>
    <s v=""/>
    <s v=""/>
    <s v="50%"/>
    <s v="Pipeline de Vendas"/>
    <s v="Em negociação (75%)"/>
    <s v=""/>
    <d v="2026-02-28T00:00:00"/>
    <n v="1600"/>
    <n v="34428"/>
    <n v="134"/>
    <s v="Junior Lopes"/>
    <d v="2025-12-11T00:00:00"/>
    <d v="1899-12-30T10:23:08"/>
    <s v=""/>
    <s v="Perdido"/>
    <d v="2026-04-24T00:00:00"/>
    <d v="1899-12-30T09:35:19"/>
    <s v="Projeto adiado / sem prazo definido"/>
    <s v="(24/04/2026) Bassel não responde , não esta no momento certo"/>
    <s v=""/>
    <x v="155"/>
    <s v="Junior Lopes"/>
    <x v="167"/>
    <s v="14/01/2026"/>
    <d v="2026-04-24T00:00:00"/>
    <n v="50"/>
    <s v=""/>
    <s v=""/>
    <s v=""/>
    <s v=""/>
    <n v="1"/>
  </r>
  <r>
    <x v="1"/>
    <n v="733"/>
    <m/>
    <n v="2982"/>
    <s v=""/>
    <s v="Conthey Presentes E Decoracoes Ltda"/>
    <x v="330"/>
    <n v="96280292000809"/>
    <s v=""/>
    <s v="Conthey Presentes E Decoracoes Ltda"/>
    <s v="(11) 2081-7750"/>
    <s v=""/>
    <s v="sc@conthey.com.br"/>
    <s v=""/>
    <s v=""/>
    <s v=""/>
    <s v="PALHOCA"/>
    <s v="SC"/>
    <s v="Base de empresas Leads2b"/>
    <s v=""/>
    <s v=""/>
    <s v="90%;Fabio Indica"/>
    <s v="Pipeline de Vendas"/>
    <s v="Em Fechamento (100%)"/>
    <s v=""/>
    <d v="2026-02-28T00:00:00"/>
    <n v="580005"/>
    <n v="7230"/>
    <n v="62"/>
    <s v="Junior Lopes"/>
    <d v="2025-12-11T00:00:00"/>
    <d v="1899-12-30T11:21:41"/>
    <s v=""/>
    <s v="Ganho"/>
    <d v="2026-02-11T00:00:00"/>
    <d v="1899-12-30T17:49:12"/>
    <s v=""/>
    <s v=""/>
    <s v=""/>
    <x v="157"/>
    <s v="Junior Lopes"/>
    <x v="169"/>
    <s v=""/>
    <d v="2026-01-16T00:00:00"/>
    <n v="90"/>
    <s v=""/>
    <s v=""/>
    <s v=""/>
    <s v=""/>
    <n v="1"/>
  </r>
  <r>
    <x v="1"/>
    <n v="734"/>
    <m/>
    <n v="2985"/>
    <s v="fechamos ERP , estou descartando essa oportunidade"/>
    <s v=""/>
    <x v="331"/>
    <m/>
    <s v=""/>
    <s v="Conthey - AFV"/>
    <s v="11982163176"/>
    <s v=""/>
    <s v="sc@conthey.com.br"/>
    <s v=""/>
    <s v=""/>
    <s v=""/>
    <s v=""/>
    <s v=""/>
    <s v=""/>
    <s v=""/>
    <s v=""/>
    <s v="50%"/>
    <s v="Pipeline de Vendas"/>
    <s v="Em negociação (75%)"/>
    <s v=""/>
    <d v="2026-01-16T00:00:00"/>
    <n v="0"/>
    <n v="19642"/>
    <n v="47"/>
    <s v="Junior Lopes"/>
    <d v="2025-12-11T00:00:00"/>
    <d v="1899-12-30T11:31:04"/>
    <s v=""/>
    <s v="Perdido"/>
    <d v="2026-01-27T00:00:00"/>
    <d v="1899-12-30T16:32:05"/>
    <s v="Cliente não quer contato LGPD"/>
    <s v="fechamos ERP , estou descartando essa oportunidade"/>
    <s v=""/>
    <x v="157"/>
    <s v=""/>
    <x v="169"/>
    <s v=""/>
    <d v="2026-01-27T00:00:00"/>
    <m/>
    <s v=""/>
    <s v=""/>
    <s v=""/>
    <s v=""/>
    <n v="1"/>
  </r>
  <r>
    <x v="1"/>
    <n v="735"/>
    <m/>
    <n v="2986"/>
    <s v="(24/04/2026) Conthey vai manter o servidor local , em breve caso necessário irá migrar para cloud"/>
    <s v=""/>
    <x v="332"/>
    <m/>
    <s v=""/>
    <s v="Conthey - Cloud"/>
    <s v="11982163176"/>
    <s v=""/>
    <s v="sc@conthey.com.br"/>
    <s v=""/>
    <s v=""/>
    <s v=""/>
    <s v=""/>
    <s v=""/>
    <s v=""/>
    <s v=""/>
    <s v=""/>
    <s v="80%"/>
    <s v="Pipeline de Vendas"/>
    <s v="Em Fechamento (100%)"/>
    <s v=""/>
    <d v="2026-01-16T00:00:00"/>
    <n v="1600"/>
    <n v="524246"/>
    <n v="134"/>
    <s v="Junior Lopes"/>
    <d v="2025-12-11T00:00:00"/>
    <d v="1899-12-30T11:33:08"/>
    <s v=""/>
    <s v="Perdido"/>
    <d v="2026-04-24T00:00:00"/>
    <d v="1899-12-30T09:04:14"/>
    <s v="Não quer mudar a solução atual"/>
    <s v="(24/04/2026) Conthey vai manter o servidor local , em breve caso necessário irá migrar para cloud"/>
    <s v=""/>
    <x v="157"/>
    <s v="Junior Lopes"/>
    <x v="169"/>
    <s v=""/>
    <d v="2026-04-24T00:00:00"/>
    <n v="80"/>
    <s v=""/>
    <s v=""/>
    <s v=""/>
    <s v=""/>
    <n v="1"/>
  </r>
  <r>
    <x v="1"/>
    <n v="736"/>
    <m/>
    <n v="2988"/>
    <s v=""/>
    <s v=""/>
    <x v="333"/>
    <m/>
    <s v=""/>
    <s v="Star - B2B"/>
    <s v="17997793113"/>
    <s v=""/>
    <s v="comercial@distribuidorastar.com.br"/>
    <s v=""/>
    <s v=""/>
    <s v=""/>
    <s v=""/>
    <s v=""/>
    <s v=""/>
    <s v=""/>
    <s v=""/>
    <s v="30%"/>
    <s v="Pipeline de Vendas"/>
    <s v="Em negociação (75%)"/>
    <s v=""/>
    <d v="2025-12-17T00:00:00"/>
    <n v="26200"/>
    <n v="3400"/>
    <n v="50"/>
    <s v="Junior Lopes"/>
    <d v="2025-12-11T00:00:00"/>
    <d v="1899-12-30T15:26:26"/>
    <s v=""/>
    <s v="Perdido"/>
    <d v="2026-01-30T00:00:00"/>
    <d v="1899-12-30T15:36:18"/>
    <s v="Projeto adiado / sem prazo definido"/>
    <s v="sem retorno"/>
    <s v=""/>
    <x v="158"/>
    <s v=""/>
    <x v="170"/>
    <s v="15/12/2025"/>
    <d v="2026-01-09T00:00:00"/>
    <m/>
    <s v=""/>
    <s v=""/>
    <s v=""/>
    <s v=""/>
    <n v="1"/>
  </r>
  <r>
    <x v="1"/>
    <n v="737"/>
    <m/>
    <n v="2989"/>
    <s v=""/>
    <s v=""/>
    <x v="334"/>
    <m/>
    <s v=""/>
    <s v="Tecelagem Castilho - Contábil"/>
    <s v="62993609476"/>
    <s v=""/>
    <s v="null"/>
    <s v=""/>
    <s v=""/>
    <s v=""/>
    <s v=""/>
    <s v=""/>
    <s v=""/>
    <s v=""/>
    <s v=""/>
    <s v="30%"/>
    <s v="Pipeline de Vendas"/>
    <s v="Em negociação (75%)"/>
    <s v=""/>
    <d v="2025-12-17T00:00:00"/>
    <n v="22824"/>
    <n v="68904"/>
    <n v="1"/>
    <s v="Junior Lopes"/>
    <d v="2025-12-11T00:00:00"/>
    <d v="1899-12-30T15:56:07"/>
    <s v=""/>
    <s v="Perdido"/>
    <d v="2025-12-12T00:00:00"/>
    <d v="1899-12-30T16:41:43"/>
    <s v="Projeto adiado / sem prazo definido"/>
    <s v="rto, obrigada_x000a_Dayane ! O módulo contábil faz sentido para vocês  ?_x000a_No momento não_x000a_Olá Dayane ! perfeito , ficamos a disposição ! um ótimo final de semana"/>
    <s v=""/>
    <x v="157"/>
    <s v=""/>
    <x v="171"/>
    <s v=""/>
    <d v="2025-12-12T00:00:00"/>
    <m/>
    <s v=""/>
    <s v=""/>
    <s v=""/>
    <s v=""/>
    <n v="1"/>
  </r>
  <r>
    <x v="1"/>
    <n v="739"/>
    <m/>
    <n v="2991"/>
    <s v=""/>
    <s v=""/>
    <x v="335"/>
    <m/>
    <s v=""/>
    <s v="Erca Alumínio - Imp.XML"/>
    <s v="19999989392"/>
    <s v=""/>
    <s v="null"/>
    <s v=""/>
    <s v=""/>
    <s v=""/>
    <s v=""/>
    <s v=""/>
    <s v=""/>
    <s v=""/>
    <s v=""/>
    <s v="30%"/>
    <s v="Pipeline de Vendas"/>
    <s v="Apresentar Proposta (50%)"/>
    <s v=""/>
    <d v="2025-12-31T00:00:00"/>
    <n v="3392"/>
    <n v="3564"/>
    <n v="76"/>
    <s v="Junior Lopes"/>
    <d v="2025-12-12T00:00:00"/>
    <d v="1899-12-30T12:21:40"/>
    <s v=""/>
    <s v="Perdido"/>
    <d v="2026-02-26T00:00:00"/>
    <d v="1899-12-30T09:21:39"/>
    <s v="Projeto adiado / sem prazo definido"/>
    <s v="sem retorno do cliente"/>
    <s v=""/>
    <x v="159"/>
    <s v="Junior Lopes"/>
    <x v="172"/>
    <s v=""/>
    <d v="2025-12-12T00:00:00"/>
    <n v="30"/>
    <s v=""/>
    <s v=""/>
    <s v=""/>
    <s v=""/>
    <n v="1"/>
  </r>
  <r>
    <x v="0"/>
    <n v="740"/>
    <m/>
    <n v="2994"/>
    <s v="Em conversa com o Valter ficou combinado de falar no dia 19/01, pois ele esta em viagem._x000a_23/01 Fiz contato com o Walter hoje para cobrar ele nossa agenda para a próxima semana._x000a_11/03 Fiz FUP com Valter, ele tem resistência em aceitar a proposta devido aos valores._x000a_20/03 Após tentativas de negociar não evoluiu porque o preço ficou fora do que o cliente gostaria de investir."/>
    <s v=""/>
    <x v="336"/>
    <m/>
    <s v=""/>
    <s v="Valter"/>
    <s v="11996577830"/>
    <s v=""/>
    <s v="vppeliciari@gmail.com"/>
    <s v=""/>
    <s v=""/>
    <s v=""/>
    <s v=""/>
    <s v=""/>
    <s v="Campanha"/>
    <s v=""/>
    <s v=""/>
    <s v="30%;Dentro Perfil;Instagram"/>
    <s v="Pipeline de Vendas"/>
    <s v="Em negociação (75%)"/>
    <s v=""/>
    <d v="2026-03-31T00:00:00"/>
    <n v="115520"/>
    <n v="65721"/>
    <n v="94"/>
    <s v="Paulo Souza"/>
    <d v="2025-12-16T00:00:00"/>
    <d v="1899-12-30T12:13:29"/>
    <s v=""/>
    <s v="Perdido"/>
    <d v="2026-03-20T00:00:00"/>
    <d v="1899-12-30T16:59:02"/>
    <s v="Preço muito alto - fora do budget de investimento"/>
    <s v=""/>
    <s v=""/>
    <x v="160"/>
    <s v="Paulo Souza"/>
    <x v="173"/>
    <s v=""/>
    <d v="2026-03-20T00:00:00"/>
    <n v="30"/>
    <s v=""/>
    <s v="ERP, PCP"/>
    <s v=""/>
    <s v=""/>
    <n v="1"/>
  </r>
  <r>
    <x v="1"/>
    <n v="741"/>
    <m/>
    <n v="2995"/>
    <s v="(16/01/2026) Entrei em contato com Allan ! segundo ele esta verificando com a diretoria sobre a sequencia no projeto ! informei que nossa proposta está vencida e que preciso de uma decisão urgente para nao  perdemos o valor _x000a_16/01/2026 em contato com Allan ! decidiu por nao dar sequencia nesse momento ! o motivo é por conta do investimento"/>
    <s v=""/>
    <x v="337"/>
    <m/>
    <s v=""/>
    <s v="Allan Kaynã Vargas"/>
    <s v="(49) 99929-0242"/>
    <s v=""/>
    <s v="comercial2@topten.net.br"/>
    <s v=""/>
    <s v=""/>
    <s v=""/>
    <s v="Guarujá do Sul"/>
    <s v=""/>
    <s v="Site"/>
    <s v=""/>
    <s v=""/>
    <s v="30%;Solicita demo"/>
    <s v="Pipeline de Vendas"/>
    <s v="Em negociação (75%)"/>
    <s v=""/>
    <d v="2026-01-31T00:00:00"/>
    <n v="44000"/>
    <n v="110248"/>
    <n v="31"/>
    <s v="Junior Lopes"/>
    <d v="2025-12-16T00:00:00"/>
    <d v="1899-12-30T17:29:27"/>
    <s v=""/>
    <s v="Perdido"/>
    <d v="2026-01-16T00:00:00"/>
    <d v="1899-12-30T15:55:46"/>
    <s v="Não houve aprovação financeira"/>
    <s v="16/01/2026 em contato com Allan ! decidiu por nao dar sequencia nesse momento ! o motivo é por conta do investimento"/>
    <s v=""/>
    <x v="161"/>
    <s v=""/>
    <x v="174"/>
    <s v="19/12/2025"/>
    <d v="2026-01-16T00:00:00"/>
    <m/>
    <s v=""/>
    <s v=""/>
    <s v=""/>
    <s v=""/>
    <n v="1"/>
  </r>
  <r>
    <x v="1"/>
    <n v="742"/>
    <m/>
    <n v="2996"/>
    <s v="(16/01/2026) Entrei em contato com Allan ! segundo ele esta verificando com a diretoria sobre a sequencia no projeto ! informei que nossa proposta está vencida e que preciso de uma decisão urgente para nao  perdemos o valor _x000a_16/01/2026 em contato com Allan ! decidiu por nao dar sequencia nesse momento ! o motivo é por conta do investimento"/>
    <s v=""/>
    <x v="338"/>
    <m/>
    <s v=""/>
    <s v="TopTem - AFV"/>
    <s v="49999290242"/>
    <s v=""/>
    <s v="comercial2@topten.net.br"/>
    <s v=""/>
    <s v=""/>
    <s v=""/>
    <s v=""/>
    <s v=""/>
    <s v=""/>
    <s v=""/>
    <s v=""/>
    <s v="30%"/>
    <s v="Pipeline de Vendas"/>
    <s v="Em negociação (75%)"/>
    <s v=""/>
    <d v="2026-01-31T00:00:00"/>
    <n v="8000"/>
    <n v="186599"/>
    <n v="31"/>
    <s v="Junior Lopes"/>
    <d v="2025-12-16T00:00:00"/>
    <d v="1899-12-30T17:31:43"/>
    <s v=""/>
    <s v="Perdido"/>
    <d v="2026-01-16T00:00:00"/>
    <d v="1899-12-30T15:56:44"/>
    <s v="Não houve aprovação financeira"/>
    <s v="16/01/2026 em contato com Allan ! decidiu por nao dar sequencia nesse momento ! o motivo é por conta do investimento"/>
    <s v=""/>
    <x v="161"/>
    <s v=""/>
    <x v="174"/>
    <s v="19/12/2025"/>
    <d v="2026-01-16T00:00:00"/>
    <m/>
    <s v=""/>
    <s v=""/>
    <s v=""/>
    <s v=""/>
    <n v="1"/>
  </r>
  <r>
    <x v="1"/>
    <n v="746"/>
    <m/>
    <n v="3004"/>
    <s v=""/>
    <s v=""/>
    <x v="339"/>
    <m/>
    <s v=""/>
    <s v="Atacado Sibras 1.99"/>
    <s v="4191190775"/>
    <s v=""/>
    <s v="andrearnpauli@hotmail.com"/>
    <s v=""/>
    <s v=""/>
    <s v=""/>
    <s v=""/>
    <s v=""/>
    <s v="Campanha"/>
    <s v=""/>
    <s v=""/>
    <s v="Fora Perfil;Instagram"/>
    <s v="Pipeline de Vendas"/>
    <s v="Agendamento (0%)"/>
    <s v=""/>
    <m/>
    <m/>
    <m/>
    <n v="135"/>
    <s v="Junior Lopes"/>
    <d v="2025-12-22T00:00:00"/>
    <d v="1899-12-30T08:30:48"/>
    <s v=""/>
    <s v="Perdido"/>
    <d v="2026-05-06T00:00:00"/>
    <d v="1899-12-30T16:31:41"/>
    <s v="Fora do porte mínimo (sem fit estrutural)"/>
    <s v="lojista"/>
    <s v=""/>
    <x v="0"/>
    <s v=""/>
    <x v="0"/>
    <s v=""/>
    <m/>
    <m/>
    <s v=""/>
    <s v=""/>
    <s v=""/>
    <s v=""/>
    <n v="1"/>
  </r>
  <r>
    <x v="1"/>
    <n v="747"/>
    <m/>
    <n v="3003"/>
    <s v=""/>
    <s v=""/>
    <x v="340"/>
    <m/>
    <s v=""/>
    <s v="BJ Engenharia"/>
    <s v="6195770926"/>
    <s v=""/>
    <s v="eduaniceto@engenhariabomjesus.com.br"/>
    <s v=""/>
    <s v=""/>
    <s v=""/>
    <s v=""/>
    <s v=""/>
    <s v="Campanha"/>
    <s v=""/>
    <s v=""/>
    <s v="Fora Perfil;Instagram"/>
    <s v="Pipeline de Vendas"/>
    <s v="Agendamento (0%)"/>
    <s v=""/>
    <m/>
    <m/>
    <m/>
    <n v="138"/>
    <s v="Junior Lopes"/>
    <d v="2025-12-22T00:00:00"/>
    <d v="1899-12-30T08:35:32"/>
    <s v=""/>
    <s v="Perdido"/>
    <d v="2026-05-09T00:00:00"/>
    <d v="1899-12-30T08:04:32"/>
    <s v="Fora do segmento atendido"/>
    <s v=""/>
    <s v=""/>
    <x v="0"/>
    <s v=""/>
    <x v="0"/>
    <s v=""/>
    <m/>
    <m/>
    <s v=""/>
    <s v=""/>
    <s v=""/>
    <s v=""/>
    <n v="1"/>
  </r>
  <r>
    <x v="1"/>
    <n v="748"/>
    <m/>
    <n v="3011"/>
    <s v="Lead entrou em contato no Whatsapp Business do Damián._x000a_(21/01/2026) 09:14, 21/01/2026 Junior Lopes: Olá Dário ! Bom dia , Td bem ?_x000a_09:30, 21/01/2026 Chavetas: Bom dia Júnior, td bem ? Estou a analisar as diversas empresas que tive contato, os prós e contras, porém com calma, para fazer algo que realmente atenda a necessidades._x000a_(21/01/2026) além do material que enviei para Dário , sugeri a ele uma visita comercial para apresentar nossas soluções _x000a_(29/01/2026) Estou alinhando com Dário mais uma rodada de apresentação ! ele esta indeciso em algumas opções concorrentes _x000a_(02/03/2026) em contato com Dário _x000a_Esta em analise com alguns ERPs, porem nada com previsão imediata devido a outras prioridades ! estou descartando e manterei contato via WhatsApp"/>
    <s v=""/>
    <x v="341"/>
    <n v="9260618000165"/>
    <s v=""/>
    <s v="Chavetas Comércio de Peças e Ferramentas Ltda."/>
    <s v="(11) 98183-5003"/>
    <s v=""/>
    <s v="dario@chavetasecia.com.br"/>
    <s v=""/>
    <s v=""/>
    <s v=""/>
    <s v=""/>
    <s v=""/>
    <s v="Campanha"/>
    <s v=""/>
    <s v=""/>
    <s v="30%;Dentro Perfil;Instagram"/>
    <s v="Pipeline de Vendas"/>
    <s v="Apresentar Solução (35%)"/>
    <s v=""/>
    <d v="2026-01-31T00:00:00"/>
    <m/>
    <m/>
    <n v="62"/>
    <s v="Junior Lopes"/>
    <d v="2025-12-30T00:00:00"/>
    <d v="1899-12-30T11:08:44"/>
    <s v=""/>
    <s v="Perdido"/>
    <d v="2026-03-02T00:00:00"/>
    <d v="1899-12-30T11:31:09"/>
    <s v="Não quer mudar a solução atual"/>
    <s v="(02/03/2026) em contato com Dário _x000a_Esta em analise com alguns ERPs, porem nada com previsão imediata devido a outras prioridades ! estou descartando e manterei contato via WhatsApp"/>
    <s v=""/>
    <x v="0"/>
    <s v="Junior Lopes"/>
    <x v="167"/>
    <s v=""/>
    <d v="2026-03-02T00:00:00"/>
    <n v="30"/>
    <s v=""/>
    <s v=""/>
    <s v=""/>
    <s v=""/>
    <n v="1"/>
  </r>
  <r>
    <x v="1"/>
    <n v="749"/>
    <m/>
    <n v="3006"/>
    <s v="(21/01/2026) em contato com Edilson _x000a_pediu para retornar contato no dia 26/01 pois esta bem corrido devido a um feriado na cidade ! ele pediu para enviar material sobre nossas soluções _x000a_(29/01/2026) Cliente esta analisando demais ferramentas ! estamos organizando apresentação do AFV _x000a_(18/02/2026) Edilson declinou por conta do valor acima da expectativa de investimento ! não ofertou contra proposta pq valor estava bem acima do esperado"/>
    <s v=""/>
    <x v="342"/>
    <n v="34667612000154"/>
    <s v=""/>
    <s v="ColorUnhas"/>
    <s v="(44) 9706-9580"/>
    <s v=""/>
    <s v="colorunhas@uol.com.br"/>
    <s v=""/>
    <s v=""/>
    <s v=""/>
    <s v="TELEMACO BORBA"/>
    <s v="PR"/>
    <s v="Campanha"/>
    <s v=""/>
    <s v=""/>
    <s v="30%;Dentro Perfil;Instagram"/>
    <s v="Pipeline de Vendas"/>
    <s v="Apresentar Proposta (50%)"/>
    <s v=""/>
    <d v="2026-02-28T00:00:00"/>
    <n v="1117015"/>
    <n v="468739"/>
    <n v="50"/>
    <s v="Junior Lopes"/>
    <d v="2025-12-30T00:00:00"/>
    <d v="1899-12-30T11:28:58"/>
    <s v=""/>
    <s v="Perdido"/>
    <d v="2026-02-18T00:00:00"/>
    <d v="1899-12-30T08:52:33"/>
    <s v="Não houve aprovação financeira"/>
    <s v="(18/02/2026) Edilson declinou por conta do valor acima da expectativa de investimento ! não ofertou contra proposta pq valor estava bem acima do esperado"/>
    <s v=""/>
    <x v="162"/>
    <s v="Junior Lopes"/>
    <x v="175"/>
    <s v="05/02/2026"/>
    <d v="2026-02-18T00:00:00"/>
    <n v="30"/>
    <s v=""/>
    <s v=""/>
    <s v=""/>
    <s v=""/>
    <n v="1"/>
  </r>
  <r>
    <x v="2"/>
    <n v="750"/>
    <m/>
    <n v="3016"/>
    <s v="Reunião agendada para o dia 23/01 _x000a_17-02 Cliente deu negativa no avanço do projeto,pois o valor ficou fora do que estão planejando _x000a_E receberam uma proposta comercial de 30mil de implantação e 4mil de mensalidade do sistema webmais_x000a_https://webmaissistemas.com.br/"/>
    <s v=""/>
    <x v="343"/>
    <n v="1574467000108"/>
    <s v=""/>
    <s v="Doce festa"/>
    <s v="17981152060"/>
    <s v=""/>
    <s v="paulopedroso@produtosdocefesta.com.br"/>
    <s v=""/>
    <s v=""/>
    <s v=""/>
    <s v=""/>
    <s v=""/>
    <s v="Campanha"/>
    <s v=""/>
    <s v=""/>
    <s v="50%;Dentro Perfil;Instagram"/>
    <s v="Pipeline de Vendas"/>
    <s v="Em negociação (75%)"/>
    <s v=""/>
    <d v="2026-03-31T00:00:00"/>
    <n v="12996348"/>
    <n v="860884"/>
    <n v="43"/>
    <s v="Rayssa Karapeticov"/>
    <d v="2026-01-05T00:00:00"/>
    <d v="1899-12-30T11:50:01"/>
    <s v=""/>
    <s v="Perdido"/>
    <d v="2026-02-17T00:00:00"/>
    <d v="1899-12-30T16:19:52"/>
    <s v="Preço muito alto - fora do budget de investimento"/>
    <s v=""/>
    <s v=""/>
    <x v="0"/>
    <s v="Rayssa Karapeticov"/>
    <x v="167"/>
    <s v="05/02/2026"/>
    <d v="2026-02-05T00:00:00"/>
    <n v="50"/>
    <s v=""/>
    <s v=""/>
    <s v=""/>
    <s v=""/>
    <n v="1"/>
  </r>
  <r>
    <x v="2"/>
    <n v="754"/>
    <m/>
    <n v="3017"/>
    <s v="Proposta feita,aguardando agenda do cliente para apresentar_x000a_Oi, Rayssa, tudo bem?_x000a_Estamos em processo de mudança de local e, por isso, essa semana está bem corrida por aqui. Acabei ficando sem tempo para conseguir conversar com calma agora."/>
    <s v="Irriga House Irrigacao Comercial Agricola Ltda"/>
    <x v="344"/>
    <n v="61516270000144"/>
    <s v=""/>
    <s v="Irriga house"/>
    <s v="11973112176"/>
    <s v=""/>
    <s v="vendas@irrigahouse.com.br"/>
    <s v=""/>
    <s v=""/>
    <s v=""/>
    <s v="JUNDIAI"/>
    <s v="SP"/>
    <s v="Campanha"/>
    <s v=""/>
    <s v=""/>
    <s v="30%;Dentro Perfil;Instagram"/>
    <s v="Pipeline de Vendas"/>
    <s v="Apresentar Proposta (50%)"/>
    <s v=""/>
    <d v="2026-04-30T00:00:00"/>
    <m/>
    <m/>
    <n v="13"/>
    <s v="Rayssa Karapeticov"/>
    <d v="2026-01-07T00:00:00"/>
    <d v="1899-12-30T10:16:04"/>
    <s v=""/>
    <s v="Perdido"/>
    <d v="2026-01-20T00:00:00"/>
    <d v="1899-12-30T17:15:42"/>
    <s v="Não quer mudar a solução atual"/>
    <s v=""/>
    <s v=""/>
    <x v="163"/>
    <s v="Rayssa Karapeticov"/>
    <x v="176"/>
    <s v=""/>
    <d v="2026-01-19T00:00:00"/>
    <m/>
    <s v=""/>
    <s v=""/>
    <s v=""/>
    <s v=""/>
    <n v="1"/>
  </r>
  <r>
    <x v="0"/>
    <n v="757"/>
    <m/>
    <n v="3046"/>
    <s v="Hoje (12/01/26) cobrei o Allan se ele tem interesse nas soluções da Guarani Sim ou Não. Por ele não atende minhas ligações. (13/01 - Chamei e liguei para o Allan, sem retorno._x000a_12/01 Fiz FUP, com Allan, fechou com uma empresa de menor e falou que se não se adaptar volta a fazer contato."/>
    <s v=""/>
    <x v="345"/>
    <m/>
    <s v=""/>
    <s v="Allan"/>
    <s v="12982018157"/>
    <s v=""/>
    <s v="e.mazala@hotmail.com"/>
    <s v=""/>
    <s v=""/>
    <s v=""/>
    <s v=""/>
    <s v=""/>
    <s v="Campanha"/>
    <s v=""/>
    <s v=""/>
    <s v="30%;Dentro Perfil;Instagram"/>
    <s v="Pipeline de Vendas"/>
    <s v="Qualificação de Vendas (SQL) (25%)"/>
    <s v=""/>
    <d v="2026-01-12T00:00:00"/>
    <m/>
    <m/>
    <n v="15"/>
    <s v="Paulo Souza"/>
    <d v="2026-01-08T00:00:00"/>
    <d v="1899-12-30T15:56:57"/>
    <s v=""/>
    <s v="Perdido"/>
    <d v="2026-01-23T00:00:00"/>
    <d v="1899-12-30T17:53:36"/>
    <s v="Fechou com o concorrente - preço"/>
    <s v="optou por uma empresa menor neste momento."/>
    <s v=""/>
    <x v="0"/>
    <s v="Paulo Souza"/>
    <x v="0"/>
    <s v=""/>
    <d v="2026-01-12T00:00:00"/>
    <m/>
    <s v=""/>
    <s v=""/>
    <s v=""/>
    <s v=""/>
    <n v="1"/>
  </r>
  <r>
    <x v="0"/>
    <n v="758"/>
    <m/>
    <n v="3048"/>
    <s v="Liberado em degustação por 7 dias e depois efetivar vendas ._x000a_Liberado a degustação em 12/01._x000a_19/01: Cobrei o Mario pra saber se esta tudo ok. E se iremos seguir ou não com a contratação._x000a_23/01 - Em conversa com o Mario, o suporte ainda esta configurando e após vai treinar e assim vou conseguir contabilizar os 7 dias de degustação e fechar o negocio._x000a_26/02 Não avançou."/>
    <s v=""/>
    <x v="346"/>
    <m/>
    <s v=""/>
    <s v="Mario"/>
    <s v="11982243773"/>
    <s v=""/>
    <s v="vendas1.jpdistribuidora@gmail.com"/>
    <s v=""/>
    <s v=""/>
    <s v=""/>
    <s v=""/>
    <s v=""/>
    <s v=""/>
    <s v=""/>
    <s v=""/>
    <s v="50%"/>
    <s v="Pipeline de Vendas"/>
    <s v="Em negociação (75%)"/>
    <s v=""/>
    <d v="2026-02-26T00:00:00"/>
    <n v="0"/>
    <n v="66"/>
    <n v="49"/>
    <s v="Paulo Souza"/>
    <d v="2026-01-08T00:00:00"/>
    <d v="1899-12-30T16:54:28"/>
    <s v=""/>
    <s v="Perdido"/>
    <d v="2026-02-26T00:00:00"/>
    <d v="1899-12-30T22:15:54"/>
    <s v="Não houve aprovação financeira"/>
    <s v=""/>
    <s v=""/>
    <x v="164"/>
    <s v="Paulo Souza"/>
    <x v="177"/>
    <s v=""/>
    <d v="2026-02-26T00:00:00"/>
    <n v="50"/>
    <s v="2"/>
    <s v="ADICIONAIS"/>
    <s v="R$ 0"/>
    <s v="R$ 66"/>
    <n v="1"/>
  </r>
  <r>
    <x v="0"/>
    <n v="759"/>
    <m/>
    <n v="3049"/>
    <s v="Fechado."/>
    <s v=""/>
    <x v="347"/>
    <n v="10345472000130"/>
    <s v=""/>
    <s v="Walter"/>
    <s v="19983040748"/>
    <s v=""/>
    <s v="walter@akitembembarato.com"/>
    <s v=""/>
    <s v=""/>
    <s v=""/>
    <s v=""/>
    <s v=""/>
    <s v=""/>
    <s v=""/>
    <s v=""/>
    <s v="90%"/>
    <s v="Pipeline de Vendas"/>
    <s v="Em Fechamento (100%)"/>
    <s v=""/>
    <d v="2026-01-31T00:00:00"/>
    <n v="1505387"/>
    <n v="27562"/>
    <n v="4"/>
    <s v="Paulo Souza"/>
    <d v="2026-01-08T00:00:00"/>
    <d v="1899-12-30T17:14:43"/>
    <s v=""/>
    <s v="Ganho"/>
    <d v="2026-01-12T00:00:00"/>
    <d v="1899-12-30T14:36:45"/>
    <s v=""/>
    <s v=""/>
    <s v=""/>
    <x v="164"/>
    <s v="Paulo Souza"/>
    <x v="177"/>
    <s v=""/>
    <m/>
    <m/>
    <s v=""/>
    <s v=""/>
    <s v=""/>
    <s v=""/>
    <n v="1"/>
  </r>
  <r>
    <x v="0"/>
    <n v="760"/>
    <m/>
    <n v="3050"/>
    <s v="Falei com o Robson hoje , questionando sobre a proposta e se tem alguma dúvida._x000a_23/01 - Fiz FUPs hoje com o Robson :_x000a_R: Bom dia Paulo, fiz umas considerações na proposta e farei uma reunia com os diretores para apresentação, na sequência quero marcar uma reunião com vocês para conversarmos._x000a_Eu espero te posicionar na próxima terça-feira._x000a_26/02 Alinhar com o Fernando a sequência dos itens que será abordados. E qual item já foi entregue e horas consumidas!_x000a_12/03 O projeto já iniciou e o combinado é que vai cobrar conforme entrega de etapas._x000a_12/03 O projeto já iniciou e o combinado é que vai cobrar conforme entrega de etapas._x000a_20/03 Após alinhamento foi criado pela implantação 10 etapas no projeto, para o acompanhamento e posterior fechamento de horas."/>
    <s v=""/>
    <x v="348"/>
    <n v="3204281000192"/>
    <s v=""/>
    <s v="Robson"/>
    <s v="(11) 4677-6249/ (11) 4677-6250"/>
    <s v=""/>
    <s v="contato@aluminionacional.com.br"/>
    <s v=""/>
    <s v=""/>
    <s v=""/>
    <s v="FERRAZ DE VASCONCELOS"/>
    <s v="SP"/>
    <s v=""/>
    <s v=""/>
    <s v=""/>
    <s v="90%"/>
    <s v="Pipeline de Vendas"/>
    <s v="Em Fechamento (100%)"/>
    <s v=""/>
    <d v="2026-03-31T00:00:00"/>
    <n v="58000"/>
    <n v="0"/>
    <n v="132"/>
    <s v="Paulo Souza"/>
    <d v="2026-01-08T00:00:00"/>
    <d v="1899-12-30T17:22:05"/>
    <s v=""/>
    <s v="Ativo"/>
    <m/>
    <m/>
    <s v=""/>
    <s v=""/>
    <s v=""/>
    <x v="165"/>
    <s v="Paulo Souza"/>
    <x v="178"/>
    <s v=""/>
    <d v="2026-03-20T00:00:00"/>
    <n v="90"/>
    <s v="290"/>
    <s v="TREINAMENTO"/>
    <s v="R$ 58.000,00"/>
    <s v="R$ 0"/>
    <n v="1"/>
  </r>
  <r>
    <x v="0"/>
    <n v="761"/>
    <m/>
    <n v="3053"/>
    <s v="Falei com a Enila e cobrei uma posição se vamos avançar ou não com o projeto. Ela ficou de conversar com o Glayson e me dar um retorno até 12/01/2026."/>
    <s v=""/>
    <x v="349"/>
    <n v="12585697000199"/>
    <s v=""/>
    <s v="Enila"/>
    <s v="(16) 3412-8794"/>
    <s v=""/>
    <s v="operacao@pcp.eng.br"/>
    <s v=""/>
    <s v=""/>
    <s v=""/>
    <s v="SAO CARLOS"/>
    <s v="SP"/>
    <s v=""/>
    <s v=""/>
    <s v=""/>
    <s v=""/>
    <s v="Pipeline de Vendas"/>
    <s v="Em negociação (75%)"/>
    <s v=""/>
    <d v="2026-01-31T00:00:00"/>
    <n v="8100"/>
    <n v="1080"/>
    <n v="4"/>
    <s v="Paulo Souza"/>
    <d v="2026-01-08T00:00:00"/>
    <d v="1899-12-30T17:28:40"/>
    <s v=""/>
    <s v="Perdido"/>
    <d v="2026-01-12T00:00:00"/>
    <d v="1899-12-30T14:31:42"/>
    <s v="Não quer mudar a solução atual"/>
    <s v=""/>
    <s v=""/>
    <x v="164"/>
    <s v="Paulo Souza"/>
    <x v="177"/>
    <s v=""/>
    <d v="2026-01-09T00:00:00"/>
    <m/>
    <s v=""/>
    <s v=""/>
    <s v=""/>
    <s v=""/>
    <n v="1"/>
  </r>
  <r>
    <x v="0"/>
    <n v="762"/>
    <m/>
    <n v="3040"/>
    <s v="Falei com o Ivan hoje que não me deu atenção avisou que estava no transito e não podia atender. Falou para chamar ele no zap e combinar um horário semana que vem. 13/01 - Retomei contato com o IVan e não obtive retorno._x000a_23/01 declinei a proposta por falta de interesse por parte do cliente, não me atendeu e nem respondeu meus contatos."/>
    <s v=""/>
    <x v="350"/>
    <m/>
    <s v=""/>
    <s v="Ivan"/>
    <s v="11930305063"/>
    <s v=""/>
    <s v="liraivan2000@yahoo.com.br"/>
    <s v=""/>
    <s v=""/>
    <s v=""/>
    <s v=""/>
    <s v=""/>
    <s v="Campanha"/>
    <s v=""/>
    <s v=""/>
    <s v="30%;Fora Perfil;Instagram"/>
    <s v="Pipeline de Vendas"/>
    <s v="Qualificação de Vendas (SQL) (25%)"/>
    <s v=""/>
    <d v="2026-01-23T00:00:00"/>
    <m/>
    <m/>
    <n v="15"/>
    <s v="Paulo Souza"/>
    <d v="2026-01-08T00:00:00"/>
    <d v="1899-12-30T17:34:33"/>
    <s v=""/>
    <s v="Perdido"/>
    <d v="2026-01-23T00:00:00"/>
    <d v="1899-12-30T17:56:12"/>
    <s v="Fora do porte mínimo (sem fit estrutural)"/>
    <s v=""/>
    <s v=""/>
    <x v="0"/>
    <s v="Paulo Souza"/>
    <x v="0"/>
    <s v=""/>
    <d v="2026-01-23T00:00:00"/>
    <m/>
    <s v=""/>
    <s v=""/>
    <s v=""/>
    <s v=""/>
    <n v="1"/>
  </r>
  <r>
    <x v="1"/>
    <n v="763"/>
    <m/>
    <n v="3058"/>
    <s v="(12/01/2026) Em contato com Bruno realizamos uma apresentação do força de vendas em 12/01/2026 e falamos um pouco sobre nosso ERP ! logo pediu uma ideia de investimento para seguir _x000a_(29/01/2026) Após envio de proposta cliente não respondeu mais"/>
    <s v=""/>
    <x v="351"/>
    <n v="55042933000133"/>
    <s v=""/>
    <s v="Folha Dourada Tabacos Ltda"/>
    <s v="(32) 8408-3586"/>
    <s v=""/>
    <s v="atacabaco@gmail.com"/>
    <s v=""/>
    <s v=""/>
    <s v=""/>
    <s v="JUIZ DE FORA"/>
    <s v="MG"/>
    <s v="Campanha"/>
    <s v=""/>
    <s v=""/>
    <s v="30%;Dentro Perfil;Instagram"/>
    <s v="Pipeline de Vendas"/>
    <s v="Apresentar Solução (35%)"/>
    <s v=""/>
    <d v="2026-01-31T00:00:00"/>
    <n v="61904"/>
    <n v="13156"/>
    <n v="20"/>
    <s v="Junior Lopes"/>
    <d v="2026-01-09T00:00:00"/>
    <d v="1899-12-30T11:15:37"/>
    <s v=""/>
    <s v="Perdido"/>
    <d v="2026-01-29T00:00:00"/>
    <d v="1899-12-30T14:30:59"/>
    <s v="Projeto adiado / sem prazo definido"/>
    <s v="(29/01/2026) Após envio de proposta cliente não respondeu mais"/>
    <s v=""/>
    <x v="166"/>
    <s v=""/>
    <x v="179"/>
    <s v=""/>
    <d v="2026-01-29T00:00:00"/>
    <m/>
    <s v=""/>
    <s v=""/>
    <s v=""/>
    <s v=""/>
    <n v="1"/>
  </r>
  <r>
    <x v="2"/>
    <n v="764"/>
    <m/>
    <n v="3007"/>
    <s v="Realizamos a apresentação do ERP junto com o  Max seguindo o documento deles de chekilist d aderencia do software, tiraram duvidas dos processos e seguiemos para uma segunda apresentação do AFV e Do BI_x000a_26/01 Video do AFV encaminhado ao cliente, _x000a_Precisamos de mais uma agenda para demonstração das demais soluções_x000a_26.01 - aguardando Fernando passar horas do projeto_x000a_05.02 estou tentando falar com o cliente a algum tempo,fizemos uma reunião para discutir pontos sobre o ERP. E após isso cliente pediu uma proposta comercial, porém para seguir eu precisava levantar alguns dados que não me foram enviados e depois de várias tentativas cliente não me respondeu_x000a_Após nossa reunião sobre o ERP, preparei os pontos necessários para avançarmos com a proposta comercial. No entanto, não recebi os dados solicitados para dar continuidade e, sem eles, não conseguimos evoluir._x000a_Gostaria de reforçar que esta solução representa uma oportunidade única de crescimento e ganho de eficiência para sua empresa. Cada semana de Como não tive nenhum retorno, entendo que não há interesse em seguir neste momento e encerrarei o processo. Ainda assim, permanecerei à disposição para retomar quando considerar oportuno._x000a_Atenciosamente,"/>
    <s v=""/>
    <x v="352"/>
    <n v="51776465000170"/>
    <s v=""/>
    <s v="CLS Química"/>
    <s v="16996298460"/>
    <s v=""/>
    <s v="keila.graciele@clsquimica.com.br"/>
    <s v=""/>
    <s v=""/>
    <s v=""/>
    <s v=""/>
    <s v=""/>
    <s v="Campanha"/>
    <s v=""/>
    <s v=""/>
    <s v="30%;Dentro Perfil;Instagram"/>
    <s v="Pipeline de Vendas"/>
    <s v="Apresentar Proposta (50%)"/>
    <s v=""/>
    <d v="2026-03-31T00:00:00"/>
    <m/>
    <m/>
    <n v="120"/>
    <s v="Rayssa Karapeticov"/>
    <d v="2026-01-09T00:00:00"/>
    <d v="1899-12-30T11:44:25"/>
    <s v=""/>
    <s v="Perdido"/>
    <d v="2026-05-09T00:00:00"/>
    <d v="1899-12-30T08:32:37"/>
    <s v="Não quer mudar a solução atual"/>
    <s v=""/>
    <s v=""/>
    <x v="0"/>
    <s v="Rayssa Karapeticov"/>
    <x v="180"/>
    <s v=""/>
    <d v="2026-01-28T00:00:00"/>
    <m/>
    <s v=""/>
    <s v=""/>
    <s v=""/>
    <s v=""/>
    <n v="1"/>
  </r>
  <r>
    <x v="0"/>
    <n v="766"/>
    <m/>
    <n v="3063"/>
    <s v="Tiago, retorna apena no dia 15/01, data que retomo o contato com ele._x000a_23/01 - Fechamos negocio."/>
    <s v=""/>
    <x v="353"/>
    <m/>
    <s v=""/>
    <s v="Tiago"/>
    <s v="11971597112"/>
    <s v=""/>
    <s v="null"/>
    <s v=""/>
    <s v=""/>
    <s v=""/>
    <s v=""/>
    <s v=""/>
    <s v=""/>
    <s v=""/>
    <s v=""/>
    <s v="90%;Fabio Indica"/>
    <s v="Pipeline de Vendas"/>
    <s v="Em Fechamento (100%)"/>
    <s v=""/>
    <d v="2026-01-15T00:00:00"/>
    <n v="56100"/>
    <n v="67334"/>
    <n v="14"/>
    <s v="Paulo Souza"/>
    <d v="2026-01-09T00:00:00"/>
    <d v="1899-12-30T15:28:21"/>
    <s v=""/>
    <s v="Ganho"/>
    <d v="2026-01-23T00:00:00"/>
    <d v="1899-12-30T11:05:59"/>
    <s v=""/>
    <s v=""/>
    <s v=""/>
    <x v="164"/>
    <s v="Paulo Souza"/>
    <x v="181"/>
    <s v=""/>
    <d v="2026-01-15T00:00:00"/>
    <m/>
    <s v=""/>
    <s v=""/>
    <s v=""/>
    <s v=""/>
    <n v="1"/>
  </r>
  <r>
    <x v="0"/>
    <n v="767"/>
    <m/>
    <n v="3064"/>
    <s v="Cobrei o André hoje aguardando o retorno sobre a evolução do projeto._x000a_19/01 Fiz FUP com o Andre ele me posicionou que o presidente esta afastado por motivos de saúde e que como ele que decide, só na volta dele para avança. A previsão e que ele retorne na semana do dia 26/1._x000a_07/02 Fiz fup hoje com o André e aguardo a posição dele se a diretoria retornou e se vamos seguir ou não com o projeto._x000a_27/02 Por falta de retorno por parte do cliente, estou declinando a proposta."/>
    <s v=""/>
    <x v="354"/>
    <m/>
    <s v=""/>
    <s v="Andre"/>
    <s v="11982745856"/>
    <s v=""/>
    <s v="andrefelipone@olealimentos.com.br"/>
    <s v=""/>
    <s v=""/>
    <s v=""/>
    <s v=""/>
    <s v=""/>
    <s v=""/>
    <s v=""/>
    <s v=""/>
    <s v="30%;Fabio Indica"/>
    <s v="Pipeline de Vendas"/>
    <s v="Em negociação (75%)"/>
    <s v=""/>
    <d v="2026-01-31T00:00:00"/>
    <n v="16000"/>
    <n v="18330"/>
    <n v="49"/>
    <s v="Paulo Souza"/>
    <d v="2026-01-09T00:00:00"/>
    <d v="1899-12-30T15:38:45"/>
    <s v=""/>
    <s v="Perdido"/>
    <d v="2026-02-27T00:00:00"/>
    <d v="1899-12-30T21:22:05"/>
    <s v="Preço muito alto - fora do budget de investimento"/>
    <s v=""/>
    <s v=""/>
    <x v="167"/>
    <s v="Paulo Souza"/>
    <x v="178"/>
    <s v=""/>
    <d v="2026-01-19T00:00:00"/>
    <n v="30"/>
    <s v="80"/>
    <s v="AFV"/>
    <s v="R$ 16.000"/>
    <s v="R$ 18.330"/>
    <n v="1"/>
  </r>
  <r>
    <x v="2"/>
    <n v="768"/>
    <m/>
    <n v="2107"/>
    <s v="11:25, 1/13/2026 +55 47 8834-5510: Bom dia Rayssa. Tudo bem?_x000a_11:25, 1/13/2026 +55 47 8834-5510: Aguarde um pouco antes de continuar a RFP._x000a_11:25, 1/13/2026 Rayssa Karapeticov - Comercial - Guarani Sistemas: Tudo otimo e  você?_x000a_Blzinha_x000a_11:28, 1/13/2026 +55 47 8834-5510: Existem alguns itens que observei e conversei com as áreas envolvidas, e que são difícil de negociar, comparado com outros fabricantes que já estão também participando._x000a_11:29, 1/13/2026 +55 47 8834-5510: Vamos deixar nesse momento suspenso o processo de RFP com vcs, e caso ocorra alguma mudança muito grande com aqueles que estão participando, eu aviso a necessidade de retomar ok?_x000a_11:29, 1/13/2026 +55 47 8834-5510: Agradeço demais seu tempo até aqui, e é realmente para evitar um trabalho maior agora, que tz não seja possível avançar depois._x000a_11:30, 1/13/2026 +55 47 8834-5510: 🙏🏻🙏🏻🙏🏻🙏🏻_x000a_11:30, 1/13/2026 Rayssa Karapeticov - Comercial - Guarani Sistemas: Entendo perfeitamente, para resgistro de feedback, quais são esses pontos?_x000a_11:32, 1/13/2026 +55 47 8834-5510: Em especial itens de tecnologia, e alguns pontos das áreas de negócio já preenchidas. _x000a_Fiz um bate papo com a equipe para olharmos oq já foi preenchido, e relacionamos com os demais fabricantes que estão participando._x000a_11:33, 1/13/2026 Rayssa Karapeticov - Comercial - Guarani Sistemas: Certo, fico a disposição aqui caso queira continuar. _x000a_Qualquer duvida também pode me chamar_x000a_11:33, 1/13/2026 +55 47 8834-5510: Como o objetivo é seguir a prox fase com no máx 3 fabricantes, outros fabricantes já se enquadraram melhor no que estamos buscando._x000a_11:33, 1/13/2026 +55 47 8834-5510: Mas se algo mudar durante o processo, eu aviso. Muito obrigadoooo!!!_x000a_11:34, 1/13/2026 Rayssa Karapeticov - Comercial - Guarani Sistemas: Combinado"/>
    <s v="Maral Industria E Comercio De Brinquedos Ltda"/>
    <x v="355"/>
    <n v="10469551000152"/>
    <s v=""/>
    <s v="Carlos Alberto Kuehl"/>
    <s v="(47) 3387-5400/ (47) 3394-0982"/>
    <s v=""/>
    <s v="contato@maral.ind.br"/>
    <s v=""/>
    <s v=""/>
    <s v=""/>
    <s v="POMERODE"/>
    <s v="SC"/>
    <s v="Base de empresas Leads2b"/>
    <s v=""/>
    <s v=""/>
    <s v="30%;Dentro Perfil;Feiras"/>
    <s v="Pipeline de Vendas"/>
    <s v="Qualificação de Vendas (SQL) (25%)"/>
    <s v=""/>
    <d v="2026-04-30T00:00:00"/>
    <m/>
    <m/>
    <n v="11"/>
    <s v="Rayssa Karapeticov"/>
    <d v="2026-01-09T00:00:00"/>
    <d v="1899-12-30T16:53:32"/>
    <s v=""/>
    <s v="Perdido"/>
    <d v="2026-01-20T00:00:00"/>
    <d v="1899-12-30T17:10:21"/>
    <s v="Fechou com o concorrente - preço"/>
    <s v=""/>
    <s v=""/>
    <x v="0"/>
    <s v=""/>
    <x v="0"/>
    <s v=""/>
    <d v="2026-01-13T00:00:00"/>
    <m/>
    <s v=""/>
    <s v=""/>
    <s v=""/>
    <s v=""/>
    <n v="1"/>
  </r>
  <r>
    <x v="0"/>
    <n v="769"/>
    <m/>
    <n v="2997"/>
    <s v="Falei com o Kleber hoje novamente e estou aguardando ele me dar um retorno sobre agenda. 13/01 - Fiz contato com o Kleber para saber se tem interesse ou não em seguir,"/>
    <s v=""/>
    <x v="356"/>
    <m/>
    <s v=""/>
    <s v="Kleber"/>
    <s v="11991898161"/>
    <s v=""/>
    <s v="kleber.ppbh@gmail.com"/>
    <s v=""/>
    <s v=""/>
    <s v=""/>
    <s v=""/>
    <s v=""/>
    <s v="Campanha"/>
    <s v=""/>
    <s v=""/>
    <s v="30%;Dentro Perfil;Instagram"/>
    <s v="Pipeline de Vendas"/>
    <s v="Qualificação de Vendas (SQL) (25%)"/>
    <s v=""/>
    <d v="2026-01-31T00:00:00"/>
    <m/>
    <m/>
    <n v="1"/>
    <s v="Paulo Souza"/>
    <d v="2026-01-12T00:00:00"/>
    <d v="1899-12-30T17:30:01"/>
    <s v=""/>
    <s v="Perdido"/>
    <d v="2026-01-13T00:00:00"/>
    <d v="1899-12-30T17:30:51"/>
    <s v="Não quer mudar a solução atual"/>
    <s v=""/>
    <s v=""/>
    <x v="0"/>
    <s v="Paulo Souza"/>
    <x v="0"/>
    <s v=""/>
    <m/>
    <m/>
    <s v=""/>
    <s v=""/>
    <s v=""/>
    <s v=""/>
    <n v="1"/>
  </r>
  <r>
    <x v="0"/>
    <n v="770"/>
    <m/>
    <n v="3005"/>
    <s v="Falei Com Omar hoje 12/01 e ele falou que retorna de viagem dia 15/01 e é para procurá-lo._x000a_23/01 Fiz FUP hoje como o Omar, para avançar com uma agenda na quinta ou sexta da semana do dia 26/01. Aguardando o retorno do cleinte._x000a_09/02/26 Fiz fup e ele acabou fechando com um sistema pequeno."/>
    <s v=""/>
    <x v="357"/>
    <n v="18190972000151"/>
    <s v=""/>
    <s v="Zini home"/>
    <s v="12997937887"/>
    <s v=""/>
    <s v="omar@zinihome.com.br"/>
    <s v=""/>
    <s v=""/>
    <s v=""/>
    <s v=""/>
    <s v=""/>
    <s v="Campanha"/>
    <s v=""/>
    <s v=""/>
    <s v="30%;Dentro Perfil;Instagram"/>
    <s v="Pipeline de Vendas"/>
    <s v="Qualificação de Vendas (SQL) (25%)"/>
    <s v=""/>
    <d v="2026-01-31T00:00:00"/>
    <m/>
    <m/>
    <n v="38"/>
    <s v="Paulo Souza"/>
    <d v="2026-01-12T00:00:00"/>
    <d v="1899-12-30T17:33:46"/>
    <s v=""/>
    <s v="Perdido"/>
    <d v="2026-02-19T00:00:00"/>
    <d v="1899-12-30T17:50:16"/>
    <s v="Fechou com o concorrente - preço"/>
    <s v=""/>
    <s v=""/>
    <x v="0"/>
    <s v="Paulo Souza"/>
    <x v="0"/>
    <s v=""/>
    <d v="2026-01-23T00:00:00"/>
    <n v="30"/>
    <s v=""/>
    <s v=""/>
    <s v=""/>
    <s v=""/>
    <n v="1"/>
  </r>
  <r>
    <x v="0"/>
    <n v="771"/>
    <m/>
    <n v="3001"/>
    <s v="Fernando , esta de féria e só vamos conseguir realizar o bate-papo após o seu retorno. O previsto é no dia 16/01/2026._x000a_23/01 Fiz FUP hoje com o Fernando para agendar uma reunião na semana que vem , na quarta ou quinta._x000a_05/02 Fiz FUP hoje com o Fernando, e ele cancelou a nossa reunião das 10h. Fiz uma nova agenda para o dia 11/02 às 15h!_x000a_12/03  Fiz FUP com o Fernando afim de saber se ele vai querer continuar ou nao._x000a_12/03 Por falta de interesse estou declinando o lead. Após apresentar a solução o cliente esfriou e sumiu não dando retorno._x000a_20/03 Fiz FUP e cobrei o Fernando se seguiremos ou não com o projeto."/>
    <s v=""/>
    <x v="358"/>
    <m/>
    <s v=""/>
    <s v="Russa Diatribuidora"/>
    <s v="11991303160"/>
    <s v=""/>
    <s v="fernando@russadistribuidora.com.br"/>
    <s v=""/>
    <s v=""/>
    <s v=""/>
    <s v=""/>
    <s v=""/>
    <s v="Campanha"/>
    <s v=""/>
    <s v=""/>
    <s v="30%;Dentro Perfil;Instagram"/>
    <s v="Pipeline de Vendas"/>
    <s v="Em negociação (75%)"/>
    <s v=""/>
    <d v="2026-03-31T00:00:00"/>
    <n v="6840289"/>
    <n v="44907"/>
    <n v="126"/>
    <s v="Paulo Souza"/>
    <d v="2026-01-12T00:00:00"/>
    <d v="1899-12-30T17:38:29"/>
    <s v=""/>
    <s v="Perdido"/>
    <d v="2026-05-18T00:00:00"/>
    <d v="1899-12-30T16:52:10"/>
    <s v="Não era o decisor - sem acesso"/>
    <s v=""/>
    <s v=""/>
    <x v="168"/>
    <s v="Paulo Souza"/>
    <x v="182"/>
    <s v=""/>
    <d v="2026-04-20T00:00:00"/>
    <n v="30"/>
    <s v=""/>
    <s v="ERP, AFV"/>
    <s v=""/>
    <s v=""/>
    <n v="1"/>
  </r>
  <r>
    <x v="0"/>
    <n v="772"/>
    <m/>
    <n v="3008"/>
    <s v="Após conversa com Everaldo ele informou que el loja de varejo e não vamos atender varejo em 2026"/>
    <s v=""/>
    <x v="359"/>
    <m/>
    <s v=""/>
    <s v="Everaldo"/>
    <s v="(21) 96439-0742"/>
    <s v=""/>
    <s v="e.leonardojr@hotmail.com"/>
    <s v=""/>
    <s v=""/>
    <s v=""/>
    <s v="Rio de Janeiro"/>
    <s v=""/>
    <s v="Site"/>
    <s v=""/>
    <s v=""/>
    <s v="30%"/>
    <s v="Pipeline de Vendas"/>
    <s v="Qualificação de Vendas (SQL) (25%)"/>
    <s v=""/>
    <d v="2026-01-31T00:00:00"/>
    <m/>
    <m/>
    <n v="0"/>
    <s v="Paulo Souza"/>
    <d v="2026-01-12T00:00:00"/>
    <d v="1899-12-30T17:43:14"/>
    <s v=""/>
    <s v="Perdido"/>
    <d v="2026-01-12T00:00:00"/>
    <d v="1899-12-30T22:28:23"/>
    <s v="Fora do porte mínimo (sem fit estrutural)"/>
    <s v=""/>
    <s v=""/>
    <x v="0"/>
    <s v="Paulo Souza"/>
    <x v="0"/>
    <s v=""/>
    <m/>
    <m/>
    <s v=""/>
    <s v=""/>
    <s v=""/>
    <s v=""/>
    <n v="1"/>
  </r>
  <r>
    <x v="0"/>
    <n v="773"/>
    <m/>
    <n v="3000"/>
    <s v="Falei com o Joao hoje 12/01 e combinamos de conversa na segunda dia 15/01._x000a_23/01 Fiz FUP hoje com o João para agendar uma apresentação na próxima semana."/>
    <s v=""/>
    <x v="360"/>
    <m/>
    <s v=""/>
    <s v="João"/>
    <s v="(17) 98126-9337"/>
    <s v=""/>
    <s v="joao@stokfrios.com.br"/>
    <s v=""/>
    <s v=""/>
    <s v=""/>
    <s v="São José do Rio Preto"/>
    <s v=""/>
    <s v="Site"/>
    <s v=""/>
    <s v=""/>
    <s v="30%;Contato;Solicita demo"/>
    <s v="Inbound"/>
    <s v="Novos Leads (0%)"/>
    <s v=""/>
    <d v="2026-01-31T00:00:00"/>
    <m/>
    <m/>
    <n v="128"/>
    <s v="Paulo Souza"/>
    <d v="2026-01-12T00:00:00"/>
    <d v="1899-12-30T17:46:12"/>
    <s v=""/>
    <s v="Ativo"/>
    <m/>
    <m/>
    <s v=""/>
    <s v=""/>
    <s v=""/>
    <x v="0"/>
    <s v="Paulo Souza"/>
    <x v="0"/>
    <s v=""/>
    <d v="2026-01-23T00:00:00"/>
    <n v="30"/>
    <s v=""/>
    <s v=""/>
    <s v=""/>
    <s v=""/>
    <n v="1"/>
  </r>
  <r>
    <x v="1"/>
    <n v="774"/>
    <m/>
    <n v="3067"/>
    <s v="(14/01/2026)Em contato com Marcelo para entender mais sobre sua empresa e necessidades _x000a_(20/01/2026) em contato com André, sua confecção é de camisetas, uniformes, bonés ! existem algumas particularidades que necessitam no software como grades de cores e tamanhos e algumas particularidades para confecção ! atende cliente final B2C ! cliente de operação pequena que não esta na hora de embarcar com Guarani devido ao valor de investimento"/>
    <s v=""/>
    <x v="361"/>
    <m/>
    <s v=""/>
    <s v="Atacado Delfino"/>
    <s v="51986006121"/>
    <s v=""/>
    <s v="dhcamisetas@terra.com.br"/>
    <s v=""/>
    <s v=""/>
    <s v=""/>
    <s v=""/>
    <s v=""/>
    <s v="Campanha"/>
    <s v=""/>
    <s v=""/>
    <s v="30%;Fora Perfil;Instagram"/>
    <s v="Pipeline de Vendas"/>
    <s v="Qualificação de Vendas (SQL) (25%)"/>
    <s v=""/>
    <d v="2026-01-31T00:00:00"/>
    <m/>
    <m/>
    <n v="26"/>
    <s v="Paulo Souza"/>
    <d v="2026-01-12T00:00:00"/>
    <d v="1899-12-30T21:53:02"/>
    <s v=""/>
    <s v="Perdido"/>
    <d v="2026-02-07T00:00:00"/>
    <d v="1899-12-30T07:42:39"/>
    <s v="Fora do porte mínimo (sem fit estrutural)"/>
    <s v=""/>
    <s v=""/>
    <x v="0"/>
    <s v="Junior Lopes"/>
    <x v="0"/>
    <s v=""/>
    <d v="2026-01-20T00:00:00"/>
    <m/>
    <s v=""/>
    <s v=""/>
    <s v=""/>
    <s v=""/>
    <n v="1"/>
  </r>
  <r>
    <x v="1"/>
    <n v="775"/>
    <m/>
    <n v="3069"/>
    <s v="(14/01/2026) Após tentativa por ligação foi efetuado tentativa de contato via WhatsApp conforme mensagem abaixo : _x000a_(16/01/2026) tentei novamente contato via telefone com Nykollas porem sem retorno ! estou declinando oportunidade_x000a_16:31, 12/01/2026 Junior Lopes: Olá Nycollas , boa tarde_x000a_16:32, 12/01/2026 Junior Lopes: Sou Junior Lopes da Guarani sistemas! Td bem ?_x000a_11:56, 14/01/2026 Junior Lopes: Olá Boa tarde !  _x000a_Estamos retornando seu contato sobre nossas soluções em ERP ! Qual melhor horário para falarmos ?"/>
    <s v=""/>
    <x v="362"/>
    <m/>
    <s v=""/>
    <s v="BK COMÉRCIO LTDA"/>
    <s v="92988541804"/>
    <s v=""/>
    <s v="nykollaskelvyn86@gmail.com"/>
    <s v=""/>
    <s v=""/>
    <s v=""/>
    <s v=""/>
    <s v=""/>
    <s v="Campanha"/>
    <s v=""/>
    <s v=""/>
    <s v="30%;Fora Perfil;Instagram"/>
    <s v="Pipeline de Vendas"/>
    <s v="Qualificação de Vendas (SQL) (25%)"/>
    <s v=""/>
    <d v="2026-01-31T00:00:00"/>
    <m/>
    <m/>
    <n v="26"/>
    <s v="Paulo Souza"/>
    <d v="2026-01-12T00:00:00"/>
    <d v="1899-12-30T21:53:50"/>
    <s v=""/>
    <s v="Perdido"/>
    <d v="2026-02-07T00:00:00"/>
    <d v="1899-12-30T07:50:15"/>
    <s v="Fora do porte mínimo (sem fit estrutural)"/>
    <s v=""/>
    <s v=""/>
    <x v="0"/>
    <s v="Junior Lopes"/>
    <x v="0"/>
    <s v=""/>
    <d v="2026-01-16T00:00:00"/>
    <m/>
    <s v=""/>
    <s v=""/>
    <s v=""/>
    <s v=""/>
    <n v="1"/>
  </r>
  <r>
    <x v="2"/>
    <n v="776"/>
    <m/>
    <n v="3041"/>
    <s v="Não consegui retorno nem contato"/>
    <s v=""/>
    <x v="363"/>
    <m/>
    <s v=""/>
    <s v="Fisiohosp"/>
    <s v="6596658787"/>
    <s v=""/>
    <s v="contabilfisio2024@gmail.com"/>
    <s v=""/>
    <s v=""/>
    <s v=""/>
    <s v=""/>
    <s v=""/>
    <s v="Campanha"/>
    <s v=""/>
    <s v=""/>
    <s v="30%;Fora Perfil;Instagram"/>
    <s v="Pipeline de Vendas"/>
    <s v="Qualificação de Vendas (SQL) (25%)"/>
    <s v=""/>
    <d v="2026-01-31T00:00:00"/>
    <m/>
    <m/>
    <n v="105"/>
    <s v="Paulo Souza"/>
    <d v="2026-01-12T00:00:00"/>
    <d v="1899-12-30T21:57:54"/>
    <s v=""/>
    <s v="Perdido"/>
    <d v="2026-04-27T00:00:00"/>
    <d v="1899-12-30T16:00:34"/>
    <s v="Fora do porte mínimo (sem fit estrutural)"/>
    <s v=""/>
    <s v=""/>
    <x v="0"/>
    <s v="Junior Lopes"/>
    <x v="0"/>
    <s v=""/>
    <d v="2026-04-13T00:00:00"/>
    <n v="30"/>
    <s v=""/>
    <s v=""/>
    <s v=""/>
    <s v=""/>
    <n v="1"/>
  </r>
  <r>
    <x v="2"/>
    <n v="777"/>
    <m/>
    <n v="3047"/>
    <s v="cliente marcou uma reunião na sexta porém não entrou no link estou tentando reagendar mas não deu retorno"/>
    <s v=""/>
    <x v="364"/>
    <m/>
    <s v=""/>
    <s v="Vida Fitness"/>
    <s v="71996614629"/>
    <s v=""/>
    <s v="vidafitness@outlook.com.br"/>
    <s v=""/>
    <s v=""/>
    <s v=""/>
    <s v=""/>
    <s v=""/>
    <s v="Campanha"/>
    <s v=""/>
    <s v=""/>
    <s v="30%;Fora Perfil;Instagram"/>
    <s v="Pipeline de Vendas"/>
    <s v="Qualificação de Vendas (SQL) (25%)"/>
    <s v=""/>
    <d v="2026-01-31T00:00:00"/>
    <m/>
    <m/>
    <n v="26"/>
    <s v="Paulo Souza"/>
    <d v="2026-01-12T00:00:00"/>
    <d v="1899-12-30T21:58:55"/>
    <s v=""/>
    <s v="Perdido"/>
    <d v="2026-02-07T00:00:00"/>
    <d v="1899-12-30T07:47:45"/>
    <s v="Fora do porte mínimo (sem fit estrutural)"/>
    <s v=""/>
    <s v=""/>
    <x v="0"/>
    <s v="Rayssa Karapeticov"/>
    <x v="0"/>
    <s v=""/>
    <d v="2026-01-16T00:00:00"/>
    <m/>
    <s v=""/>
    <s v=""/>
    <s v=""/>
    <s v=""/>
    <n v="1"/>
  </r>
  <r>
    <x v="2"/>
    <n v="778"/>
    <m/>
    <n v="3059"/>
    <s v="Bom dia Luan, como vai?_x000a_Estou tentando contato com você para entender sua solicitação para conhecer nossos sistemas._x000a_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_x000a_Vou deixar uma apresentação de nossa empresa e quando tiver um tempo disponivel por retornar o contato"/>
    <s v=""/>
    <x v="365"/>
    <n v="30250062000112"/>
    <s v=""/>
    <s v="HORTODASACACIAS"/>
    <s v="21966014543"/>
    <s v=""/>
    <s v="financeiro1@hortodasacacias.com.br"/>
    <s v=""/>
    <s v=""/>
    <s v=""/>
    <s v="RIO DE JANEIRO"/>
    <s v="RJ"/>
    <s v="Campanha"/>
    <s v=""/>
    <s v=""/>
    <s v="30%;Fora Perfil;Instagram"/>
    <s v="Pipeline de Vendas"/>
    <s v="Qualificação de Vendas (SQL) (25%)"/>
    <s v=""/>
    <d v="2026-01-31T00:00:00"/>
    <m/>
    <m/>
    <n v="2"/>
    <s v="Paulo Souza"/>
    <d v="2026-01-12T00:00:00"/>
    <d v="1899-12-30T22:00:47"/>
    <s v=""/>
    <s v="Perdido"/>
    <d v="2026-01-14T00:00:00"/>
    <d v="1899-12-30T11:54:09"/>
    <s v="Fora do porte mínimo (sem fit estrutural)"/>
    <s v=""/>
    <s v=""/>
    <x v="0"/>
    <s v="Rayssa Karapeticov"/>
    <x v="0"/>
    <s v=""/>
    <d v="2026-01-13T00:00:00"/>
    <m/>
    <s v=""/>
    <s v=""/>
    <s v=""/>
    <s v=""/>
    <n v="1"/>
  </r>
  <r>
    <x v="2"/>
    <n v="779"/>
    <m/>
    <n v="3066"/>
    <s v="Empresa fora do perfil, vendem produto porta a porta e o contato é  vendedor"/>
    <s v=""/>
    <x v="366"/>
    <n v="22422233000115"/>
    <s v=""/>
    <s v="Devons Hair"/>
    <s v="(41) 9900-2255 / (41) 8428-6900 / (18) 3361-4423"/>
    <s v=""/>
    <s v="denilribeiro@gmail.com"/>
    <s v=""/>
    <s v=""/>
    <s v=""/>
    <s v="CAMPO LARGO"/>
    <s v="PR"/>
    <s v="Campanha"/>
    <s v=""/>
    <s v=""/>
    <s v="30%;Fora Perfil;Instagram"/>
    <s v="Pipeline de Vendas"/>
    <s v="Qualificação de Vendas (SQL) (25%)"/>
    <s v=""/>
    <d v="2026-01-31T00:00:00"/>
    <m/>
    <m/>
    <n v="4"/>
    <s v="Paulo Souza"/>
    <d v="2026-01-12T00:00:00"/>
    <d v="1899-12-30T22:01:35"/>
    <s v=""/>
    <s v="Perdido"/>
    <d v="2026-01-16T00:00:00"/>
    <d v="1899-12-30T09:34:44"/>
    <s v="Fora do porte mínimo (sem fit estrutural)"/>
    <s v=""/>
    <s v=""/>
    <x v="0"/>
    <s v="Rayssa Karapeticov"/>
    <x v="0"/>
    <s v=""/>
    <d v="2026-01-16T00:00:00"/>
    <m/>
    <s v=""/>
    <s v=""/>
    <s v=""/>
    <s v=""/>
    <n v="1"/>
  </r>
  <r>
    <x v="0"/>
    <n v="780"/>
    <m/>
    <n v="3068"/>
    <s v="Hoje 13/01 busquei agenda com o Ricardo sem sucesso._x000a_23/01 Fiz FUP hoje com o Ricardo para saber se ele quer ou nao seguir , pois ele não retorna os mus contatos._x000a_23/01 o numero estava errado , consegui o numero certo e retomei os contatos sem sucesso no retorno ainda. _x000a_07/02 Após diversas tentativa de contato com o Ricardo sem sucesso estou declinando a oportunidade."/>
    <s v=""/>
    <x v="367"/>
    <m/>
    <s v=""/>
    <s v="Deltamed Comércio e Servicos Ltda"/>
    <s v="51997766708"/>
    <s v=""/>
    <s v="rrnnaa@gmail.com"/>
    <s v=""/>
    <s v=""/>
    <s v=""/>
    <s v=""/>
    <s v=""/>
    <s v="Campanha"/>
    <s v=""/>
    <s v=""/>
    <s v="30%;Fora Perfil;Instagram"/>
    <s v="Pipeline de Vendas"/>
    <s v="Qualificação de Vendas (SQL) (25%)"/>
    <s v=""/>
    <d v="2026-01-31T00:00:00"/>
    <m/>
    <m/>
    <n v="26"/>
    <s v="Paulo Souza"/>
    <d v="2026-01-12T00:00:00"/>
    <d v="1899-12-30T22:02:28"/>
    <s v=""/>
    <s v="Perdido"/>
    <d v="2026-02-07T00:00:00"/>
    <d v="1899-12-30T07:27:31"/>
    <s v="Fora do porte mínimo (sem fit estrutural)"/>
    <s v="07/02 Após diversas tentativa de contato com o Ricardo sem sucesso estou declinando a oportunidade."/>
    <s v=""/>
    <x v="0"/>
    <s v="Paulo Souza"/>
    <x v="0"/>
    <s v=""/>
    <d v="2026-01-23T00:00:00"/>
    <n v="30"/>
    <s v=""/>
    <s v=""/>
    <s v=""/>
    <s v=""/>
    <n v="1"/>
  </r>
  <r>
    <x v="2"/>
    <n v="781"/>
    <m/>
    <n v="3070"/>
    <s v="Bom dia Adelita, como vai?_x000a_Estou tentando contato com você para entender sua solicitação para conhecer nossos sistemas._x000a_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_x000a_Vou deixar uma apresentação de nossa empresa e quando tiver um tempo disponivel por retornar o contato_x000a_tentie contato no celular cadastrado e no telefone fixo da empresa 35) 3067-8566"/>
    <s v=""/>
    <x v="368"/>
    <n v="29495831000163"/>
    <s v=""/>
    <s v="Alpinpro"/>
    <s v="(35) 9125-9412"/>
    <s v=""/>
    <s v="adelita@alpinpro.com.br"/>
    <s v=""/>
    <s v=""/>
    <s v=""/>
    <s v="VARGINHA"/>
    <s v="MG"/>
    <s v="Campanha"/>
    <s v=""/>
    <s v=""/>
    <s v="30%;Fora Perfil;Instagram"/>
    <s v="Pipeline de Vendas"/>
    <s v="Qualificação de Vendas (SQL) (25%)"/>
    <s v=""/>
    <d v="2026-01-31T00:00:00"/>
    <m/>
    <m/>
    <n v="101"/>
    <s v="Paulo Souza"/>
    <d v="2026-01-12T00:00:00"/>
    <d v="1899-12-30T22:03:10"/>
    <s v=""/>
    <s v="Perdido"/>
    <d v="2026-04-23T00:00:00"/>
    <d v="1899-12-30T09:18:28"/>
    <s v="Fora do porte mínimo (sem fit estrutural)"/>
    <s v=""/>
    <s v=""/>
    <x v="0"/>
    <s v="Rayssa Karapeticov"/>
    <x v="0"/>
    <s v=""/>
    <d v="2026-04-23T00:00:00"/>
    <m/>
    <s v=""/>
    <s v=""/>
    <s v=""/>
    <s v=""/>
    <n v="1"/>
  </r>
  <r>
    <x v="2"/>
    <n v="782"/>
    <m/>
    <n v="3009"/>
    <s v=""/>
    <s v=""/>
    <x v="369"/>
    <n v="10942276000142"/>
    <s v=""/>
    <s v="Suprema"/>
    <s v="4130959299"/>
    <s v=""/>
    <s v="ordelo01@jotmail.com"/>
    <s v=""/>
    <s v=""/>
    <s v=""/>
    <s v=""/>
    <s v=""/>
    <s v="Campanha"/>
    <s v=""/>
    <s v=""/>
    <s v="Fora Perfil;Instagram"/>
    <s v="Pipeline de Vendas"/>
    <s v="Agendamento (0%)"/>
    <s v=""/>
    <m/>
    <m/>
    <m/>
    <n v="0"/>
    <s v="Paulo Souza"/>
    <d v="2026-01-12T00:00:00"/>
    <d v="1899-12-30T22:36:32"/>
    <s v=""/>
    <s v="Perdido"/>
    <d v="2026-01-12T00:00:00"/>
    <d v="1899-12-30T22:36:54"/>
    <s v="Fora do porte mínimo (sem fit estrutural)"/>
    <s v=""/>
    <s v=""/>
    <x v="0"/>
    <s v="Rayssa Karapeticov"/>
    <x v="0"/>
    <s v=""/>
    <m/>
    <m/>
    <s v=""/>
    <s v=""/>
    <s v=""/>
    <s v=""/>
    <n v="1"/>
  </r>
  <r>
    <x v="0"/>
    <n v="783"/>
    <m/>
    <n v="3010"/>
    <s v=""/>
    <s v=""/>
    <x v="370"/>
    <m/>
    <s v=""/>
    <s v="Carlinhos Doces Artesanais"/>
    <s v="41997238911"/>
    <s v=""/>
    <s v="carlinhosrepresentacao24@gmail.com"/>
    <s v=""/>
    <s v=""/>
    <s v=""/>
    <s v=""/>
    <s v=""/>
    <s v="Campanha"/>
    <s v=""/>
    <s v=""/>
    <s v="Fora Perfil;Instagram"/>
    <s v="Pipeline de Vendas"/>
    <s v="Agendamento (0%)"/>
    <s v=""/>
    <m/>
    <m/>
    <m/>
    <n v="0"/>
    <s v="Paulo Souza"/>
    <d v="2026-01-12T00:00:00"/>
    <d v="1899-12-30T22:37:42"/>
    <s v=""/>
    <s v="Perdido"/>
    <d v="2026-01-12T00:00:00"/>
    <d v="1899-12-30T22:37:58"/>
    <s v="Fora do porte mínimo (sem fit estrutural)"/>
    <s v=""/>
    <s v=""/>
    <x v="0"/>
    <s v="Rayssa Karapeticov"/>
    <x v="0"/>
    <s v=""/>
    <m/>
    <m/>
    <s v=""/>
    <s v=""/>
    <s v=""/>
    <s v=""/>
    <n v="1"/>
  </r>
  <r>
    <x v="0"/>
    <n v="784"/>
    <m/>
    <n v="3015"/>
    <s v=""/>
    <s v=""/>
    <x v="371"/>
    <m/>
    <s v=""/>
    <s v="Kuff Consultoria"/>
    <s v="42998191259"/>
    <s v=""/>
    <s v="thiagokuf@hotmail.com"/>
    <s v=""/>
    <s v=""/>
    <s v=""/>
    <s v=""/>
    <s v=""/>
    <s v="Campanha"/>
    <s v=""/>
    <s v=""/>
    <s v="Fora Perfil;Instagram"/>
    <s v="Pipeline de Vendas"/>
    <s v="Agendamento (0%)"/>
    <s v=""/>
    <m/>
    <m/>
    <m/>
    <n v="0"/>
    <s v="Paulo Souza"/>
    <d v="2026-01-12T00:00:00"/>
    <d v="1899-12-30T22:38:54"/>
    <s v=""/>
    <s v="Perdido"/>
    <d v="2026-01-12T00:00:00"/>
    <d v="1899-12-30T22:39:05"/>
    <s v="Fora do porte mínimo (sem fit estrutural)"/>
    <s v=""/>
    <s v=""/>
    <x v="0"/>
    <s v="Junior Lopes"/>
    <x v="0"/>
    <s v=""/>
    <m/>
    <m/>
    <s v=""/>
    <s v=""/>
    <s v=""/>
    <s v=""/>
    <n v="1"/>
  </r>
  <r>
    <x v="0"/>
    <n v="785"/>
    <m/>
    <n v="2669"/>
    <s v=""/>
    <s v=""/>
    <x v="372"/>
    <m/>
    <s v=""/>
    <s v="RENATO DE MATTOS MALAQUIAS"/>
    <s v="(21) 99470-2428"/>
    <s v=""/>
    <s v="representacoesvendas02@gmail.com"/>
    <s v=""/>
    <s v=""/>
    <s v=""/>
    <s v="Nova Iguaçu"/>
    <s v=""/>
    <s v="Site"/>
    <s v=""/>
    <s v=""/>
    <s v="Contato;Fora Perfil;Instagram"/>
    <s v="Pipeline de Vendas"/>
    <s v="Agendamento (0%)"/>
    <s v=""/>
    <m/>
    <m/>
    <m/>
    <n v="0"/>
    <s v="Paulo Souza"/>
    <d v="2026-01-12T00:00:00"/>
    <d v="1899-12-30T22:39:38"/>
    <s v=""/>
    <s v="Perdido"/>
    <d v="2026-01-12T00:00:00"/>
    <d v="1899-12-30T22:39:50"/>
    <s v="Fora do porte mínimo (sem fit estrutural)"/>
    <s v=""/>
    <s v=""/>
    <x v="0"/>
    <s v="Junior Lopes"/>
    <x v="0"/>
    <s v=""/>
    <m/>
    <m/>
    <s v=""/>
    <s v=""/>
    <s v=""/>
    <s v=""/>
    <n v="1"/>
  </r>
  <r>
    <x v="0"/>
    <n v="786"/>
    <m/>
    <n v="3045"/>
    <s v=""/>
    <s v=""/>
    <x v="373"/>
    <m/>
    <s v=""/>
    <s v="Ana Maria Fonseca Garcia"/>
    <s v="18998215566"/>
    <s v=""/>
    <s v="garciacontabilidade15@gmail.com"/>
    <s v=""/>
    <s v=""/>
    <s v=""/>
    <s v=""/>
    <s v=""/>
    <s v="Campanha"/>
    <s v=""/>
    <s v=""/>
    <s v="Fora Perfil;Instagram"/>
    <s v="Pipeline de Vendas"/>
    <s v="Agendamento (0%)"/>
    <s v=""/>
    <m/>
    <m/>
    <m/>
    <n v="0"/>
    <s v="Paulo Souza"/>
    <d v="2026-01-12T00:00:00"/>
    <d v="1899-12-30T22:40:26"/>
    <s v=""/>
    <s v="Perdido"/>
    <d v="2026-01-12T00:00:00"/>
    <d v="1899-12-30T22:40:38"/>
    <s v="Fora do porte mínimo (sem fit estrutural)"/>
    <s v=""/>
    <s v=""/>
    <x v="0"/>
    <s v="Junior Lopes"/>
    <x v="0"/>
    <s v=""/>
    <m/>
    <m/>
    <s v=""/>
    <s v=""/>
    <s v=""/>
    <s v=""/>
    <n v="1"/>
  </r>
  <r>
    <x v="1"/>
    <n v="787"/>
    <m/>
    <n v="3057"/>
    <s v=""/>
    <s v=""/>
    <x v="374"/>
    <n v="10269690000132"/>
    <s v=""/>
    <s v="Ricieri Locacoes e Serviços"/>
    <s v="27999479659"/>
    <s v=""/>
    <s v="diego@ricieri.net.br"/>
    <s v=""/>
    <s v=""/>
    <s v=""/>
    <s v=""/>
    <s v=""/>
    <s v="Campanha"/>
    <s v=""/>
    <s v=""/>
    <s v="Fora Perfil;Instagram"/>
    <s v="Pipeline de Vendas"/>
    <s v="Agendamento (0%)"/>
    <s v=""/>
    <m/>
    <m/>
    <m/>
    <n v="117"/>
    <s v="Paulo Souza"/>
    <d v="2026-01-12T00:00:00"/>
    <d v="1899-12-30T22:41:13"/>
    <s v=""/>
    <s v="Perdido"/>
    <d v="2026-05-09T00:00:00"/>
    <d v="1899-12-30T08:08:37"/>
    <s v="Fora do segmento atendido"/>
    <s v=""/>
    <s v=""/>
    <x v="0"/>
    <s v="Junior Lopes"/>
    <x v="0"/>
    <s v=""/>
    <m/>
    <m/>
    <s v=""/>
    <s v=""/>
    <s v=""/>
    <s v=""/>
    <n v="1"/>
  </r>
  <r>
    <x v="2"/>
    <n v="788"/>
    <m/>
    <n v="3083"/>
    <s v="Cliente entrou em contato pedindo apresentação de nossas solução de AFV _x000a_Reuão agendada para segunda as 14h_x000a_26-01 proposta está em analise pela diretoria _x000a_29-01 Boa tarde, Tiago! Espero que esteja bem._x000a_No dia 19/01 encaminhamos à sua equipe a proposta comercial da Guarani Sistemas, que contempla uma condição exclusiva para evolução tecnológica e automação da força de vendas._x000a_Com o Guarani AFV, aliado à assistente virtual Iara e ao módulo de orçamento web, sua empresa terá:_x000a_Automação completa da equipe de vendas, com acompanhamento de objetivos e indicadores em tempo real;_x000a_Aumento de produtividade e faturamento, reduzindo rupturas no ponto de venda;_x000a_Dashboard inteligente para análise de desempenho e curva ABC de produtos;_x000a_Integração simplificada com o ERP, garantindo maior agilidade e menos retrabalho._x000a_Além disso, oferecemos condições comerciais diferenciadas, incluindo implantação com mentoria especializada e mensalidade ajustada ao perfil da sua operação._x000a_Diante de todos esses benefícios, gostaria de entender: o que falta para avançarmos juntos e garantir essas vantagens para sua equipe?_x000a_05.02Retornou que estão em analise pela diretoria previsão de retorno para proxima semana _x000a_18.03 - Estão tratando internamento com o ERP, porque precisam entende rse o sistema atual terá capacidade de atender a necessidade deles para integrar com o AFV_x000a_15.04 09:24, 15/04/2026 Rayssa Karapeticov - Comercial - Guarani Sistemas: Oi Tiago, como você está.?_x000a_Na última troca, você comentou que eles devem manter o sistema atual por mais tempo, e eu fiquei de marcar uma reunião presencial para detalharmos a integração e forma de trabalho._x000a_Queria entender contigo se ainda faz sentido seguirmos com esse alinhamento agora. Se sim, me indica por favor dois horários que funcionem para você"/>
    <s v="Alfa Seven Embalagens Industria E Comercio Ltda"/>
    <x v="375"/>
    <n v="14078994000254"/>
    <s v=""/>
    <s v="Alfa Seven Embalagens Industria E Comercio Ltda"/>
    <s v="(35) 3435-2255"/>
    <s v=""/>
    <s v="luizhenrique@julianicontabilidade.com.br"/>
    <s v=""/>
    <s v=""/>
    <s v=""/>
    <s v="EXTREMA"/>
    <s v="MG"/>
    <s v="Base de empresas Leads2b"/>
    <s v=""/>
    <s v=""/>
    <s v="50%;Dentro Perfil"/>
    <s v="Pipeline de Vendas"/>
    <s v="Em negociação (75%)"/>
    <s v=""/>
    <d v="2026-04-30T00:00:00"/>
    <n v="16800"/>
    <n v="73717"/>
    <n v="120"/>
    <s v="Rayssa Karapeticov"/>
    <d v="2026-01-13T00:00:00"/>
    <d v="1899-12-30T16:09:19"/>
    <s v=""/>
    <s v="Perdido"/>
    <d v="2026-05-13T00:00:00"/>
    <d v="1899-12-30T10:51:39"/>
    <s v="Não quer mudar a solução atual"/>
    <s v=""/>
    <s v=""/>
    <x v="163"/>
    <s v="Rayssa Karapeticov"/>
    <x v="183"/>
    <s v="02/03/2026"/>
    <d v="2026-05-13T00:00:00"/>
    <n v="50"/>
    <s v=""/>
    <s v="AFV"/>
    <s v=""/>
    <s v=""/>
    <n v="1"/>
  </r>
  <r>
    <x v="0"/>
    <n v="789"/>
    <m/>
    <n v="3084"/>
    <s v="Fernando, esta avaliando outros produtos e terei um retorno na próxima semana dia 15/01, que decide é a Luciana._x000a_23/01 Fiz FUP hoje com o Fernando o mesmo ainda não respondeu, perguntei o que nos impede de seguir?_x000a_26/02 Fernando me procurou essa semana , pedido atualização de informações sobre o projeto. Hoje fiz novo FUP solicitando informações se seguiremos ou não com o projeto._x000a_20/03 Fernando me passou que a proposta ainda continua na direção sem definição."/>
    <s v=""/>
    <x v="376"/>
    <n v="31507103000176"/>
    <s v=""/>
    <s v="Fernando e Luciana"/>
    <s v="18997715980"/>
    <s v=""/>
    <s v="comercial@casamiga.com.br"/>
    <s v=""/>
    <s v=""/>
    <s v=""/>
    <s v=""/>
    <s v=""/>
    <s v=""/>
    <s v=""/>
    <s v=""/>
    <s v="50%"/>
    <s v="Pipeline de Vendas"/>
    <s v="Em negociação (75%)"/>
    <s v=""/>
    <d v="2026-03-31T00:00:00"/>
    <n v="13100"/>
    <n v="1700"/>
    <n v="87"/>
    <s v="Paulo Souza"/>
    <d v="2026-01-13T00:00:00"/>
    <d v="1899-12-30T16:12:50"/>
    <s v=""/>
    <s v="Perdido"/>
    <d v="2026-04-10T00:00:00"/>
    <d v="1899-12-30T17:16:03"/>
    <s v="Nossa solução não atende - falta funcionalidade"/>
    <s v=""/>
    <s v=""/>
    <x v="169"/>
    <s v="Paulo Souza"/>
    <x v="184"/>
    <s v=""/>
    <d v="2026-03-20T00:00:00"/>
    <n v="50"/>
    <s v="80"/>
    <s v="B2B"/>
    <s v="R$ 13.100"/>
    <s v="R$ 1.700"/>
    <n v="1"/>
  </r>
  <r>
    <x v="1"/>
    <n v="790"/>
    <m/>
    <n v="3071"/>
    <s v="em contato com Sr. Barbosa !_x000a_atualmente tem 02 lojas físicas e esta fora do nosso perfil de atendimento"/>
    <s v=""/>
    <x v="377"/>
    <m/>
    <s v=""/>
    <s v="Casa bom dia bricolagem ltda"/>
    <s v="16981830404"/>
    <s v=""/>
    <s v="casabomdiabricolagem@gmail.com"/>
    <s v=""/>
    <s v=""/>
    <s v=""/>
    <s v=""/>
    <s v=""/>
    <s v="Campanha"/>
    <s v=""/>
    <s v=""/>
    <s v="Fora Perfil;Instagram"/>
    <s v="Pipeline de Vendas"/>
    <s v="Qualificação de Vendas (SQL) (25%)"/>
    <s v=""/>
    <d v="2026-01-31T00:00:00"/>
    <m/>
    <m/>
    <n v="23"/>
    <s v="Paulo Souza"/>
    <d v="2026-01-13T00:00:00"/>
    <d v="1899-12-30T16:54:22"/>
    <s v=""/>
    <s v="Perdido"/>
    <d v="2026-02-05T00:00:00"/>
    <d v="1899-12-30T14:15:34"/>
    <s v="Fora do porte mínimo (sem fit estrutural)"/>
    <s v=""/>
    <s v=""/>
    <x v="0"/>
    <s v="Junior Lopes"/>
    <x v="0"/>
    <s v=""/>
    <d v="2026-01-16T00:00:00"/>
    <m/>
    <s v=""/>
    <s v=""/>
    <s v=""/>
    <s v=""/>
    <n v="1"/>
  </r>
  <r>
    <x v="2"/>
    <n v="792"/>
    <m/>
    <n v="3072"/>
    <s v="Boa tarde Rogério, como vai? _x000a_Meu nome é Rayssa, sou do setor comercial e relacionamento da Guarani Sistemas._x000a_Recebi seu contato interessado em nossas soluções, você prefere que eu te ligue ou quer tratar por aqui?_x000a_Aguardando retorno,liguei e não atendeu_x000a_13.02 novamente disse que não podia falar que era para entrar em contato em outro momento"/>
    <s v=""/>
    <x v="378"/>
    <n v="6037707000230"/>
    <s v=""/>
    <s v="WB Engenharia"/>
    <s v="67999299440"/>
    <s v=""/>
    <s v="rogerio@wbmanutencao.com.br"/>
    <s v=""/>
    <s v=""/>
    <s v=""/>
    <s v=""/>
    <s v=""/>
    <s v="Campanha"/>
    <s v=""/>
    <s v=""/>
    <s v="Fora Perfil;Instagram"/>
    <s v="Pipeline de Vendas"/>
    <s v="Qualificação de Vendas (SQL) (25%)"/>
    <s v=""/>
    <d v="2026-01-31T00:00:00"/>
    <m/>
    <m/>
    <n v="31"/>
    <s v="Paulo Souza"/>
    <d v="2026-01-13T00:00:00"/>
    <d v="1899-12-30T16:56:09"/>
    <s v=""/>
    <s v="Perdido"/>
    <d v="2026-02-13T00:00:00"/>
    <d v="1899-12-30T11:46:12"/>
    <s v="Fora do porte mínimo (sem fit estrutural)"/>
    <s v=""/>
    <s v=""/>
    <x v="0"/>
    <s v="Rayssa Karapeticov"/>
    <x v="0"/>
    <s v=""/>
    <d v="2026-02-12T00:00:00"/>
    <n v="30"/>
    <s v=""/>
    <s v=""/>
    <s v=""/>
    <s v=""/>
    <n v="1"/>
  </r>
  <r>
    <x v="0"/>
    <n v="793"/>
    <m/>
    <n v="3082"/>
    <s v="Fiz contato hoje mais o cliente já não estava na empresa, vamos falar amanha 14/01_x000a_23/01 Fiz FUp hoje com a Jessica, para buscar agenda na proxima semana._x000a_19/02 Fiz varias tentativa sem retorno e por isso declinei a proposta."/>
    <s v=""/>
    <x v="379"/>
    <m/>
    <s v=""/>
    <s v="JESSICA"/>
    <s v="(38) 99730-0736"/>
    <s v=""/>
    <s v="centraleletricasolar@gmail.com"/>
    <s v=""/>
    <s v=""/>
    <s v=""/>
    <s v="São Paulo"/>
    <s v=""/>
    <s v="Site"/>
    <s v=""/>
    <s v=""/>
    <s v="30%;Solicita demo"/>
    <s v="Pipeline de Vendas"/>
    <s v="Qualificação de Vendas (SQL) (25%)"/>
    <s v=""/>
    <d v="2026-01-31T00:00:00"/>
    <m/>
    <m/>
    <n v="37"/>
    <s v="Paulo Souza"/>
    <d v="2026-01-13T00:00:00"/>
    <d v="1899-12-30T16:59:23"/>
    <s v=""/>
    <s v="Perdido"/>
    <d v="2026-02-19T00:00:00"/>
    <d v="1899-12-30T17:51:50"/>
    <s v="Fora do porte mínimo (sem fit estrutural)"/>
    <s v=""/>
    <s v=""/>
    <x v="0"/>
    <s v="Paulo Souza"/>
    <x v="0"/>
    <s v=""/>
    <d v="2026-01-23T00:00:00"/>
    <n v="30"/>
    <s v=""/>
    <s v=""/>
    <s v=""/>
    <s v=""/>
    <n v="1"/>
  </r>
  <r>
    <x v="2"/>
    <n v="794"/>
    <m/>
    <n v="3086"/>
    <s v="Falei com o cliente ele possui uma loja de embalagens (estilo Plasticap), levantei as informações dele e agendamos uma demonstração para amanhã as 9h_x000a_19/01- Olá Ederaldo, tudo bem?_x000a_No dia 15/01 encaminhamos a proposta de investimento para o Guarani ERP, contemplando os serviços de ERP + PDV, com foco na evolução tecnológica e no crescimento da sua empresa._x000a_Para avançarmos, gostaria de entender como foi sua análise e qual o investimento previsto para o software, assim conseguimos alinhar expectativas e próximos passos._x000a_Quando seria um bom momento para conversarmos?_x000a_26/01 - Após envio e apresentação da proposta comercial cliente não deu retorno. _x000a_Encerrando contato_x000a_Oi Ederaldo, tudo bem?_x000a_No dia 15/01 te enviei uma proposta que poderia mudar os rumos do seu negócio. Como não tivemos retorno, estou encerrando nosso contato._x000a_Quero deixar claro: essa não era apenas mais uma oferta, mas uma oportunidade única que dificilmente vai se repetir. Ao não avançar, você está deixando escapar aquilo que poderia ser o divisor de águas para sua empresa._x000a_Desejo sucesso nos seus próximos passos!"/>
    <s v=""/>
    <x v="380"/>
    <m/>
    <s v=""/>
    <s v="Marques Embalagens"/>
    <s v="16992159372"/>
    <s v=""/>
    <s v="marquesembalagens@hotmail.com"/>
    <s v=""/>
    <s v=""/>
    <s v=""/>
    <s v=""/>
    <s v=""/>
    <s v="Campanha"/>
    <s v=""/>
    <s v=""/>
    <s v="Dentro Perfil;Instagram"/>
    <s v="Pipeline de Vendas"/>
    <s v="Apresentar Proposta (50%)"/>
    <s v=""/>
    <d v="2026-01-31T00:00:00"/>
    <n v="6168744"/>
    <n v="149828"/>
    <n v="13"/>
    <s v="Paulo Souza"/>
    <d v="2026-01-13T00:00:00"/>
    <d v="1899-12-30T17:42:00"/>
    <s v=""/>
    <s v="Perdido"/>
    <d v="2026-01-26T00:00:00"/>
    <d v="1899-12-30T09:26:12"/>
    <s v="Preço muito alto - fora do budget de investimento"/>
    <s v=""/>
    <s v=""/>
    <x v="170"/>
    <s v="Rayssa Karapeticov"/>
    <x v="180"/>
    <s v=""/>
    <d v="2026-01-26T00:00:00"/>
    <m/>
    <s v=""/>
    <s v=""/>
    <s v=""/>
    <s v=""/>
    <n v="1"/>
  </r>
  <r>
    <x v="0"/>
    <n v="795"/>
    <m/>
    <n v="3088"/>
    <s v="Falei com a Kelly hoje que me passou as informações que faltava para formular a proposta. Agora e falar com o Fernando e montar a proposta e apresentar._x000a_23/01 Falei com a Kelly em 19/01, e ela avisou que estava de férias e que retorno essa semana , e que só vai conseguir analisar a proposta na semana do dia 26/01, quando retornarei o contato._x000a_07/02 Fiz FUP com a Kelly e perguntei se ela vai ou não seguir com o projeto, não retornou ainda._x000a_12/03 12/03 Fiz FUP com a Kelly e a mesma esta analisando a proposta. Como esta semana ela tá fazendo compra de natal, vai conseguir parar e ver a proposta amanhã 13/03._x000a_20/03 Cobrei a Kelly a evolução da negociação."/>
    <s v=""/>
    <x v="381"/>
    <n v="3674537000125"/>
    <s v=""/>
    <s v="Kelly"/>
    <s v="12974030134"/>
    <s v=""/>
    <s v="MKT@VALPORT.COM.BR"/>
    <s v=""/>
    <s v=""/>
    <s v=""/>
    <s v=""/>
    <s v=""/>
    <s v=""/>
    <s v=""/>
    <s v=""/>
    <s v="50%"/>
    <s v="Pipeline de Vendas"/>
    <s v="Em negociação (75%)"/>
    <s v=""/>
    <d v="2026-03-31T00:00:00"/>
    <n v="1600"/>
    <n v="384454"/>
    <n v="87"/>
    <s v="Paulo Souza"/>
    <d v="2026-01-13T00:00:00"/>
    <d v="1899-12-30T22:55:41"/>
    <s v=""/>
    <s v="Perdido"/>
    <d v="2026-04-10T00:00:00"/>
    <d v="1899-12-30T15:55:43"/>
    <s v="Projeto adiado / sem prazo definido"/>
    <s v=""/>
    <s v=""/>
    <x v="0"/>
    <s v="Paulo Souza"/>
    <x v="0"/>
    <s v=""/>
    <d v="2026-03-20T00:00:00"/>
    <n v="30"/>
    <s v="7"/>
    <s v="CLOUD"/>
    <s v="R$ 1.600"/>
    <s v="R$ 3.844,54"/>
    <n v="1"/>
  </r>
  <r>
    <x v="0"/>
    <n v="796"/>
    <m/>
    <n v="3087"/>
    <s v="Feito contato com o Vinicius afim de qualificar o LEAD._x000a_23/01 Fiz FUp hoje com o Vinicius para saber se e possível a nossa agenda na semana que vem na quinta feira._x000a_07/02 Fiz FUP com o Vinicius e avise que por falta de contato estou declinando a oportunidade e em caso de interesse retornamos o contato."/>
    <s v=""/>
    <x v="382"/>
    <m/>
    <s v=""/>
    <s v="MVF Lavadoras"/>
    <s v="35998687836"/>
    <s v=""/>
    <s v="ti@mvflavadoras.com.br"/>
    <s v=""/>
    <s v=""/>
    <s v=""/>
    <s v=""/>
    <s v=""/>
    <s v="Campanha"/>
    <s v=""/>
    <s v=""/>
    <s v="Dentro Perfil;Instagram"/>
    <s v="Pipeline de Vendas"/>
    <s v="Qualificação de Vendas (SQL) (25%)"/>
    <s v=""/>
    <d v="2026-01-31T00:00:00"/>
    <m/>
    <m/>
    <n v="24"/>
    <s v="Paulo Souza"/>
    <d v="2026-01-14T00:00:00"/>
    <d v="1899-12-30T10:15:54"/>
    <s v=""/>
    <s v="Perdido"/>
    <d v="2026-02-07T00:00:00"/>
    <d v="1899-12-30T07:35:17"/>
    <s v="Fora do porte mínimo (sem fit estrutural)"/>
    <s v="07/02 Fiz FUP com o Vinicius e avise que por falta de contato estou declinando a oportunidade e em caso de interesse retornamos o contato."/>
    <s v=""/>
    <x v="0"/>
    <s v="Paulo Souza"/>
    <x v="0"/>
    <s v=""/>
    <d v="2026-02-07T00:00:00"/>
    <n v="30"/>
    <s v=""/>
    <s v=""/>
    <s v=""/>
    <s v=""/>
    <n v="1"/>
  </r>
  <r>
    <x v="0"/>
    <n v="799"/>
    <m/>
    <n v="3091"/>
    <s v="Visita amanha em São Paulo no cliente_x000a_23/01 - fechamos negocio."/>
    <s v=""/>
    <x v="383"/>
    <m/>
    <s v=""/>
    <s v="Tiago"/>
    <s v="11971597112"/>
    <s v=""/>
    <s v="null"/>
    <s v=""/>
    <s v=""/>
    <s v=""/>
    <s v=""/>
    <s v=""/>
    <s v=""/>
    <s v=""/>
    <s v=""/>
    <s v="90%;Fabio Indica"/>
    <s v="Pipeline de Vendas"/>
    <s v="Em Fechamento (100%)"/>
    <s v=""/>
    <d v="2026-01-15T00:00:00"/>
    <n v="1600"/>
    <n v="252471"/>
    <n v="9"/>
    <s v="Paulo Souza"/>
    <d v="2026-01-14T00:00:00"/>
    <d v="1899-12-30T18:55:04"/>
    <s v=""/>
    <s v="Ganho"/>
    <d v="2026-01-23T00:00:00"/>
    <d v="1899-12-30T11:04:46"/>
    <s v=""/>
    <s v=""/>
    <s v="14/01/2026 00:00"/>
    <x v="171"/>
    <s v="Paulo Souza"/>
    <x v="185"/>
    <s v=""/>
    <d v="2026-01-15T00:00:00"/>
    <m/>
    <s v=""/>
    <s v=""/>
    <s v=""/>
    <s v=""/>
    <n v="1"/>
  </r>
  <r>
    <x v="2"/>
    <n v="800"/>
    <m/>
    <n v="3092"/>
    <s v=""/>
    <s v=""/>
    <x v="384"/>
    <n v="9205460000120"/>
    <s v=""/>
    <s v="Panveiga"/>
    <s v="(83) 3343-3391 / (83) 3343-3391"/>
    <s v=""/>
    <s v="null"/>
    <s v=""/>
    <s v=""/>
    <s v=""/>
    <s v="CAMPINA GRANDE"/>
    <s v="PB"/>
    <s v="Campanha"/>
    <s v=""/>
    <s v=""/>
    <s v="Fora Perfil;Instagram"/>
    <s v="Pipeline de Vendas"/>
    <s v="Agendamento (0%)"/>
    <s v=""/>
    <d v="2026-01-31T00:00:00"/>
    <m/>
    <m/>
    <n v="7"/>
    <s v="Paulo Souza"/>
    <d v="2026-01-16T00:00:00"/>
    <d v="1899-12-30T09:31:20"/>
    <s v=""/>
    <s v="Perdido"/>
    <d v="2026-01-23T00:00:00"/>
    <d v="1899-12-30T17:12:19"/>
    <s v="Fora do porte mínimo (sem fit estrutural)"/>
    <s v=""/>
    <s v=""/>
    <x v="0"/>
    <s v="Rayssa Karapeticov"/>
    <x v="0"/>
    <s v=""/>
    <d v="2026-01-23T00:00:00"/>
    <m/>
    <s v=""/>
    <s v=""/>
    <s v=""/>
    <s v=""/>
    <n v="1"/>
  </r>
  <r>
    <x v="1"/>
    <n v="803"/>
    <m/>
    <n v="3094"/>
    <s v="(20/01/2026) efetuei tentativa de ligação e mensagem no WhatsApp a fim de alinhar em bate papo com Ismael e entender suas necessidades , porem cliente não responde aos contatos"/>
    <s v=""/>
    <x v="385"/>
    <m/>
    <s v=""/>
    <s v="Autônomo"/>
    <s v="27999362925"/>
    <s v=""/>
    <s v="continente.of@gmail.com"/>
    <s v=""/>
    <s v=""/>
    <s v=""/>
    <s v=""/>
    <s v=""/>
    <s v="Campanha"/>
    <s v=""/>
    <s v=""/>
    <s v="Fora Perfil;Instagram"/>
    <s v="Pipeline de Vendas"/>
    <s v="Qualificação de Vendas (SQL) (25%)"/>
    <s v=""/>
    <d v="2026-01-31T00:00:00"/>
    <m/>
    <m/>
    <n v="113"/>
    <s v="Paulo Souza"/>
    <d v="2026-01-16T00:00:00"/>
    <d v="1899-12-30T16:05:09"/>
    <s v=""/>
    <s v="Perdido"/>
    <d v="2026-05-09T00:00:00"/>
    <d v="1899-12-30T07:39:04"/>
    <s v="Fora do porte mínimo (sem fit estrutural)"/>
    <s v=""/>
    <s v=""/>
    <x v="0"/>
    <s v="Junior Lopes"/>
    <x v="0"/>
    <s v=""/>
    <d v="2026-01-20T00:00:00"/>
    <m/>
    <s v=""/>
    <s v=""/>
    <s v=""/>
    <s v=""/>
    <n v="1"/>
  </r>
  <r>
    <x v="2"/>
    <n v="804"/>
    <m/>
    <n v="3099"/>
    <s v=""/>
    <s v=""/>
    <x v="386"/>
    <n v="33036815000180"/>
    <s v=""/>
    <s v="Haller Farmacêutica"/>
    <s v="21994011336"/>
    <s v=""/>
    <s v="marcelo.uchoa@haller.ind.br"/>
    <s v=""/>
    <s v=""/>
    <s v=""/>
    <s v=""/>
    <s v=""/>
    <s v="Campanha"/>
    <s v=""/>
    <s v=""/>
    <s v="Fora Perfil;Instagram"/>
    <s v="Pipeline de Vendas"/>
    <s v="Agendamento (0%)"/>
    <s v=""/>
    <d v="2026-01-31T00:00:00"/>
    <m/>
    <m/>
    <n v="5"/>
    <s v="Paulo Souza"/>
    <d v="2026-01-16T00:00:00"/>
    <d v="1899-12-30T16:06:39"/>
    <s v=""/>
    <s v="Perdido"/>
    <d v="2026-01-21T00:00:00"/>
    <d v="1899-12-30T11:42:22"/>
    <s v="Fora do porte mínimo (sem fit estrutural)"/>
    <s v=""/>
    <s v=""/>
    <x v="0"/>
    <s v="Rayssa Karapeticov"/>
    <x v="0"/>
    <s v=""/>
    <d v="2026-01-21T00:00:00"/>
    <m/>
    <s v=""/>
    <s v=""/>
    <s v=""/>
    <s v=""/>
    <n v="1"/>
  </r>
  <r>
    <x v="1"/>
    <n v="805"/>
    <m/>
    <n v="3093"/>
    <s v="(20/01/2026)  09:04, 20/01/2026 Junior Lopes: Olá Cláudio ! Bom dia_x000a_17:23, 27/01/2026 Claudio Teixeira: Boa tarde essa semana estou fora da empresa_x000a_17:23, 27/01/2026 Claudio Teixeira: Semana que vem falamos_x000a_17:32, 27/01/2026 Junior Lopes: Perfeito Claudio ! abraço _x000a_09:06, 20/01/2026 Claudio Teixeira: Bom dia_x000a_09:07, 20/01/2026 Junior Lopes: Td bem ? Vc entrou em contato com a Guarani sistemas, gostaria de marcar um horário para batermos um papo e entender melhor suas necessidades_x000a_09:08, 20/01/2026 Junior Lopes: Qual melhor horário para você?_x000a_09:08, 20/01/2026 Claudio Teixeira: Pode ser às 11:30_x000a_09:10, 20/01/2026 Junior Lopes: Ótimo, vou Estar terminando uma apresentação! Pode ser que atrase uns 15 minutos para ligar_x000a_09:11, 20/01/2026 Claudio Teixeira: Ok_x000a_Perfeito Cláudio ! Abraço_x000a_Olá Cláudio! Como vai ?_x000a_Olá Cláudio Td bem ? _x000a_Como não recebi seu retorno nos últimos dias, entendo que talvez não seja o melhor momento para seguirmos com projeto Guarani _x000a_Para nao lotar seu WhatsApp de mensagens estou encerrando o contato! _x000a_Caso suas prioridades mudem sigo a disposição _x000a_Abraço"/>
    <s v=""/>
    <x v="387"/>
    <n v="53629067000156"/>
    <s v=""/>
    <s v="Claudio Teixeira"/>
    <s v="(43) 99669-3593"/>
    <s v=""/>
    <s v="claudioteixeirasap@hotmail.com"/>
    <s v=""/>
    <s v=""/>
    <s v=""/>
    <s v="CONSELHEIRO MAIRINCK"/>
    <s v="PR"/>
    <s v="Site"/>
    <s v=""/>
    <s v=""/>
    <s v="Solicita demo"/>
    <s v="Pipeline de Vendas"/>
    <s v="Apresentar Proposta (50%)"/>
    <s v=""/>
    <d v="2026-01-31T00:00:00"/>
    <n v="72080"/>
    <n v="18676"/>
    <n v="52"/>
    <s v="Paulo Souza"/>
    <d v="2026-01-16T00:00:00"/>
    <d v="1899-12-30T16:08:11"/>
    <s v=""/>
    <s v="Perdido"/>
    <d v="2026-03-09T00:00:00"/>
    <d v="1899-12-30T11:02:30"/>
    <s v="Projeto adiado / sem prazo definido"/>
    <s v="Perfeito Cláudio ! Abraço_x000a_Olá Cláudio! Como vai ?_x000a_Olá Cláudio Td bem ? _x000a_Como não recebi seu retorno nos últimos dias, entendo que talvez não seja o melhor momento para seguirmos com projeto Guarani _x000a_Para nao lotar seu WhatsApp de mensagens estou encerrando o contato! _x000a_Caso suas prioridades mudem sigo a disposição _x000a_Abraço"/>
    <s v=""/>
    <x v="172"/>
    <s v="Junior Lopes"/>
    <x v="186"/>
    <s v=""/>
    <d v="2026-02-09T00:00:00"/>
    <m/>
    <s v=""/>
    <s v=""/>
    <s v=""/>
    <s v=""/>
    <n v="1"/>
  </r>
  <r>
    <x v="2"/>
    <n v="818"/>
    <m/>
    <n v="3101"/>
    <s v="Apresentação agendada para 27/01/2026 - 15:00 horas_x000a_26/01 - reunião agendada para amanhã, aguardand confirmação_x000a_27/01 - cliente não confirmou nem entrou na reunião_x000a_28/01 - Oi Renato, tudo bem?_x000a_No dia 27/01 tinhamos uma agenda de apresentação que poderia mudar os rumos do seu negócio. Como não tivemos retorno, estou encerrando nosso contato._x000a_Quero deixar claro: essa não era apenas mais uma oferta, mas uma oportunidade única que dificilmente vai se repetir. Ao não avançar, você está deixando escapar aquilo que poderia ser o divisor de águas para sua empresa._x000a_Desejo sucesso nos seus próximos passos!"/>
    <s v=""/>
    <x v="388"/>
    <m/>
    <s v=""/>
    <s v="Recanto Agricola"/>
    <s v="17999791171"/>
    <s v=""/>
    <s v="recantoagricola@gmail.com"/>
    <s v=""/>
    <s v=""/>
    <s v=""/>
    <s v=""/>
    <s v=""/>
    <s v="Campanha"/>
    <s v=""/>
    <s v=""/>
    <s v="Dentro Perfil;Instagram"/>
    <s v="Pipeline de Vendas"/>
    <s v="Apresentar Solução (35%)"/>
    <s v=""/>
    <d v="2026-03-31T00:00:00"/>
    <m/>
    <m/>
    <n v="9"/>
    <s v="Paulo Souza"/>
    <d v="2026-01-19T00:00:00"/>
    <d v="1899-12-30T11:30:57"/>
    <s v=""/>
    <s v="Perdido"/>
    <d v="2026-01-28T00:00:00"/>
    <d v="1899-12-30T16:29:00"/>
    <s v="Não quer mudar a solução atual"/>
    <s v=""/>
    <s v=""/>
    <x v="0"/>
    <s v="Rayssa Karapeticov"/>
    <x v="0"/>
    <s v=""/>
    <d v="2026-01-28T00:00:00"/>
    <m/>
    <s v=""/>
    <s v=""/>
    <s v=""/>
    <s v=""/>
    <n v="1"/>
  </r>
  <r>
    <x v="1"/>
    <n v="819"/>
    <m/>
    <n v="3102"/>
    <s v="(19/01/2026) reunião de apresentação agendada para 20/01/2026_x000a_(26/01/2026) _x000a_Olá Mauricio ! tudo bem ?_x000a_Como não recebi o seu retorno sobre o questionário após nossa apresentação, imagino que as prioridades tenham mudado por aí ou que este não seja o momento ideal para avançarmos com a proposta da Guarani Sistemas._x000a_Para não sobrecarregar sua caixa de entrada, estou encerrando o seu processo aqui no meu sistema por enquanto._x000a_Caso seus planos mudem no futuro, meus contatos continuam os mesmos. Desejo sucesso em seus projetos._x000a_Após mensagem enviada Mauricio compartilhou áudio dizendo que achou investimento muito alto e que no futuro vamos voltar a falar"/>
    <s v=""/>
    <x v="389"/>
    <n v="49827202000109"/>
    <s v=""/>
    <s v="Maurício Jorge lima"/>
    <s v="(93) 8406-4995"/>
    <s v=""/>
    <s v="mauriciojlatm@gmail.com"/>
    <s v=""/>
    <s v=""/>
    <s v=""/>
    <s v="ITAITUBA"/>
    <s v="PA"/>
    <s v="Site"/>
    <s v=""/>
    <s v=""/>
    <s v="Contato;Dentro Perfil"/>
    <s v="Pipeline de Vendas"/>
    <s v="Apresentar Solução (35%)"/>
    <s v=""/>
    <d v="2026-01-31T00:00:00"/>
    <n v="72080"/>
    <n v="881079"/>
    <n v="17"/>
    <s v="Paulo Souza"/>
    <d v="2026-01-19T00:00:00"/>
    <d v="1899-12-30T11:33:47"/>
    <s v=""/>
    <s v="Perdido"/>
    <d v="2026-02-05T00:00:00"/>
    <d v="1899-12-30T14:12:46"/>
    <s v="Preço muito alto - fora do budget de investimento"/>
    <s v=": Preço muito alto"/>
    <s v=""/>
    <x v="172"/>
    <s v="Junior Lopes"/>
    <x v="183"/>
    <s v=""/>
    <d v="2026-01-26T00:00:00"/>
    <m/>
    <s v=""/>
    <s v=""/>
    <s v=""/>
    <s v=""/>
    <n v="1"/>
  </r>
  <r>
    <x v="2"/>
    <n v="820"/>
    <m/>
    <n v="3103"/>
    <s v=""/>
    <s v=""/>
    <x v="390"/>
    <m/>
    <s v=""/>
    <s v="Max club"/>
    <s v="3194371833"/>
    <s v=""/>
    <s v="willian.portodasilva8@gmail.com"/>
    <s v=""/>
    <s v=""/>
    <s v=""/>
    <s v=""/>
    <s v=""/>
    <s v="Campanha"/>
    <s v=""/>
    <s v=""/>
    <s v="Fora Perfil;Instagram"/>
    <s v="Pipeline de Vendas"/>
    <s v="Agendamento (0%)"/>
    <s v=""/>
    <d v="2026-01-31T00:00:00"/>
    <m/>
    <m/>
    <n v="19"/>
    <s v="Paulo Souza"/>
    <d v="2026-01-19T00:00:00"/>
    <d v="1899-12-30T11:34:55"/>
    <s v=""/>
    <s v="Perdido"/>
    <d v="2026-02-07T00:00:00"/>
    <d v="1899-12-30T07:45:07"/>
    <s v="Fora do porte mínimo (sem fit estrutural)"/>
    <s v=""/>
    <s v=""/>
    <x v="0"/>
    <s v="Rayssa Karapeticov"/>
    <x v="0"/>
    <s v=""/>
    <d v="2026-01-27T00:00:00"/>
    <m/>
    <s v=""/>
    <s v=""/>
    <s v=""/>
    <s v=""/>
    <n v="1"/>
  </r>
  <r>
    <x v="0"/>
    <n v="821"/>
    <m/>
    <n v="3119"/>
    <s v="Liguei para o Gerson o mesmo não atendeu deixei msg no whatsapp._x000a_23/01 Foi feito apresentação para o cliente do institucional e AFV.  em resumo, a apresentação foi direcionada para a importadora DINATALE (Diego). Porém entrou na reunião a CASAART (William) e também o Mauricio cuja a empresa ainda não conheço. O Gerson (consultor0 que esta conduzindo o projeto participou e informou que são 5 empresa no total, a ideia é conseguir colocar o sistema nas 5 empresas. _x000a_O próximo passo é fazer uma nova agenda para a semana do dia 26/01, para apresentar o sistema novamente para uma equipe maior e expandido com o módulo OCMEX, ERP, REP+ E CONTABIL._x000a_13/02 Esse negócio está sendo tratado nas proposta da Iracema, Dinatale, Casart e MCFlores."/>
    <s v=""/>
    <x v="391"/>
    <n v="7658378000126"/>
    <s v=""/>
    <s v="Gerson Baesso"/>
    <s v="(49) 98872-0298"/>
    <s v=""/>
    <s v="consultor01@visionway.com.br"/>
    <s v=""/>
    <s v=""/>
    <s v=""/>
    <s v="Nova Aurora"/>
    <s v=""/>
    <s v="Site"/>
    <s v=""/>
    <s v=""/>
    <s v="30%;Solicita demo"/>
    <s v="Pipeline de Vendas"/>
    <s v="Apresentar Solução (35%)"/>
    <s v=""/>
    <d v="2026-01-31T00:00:00"/>
    <m/>
    <m/>
    <n v="24"/>
    <s v="Paulo Souza"/>
    <d v="2026-01-20T00:00:00"/>
    <d v="1899-12-30T08:41:55"/>
    <s v=""/>
    <s v="Perdido"/>
    <d v="2026-02-13T00:00:00"/>
    <d v="1899-12-30T17:34:46"/>
    <s v="Projeto adiado / sem prazo definido"/>
    <s v=""/>
    <s v=""/>
    <x v="173"/>
    <s v="Paulo Souza"/>
    <x v="187"/>
    <s v=""/>
    <d v="2026-01-23T00:00:00"/>
    <n v="30"/>
    <s v=""/>
    <s v="ERP, AFV, BI"/>
    <s v=""/>
    <s v=""/>
    <n v="1"/>
  </r>
  <r>
    <x v="2"/>
    <n v="823"/>
    <m/>
    <n v="3118"/>
    <s v="29/01 - retornar após o carnaval_x000a_18.03 - agendando um contato para negociação, sugeri hoje as 16:30_x000a_30.03 Boa tarde, Helena. Espero que esteja bem._x000a_Conversamos anteriormente sobre o software de gestão da Guarani Sistemas, empresa consolidada e referência no mercado de utilidades e abastecimento de artigos para o lar._x000a_Acreditamos que, com o potencial da sua empresa aliado à experiência da Guarani, seria possível alcançar resultados ainda mais expressivos. No entanto, após diversas tentativas de contato, não obtivemos retorno para avançar com esse projeto._x000a_Diante disso, estamos encerrando nosso contato neste momento, entendendo que não há interesse da Purai Suvinirs em seguir com essa oportunidade de crescimento. Permaneço à disposição para retomar a conversa quando fizer sentido para vocês._x000a_Atenciosamente,"/>
    <s v=""/>
    <x v="392"/>
    <n v="44530589000105"/>
    <s v=""/>
    <s v="Helena reis"/>
    <s v="(47) 3344-3239"/>
    <s v=""/>
    <s v="vendas@diceart.com.br"/>
    <s v=""/>
    <s v=""/>
    <s v=""/>
    <s v="ITAJAI"/>
    <s v="SC"/>
    <s v="Site"/>
    <s v=""/>
    <s v=""/>
    <s v="30%;Dentro Perfil"/>
    <s v="Pipeline de Vendas"/>
    <s v="Em negociação (75%)"/>
    <s v=""/>
    <d v="2026-05-31T00:00:00"/>
    <n v="579843"/>
    <n v="28845"/>
    <n v="69"/>
    <s v="Paulo Souza"/>
    <d v="2026-01-20T00:00:00"/>
    <d v="1899-12-30T08:46:51"/>
    <s v=""/>
    <s v="Perdido"/>
    <d v="2026-03-30T00:00:00"/>
    <d v="1899-12-30T15:47:48"/>
    <s v="Projeto adiado / sem prazo definido"/>
    <s v=""/>
    <s v=""/>
    <x v="174"/>
    <s v="Rayssa Karapeticov"/>
    <x v="188"/>
    <s v="12/03/2026"/>
    <d v="2026-03-30T00:00:00"/>
    <n v="30"/>
    <s v=""/>
    <s v="ERP, AFV"/>
    <s v=""/>
    <s v=""/>
    <n v="1"/>
  </r>
  <r>
    <x v="2"/>
    <n v="847"/>
    <m/>
    <n v="3129"/>
    <s v="Telefone cadastrado eé de um mercado"/>
    <s v=""/>
    <x v="393"/>
    <m/>
    <s v=""/>
    <s v="Bem bom pescados"/>
    <s v="6233899200"/>
    <s v=""/>
    <s v="edinho@grupo3ebr.com.br"/>
    <s v=""/>
    <s v=""/>
    <s v=""/>
    <s v=""/>
    <s v=""/>
    <s v="Campanha"/>
    <s v=""/>
    <s v=""/>
    <s v="Fora Perfil;Instagram"/>
    <s v="Pipeline de Vendas"/>
    <s v="Agendamento (0%)"/>
    <s v=""/>
    <d v="2026-01-31T00:00:00"/>
    <m/>
    <m/>
    <n v="0"/>
    <s v="Paulo Souza"/>
    <d v="2026-01-21T00:00:00"/>
    <d v="1899-12-30T10:51:15"/>
    <s v=""/>
    <s v="Perdido"/>
    <d v="2026-01-21T00:00:00"/>
    <d v="1899-12-30T11:14:02"/>
    <s v="Fora do porte mínimo (sem fit estrutural)"/>
    <s v=""/>
    <s v=""/>
    <x v="0"/>
    <s v="Rayssa Karapeticov"/>
    <x v="0"/>
    <s v=""/>
    <m/>
    <m/>
    <s v=""/>
    <s v=""/>
    <s v=""/>
    <s v=""/>
    <n v="1"/>
  </r>
  <r>
    <x v="1"/>
    <n v="848"/>
    <m/>
    <n v="3148"/>
    <s v="(23/01/2026) Sérgio não respondeu as minhas mensagens ! estou descartando de falta de retorno do cliente"/>
    <s v=""/>
    <x v="394"/>
    <m/>
    <s v=""/>
    <s v="Possani mix"/>
    <s v="11971375421"/>
    <s v=""/>
    <s v="possanimix@gmail.com"/>
    <s v=""/>
    <s v=""/>
    <s v=""/>
    <s v=""/>
    <s v=""/>
    <s v="Campanha"/>
    <s v=""/>
    <s v=""/>
    <s v="Fora Perfil;Instagram"/>
    <s v="Pipeline de Vendas"/>
    <s v="Agendamento (0%)"/>
    <s v=""/>
    <d v="2026-01-31T00:00:00"/>
    <m/>
    <m/>
    <n v="108"/>
    <s v="Paulo Souza"/>
    <d v="2026-01-21T00:00:00"/>
    <d v="1899-12-30T10:54:34"/>
    <s v=""/>
    <s v="Perdido"/>
    <d v="2026-05-09T00:00:00"/>
    <d v="1899-12-30T08:48:17"/>
    <s v="Fora do segmento atendido"/>
    <s v=""/>
    <s v=""/>
    <x v="0"/>
    <s v="Junior Lopes"/>
    <x v="0"/>
    <s v=""/>
    <d v="2026-01-23T00:00:00"/>
    <m/>
    <s v=""/>
    <s v=""/>
    <s v=""/>
    <s v=""/>
    <n v="1"/>
  </r>
  <r>
    <x v="2"/>
    <n v="849"/>
    <m/>
    <n v="3149"/>
    <s v=""/>
    <s v=""/>
    <x v="395"/>
    <n v="27343071000143"/>
    <s v=""/>
    <s v="Bombemi"/>
    <s v="11959925385"/>
    <s v=""/>
    <s v="adminitrativo@bombemi.com.br"/>
    <s v=""/>
    <s v=""/>
    <s v=""/>
    <s v=""/>
    <s v=""/>
    <s v="Campanha"/>
    <s v=""/>
    <s v=""/>
    <s v="Fora Perfil;Instagram"/>
    <s v="Pipeline de Vendas"/>
    <s v="Agendamento (0%)"/>
    <s v=""/>
    <d v="2026-01-31T00:00:00"/>
    <m/>
    <m/>
    <n v="17"/>
    <s v="Paulo Souza"/>
    <d v="2026-01-21T00:00:00"/>
    <d v="1899-12-30T12:23:03"/>
    <s v=""/>
    <s v="Perdido"/>
    <d v="2026-02-07T00:00:00"/>
    <d v="1899-12-30T07:43:30"/>
    <s v="Fora do porte mínimo (sem fit estrutural)"/>
    <s v=""/>
    <s v=""/>
    <x v="0"/>
    <s v="Rayssa Karapeticov"/>
    <x v="0"/>
    <s v=""/>
    <m/>
    <m/>
    <s v=""/>
    <s v=""/>
    <s v=""/>
    <s v=""/>
    <n v="1"/>
  </r>
  <r>
    <x v="2"/>
    <n v="850"/>
    <m/>
    <n v="3150"/>
    <s v=""/>
    <s v=""/>
    <x v="395"/>
    <n v="27343071000143"/>
    <s v=""/>
    <s v="MILENE DIAS"/>
    <s v="(11) 95992-5385"/>
    <s v=""/>
    <s v="administrativo@bombemi.com.br"/>
    <s v=""/>
    <s v=""/>
    <s v=""/>
    <s v="São Paulo"/>
    <s v=""/>
    <s v="Site"/>
    <s v=""/>
    <s v=""/>
    <s v="Dentro Perfil;Solicita demo"/>
    <s v="Pipeline de Vendas"/>
    <s v="Qualificação de Vendas (SQL) (25%)"/>
    <s v=""/>
    <d v="2026-01-31T00:00:00"/>
    <m/>
    <m/>
    <n v="1"/>
    <s v="Paulo Souza"/>
    <d v="2026-01-21T00:00:00"/>
    <d v="1899-12-30T12:24:02"/>
    <s v=""/>
    <s v="Perdido"/>
    <d v="2026-01-22T00:00:00"/>
    <d v="1899-12-30T10:03:56"/>
    <s v="Preço muito alto - fora do budget de investimento"/>
    <s v=""/>
    <s v=""/>
    <x v="0"/>
    <s v="Rayssa Karapeticov"/>
    <x v="0"/>
    <s v=""/>
    <m/>
    <m/>
    <s v=""/>
    <s v=""/>
    <s v=""/>
    <s v=""/>
    <n v="1"/>
  </r>
  <r>
    <x v="1"/>
    <n v="851"/>
    <m/>
    <n v="3151"/>
    <s v="14:08, 21/01/2026 Junior Lopes: Olá Edmilson, boa tarde ! Aqui é Junior da Guarani sistemas, Td bem ?_x000a_(26/01/2026) Ola Edmilson, bom dia tudo bem ? _x000a_Sobre as soluções em software ERP e Força de vendas Guarani ! Tem interesse em conhecer? _x000a_21/01/2026 - envio de Aúdio me apresentando e solicitando data para falarmos _x000a_15:30, 23/01/2026 Junior Lopes: Olá Edmilson, boa tarde_x000a_17:08, 27/01/2026 Junior Lopes: Olá, Edmilson! Como não conseguimos evoluir nossa conversa nos últimos dias, entendo que talvez este não seja o momento ideal para focarmos na Solução ERP e Força de vendas. Estou encerrando o seu processo por aqui para não lotar sua caixa de entrada. Vou deixar seu contato salvo e, assim que suas prioridades mudarem, sinta-se à vontade para me chamar_x000a_(18/05/2026) Após varias tentativas de contato , sem sucesso ! estou declinando oportunidade"/>
    <s v=""/>
    <x v="396"/>
    <m/>
    <s v=""/>
    <s v="Édy Distribuidora de Alimentos"/>
    <s v="12997313349"/>
    <s v=""/>
    <s v="edmilson.goulart1@gmail.com"/>
    <s v=""/>
    <s v=""/>
    <s v=""/>
    <s v=""/>
    <s v=""/>
    <s v="Campanha"/>
    <s v=""/>
    <s v=""/>
    <s v="Dentro Perfil;Instagram"/>
    <s v="Pipeline de Vendas"/>
    <s v="Qualificação de Vendas (SQL) (25%)"/>
    <s v=""/>
    <d v="2026-01-31T00:00:00"/>
    <m/>
    <m/>
    <n v="117"/>
    <s v="Paulo Souza"/>
    <d v="2026-01-21T00:00:00"/>
    <d v="1899-12-30T12:30:13"/>
    <s v=""/>
    <s v="Perdido"/>
    <d v="2026-05-18T00:00:00"/>
    <d v="1899-12-30T14:43:41"/>
    <s v="Sem qualificação — contato não atende ligações nem responde msg"/>
    <s v="(18/05/2026) Após varias tentativas de contato , sem sucesso ! estou declinando oportunidade"/>
    <s v=""/>
    <x v="0"/>
    <s v="Junior Lopes"/>
    <x v="0"/>
    <s v=""/>
    <d v="2026-05-18T00:00:00"/>
    <m/>
    <s v=""/>
    <s v=""/>
    <s v=""/>
    <s v=""/>
    <n v="1"/>
  </r>
  <r>
    <x v="2"/>
    <n v="853"/>
    <m/>
    <n v="3154"/>
    <s v="22/01/2026 Rayssa Karapeticov - Comercial - Guarani Sistemas: Bom dia Roberto, como vai? _x000a_29/01 Ok, entendi o objeto. Vejo que não estaremos aptos a fazer o investimento com a sua empresa._x000a_Fica agradecido._x000a_Obrigado pela franqueza e informações._x000a_É a Rayssa da Guarani Sistemas _x000a_recebi seu contato para falar de nossas soluções, você prefere que eu te ligue ou trate por aqui?_x000a_12:34, 22/01/2026 +55 62 8181-2473: Bom dia!_x000a_Pode ser por aqui..._x000a_15:40, 22/01/2026 Rayssa Karapeticov - Comercial - Guarani Sistemas: Perfeito, me passa o que esta procurando de solução de software e como posso te ajudar?_x000a_26/01/2026 Rayssa Karapeticov - Comercial - Guarani Sistemas: Bom dia Roberto como vai?_x000a_Para que possamos avançar, preciso entende um pouco da sua empresa e como as soluções da Guarani Sistemas podem potencializar seus processos e faturamento. _x000a_Podemos conversar?_x000a_27-01 Bom dia Roberto, tudo bem?_x000a_Ainda tem interesse em seguir com uma solução técnologica para sua empresa?_x000a_28/01 Somos uma empresa distribuição de secos e molhados._x000a_Faturamento médio de 350 mil mês_x000a_Trabalhamos com venda direta e pré-venda._x000a_7 vendedores externos_x000a_5 usuário do ERP interno._x000a_Certo, quantos CNPJs?_x000a_2 CNPJ_x000a_vocês precisam controlar lote e validade?_x000a_É interessante, embora não estamos fazendo. Por isso a mudança de ERP..."/>
    <s v=""/>
    <x v="397"/>
    <n v="8439142000161"/>
    <s v=""/>
    <s v="MSRAC"/>
    <s v="62981812473"/>
    <s v=""/>
    <s v="roberto@msrac.com.br"/>
    <s v=""/>
    <s v=""/>
    <s v=""/>
    <s v=""/>
    <s v=""/>
    <s v="Campanha"/>
    <s v=""/>
    <s v=""/>
    <s v="Dentro Perfil;Instagram"/>
    <s v="Pipeline de Vendas"/>
    <s v="Apresentar Proposta (50%)"/>
    <s v=""/>
    <d v="2026-03-31T00:00:00"/>
    <n v="58800"/>
    <n v="873144"/>
    <n v="8"/>
    <s v="Paulo Souza"/>
    <d v="2026-01-21T00:00:00"/>
    <d v="1899-12-30T21:58:26"/>
    <s v=""/>
    <s v="Perdido"/>
    <d v="2026-01-29T00:00:00"/>
    <d v="1899-12-30T16:08:35"/>
    <s v="Preço muito alto - fora do budget de investimento"/>
    <s v=""/>
    <s v=""/>
    <x v="175"/>
    <s v="Rayssa Karapeticov"/>
    <x v="189"/>
    <s v="29/01/2026"/>
    <d v="2026-01-28T00:00:00"/>
    <m/>
    <s v=""/>
    <s v=""/>
    <s v=""/>
    <s v=""/>
    <n v="1"/>
  </r>
  <r>
    <x v="2"/>
    <n v="854"/>
    <m/>
    <n v="3155"/>
    <s v=""/>
    <s v=""/>
    <x v="398"/>
    <m/>
    <s v=""/>
    <s v="Mundo Das Águas Turismo"/>
    <s v="4599648080"/>
    <s v=""/>
    <s v="mundodasaguasturismo@gmail.com"/>
    <s v=""/>
    <s v=""/>
    <s v=""/>
    <s v=""/>
    <s v=""/>
    <s v="Campanha"/>
    <s v=""/>
    <s v=""/>
    <s v="Fora Perfil;Instagram"/>
    <s v="Pipeline de Vendas"/>
    <s v="Agendamento (0%)"/>
    <s v=""/>
    <d v="2026-01-22T00:00:00"/>
    <m/>
    <m/>
    <n v="0"/>
    <s v="Paulo Souza"/>
    <d v="2026-01-22T00:00:00"/>
    <d v="1899-12-30T15:01:30"/>
    <s v=""/>
    <s v="Perdido"/>
    <d v="2026-01-22T00:00:00"/>
    <d v="1899-12-30T15:42:36"/>
    <s v="Fora do porte mínimo (sem fit estrutural)"/>
    <s v=""/>
    <s v=""/>
    <x v="0"/>
    <s v="Rayssa Karapeticov"/>
    <x v="0"/>
    <s v=""/>
    <m/>
    <m/>
    <s v=""/>
    <s v=""/>
    <s v=""/>
    <s v=""/>
    <n v="1"/>
  </r>
  <r>
    <x v="1"/>
    <n v="860"/>
    <m/>
    <n v="3164"/>
    <s v="23/01/2026 Enviei mensagem para Adriano me apresentando, aguardando resposta para agendar um bate papo _x000a_(26/01/2026) buscando contato, enviei áudio buscando o melhor momento para falarmos sobre as soluções _x000a_(29/01/2026) Após tentativas de contato sem sucesso estou desacatando oportunidade !_x000a_Olá Adriano ! Td bem ? _x000a_Tentei contato com você sobre nossas soluções ! Porém não tivemos sucesso no contato, acredito que você esteja com outras prioridades nesse momento _x000a_Para não ficar incomodando vou descartar nosso contato por aqui ! Vou deixar seu contato salvo se suas prioridades mudarem me chame por favor _x000a_Abraço"/>
    <s v=""/>
    <x v="399"/>
    <n v="1399482000167"/>
    <s v=""/>
    <s v="Bral-Max Ind.Com.Plasticos Ltda"/>
    <s v="24999136531"/>
    <s v=""/>
    <s v="adriano@bral-max.com.br"/>
    <s v=""/>
    <s v=""/>
    <s v=""/>
    <s v=""/>
    <s v=""/>
    <s v="Campanha"/>
    <s v=""/>
    <s v=""/>
    <s v="Dentro Perfil;Instagram"/>
    <s v="Pipeline de Vendas"/>
    <s v="Qualificação de Vendas (SQL) (25%)"/>
    <s v=""/>
    <d v="2026-01-31T00:00:00"/>
    <m/>
    <m/>
    <n v="106"/>
    <s v="Paulo Souza"/>
    <d v="2026-01-23T00:00:00"/>
    <d v="1899-12-30T10:04:40"/>
    <s v=""/>
    <s v="Perdido"/>
    <d v="2026-05-09T00:00:00"/>
    <d v="1899-12-30T07:44:36"/>
    <s v="Sem qualificação — contato não atende ligações nem responde msg"/>
    <s v=""/>
    <s v=""/>
    <x v="0"/>
    <s v="Junior Lopes"/>
    <x v="0"/>
    <s v=""/>
    <d v="2026-01-29T00:00:00"/>
    <m/>
    <s v=""/>
    <s v=""/>
    <s v=""/>
    <s v=""/>
    <n v="1"/>
  </r>
  <r>
    <x v="2"/>
    <n v="861"/>
    <m/>
    <n v="3165"/>
    <s v="tentativa de contato_x000a_26/01 - Faz venda porta a porta e tem PDV _x000a_13.02 Tentei contato por ligação e não atendeu_x000a_É um cliente que eu já havia conversado e faz venda PAP, atualmente o Guarani não atende ao que procura _x000a_Fora do perfil"/>
    <s v=""/>
    <x v="400"/>
    <m/>
    <s v=""/>
    <s v="Multiple business service"/>
    <s v="19971619676"/>
    <s v=""/>
    <s v="thomazdistribuidora@gmail.com"/>
    <s v=""/>
    <s v=""/>
    <s v=""/>
    <s v=""/>
    <s v=""/>
    <s v="Campanha"/>
    <s v=""/>
    <s v=""/>
    <s v="Fora Perfil;Instagram"/>
    <s v="Pipeline de Vendas"/>
    <s v="Agendamento (0%)"/>
    <s v=""/>
    <d v="2026-01-31T00:00:00"/>
    <m/>
    <m/>
    <n v="21"/>
    <s v="Paulo Souza"/>
    <d v="2026-01-23T00:00:00"/>
    <d v="1899-12-30T10:37:23"/>
    <s v=""/>
    <s v="Perdido"/>
    <d v="2026-02-13T00:00:00"/>
    <d v="1899-12-30T17:25:09"/>
    <s v="Fora do porte mínimo (sem fit estrutural)"/>
    <s v=""/>
    <s v=""/>
    <x v="0"/>
    <s v="Rayssa Karapeticov"/>
    <x v="0"/>
    <s v=""/>
    <d v="2026-02-13T00:00:00"/>
    <m/>
    <s v=""/>
    <s v=""/>
    <s v=""/>
    <s v=""/>
    <n v="1"/>
  </r>
  <r>
    <x v="0"/>
    <n v="862"/>
    <m/>
    <n v="3166"/>
    <s v="23/01 Apresentar o sistema ERP + AFV hoje as 14h para o Gerson (consultor)_x000a_23/01 23/01 Foi feito apresentação para o cliente do institucional e AFV.  em resumo, a apresentação foi direcionada para a importadora DINATALE (Diego). Porém entrou na reunião a CASAART (William) e também o Mauricio cuja a empresa ainda não conheço. O Gerson (consultor0 que esta conduzindo o projeto participou e informou que são 5 empresa no total, a ideia é conseguir colocar o sistema nas 5 empresas. _x000a_O próximo passo é fazer uma nova agenda para a semana do dia 26/01, para apresentar o sistema novamente para uma equipe maior e expandido com o módulo OCMEX, ERP, REP+ E CONTABIL._x000a_06/02 Fiz FUP hoje com o Gerson consultor e apresentei a proposta.  Na sequência ele vai falar com o a diretoria para agendar uma nova reunião de discursão de valores."/>
    <s v=""/>
    <x v="401"/>
    <n v="82808122000173"/>
    <s v=""/>
    <s v="Gerson"/>
    <s v="(49) 9945-2608"/>
    <s v=""/>
    <s v="contabilizar.atendimento@gmail.com"/>
    <s v=""/>
    <s v=""/>
    <s v=""/>
    <s v="FLOR DO SERTAO"/>
    <s v="SC"/>
    <s v=""/>
    <s v=""/>
    <s v=""/>
    <s v="50%"/>
    <s v="Pipeline de Vendas"/>
    <s v="Em negociação (75%)"/>
    <s v=""/>
    <d v="2026-02-28T00:00:00"/>
    <n v="987029"/>
    <n v="1811884"/>
    <n v="34"/>
    <s v="Paulo Souza"/>
    <d v="2026-01-23T00:00:00"/>
    <d v="1899-12-30T11:23:43"/>
    <s v=""/>
    <s v="Ganho"/>
    <d v="2026-02-26T00:00:00"/>
    <d v="1899-12-30T21:52:56"/>
    <s v=""/>
    <s v=""/>
    <s v=""/>
    <x v="118"/>
    <s v="Paulo Souza"/>
    <x v="126"/>
    <s v=""/>
    <d v="2026-02-27T00:00:00"/>
    <n v="50"/>
    <s v="270"/>
    <s v="ERP, AFV, BI, WMS, COMEX, ADICIONAIS"/>
    <s v="R$ 65.502,90"/>
    <s v="R$ 17.071,80"/>
    <n v="1"/>
  </r>
  <r>
    <x v="0"/>
    <n v="864"/>
    <m/>
    <n v="3169"/>
    <s v="23/01 Fiz FUP hoje com o Junior e o mesmo mencionou que a diretoria achou o valor da mensalidade alta. falou que tem contrato fechado com a GETT com mensal de R$900,00._x000a_Falar com o Fábio e negociar melhor essa questão._x000a_20/03 Hoje foi aberto um ticket para acompanhar dar apoio nas configurações do comex para que o pessoal consiga usar."/>
    <s v=""/>
    <x v="402"/>
    <m/>
    <s v=""/>
    <s v="Junior"/>
    <s v="19987126669"/>
    <s v=""/>
    <s v="junior@tiinfra.com.br"/>
    <s v=""/>
    <s v=""/>
    <s v=""/>
    <s v=""/>
    <s v=""/>
    <s v="BaseGua"/>
    <s v=""/>
    <s v=""/>
    <s v="30%"/>
    <s v="Pipeline de Vendas"/>
    <s v="Em Fechamento (100%)"/>
    <s v=""/>
    <d v="2026-01-31T00:00:00"/>
    <n v="10000"/>
    <n v="2000"/>
    <n v="117"/>
    <s v="Paulo Souza"/>
    <d v="2026-01-23T00:00:00"/>
    <d v="1899-12-30T16:24:12"/>
    <s v=""/>
    <s v="Ativo"/>
    <m/>
    <m/>
    <s v=""/>
    <s v=""/>
    <s v=""/>
    <x v="176"/>
    <s v="Paulo Souza"/>
    <x v="190"/>
    <s v=""/>
    <d v="2026-03-20T00:00:00"/>
    <n v="30"/>
    <s v="20"/>
    <s v="COMEX"/>
    <s v="R$ 10.000"/>
    <s v="R$ 2.000"/>
    <n v="1"/>
  </r>
  <r>
    <x v="0"/>
    <n v="865"/>
    <m/>
    <n v="3170"/>
    <s v="23/01 Fiz FUP com a Simone e o próximo asso e fazer a proposta._x000a_A principal dor do cliente é centralizar a operação em um único sistema, garantindo maior fluidez nos processos, redução de falhas de integração e ganho de produtividade, principalmente nas áreas comercial, faturamento e backoffice._x000a_06/02 Foi apresentado a proposta, que esta sob-analsie da diretoria._x000a_26/02 Fiz FUP com a Simone para saber se vamos seguir ou não._x000a_20/03 Estou cobrando a Simone se vamos seguir ou não."/>
    <s v=""/>
    <x v="403"/>
    <n v="13303103000172"/>
    <s v=""/>
    <s v="Simone"/>
    <s v="(49) 3322-8576 / (49) 3644-0850"/>
    <s v=""/>
    <s v="toyehome@toyehome.com.br"/>
    <s v=""/>
    <s v=""/>
    <s v=""/>
    <s v="CHAPECO"/>
    <s v="SC"/>
    <s v="Inbound"/>
    <s v=""/>
    <s v=""/>
    <s v="50%"/>
    <s v="Pipeline de Vendas"/>
    <s v="Em negociação (75%)"/>
    <s v=""/>
    <d v="2026-03-31T00:00:00"/>
    <n v="59184"/>
    <n v="488139"/>
    <n v="77"/>
    <s v="Paulo Souza"/>
    <d v="2026-01-23T00:00:00"/>
    <d v="1899-12-30T16:52:07"/>
    <s v=""/>
    <s v="Perdido"/>
    <d v="2026-04-10T00:00:00"/>
    <d v="1899-12-30T17:22:13"/>
    <s v="Projeto adiado / sem prazo definido"/>
    <s v=""/>
    <s v=""/>
    <x v="176"/>
    <s v="Paulo Souza"/>
    <x v="190"/>
    <s v=""/>
    <d v="2026-03-20T00:00:00"/>
    <n v="50"/>
    <s v="320"/>
    <s v="ERP, AFV, ADICIONAIS"/>
    <s v="R$ 79.311,16"/>
    <s v="R$ 6.145,44"/>
    <n v="1"/>
  </r>
  <r>
    <x v="2"/>
    <n v="866"/>
    <m/>
    <n v="3177"/>
    <s v="26/01 - é uma industria e esta buscando software de gestão da empresa. _x000a_Estou tentando marcar reunião mas o cliente não atende_x000a_27/01 - Bom dia Micael, tudo bem?_x000a_Ainda tem interesse em seguir com uma solução técnologica para sua empresa?"/>
    <s v=""/>
    <x v="404"/>
    <m/>
    <s v=""/>
    <s v="Lcosmeticos"/>
    <s v="11957608058"/>
    <s v=""/>
    <s v="carriaomicael@gmail.com"/>
    <s v=""/>
    <s v=""/>
    <s v=""/>
    <s v=""/>
    <s v=""/>
    <s v="Campanha"/>
    <s v=""/>
    <s v=""/>
    <s v="Dentro Perfil;Instagram"/>
    <s v="Pipeline de Vendas"/>
    <s v="Agendamento (0%)"/>
    <s v=""/>
    <d v="2026-01-31T00:00:00"/>
    <m/>
    <m/>
    <n v="3"/>
    <s v="Paulo Souza"/>
    <d v="2026-01-26T00:00:00"/>
    <d v="1899-12-30T13:12:42"/>
    <s v=""/>
    <s v="Perdido"/>
    <d v="2026-01-29T00:00:00"/>
    <d v="1899-12-30T16:04:41"/>
    <s v="Não houve aprovação financeira"/>
    <s v=""/>
    <s v=""/>
    <x v="0"/>
    <s v="Rayssa Karapeticov"/>
    <x v="0"/>
    <s v=""/>
    <d v="2026-01-27T00:00:00"/>
    <m/>
    <s v=""/>
    <s v=""/>
    <s v=""/>
    <s v=""/>
    <n v="1"/>
  </r>
  <r>
    <x v="1"/>
    <n v="867"/>
    <m/>
    <n v="3176"/>
    <s v="(27/01/2026) em contato com Thales , ficamos de falar por telefone as 11;30 horas do dia 27/01_x000a_(27/01/2026) Reunião de apresentação primeira Etapa AFV em 28/01/2026 as 14 horas _x000a_(28/01/2026) apresentação do força de vendas na integra e vídeos do força de vendas _x000a_cliente pediu para seguirmos com proposta comercial para ver se está dentro do sua previsão de investimento _x000a_(19/02/2026) Thales achou valor acima para o momento"/>
    <s v=""/>
    <x v="405"/>
    <n v="16743404000105"/>
    <s v=""/>
    <s v="MINAS MIX"/>
    <s v="3194143043"/>
    <s v=""/>
    <s v="thales_david@hotmail.com"/>
    <s v=""/>
    <s v=""/>
    <s v=""/>
    <s v="BELO HORIZONTE"/>
    <s v="MG"/>
    <s v="Campanha"/>
    <s v=""/>
    <s v=""/>
    <s v="30%;Dentro Perfil;Instagram"/>
    <s v="Pipeline de Vendas"/>
    <s v="Apresentar Proposta (50%)"/>
    <s v=""/>
    <d v="2026-02-28T00:00:00"/>
    <n v="61904"/>
    <n v="10192"/>
    <n v="24"/>
    <s v="Paulo Souza"/>
    <d v="2026-01-26T00:00:00"/>
    <d v="1899-12-30T13:15:19"/>
    <s v=""/>
    <s v="Perdido"/>
    <d v="2026-02-19T00:00:00"/>
    <d v="1899-12-30T16:36:15"/>
    <s v="Não houve aprovação financeira"/>
    <s v="(19/02/2026) Thales achou valor acima para o momento"/>
    <s v=""/>
    <x v="175"/>
    <s v="Junior Lopes"/>
    <x v="191"/>
    <s v=""/>
    <d v="2026-02-19T00:00:00"/>
    <n v="30"/>
    <s v=""/>
    <s v=""/>
    <s v=""/>
    <s v=""/>
    <n v="1"/>
  </r>
  <r>
    <x v="2"/>
    <n v="868"/>
    <m/>
    <n v="3174"/>
    <s v="Usa o sistema da Linx, é um armazem de bebida e fazvendas por Zé delivery e Ifood."/>
    <s v=""/>
    <x v="406"/>
    <m/>
    <s v=""/>
    <s v="Brasa e Malte"/>
    <s v="31997703979"/>
    <s v=""/>
    <s v="jsamaurin@gmail.com"/>
    <s v=""/>
    <s v=""/>
    <s v=""/>
    <s v=""/>
    <s v=""/>
    <s v="Campanha"/>
    <s v=""/>
    <s v=""/>
    <s v="Fora Perfil;Instagram"/>
    <s v="Pipeline de Vendas"/>
    <s v="Agendamento (0%)"/>
    <s v=""/>
    <d v="2026-01-31T00:00:00"/>
    <m/>
    <m/>
    <n v="0"/>
    <s v="Paulo Souza"/>
    <d v="2026-01-26T00:00:00"/>
    <d v="1899-12-30T13:17:49"/>
    <s v=""/>
    <s v="Perdido"/>
    <d v="2026-01-26T00:00:00"/>
    <d v="1899-12-30T14:29:56"/>
    <s v="Fora do porte mínimo (sem fit estrutural)"/>
    <s v=""/>
    <s v=""/>
    <x v="0"/>
    <s v="Rayssa Karapeticov"/>
    <x v="0"/>
    <s v=""/>
    <m/>
    <m/>
    <s v=""/>
    <s v=""/>
    <s v=""/>
    <s v=""/>
    <n v="1"/>
  </r>
  <r>
    <x v="1"/>
    <n v="869"/>
    <m/>
    <n v="3175"/>
    <s v="17:09, 26/01/2026 Junior Lopes: Olá Leonan ! Boa tarde _x000a_Sou Junior Lopes da Guarani sistemas, Td bem ?_x000a_17:11, 26/01/2026 Leonan: opa boa tarde_x000a_09:05, 27/01/2026 Junior Lopes: Olá Leonan, bom dia tudo bem ?_x000a_09:06, 27/01/2026 Junior Lopes: podemos bater um papo por telefone hoje as 14 horas ? a ideia é entender suas necessidades e te apresentar uma solução para te ajudar_x000a_17:25, 27/01/2026 Junior Lopes: Olá, Leonan! Como não conseguimos evoluir nossa conversa nos últimos dias, entendo que talvez este não seja o momento ideal para focarmos na Solução ERP e Força de vendas. Estou encerrando o seu processo por aqui para não lotar sua caixa de entrada. Vou deixar seu contato salvo e, assim que suas prioridades mudarem, sinta-se à vontade para me chamar"/>
    <s v=""/>
    <x v="407"/>
    <m/>
    <s v=""/>
    <s v="Leme"/>
    <s v="11976239673"/>
    <s v=""/>
    <s v="leonamj@gmail.com"/>
    <s v=""/>
    <s v=""/>
    <s v=""/>
    <s v=""/>
    <s v=""/>
    <s v="Campanha"/>
    <s v=""/>
    <s v=""/>
    <s v="Dentro Perfil;Instagram"/>
    <s v="Pipeline de Vendas"/>
    <s v="Agendamento (0%)"/>
    <s v=""/>
    <d v="2026-01-31T00:00:00"/>
    <m/>
    <m/>
    <n v="103"/>
    <s v="Paulo Souza"/>
    <d v="2026-01-26T00:00:00"/>
    <d v="1899-12-30T13:19:44"/>
    <s v=""/>
    <s v="Perdido"/>
    <d v="2026-05-09T00:00:00"/>
    <d v="1899-12-30T08:11:38"/>
    <s v="Sem qualificação — contato não atende ligações nem responde msg"/>
    <s v=""/>
    <s v=""/>
    <x v="0"/>
    <s v="Junior Lopes"/>
    <x v="0"/>
    <s v=""/>
    <d v="2026-01-27T00:00:00"/>
    <m/>
    <s v=""/>
    <s v=""/>
    <s v=""/>
    <s v=""/>
    <n v="1"/>
  </r>
  <r>
    <x v="2"/>
    <n v="870"/>
    <m/>
    <n v="3173"/>
    <s v="14:32, 1/26/2026 Rayssa Karapeticov - Comercial - Guarani Sistemas: Boa tarde, Adriano, como vai? _x000a_É a Rayssa da Guarani Sistemas _x000a_recebi seu contato para falar de nossas soluções, você prefere que eu te ligue ou trate por aqui?_x000a_15:53, 1/26/2026 +55 16 99614-4458: AMANHÃ ENTRO EM CONTATO_x000a_15:54, 1/26/2026 Rayssa Karapeticov - Comercial - Guarani Sistemas: Perfeito, aguardo retorno_x000a_09:53, 1/27/2026 Rayssa Karapeticov - Comercial - Guarani Sistemas: Bom dia Adriano, tudo bem? _x000a_Conseguimos falar hoje?_x000a_05.02 - Sem retorno do cliente Sem retorno do cliente _x000a_17.02Usa um  sistema do Rio grande do Sul Nova gestor e tem duas dificuldades _x000a_Não comunica com o banco C6Bank _x000a_Ordem de produção _x000a_São uma indústria química por batelada _x000a_Várias tipos de embalagem _x000a_Adesivos industriais _x000a_Minas Gerais - _x000a_8 RCA _x000a_3 pessoas _x000a_Atualmente pagar R$290,00 por mes com todos esses acessos, então fica inviavel a contratação"/>
    <s v=""/>
    <x v="408"/>
    <m/>
    <s v=""/>
    <s v="Kicollaadesivos.com.br"/>
    <s v="16996144458"/>
    <s v=""/>
    <s v="adrianosoaresm@yahoo.com.br"/>
    <s v=""/>
    <s v=""/>
    <s v=""/>
    <s v=""/>
    <s v=""/>
    <s v="Campanha"/>
    <s v=""/>
    <s v=""/>
    <s v="30%;Dentro Perfil;Instagram"/>
    <s v="Pipeline de Vendas"/>
    <s v="Qualificação de Vendas (SQL) (25%)"/>
    <s v=""/>
    <d v="2026-01-31T00:00:00"/>
    <m/>
    <m/>
    <n v="22"/>
    <s v="Paulo Souza"/>
    <d v="2026-01-26T00:00:00"/>
    <d v="1899-12-30T13:21:08"/>
    <s v=""/>
    <s v="Perdido"/>
    <d v="2026-02-17T00:00:00"/>
    <d v="1899-12-30T16:11:30"/>
    <s v="Preço muito alto - fora do budget de investimento"/>
    <s v=""/>
    <s v=""/>
    <x v="0"/>
    <s v="Rayssa Karapeticov"/>
    <x v="0"/>
    <s v=""/>
    <d v="2026-02-17T00:00:00"/>
    <n v="30"/>
    <s v=""/>
    <s v=""/>
    <s v=""/>
    <s v=""/>
    <n v="1"/>
  </r>
  <r>
    <x v="0"/>
    <n v="871"/>
    <m/>
    <n v="3172"/>
    <s v="contato realizado com o Alexanre, sem sucesso. Deixei msg no zap para faalrmos amanha!_x000a_28/01 Fiz FUP hoje com o Alexandre, sem sucesso. Deixei novamente recado no whatsapp e e-mail!_x000a_12/03 Por falta de retorno e interesse estou declinando o lead foi feita diversas tentativa de comunicação sem sucesso."/>
    <s v=""/>
    <x v="409"/>
    <n v="19933187000104"/>
    <s v=""/>
    <s v="Giacom Distribuidora Ltda"/>
    <s v="11918764203"/>
    <s v=""/>
    <s v="alexandre@giacomdistribuidora.com.br"/>
    <s v=""/>
    <s v=""/>
    <s v=""/>
    <s v=""/>
    <s v=""/>
    <s v="Campanha"/>
    <s v=""/>
    <s v=""/>
    <s v="30%;Dentro Perfil;Instagram"/>
    <s v="Pipeline de Vendas"/>
    <s v="Qualificação de Vendas (SQL) (25%)"/>
    <s v=""/>
    <d v="2026-01-31T00:00:00"/>
    <m/>
    <m/>
    <n v="45"/>
    <s v="Paulo Souza"/>
    <d v="2026-01-26T00:00:00"/>
    <d v="1899-12-30T13:21:53"/>
    <s v=""/>
    <s v="Perdido"/>
    <d v="2026-03-12T00:00:00"/>
    <d v="1899-12-30T17:29:31"/>
    <s v="Fora do porte mínimo (sem fit estrutural)"/>
    <s v=""/>
    <s v=""/>
    <x v="0"/>
    <s v="Paulo Souza"/>
    <x v="0"/>
    <s v=""/>
    <d v="2026-03-12T00:00:00"/>
    <n v="30"/>
    <s v=""/>
    <s v=""/>
    <s v=""/>
    <s v=""/>
    <n v="1"/>
  </r>
  <r>
    <x v="0"/>
    <n v="872"/>
    <m/>
    <n v="3178"/>
    <s v="Fiz o primeiro contato com a Maria e agendamos amanhã às 14h._x000a_28/01 Fiz FUP hoje com a maria sem sucesso. Liguei não atendeu , deixei recado no whats app e estou aguardando retorno._x000a_28/01 Consegui fazer a apresentação institucional para a Maria. O próximo passo é enviar a proposta !_x000a_06/02 Fiz uma reunião onde apresentei a proposta. A Maria, foi bem objetiva e falou que o valor ficou bem acima dos demais concorrentes, mesmo assim ela vai ter uma reunião com a diretoria na próxima semana e me retorna se seguiremos ou não!_x000a_26/02 Fiz FUP com a Maria cobrando uma posição se seguiremos ou não._x000a_27/02 Por falta de interação e retorno do cliente estou declinando a proposta."/>
    <s v=""/>
    <x v="410"/>
    <m/>
    <s v=""/>
    <s v="Maria"/>
    <s v="(11) 97129-2472"/>
    <s v=""/>
    <s v="financeiro@autovolth.com.br"/>
    <s v=""/>
    <s v=""/>
    <s v=""/>
    <s v="São Paulo"/>
    <s v=""/>
    <s v="Site"/>
    <s v=""/>
    <s v=""/>
    <s v="50%;Solicita demo"/>
    <s v="Pipeline de Vendas"/>
    <s v="Em negociação (75%)"/>
    <s v=""/>
    <d v="2026-02-28T00:00:00"/>
    <n v="701343"/>
    <n v="17345"/>
    <n v="32"/>
    <s v="Paulo Souza"/>
    <d v="2026-01-26T00:00:00"/>
    <d v="1899-12-30T17:09:40"/>
    <s v=""/>
    <s v="Perdido"/>
    <d v="2026-02-27T00:00:00"/>
    <d v="1899-12-30T21:20:57"/>
    <s v="Projeto adiado / sem prazo definido"/>
    <s v=""/>
    <s v=""/>
    <x v="177"/>
    <s v="Paulo Souza"/>
    <x v="192"/>
    <s v=""/>
    <d v="2026-02-26T00:00:00"/>
    <n v="50"/>
    <s v="330"/>
    <s v="ERP, PCP, ADICIONAIS"/>
    <s v="R$ 66.000"/>
    <s v="R$ 5.868,80"/>
    <n v="1"/>
  </r>
  <r>
    <x v="1"/>
    <n v="873"/>
    <m/>
    <n v="3179"/>
    <s v="(27/01/2026) Olá Fábio ! Bom dia _x000a_Sou Junior Lopes da Guarani sistemas, Td bem ?_x000a_acrescentei um áudio me apresentando e sugerindo um bate papo hoje as 14 horas _x000a_(29/01/2026) tentativa de contato sem retorno do Fabio !_x000a_Olá Fábio ! Estou tentando contato para falarmos sobre as soluções Guarani ! _x000a_Porém devido a falta de retorno acredito que você está com outras prioridades _x000a_Vou deixar seu contato salvo caso em breve queira conversar _x000a_Um grande abraço"/>
    <s v=""/>
    <x v="411"/>
    <m/>
    <s v=""/>
    <s v="FB dis"/>
    <s v="11992758370"/>
    <s v=""/>
    <s v="fabiojb80@gmail.com"/>
    <s v=""/>
    <s v=""/>
    <s v=""/>
    <s v=""/>
    <s v=""/>
    <s v="Campanha"/>
    <s v=""/>
    <s v=""/>
    <s v="Dentro Perfil;Instagram"/>
    <s v="Pipeline de Vendas"/>
    <s v="Agendamento (0%)"/>
    <s v=""/>
    <m/>
    <m/>
    <m/>
    <n v="102"/>
    <s v="Paulo Souza"/>
    <d v="2026-01-27T00:00:00"/>
    <d v="1899-12-30T08:39:12"/>
    <s v=""/>
    <s v="Perdido"/>
    <d v="2026-05-09T00:00:00"/>
    <d v="1899-12-30T08:13:07"/>
    <s v="Sem qualificação — contato não atende ligações nem responde msg"/>
    <s v=""/>
    <s v=""/>
    <x v="0"/>
    <s v="Junior Lopes"/>
    <x v="0"/>
    <s v=""/>
    <d v="2026-01-29T00:00:00"/>
    <m/>
    <s v=""/>
    <s v=""/>
    <s v=""/>
    <s v=""/>
    <n v="1"/>
  </r>
  <r>
    <x v="2"/>
    <n v="874"/>
    <m/>
    <n v="3180"/>
    <s v=""/>
    <s v=""/>
    <x v="412"/>
    <m/>
    <s v=""/>
    <s v="Scientech Ambiental"/>
    <s v="11999733410"/>
    <s v=""/>
    <s v="luissscaro@hotmail.com"/>
    <s v=""/>
    <s v=""/>
    <s v=""/>
    <s v=""/>
    <s v=""/>
    <s v="Campanha"/>
    <s v=""/>
    <s v=""/>
    <s v="Fora Perfil;Instagram"/>
    <s v="Pipeline de Vendas"/>
    <s v="Agendamento (0%)"/>
    <s v=""/>
    <d v="2026-01-31T00:00:00"/>
    <m/>
    <m/>
    <n v="2"/>
    <s v="Paulo Souza"/>
    <d v="2026-01-27T00:00:00"/>
    <d v="1899-12-30T08:40:17"/>
    <s v=""/>
    <s v="Perdido"/>
    <d v="2026-01-29T00:00:00"/>
    <d v="1899-12-30T15:59:33"/>
    <s v="Fora do porte mínimo (sem fit estrutural)"/>
    <s v=""/>
    <s v=""/>
    <x v="0"/>
    <s v="Rayssa Karapeticov"/>
    <x v="0"/>
    <s v=""/>
    <m/>
    <m/>
    <s v=""/>
    <s v=""/>
    <s v=""/>
    <s v=""/>
    <n v="1"/>
  </r>
  <r>
    <x v="1"/>
    <n v="876"/>
    <m/>
    <n v="3182"/>
    <s v=""/>
    <s v="Orbhes Espumas E Colchoes Ltda"/>
    <x v="413"/>
    <n v="5937946000100"/>
    <s v=""/>
    <s v="Orbhes Espumas E Colchoes Ltda"/>
    <s v="(47) 3376-8400"/>
    <s v=""/>
    <s v="orbhes@orbhes.com.br"/>
    <s v=""/>
    <s v=""/>
    <s v=""/>
    <s v="JARAGUA DO SUL"/>
    <s v="SC"/>
    <s v="Base de empresas Leads2b"/>
    <s v=""/>
    <s v=""/>
    <s v="80%"/>
    <s v="Pipeline de Vendas"/>
    <s v="Em Fechamento (100%)"/>
    <s v=""/>
    <d v="2026-02-28T00:00:00"/>
    <n v="16960"/>
    <n v="32775"/>
    <n v="16"/>
    <s v="Junior Lopes"/>
    <d v="2026-01-28T00:00:00"/>
    <d v="1899-12-30T09:06:40"/>
    <s v=""/>
    <s v="Ganho"/>
    <d v="2026-02-13T00:00:00"/>
    <d v="1899-12-30T12:16:48"/>
    <s v=""/>
    <s v=""/>
    <s v=""/>
    <x v="178"/>
    <s v="Junior Lopes"/>
    <x v="193"/>
    <s v=""/>
    <m/>
    <n v="80"/>
    <s v=""/>
    <s v=""/>
    <s v=""/>
    <s v=""/>
    <n v="1"/>
  </r>
  <r>
    <x v="0"/>
    <n v="877"/>
    <m/>
    <n v="3187"/>
    <s v="28/01 Apresentar o sistema B2B para Clevis o responsável de TI e Alessandro gerente de loja. _x000a_05/02/2026 Fiz apresentação do produto e da proposta, agora negociado._x000a_26/02 Fiz FUP com o CLEVIS, hoje cobrando a reunião para negociar!_x000a_10/03 Fiz reunião ontem com o Clevis e expliquei que o que e possível em relação a isenção da mensalidade é : 4 meses da assinatura ou qdo sistema em produção._x000a_12/03 Negociando o fechamento reunião técnica para o dia 17/03 as 15h._x000a_12/03 Fiz FUP hoje com o Clevis para firmar uma agenda de uma conversa técnica para terça feira dia 17/03 as 15h. Será feito nessa reunião um alinhamento de integração do nosso B2B com o JJsistema  . _x000a_A proposta ficou em 13k e a mensalidade iniciar com com 4 meses da assinatura do contrato ou sistema em produção._x000a_20/03 Esta na fase de coleta de documentação para assinar o contrato."/>
    <s v=""/>
    <x v="414"/>
    <m/>
    <s v=""/>
    <s v="Clevis"/>
    <s v="47992119052"/>
    <s v=""/>
    <s v="null"/>
    <s v=""/>
    <s v=""/>
    <s v=""/>
    <s v=""/>
    <s v=""/>
    <s v="BaseGua"/>
    <s v=""/>
    <s v=""/>
    <s v="90%"/>
    <s v="Pipeline de Vendas"/>
    <s v="Em Fechamento (100%)"/>
    <s v=""/>
    <d v="2026-03-31T00:00:00"/>
    <n v="12000"/>
    <n v="1700"/>
    <n v="110"/>
    <s v="Paulo Souza"/>
    <d v="2026-01-28T00:00:00"/>
    <d v="1899-12-30T15:54:53"/>
    <s v=""/>
    <s v="Perdido"/>
    <d v="2026-05-18T00:00:00"/>
    <d v="1899-12-30T17:08:31"/>
    <s v="Não houve aprovação financeira"/>
    <s v=""/>
    <s v=""/>
    <x v="118"/>
    <s v="Paulo Souza"/>
    <x v="194"/>
    <s v=""/>
    <d v="2026-03-20T00:00:00"/>
    <n v="80"/>
    <s v="24"/>
    <s v="B2B"/>
    <s v="R$ 0,00"/>
    <s v="R$ 0,00"/>
    <n v="1"/>
  </r>
  <r>
    <x v="1"/>
    <n v="879"/>
    <m/>
    <n v="3192"/>
    <s v="(29/01/2026) feito ligação para Marcelo para explicar valores da proposta comercial"/>
    <s v="Portal Importacao E Exportacao De Equipamentos De Informatica Ltda"/>
    <x v="415"/>
    <n v="42371959000183"/>
    <s v=""/>
    <s v="Portal Importacao E Exportacao De Equipamentos De Informatica Ltda"/>
    <s v="(11) 8444-8642"/>
    <s v=""/>
    <s v="portal@gmail.com"/>
    <s v=""/>
    <s v=""/>
    <s v=""/>
    <s v="GUARULHOS"/>
    <s v="SP"/>
    <s v="Base de empresas Leads2b"/>
    <s v=""/>
    <s v=""/>
    <s v="30%"/>
    <s v="Pipeline de Vendas"/>
    <s v="Apresentar Proposta (50%)"/>
    <s v=""/>
    <d v="2026-02-28T00:00:00"/>
    <n v="79958"/>
    <n v="45432"/>
    <n v="25"/>
    <s v="Junior Lopes"/>
    <d v="2026-01-29T00:00:00"/>
    <d v="1899-12-30T09:56:25"/>
    <s v=""/>
    <s v="Perdido"/>
    <d v="2026-02-23T00:00:00"/>
    <d v="1899-12-30T15:07:05"/>
    <s v="Não houve aprovação financeira"/>
    <s v="cliente declinou após recebimento da proposta comercial"/>
    <s v=""/>
    <x v="175"/>
    <s v="Junior Lopes"/>
    <x v="189"/>
    <s v=""/>
    <m/>
    <n v="30"/>
    <s v=""/>
    <s v=""/>
    <s v=""/>
    <s v=""/>
    <n v="1"/>
  </r>
  <r>
    <x v="1"/>
    <n v="882"/>
    <m/>
    <n v="3199"/>
    <s v="em contato na feira Abcasa , vai seguir com AFV"/>
    <s v=""/>
    <x v="416"/>
    <m/>
    <s v=""/>
    <s v="Plasberg - ERP"/>
    <s v="75981412000"/>
    <s v=""/>
    <s v="null"/>
    <s v=""/>
    <s v=""/>
    <s v=""/>
    <s v=""/>
    <s v=""/>
    <s v=""/>
    <s v=""/>
    <s v=""/>
    <s v="50%"/>
    <s v="Pipeline de Vendas"/>
    <s v="Em negociação (75%)"/>
    <s v=""/>
    <d v="2026-02-28T00:00:00"/>
    <n v="90000"/>
    <n v="921279"/>
    <n v="15"/>
    <s v="Junior Lopes"/>
    <d v="2026-01-29T00:00:00"/>
    <d v="1899-12-30T16:10:26"/>
    <s v=""/>
    <s v="Perdido"/>
    <d v="2026-02-13T00:00:00"/>
    <d v="1899-12-30T12:24:12"/>
    <s v="Não quer mudar a solução atual"/>
    <s v="em contato na feira Abcasa , vai seguir com AFV"/>
    <s v=""/>
    <x v="179"/>
    <s v="Junior Lopes"/>
    <x v="175"/>
    <s v=""/>
    <d v="2026-02-13T00:00:00"/>
    <n v="50"/>
    <s v=""/>
    <s v=""/>
    <s v=""/>
    <s v=""/>
    <n v="1"/>
  </r>
  <r>
    <x v="1"/>
    <n v="883"/>
    <m/>
    <n v="3200"/>
    <s v="em contato na feira Abcasa , vai seguir com AFV"/>
    <s v=""/>
    <x v="113"/>
    <m/>
    <s v=""/>
    <s v="Plasberg - AFV"/>
    <s v="75981412000"/>
    <s v=""/>
    <s v="null"/>
    <s v=""/>
    <s v=""/>
    <s v=""/>
    <s v=""/>
    <s v=""/>
    <s v=""/>
    <s v=""/>
    <s v=""/>
    <s v="50%"/>
    <s v="Pipeline de Vendas"/>
    <s v="Em negociação (75%)"/>
    <s v=""/>
    <d v="2026-02-28T00:00:00"/>
    <n v="1600"/>
    <n v="599515"/>
    <n v="15"/>
    <s v="Junior Lopes"/>
    <d v="2026-01-29T00:00:00"/>
    <d v="1899-12-30T16:20:50"/>
    <s v=""/>
    <s v="Perdido"/>
    <d v="2026-02-13T00:00:00"/>
    <d v="1899-12-30T12:25:47"/>
    <s v="Não quer mudar a solução atual"/>
    <s v="em contato na feira Abcasa , vai seguir com AFV"/>
    <s v=""/>
    <x v="179"/>
    <s v="Junior Lopes"/>
    <x v="175"/>
    <s v=""/>
    <d v="2026-02-13T00:00:00"/>
    <n v="50"/>
    <s v=""/>
    <s v=""/>
    <s v=""/>
    <s v=""/>
    <n v="1"/>
  </r>
  <r>
    <x v="1"/>
    <n v="884"/>
    <m/>
    <n v="3202"/>
    <s v="10:21, 09/03/2026 Junior Lopes: Olá Breno ! Como vai ?_x000a_11:06, 09/03/2026 Breno Plasberg: Bom dia_x000a_11:07, 09/03/2026 Junior Lopes: tudo bem meu amigo ! sobre a sequencia do projeto, alguma novidade ?"/>
    <s v=""/>
    <x v="417"/>
    <m/>
    <s v=""/>
    <s v="Plasberg - AFV"/>
    <s v="75981412000"/>
    <s v=""/>
    <s v="null"/>
    <s v=""/>
    <s v=""/>
    <s v=""/>
    <s v=""/>
    <s v=""/>
    <s v=""/>
    <s v=""/>
    <s v=""/>
    <s v="50%"/>
    <s v="Pipeline de Vendas"/>
    <s v="Em Fechamento (100%)"/>
    <s v=""/>
    <d v="2026-03-31T00:00:00"/>
    <n v="149248"/>
    <n v="29499"/>
    <n v="62"/>
    <s v="Junior Lopes"/>
    <d v="2026-01-29T00:00:00"/>
    <d v="1899-12-30T16:37:42"/>
    <s v=""/>
    <s v="Ganho"/>
    <d v="2026-04-01T00:00:00"/>
    <d v="1899-12-30T15:31:20"/>
    <s v=""/>
    <s v=""/>
    <s v=""/>
    <x v="175"/>
    <s v="Junior Lopes"/>
    <x v="175"/>
    <s v="11/02/2026"/>
    <d v="2026-02-09T00:00:00"/>
    <n v="50"/>
    <s v=""/>
    <s v=""/>
    <s v=""/>
    <s v=""/>
    <n v="1"/>
  </r>
  <r>
    <x v="1"/>
    <n v="885"/>
    <m/>
    <n v="3205"/>
    <s v="(29/01/2026) em contato com Artur, esta em analise interna"/>
    <s v=""/>
    <x v="418"/>
    <n v="4312818000109"/>
    <s v=""/>
    <s v="Pino lar"/>
    <s v=""/>
    <s v=""/>
    <s v=""/>
    <s v=""/>
    <s v=""/>
    <s v=""/>
    <s v="SAO PAULO"/>
    <s v="SP"/>
    <s v=""/>
    <s v=""/>
    <s v=""/>
    <s v="30%"/>
    <s v="Pipeline de Vendas"/>
    <s v="Em negociação (75%)"/>
    <s v=""/>
    <d v="2026-02-28T00:00:00"/>
    <n v="1600"/>
    <n v="384454"/>
    <n v="20"/>
    <s v="Junior Lopes"/>
    <d v="2026-01-30T00:00:00"/>
    <d v="1899-12-30T14:50:39"/>
    <s v=""/>
    <s v="Perdido"/>
    <d v="2026-02-19T00:00:00"/>
    <d v="1899-12-30T16:32:59"/>
    <s v="Não quer mudar a solução atual"/>
    <s v="11:13, 13/02/2026 Artur Pino Pino Lar: Bom dia_x000a_11:13, 13/02/2026 Artur Pino Pino Lar: Tudo bem ?_x000a_11:13, 13/02/2026 Artur Pino Pino Lar: Optei em fechar com a Penso_x000a_11:13, 13/02/2026 Artur Pino Pino Lar: Nossa empresa de TI_x000a_11:14, 13/02/2026 Artur Pino Pino Lar: O valor , pelo pacote que temos ficou muito atrativo_x000a_11:14, 13/02/2026 Artur Pino Pino Lar: Próxima semana já vamos iniciar a carga de dados_x000a_11:14, 13/02/2026 Artur Pino Pino Lar: Mas …… obrigado !_x000a_11:16, 13/02/2026 Junior Lopes: Olá Artur , perfeito!  Vou comunicar o Fernando por aqui"/>
    <s v=""/>
    <x v="172"/>
    <s v="Junior Lopes"/>
    <x v="0"/>
    <s v=""/>
    <d v="2026-02-19T00:00:00"/>
    <n v="30"/>
    <s v=""/>
    <s v=""/>
    <s v=""/>
    <s v=""/>
    <n v="1"/>
  </r>
  <r>
    <x v="1"/>
    <n v="886"/>
    <m/>
    <n v="3207"/>
    <s v="Perfeito Cláudio ! Abraço_x000a_Olá Cláudio! Como vai ?_x000a_Olá Cláudio Td bem ? _x000a_Como não recebi seu retorno nos últimos dias, entendo que talvez não seja o melhor momento para seguirmos com projeto Guarani _x000a_Para nao lotar seu WhatsApp de mensagens estou encerrando o contato! _x000a_Caso suas prioridades mudem sigo a disposição _x000a_Abraço"/>
    <s v=""/>
    <x v="419"/>
    <m/>
    <s v=""/>
    <s v="Claudio Teixeira"/>
    <s v="43996693593"/>
    <s v=""/>
    <s v="claudioteixeirasap@hotmail.com"/>
    <s v=""/>
    <s v=""/>
    <s v=""/>
    <s v=""/>
    <s v=""/>
    <s v=""/>
    <s v=""/>
    <s v=""/>
    <s v="Dentro Perfil;Instagram"/>
    <s v="Pipeline de Vendas"/>
    <s v="Apresentar Proposta (50%)"/>
    <s v=""/>
    <m/>
    <n v="1600"/>
    <n v="252471"/>
    <n v="38"/>
    <s v="Junior Lopes"/>
    <d v="2026-01-30T00:00:00"/>
    <d v="1899-12-30T15:24:23"/>
    <s v=""/>
    <s v="Perdido"/>
    <d v="2026-03-09T00:00:00"/>
    <d v="1899-12-30T11:03:54"/>
    <s v="Projeto adiado / sem prazo definido"/>
    <s v="Perfeito Cláudio ! Abraço_x000a_Olá Cláudio! Como vai ?_x000a_Olá Cláudio Td bem ? _x000a_Como não recebi seu retorno nos últimos dias, entendo que talvez não seja o melhor momento para seguirmos com projeto Guarani _x000a_Para nao lotar seu WhatsApp de mensagens estou encerrando o contato! _x000a_Caso suas prioridades mudem sigo a disposição _x000a_Abraço"/>
    <s v=""/>
    <x v="172"/>
    <s v=""/>
    <x v="0"/>
    <s v=""/>
    <d v="2026-02-09T00:00:00"/>
    <m/>
    <s v=""/>
    <s v=""/>
    <s v=""/>
    <s v=""/>
    <n v="1"/>
  </r>
  <r>
    <x v="1"/>
    <n v="887"/>
    <m/>
    <n v="3208"/>
    <s v=""/>
    <s v=""/>
    <x v="420"/>
    <m/>
    <s v=""/>
    <s v="Mauricio Jorge Lima - Cloud"/>
    <s v="9384064995"/>
    <s v=""/>
    <s v="mauriciojlatm@gmail.com"/>
    <s v=""/>
    <s v=""/>
    <s v=""/>
    <s v=""/>
    <s v=""/>
    <s v=""/>
    <s v=""/>
    <s v=""/>
    <s v="Dentro Perfil"/>
    <s v="Pipeline de Vendas"/>
    <s v="Apresentar Solução (35%)"/>
    <s v=""/>
    <m/>
    <n v="1600"/>
    <n v="254271"/>
    <n v="6"/>
    <s v="Junior Lopes"/>
    <d v="2026-01-30T00:00:00"/>
    <d v="1899-12-30T15:57:59"/>
    <s v=""/>
    <s v="Perdido"/>
    <d v="2026-02-05T00:00:00"/>
    <d v="1899-12-30T14:13:46"/>
    <s v="Preço muito alto - fora do budget de investimento"/>
    <s v=": Preço muito alto"/>
    <s v=""/>
    <x v="172"/>
    <s v=""/>
    <x v="183"/>
    <s v=""/>
    <d v="2026-01-26T00:00:00"/>
    <m/>
    <s v=""/>
    <s v=""/>
    <s v=""/>
    <s v=""/>
    <n v="1"/>
  </r>
  <r>
    <x v="1"/>
    <n v="888"/>
    <m/>
    <n v="3209"/>
    <s v=""/>
    <s v=""/>
    <x v="421"/>
    <m/>
    <s v=""/>
    <s v="Folha dourada tabacos - Cloud"/>
    <s v="3284083586"/>
    <s v=""/>
    <s v="atacabaco@gmail.com"/>
    <s v=""/>
    <s v=""/>
    <s v=""/>
    <s v=""/>
    <s v=""/>
    <s v=""/>
    <s v=""/>
    <s v=""/>
    <s v="Dentro Perfil;Instagram"/>
    <s v="Pipeline de Vendas"/>
    <s v="Apresentar Solução (35%)"/>
    <s v=""/>
    <m/>
    <n v="1600"/>
    <n v="252471"/>
    <n v="6"/>
    <s v="Junior Lopes"/>
    <d v="2026-01-30T00:00:00"/>
    <d v="1899-12-30T16:09:17"/>
    <s v=""/>
    <s v="Perdido"/>
    <d v="2026-02-05T00:00:00"/>
    <d v="1899-12-30T12:21:51"/>
    <s v="Não houve aprovação financeira"/>
    <s v="valor acima da expectativa"/>
    <s v=""/>
    <x v="166"/>
    <s v=""/>
    <x v="176"/>
    <s v=""/>
    <d v="2026-01-29T00:00:00"/>
    <m/>
    <s v=""/>
    <s v=""/>
    <s v=""/>
    <s v=""/>
    <n v="1"/>
  </r>
  <r>
    <x v="1"/>
    <n v="889"/>
    <m/>
    <n v="3210"/>
    <s v="(19/02/2026) Thales achou valor acima para o momento"/>
    <s v=""/>
    <x v="422"/>
    <m/>
    <s v=""/>
    <s v="Minas Mix - Cloud"/>
    <s v="3194143043"/>
    <s v=""/>
    <s v="thales_david@hotmail.com"/>
    <s v=""/>
    <s v=""/>
    <s v=""/>
    <s v=""/>
    <s v=""/>
    <s v=""/>
    <s v=""/>
    <s v=""/>
    <s v="30%;Dentro Perfil;Instagram"/>
    <s v="Pipeline de Vendas"/>
    <s v="Apresentar Proposta (50%)"/>
    <s v=""/>
    <m/>
    <n v="1600"/>
    <n v="252471"/>
    <n v="20"/>
    <s v="Junior Lopes"/>
    <d v="2026-01-30T00:00:00"/>
    <d v="1899-12-30T16:40:37"/>
    <s v=""/>
    <s v="Perdido"/>
    <d v="2026-02-19T00:00:00"/>
    <d v="1899-12-30T16:37:47"/>
    <s v="Não houve aprovação financeira"/>
    <s v="(19/02/2026) Thales achou valor acima para o momento"/>
    <s v=""/>
    <x v="175"/>
    <s v="Junior Lopes"/>
    <x v="191"/>
    <s v=""/>
    <d v="2026-02-19T00:00:00"/>
    <n v="30"/>
    <s v=""/>
    <s v=""/>
    <s v=""/>
    <s v=""/>
    <n v="1"/>
  </r>
  <r>
    <x v="1"/>
    <n v="890"/>
    <m/>
    <n v="3190"/>
    <s v="16:53, 30/01/2026 Junior Lopes: ani sistemas, Td bem ?_x000a_17:35, 30/01/2026 Leonardo Form: Boa tarde tudo e vc ?_x000a_16:53, 02/02/2026 Junior Lopes: Olá Leonardo, boa tarde  ! tem interesse em conhecer nossas soluções ?"/>
    <s v=""/>
    <x v="423"/>
    <n v="747901000222"/>
    <s v=""/>
    <s v="Tenneco"/>
    <s v="19995356201"/>
    <s v=""/>
    <s v="ltavares@tenneco.com"/>
    <s v=""/>
    <s v=""/>
    <s v=""/>
    <s v=""/>
    <s v=""/>
    <s v="Campanha"/>
    <s v=""/>
    <s v=""/>
    <s v="30%;Dentro Perfil;Instagram"/>
    <s v="Pipeline de Vendas"/>
    <s v="Apresentar Solução (35%)"/>
    <s v=""/>
    <d v="2026-02-28T00:00:00"/>
    <m/>
    <m/>
    <n v="99"/>
    <s v="Paulo Souza"/>
    <d v="2026-01-30T00:00:00"/>
    <d v="1899-12-30T16:49:56"/>
    <s v=""/>
    <s v="Perdido"/>
    <d v="2026-05-09T00:00:00"/>
    <d v="1899-12-30T08:34:33"/>
    <s v="Sem qualificação — contato não atende ligações nem responde msg"/>
    <s v=""/>
    <s v=""/>
    <x v="0"/>
    <s v="Junior Lopes"/>
    <x v="0"/>
    <s v=""/>
    <d v="2026-03-09T00:00:00"/>
    <n v="30"/>
    <s v=""/>
    <s v=""/>
    <s v=""/>
    <s v=""/>
    <n v="1"/>
  </r>
  <r>
    <x v="2"/>
    <n v="891"/>
    <m/>
    <n v="3191"/>
    <s v="18.02 - Tentativa de contato realizado por telefone e-mail"/>
    <s v=""/>
    <x v="424"/>
    <m/>
    <s v=""/>
    <s v="Certo"/>
    <s v="3335294949"/>
    <s v=""/>
    <s v="ti@grupocerto.com.br"/>
    <s v=""/>
    <s v=""/>
    <s v=""/>
    <s v=""/>
    <s v=""/>
    <s v="Campanha"/>
    <s v=""/>
    <s v=""/>
    <s v="30%;Dentro Perfil;Instagram"/>
    <s v="Pipeline de Vendas"/>
    <s v="Apresentar Proposta (50%)"/>
    <s v=""/>
    <d v="2026-02-28T00:00:00"/>
    <m/>
    <m/>
    <n v="26"/>
    <s v="Paulo Souza"/>
    <d v="2026-01-30T00:00:00"/>
    <d v="1899-12-30T16:51:49"/>
    <s v=""/>
    <s v="Perdido"/>
    <d v="2026-02-25T00:00:00"/>
    <d v="1899-12-30T10:30:05"/>
    <s v="Cliente não quer contato LGPD"/>
    <s v=""/>
    <s v=""/>
    <x v="0"/>
    <s v="Rayssa Karapeticov"/>
    <x v="0"/>
    <s v=""/>
    <d v="2026-02-18T00:00:00"/>
    <n v="30"/>
    <s v=""/>
    <s v=""/>
    <s v=""/>
    <s v=""/>
    <n v="1"/>
  </r>
  <r>
    <x v="1"/>
    <n v="892"/>
    <m/>
    <n v="3196"/>
    <s v="(30/01/2026) Sou Junior Lopes da Guarani sistemas_x000a_16:56, 30/01/2026 Junior Lopes: Td bem ?_x000a_17:01, 30/01/2026 Orlando: Tudo_x000a_17:08, 30/01/2026 Orlando: Descreve alguma coisa do seu sistema_x000a_17:29, 30/01/2026 Orlando: Qual o valor mensal?_x000a_Este valor mensal posso incluir quantas empresas?_x000a_16:49, 02/02/2026 Junior Lopes: Olá Orlando , tem interesse em dar continuidade no contato ?_x000a_Hj um investimento em um ERP Guarani controlando sua empresa de ponta a ponta desde a produção passando pelos módulos financeiro a pagar e receber, comercial, compras, Fiscal, logística/expedicao (WMS) e Força de vendas ! Fica dentro de uma expectativa entre (60 mil a 90 mil) de investimento em implantação e treinamentos !_x000a_A mensalidade é por usuário sendo R$ 280,00 do ERP e R$ 115,00 do AFV_x000a_Caso queira um orçamento mais preciso, podemos nos reunir para entender melhor suas necessidades_x000a_O que seria AFV?  (enviei =áudio explicando)_x000a_(11/02/2026) retornei contato com Orlando buscando continuidade no atendimento _x000a_10:07, 19/02/2026 Orlando: Falamos mais tarde_x000a_10:08, 19/02/2026 Orlando: Estou viajando, melhor poderia me chamar na segunda feira?_x000a_10:17, 19/02/2026 Junior Lopes: Estou viajando, melhor poderia me chamar na segunda feira?_x000a_Sim ! Te chamo segunda-feira_x000a_(16/03/2026) em contato com Orlando ! acredito que não esta no momento certo ! Orlando um pouco confuso"/>
    <s v=""/>
    <x v="425"/>
    <n v="54888350000165"/>
    <s v=""/>
    <s v="Plastilando Ind e Com"/>
    <s v="21999778181"/>
    <s v=""/>
    <s v="orlando@plastianna.com.br"/>
    <s v=""/>
    <s v=""/>
    <s v=""/>
    <s v=""/>
    <s v=""/>
    <s v="Campanha"/>
    <s v=""/>
    <s v=""/>
    <s v="30%;Dentro Perfil;Instagram"/>
    <s v="Pipeline de Vendas"/>
    <s v="Em negociação (75%)"/>
    <s v=""/>
    <d v="2026-03-31T00:00:00"/>
    <n v="1148572"/>
    <n v="71924"/>
    <n v="99"/>
    <s v="Paulo Souza"/>
    <d v="2026-01-30T00:00:00"/>
    <d v="1899-12-30T16:53:38"/>
    <s v=""/>
    <s v="Perdido"/>
    <d v="2026-05-09T00:00:00"/>
    <d v="1899-12-30T08:30:36"/>
    <s v="Não houve aprovação financeira"/>
    <s v=""/>
    <s v=""/>
    <x v="180"/>
    <s v="Junior Lopes"/>
    <x v="195"/>
    <s v=""/>
    <d v="2026-03-16T00:00:00"/>
    <n v="30"/>
    <s v=""/>
    <s v=""/>
    <s v=""/>
    <s v=""/>
    <n v="1"/>
  </r>
  <r>
    <x v="0"/>
    <n v="893"/>
    <m/>
    <n v="3203"/>
    <s v="17/02 Feito apresentação institucional e vídeos do ERP . _x000a_10/03 Fiz FUP com o Henrique e ele recebeu a proposta e esta sobre analise. Temos um reunião de apresentação de WMS na sexta-feira proxima para ele conhecer este módulo e seguirmos._x000a_20/03 Aguardando o Henrique se reunir com o time de ERP atual para decidir se vai trocar ou não o sistema."/>
    <s v=""/>
    <x v="426"/>
    <n v="10258712000169"/>
    <s v=""/>
    <s v="HENRIQUE CARVALHO SANTOS"/>
    <s v="(31) 99987-1034"/>
    <s v=""/>
    <s v="henrique@armandonacionais.com.br"/>
    <s v=""/>
    <s v=""/>
    <s v=""/>
    <s v="São Paulo"/>
    <s v=""/>
    <s v="Site"/>
    <s v=""/>
    <s v=""/>
    <s v="90%;Dentro Perfil;Solicita demo"/>
    <s v="Pipeline de Vendas"/>
    <s v="Em Fechamento (100%)"/>
    <s v=""/>
    <d v="2026-03-31T00:00:00"/>
    <n v="1301786"/>
    <n v="2713706"/>
    <n v="70"/>
    <s v="Paulo Souza"/>
    <d v="2026-01-30T00:00:00"/>
    <d v="1899-12-30T17:03:26"/>
    <s v=""/>
    <s v="Perdido"/>
    <d v="2026-04-10T00:00:00"/>
    <d v="1899-12-30T15:57:04"/>
    <s v="Não quer mudar a solução atual"/>
    <s v=""/>
    <s v=""/>
    <x v="168"/>
    <s v="Paulo Souza"/>
    <x v="182"/>
    <s v=""/>
    <d v="2026-03-20T00:00:00"/>
    <n v="30"/>
    <s v=""/>
    <s v="ERP, AFV, PDV, TREINAMENTO"/>
    <s v=""/>
    <s v=""/>
    <n v="1"/>
  </r>
  <r>
    <x v="0"/>
    <n v="894"/>
    <m/>
    <n v="3204"/>
    <s v="26/02 Foi feito FUP com o Wilson e ele optou pela concorrência devido a valor."/>
    <s v=""/>
    <x v="427"/>
    <m/>
    <s v=""/>
    <s v="Mobal"/>
    <s v="13997072312"/>
    <s v=""/>
    <s v="alumiglass.peruibe@gmail.com"/>
    <s v=""/>
    <s v=""/>
    <s v=""/>
    <s v=""/>
    <s v=""/>
    <s v="Campanha"/>
    <s v=""/>
    <s v=""/>
    <s v="30%;Dentro Perfil;Instagram"/>
    <s v="Pipeline de Vendas"/>
    <s v="Agendamento (0%)"/>
    <s v=""/>
    <d v="2026-02-28T00:00:00"/>
    <m/>
    <m/>
    <n v="27"/>
    <s v="Paulo Souza"/>
    <d v="2026-01-30T00:00:00"/>
    <d v="1899-12-30T17:06:43"/>
    <s v=""/>
    <s v="Perdido"/>
    <d v="2026-02-26T00:00:00"/>
    <d v="1899-12-30T18:31:38"/>
    <s v="Fechou com o concorrente - preço"/>
    <s v="26/02 Foi feito FUP com o Wilson e ele optou pela concorrência devido a valor."/>
    <s v=""/>
    <x v="0"/>
    <s v="Paulo Souza"/>
    <x v="0"/>
    <s v=""/>
    <d v="2026-02-26T00:00:00"/>
    <n v="30"/>
    <s v=""/>
    <s v="ERP"/>
    <s v=""/>
    <s v=""/>
    <n v="1"/>
  </r>
  <r>
    <x v="2"/>
    <n v="895"/>
    <m/>
    <n v="3201"/>
    <s v="07.04 cliente ainda imaturo para os processos"/>
    <s v="Fabiano Aparecido Vaine"/>
    <x v="428"/>
    <n v="28229707000193"/>
    <s v=""/>
    <s v="Fabiano Aparecido Vaine"/>
    <s v="(16) 9701-3510"/>
    <s v=""/>
    <s v="fabianovaine@terra.com.br"/>
    <s v=""/>
    <s v=""/>
    <s v=""/>
    <s v="SAO CARLOS"/>
    <s v="SP"/>
    <s v="Base de empresas Leads2b"/>
    <s v=""/>
    <s v=""/>
    <s v="30%;Dentro Perfil"/>
    <s v="Pipeline de Vendas"/>
    <s v="Apresentar Solução (35%)"/>
    <s v=""/>
    <d v="2026-04-30T00:00:00"/>
    <m/>
    <m/>
    <n v="64"/>
    <s v="Rayssa Karapeticov"/>
    <d v="2026-02-02T00:00:00"/>
    <d v="1899-12-30T09:47:17"/>
    <s v=""/>
    <s v="Perdido"/>
    <d v="2026-04-07T00:00:00"/>
    <d v="1899-12-30T10:56:50"/>
    <s v="Não quer mudar a solução atual"/>
    <s v=""/>
    <s v=""/>
    <x v="0"/>
    <s v="Rayssa Karapeticov"/>
    <x v="196"/>
    <s v=""/>
    <d v="2026-02-17T00:00:00"/>
    <n v="30"/>
    <s v=""/>
    <s v="ERP, AFV, PCP, WMS"/>
    <s v=""/>
    <s v=""/>
    <n v="1"/>
  </r>
  <r>
    <x v="2"/>
    <n v="901"/>
    <m/>
    <n v="3218"/>
    <s v="05/02 - Possui uma loja de peças de moto, onde presta serviço de conserto também. _x000a_Fora do perfil"/>
    <s v=""/>
    <x v="429"/>
    <m/>
    <s v=""/>
    <s v="RG moto peças"/>
    <s v="87988082642"/>
    <s v=""/>
    <s v="regisandes10@outlook.com"/>
    <s v=""/>
    <s v=""/>
    <s v=""/>
    <s v=""/>
    <s v=""/>
    <s v="Campanha"/>
    <s v=""/>
    <s v=""/>
    <s v="30%;Fora Perfil;Instagram"/>
    <s v="Pipeline de Vendas"/>
    <s v="Qualificação de Vendas (SQL) (25%)"/>
    <s v=""/>
    <d v="2026-02-28T00:00:00"/>
    <m/>
    <m/>
    <n v="2"/>
    <s v="Paulo Souza"/>
    <d v="2026-02-05T00:00:00"/>
    <d v="1899-12-30T08:33:37"/>
    <s v=""/>
    <s v="Perdido"/>
    <d v="2026-02-07T00:00:00"/>
    <d v="1899-12-30T21:31:00"/>
    <s v="Fora do porte mínimo (sem fit estrutural)"/>
    <s v=""/>
    <s v=""/>
    <x v="0"/>
    <s v="Rayssa Karapeticov"/>
    <x v="0"/>
    <s v=""/>
    <m/>
    <n v="30"/>
    <s v=""/>
    <s v=""/>
    <s v=""/>
    <s v=""/>
    <n v="1"/>
  </r>
  <r>
    <x v="1"/>
    <n v="902"/>
    <m/>
    <n v="3211"/>
    <s v=""/>
    <s v=""/>
    <x v="430"/>
    <n v="7324070000144"/>
    <s v=""/>
    <s v="SOLIMP"/>
    <s v="8391128022"/>
    <s v=""/>
    <s v="oliveiraeulalio@yahoo.com.br"/>
    <s v=""/>
    <s v=""/>
    <s v=""/>
    <s v="CAMPINA GRANDE"/>
    <s v="PB"/>
    <s v="Campanha"/>
    <s v=""/>
    <s v=""/>
    <s v="30%;Dentro Perfil;Instagram"/>
    <s v="Pipeline de Vendas"/>
    <s v="Qualificação de Vendas (SQL) (25%)"/>
    <s v=""/>
    <d v="2026-02-28T00:00:00"/>
    <m/>
    <m/>
    <n v="93"/>
    <s v="Paulo Souza"/>
    <d v="2026-02-05T00:00:00"/>
    <d v="1899-12-30T08:35:26"/>
    <s v=""/>
    <s v="Perdido"/>
    <d v="2026-05-09T00:00:00"/>
    <d v="1899-12-30T07:45:34"/>
    <s v="Sem qualificação — contato não atende ligações nem responde msg"/>
    <s v=""/>
    <s v=""/>
    <x v="0"/>
    <s v="Junior Lopes"/>
    <x v="0"/>
    <s v=""/>
    <d v="2026-02-19T00:00:00"/>
    <n v="30"/>
    <s v=""/>
    <s v=""/>
    <s v=""/>
    <s v=""/>
    <n v="1"/>
  </r>
  <r>
    <x v="0"/>
    <n v="903"/>
    <m/>
    <n v="3217"/>
    <s v="17/02 Após vários FUPs não obtive retorno do cliente sobre a sequência do projeto. Encerrei por falta de interesse."/>
    <s v=""/>
    <x v="431"/>
    <m/>
    <s v=""/>
    <s v="Monteiro"/>
    <s v="6184085792"/>
    <s v=""/>
    <s v="saff71@hotmail.com"/>
    <s v=""/>
    <s v=""/>
    <s v=""/>
    <s v=""/>
    <s v=""/>
    <s v="Campanha"/>
    <s v=""/>
    <s v=""/>
    <s v="30%;Dentro Perfil;Instagram"/>
    <s v="Pipeline de Vendas"/>
    <s v="Qualificação de Vendas (SQL) (25%)"/>
    <s v=""/>
    <d v="2026-02-28T00:00:00"/>
    <m/>
    <m/>
    <n v="93"/>
    <s v="Paulo Souza"/>
    <d v="2026-02-05T00:00:00"/>
    <d v="1899-12-30T08:40:25"/>
    <s v=""/>
    <s v="Perdido"/>
    <d v="2026-05-09T00:00:00"/>
    <d v="1899-12-30T07:46:56"/>
    <s v="Sem qualificação — contato não atende ligações nem responde msg"/>
    <s v=""/>
    <s v=""/>
    <x v="0"/>
    <s v="Paulo Souza"/>
    <x v="0"/>
    <s v=""/>
    <m/>
    <n v="30"/>
    <s v=""/>
    <s v=""/>
    <s v=""/>
    <s v=""/>
    <n v="1"/>
  </r>
  <r>
    <x v="0"/>
    <n v="906"/>
    <m/>
    <n v="3226"/>
    <s v="03/03 Após diversas tentativa de FUP não tive retorno e por falta de interação estou declinando o lead."/>
    <s v=""/>
    <x v="432"/>
    <m/>
    <s v=""/>
    <s v="2VO"/>
    <s v="11985858558"/>
    <s v=""/>
    <s v="wasques@uol.com.br"/>
    <s v=""/>
    <s v=""/>
    <s v=""/>
    <s v=""/>
    <s v=""/>
    <s v="Campanha"/>
    <s v=""/>
    <s v=""/>
    <s v="30%;Dentro Perfil;Instagram"/>
    <s v="Pipeline de Vendas"/>
    <s v="Apresentar Solução (35%)"/>
    <s v=""/>
    <d v="2026-02-28T00:00:00"/>
    <m/>
    <m/>
    <n v="24"/>
    <s v="Paulo Souza"/>
    <d v="2026-02-07T00:00:00"/>
    <d v="1899-12-30T07:04:06"/>
    <s v=""/>
    <s v="Perdido"/>
    <d v="2026-03-03T00:00:00"/>
    <d v="1899-12-30T21:33:22"/>
    <s v="Fora do porte mínimo (sem fit estrutural)"/>
    <s v=""/>
    <s v=""/>
    <x v="0"/>
    <s v="Paulo Souza"/>
    <x v="0"/>
    <s v=""/>
    <m/>
    <n v="30"/>
    <s v=""/>
    <s v="ERP, AFV"/>
    <s v=""/>
    <s v=""/>
    <n v="1"/>
  </r>
  <r>
    <x v="0"/>
    <n v="907"/>
    <m/>
    <n v="3222"/>
    <s v="13/02 Fiz FUP hoje com a Andressa, mas não atendeu deixei recado."/>
    <s v=""/>
    <x v="433"/>
    <m/>
    <s v=""/>
    <s v="Andresa Aparecida Carvalho"/>
    <s v="(11) 94468-8676"/>
    <s v=""/>
    <s v="andresacarvalho55@gmail.com"/>
    <s v=""/>
    <s v=""/>
    <s v=""/>
    <s v="São Paulo"/>
    <s v=""/>
    <s v="Site"/>
    <s v=""/>
    <s v=""/>
    <s v="30%;Solicita demo"/>
    <s v="Pipeline de Vendas"/>
    <s v="Apresentar Solução (35%)"/>
    <s v=""/>
    <d v="2026-02-28T00:00:00"/>
    <m/>
    <m/>
    <n v="12"/>
    <s v="Paulo Souza"/>
    <d v="2026-02-07T00:00:00"/>
    <d v="1899-12-30T07:13:56"/>
    <s v=""/>
    <s v="Perdido"/>
    <d v="2026-02-19T00:00:00"/>
    <d v="1899-12-30T17:31:05"/>
    <s v="Projeto adiado / sem prazo definido"/>
    <s v="Rayssa, atendendo"/>
    <s v=""/>
    <x v="0"/>
    <s v="Paulo Souza"/>
    <x v="187"/>
    <s v=""/>
    <m/>
    <n v="30"/>
    <s v=""/>
    <s v=""/>
    <s v=""/>
    <s v=""/>
    <n v="1"/>
  </r>
  <r>
    <x v="0"/>
    <n v="908"/>
    <m/>
    <n v="3228"/>
    <s v="06/02 Feito a apresentação da proposta em fase de negociação._x000a_13/02 Foi feito uma visita em São Paulo no Grupo Iracema, onde falamos com os sócios , e o cabeça o Mauricio. A proposta foi reformulada e ajustada e estamos na faze de negociação. Próximo passo, quarta-feira apresentar o WMS."/>
    <s v=""/>
    <x v="434"/>
    <m/>
    <s v=""/>
    <s v="Gerson"/>
    <s v="49988720298"/>
    <s v=""/>
    <s v="null"/>
    <s v=""/>
    <s v=""/>
    <s v=""/>
    <s v=""/>
    <s v=""/>
    <s v="Indicação"/>
    <s v=""/>
    <s v=""/>
    <s v="50%"/>
    <s v="Pipeline de Vendas"/>
    <s v="Em negociação (75%)"/>
    <s v=""/>
    <d v="2026-02-28T00:00:00"/>
    <n v="987029"/>
    <n v="1228454"/>
    <n v="19"/>
    <s v="Paulo Souza"/>
    <d v="2026-02-07T00:00:00"/>
    <d v="1899-12-30T09:59:21"/>
    <s v=""/>
    <s v="Ganho"/>
    <d v="2026-02-26T00:00:00"/>
    <d v="1899-12-30T21:55:21"/>
    <s v=""/>
    <s v=""/>
    <s v=""/>
    <x v="118"/>
    <s v="Paulo Souza"/>
    <x v="126"/>
    <s v=""/>
    <d v="2026-02-26T00:00:00"/>
    <n v="50"/>
    <s v="270"/>
    <s v="ERP, AFV, BI, WMS, COMEX, ADICIONAIS"/>
    <s v="R$ 89.502,90"/>
    <s v="R$ 12.883,50"/>
    <n v="1"/>
  </r>
  <r>
    <x v="0"/>
    <n v="909"/>
    <m/>
    <n v="3229"/>
    <s v="06/02 Feito a apresentação da proposta em fase de negociação._x000a_13/02 Foi feito uma visita em São Paulo no Grupo Iracema, onde falamos com os sócios , e o cabeça o Mauricio. A proposta foi reformulada e ajustada e estamos na faze de negociação. Próximo passo, quarta-feira apresentar o WMS._x000a_13/02 Foi feito uma visita em São Paulo no Grupo Iracema, onde falamos com os sócios , e o cabeça o Mauricio. A proposta foi reformulada e ajustada e estamos na faze de negociação. Próximo passo, quarta-feira apresentar o WMS."/>
    <s v=""/>
    <x v="435"/>
    <m/>
    <s v=""/>
    <s v="Willaim"/>
    <s v="49998015654"/>
    <s v=""/>
    <s v="null"/>
    <s v=""/>
    <s v=""/>
    <s v=""/>
    <s v=""/>
    <s v=""/>
    <s v=""/>
    <s v=""/>
    <s v=""/>
    <s v="50%"/>
    <s v="Pipeline de Vendas"/>
    <s v="Em Fechamento (100%)"/>
    <s v=""/>
    <d v="2026-02-28T00:00:00"/>
    <n v="7470289"/>
    <n v="1038848"/>
    <n v="19"/>
    <s v="Paulo Souza"/>
    <d v="2026-02-07T00:00:00"/>
    <d v="1899-12-30T10:00:29"/>
    <s v=""/>
    <s v="Ganho"/>
    <d v="2026-02-26T00:00:00"/>
    <d v="1899-12-30T21:48:31"/>
    <s v=""/>
    <s v=""/>
    <s v=""/>
    <x v="181"/>
    <s v="Paulo Souza"/>
    <x v="197"/>
    <s v=""/>
    <d v="2026-02-26T00:00:00"/>
    <n v="50"/>
    <s v="150"/>
    <s v="ERP, AFV, BI, WMS, COMEX, ADICIONAIS"/>
    <s v="R$ 65.502,90"/>
    <s v="R$ 11.334,84"/>
    <n v="1"/>
  </r>
  <r>
    <x v="1"/>
    <n v="912"/>
    <m/>
    <n v="3248"/>
    <s v="(11/02/2026) Contato feira ABcasa ! agendamos apresentação para sexta feira dia 20/02_x000a_10:05, 20/02/2026 Junior Lopes: Entendo ! Vamos organizar nova data_x000a_10:06, 20/02/2026 Junior Lopes: Segunda feira , é possível?_x000a_10:13, 20/02/2026 Fabio Oliveira Nina Enc: eu consigo te atender, mas vamos precisar remarcar um pouco mais para frente, eu quero muito te atender e realmente preciso, porem nesse momento ta dificil_x000a_(09/03/2026) buscando data para apresentação _x000a_(14/04/2026) em contato com Fabio a fim de agendarmos apresentação _x000a_09:58, 14/04/2026 Junior Lopes: Olá Fábio, bom dia_x000a_10:01, 14/04/2026 Fabio Oliveira Nina Enc: Bom dia meu amigo, tudo certo ?_x000a_10:02, 14/04/2026 Junior Lopes: Opa td certo 🙏_x000a_Vamos programar apresentação?_x000a_10:04, 14/04/2026 Fabio Oliveira Nina Enc: o meu amigo, esta semana nao vou ter como te atender, estamos organizando muita coisa na empresa, na quarta feira meu pai vai para china, mas acho que na outra semana a gente consegue, na quinta ou sexta da semana que vem_x000a_10:05, 14/04/2026 Junior Lopes: Perfeito Fábio ! Aí te chamo no começo da semana para alinharmos_x000a_10:05, 14/04/2026 Fabio Oliveira Nina Enc: combinado"/>
    <s v="Sebastiao Cardoso Comercio Atacadista De Ferramentas Ltda"/>
    <x v="436"/>
    <n v="12391174000101"/>
    <s v=""/>
    <s v="Sebastiao Cardoso Comercio Atacadista De Ferramentas Ltda"/>
    <s v="(47) 3368-3065"/>
    <s v=""/>
    <s v="ninaencartelados@gmail.com"/>
    <s v=""/>
    <s v=""/>
    <s v=""/>
    <s v="ITAPEMA"/>
    <s v="SC"/>
    <s v="Base de empresas Leads2b"/>
    <s v=""/>
    <s v=""/>
    <s v=""/>
    <s v="Pipeline de Vendas"/>
    <s v="Apresentar Proposta (50%)"/>
    <s v=""/>
    <d v="2026-05-31T00:00:00"/>
    <n v="748805"/>
    <n v="53071"/>
    <n v="92"/>
    <s v="Junior Lopes"/>
    <d v="2026-02-11T00:00:00"/>
    <d v="1899-12-30T09:59:48"/>
    <s v=""/>
    <s v="Perdido"/>
    <d v="2026-05-14T00:00:00"/>
    <d v="1899-12-30T14:48:33"/>
    <s v="Não houve aprovação financeira"/>
    <s v="14/05/2026 : _x000a_09:02, 13/05/2026 Fabio Oliveira Nina Enc: Consegui sim, teu sistema é maravilhoso, muito bom mesmo _x000a_porem eu passei pro pessoal aqui, e no momento, nosso faturamaento nao condiz com o investimento a ser feito_x000a_09:03, 13/05/2026 Fabio Oliveira Nina Enc: espero que logo possamos mudar isso_x000a_09:05, 13/05/2026 Junior Lopes: Entendo Fábio ! _x000a_ O que está pegando mais na proposta ? O projeto ou as mensalidades?_x000a_09:08, 13/05/2026 Fabio Oliveira Nina Enc: na verdade é um pouco dos dois, hj nosso sistema nos custa 6 mil por ano, claro que ele nao tem a mesma eficiencia do seu, mas para a quantidade de vendas nossa, no atual momento ele nos atende bem_x000a_09:21, 13/05/2026 Junior Lopes: Entendo ! Gostaria de pensar aí e nos fazer uma contra proposta ?_x000a_09:22, 13/05/2026 Fabio Oliveira Nina Enc: no momento vamos deixar em off_x000a_09:22, 13/05/2026 Fabio Oliveira Nina Enc: obrigado pela atençao_x000a_09:28, 13/05/2026 Junior Lopes: Ta joia meu amigo_x000a_09:29, 13/05/2026 Junior Lopes: Ficamos a disposição! Tenho certeza que podemos ajudar muito no crescimento da Nina encartelados _x000a_Um abraço_x000a_09:29, 13/05/2026 Fabio Oliveira Nina Enc: abraço"/>
    <s v=""/>
    <x v="182"/>
    <s v=""/>
    <x v="198"/>
    <s v="05/05/2026"/>
    <d v="2026-05-14T00:00:00"/>
    <n v="50"/>
    <s v=""/>
    <s v=""/>
    <s v=""/>
    <s v=""/>
    <n v="1"/>
  </r>
  <r>
    <x v="1"/>
    <n v="915"/>
    <m/>
    <n v="3253"/>
    <s v="(11/02/2026) Vídeo demonstrativo enviado para analise   _x000a_(11/02/2026) Proposta enviada"/>
    <s v=""/>
    <x v="437"/>
    <m/>
    <s v=""/>
    <s v="Ad &amp; Ad (Comex)"/>
    <s v="14996930353"/>
    <s v=""/>
    <s v="daniel@adimportacao.com.br"/>
    <s v=""/>
    <s v=""/>
    <s v=""/>
    <s v=""/>
    <s v=""/>
    <s v=""/>
    <s v=""/>
    <s v=""/>
    <s v="30%"/>
    <s v="Pipeline de Vendas"/>
    <s v="Apresentar Proposta (50%)"/>
    <s v=""/>
    <d v="2026-04-30T00:00:00"/>
    <n v="10240"/>
    <n v="2000"/>
    <n v="82"/>
    <s v="Junior Lopes"/>
    <d v="2026-02-11T00:00:00"/>
    <d v="1899-12-30T10:27:04"/>
    <s v=""/>
    <s v="Perdido"/>
    <d v="2026-05-04T00:00:00"/>
    <d v="1899-12-30T08:59:14"/>
    <s v="Projeto adiado / sem prazo definido"/>
    <s v="vai aguardar um pouco mais"/>
    <s v=""/>
    <x v="183"/>
    <s v=""/>
    <x v="196"/>
    <s v=""/>
    <d v="2026-05-04T00:00:00"/>
    <n v="30"/>
    <s v=""/>
    <s v=""/>
    <s v=""/>
    <s v=""/>
    <n v="1"/>
  </r>
  <r>
    <x v="0"/>
    <n v="919"/>
    <m/>
    <n v="3227"/>
    <s v="26/02 Fiz FUP com o Jader e ele tem uma ferramentaria. Entendi o processo e agora preciso falar com o Fernando, para ver se conseguirmos atender ele ou não. na sequência vou passar uma proposta. _x000a_12/03 - Encerrei o lead por falta de retorno, futuramente se ele demonstrar interesse falamos."/>
    <s v=""/>
    <x v="438"/>
    <m/>
    <s v=""/>
    <s v="Jader Silva"/>
    <s v="17996751231"/>
    <s v=""/>
    <s v="jader.reobote@outlook.com"/>
    <s v=""/>
    <s v=""/>
    <s v=""/>
    <s v=""/>
    <s v=""/>
    <s v="Campanha"/>
    <s v=""/>
    <s v=""/>
    <s v="Dentro Perfil;Instagram"/>
    <s v="Pipeline de Vendas"/>
    <s v="Apresentar Solução (35%)"/>
    <s v=""/>
    <m/>
    <m/>
    <m/>
    <n v="29"/>
    <s v="Paulo Souza"/>
    <d v="2026-02-11T00:00:00"/>
    <d v="1899-12-30T11:21:33"/>
    <s v=""/>
    <s v="Perdido"/>
    <d v="2026-03-12T00:00:00"/>
    <d v="1899-12-30T17:24:16"/>
    <s v="Fora do porte mínimo (sem fit estrutural)"/>
    <s v=""/>
    <s v=""/>
    <x v="168"/>
    <s v="Paulo Souza"/>
    <x v="182"/>
    <s v=""/>
    <d v="2026-03-31T00:00:00"/>
    <n v="30"/>
    <s v=""/>
    <s v="ERP"/>
    <s v=""/>
    <s v=""/>
    <n v="1"/>
  </r>
  <r>
    <x v="2"/>
    <n v="920"/>
    <m/>
    <n v="3230"/>
    <s v="12.02 - cliente agendou hoje as 9h não entrou na reunião, estou tentando contato para reagendar"/>
    <s v=""/>
    <x v="439"/>
    <n v="36377920000170"/>
    <s v=""/>
    <s v="RG distribuidora de bebidas ltda"/>
    <s v="(37) 3213-0306"/>
    <s v=""/>
    <s v="rgdistribuidoraltda@hotmail.com"/>
    <s v=""/>
    <s v=""/>
    <s v=""/>
    <s v="DIVINOPOLIS"/>
    <s v="MG"/>
    <s v="Campanha"/>
    <s v=""/>
    <s v=""/>
    <s v="Dentro Perfil;Instagram"/>
    <s v="Pipeline de Vendas"/>
    <s v="Apresentar Proposta (50%)"/>
    <s v=""/>
    <d v="2026-04-30T00:00:00"/>
    <n v="7784244"/>
    <n v="144748"/>
    <n v="14"/>
    <s v="Paulo Souza"/>
    <d v="2026-02-11T00:00:00"/>
    <d v="1899-12-30T11:22:26"/>
    <s v=""/>
    <s v="Perdido"/>
    <d v="2026-02-25T00:00:00"/>
    <d v="1899-12-30T10:28:11"/>
    <s v="Preço muito alto - fora do budget de investimento"/>
    <s v=""/>
    <s v=""/>
    <x v="184"/>
    <s v="Rayssa Karapeticov"/>
    <x v="199"/>
    <s v=""/>
    <d v="2026-02-24T00:00:00"/>
    <n v="30"/>
    <s v=""/>
    <s v="ERP, AFV"/>
    <s v=""/>
    <s v=""/>
    <n v="1"/>
  </r>
  <r>
    <x v="0"/>
    <n v="921"/>
    <m/>
    <n v="3231"/>
    <s v="26/02 Fiz FUP hoje com o Antônio, sem sucesso. Após minhas ligações ele não atendeu , deixei recado no Whatsapp. _x000a_27/02 Após diversas FUps sem sucesso e sem retorno do lead, estou declinando a oportunidade."/>
    <s v=""/>
    <x v="440"/>
    <m/>
    <s v=""/>
    <s v="Loja da construção"/>
    <s v="85996031544"/>
    <s v=""/>
    <s v="ajs.antoniojose@hotmail.com"/>
    <s v=""/>
    <s v=""/>
    <s v=""/>
    <s v=""/>
    <s v=""/>
    <s v="Campanha"/>
    <s v=""/>
    <s v=""/>
    <s v="Fora Perfil;Instagram"/>
    <s v="Pipeline de Vendas"/>
    <s v="Qualificação de Vendas (SQL) (25%)"/>
    <s v=""/>
    <d v="2026-02-28T00:00:00"/>
    <m/>
    <m/>
    <n v="16"/>
    <s v="Paulo Souza"/>
    <d v="2026-02-11T00:00:00"/>
    <d v="1899-12-30T11:23:49"/>
    <s v=""/>
    <s v="Perdido"/>
    <d v="2026-02-27T00:00:00"/>
    <d v="1899-12-30T21:32:33"/>
    <s v="Fora do porte mínimo (sem fit estrutural)"/>
    <s v=""/>
    <s v=""/>
    <x v="0"/>
    <s v="Paulo Souza"/>
    <x v="0"/>
    <s v=""/>
    <d v="2026-02-26T00:00:00"/>
    <n v="30"/>
    <s v=""/>
    <s v=""/>
    <s v=""/>
    <s v=""/>
    <n v="1"/>
  </r>
  <r>
    <x v="0"/>
    <n v="922"/>
    <m/>
    <n v="3232"/>
    <s v="27/02 Fiz diversos FUP sem retorno, por isso estou declinando o contato."/>
    <s v=""/>
    <x v="441"/>
    <m/>
    <s v=""/>
    <s v="Zzzz"/>
    <s v="41987097843"/>
    <s v=""/>
    <s v="gipatelini@hotmail.com"/>
    <s v=""/>
    <s v=""/>
    <s v=""/>
    <s v=""/>
    <s v=""/>
    <s v="Campanha"/>
    <s v=""/>
    <s v=""/>
    <s v="Dentro Perfil;Instagram"/>
    <s v="Pipeline de Vendas"/>
    <s v="Apresentar Solução (35%)"/>
    <s v=""/>
    <d v="2026-02-27T00:00:00"/>
    <m/>
    <m/>
    <n v="16"/>
    <s v="Paulo Souza"/>
    <d v="2026-02-11T00:00:00"/>
    <d v="1899-12-30T11:24:41"/>
    <s v=""/>
    <s v="Perdido"/>
    <d v="2026-02-27T00:00:00"/>
    <d v="1899-12-30T21:27:11"/>
    <s v="Fora do porte mínimo (sem fit estrutural)"/>
    <s v=""/>
    <s v=""/>
    <x v="0"/>
    <s v="Paulo Souza"/>
    <x v="0"/>
    <s v=""/>
    <m/>
    <n v="30"/>
    <s v=""/>
    <s v=""/>
    <s v=""/>
    <s v=""/>
    <n v="1"/>
  </r>
  <r>
    <x v="2"/>
    <n v="923"/>
    <m/>
    <n v="3236"/>
    <s v=""/>
    <s v=""/>
    <x v="442"/>
    <m/>
    <s v=""/>
    <s v="Gs atacado"/>
    <s v="61984251198"/>
    <s v=""/>
    <s v="gsatacado69@gmail.com"/>
    <s v=""/>
    <s v=""/>
    <s v=""/>
    <s v=""/>
    <s v=""/>
    <s v="Campanha"/>
    <s v=""/>
    <s v=""/>
    <s v="Dentro Perfil;Instagram"/>
    <s v="Pipeline de Vendas"/>
    <s v="Qualificação de Vendas (SQL) (25%)"/>
    <s v=""/>
    <d v="2026-04-30T00:00:00"/>
    <m/>
    <m/>
    <n v="16"/>
    <s v="Paulo Souza"/>
    <d v="2026-02-11T00:00:00"/>
    <d v="1899-12-30T11:27:12"/>
    <s v=""/>
    <s v="Perdido"/>
    <d v="2026-02-27T00:00:00"/>
    <d v="1899-12-30T17:23:25"/>
    <s v="Preço muito alto - fora do budget de investimento"/>
    <s v=""/>
    <s v=""/>
    <x v="0"/>
    <s v="Rayssa Karapeticov"/>
    <x v="200"/>
    <s v=""/>
    <d v="2026-02-25T00:00:00"/>
    <n v="30"/>
    <s v=""/>
    <s v="ERP, PDV, AFV"/>
    <s v=""/>
    <s v=""/>
    <n v="1"/>
  </r>
  <r>
    <x v="1"/>
    <n v="924"/>
    <m/>
    <n v="3238"/>
    <s v="(11/02/2026) tentativa de ligação nao atendida _x000a_17:03, 11/02/2026 Junior Lopes: Olá Gabriel , boa tarde_x000a_17:03, 11/02/2026 Junior Lopes: sou Junior Lopes da Guarani sistemas ! td bem ?_x000a_(19/02/2026) apresar de não ter resposta do cliente ! em pesquise verifiquei que LM é um deposito de bebidas que acaba fugindo do perfil"/>
    <s v=""/>
    <x v="443"/>
    <m/>
    <s v=""/>
    <s v="lm bebidas"/>
    <s v="11910369959"/>
    <s v=""/>
    <s v="gelucinaro@hotmail.com"/>
    <s v=""/>
    <s v=""/>
    <s v=""/>
    <s v=""/>
    <s v=""/>
    <s v="Campanha"/>
    <s v=""/>
    <s v=""/>
    <s v="Fora Perfil;Instagram"/>
    <s v="Pipeline de Vendas"/>
    <s v="Qualificação de Vendas (SQL) (25%)"/>
    <s v=""/>
    <m/>
    <m/>
    <m/>
    <n v="15"/>
    <s v="Paulo Souza"/>
    <d v="2026-02-11T00:00:00"/>
    <d v="1899-12-30T11:29:47"/>
    <s v=""/>
    <s v="Perdido"/>
    <d v="2026-02-26T00:00:00"/>
    <d v="1899-12-30T23:08:40"/>
    <s v="Fora do porte mínimo (sem fit estrutural)"/>
    <s v=""/>
    <s v=""/>
    <x v="0"/>
    <s v=""/>
    <x v="0"/>
    <s v=""/>
    <d v="2026-02-19T00:00:00"/>
    <n v="30"/>
    <s v=""/>
    <s v=""/>
    <s v=""/>
    <s v=""/>
    <n v="1"/>
  </r>
  <r>
    <x v="1"/>
    <n v="925"/>
    <m/>
    <n v="3244"/>
    <s v="(11/02/2026) tentativa de ligação não atendida _x000a_16:48, 11/02/2026 Junior Lopes: Olá Kariello, boa tarde !_x000a_16:48, 11/02/2026 Junior Lopes: sou Junior Lopes da Guarani sistemas, tudo bem ?_x000a_(19/02/2026) buscando data para apresentação _x000a_(23/02/2026) Vamos Agendar apresentação do força de vendas para amanhã ?_x000a_10 ou 14 horas ! O que fica melhor?_x000a_Vamos marca na primeira semana de março_x000a_Fechamento do mês é complicado_x000a_Sim ! Vamos deixar uma agenda para dia 4/03 quarta feira! Se sim já te envio um link do Meet_x000a_Ok_x000a_Apresentação Guarani (AFV) _x000a_Quarta-feira, 4 de março · 10:00 – 11:30_x000a_Fuso horário: America/Sao_Paulo_x000a_Como participar do Google Meet_x000a_Link da videochamada: https://meet.google.com/dsp-gfgz-nyv_x000a_09:54, 04/03/2026 KARIELLO COELHO: Tive um imprevisto_x000a_09:54, 04/03/2026 KARIELLO COELHO: Teremos que remarcar_x000a_09:55, 04/03/2026 Junior Lopes: Td bem meu amigo , sem problemas_x000a_12:41, 04/03/2026 KARIELLO COELHO: Até sexta agora_x000a_12:42, 04/03/2026 Junior Lopes: 10 horas é um bom horário?_x000a_12:45, 04/03/2026 KARIELLO COELHO: 11h_x000a_12:46, 04/03/2026 Junior Lopes: Joia! Vou gerar um link_x000a_12:50, 04/03/2026 Junior Lopes: Apresentação Guarani AFV - CK Hospitalar_x000a_Sexta-feira, 6 de março · 11:00 – 12:15_x000a_Fuso horário: America/Sao_Paulo_x000a_Como participar do Google Meet_x000a_Link da videochamada: https://meet.google.com/zum-xcty-mab_x000a_(09/03/2026) Após Kariello desmarcar a reunião de apresentação , não respondeu mais aos contatos"/>
    <s v=""/>
    <x v="444"/>
    <n v="32534969000139"/>
    <s v=""/>
    <s v="CK HOSPITALAR"/>
    <s v="6392247104"/>
    <s v=""/>
    <s v="diretoria@ckhospitalar.com.br"/>
    <s v=""/>
    <s v=""/>
    <s v=""/>
    <s v=""/>
    <s v="Palmas"/>
    <s v="Inbound"/>
    <s v=""/>
    <s v=""/>
    <s v="Dentro Perfil;Instagram"/>
    <s v="Pipeline de Vendas"/>
    <s v="Apresentar Proposta (50%)"/>
    <s v=""/>
    <d v="2026-04-30T00:00:00"/>
    <n v="16960"/>
    <n v="32775"/>
    <n v="41"/>
    <s v="Paulo Souza"/>
    <d v="2026-02-11T00:00:00"/>
    <d v="1899-12-30T11:30:31"/>
    <s v=""/>
    <s v="Perdido"/>
    <d v="2026-03-24T00:00:00"/>
    <d v="1899-12-30T16:03:55"/>
    <s v="Projeto adiado / sem prazo definido"/>
    <s v="(09/03/2026) Após Kariello desmarcar a reunião de apresentação , não respondeu mais aos contatos"/>
    <s v=""/>
    <x v="185"/>
    <s v=""/>
    <x v="196"/>
    <s v="04/03/2026"/>
    <d v="2026-03-09T00:00:00"/>
    <n v="30"/>
    <s v=""/>
    <s v=""/>
    <s v=""/>
    <s v=""/>
    <n v="1"/>
  </r>
  <r>
    <x v="1"/>
    <n v="926"/>
    <m/>
    <n v="3237"/>
    <s v="(11/02/2026) tentativa de ligação não atendida ! mensagem em seguida _x000a_16:43, 11/02/2026 Junior Lopes: Olá Renato ! boa tarde_x000a_16:43, 11/02/2026 Junior Lopes: sou Junior Lopes da Guarani sistemas ! tudo bem ?"/>
    <s v=""/>
    <x v="445"/>
    <m/>
    <s v=""/>
    <s v="Rp pisos"/>
    <s v="81996498759"/>
    <s v=""/>
    <s v="renatosouzarp2018@gmail.com"/>
    <s v=""/>
    <s v=""/>
    <s v=""/>
    <s v=""/>
    <s v=""/>
    <s v="Campanha"/>
    <s v=""/>
    <s v=""/>
    <s v="Fora Perfil;Instagram"/>
    <s v="Pipeline de Vendas"/>
    <s v="Qualificação de Vendas (SQL) (25%)"/>
    <s v=""/>
    <m/>
    <m/>
    <m/>
    <n v="87"/>
    <s v="Paulo Souza"/>
    <d v="2026-02-11T00:00:00"/>
    <d v="1899-12-30T11:42:17"/>
    <s v=""/>
    <s v="Perdido"/>
    <d v="2026-05-09T00:00:00"/>
    <d v="1899-12-30T07:47:47"/>
    <s v="Sem qualificação — contato não atende ligações nem responde msg"/>
    <s v=""/>
    <s v=""/>
    <x v="0"/>
    <s v=""/>
    <x v="0"/>
    <s v=""/>
    <d v="2026-02-19T00:00:00"/>
    <n v="30"/>
    <s v=""/>
    <s v=""/>
    <s v=""/>
    <s v=""/>
    <n v="1"/>
  </r>
  <r>
    <x v="2"/>
    <n v="927"/>
    <m/>
    <n v="3239"/>
    <s v="13.02 é uma loja de auto peças, prouca PDV, fora do perfil"/>
    <s v=""/>
    <x v="446"/>
    <m/>
    <s v=""/>
    <s v="Dede Acessorios"/>
    <s v="6596196462"/>
    <s v=""/>
    <s v="lu_kawakami@msn.com"/>
    <s v=""/>
    <s v=""/>
    <s v=""/>
    <s v=""/>
    <s v=""/>
    <s v="Campanha"/>
    <s v=""/>
    <s v=""/>
    <s v="Fora Perfil;Instagram"/>
    <s v="Pipeline de Vendas"/>
    <s v="Agendamento (0%)"/>
    <s v=""/>
    <m/>
    <m/>
    <m/>
    <n v="2"/>
    <s v="Paulo Souza"/>
    <d v="2026-02-11T00:00:00"/>
    <d v="1899-12-30T11:44:32"/>
    <s v=""/>
    <s v="Perdido"/>
    <d v="2026-02-13T00:00:00"/>
    <d v="1899-12-30T17:27:41"/>
    <s v="Fora do porte mínimo (sem fit estrutural)"/>
    <s v=""/>
    <s v=""/>
    <x v="0"/>
    <s v="Rayssa Karapeticov"/>
    <x v="0"/>
    <s v=""/>
    <d v="2026-02-13T00:00:00"/>
    <n v="30"/>
    <s v=""/>
    <s v=""/>
    <s v=""/>
    <s v=""/>
    <n v="1"/>
  </r>
  <r>
    <x v="1"/>
    <n v="928"/>
    <m/>
    <n v="3242"/>
    <s v="(11/02/2026) ligação efetuada - Anderson pediu para retornar ! vamos dar sequencia no whatsapp_x000a_(18/02/2026) buscando contato com Anderson ! sem resposta até o momento"/>
    <s v=""/>
    <x v="384"/>
    <n v="9205460000120"/>
    <s v=""/>
    <s v="Panveiga"/>
    <s v="(83) 3343-3391 / (83) 3343-3391"/>
    <s v=""/>
    <s v=""/>
    <s v=""/>
    <s v=""/>
    <s v=""/>
    <s v="CAMPINA GRANDE"/>
    <s v="PB"/>
    <s v="Inbound"/>
    <s v=""/>
    <s v=""/>
    <s v="Dentro Perfil;Instagram"/>
    <s v="Pipeline de Vendas"/>
    <s v="Qualificação de Vendas (SQL) (25%)"/>
    <s v=""/>
    <m/>
    <m/>
    <m/>
    <n v="8"/>
    <s v="Paulo Souza"/>
    <d v="2026-02-11T00:00:00"/>
    <d v="1899-12-30T11:51:24"/>
    <s v=""/>
    <s v="Perdido"/>
    <d v="2026-02-19T00:00:00"/>
    <d v="1899-12-30T09:53:04"/>
    <s v="Nossa solução não atende - falta funcionalidade"/>
    <s v="cliente precisa que o força de vendas atenda em pronta entrega"/>
    <s v=""/>
    <x v="0"/>
    <s v=""/>
    <x v="0"/>
    <s v=""/>
    <d v="2026-02-18T00:00:00"/>
    <n v="30"/>
    <s v=""/>
    <s v=""/>
    <s v=""/>
    <s v=""/>
    <n v="1"/>
  </r>
  <r>
    <x v="1"/>
    <n v="929"/>
    <m/>
    <n v="3235"/>
    <s v="Conversa extraida do áudio enviado em 12/03/2026_x000a_ 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
    <s v=""/>
    <x v="447"/>
    <m/>
    <s v=""/>
    <s v="kayo calil marques"/>
    <s v="(14) 99854-9863"/>
    <s v=""/>
    <s v="kayocalil@hotmail.com"/>
    <s v=""/>
    <s v=""/>
    <s v=""/>
    <s v="Tupã"/>
    <s v=""/>
    <s v="Site"/>
    <s v=""/>
    <s v=""/>
    <s v="Solicita demo"/>
    <s v="Pipeline de Vendas"/>
    <s v="Em negociação (75%)"/>
    <s v=""/>
    <m/>
    <n v="41040"/>
    <n v="384858"/>
    <n v="29"/>
    <s v="Paulo Souza"/>
    <d v="2026-02-11T00:00:00"/>
    <d v="1899-12-30T11:53:14"/>
    <s v=""/>
    <s v="Perdido"/>
    <d v="2026-03-12T00:00:00"/>
    <d v="1899-12-30T14:14:05"/>
    <s v="Não quer mudar a solução atual"/>
    <s v="Conversa extraida do áudio enviado em 12/03/2026_x000a_ 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
    <s v=""/>
    <x v="186"/>
    <s v=""/>
    <x v="201"/>
    <s v="19/02/2026"/>
    <d v="2026-03-12T00:00:00"/>
    <n v="30"/>
    <s v=""/>
    <s v=""/>
    <s v=""/>
    <s v=""/>
    <n v="1"/>
  </r>
  <r>
    <x v="2"/>
    <n v="930"/>
    <m/>
    <n v="3243"/>
    <s v="12.02 - é uma importadora de Ribeirão Preto e veio por indicação da Simone (QFestas) são do mesmo seguimento_x000a_Disse que já havia feito contato um tempo atrás mas na época achou muito caro, então não avançou_x000a_Esta retomando o contato agora e gostaria de receber uma proposta comercial antes, já que já conhece o sistema, já recebeu várias indicações de importadores, e representantes. _x000a_18.03 - estou tentando contato, mas esta em feira _x000a_30.03 Achou que não é o momento certo para avançar"/>
    <s v=""/>
    <x v="448"/>
    <n v="14590342000113"/>
    <s v=""/>
    <s v="Leandro"/>
    <s v="(16) 98237-0011"/>
    <s v=""/>
    <s v="leandro@bazarimportadora.com.br"/>
    <s v=""/>
    <s v=""/>
    <s v=""/>
    <s v="Ribeirão Preto"/>
    <s v=""/>
    <s v="Site"/>
    <s v=""/>
    <s v=""/>
    <s v="Contato;Dentro Perfil"/>
    <s v="Pipeline de Vendas"/>
    <s v="Apresentar Proposta (50%)"/>
    <s v=""/>
    <m/>
    <m/>
    <m/>
    <n v="47"/>
    <s v="Paulo Souza"/>
    <d v="2026-02-11T00:00:00"/>
    <d v="1899-12-30T11:54:00"/>
    <s v=""/>
    <s v="Perdido"/>
    <d v="2026-03-30T00:00:00"/>
    <d v="1899-12-30T15:50:03"/>
    <s v="Projeto adiado / sem prazo definido"/>
    <s v=""/>
    <s v=""/>
    <x v="0"/>
    <s v="Rayssa Karapeticov"/>
    <x v="202"/>
    <s v=""/>
    <d v="2026-03-30T00:00:00"/>
    <n v="30"/>
    <s v=""/>
    <s v="AFV, ERP"/>
    <s v=""/>
    <s v=""/>
    <n v="1"/>
  </r>
  <r>
    <x v="1"/>
    <n v="931"/>
    <m/>
    <n v="3233"/>
    <s v="11/02/2026) cliente com necessidades especificas _x000a_Rastreabilidade avançada de coletas e devoluções (fluxo de logística reversa e conferência de avarias);_x000a_Gestão flexível de Kits (desmembramento dinâmico de itens no ato da manutenção);"/>
    <s v=""/>
    <x v="449"/>
    <n v="36096287000142"/>
    <s v=""/>
    <s v="Fernando Ramalho"/>
    <s v="(21) 98655-6912"/>
    <s v=""/>
    <s v="fernando.ramalho@superzinca.com.br"/>
    <s v=""/>
    <s v=""/>
    <s v=""/>
    <s v="Ibirité"/>
    <s v=""/>
    <s v="Site"/>
    <s v=""/>
    <s v=""/>
    <s v="Fora Perfil;Solicita demo"/>
    <s v="Pipeline de Vendas"/>
    <s v="Qualificação de Vendas (SQL) (25%)"/>
    <s v=""/>
    <m/>
    <m/>
    <m/>
    <n v="0"/>
    <s v="Paulo Souza"/>
    <d v="2026-02-11T00:00:00"/>
    <d v="1899-12-30T11:55:55"/>
    <s v=""/>
    <s v="Perdido"/>
    <d v="2026-02-11T00:00:00"/>
    <d v="1899-12-30T15:28:53"/>
    <s v="Fora do porte mínimo (sem fit estrutural)"/>
    <s v="cliente fora do perfil"/>
    <s v=""/>
    <x v="0"/>
    <s v=""/>
    <x v="0"/>
    <s v=""/>
    <m/>
    <n v="30"/>
    <s v=""/>
    <s v=""/>
    <s v=""/>
    <s v=""/>
    <n v="1"/>
  </r>
  <r>
    <x v="2"/>
    <n v="932"/>
    <m/>
    <n v="3234"/>
    <s v="12.02 ligação realizada no dia 12.02 as 11:13, não atendeu. Enviei mensagem no whatsapp, para tentar um novo horario para ligação_x000a_13.02 Cliente é uma industria de copos de liquidificador estão sempre na ABUP e vieram por indicação da Arthi _x000a_Usam um sistema interno - mas futuramente querem trocar o sistema, explicou que a principio querem conhecer nosso AFV, porque foi uma indicação e o sistema atual possui esse módulo mas libera muitas informações que eles não querem disponibilizar para os RCAs, porém não podem editar ou bloquear_x000a_Não enviar estoque _x000a_Tabelas de preço - Explicou que possuem várias tabelas de preço por faixa de valor, informei que o sistema atende essa necessidade e quem podem ter uma unica tabela com uma regra comercial de desconto por faixar de valor amarrada ao pedido_x000a_Imagens de produtos - quer que o cliente tenha acesso a imagem do produto, expliquei que sim, e que pode gerar o catalogo em PDF para o cliente_x000a_Descrição - ficha técnica do produto e descrição do item_x000a_Uso de sistemas na feira - usar leitor de código de produto_x000a_Envio de orçamento - envio de cópia de orçamentos por PDF, link ou excel, e explicar funções em feira _x000a_Isis vai verificar com a gerente uma data para apresentação do AFV_x000a_18.02 - apresentação agendada para amanhã _x000a_18.03 Negociação finalizada, aguardando documentação para seguir com contrato_x000a_15.04 09:24, 15/04/2026 Rayssa Karapeticov - Comercial - Guarani Sistemas: Oi Isis, como você está.?_x000a_Na última troca, você comentou que eles devem manter o sistema atual por mais tempo, e eu fiquei de marcar uma reunião presencial para detalharmos a integração e forma de trabalho._x000a_Queria entender contigo se ainda faz sentido seguirmos com esse alinhamento agora. Se sim, me indica por favor dois horários que funcionem para você."/>
    <s v=""/>
    <x v="450"/>
    <n v="1498495000193"/>
    <s v=""/>
    <s v="Isis Miguelette"/>
    <s v="(11) 91290-8574"/>
    <s v=""/>
    <s v="isismiguelette@micromaxindustria.com.br"/>
    <s v=""/>
    <s v=""/>
    <s v=""/>
    <s v="Itatiba"/>
    <s v=""/>
    <s v="Site"/>
    <s v=""/>
    <s v=""/>
    <s v="Dentro Perfil;Solicita demo"/>
    <s v="Pipeline de Vendas"/>
    <s v="Em negociação (75%)"/>
    <s v=""/>
    <d v="2026-04-30T00:00:00"/>
    <n v="16143"/>
    <n v="690"/>
    <n v="70"/>
    <s v="Paulo Souza"/>
    <d v="2026-02-11T00:00:00"/>
    <d v="1899-12-30T11:56:36"/>
    <s v=""/>
    <s v="Perdido"/>
    <d v="2026-04-22T00:00:00"/>
    <d v="1899-12-30T17:19:39"/>
    <s v="Preço muito alto - fora do budget de investimento"/>
    <s v=""/>
    <s v=""/>
    <x v="185"/>
    <s v="Rayssa Karapeticov"/>
    <x v="203"/>
    <s v=""/>
    <d v="2026-04-15T00:00:00"/>
    <n v="30"/>
    <s v=""/>
    <s v="AFV"/>
    <s v=""/>
    <s v=""/>
    <n v="1"/>
  </r>
  <r>
    <x v="1"/>
    <n v="933"/>
    <m/>
    <n v="3262"/>
    <s v=""/>
    <s v="Startools Ferramentas, Comercio, Importacao E Exportacao Ltda"/>
    <x v="451"/>
    <n v="35754976000215"/>
    <s v=""/>
    <s v="Startools Ferramentas, Comercio, Importacao E Exportacao Ltda"/>
    <s v="(11) 8472-4282"/>
    <s v=""/>
    <s v="controladoria@startoolsferramentas.com.br"/>
    <s v=""/>
    <s v=""/>
    <s v=""/>
    <s v="ARAQUARI"/>
    <s v="SC"/>
    <s v="Base de empresas Leads2b"/>
    <s v=""/>
    <s v=""/>
    <s v=""/>
    <s v="Pipeline de Vendas"/>
    <s v="Apresentar Solução (35%)"/>
    <s v=""/>
    <m/>
    <n v="0"/>
    <n v="0"/>
    <n v="98"/>
    <s v="Junior Lopes"/>
    <d v="2026-02-11T00:00:00"/>
    <d v="1899-12-30T18:07:55"/>
    <s v=""/>
    <s v="Ativo"/>
    <m/>
    <m/>
    <s v=""/>
    <s v=""/>
    <s v=""/>
    <x v="0"/>
    <s v=""/>
    <x v="204"/>
    <s v=""/>
    <d v="2026-05-08T00:00:00"/>
    <n v="50"/>
    <s v=""/>
    <s v=""/>
    <s v=""/>
    <s v=""/>
    <n v="1"/>
  </r>
  <r>
    <x v="1"/>
    <n v="934"/>
    <m/>
    <n v="3263"/>
    <s v="(03/03/2026) Visita apresentação _x000a_(05/03/2026)  buscando fechamento"/>
    <s v="Cleantech Solucoes Industria, Distribuidora, Comercio, Importacao E Exportacao De Produtos Quimicos Ltda"/>
    <x v="452"/>
    <n v="51540058000169"/>
    <s v=""/>
    <s v="Cleantech Solucoes Industria, Distribuidora, Comercio, Importacao E Exportacao De Produtos Quimicos Ltda"/>
    <s v="(11) 91564-2482"/>
    <s v=""/>
    <s v=""/>
    <s v=""/>
    <s v=""/>
    <s v=""/>
    <s v="SAO PAULO"/>
    <s v="SP"/>
    <s v="Base de empresas Leads2b"/>
    <s v=""/>
    <s v=""/>
    <s v=""/>
    <s v="Pipeline de Vendas"/>
    <s v="Em Fechamento (100%)"/>
    <s v=""/>
    <m/>
    <n v="68400"/>
    <n v="114607"/>
    <n v="49"/>
    <s v="Junior Lopes"/>
    <d v="2026-02-11T00:00:00"/>
    <d v="1899-12-30T18:19:45"/>
    <s v=""/>
    <s v="Ganho"/>
    <d v="2026-04-01T00:00:00"/>
    <d v="1899-12-30T10:36:11"/>
    <s v=""/>
    <s v=""/>
    <s v=""/>
    <x v="183"/>
    <s v=""/>
    <x v="196"/>
    <s v="03/03/2026"/>
    <d v="2026-03-05T00:00:00"/>
    <n v="70"/>
    <s v=""/>
    <s v=""/>
    <s v=""/>
    <s v=""/>
    <n v="1"/>
  </r>
  <r>
    <x v="0"/>
    <n v="935"/>
    <m/>
    <n v="3259"/>
    <s v="13/02 Fiz FUP hoje com a Pamela e o perfil identificado é de cliente emergente para investir no momento. E por isso foi declinado."/>
    <s v=""/>
    <x v="453"/>
    <m/>
    <s v=""/>
    <s v="PAMELA CRISTINA DA FONSECA"/>
    <s v="(46) 99984-1338"/>
    <s v=""/>
    <s v="importacao.azul@hotmail.com"/>
    <s v=""/>
    <s v=""/>
    <s v=""/>
    <s v="Fazenda Rio Grande"/>
    <s v=""/>
    <s v="Site"/>
    <s v=""/>
    <s v=""/>
    <s v="Solicita demo"/>
    <s v="Pipeline de Vendas"/>
    <s v="Qualificação de Vendas (SQL) (25%)"/>
    <s v=""/>
    <d v="2026-02-28T00:00:00"/>
    <m/>
    <m/>
    <n v="1"/>
    <s v="Paulo Souza"/>
    <d v="2026-02-12T00:00:00"/>
    <d v="1899-12-30T02:29:04"/>
    <s v=""/>
    <s v="Perdido"/>
    <d v="2026-02-13T00:00:00"/>
    <d v="1899-12-30T17:22:46"/>
    <s v="Preço muito alto - fora do budget de investimento"/>
    <s v=""/>
    <s v=""/>
    <x v="0"/>
    <s v="Paulo Souza"/>
    <x v="187"/>
    <s v=""/>
    <m/>
    <n v="30"/>
    <s v=""/>
    <s v="ERP, AFV"/>
    <s v=""/>
    <s v=""/>
    <n v="1"/>
  </r>
  <r>
    <x v="1"/>
    <n v="936"/>
    <m/>
    <n v="3268"/>
    <s v="(20/02/2026) Buscando fechamento _x000a_Conversa extraida do áudio enviado em 12/03/2026_x000a_ 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
    <s v=""/>
    <x v="454"/>
    <m/>
    <s v=""/>
    <s v="Atacadão das Tripas"/>
    <s v="14998549863"/>
    <s v=""/>
    <s v="kayocalil@hotmail.com"/>
    <s v=""/>
    <s v=""/>
    <s v=""/>
    <s v=""/>
    <s v=""/>
    <s v=""/>
    <s v=""/>
    <s v=""/>
    <s v=""/>
    <s v="Pipeline de Vendas"/>
    <s v="Em negociação (75%)"/>
    <s v=""/>
    <m/>
    <m/>
    <m/>
    <n v="27"/>
    <s v="Junior Lopes"/>
    <d v="2026-02-13T00:00:00"/>
    <d v="1899-12-30T14:52:42"/>
    <s v=""/>
    <s v="Perdido"/>
    <d v="2026-03-12T00:00:00"/>
    <d v="1899-12-30T14:12:42"/>
    <s v="Não quer mudar a solução atual"/>
    <s v="Conversa extraida do áudio enviado em 12/03/2026_x000a_ 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
    <s v=""/>
    <x v="0"/>
    <s v=""/>
    <x v="187"/>
    <s v=""/>
    <d v="2026-03-12T00:00:00"/>
    <n v="50"/>
    <s v=""/>
    <s v=""/>
    <s v=""/>
    <s v=""/>
    <n v="1"/>
  </r>
  <r>
    <x v="1"/>
    <n v="937"/>
    <m/>
    <n v="3267"/>
    <s v="(19/02/2026) descartando por falta de interação _x000a_09:44, 19/02/2026 Junior Lopes: Oi, Edenilson Tentei contato algumas vezes, mas não consegui falar com você. Imagino que sua rotina esteja corrida. Vou encerrar seu atendimento por aqui para não lotar sua caixa de entrada, mas sigo à disposição caso queira retomar o assunto no futuro"/>
    <s v=""/>
    <x v="455"/>
    <n v="3318893000106"/>
    <s v=""/>
    <s v="Eletro Fort Poste Padrão"/>
    <s v="19974151604"/>
    <s v=""/>
    <s v="compras@eletrofortlimeira.com.br"/>
    <s v=""/>
    <s v=""/>
    <s v=""/>
    <s v=""/>
    <s v=""/>
    <s v="Campanha"/>
    <s v=""/>
    <s v=""/>
    <s v="Dentro Perfil;Instagram"/>
    <s v="Pipeline de Vendas"/>
    <s v="Qualificação de Vendas (SQL) (25%)"/>
    <s v=""/>
    <d v="2026-02-28T00:00:00"/>
    <m/>
    <m/>
    <n v="13"/>
    <s v="Paulo Souza"/>
    <d v="2026-02-13T00:00:00"/>
    <d v="1899-12-30T21:58:18"/>
    <s v=""/>
    <s v="Perdido"/>
    <d v="2026-02-26T00:00:00"/>
    <d v="1899-12-30T23:10:17"/>
    <s v="Fora do porte mínimo (sem fit estrutural)"/>
    <s v=""/>
    <s v=""/>
    <x v="0"/>
    <s v="Junior Lopes"/>
    <x v="0"/>
    <s v=""/>
    <d v="2026-02-19T00:00:00"/>
    <n v="30"/>
    <s v=""/>
    <s v=""/>
    <s v=""/>
    <s v=""/>
    <n v="1"/>
  </r>
  <r>
    <x v="0"/>
    <n v="938"/>
    <m/>
    <n v="3266"/>
    <s v="19/02 Fiz FUP com o cliente e liguei para o Luis e ao entender o processo dele verifique que não atendemos. Pois ele quer que o vendedor no momento do pedido já emita a NF."/>
    <s v=""/>
    <x v="456"/>
    <n v="11994847000155"/>
    <s v=""/>
    <s v="Luís Fernando"/>
    <s v="(15) 99839-1786"/>
    <s v=""/>
    <s v="luismendesjr@cafecarneiro.com.br"/>
    <s v=""/>
    <s v=""/>
    <s v=""/>
    <s v="Itapeva"/>
    <s v=""/>
    <s v="Site"/>
    <s v=""/>
    <s v=""/>
    <s v="Contato"/>
    <s v="Pipeline de Vendas"/>
    <s v="Apresentar Solução (35%)"/>
    <s v=""/>
    <d v="2026-02-28T00:00:00"/>
    <m/>
    <m/>
    <n v="6"/>
    <s v="Paulo Souza"/>
    <d v="2026-02-13T00:00:00"/>
    <d v="1899-12-30T22:00:55"/>
    <s v=""/>
    <s v="Perdido"/>
    <d v="2026-02-19T00:00:00"/>
    <d v="1899-12-30T17:25:13"/>
    <s v="Nossa solução não atende - falta funcionalidade"/>
    <s v="19/02 Fiz FUP com o cliente e liguei para o Luis e ao entender o processo dele verifique que não atendemos. Pois ele quer que o vendedor no momento do pedido já emita a NF."/>
    <s v=""/>
    <x v="0"/>
    <s v="Paulo Souza"/>
    <x v="0"/>
    <s v=""/>
    <m/>
    <n v="30"/>
    <s v=""/>
    <s v=""/>
    <s v=""/>
    <s v=""/>
    <n v="1"/>
  </r>
  <r>
    <x v="2"/>
    <n v="945"/>
    <m/>
    <n v="3271"/>
    <s v=""/>
    <s v=""/>
    <x v="457"/>
    <m/>
    <s v=""/>
    <s v="Angel"/>
    <s v="(45) 99828-7178"/>
    <s v=""/>
    <s v="lucaangel20@hotmail.com"/>
    <s v=""/>
    <s v=""/>
    <s v=""/>
    <s v="Toledo"/>
    <s v=""/>
    <s v="Site"/>
    <s v=""/>
    <s v=""/>
    <s v="Solicita demo"/>
    <s v="Pipeline de Vendas"/>
    <s v="Agendamento (0%)"/>
    <s v=""/>
    <m/>
    <m/>
    <m/>
    <n v="2"/>
    <s v="Paulo Souza"/>
    <d v="2026-02-17T00:00:00"/>
    <d v="1899-12-30T17:47:51"/>
    <s v=""/>
    <s v="Perdido"/>
    <d v="2026-02-19T00:00:00"/>
    <d v="1899-12-30T09:05:02"/>
    <s v="Cliente não quer contato LGPD"/>
    <s v=""/>
    <s v=""/>
    <x v="0"/>
    <s v="Rayssa Karapeticov"/>
    <x v="0"/>
    <s v=""/>
    <d v="2026-02-18T00:00:00"/>
    <n v="30"/>
    <s v=""/>
    <s v="ERP"/>
    <s v=""/>
    <s v=""/>
    <n v="1"/>
  </r>
  <r>
    <x v="0"/>
    <n v="946"/>
    <m/>
    <n v="3270"/>
    <s v="26/02 Fiz FUP hoje com o Diego após varias tentativas de ligação ele não atendeu, envie e-mail para ver se consigo outro canal de conversa._x000a_12/03 Diego optou por uma solução local e se não der certo retorna o contato."/>
    <s v=""/>
    <x v="458"/>
    <m/>
    <s v=""/>
    <s v="Cia atacadista"/>
    <s v="71982084451"/>
    <s v=""/>
    <s v="ailtonsrocha@hotmail.com"/>
    <s v=""/>
    <s v=""/>
    <s v=""/>
    <s v=""/>
    <s v=""/>
    <s v="Campanha"/>
    <s v=""/>
    <s v=""/>
    <s v="Dentro Perfil;Instagram"/>
    <s v="Pipeline de Vendas"/>
    <s v="Qualificação de Vendas (SQL) (25%)"/>
    <s v=""/>
    <d v="2026-03-31T00:00:00"/>
    <m/>
    <m/>
    <n v="82"/>
    <s v="Paulo Souza"/>
    <d v="2026-02-18T00:00:00"/>
    <d v="1899-12-30T08:51:33"/>
    <s v=""/>
    <s v="Perdido"/>
    <d v="2026-05-11T00:00:00"/>
    <d v="1899-12-30T11:54:40"/>
    <s v="Fechou com o concorrente - preço"/>
    <s v="optou por uma solução local, senão atende-lo volta o contato."/>
    <s v=""/>
    <x v="0"/>
    <s v="Paulo Souza"/>
    <x v="0"/>
    <s v=""/>
    <d v="2026-03-12T00:00:00"/>
    <n v="30"/>
    <s v=""/>
    <s v="ERP, AFV"/>
    <s v=""/>
    <s v=""/>
    <n v="1"/>
  </r>
  <r>
    <x v="1"/>
    <n v="948"/>
    <m/>
    <n v="3278"/>
    <s v="(19/02/2026) em contato com Andreia ! atualmente usa ERP Linx e busca ferramenta de força de vendas _x000a_estamos alinhando data de apresentação _x000a_(09/03/2026) Após envio da proposta comercial Andréa não respondeu mais ! dois pontos de atenção com relacçao ao seu ramo de atividade , por ser um fabrica de roupas e ERP Linx"/>
    <s v=""/>
    <x v="459"/>
    <m/>
    <s v=""/>
    <s v="Ama"/>
    <s v="21995112577"/>
    <s v=""/>
    <s v="andreiamattosaeb@mail.com"/>
    <s v=""/>
    <s v=""/>
    <s v=""/>
    <s v=""/>
    <s v=""/>
    <s v="Campanha"/>
    <s v=""/>
    <s v=""/>
    <s v="Dentro Perfil;Instagram"/>
    <s v="Pipeline de Vendas"/>
    <s v="Apresentar Proposta (50%)"/>
    <s v=""/>
    <d v="2026-02-28T00:00:00"/>
    <n v="16960"/>
    <n v="575"/>
    <n v="21"/>
    <s v="Paulo Souza"/>
    <d v="2026-02-19T00:00:00"/>
    <d v="1899-12-30T08:14:29"/>
    <s v=""/>
    <s v="Perdido"/>
    <d v="2026-03-12T00:00:00"/>
    <d v="1899-12-30T15:22:14"/>
    <s v="Não houve aprovação financeira"/>
    <s v="investimento alto"/>
    <s v=""/>
    <x v="184"/>
    <s v="Junior Lopes"/>
    <x v="205"/>
    <s v=""/>
    <d v="2026-03-09T00:00:00"/>
    <n v="31"/>
    <s v=""/>
    <s v=""/>
    <s v=""/>
    <s v=""/>
    <n v="1"/>
  </r>
  <r>
    <x v="2"/>
    <n v="949"/>
    <m/>
    <n v="3279"/>
    <s v=""/>
    <s v=""/>
    <x v="363"/>
    <m/>
    <s v=""/>
    <s v="Fisiohosp"/>
    <s v="06596658787"/>
    <s v=""/>
    <s v="cmag2017@gmail.com"/>
    <s v=""/>
    <s v=""/>
    <s v=""/>
    <s v=""/>
    <s v="Cuiabá mt"/>
    <s v="Inbound"/>
    <s v=""/>
    <s v=""/>
    <s v="Fora Perfil;Instagram"/>
    <s v="Pipeline de Vendas"/>
    <s v="Agendamento (0%)"/>
    <s v=""/>
    <d v="2026-02-28T00:00:00"/>
    <m/>
    <m/>
    <n v="4"/>
    <s v="Paulo Souza"/>
    <d v="2026-02-19T00:00:00"/>
    <d v="1899-12-30T08:15:39"/>
    <s v=""/>
    <s v="Perdido"/>
    <d v="2026-02-23T00:00:00"/>
    <d v="1899-12-30T16:11:43"/>
    <s v="Fora do porte mínimo (sem fit estrutural)"/>
    <s v=""/>
    <s v=""/>
    <x v="0"/>
    <s v="Rayssa Karapeticov"/>
    <x v="0"/>
    <s v=""/>
    <m/>
    <n v="30"/>
    <s v=""/>
    <s v=""/>
    <s v=""/>
    <s v=""/>
    <n v="1"/>
  </r>
  <r>
    <x v="2"/>
    <n v="950"/>
    <m/>
    <n v="3280"/>
    <s v="19.02 devido o feriado de carnaval estã retornando hoje._x000a_Combinamos de falar amanhã 20/02 as 09h"/>
    <s v=""/>
    <x v="460"/>
    <n v="3459449000100"/>
    <s v=""/>
    <s v="San marcus industrial"/>
    <s v="75998542317"/>
    <s v=""/>
    <s v="marcos@sanmarcus.com.br"/>
    <s v=""/>
    <s v=""/>
    <s v=""/>
    <s v=""/>
    <s v=""/>
    <s v="Campanha"/>
    <s v=""/>
    <s v=""/>
    <s v="Dentro Perfil;Instagram"/>
    <s v="Pipeline de Vendas"/>
    <s v="Apresentar Solução (35%)"/>
    <s v=""/>
    <d v="2026-04-30T00:00:00"/>
    <m/>
    <m/>
    <n v="22"/>
    <s v="Paulo Souza"/>
    <d v="2026-02-19T00:00:00"/>
    <d v="1899-12-30T08:17:18"/>
    <s v=""/>
    <s v="Perdido"/>
    <d v="2026-03-13T00:00:00"/>
    <d v="1899-12-30T10:35:07"/>
    <s v="Não quer mudar a solução atual"/>
    <s v=""/>
    <s v=""/>
    <x v="0"/>
    <s v="Rayssa Karapeticov"/>
    <x v="0"/>
    <s v=""/>
    <d v="2026-03-13T00:00:00"/>
    <n v="31"/>
    <s v=""/>
    <s v="ERP, PCP, AFV"/>
    <s v=""/>
    <s v=""/>
    <n v="1"/>
  </r>
  <r>
    <x v="1"/>
    <n v="951"/>
    <m/>
    <n v="3282"/>
    <s v="(19/02/2026) ligação não atendida ! na sequencia envio de mensagem _x000a_(19/02/2026) em contato com Carolla , a empresa é uma loja de doces , fora do perfil _x000a_08:56, 19/02/2026 Junior Lopes: OLá Carolla, bom dia !_x000a_08:56, 19/02/2026 Junior Lopes: sou Junior Lopes da Guarani sistemas td bem ?_x000a_08:57, 19/02/2026 Junior Lopes: estou retornando um contato que você fez conosco"/>
    <s v=""/>
    <x v="461"/>
    <m/>
    <s v=""/>
    <s v="Fa de doces"/>
    <s v="16993027000"/>
    <s v=""/>
    <s v="carollafinancas@gmail.com"/>
    <s v=""/>
    <s v=""/>
    <s v=""/>
    <s v=""/>
    <s v=""/>
    <s v="Campanha"/>
    <s v=""/>
    <s v=""/>
    <s v="Fora Perfil;Instagram"/>
    <s v="Pipeline de Vendas"/>
    <s v="Qualificação de Vendas (SQL) (25%)"/>
    <s v=""/>
    <d v="2026-02-19T00:00:00"/>
    <m/>
    <m/>
    <n v="7"/>
    <s v="Paulo Souza"/>
    <d v="2026-02-19T00:00:00"/>
    <d v="1899-12-30T08:18:43"/>
    <s v=""/>
    <s v="Perdido"/>
    <d v="2026-02-26T00:00:00"/>
    <d v="1899-12-30T23:09:28"/>
    <s v="Fora do porte mínimo (sem fit estrutural)"/>
    <s v=""/>
    <s v=""/>
    <x v="0"/>
    <s v="Junior Lopes"/>
    <x v="0"/>
    <s v=""/>
    <m/>
    <n v="30"/>
    <s v=""/>
    <s v=""/>
    <s v=""/>
    <s v=""/>
    <n v="1"/>
  </r>
  <r>
    <x v="0"/>
    <n v="952"/>
    <m/>
    <n v="3283"/>
    <s v="26/02 Fiz FUP com Alessandro e combinamos de falar na segunda-feira as 9h_x000a_12/03 Fiz FUP com o Alessandro e combinamos uma apresentação amanhã as 8h _x000a_20/03 Fiz FUP com o Alessandro para saber se ele vai seguir ou não._x000a_20/03 Cliente achou o preço muito alto para investir agora."/>
    <s v=""/>
    <x v="462"/>
    <m/>
    <s v=""/>
    <s v="Alessandro"/>
    <s v="49999890528"/>
    <s v=""/>
    <s v="ale@metaladm.com.br"/>
    <s v=""/>
    <s v=""/>
    <s v=""/>
    <s v=""/>
    <s v=""/>
    <s v="Campanha"/>
    <s v=""/>
    <s v=""/>
    <s v="Dentro Perfil;Instagram"/>
    <s v="Pipeline de Vendas"/>
    <s v="Em negociação (75%)"/>
    <s v=""/>
    <d v="2026-03-31T00:00:00"/>
    <n v="862043"/>
    <n v="34937"/>
    <n v="40"/>
    <s v="Paulo Souza"/>
    <d v="2026-02-19T00:00:00"/>
    <d v="1899-12-30T08:19:46"/>
    <s v=""/>
    <s v="Perdido"/>
    <d v="2026-03-31T00:00:00"/>
    <d v="1899-12-30T16:31:50"/>
    <s v="Preço muito alto - fora do budget de investimento"/>
    <s v=""/>
    <s v=""/>
    <x v="187"/>
    <s v="Paulo Souza"/>
    <x v="0"/>
    <s v=""/>
    <d v="2026-03-20T00:00:00"/>
    <n v="30"/>
    <s v=""/>
    <s v="ERP, AFV"/>
    <s v=""/>
    <s v=""/>
    <n v="1"/>
  </r>
  <r>
    <x v="0"/>
    <n v="953"/>
    <m/>
    <n v="3284"/>
    <s v="26/02 Fiz FUP com a Fernanda e ela não atendeu, deixei recado para falarmos._x000a_02/02 Fiz FUP e cliente falou que vai analisar"/>
    <s v=""/>
    <x v="463"/>
    <m/>
    <s v=""/>
    <s v="NEW"/>
    <s v="1140227929"/>
    <s v=""/>
    <s v="ferramentarianws@gmail.com"/>
    <s v=""/>
    <s v=""/>
    <s v=""/>
    <s v=""/>
    <s v=""/>
    <s v="Campanha"/>
    <s v=""/>
    <s v=""/>
    <s v="Fora Perfil;Instagram"/>
    <s v="Pipeline de Vendas"/>
    <s v="Qualificação de Vendas (SQL) (25%)"/>
    <s v=""/>
    <d v="2026-02-28T00:00:00"/>
    <m/>
    <m/>
    <n v="12"/>
    <s v="Paulo Souza"/>
    <d v="2026-02-19T00:00:00"/>
    <d v="1899-12-30T08:20:37"/>
    <s v=""/>
    <s v="Perdido"/>
    <d v="2026-03-03T00:00:00"/>
    <d v="1899-12-30T21:25:01"/>
    <s v="Fora do porte mínimo (sem fit estrutural)"/>
    <s v=""/>
    <s v=""/>
    <x v="0"/>
    <s v="Paulo Souza"/>
    <x v="0"/>
    <s v=""/>
    <m/>
    <n v="32"/>
    <s v=""/>
    <s v=""/>
    <s v=""/>
    <s v=""/>
    <n v="1"/>
  </r>
  <r>
    <x v="2"/>
    <n v="956"/>
    <m/>
    <n v="3286"/>
    <s v="esta atrás de parceiria para revenda do sistema"/>
    <s v=""/>
    <x v="464"/>
    <m/>
    <s v=""/>
    <s v="Grupo Alves Consultoria Empresarial"/>
    <s v="92992307944"/>
    <s v=""/>
    <s v="tayanxpmartins@hotmail.com"/>
    <s v=""/>
    <s v=""/>
    <s v=""/>
    <s v=""/>
    <s v=""/>
    <s v="Campanha"/>
    <s v=""/>
    <s v=""/>
    <s v="Fora Perfil;Instagram"/>
    <s v="Pipeline de Vendas"/>
    <s v="Agendamento (0%)"/>
    <s v=""/>
    <d v="2026-02-28T00:00:00"/>
    <m/>
    <m/>
    <n v="3"/>
    <s v="Paulo Souza"/>
    <d v="2026-02-20T00:00:00"/>
    <d v="1899-12-30T13:53:53"/>
    <s v=""/>
    <s v="Perdido"/>
    <d v="2026-02-23T00:00:00"/>
    <d v="1899-12-30T16:07:54"/>
    <s v="Fora do porte mínimo (sem fit estrutural)"/>
    <s v=""/>
    <s v=""/>
    <x v="0"/>
    <s v="Rayssa Karapeticov"/>
    <x v="0"/>
    <s v=""/>
    <d v="2026-02-23T00:00:00"/>
    <n v="30"/>
    <s v=""/>
    <s v=""/>
    <s v=""/>
    <s v=""/>
    <n v="1"/>
  </r>
  <r>
    <x v="2"/>
    <n v="959"/>
    <m/>
    <n v="3298"/>
    <s v="Cliente é um representante da Oster e outras marcas, a ideia de negociação é do AFV, mas no dia sexta-feira, 20 de fevereiro de 2026_x000a_11:00 - 12:00 (BRT) - realizamos uma apresentação do AFv, durante a reunião pediu uma proposta do ERP também para avaliar uma possivel troca. _x000a_Após a reunião fizemos uma segunda ruenião de apresentação da proposta comercial no dia 24/02_x000a_Após isso cliente ficou de me passar uma contra proposta para negociação, porém ele esta em feria no EUA, e ainda não retornoul_x000a_Falei com ele hoje 18/03 e ainda esta em feira e pediu para retornar na sexta oferecendo um login e senha. _x000a_Vou retornar o contato na sexta para entender(provavelemente é do AFV) mas dar sequencia no atendimento_x000a_24.03 Estou marcando uma reunião presencial, porém essa semana esta em SC"/>
    <s v=""/>
    <x v="465"/>
    <m/>
    <s v=""/>
    <s v="André Feldman"/>
    <s v="11988461881"/>
    <s v=""/>
    <s v="andre@homebrands.com.br"/>
    <s v=""/>
    <s v=""/>
    <s v=""/>
    <s v=""/>
    <s v=""/>
    <s v=""/>
    <s v=""/>
    <s v=""/>
    <s v=""/>
    <s v="Pipeline de Vendas"/>
    <s v="Em negociação (75%)"/>
    <s v=""/>
    <d v="2026-05-31T00:00:00"/>
    <n v="963186"/>
    <n v="62062"/>
    <n v="79"/>
    <s v="Rayssa Karapeticov"/>
    <d v="2026-02-23T00:00:00"/>
    <d v="1899-12-30T11:51:24"/>
    <s v=""/>
    <s v="Perdido"/>
    <d v="2026-05-13T00:00:00"/>
    <d v="1899-12-30T10:42:53"/>
    <s v="Projeto adiado / sem prazo definido"/>
    <s v=""/>
    <s v=""/>
    <x v="188"/>
    <s v="Rayssa Karapeticov"/>
    <x v="206"/>
    <s v=""/>
    <d v="2026-05-13T00:00:00"/>
    <n v="30"/>
    <s v=""/>
    <s v="ERP"/>
    <s v=""/>
    <s v=""/>
    <n v="1"/>
  </r>
  <r>
    <x v="2"/>
    <n v="960"/>
    <m/>
    <n v="3299"/>
    <s v="Cliente é um representante da Oster e outras marcas, a ideia de negociação é do AFV, mas no dia sexta-feira, 20 de fevereiro de 2026_x000a_11:00 - 12:00 (BRT) - realizamos uma apresentação do AFv, durante a reunião pediu uma proposta do ERP também para avaliar uma possivel troca. _x000a_Após a reunião fizemos uma segunda ruenião de apresentação da proposta comercial no dia 24/02_x000a_Após isso cliente ficou de me passar uma contra proposta para negociação, porém ele esta em feria no EUA, e ainda não retornoul_x000a_Falei com ele hoje 18/03 e ainda esta em feira e pediu para retornar na sexta oferecendo um login e senha. _x000a_Vou retornar o contato na sexta para entender(provavelemente é do AFV) mas dar sequencia no atendimento_x000a_24.03 Estou marcando uma reunião presencial, porém essa semana esta em SC."/>
    <s v=""/>
    <x v="466"/>
    <m/>
    <s v=""/>
    <s v="Andre"/>
    <s v="11988461881"/>
    <s v=""/>
    <s v="andre@homebrands.com.br"/>
    <s v=""/>
    <s v=""/>
    <s v=""/>
    <s v=""/>
    <s v=""/>
    <s v=""/>
    <s v=""/>
    <s v=""/>
    <s v=""/>
    <s v="Pipeline de Vendas"/>
    <s v="Em negociação (75%)"/>
    <s v=""/>
    <d v="2026-04-30T00:00:00"/>
    <n v="27150"/>
    <n v="3450"/>
    <n v="79"/>
    <s v="Rayssa Karapeticov"/>
    <d v="2026-02-23T00:00:00"/>
    <d v="1899-12-30T12:12:37"/>
    <s v=""/>
    <s v="Perdido"/>
    <d v="2026-05-13T00:00:00"/>
    <d v="1899-12-30T10:53:23"/>
    <s v="Não quer mudar a solução atual"/>
    <s v=""/>
    <s v=""/>
    <x v="188"/>
    <s v="Rayssa Karapeticov"/>
    <x v="206"/>
    <s v=""/>
    <d v="2026-05-13T00:00:00"/>
    <n v="30"/>
    <s v=""/>
    <s v="AFV"/>
    <s v=""/>
    <s v=""/>
    <n v="1"/>
  </r>
  <r>
    <x v="1"/>
    <n v="961"/>
    <m/>
    <n v="3287"/>
    <s v="12:26, 24/02/2026 Junior Lopes: lá Valdir, bom dia_x000a_12:26, 24/02/2026 Junior Lopes: aqui é Junior Lopes da Guarani sistemas tudo bem ?_x000a_12:39, 24/02/2026 +55 19 99218-9262: Boa tarde._x000a_Tudo bem e você?_x000a_Estou em um pregão eletrônico,  assim que acabar te chamo_x000a_13:02, 25/02/2026 +55 19 99218-9262: Preciso de um erp que controle 2 cnpj._x000a_Tenha:_x000a_Controle de O.S. com emissão de produto junto._x000a_Atualização com marketplace hoje, ML, Amazon, Shopee e Magazine Luiza._x000a_Controle de contratos _x000a_Ecomerce._x000a_Vendas por WhatsApp, Instagram, etc._x000a_Quando fazer venda na loja física, podendo colocar produtos das duas empresas e depois fazer as nfe de acordo com os produtos adequados._x000a_13:02, 25/02/2026 Junior Lopes: Olá Valdir , boa tarde_x000a_13:03, 25/02/2026 Junior Lopes: Assim que finalizar meu almoço , verifico sua mensagem e te respondo_x000a_13:03, 25/02/2026 Junior Lopes: Um abraço_x000a_13:03, 25/02/2026 +55 19 99218-9262: Estou no médico tambem agora, kkkk_x000a_13:03, 25/02/2026 +55 19 99218-9262: No aguardo_x000a_14:02, 25/02/2026 Junior Lopes: Olá Valdir, td bem ? fiz uma analise sobre as necessidades que você solicitou_x000a_14:02, 25/02/2026 Junior Lopes: Para o cenário da Compuleme, que exige uma frente de caixa (PDV) para loja física e integração direta com redes sociais e marketplaces, informamos que a Guarani não é a solução ideal._x000a_Embora sejamos fortes no controle de múltiplos CNPJs, O.S. e contratos, nosso sistema não opera com vendas de varejo físico ou integração de canais de atendimento (WhatsApp/Instagram). Preferimos ser transparentes para que vocês possam focar em uma ferramenta que já possua esse ecossistema de vendas integrado nativamente"/>
    <s v=""/>
    <x v="467"/>
    <n v="56556830000154"/>
    <s v=""/>
    <s v="Compuleme"/>
    <s v="19992189262"/>
    <s v=""/>
    <s v="valdir@compuleme.com.br"/>
    <s v=""/>
    <s v=""/>
    <s v=""/>
    <s v=""/>
    <s v=""/>
    <s v="Campanha"/>
    <s v=""/>
    <s v=""/>
    <s v="Fora Perfil;Instagram"/>
    <s v="Pipeline de Vendas"/>
    <s v="Qualificação de Vendas (SQL) (25%)"/>
    <s v=""/>
    <d v="2026-02-28T00:00:00"/>
    <m/>
    <m/>
    <n v="2"/>
    <s v="Paulo Souza"/>
    <d v="2026-02-24T00:00:00"/>
    <d v="1899-12-30T09:39:07"/>
    <s v=""/>
    <s v="Perdido"/>
    <d v="2026-02-26T00:00:00"/>
    <d v="1899-12-30T23:10:53"/>
    <s v="Fora do porte mínimo (sem fit estrutural)"/>
    <s v=""/>
    <s v=""/>
    <x v="0"/>
    <s v="Junior Lopes"/>
    <x v="0"/>
    <s v=""/>
    <d v="2026-02-25T00:00:00"/>
    <n v="30"/>
    <s v=""/>
    <s v=""/>
    <s v=""/>
    <s v=""/>
    <n v="1"/>
  </r>
  <r>
    <x v="2"/>
    <n v="962"/>
    <m/>
    <n v="3290"/>
    <s v="Perfil da Empresa_x000a_Setor: Tecnologia e segurança_x000a_Atuação: Distribuidora e empresa de tecnologia_x000a_Marcas representadas: Motorola, 3M_x000a_Produtos e Serviços_x000a_Vendas de produtos:_x000a_Via rádio de segurança_x000a_Formato de vendas para clientes recorrentes_x000a_Indicação pelo próprio representante_x000a_Equipe interna de vendas com 10 pessoas_x000a_Locação de produtos_x000a_Serviços complementares (não especificados, mas mencionados)_x000a_Estrutura Comercial_x000a_Equipe de vendas: 10 pessoas_x000a_Canais de vendas:_x000a_Representantes_x000a_Indicações_x000a_Equipe interna_x000a_Necessidade Atual_x000a_Implementar uma solução que:_x000a_Crie indicadores de desempenho para a equipe de vendas_x000a_Disponibilize um CRM para gestão de clientes e processos"/>
    <s v=""/>
    <x v="468"/>
    <m/>
    <s v=""/>
    <s v="São Paulo"/>
    <s v="11991241336"/>
    <s v=""/>
    <s v="dario@trivaletecnologia.com.br"/>
    <s v=""/>
    <s v=""/>
    <s v=""/>
    <s v=""/>
    <s v=""/>
    <s v="Campanha"/>
    <s v=""/>
    <s v=""/>
    <s v="Dentro Perfil;Instagram"/>
    <s v="Pipeline de Vendas"/>
    <s v="Agendamento (0%)"/>
    <s v=""/>
    <d v="2026-02-28T00:00:00"/>
    <m/>
    <m/>
    <n v="74"/>
    <s v="Paulo Souza"/>
    <d v="2026-02-24T00:00:00"/>
    <d v="1899-12-30T09:42:24"/>
    <s v=""/>
    <s v="Perdido"/>
    <d v="2026-05-09T00:00:00"/>
    <d v="1899-12-30T08:49:05"/>
    <s v="Fora do segmento atendido"/>
    <s v=""/>
    <s v=""/>
    <x v="0"/>
    <s v="Rayssa Karapeticov"/>
    <x v="0"/>
    <s v=""/>
    <d v="2026-02-26T00:00:00"/>
    <n v="30"/>
    <s v=""/>
    <s v=""/>
    <s v=""/>
    <s v=""/>
    <n v="1"/>
  </r>
  <r>
    <x v="0"/>
    <n v="963"/>
    <m/>
    <n v="3293"/>
    <s v="26/02 Fiz FUP com o Anderson e ele possui 3 lojas de roupa e esta fora do perfil."/>
    <s v=""/>
    <x v="469"/>
    <m/>
    <s v=""/>
    <s v="Anderson Brandão"/>
    <s v="13981286699"/>
    <s v=""/>
    <s v="anderson.melro@hotmail.com"/>
    <s v=""/>
    <s v=""/>
    <s v=""/>
    <s v=""/>
    <s v=""/>
    <s v="Campanha"/>
    <s v=""/>
    <s v=""/>
    <s v="Fora Perfil;Instagram"/>
    <s v="Pipeline de Vendas"/>
    <s v="Agendamento (0%)"/>
    <s v=""/>
    <d v="2026-02-28T00:00:00"/>
    <m/>
    <m/>
    <n v="2"/>
    <s v="Paulo Souza"/>
    <d v="2026-02-24T00:00:00"/>
    <d v="1899-12-30T09:46:02"/>
    <s v=""/>
    <s v="Perdido"/>
    <d v="2026-02-26T00:00:00"/>
    <d v="1899-12-30T17:30:38"/>
    <s v="Fora do porte mínimo (sem fit estrutural)"/>
    <s v="26/02 Fiz FUP com o Anderson e ele possui 3 lojas de roupa e esta fora do perfil."/>
    <s v=""/>
    <x v="0"/>
    <s v="Paulo Souza"/>
    <x v="0"/>
    <s v=""/>
    <m/>
    <n v="30"/>
    <s v=""/>
    <s v="PDV"/>
    <s v=""/>
    <s v=""/>
    <n v="1"/>
  </r>
  <r>
    <x v="0"/>
    <n v="964"/>
    <m/>
    <n v="3294"/>
    <s v="26/02 Fiz FUP com a Leticia ela não pode atender pois estava saindo para buscar o filho na escola, ficamos de falar amanha._x000a_12/03 Apos ligar e não ser atendido estou declinando a aliança."/>
    <s v=""/>
    <x v="470"/>
    <m/>
    <s v=""/>
    <s v="Leticia"/>
    <s v="(62) 99953-7500"/>
    <s v=""/>
    <s v="leticiarsouza1@gmail.com"/>
    <s v=""/>
    <s v=""/>
    <s v=""/>
    <s v="Goiânia"/>
    <s v=""/>
    <s v="Site"/>
    <s v=""/>
    <s v=""/>
    <s v="Dentro Perfil;Fora Perfil;Solicita demo"/>
    <s v="Pipeline de Vendas"/>
    <s v="Qualificação de Vendas (SQL) (25%)"/>
    <s v=""/>
    <d v="2026-02-28T00:00:00"/>
    <m/>
    <m/>
    <n v="16"/>
    <s v="Paulo Souza"/>
    <d v="2026-02-24T00:00:00"/>
    <d v="1899-12-30T09:48:17"/>
    <s v=""/>
    <s v="Perdido"/>
    <d v="2026-03-12T00:00:00"/>
    <d v="1899-12-30T17:30:42"/>
    <s v="Fora do porte mínimo (sem fit estrutural)"/>
    <s v=""/>
    <s v=""/>
    <x v="0"/>
    <s v="Paulo Souza"/>
    <x v="200"/>
    <s v=""/>
    <d v="2026-03-12T00:00:00"/>
    <n v="30"/>
    <s v=""/>
    <s v=""/>
    <s v=""/>
    <s v=""/>
    <n v="1"/>
  </r>
  <r>
    <x v="1"/>
    <n v="965"/>
    <m/>
    <n v="3295"/>
    <s v="(24/02/20260 Tentativa de ligação não atendia ! enviei mensagem a fim de contato com Geaze ! _x000a_em busca sobre a empresa usando IA do Google :_x000a_A Infraloc é uma empresa especializada na locação e venda de móveis corporativos e equipamentos, com forte atuação no setor de construção civil, canteiros de obras e eventos. _x000a_Informações de Contato e Localização_x000a_Endereço: R. José Miranda, 143 - Afogados, Recife - PE._x000a_WhatsApp: (81) 98297-2897._x000a_Site Oficial: infraloc.com.br. _x000a_Principais Produtos e Serviços_x000a_A empresa oferece soluções completas para canteiros, escritórios e refeitórios, incluindo:_x000a_Móveis Corporativos: Mesas de reunião, mesas e cadeiras de escritório, armários roupeiros e estações de trabalho._x000a_Equipamentos: Bebedouros industriais, cafeteiras expressas, impressoras a laser e máquinas para construção._x000a_Estruturas para Eventos: Locação de toldos, mesas e cadeiras de PVC para festas e eventos em gera_x000a_(25/02/2026) cliente trabalha com locação de equipamento , é necessário controle e contrato de locação manutenção (Fora do perfil )"/>
    <s v=""/>
    <x v="471"/>
    <m/>
    <s v=""/>
    <s v="Infraloc"/>
    <s v="81986574539"/>
    <s v=""/>
    <s v="geazemiranda@yahoo.com.br"/>
    <s v=""/>
    <s v=""/>
    <s v=""/>
    <s v=""/>
    <s v=""/>
    <s v="Campanha"/>
    <s v=""/>
    <s v=""/>
    <s v="Fora Perfil;Instagram"/>
    <s v="Pipeline de Vendas"/>
    <s v="Qualificação de Vendas (SQL) (25%)"/>
    <s v=""/>
    <d v="2026-02-28T00:00:00"/>
    <m/>
    <m/>
    <n v="1"/>
    <s v="Paulo Souza"/>
    <d v="2026-02-24T00:00:00"/>
    <d v="1899-12-30T09:49:20"/>
    <s v=""/>
    <s v="Perdido"/>
    <d v="2026-02-25T00:00:00"/>
    <d v="1899-12-30T10:58:00"/>
    <s v="Fora do porte mínimo (sem fit estrutural)"/>
    <s v="(25/02/2026) cliente trabalha com locação de equipamento , é necessário controle e contrato de locação manutenção (Fora do perfil )"/>
    <s v=""/>
    <x v="0"/>
    <s v="Junior Lopes"/>
    <x v="0"/>
    <s v=""/>
    <d v="2026-02-25T00:00:00"/>
    <n v="30"/>
    <s v=""/>
    <s v=""/>
    <s v=""/>
    <s v=""/>
    <n v="1"/>
  </r>
  <r>
    <x v="2"/>
    <n v="966"/>
    <m/>
    <n v="3296"/>
    <s v=""/>
    <s v=""/>
    <x v="472"/>
    <m/>
    <s v=""/>
    <s v="Centrolar"/>
    <s v="62992132212"/>
    <s v=""/>
    <s v="ubiratanrosania@gmail.com"/>
    <s v=""/>
    <s v=""/>
    <s v=""/>
    <s v=""/>
    <s v=""/>
    <s v="Campanha"/>
    <s v=""/>
    <s v=""/>
    <s v="Fora Perfil;Instagram"/>
    <s v="Pipeline de Vendas"/>
    <s v="Agendamento (0%)"/>
    <s v=""/>
    <d v="2026-03-31T00:00:00"/>
    <m/>
    <m/>
    <n v="74"/>
    <s v="Paulo Souza"/>
    <d v="2026-02-24T00:00:00"/>
    <d v="1899-12-30T09:50:49"/>
    <s v=""/>
    <s v="Perdido"/>
    <d v="2026-05-09T00:00:00"/>
    <d v="1899-12-30T21:11:15"/>
    <s v="Sem qualificação — contato não atende ligações nem responde msg"/>
    <s v=""/>
    <s v=""/>
    <x v="0"/>
    <s v="Rayssa Karapeticov"/>
    <x v="0"/>
    <s v=""/>
    <d v="2026-03-09T00:00:00"/>
    <n v="30"/>
    <s v=""/>
    <s v=""/>
    <s v=""/>
    <s v=""/>
    <n v="1"/>
  </r>
  <r>
    <x v="1"/>
    <n v="967"/>
    <m/>
    <n v="3300"/>
    <s v="(24/02/2026) em contato com Daniel _x000a_A empresa Vitta Estrutural está iniciando as operação, sua operação esta focada em recarga de extintores e revenda de produtos através de venda balcão e representante externo ! um ponto especifico é o controle de lote e validade dos extintores informando a data que está vencendo no ambiente do cliente _x000a_Daniel solicitou uma previsão de investimento para seguirmos _x000a_(25/02/2026) enviando previsão de investimento para analise do cliente e viabilidade  _x000a_10:50, 25/02/2026 Junior Lopes: valores na pagina 27 com resumo na pagina 28_x000a_10:53, 25/02/2026 Junior Lopes: perfeito ! ficamos a disposição para apresentação completa da solução_x000a_10:41, 09/03/2026 Junior Lopes: Olá Daniel, bom dia _x000a_Sobre o projeto ERP Guarani ! Vamos da sequência meu amigo?_x000a_10:41, 09/03/2026 Junior Lopes: Olá Daniel, bom dia _x000a_Sobre o projeto ERP Guarani ! Vamos da sequência meu amigo?_x000a_10:42, 09/03/2026 +55 67 9207-9099: Bom dia, agradeço por enquanto.,_x000a_10:45, 09/03/2026 Junior Lopes: Obrigado pelo retorno! Sucesso para vcs"/>
    <s v=""/>
    <x v="473"/>
    <m/>
    <s v=""/>
    <s v="Vitta Estrutural"/>
    <s v="67992079099"/>
    <s v=""/>
    <s v="dgruschel@hotmail.com"/>
    <s v=""/>
    <s v=""/>
    <s v=""/>
    <s v=""/>
    <s v=""/>
    <s v="Campanha"/>
    <s v=""/>
    <s v=""/>
    <s v="30%;Dentro Perfil;Instagram"/>
    <s v="Pipeline de Vendas"/>
    <s v="Apresentar Proposta (50%)"/>
    <s v=""/>
    <d v="2026-03-30T00:00:00"/>
    <n v="758068"/>
    <n v="9596"/>
    <n v="13"/>
    <s v="Paulo Souza"/>
    <d v="2026-02-24T00:00:00"/>
    <d v="1899-12-30T09:52:13"/>
    <s v=""/>
    <s v="Perdido"/>
    <d v="2026-03-09T00:00:00"/>
    <d v="1899-12-30T10:46:44"/>
    <s v="Projeto adiado / sem prazo definido"/>
    <s v="10:41, 09/03/2026 Junior Lopes: Olá Daniel, bom dia _x000a_Sobre o projeto ERP Guarani ! Vamos da sequência meu amigo?_x000a_10:42, 09/03/2026 +55 67 9207-9099: Bom dia, agradeço por enquanto.,_x000a_10:45, 09/03/2026 Junior Lopes: Obrigado pelo retorno! Sucesso para vcs"/>
    <s v=""/>
    <x v="184"/>
    <s v="Junior Lopes"/>
    <x v="199"/>
    <s v=""/>
    <d v="2026-03-09T00:00:00"/>
    <n v="30"/>
    <s v=""/>
    <s v=""/>
    <s v=""/>
    <s v=""/>
    <n v="1"/>
  </r>
  <r>
    <x v="0"/>
    <n v="968"/>
    <m/>
    <n v="3288"/>
    <s v="26/02 Fiz FUP hoje com o Fábio ele não atendeu a ligação, deixei novo recado no Whatasapp."/>
    <s v=""/>
    <x v="474"/>
    <m/>
    <s v=""/>
    <s v="Flávio Storino"/>
    <s v="(19) 99667-2002"/>
    <s v=""/>
    <s v="flaviostorino@gmail.com"/>
    <s v=""/>
    <s v=""/>
    <s v=""/>
    <s v="Porto Ferreira"/>
    <s v=""/>
    <s v="Site"/>
    <s v=""/>
    <s v=""/>
    <s v="Contato"/>
    <s v="Pipeline de Vendas"/>
    <s v="Qualificação de Vendas (SQL) (25%)"/>
    <s v=""/>
    <d v="2026-02-28T00:00:00"/>
    <m/>
    <m/>
    <n v="2"/>
    <s v="Paulo Souza"/>
    <d v="2026-02-24T00:00:00"/>
    <d v="1899-12-30T09:54:16"/>
    <s v=""/>
    <s v="Perdido"/>
    <d v="2026-02-26T00:00:00"/>
    <d v="1899-12-30T18:33:13"/>
    <s v="Fora do porte mínimo (sem fit estrutural)"/>
    <s v=""/>
    <s v=""/>
    <x v="0"/>
    <s v="Paulo Souza"/>
    <x v="0"/>
    <s v=""/>
    <m/>
    <n v="30"/>
    <s v=""/>
    <s v=""/>
    <s v=""/>
    <s v=""/>
    <n v="1"/>
  </r>
  <r>
    <x v="2"/>
    <n v="969"/>
    <m/>
    <n v="3304"/>
    <s v=""/>
    <s v=""/>
    <x v="475"/>
    <n v="64688089000103"/>
    <s v=""/>
    <s v="Lucas"/>
    <s v="(11) 1111-1111"/>
    <s v=""/>
    <s v="contato@lucassecco.com.br"/>
    <s v=""/>
    <s v=""/>
    <s v=""/>
    <s v="ITAJAI"/>
    <s v="SC"/>
    <s v=""/>
    <s v=""/>
    <s v=""/>
    <s v=""/>
    <s v="Pipeline de Vendas"/>
    <s v="Apresentar Proposta (50%)"/>
    <s v=""/>
    <d v="2026-06-30T00:00:00"/>
    <n v="5191686"/>
    <n v="50562"/>
    <n v="16"/>
    <s v="Rayssa Karapeticov"/>
    <d v="2026-02-24T00:00:00"/>
    <d v="1899-12-30T12:41:49"/>
    <s v=""/>
    <s v="Perdido"/>
    <d v="2026-03-12T00:00:00"/>
    <d v="1899-12-30T17:14:44"/>
    <s v="Preço muito alto - fora do budget de investimento"/>
    <s v=""/>
    <s v=""/>
    <x v="189"/>
    <s v="Rayssa Karapeticov"/>
    <x v="207"/>
    <s v=""/>
    <d v="2026-03-12T00:00:00"/>
    <n v="30"/>
    <s v=""/>
    <s v="ERP, AFV"/>
    <s v=""/>
    <s v=""/>
    <n v="1"/>
  </r>
  <r>
    <x v="2"/>
    <n v="971"/>
    <m/>
    <n v="3303"/>
    <s v=""/>
    <s v=""/>
    <x v="476"/>
    <n v="1397620000179"/>
    <s v=""/>
    <s v="Sunred confecções"/>
    <s v="37988006012"/>
    <s v=""/>
    <s v="atendimento@sunred.com.br"/>
    <s v=""/>
    <s v=""/>
    <s v=""/>
    <s v=""/>
    <s v=""/>
    <s v="Campanha"/>
    <s v=""/>
    <s v=""/>
    <s v="Fora Perfil;Instagram"/>
    <s v="Pipeline de Vendas"/>
    <s v="Agendamento (0%)"/>
    <s v=""/>
    <d v="2026-02-28T00:00:00"/>
    <m/>
    <m/>
    <n v="73"/>
    <s v="Paulo Souza"/>
    <d v="2026-02-25T00:00:00"/>
    <d v="1899-12-30T15:32:36"/>
    <s v=""/>
    <s v="Perdido"/>
    <d v="2026-05-09T00:00:00"/>
    <d v="1899-12-30T08:49:28"/>
    <s v="Fora do segmento atendido"/>
    <s v=""/>
    <s v=""/>
    <x v="0"/>
    <s v="Rayssa Karapeticov"/>
    <x v="0"/>
    <s v=""/>
    <m/>
    <n v="27"/>
    <s v=""/>
    <s v=""/>
    <s v=""/>
    <s v=""/>
    <n v="1"/>
  </r>
  <r>
    <x v="1"/>
    <n v="972"/>
    <m/>
    <n v="3305"/>
    <s v="25/02/2026) em contato com Rogério _x000a_aoós tentativa de ligação nos falamos via WhatsApp conforme abaixo : _x000a_15:40, 25/02/2026 Junior Lopes: Olá Rogério , boa tarde_x000a_15:40, 25/02/2026 Junior Lopes: Sou Junior Lopes da Guarani sistemas! Td bem ?_x000a_15:40, 25/02/2026 Teodoro Cosmeticos: Boa tarde Júnior_x000a_15:41, 25/02/2026 Teodoro Cosmeticos: Bem graças a Deus_x000a_15:41, 25/02/2026 Junior Lopes: Que bom_x000a_15:41, 25/02/2026 Junior Lopes: Estou retornando um contato que vc fez conosco, relacionado ao nosso software_x000a_através de um áudio pedi para me falar um pouco mais sonbre sua empresa e dores _x000a_(25/02/2026) Agenda de apresentação AFV _x000a_(12/03/2026) Rogério achou investimento alto para o momento  atual"/>
    <s v=""/>
    <x v="477"/>
    <n v="51119265000144"/>
    <s v=""/>
    <s v="Teodoro cosméticos"/>
    <s v="(14) 3541-6311"/>
    <s v=""/>
    <s v="agilassessoriacontabil@otmail.com"/>
    <s v=""/>
    <s v=""/>
    <s v=""/>
    <s v="PROMISSAO"/>
    <s v="SP"/>
    <s v="Campanha"/>
    <s v=""/>
    <s v=""/>
    <s v="Dentro Perfil;Instagram"/>
    <s v="Pipeline de Vendas"/>
    <s v="Apresentar Proposta (50%)"/>
    <s v=""/>
    <d v="2026-02-25T00:00:00"/>
    <n v="5842744"/>
    <n v="145888"/>
    <n v="15"/>
    <s v="Paulo Souza"/>
    <d v="2026-02-25T00:00:00"/>
    <d v="1899-12-30T15:33:31"/>
    <s v=""/>
    <s v="Perdido"/>
    <d v="2026-03-12T00:00:00"/>
    <d v="1899-12-30T10:52:05"/>
    <s v="Não houve aprovação financeira"/>
    <s v="(12/03/2026) Rogério achou investimento alto para o momento  atual"/>
    <s v=""/>
    <x v="190"/>
    <s v="Junior Lopes"/>
    <x v="200"/>
    <s v=""/>
    <d v="2026-03-12T00:00:00"/>
    <n v="30"/>
    <s v=""/>
    <s v=""/>
    <s v=""/>
    <s v=""/>
    <n v="1"/>
  </r>
  <r>
    <x v="1"/>
    <n v="973"/>
    <m/>
    <n v="3309"/>
    <s v="(26/02/2026) Tentativa de ligação não atendida _x000a_09:13, 26/02/2026 Junior Lopes: Olá Junior, bom dia_x000a_09:13, 26/02/2026 Junior Lopes: aqui é Junior Lopes da Guarani sistemas, tudo bem ?_x000a_09:14, 26/02/2026 Junior Lopes: estou retornando um contato que você fez relacionado ao sistema Guarani_x000a_(26/02/2026) cliente não retorna aos contatos ! em breve pesquisa sobre a Revisão autopeças identifiquei que loja balcão ficando fora do perfil _x000a_estou declinando"/>
    <s v=""/>
    <x v="478"/>
    <n v="13994329000167"/>
    <s v=""/>
    <s v="Revisao Autopeças"/>
    <s v="(31) 8705-9607"/>
    <s v=""/>
    <s v="pratesctb@gmail.com"/>
    <s v=""/>
    <s v=""/>
    <s v=""/>
    <s v="CONTAGEM"/>
    <s v="MG"/>
    <s v="Inbound"/>
    <s v=""/>
    <s v=""/>
    <s v="Fora Perfil;Instagram"/>
    <s v="Pipeline de Vendas"/>
    <s v="Qualificação de Vendas (SQL) (25%)"/>
    <s v=""/>
    <d v="2026-02-28T00:00:00"/>
    <m/>
    <m/>
    <n v="1"/>
    <s v="Paulo Souza"/>
    <d v="2026-02-25T00:00:00"/>
    <d v="1899-12-30T21:31:37"/>
    <s v=""/>
    <s v="Perdido"/>
    <d v="2026-02-26T00:00:00"/>
    <d v="1899-12-30T23:08:09"/>
    <s v="Fora do porte mínimo (sem fit estrutural)"/>
    <s v=""/>
    <s v=""/>
    <x v="0"/>
    <s v="Junior Lopes"/>
    <x v="0"/>
    <s v=""/>
    <m/>
    <n v="30"/>
    <s v=""/>
    <s v=""/>
    <s v=""/>
    <s v=""/>
    <n v="1"/>
  </r>
  <r>
    <x v="2"/>
    <n v="974"/>
    <m/>
    <n v="3312"/>
    <s v=""/>
    <s v=""/>
    <x v="479"/>
    <m/>
    <s v=""/>
    <s v="Jlj transportes e locações"/>
    <s v="3196677652"/>
    <s v=""/>
    <s v="jairocesar@jllcomserv.com.br"/>
    <s v=""/>
    <s v=""/>
    <s v=""/>
    <s v=""/>
    <s v=""/>
    <s v="Campanha"/>
    <s v=""/>
    <s v=""/>
    <s v="Fora Perfil;Instagram"/>
    <s v="Pipeline de Vendas"/>
    <s v="Agendamento (0%)"/>
    <s v=""/>
    <d v="2026-05-31T00:00:00"/>
    <m/>
    <m/>
    <n v="72"/>
    <s v="Paulo Souza"/>
    <d v="2026-02-26T00:00:00"/>
    <d v="1899-12-30T09:29:58"/>
    <s v=""/>
    <s v="Perdido"/>
    <d v="2026-05-09T00:00:00"/>
    <d v="1899-12-30T08:49:59"/>
    <s v="Fora do segmento atendido"/>
    <s v=""/>
    <s v=""/>
    <x v="0"/>
    <s v="Rayssa Karapeticov"/>
    <x v="0"/>
    <s v=""/>
    <d v="2026-03-03T00:00:00"/>
    <n v="30"/>
    <s v=""/>
    <s v=""/>
    <s v=""/>
    <s v=""/>
    <n v="1"/>
  </r>
  <r>
    <x v="0"/>
    <n v="976"/>
    <m/>
    <n v="3314"/>
    <s v="26/02 Fiz Fiz FUP hoje com o Matheus e agendamos uma apresentação para quinta-feira dia 05/03 às 15h._x000a_05/03 Fiz FUP com o Matheus e hoje temos uma apresentação as 15h par afalar de sistema. Ele tem uma distribuidora de alimentação animal. _x000a_Tem 7 vendedores. já ancorei 50k de investimento_x000a_12/03 Fiz FUP hoje com o Matheus para saber se ele tem interesse em seguir _x000a_20/03 Fiz contato com o Matues muitas vezes sem retorno e por falta de comunicação estou encerrado a oportunidade."/>
    <s v=""/>
    <x v="480"/>
    <n v="22228036000160"/>
    <s v=""/>
    <s v="Matheus"/>
    <s v="(15) 3553-1307 / (15) 3553-1308"/>
    <s v=""/>
    <s v="matheusmarmodossantoslima@gmail.com"/>
    <s v=""/>
    <s v=""/>
    <s v=""/>
    <s v="RIBEIRAO BRANCO"/>
    <s v="SP"/>
    <s v="Site"/>
    <s v=""/>
    <s v=""/>
    <s v="Dentro Perfil;Solicita demo"/>
    <s v="Pipeline de Vendas"/>
    <s v="Apresentar Proposta (50%)"/>
    <s v=""/>
    <d v="2026-03-31T00:00:00"/>
    <m/>
    <m/>
    <n v="22"/>
    <s v="Paulo Souza"/>
    <d v="2026-02-26T00:00:00"/>
    <d v="1899-12-30T15:46:38"/>
    <s v=""/>
    <s v="Perdido"/>
    <d v="2026-03-20T00:00:00"/>
    <d v="1899-12-30T17:21:26"/>
    <s v="Projeto adiado / sem prazo definido"/>
    <s v=""/>
    <s v=""/>
    <x v="168"/>
    <s v="Paulo Souza"/>
    <x v="182"/>
    <s v=""/>
    <d v="2026-03-20T00:00:00"/>
    <n v="32"/>
    <s v=""/>
    <s v="ERP, AFV"/>
    <s v=""/>
    <s v=""/>
    <n v="1"/>
  </r>
  <r>
    <x v="0"/>
    <n v="977"/>
    <m/>
    <n v="3318"/>
    <s v="10/03 uilian me retornou avisou que vai manter a Mercos , devido a urgência que precisa referente a abertura da unidade São Paulo. Após essa necessidade ser atendida voltaremos a falar!"/>
    <s v=""/>
    <x v="481"/>
    <n v="82270893000150"/>
    <s v=""/>
    <s v="uilian"/>
    <s v="(44) 3045-3700"/>
    <s v=""/>
    <s v="uilian.gurjon@prats.com.br"/>
    <s v=""/>
    <s v=""/>
    <s v=""/>
    <s v="PARANAVAI"/>
    <s v="PR"/>
    <s v=""/>
    <s v=""/>
    <s v=""/>
    <s v=""/>
    <s v="Pipeline de Vendas"/>
    <s v="Em Fechamento (100%)"/>
    <s v=""/>
    <d v="2026-02-28T00:00:00"/>
    <n v="35870"/>
    <n v="5290"/>
    <n v="12"/>
    <s v="Paulo Souza"/>
    <d v="2026-02-26T00:00:00"/>
    <d v="1899-12-30T15:48:32"/>
    <s v=""/>
    <s v="Perdido"/>
    <d v="2026-03-10T00:00:00"/>
    <d v="1899-12-30T11:44:09"/>
    <s v="Não quer mudar a solução atual"/>
    <s v=""/>
    <s v=""/>
    <x v="168"/>
    <s v="Paulo Souza"/>
    <x v="199"/>
    <s v=""/>
    <m/>
    <n v="30"/>
    <s v="100"/>
    <s v="AFV"/>
    <s v=""/>
    <s v=""/>
    <n v="1"/>
  </r>
  <r>
    <x v="1"/>
    <n v="978"/>
    <m/>
    <n v="3323"/>
    <s v="(12/03/2026) Rogério achou investimento alto para o momento  atual"/>
    <s v=""/>
    <x v="482"/>
    <m/>
    <s v=""/>
    <s v="Teodoro cosméticos - AFV"/>
    <s v="1435416311"/>
    <s v=""/>
    <s v="agilassessoriacontabil@otmail.com"/>
    <s v=""/>
    <s v=""/>
    <s v=""/>
    <s v=""/>
    <s v=""/>
    <s v=""/>
    <s v=""/>
    <s v=""/>
    <s v=""/>
    <s v="Pipeline de Vendas"/>
    <s v="Apresentar Proposta (50%)"/>
    <s v=""/>
    <m/>
    <n v="1105989"/>
    <n v="29463"/>
    <n v="14"/>
    <s v="Junior Lopes"/>
    <d v="2026-02-26T00:00:00"/>
    <d v="1899-12-30T17:20:40"/>
    <s v=""/>
    <s v="Perdido"/>
    <d v="2026-03-12T00:00:00"/>
    <d v="1899-12-30T10:53:12"/>
    <s v="Não houve aprovação financeira"/>
    <s v="(12/03/2026) Rogério achou investimento alto para o momento  atual"/>
    <s v=""/>
    <x v="190"/>
    <s v=""/>
    <x v="200"/>
    <s v=""/>
    <d v="2026-03-13T00:00:00"/>
    <n v="30"/>
    <s v=""/>
    <s v=""/>
    <s v=""/>
    <s v=""/>
    <n v="1"/>
  </r>
  <r>
    <x v="1"/>
    <n v="979"/>
    <m/>
    <n v="3324"/>
    <s v="(12/03/2026) Rogério achou investimento alto para o momento  atual"/>
    <s v=""/>
    <x v="483"/>
    <m/>
    <s v=""/>
    <s v="Teodoro cosméticos - Cloud"/>
    <s v="1435416311"/>
    <s v=""/>
    <s v="agilassessoriacontabil@otmail.com"/>
    <s v=""/>
    <s v=""/>
    <s v=""/>
    <s v=""/>
    <s v=""/>
    <s v=""/>
    <s v=""/>
    <s v=""/>
    <s v=""/>
    <s v="Pipeline de Vendas"/>
    <s v="Apresentar Proposta (50%)"/>
    <s v=""/>
    <m/>
    <n v="1600"/>
    <n v="252471"/>
    <n v="14"/>
    <s v="Junior Lopes"/>
    <d v="2026-02-26T00:00:00"/>
    <d v="1899-12-30T17:35:15"/>
    <s v=""/>
    <s v="Perdido"/>
    <d v="2026-03-12T00:00:00"/>
    <d v="1899-12-30T10:50:51"/>
    <s v="Não houve aprovação financeira"/>
    <s v="(12/03/2026) Rogério achou investimento alto para o momento  atual"/>
    <s v="12/03/2026"/>
    <x v="190"/>
    <s v=""/>
    <x v="0"/>
    <s v=""/>
    <m/>
    <n v="30"/>
    <s v=""/>
    <s v=""/>
    <s v=""/>
    <s v=""/>
    <n v="1"/>
  </r>
  <r>
    <x v="0"/>
    <n v="980"/>
    <m/>
    <n v="3325"/>
    <s v=""/>
    <s v=""/>
    <x v="484"/>
    <n v="23059521000110"/>
    <s v=""/>
    <s v="Cristiana"/>
    <s v="(49) 3665-3004"/>
    <s v=""/>
    <s v=""/>
    <s v=""/>
    <s v=""/>
    <s v=""/>
    <s v="IRACEMINHA"/>
    <s v="SC"/>
    <s v=""/>
    <s v=""/>
    <s v=""/>
    <s v=""/>
    <s v="Pipeline de Vendas"/>
    <s v="Em Fechamento (100%)"/>
    <s v=""/>
    <d v="2026-02-28T00:00:00"/>
    <n v="7470289"/>
    <n v="1221612"/>
    <n v="0"/>
    <s v="Paulo Souza"/>
    <d v="2026-02-26T00:00:00"/>
    <d v="1899-12-30T21:58:14"/>
    <s v=""/>
    <s v="Ganho"/>
    <d v="2026-02-26T00:00:00"/>
    <d v="1899-12-30T22:03:35"/>
    <s v=""/>
    <s v=""/>
    <s v=""/>
    <x v="190"/>
    <s v="Paulo Souza"/>
    <x v="208"/>
    <s v=""/>
    <m/>
    <n v="90"/>
    <s v=""/>
    <s v="ERP, AFV, ADICIONAIS, BI"/>
    <s v="R$ 74.702,90"/>
    <s v="R$ 12.216,08"/>
    <n v="1"/>
  </r>
  <r>
    <x v="1"/>
    <n v="981"/>
    <m/>
    <n v="3328"/>
    <s v=""/>
    <s v=""/>
    <x v="485"/>
    <m/>
    <s v=""/>
    <s v="Encartelados Nina - Cloud"/>
    <s v="4733683065"/>
    <s v=""/>
    <s v="ninaencartelados@gmail.com"/>
    <s v=""/>
    <s v=""/>
    <s v=""/>
    <s v=""/>
    <s v=""/>
    <s v=""/>
    <s v=""/>
    <s v=""/>
    <s v=""/>
    <s v="Pipeline de Vendas"/>
    <s v="Apresentar Proposta (50%)"/>
    <s v=""/>
    <m/>
    <n v="0"/>
    <n v="1900"/>
    <n v="76"/>
    <s v="Junior Lopes"/>
    <d v="2026-02-27T00:00:00"/>
    <d v="1899-12-30T10:58:33"/>
    <s v=""/>
    <s v="Perdido"/>
    <d v="2026-05-14T00:00:00"/>
    <d v="1899-12-30T14:49:37"/>
    <s v="Não houve aprovação financeira"/>
    <s v="14/05/2026 : _x000a_09:02, 13/05/2026 Fabio Oliveira Nina Enc: Consegui sim, teu sistema é maravilhoso, muito bom mesmo _x000a_porem eu passei pro pessoal aqui, e no momento, nosso faturamaento nao condiz com o investimento a ser feito_x000a_09:03, 13/05/2026 Fabio Oliveira Nina Enc: espero que logo possamos mudar isso_x000a_09:05, 13/05/2026 Junior Lopes: Entendo Fábio ! _x000a_ O que está pegando mais na proposta ? O projeto ou as mensalidades?_x000a_09:08, 13/05/2026 Fabio Oliveira Nina Enc: na verdade é um pouco dos dois, hj nosso sistema nos custa 6 mil por ano, claro que ele nao tem a mesma eficiencia do seu, mas para a quantidade de vendas nossa, no atual momento ele nos atende bem_x000a_09:21, 13/05/2026 Junior Lopes: Entendo ! Gostaria de pensar aí e nos fazer uma contra proposta ?_x000a_09:22, 13/05/2026 Fabio Oliveira Nina Enc: no momento vamos deixar em off_x000a_09:22, 13/05/2026 Fabio Oliveira Nina Enc: obrigado pela atençao_x000a_09:28, 13/05/2026 Junior Lopes: Ta joia meu amigo_x000a_09:29, 13/05/2026 Junior Lopes: Ficamos a disposição! Tenho certeza que podemos ajudar muito no crescimento da Nina encartelados _x000a_Um abraço_x000a_09:29, 13/05/2026 Fabio Oliveira Nina Enc: abraço"/>
    <s v=""/>
    <x v="182"/>
    <s v=""/>
    <x v="198"/>
    <s v="05/05/2026"/>
    <d v="2026-05-14T00:00:00"/>
    <n v="30"/>
    <s v=""/>
    <s v=""/>
    <s v=""/>
    <s v=""/>
    <n v="1"/>
  </r>
  <r>
    <x v="1"/>
    <n v="982"/>
    <m/>
    <n v="3329"/>
    <s v=""/>
    <s v=""/>
    <x v="486"/>
    <m/>
    <s v=""/>
    <s v="Atavadão das Tripas - Cloud"/>
    <s v="14998549863"/>
    <s v=""/>
    <s v="kayocalil@hotmail.com"/>
    <s v=""/>
    <s v=""/>
    <s v=""/>
    <s v=""/>
    <s v=""/>
    <s v=""/>
    <s v=""/>
    <s v=""/>
    <s v=""/>
    <s v="Pipeline de Vendas"/>
    <s v="Em negociação (75%)"/>
    <s v=""/>
    <m/>
    <n v="1600"/>
    <n v="252471"/>
    <n v="56"/>
    <s v="Junior Lopes"/>
    <d v="2026-02-27T00:00:00"/>
    <d v="1899-12-30T12:19:18"/>
    <s v=""/>
    <s v="Perdido"/>
    <d v="2026-04-24T00:00:00"/>
    <d v="1899-12-30T09:13:40"/>
    <s v="Não houve aprovação financeira"/>
    <s v="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
    <s v=""/>
    <x v="191"/>
    <s v=""/>
    <x v="196"/>
    <s v="19/02/2026"/>
    <m/>
    <n v="30"/>
    <s v=""/>
    <s v=""/>
    <s v=""/>
    <s v=""/>
    <n v="1"/>
  </r>
  <r>
    <x v="1"/>
    <n v="983"/>
    <m/>
    <n v="3330"/>
    <s v=""/>
    <s v=""/>
    <x v="487"/>
    <m/>
    <s v=""/>
    <s v="Clean tech - Cloud"/>
    <s v="11915642482"/>
    <s v=""/>
    <s v="null"/>
    <s v=""/>
    <s v=""/>
    <s v=""/>
    <s v=""/>
    <s v=""/>
    <s v=""/>
    <s v=""/>
    <s v=""/>
    <s v=""/>
    <s v="Pipeline de Vendas"/>
    <s v="Em Fechamento (100%)"/>
    <s v=""/>
    <m/>
    <n v="0"/>
    <n v="384454"/>
    <n v="33"/>
    <s v="Junior Lopes"/>
    <d v="2026-02-27T00:00:00"/>
    <d v="1899-12-30T13:04:33"/>
    <s v=""/>
    <s v="Ganho"/>
    <d v="2026-04-01T00:00:00"/>
    <d v="1899-12-30T10:40:31"/>
    <s v=""/>
    <s v=""/>
    <s v=""/>
    <x v="183"/>
    <s v=""/>
    <x v="0"/>
    <s v=""/>
    <m/>
    <n v="30"/>
    <s v=""/>
    <s v=""/>
    <s v=""/>
    <s v=""/>
    <n v="1"/>
  </r>
  <r>
    <x v="1"/>
    <n v="984"/>
    <m/>
    <n v="3331"/>
    <s v=""/>
    <s v=""/>
    <x v="488"/>
    <m/>
    <s v=""/>
    <s v="StarTools - Cloud"/>
    <s v="1184724282"/>
    <s v=""/>
    <s v="controladoria@startoolsferramentas.com.br"/>
    <s v=""/>
    <s v=""/>
    <s v=""/>
    <s v=""/>
    <s v=""/>
    <s v=""/>
    <s v=""/>
    <s v=""/>
    <s v=""/>
    <s v="Pipeline de Vendas"/>
    <s v="Apresentar Solução (35%)"/>
    <s v=""/>
    <m/>
    <n v="0"/>
    <n v="0"/>
    <n v="82"/>
    <s v="Junior Lopes"/>
    <d v="2026-02-27T00:00:00"/>
    <d v="1899-12-30T13:09:06"/>
    <s v=""/>
    <s v="Ativo"/>
    <m/>
    <m/>
    <s v=""/>
    <s v=""/>
    <s v=""/>
    <x v="0"/>
    <s v=""/>
    <x v="209"/>
    <s v=""/>
    <d v="2026-04-29T00:00:00"/>
    <n v="30"/>
    <s v=""/>
    <s v=""/>
    <s v=""/>
    <s v=""/>
    <n v="1"/>
  </r>
  <r>
    <x v="0"/>
    <n v="985"/>
    <m/>
    <n v="3332"/>
    <s v="27/02 Fiz apresentação do sistema e proposta para o cliente._x000a_12/03 Fiz FUP hoje com Pamela para saber se seguiremos ou não._x000a_20/03 Cobrando a Pamela para fazer o fechamento do projeto."/>
    <s v=""/>
    <x v="489"/>
    <m/>
    <s v=""/>
    <s v="Pamela"/>
    <s v="4699841338"/>
    <s v=""/>
    <s v="importacao.azul@hotmail.com"/>
    <s v=""/>
    <s v=""/>
    <s v=""/>
    <s v=""/>
    <s v=""/>
    <s v=""/>
    <s v=""/>
    <s v=""/>
    <s v=""/>
    <s v="Pipeline de Vendas"/>
    <s v="Em Fechamento (100%)"/>
    <s v=""/>
    <d v="2026-03-31T00:00:00"/>
    <n v="5007058"/>
    <n v="268966"/>
    <n v="42"/>
    <s v="Paulo Souza"/>
    <d v="2026-02-27T00:00:00"/>
    <d v="1899-12-30T14:36:39"/>
    <s v=""/>
    <s v="Perdido"/>
    <d v="2026-04-10T00:00:00"/>
    <d v="1899-12-30T16:01:47"/>
    <s v="Não quer mudar a solução atual"/>
    <s v=""/>
    <s v=""/>
    <x v="168"/>
    <s v="Paulo Souza"/>
    <x v="182"/>
    <s v=""/>
    <d v="2026-03-12T00:00:00"/>
    <n v="30"/>
    <s v="280"/>
    <s v="ERP, AFV"/>
    <s v=""/>
    <s v=""/>
    <n v="1"/>
  </r>
  <r>
    <x v="0"/>
    <n v="987"/>
    <m/>
    <n v="3334"/>
    <s v="26/02 Fiz FUP e agendei uma apresentação._x000a_20/03 Buscando nova agenda com o Alexandre para o dia 27/03."/>
    <s v=""/>
    <x v="490"/>
    <n v="7730144000142"/>
    <s v=""/>
    <s v="Breno"/>
    <s v="11994558029"/>
    <s v=""/>
    <s v="suporte.ti@kopermax.com.br"/>
    <s v=""/>
    <s v=""/>
    <s v=""/>
    <s v=""/>
    <s v=""/>
    <s v=""/>
    <s v=""/>
    <s v=""/>
    <s v=""/>
    <s v="Pipeline de Vendas"/>
    <s v="Em negociação (75%)"/>
    <s v=""/>
    <d v="2026-03-31T00:00:00"/>
    <n v="29800"/>
    <n v="4600"/>
    <n v="80"/>
    <s v="Paulo Souza"/>
    <d v="2026-02-27T00:00:00"/>
    <d v="1899-12-30T21:24:36"/>
    <s v=""/>
    <s v="Perdido"/>
    <d v="2026-05-18T00:00:00"/>
    <d v="1899-12-30T16:54:32"/>
    <s v="Projeto adiado / sem prazo definido"/>
    <s v=""/>
    <s v=""/>
    <x v="101"/>
    <s v="Paulo Souza"/>
    <x v="210"/>
    <s v=""/>
    <d v="2026-03-20T00:00:00"/>
    <n v="30"/>
    <s v=""/>
    <s v="AFV"/>
    <s v=""/>
    <s v=""/>
    <n v="1"/>
  </r>
  <r>
    <x v="2"/>
    <n v="990"/>
    <m/>
    <n v="3335"/>
    <s v="19.03 Entrei em contato com a Karen, apresentação agendada para quarta as 9:30 _x000a_31.03 não tenho consultor disponivel para seguir com uma agenda com o cliente_x000a_07.04 - não tenho consultor disponivel para seguir com uma agenda com o cliente"/>
    <s v=""/>
    <x v="491"/>
    <n v="15497764000616"/>
    <s v=""/>
    <s v="KAREN STANGE"/>
    <s v="(42) 3025-6309"/>
    <s v=""/>
    <s v="karen.stang@hotmail.com"/>
    <s v=""/>
    <s v=""/>
    <s v=""/>
    <s v="MAFRA"/>
    <s v="SC"/>
    <s v="Site"/>
    <s v=""/>
    <s v=""/>
    <s v="Dentro Perfil;Solicita demo"/>
    <s v="Pipeline de Vendas"/>
    <s v="Apresentar Solução (35%)"/>
    <s v=""/>
    <d v="2026-06-30T00:00:00"/>
    <m/>
    <m/>
    <n v="35"/>
    <s v="Paulo Souza"/>
    <d v="2026-03-03T00:00:00"/>
    <d v="1899-12-30T21:22:22"/>
    <s v=""/>
    <s v="Perdido"/>
    <d v="2026-04-07T00:00:00"/>
    <d v="1899-12-30T10:59:30"/>
    <s v="Projeto adiado / sem prazo definido"/>
    <s v=""/>
    <s v=""/>
    <x v="0"/>
    <s v="Rayssa Karapeticov"/>
    <x v="0"/>
    <s v=""/>
    <d v="2026-04-07T00:00:00"/>
    <n v="30"/>
    <s v=""/>
    <s v="ERP"/>
    <s v=""/>
    <s v=""/>
    <n v="1"/>
  </r>
  <r>
    <x v="1"/>
    <n v="991"/>
    <m/>
    <n v="3339"/>
    <s v="17:05, 04/03/2026 Junior Lopes: Olá Marcelo ! Boa tarde_x000a_17:05, 04/03/2026 Junior Lopes: Junior da Guarani sistemas por aqui , Td bem ?_x000a_17:07, 04/03/2026 Junior Lopes: Estou retornando um contato que vc fez conosco ! Qual melhor horário para falarmos ?_x000a_17:14, 04/03/2026 Marcelo Plug Lar: opa blz._x000a_17:14, 04/03/2026 Marcelo Plug Lar: joia junior_x000a_17:15, 04/03/2026 Junior Lopes: Td joia Marcelo_x000a_17:18, 04/03/2026 Marcelo Plug Lar: eu queria conhecer + sobre o sistema de vocês._x000a_17:18, 04/03/2026 Marcelo Plug Lar: eu procuro algo básico_x000a_(09/03/2026) Buscando contato com Marcelo a fim de darmos sequencia _x000a_(09/03/2026) Marcelo busca um software mais simples e com custo menor!"/>
    <s v=""/>
    <x v="492"/>
    <n v="5137778000160"/>
    <s v=""/>
    <s v="Marcelo Camargo"/>
    <s v="(19) 99623-4303"/>
    <s v=""/>
    <s v="marcelo@pluglar.com.br"/>
    <s v=""/>
    <s v=""/>
    <s v=""/>
    <s v="Rio Claro"/>
    <s v=""/>
    <s v="Site"/>
    <s v=""/>
    <s v=""/>
    <s v="Dentro Perfil;Solicita demo"/>
    <s v="Pipeline de Vendas"/>
    <s v="Apresentar Solução (35%)"/>
    <s v=""/>
    <d v="2026-03-31T00:00:00"/>
    <n v="1104172"/>
    <n v="656776"/>
    <n v="20"/>
    <s v="Paulo Souza"/>
    <d v="2026-03-04T00:00:00"/>
    <d v="1899-12-30T16:37:48"/>
    <s v=""/>
    <s v="Perdido"/>
    <d v="2026-03-24T00:00:00"/>
    <d v="1899-12-30T15:30:09"/>
    <s v="Não houve aprovação financeira"/>
    <s v="(09/03/2026) Marcelo busca um software mais simples e com custo menor!"/>
    <s v=""/>
    <x v="192"/>
    <s v="Junior Lopes"/>
    <x v="188"/>
    <s v=""/>
    <d v="2026-03-09T00:00:00"/>
    <n v="30"/>
    <s v=""/>
    <s v="B2B"/>
    <s v=""/>
    <s v=""/>
    <n v="1"/>
  </r>
  <r>
    <x v="0"/>
    <n v="993"/>
    <m/>
    <n v="3342"/>
    <s v="11/03 Foi feito a apresentação hoje do institucional e Guarani AFV._x000a_Resumo:_x000a_Produtos : ERP + AFV + Televendas + MDe _x000a_Opcionais: Comex, Cloud, CRM , B2B, HUB_x000a_Próximo passos: enviar uma proposta._x000a_20/03 Fiz contato com o Ericson para saber se vamos seguir ou não."/>
    <s v=""/>
    <x v="493"/>
    <n v="43191819000196"/>
    <s v=""/>
    <s v="Ericson"/>
    <s v="(43) 3056-3780"/>
    <s v=""/>
    <s v="escritorio@damiaoefilhos.com.br"/>
    <s v=""/>
    <s v=""/>
    <s v=""/>
    <s v="ARAPONGAS"/>
    <s v="PR"/>
    <s v=""/>
    <s v=""/>
    <s v=""/>
    <s v=""/>
    <s v="Pipeline de Vendas"/>
    <s v="Em negociação (75%)"/>
    <s v=""/>
    <d v="2026-03-31T00:00:00"/>
    <n v="895843"/>
    <n v="395308"/>
    <n v="36"/>
    <s v="Paulo Souza"/>
    <d v="2026-03-05T00:00:00"/>
    <d v="1899-12-30T08:51:53"/>
    <s v=""/>
    <s v="Perdido"/>
    <d v="2026-04-10T00:00:00"/>
    <d v="1899-12-30T17:25:45"/>
    <s v="Preço muito alto - fora do budget de investimento"/>
    <s v=""/>
    <s v=""/>
    <x v="187"/>
    <s v="Paulo Souza"/>
    <x v="211"/>
    <s v=""/>
    <d v="2026-03-20T00:00:00"/>
    <n v="30"/>
    <s v=""/>
    <s v="ERP, AFV, ADICIONAIS"/>
    <s v=""/>
    <s v=""/>
    <n v="1"/>
  </r>
  <r>
    <x v="2"/>
    <n v="994"/>
    <m/>
    <n v="3347"/>
    <s v="24.03 cliente enviou um documento de aderencia, porém a MArilia pediu uma reunião para falar sobre o documento e funcionalidades_x000a_15.04 Ficou fora da empresa esses 15 dias, acredita que hoje consegue avaliar todo material que mandei, retornar o contato na segunda"/>
    <s v="Industria E Comercio Jolitex Ltda"/>
    <x v="494"/>
    <n v="61808531000523"/>
    <s v=""/>
    <s v="Industria E Comercio Jolitex Ltda"/>
    <s v="(11) 3254-7100"/>
    <s v=""/>
    <s v="atendimento@jolitex.com"/>
    <s v=""/>
    <s v=""/>
    <s v=""/>
    <s v="SAO PAULO"/>
    <s v="SP"/>
    <s v="Base de empresas Leads2b"/>
    <s v=""/>
    <s v=""/>
    <s v=""/>
    <s v="Pipeline de Vendas"/>
    <s v="Apresentar Proposta (50%)"/>
    <s v=""/>
    <d v="2026-04-30T00:00:00"/>
    <m/>
    <m/>
    <n v="76"/>
    <s v="Rayssa Karapeticov"/>
    <d v="2026-03-05T00:00:00"/>
    <d v="1899-12-30T17:24:09"/>
    <s v=""/>
    <s v="Ativo"/>
    <m/>
    <m/>
    <s v=""/>
    <s v=""/>
    <s v=""/>
    <x v="0"/>
    <s v="Rayssa Karapeticov"/>
    <x v="195"/>
    <s v="12/03/2026"/>
    <d v="2026-04-23T00:00:00"/>
    <n v="30"/>
    <s v=""/>
    <s v="AFV"/>
    <s v=""/>
    <s v=""/>
    <n v="1"/>
  </r>
  <r>
    <x v="1"/>
    <n v="995"/>
    <m/>
    <n v="3348"/>
    <s v="16:28, 06/03/2026 Valdinei vaeso: Entendi mas esta fora do que pretendo investir_x000a_16:28, 06/03/2026 Valdinei vaeso: Te agradeço_x000a_16:46, 06/03/2026 Junior Lopes: Qual é a sua ideia de investimento?_x000a_16:47, 06/03/2026 Valdinei vaeso: Não vou nem fazer proposta porque a proposta veio com valores altos de implementação e mentoria_x000a_16:47, 06/03/2026 Valdinei vaeso: Sistema parece intuitivo_x000a_16:47, 06/03/2026 Valdinei vaeso: E vi ontem e gostei_x000a_16:47, 06/03/2026 Valdinei vaeso: Preciso de força de vendas_x000a_16:56, 06/03/2026 Valdinei vaeso: Ok"/>
    <s v="Vaeso Comercial Ltda"/>
    <x v="495"/>
    <n v="58092341000114"/>
    <s v=""/>
    <s v="Vaeso Comercial Ltda"/>
    <s v="(47) 9946-6330"/>
    <s v=""/>
    <s v="administrativo@qscontabilidade.com.br"/>
    <s v=""/>
    <s v=""/>
    <s v=""/>
    <s v="JOINVILLE"/>
    <s v="SC"/>
    <s v="Base de empresas Leads2b"/>
    <s v=""/>
    <s v=""/>
    <s v=""/>
    <s v="Pipeline de Vendas"/>
    <s v="Apresentar Proposta (50%)"/>
    <s v=""/>
    <m/>
    <n v="686343"/>
    <n v="36781"/>
    <n v="3"/>
    <s v="Junior Lopes"/>
    <d v="2026-03-06T00:00:00"/>
    <d v="1899-12-30T12:33:31"/>
    <s v=""/>
    <s v="Perdido"/>
    <d v="2026-03-09T00:00:00"/>
    <d v="1899-12-30T09:35:35"/>
    <s v="Não houve aprovação financeira"/>
    <s v="16:28, 06/03/2026 Valdinei vaeso: Entendi mas esta fora do que pretendo investir_x000a_16:28, 06/03/2026 Valdinei vaeso: Te agradeço_x000a_16:46, 06/03/2026 Junior Lopes: Qual é a sua ideia de investimento?_x000a_16:47, 06/03/2026 Valdinei vaeso: Não vou nem fazer proposta porque a proposta veio com valores altos de implementação e mentoria_x000a_16:47, 06/03/2026 Valdinei vaeso: Sistema parece intuitivo_x000a_16:47, 06/03/2026 Valdinei vaeso: E vi ontem e gostei_x000a_16:47, 06/03/2026 Valdinei vaeso: Preciso de força de vendas_x000a_16:56, 06/03/2026 Valdinei vaeso: Ok"/>
    <s v=""/>
    <x v="193"/>
    <s v=""/>
    <x v="212"/>
    <s v=""/>
    <d v="2026-03-06T00:00:00"/>
    <n v="50"/>
    <s v=""/>
    <s v=""/>
    <s v=""/>
    <s v=""/>
    <n v="1"/>
  </r>
  <r>
    <x v="1"/>
    <n v="996"/>
    <m/>
    <n v="3351"/>
    <s v="(10/03/2026) Agenda para apresentação do ERP 12/03 _x000a_10:07, 14/04/2026 Luccas Globalmix: Bom dia meu amigo, tudo bem? _x000a_Desculpe não te responder. Estou com alguns problemas de família e estive meio ausente. _x000a_Analisamos sua proposta e infelizmente ficou muito acima do que estávamos planejando nesse momento. _x000a_Desculpe a minha ignorância, mas não consegui compreender o motivo de um custo tão alto para a implementação de um ERP já existente. O custo que você me passou é basicamente o de desenvolver um novo sistema próprio. _x000a_Infelizmente nessas condições é inviável para nós nesse momento. _x000a_Agradeço pelo seu atendimento nas últimas semanas, foi extremamente atencioso. Espero que compreenda. _x000a_Obrigado_x000a_10:15, 14/04/2026 Junior Lopes: Bom dia, Luccas, tudo bem?_x000a_Primeiro, espero que as coisas com sua família se resolvam da melhor forma possível. Fica tranquilo quanto ao retorno, eu entendo perfeitamente._x000a_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_x000a_O que está incluso nesse investimento é justamente o que vai fazer o sistema “virar realidade” dentro da Globalmix:_x000a_– entendimento dos processos de vocês;_x000a_– parametrização do ERP para a realidade da empresa;_x000a_– construção/ajuste dos relatórios que vocês precisam;_x000a_– validação e homologação do funcionamento antes de ir para produção;_x000a_– integração com a Lisa Log;_x000a_– e, principalmente, treinamento da equipe e acompanhamento na virada, para que todo mundo use da forma correta e o projeto traga resultado._x000a_Sem essa etapa de consultoria, o risco é ter um sistema bom, mas mal configurado ou pouco usado, o que acaba gerando retrabalho e perda de confiança na ferramenta – e é justamente isso que queremos evitar._x000a_Dito isso, eu entendo totalmente a questão de orçamento. Se fizer sentido para você, eu posso:_x000a_1) rever o escopo para enxugar etapas e tentar adequar o investimento ao momento da Globalmix; ou_x000a_2) pensar em uma implantação por fases, começando pelo essencial (comercial + força de vendas + básico de estoque) e deixando integrações e aprofundamentos para uma segunda etapa._x000a_Você se sentiria confortável em me dizer qual faixa de investimento vocês tinham planejado, para eu ver o que é possível ajustar com transparência?"/>
    <s v="Crx Comercio, Importacao E Exportacao Ltda"/>
    <x v="496"/>
    <n v="27672869000139"/>
    <s v=""/>
    <s v="GlobalMIx"/>
    <s v="(11) 9999-9999"/>
    <s v=""/>
    <s v="contabilgrupocrx@gmail.com"/>
    <s v=""/>
    <s v=""/>
    <s v=""/>
    <s v="ITAJAI"/>
    <s v="SC"/>
    <s v=""/>
    <s v=""/>
    <s v=""/>
    <s v=""/>
    <s v="Pipeline de Vendas"/>
    <s v="Apresentar Solução (35%)"/>
    <s v=""/>
    <m/>
    <n v="7305558"/>
    <n v="143186"/>
    <n v="40"/>
    <s v="Junior Lopes"/>
    <d v="2026-03-06T00:00:00"/>
    <d v="1899-12-30T17:07:19"/>
    <s v=""/>
    <s v="Perdido"/>
    <d v="2026-04-15T00:00:00"/>
    <d v="1899-12-30T09:35:15"/>
    <s v="Não houve aprovação financeira"/>
    <s v="10:07, 14/04/2026 Luccas Globalmix: Bom dia meu amigo, tudo bem? _x000a_Desculpe não te responder. Estou com alguns problemas de família e estive meio ausente. _x000a_Analisamos sua proposta e infelizmente ficou muito acima do que estávamos planejando nesse momento. _x000a_Desculpe a minha ignorância, mas não consegui compreender o motivo de um custo tão alto para a implementação de um ERP já existente. O custo que você me passou é basicamente o de desenvolver um novo sistema próprio. _x000a_Infelizmente nessas condições é inviável para nós nesse momento. _x000a_Agradeço pelo seu atendimento nas últimas semanas, foi extremamente atencioso. Espero que compreenda. _x000a_Obrigado_x000a_10:15, 14/04/2026 Junior Lopes: Bom dia, Luccas, tudo bem?_x000a_Primeiro, espero que as coisas com sua família se resolvam da melhor forma possível. Fica tranquilo quanto ao retorno, eu entendo perfeitamente._x000a_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_x000a_O que está incluso nesse investimento é justamente o que vai fazer o sistema “virar realidade” dentro da Globalmix:_x000a_– entendimento dos processos de vocês;_x000a_– parametrização do ERP para a realidade da empresa;_x000a_– construção/ajuste dos relatórios que vocês precisam;_x000a_– validação e homologação do funcionamento antes de ir para produção;_x000a_– integração com a Lisa Log;_x000a_– e, principalmente, treinamento da equipe e acompanhamento na virada, para que todo mundo use da forma correta e o projeto traga resultado._x000a_Sem essa etapa de consultoria, o risco é ter um sistema bom, mas mal configurado ou pouco usado, o que acaba gerando retrabalho e perda de confiança na ferramenta – e é justamente isso que queremos evitar._x000a_Dito isso, eu entendo totalmente a questão de orçamento. Se fizer sentido para você, eu posso:_x000a_1) rever o escopo para enxugar etapas e tentar adequar o investimento ao momento da Globalmix; ou_x000a_2) pensar em uma implantação por fases, começando pelo essencial (comercial + força de vendas + básico de estoque) e deixando integrações e aprofundamentos para uma segunda etapa._x000a_Você se sentiria confortável em me dizer qual faixa de investimento vocês tinham planejado, para eu ver o que é possível ajustar com transparência?"/>
    <s v=""/>
    <x v="194"/>
    <s v=""/>
    <x v="195"/>
    <s v=""/>
    <d v="2026-04-15T00:00:00"/>
    <n v="30"/>
    <s v=""/>
    <s v=""/>
    <s v=""/>
    <s v=""/>
    <n v="1"/>
  </r>
  <r>
    <x v="2"/>
    <n v="997"/>
    <m/>
    <n v="3341"/>
    <s v=""/>
    <s v=""/>
    <x v="497"/>
    <m/>
    <s v=""/>
    <s v="Irmãos Capuci"/>
    <s v="67999772326"/>
    <s v=""/>
    <s v="joaoliloc@gmail.com"/>
    <s v=""/>
    <s v=""/>
    <s v=""/>
    <s v=""/>
    <s v=""/>
    <s v="Campanha"/>
    <s v=""/>
    <s v=""/>
    <s v="Fora Perfil;Instagram"/>
    <s v="Pipeline de Vendas"/>
    <s v="Agendamento (0%)"/>
    <s v=""/>
    <d v="2026-03-31T00:00:00"/>
    <m/>
    <m/>
    <n v="1"/>
    <s v="Paulo Souza"/>
    <d v="2026-03-09T00:00:00"/>
    <d v="1899-12-30T14:16:23"/>
    <s v=""/>
    <s v="Perdido"/>
    <d v="2026-03-10T00:00:00"/>
    <d v="1899-12-30T10:03:18"/>
    <s v="Fora do porte mínimo (sem fit estrutural)"/>
    <s v=""/>
    <s v=""/>
    <x v="0"/>
    <s v="Rayssa Karapeticov"/>
    <x v="0"/>
    <s v=""/>
    <m/>
    <n v="30"/>
    <s v=""/>
    <s v=""/>
    <s v=""/>
    <s v=""/>
    <n v="1"/>
  </r>
  <r>
    <x v="1"/>
    <n v="999"/>
    <m/>
    <n v="3360"/>
    <s v="(10/03/2026) em contato com Fernando _x000a_11:24, 11/03/2026 Junior Lopes: Olá Fernando! Td bem ? _x000a_Você tem interesse sem seguir com informações sobre a solução Guarani sistemas?"/>
    <s v=""/>
    <x v="498"/>
    <m/>
    <s v=""/>
    <s v="Fcabrasil"/>
    <s v="19974124080"/>
    <s v=""/>
    <s v="fernando@fcabrasil.com.br"/>
    <s v=""/>
    <s v=""/>
    <s v=""/>
    <s v=""/>
    <s v=""/>
    <s v="Campanha"/>
    <s v=""/>
    <s v=""/>
    <s v="Fora Perfil;Instagram"/>
    <s v="Pipeline de Vendas"/>
    <s v="Qualificação de Vendas (SQL) (25%)"/>
    <s v=""/>
    <d v="2026-03-31T00:00:00"/>
    <m/>
    <m/>
    <n v="29"/>
    <s v="Paulo Souza"/>
    <d v="2026-03-10T00:00:00"/>
    <d v="1899-12-30T09:07:12"/>
    <s v=""/>
    <s v="Perdido"/>
    <d v="2026-04-08T00:00:00"/>
    <d v="1899-12-30T17:25:42"/>
    <s v="Fora do porte mínimo (sem fit estrutural)"/>
    <s v=") declinando por falta de interação por parte do cliente"/>
    <s v=""/>
    <x v="0"/>
    <s v="Junior Lopes"/>
    <x v="0"/>
    <s v=""/>
    <d v="2026-03-19T00:00:00"/>
    <n v="30"/>
    <s v=""/>
    <s v=""/>
    <s v=""/>
    <s v=""/>
    <n v="1"/>
  </r>
  <r>
    <x v="0"/>
    <n v="1000"/>
    <m/>
    <n v="3358"/>
    <s v="10/03 Fiz contato e não obtive retorno deixei recado._x000a_11/03 Fiz FUP hoje com o Ridalvo Donizeti sem sucesso._x000a_12/3 Fiz varias ligações sem sucesso. Por falta de retorno encerrei o lead,."/>
    <s v=""/>
    <x v="499"/>
    <m/>
    <s v=""/>
    <s v="Ridalvo Donizeti"/>
    <s v="16991945630"/>
    <s v=""/>
    <s v="ridalvo.rossi@brdbtasil.com.br"/>
    <s v=""/>
    <s v=""/>
    <s v=""/>
    <s v=""/>
    <s v=""/>
    <s v="Campanha"/>
    <s v=""/>
    <s v=""/>
    <s v="Dentro Perfil;Instagram"/>
    <s v="Pipeline de Vendas"/>
    <s v="Qualificação de Vendas (SQL) (25%)"/>
    <s v=""/>
    <d v="2026-03-31T00:00:00"/>
    <m/>
    <m/>
    <n v="2"/>
    <s v="Paulo Souza"/>
    <d v="2026-03-10T00:00:00"/>
    <d v="1899-12-30T09:19:04"/>
    <s v=""/>
    <s v="Perdido"/>
    <d v="2026-03-12T00:00:00"/>
    <d v="1899-12-30T17:27:22"/>
    <s v="Fora do porte mínimo (sem fit estrutural)"/>
    <s v=""/>
    <s v=""/>
    <x v="0"/>
    <s v="Paulo Souza"/>
    <x v="0"/>
    <s v=""/>
    <d v="2026-03-12T00:00:00"/>
    <n v="30"/>
    <s v=""/>
    <s v=""/>
    <s v=""/>
    <s v=""/>
    <n v="1"/>
  </r>
  <r>
    <x v="2"/>
    <n v="1001"/>
    <m/>
    <n v="3357"/>
    <s v="18.03 proposta apresentada no dia de hoje _x000a_24.03 - não atendeu"/>
    <s v=""/>
    <x v="500"/>
    <m/>
    <s v=""/>
    <s v="Artur Decker"/>
    <s v="(47) 99699-9700"/>
    <s v=""/>
    <s v="artur@assessoriadecker.com"/>
    <s v=""/>
    <s v=""/>
    <s v=""/>
    <s v="Blumenau"/>
    <s v=""/>
    <s v="Site"/>
    <s v=""/>
    <s v=""/>
    <s v="Dentro Perfil;Solicita demo"/>
    <s v="Pipeline de Vendas"/>
    <s v="Em negociação (75%)"/>
    <s v=""/>
    <d v="2026-05-31T00:00:00"/>
    <n v="16800"/>
    <n v="12600"/>
    <n v="71"/>
    <s v="Paulo Souza"/>
    <d v="2026-03-10T00:00:00"/>
    <d v="1899-12-30T09:20:36"/>
    <s v=""/>
    <s v="Ativo"/>
    <m/>
    <m/>
    <s v=""/>
    <s v=""/>
    <s v=""/>
    <x v="195"/>
    <s v="Rayssa Karapeticov"/>
    <x v="213"/>
    <s v=""/>
    <d v="2026-05-13T00:00:00"/>
    <n v="30"/>
    <s v=""/>
    <s v=""/>
    <s v=""/>
    <s v=""/>
    <n v="1"/>
  </r>
  <r>
    <x v="1"/>
    <n v="1002"/>
    <m/>
    <n v="3356"/>
    <s v="(10/03/2026) Em contato com Maxwel _x000a_(27/03/2026) após analise cliente fica fora do perfil ! estamparia de camisetas, canecas e brindes em geral"/>
    <s v=""/>
    <x v="501"/>
    <m/>
    <s v=""/>
    <s v="Terra Brasil"/>
    <s v="11989296453"/>
    <s v=""/>
    <s v="max.vendas@terrabrasilbrindes.com.br"/>
    <s v=""/>
    <s v=""/>
    <s v=""/>
    <s v=""/>
    <s v=""/>
    <s v="Campanha"/>
    <s v=""/>
    <s v=""/>
    <s v="Fora Perfil;Instagram"/>
    <s v="Pipeline de Vendas"/>
    <s v="Qualificação de Vendas (SQL) (25%)"/>
    <s v=""/>
    <d v="2026-03-31T00:00:00"/>
    <m/>
    <m/>
    <n v="17"/>
    <s v="Paulo Souza"/>
    <d v="2026-03-10T00:00:00"/>
    <d v="1899-12-30T09:44:38"/>
    <s v=""/>
    <s v="Perdido"/>
    <d v="2026-03-27T00:00:00"/>
    <d v="1899-12-30T14:24:00"/>
    <s v="Fora do porte mínimo (sem fit estrutural)"/>
    <s v="(27/03/2026) após analise cliente fica fora do perfil ! estamparia de camisetas, canecas e brindes em geral"/>
    <s v=""/>
    <x v="0"/>
    <s v="Junior Lopes"/>
    <x v="0"/>
    <s v=""/>
    <d v="2026-03-27T00:00:00"/>
    <n v="30"/>
    <s v=""/>
    <s v=""/>
    <s v=""/>
    <s v=""/>
    <n v="1"/>
  </r>
  <r>
    <x v="2"/>
    <n v="1003"/>
    <m/>
    <n v="3355"/>
    <s v=""/>
    <s v=""/>
    <x v="502"/>
    <m/>
    <s v=""/>
    <s v="Farmacia Boa Sorte"/>
    <s v="74999642551"/>
    <s v=""/>
    <s v="farmaboasorte@gmail.com"/>
    <s v=""/>
    <s v=""/>
    <s v=""/>
    <s v=""/>
    <s v=""/>
    <s v="Campanha"/>
    <s v=""/>
    <s v=""/>
    <s v="Fora Perfil;Instagram"/>
    <s v="Pipeline de Vendas"/>
    <s v="Agendamento (0%)"/>
    <s v=""/>
    <d v="2026-03-31T00:00:00"/>
    <m/>
    <m/>
    <n v="0"/>
    <s v="Paulo Souza"/>
    <d v="2026-03-10T00:00:00"/>
    <d v="1899-12-30T09:46:18"/>
    <s v=""/>
    <s v="Perdido"/>
    <d v="2026-03-10T00:00:00"/>
    <d v="1899-12-30T10:23:45"/>
    <s v="Fora do porte mínimo (sem fit estrutural)"/>
    <s v=""/>
    <s v=""/>
    <x v="0"/>
    <s v="Rayssa Karapeticov"/>
    <x v="0"/>
    <s v=""/>
    <m/>
    <n v="30"/>
    <s v=""/>
    <s v=""/>
    <s v=""/>
    <s v=""/>
    <n v="1"/>
  </r>
  <r>
    <x v="0"/>
    <n v="1004"/>
    <m/>
    <n v="3353"/>
    <s v="15/03 Feio FUP da apresentação da proposta._x000a_20/03 Fiz FUP hoje com o Sergio cobrando ele sobre a proposta WMS se seguiremos._x000a_20/03 Sergio me passou que o investimento ficou alto para o momento e que nao vai seguir."/>
    <s v=""/>
    <x v="503"/>
    <n v="5291214000188"/>
    <s v=""/>
    <s v="Sergio cdp"/>
    <s v="(38) 99831-2605"/>
    <s v=""/>
    <s v="sergio.cdp00@gmail.com"/>
    <s v=""/>
    <s v=""/>
    <s v=""/>
    <s v="MONTES CLAROS"/>
    <s v="MG"/>
    <s v="Site"/>
    <s v=""/>
    <s v=""/>
    <s v="Solicita demo"/>
    <s v="Pipeline de Vendas"/>
    <s v="Em negociação (75%)"/>
    <s v=""/>
    <d v="2026-03-31T00:00:00"/>
    <n v="22800"/>
    <n v="14256"/>
    <n v="10"/>
    <s v="Paulo Souza"/>
    <d v="2026-03-10T00:00:00"/>
    <d v="1899-12-30T09:52:59"/>
    <s v=""/>
    <s v="Perdido"/>
    <d v="2026-03-20T00:00:00"/>
    <d v="1899-12-30T17:17:39"/>
    <s v="Preço muito alto - fora do budget de investimento"/>
    <s v=""/>
    <s v=""/>
    <x v="174"/>
    <s v="Paulo Souza"/>
    <x v="214"/>
    <s v=""/>
    <d v="2026-03-20T00:00:00"/>
    <n v="30"/>
    <s v=""/>
    <s v="WMS"/>
    <s v=""/>
    <s v=""/>
    <n v="1"/>
  </r>
  <r>
    <x v="2"/>
    <n v="1005"/>
    <m/>
    <n v="3354"/>
    <s v="Reunião realizada 08.04.2024 presencial no cliente_x000a_04.05 - Estou avançando a negociação com o client,e porém ele não concorda com o rejuste de no minimo 5% do contrato"/>
    <s v=""/>
    <x v="504"/>
    <n v="59578948000171"/>
    <s v=""/>
    <s v="3D"/>
    <s v="11983479931"/>
    <s v=""/>
    <s v="tufano@maquimp.com.br"/>
    <s v=""/>
    <s v=""/>
    <s v=""/>
    <s v="SAO PAULO"/>
    <s v="SP"/>
    <s v="Campanha"/>
    <s v=""/>
    <s v=""/>
    <s v="Dentro Perfil;Instagram"/>
    <s v="Pipeline de Vendas"/>
    <s v="Em negociação (75%)"/>
    <s v=""/>
    <d v="2026-06-30T00:00:00"/>
    <n v="58800"/>
    <n v="55164"/>
    <n v="71"/>
    <s v="Paulo Souza"/>
    <d v="2026-03-10T00:00:00"/>
    <d v="1899-12-30T09:55:28"/>
    <s v=""/>
    <s v="Ativo"/>
    <m/>
    <m/>
    <s v=""/>
    <s v=""/>
    <s v=""/>
    <x v="196"/>
    <s v="Rayssa Karapeticov"/>
    <x v="215"/>
    <s v="08/04/2026"/>
    <d v="2026-05-15T00:00:00"/>
    <n v="30"/>
    <s v=""/>
    <s v="ERP"/>
    <s v=""/>
    <s v=""/>
    <n v="1"/>
  </r>
  <r>
    <x v="1"/>
    <n v="1006"/>
    <m/>
    <n v="3343"/>
    <s v="(10/03/2026) em contato com Bruno _x000a_(10/03/2026) cliente informa que já fechou projeto com a Mercos"/>
    <s v=""/>
    <x v="505"/>
    <n v="36882195000198"/>
    <s v=""/>
    <s v="Bruno"/>
    <s v="(11) 94075-6696"/>
    <s v=""/>
    <s v="bruno.arouca@brotacompany.com.br"/>
    <s v=""/>
    <s v=""/>
    <s v=""/>
    <s v="São Paulo"/>
    <s v=""/>
    <s v="Site"/>
    <s v=""/>
    <s v=""/>
    <s v="Dentro Perfil;Solicita demo"/>
    <s v="Pipeline de Vendas"/>
    <s v="Qualificação de Vendas (SQL) (25%)"/>
    <s v=""/>
    <m/>
    <m/>
    <m/>
    <n v="0"/>
    <s v="Paulo Souza"/>
    <d v="2026-03-10T00:00:00"/>
    <d v="1899-12-30T09:59:38"/>
    <s v=""/>
    <s v="Perdido"/>
    <d v="2026-03-10T00:00:00"/>
    <d v="1899-12-30T16:59:56"/>
    <s v="Fechou com o concorrente - preço"/>
    <s v="(10/03/2026) cliente informa que já fechou projeto com a Mercos"/>
    <s v=""/>
    <x v="0"/>
    <s v="Junior Lopes"/>
    <x v="0"/>
    <s v=""/>
    <m/>
    <n v="30"/>
    <s v=""/>
    <s v="AFV"/>
    <s v=""/>
    <s v=""/>
    <n v="1"/>
  </r>
  <r>
    <x v="2"/>
    <n v="1007"/>
    <m/>
    <n v="3344"/>
    <s v="Falei com o Rodrigo, são umdistribuidor de autopeças de Bauru, vieram por inidicação da Ad&amp;Ad. _x000a_Atualmente as vendas são por MKPlace e mercado livre, e possuem vendas internas telemarketing_x000a_Trabalha com a parte especial, falamos sobre financeiro, fiscal, estoque. e pedidos decompras _x000a_Pediu uma estimativa de valores, porque atualmente é ele e um sócio, e precisa discutir com o Sócio para ver se vai avançar por causa do investimento, só que o sócio não esta essa semana _x000a_Então combinamos de falar na proxima semana (23/03)"/>
    <s v=""/>
    <x v="506"/>
    <m/>
    <s v=""/>
    <s v="rodrigo"/>
    <s v="(14) 99701-3009"/>
    <s v=""/>
    <s v="compras@s4distribuidora.com.br"/>
    <s v=""/>
    <s v=""/>
    <s v=""/>
    <s v="Bauru"/>
    <s v=""/>
    <s v="Site"/>
    <s v=""/>
    <s v=""/>
    <s v="Dentro Perfil;Solicita demo"/>
    <s v="Pipeline de Vendas"/>
    <s v="Apresentar Solução (35%)"/>
    <s v=""/>
    <d v="2026-08-31T00:00:00"/>
    <m/>
    <m/>
    <n v="28"/>
    <s v="Paulo Souza"/>
    <d v="2026-03-10T00:00:00"/>
    <d v="1899-12-30T10:01:14"/>
    <s v=""/>
    <s v="Perdido"/>
    <d v="2026-04-07T00:00:00"/>
    <d v="1899-12-30T10:52:27"/>
    <s v="Preço muito alto - fora do budget de investimento"/>
    <s v=""/>
    <s v=""/>
    <x v="0"/>
    <s v="Rayssa Karapeticov"/>
    <x v="0"/>
    <s v=""/>
    <d v="2026-04-07T00:00:00"/>
    <n v="30"/>
    <s v=""/>
    <s v="ERP, ADICIONAIS, CLOUD"/>
    <s v=""/>
    <s v=""/>
    <n v="1"/>
  </r>
  <r>
    <x v="0"/>
    <n v="1008"/>
    <m/>
    <n v="3346"/>
    <s v=""/>
    <s v=""/>
    <x v="507"/>
    <n v="27672869000139"/>
    <s v=""/>
    <s v="Luccas Nassif"/>
    <s v="(11) 98873-6515"/>
    <s v=""/>
    <s v="luccas.nassif@globalmix.com.br"/>
    <s v=""/>
    <s v=""/>
    <s v=""/>
    <s v="São Paulo"/>
    <s v=""/>
    <s v="Site"/>
    <s v=""/>
    <s v=""/>
    <s v="Solicita demo"/>
    <s v="Pipeline de Vendas"/>
    <s v="Agendamento (0%)"/>
    <s v=""/>
    <d v="2026-03-31T00:00:00"/>
    <m/>
    <m/>
    <n v="0"/>
    <s v="Paulo Souza"/>
    <d v="2026-03-10T00:00:00"/>
    <d v="1899-12-30T10:02:20"/>
    <s v=""/>
    <s v="Perdido"/>
    <d v="2026-03-10T00:00:00"/>
    <d v="1899-12-30T10:27:02"/>
    <s v="Fora do porte mínimo (sem fit estrutural)"/>
    <s v=""/>
    <s v=""/>
    <x v="0"/>
    <s v="Paulo Souza"/>
    <x v="0"/>
    <s v=""/>
    <m/>
    <n v="30"/>
    <s v=""/>
    <s v=""/>
    <s v=""/>
    <s v=""/>
    <n v="1"/>
  </r>
  <r>
    <x v="1"/>
    <n v="1009"/>
    <m/>
    <n v="3361"/>
    <s v="(11/03/2026) Agenda de apresentação para 17/03/2026_x000a_(30/03/2026) Alinhando visita presencial com Thiago"/>
    <s v="Banana Toys Ltda"/>
    <x v="508"/>
    <n v="8878994000155"/>
    <s v=""/>
    <s v="Banana Toys Ltda"/>
    <s v="(15) 3283-5196"/>
    <s v=""/>
    <s v="faturamento@bananatoys.com.br"/>
    <s v=""/>
    <s v=""/>
    <s v=""/>
    <s v="LARANJAL PAULISTA"/>
    <s v="SP"/>
    <s v="Base de empresas Leads2b"/>
    <s v=""/>
    <s v=""/>
    <s v=""/>
    <s v="Pipeline de Vendas"/>
    <s v="Em negociação (75%)"/>
    <s v=""/>
    <d v="2026-03-31T00:00:00"/>
    <n v="11390346"/>
    <n v="384882"/>
    <n v="71"/>
    <s v="Junior Lopes"/>
    <d v="2026-03-10T00:00:00"/>
    <d v="1899-12-30T16:23:30"/>
    <s v=""/>
    <s v="Ativo"/>
    <m/>
    <m/>
    <s v=""/>
    <s v=""/>
    <s v=""/>
    <x v="197"/>
    <s v=""/>
    <x v="214"/>
    <s v="17/03/2026"/>
    <d v="2026-03-30T00:00:00"/>
    <n v="50"/>
    <s v=""/>
    <s v=""/>
    <s v=""/>
    <s v=""/>
    <n v="1"/>
  </r>
  <r>
    <x v="0"/>
    <n v="1011"/>
    <m/>
    <n v="3365"/>
    <s v="20/03 Cobrei o Everton sobre a posição sobre a proposta comercial e se seguiremos e se existe algum impedimento."/>
    <s v=""/>
    <x v="509"/>
    <n v="7865166000110"/>
    <s v=""/>
    <s v="EVERTON MARINI GAVIAO"/>
    <s v="(17) 3342-1605"/>
    <s v=""/>
    <s v="comercialgaviao@bol.com.br"/>
    <s v=""/>
    <s v=""/>
    <s v=""/>
    <s v="BEBEDOURO"/>
    <s v="SP"/>
    <s v="Site"/>
    <s v=""/>
    <s v=""/>
    <s v="Solicita demo"/>
    <s v="Pipeline de Vendas"/>
    <s v="Em Fechamento (100%)"/>
    <s v=""/>
    <d v="2026-03-31T00:00:00"/>
    <n v="870636"/>
    <n v="434528"/>
    <n v="70"/>
    <s v="Paulo Souza"/>
    <d v="2026-03-11T00:00:00"/>
    <d v="1899-12-30T11:51:21"/>
    <s v=""/>
    <s v="Ativo"/>
    <m/>
    <m/>
    <s v=""/>
    <s v=""/>
    <s v=""/>
    <x v="187"/>
    <s v="Paulo Souza"/>
    <x v="216"/>
    <s v=""/>
    <d v="2026-05-18T00:00:00"/>
    <n v="30"/>
    <s v=""/>
    <s v="ERP, AFV"/>
    <s v=""/>
    <s v=""/>
    <n v="1"/>
  </r>
  <r>
    <x v="1"/>
    <n v="1012"/>
    <m/>
    <n v="3345"/>
    <s v="(20/03/2026) contato com  Ramos a fim de seguirmos com negociações _x000a_09:22, 06/05/2026 Junior Lopes: Olá Danilo ! Td bem meu amigo _x000a_Ficamos de fazer uma agenda de apresentação para seu sócio ! _x000a_Vamos agendar para próxima semana ?_x000a_10:07, 06/05/2026 Danilo Euroquad: Bom dia_x000a_10:08, 06/05/2026 Danilo Euroquad: Tudo bem e vc?_x000a_10:08, 06/05/2026 Danilo Euroquad: Estou na china volto no final do mês_x000a_10:08, 06/05/2026 Danilo Euroquad: Quando chegar marcamos_x000a_11:35, 06/05/2026 Junior Lopes: Perfeito Danilo, ótimos negocios por ai"/>
    <s v="Euroquadros Industria Importacao E Exportacao Ltda"/>
    <x v="510"/>
    <n v="72770225000561"/>
    <s v=""/>
    <s v="Euroquadros Industria Importacao E Exportacao Ltda"/>
    <s v="(47) 3515-3000"/>
    <s v=""/>
    <s v="contabil@fratelliinox.com.br"/>
    <s v=""/>
    <s v=""/>
    <s v=""/>
    <s v="BARRA VELHA"/>
    <s v="SC"/>
    <s v="Base de empresas Leads2b"/>
    <s v=""/>
    <s v=""/>
    <s v=""/>
    <s v="Pipeline de Vendas"/>
    <s v="Em negociação (75%)"/>
    <s v=""/>
    <m/>
    <n v="52702"/>
    <n v="17020"/>
    <n v="70"/>
    <s v="Junior Lopes"/>
    <d v="2026-03-11T00:00:00"/>
    <d v="1899-12-30T16:07:58"/>
    <s v=""/>
    <s v="Ativo"/>
    <m/>
    <m/>
    <s v=""/>
    <s v=""/>
    <s v=""/>
    <x v="195"/>
    <s v=""/>
    <x v="217"/>
    <s v="18/03/2026"/>
    <d v="2026-05-06T00:00:00"/>
    <n v="50"/>
    <s v=""/>
    <s v=""/>
    <s v=""/>
    <s v=""/>
    <n v="1"/>
  </r>
  <r>
    <x v="2"/>
    <n v="1013"/>
    <m/>
    <n v="3368"/>
    <s v="30.03 Lidi, boa tarde!_x000a_Vamos agendar quarta às 15h_x000a_Meu gerente de projetos que vai fazer, assim já consigo matar WMS, ERP, PDV, todo processo de estoque futuro e importação_x000a_07.04 2° parte da reunião ficou para sexta 10/04_x000a_13.04 apresentação realizada, proxima etapa apresentação da proposta, aguardar avaliação do Paulo quanto ao serviço de cloud"/>
    <s v="Simao Distribuidora De Embalagens Descartaveis Ltda"/>
    <x v="511"/>
    <n v="10649489000180"/>
    <s v=""/>
    <s v="Simao Distribuidora De Embalagens Descartaveis Ltda"/>
    <s v="(24) 3325-7650"/>
    <s v=""/>
    <s v="legalizacao@mastermaxcontabilidade.com.br"/>
    <s v=""/>
    <s v=""/>
    <s v=""/>
    <s v="RIO DE JANEIRO"/>
    <s v="RJ"/>
    <s v="Base de empresas Leads2b"/>
    <s v=""/>
    <s v=""/>
    <s v=""/>
    <s v="Pipeline de Vendas"/>
    <s v="Apresentar Proposta (50%)"/>
    <s v=""/>
    <d v="2026-09-30T00:00:00"/>
    <m/>
    <m/>
    <n v="69"/>
    <s v="Rayssa Karapeticov"/>
    <d v="2026-03-12T00:00:00"/>
    <d v="1899-12-30T10:07:51"/>
    <s v=""/>
    <s v="Ativo"/>
    <m/>
    <m/>
    <s v=""/>
    <s v=""/>
    <s v=""/>
    <x v="198"/>
    <s v="Rayssa Karapeticov"/>
    <x v="218"/>
    <s v="10/04/2026"/>
    <d v="2026-05-13T00:00:00"/>
    <n v="30"/>
    <s v=""/>
    <s v="ERP, AFV"/>
    <s v=""/>
    <s v=""/>
    <n v="1"/>
  </r>
  <r>
    <x v="0"/>
    <n v="1014"/>
    <m/>
    <n v="3371"/>
    <s v="12/03 Fiz FUP com o Renan e ele avisou que a Vera esta em viagem retornando vamos agendar uma apresentação._x000a_12/03 Fiz FUP com o cliente e marcamos reunião para dia 18/03 as 15h._x000a_20/03 Conversei com o Renan para saber qual a nova data para fazer a apresentação."/>
    <s v=""/>
    <x v="512"/>
    <n v="10633099000112"/>
    <s v=""/>
    <s v="Vera Lucia"/>
    <s v="(47) 3075-0552"/>
    <s v=""/>
    <s v="financeiro@mundialimpexp.com.br"/>
    <s v=""/>
    <s v=""/>
    <s v=""/>
    <s v="ITAJAI"/>
    <s v="SC"/>
    <s v=""/>
    <s v=""/>
    <s v=""/>
    <s v="Pausado"/>
    <s v="Pipeline de Vendas"/>
    <s v="Apresentar Solução (35%)"/>
    <s v=""/>
    <d v="2026-03-30T00:00:00"/>
    <m/>
    <m/>
    <n v="60"/>
    <s v="Paulo Souza"/>
    <d v="2026-03-12T00:00:00"/>
    <d v="1899-12-30T12:10:28"/>
    <s v=""/>
    <s v="Perdido"/>
    <d v="2026-05-11T00:00:00"/>
    <d v="1899-12-30T11:56:15"/>
    <s v="Projeto adiado / sem prazo definido"/>
    <s v=""/>
    <s v=""/>
    <x v="0"/>
    <s v="Paulo Souza"/>
    <x v="0"/>
    <s v=""/>
    <d v="2026-04-10T00:00:00"/>
    <n v="30"/>
    <s v=""/>
    <s v="ERP, AFV"/>
    <s v=""/>
    <s v=""/>
    <n v="1"/>
  </r>
  <r>
    <x v="1"/>
    <n v="1015"/>
    <m/>
    <n v="3375"/>
    <s v="(16/03/2026) Agenda de apresentação para dia 17/03/2026"/>
    <s v=""/>
    <x v="513"/>
    <n v="35417169000126"/>
    <s v=""/>
    <s v="Brisa Artes"/>
    <s v="11992558277"/>
    <s v=""/>
    <s v="marcos@mairinckcontabil.com.br"/>
    <s v=""/>
    <s v=""/>
    <s v=""/>
    <s v="RIBEIRAO PIRES"/>
    <s v="SP"/>
    <s v=""/>
    <s v=""/>
    <s v=""/>
    <s v=""/>
    <s v="Pipeline de Vendas"/>
    <s v="Apresentar Solução (35%)"/>
    <s v=""/>
    <m/>
    <m/>
    <m/>
    <n v="69"/>
    <s v="Junior Lopes"/>
    <d v="2026-03-12T00:00:00"/>
    <d v="1899-12-30T15:11:14"/>
    <s v=""/>
    <s v="Ativo"/>
    <m/>
    <m/>
    <s v=""/>
    <s v=""/>
    <s v=""/>
    <x v="0"/>
    <s v=""/>
    <x v="0"/>
    <s v=""/>
    <d v="2026-03-16T00:00:00"/>
    <n v="30"/>
    <s v=""/>
    <s v=""/>
    <s v=""/>
    <s v=""/>
    <n v="1"/>
  </r>
  <r>
    <x v="1"/>
    <n v="1016"/>
    <m/>
    <n v="3373"/>
    <s v="09:04, 13/03/2026 Junior Lopes: Olá Victor, bom dia_x000a_09:04, 13/03/2026 Junior Lopes: sou Junior Lopes da Guarani sistemas, td bem ?_x000a_09:05, 13/03/2026 Junior Lopes: estou retornando um contato que vc fez conosco relacionado ao nosso software de gestão Guarani sistemas_x000a_(13/03/2026) Aós tentativa de ligação e contato ! nenhuma respondida _x000a_estou descartando a oportunidade pois o nome da empresa mencionado não existe e demais informações preenchidas sem dados concretos ! por informar que tem um faturamento abaixo de 200K mensal fica fora do nosso perfil"/>
    <s v=""/>
    <x v="514"/>
    <m/>
    <s v=""/>
    <s v="Nemoaprds"/>
    <s v="38998244039"/>
    <s v=""/>
    <s v="vitorborgessilva333@gmail.com"/>
    <s v=""/>
    <s v=""/>
    <s v=""/>
    <s v=""/>
    <s v=""/>
    <s v="Campanha"/>
    <s v=""/>
    <s v=""/>
    <s v="Fora Perfil;Instagram"/>
    <s v="Pipeline de Vendas"/>
    <s v="Qualificação de Vendas (SQL) (25%)"/>
    <s v=""/>
    <d v="2026-03-31T00:00:00"/>
    <m/>
    <m/>
    <n v="58"/>
    <s v="Paulo Souza"/>
    <d v="2026-03-12T00:00:00"/>
    <d v="1899-12-30T17:35:46"/>
    <s v=""/>
    <s v="Perdido"/>
    <d v="2026-05-09T00:00:00"/>
    <d v="1899-12-30T07:56:21"/>
    <s v="Sem qualificação — contato não atende ligações nem responde msg"/>
    <s v=""/>
    <s v=""/>
    <x v="0"/>
    <s v="Junior Lopes"/>
    <x v="0"/>
    <s v=""/>
    <d v="2026-03-13T00:00:00"/>
    <n v="30"/>
    <s v=""/>
    <s v=""/>
    <s v=""/>
    <s v=""/>
    <n v="1"/>
  </r>
  <r>
    <x v="2"/>
    <n v="1017"/>
    <m/>
    <n v="3374"/>
    <s v="17/03 - Nova Maringa - Amazonia Sistemas_x000a_Empresa de vendas e locação de maquinas agricolas, procura um softaware onde possa acompanhar a svedas, criar promnoções/campanhas, realizar OS para manutenções das maquinas. _x000a_Possui PDV _x000a_Apresentação agendada para terça 24/03 as 15h_x000a_25/03 achou o valor de investimento alto"/>
    <s v=""/>
    <x v="515"/>
    <n v="33947903000133"/>
    <s v=""/>
    <s v="Giovani luiz Agrorural Ltda"/>
    <s v="(66) 8101-6884"/>
    <s v=""/>
    <s v="soberanaagrorural@hotmail.com"/>
    <s v=""/>
    <s v=""/>
    <s v=""/>
    <s v="NOVA MARINGA"/>
    <s v="MT"/>
    <s v="Campanha"/>
    <s v=""/>
    <s v=""/>
    <s v="Fora Perfil;Instagram"/>
    <s v="Pipeline de Vendas"/>
    <s v="Apresentar Solução (35%)"/>
    <s v=""/>
    <d v="2026-07-31T00:00:00"/>
    <m/>
    <m/>
    <n v="13"/>
    <s v="Paulo Souza"/>
    <d v="2026-03-12T00:00:00"/>
    <d v="1899-12-30T17:37:00"/>
    <s v=""/>
    <s v="Perdido"/>
    <d v="2026-03-25T00:00:00"/>
    <d v="1899-12-30T10:06:43"/>
    <s v="Preço muito alto - fora do budget de investimento"/>
    <s v=""/>
    <s v=""/>
    <x v="0"/>
    <s v="Rayssa Karapeticov"/>
    <x v="219"/>
    <s v=""/>
    <d v="2026-03-25T00:00:00"/>
    <n v="31"/>
    <s v=""/>
    <s v=""/>
    <s v=""/>
    <s v=""/>
    <n v="1"/>
  </r>
  <r>
    <x v="1"/>
    <n v="1018"/>
    <m/>
    <n v="3379"/>
    <s v="(13/03/2026) em contato com Juraci a fim de retomar assunto sobre força de vendas _x000a_(12/03/2026) em contato com Juraci, informou que vamos voltar a falar no final do ano ! devido a sua alta demanda de vendas nesse período inviabilizou o projeto nesse momento"/>
    <s v=""/>
    <x v="185"/>
    <n v="28646036000166"/>
    <s v=""/>
    <s v="Gola Comercial"/>
    <s v="11938010304"/>
    <s v=""/>
    <s v="juraci@goalcomercial.com.br"/>
    <s v=""/>
    <s v=""/>
    <s v=""/>
    <s v="SAO CAETANO DO SUL"/>
    <s v="SP"/>
    <s v=""/>
    <s v=""/>
    <s v=""/>
    <s v=""/>
    <s v="Pipeline de Vendas"/>
    <s v="Apresentar Solução (35%)"/>
    <s v=""/>
    <m/>
    <n v="1696"/>
    <n v="6400"/>
    <n v="17"/>
    <s v="Junior Lopes"/>
    <d v="2026-03-13T00:00:00"/>
    <d v="1899-12-30T09:34:40"/>
    <s v=""/>
    <s v="Perdido"/>
    <d v="2026-03-30T00:00:00"/>
    <d v="1899-12-30T17:12:25"/>
    <s v="Projeto adiado / sem prazo definido"/>
    <s v="cliente não tem mais tempo para mudança esse ano , ficará para final do ano 2026"/>
    <s v=""/>
    <x v="84"/>
    <s v=""/>
    <x v="213"/>
    <s v=""/>
    <d v="2026-03-12T00:00:00"/>
    <n v="30"/>
    <s v=""/>
    <s v=""/>
    <s v=""/>
    <s v=""/>
    <n v="1"/>
  </r>
  <r>
    <x v="2"/>
    <n v="1019"/>
    <m/>
    <n v="3381"/>
    <s v="18.03 apresentação agendada para segunda 24/03_x000a_30.03 - como é uma empresa pequena de 1 ano, não consegue dar andamento agora _x000a_mas vão estudar para o futuro"/>
    <s v="Verti Flores E Plantas Permanentes Ltda"/>
    <x v="516"/>
    <n v="55841149000195"/>
    <s v=""/>
    <s v="Verti Flores E Plantas Permanentes Ltda"/>
    <s v="(47) 9214-8117"/>
    <s v=""/>
    <s v="societario@rmxcontabilidade.com.br"/>
    <s v=""/>
    <s v=""/>
    <s v=""/>
    <s v="ITAPEMA"/>
    <s v="SC"/>
    <s v="Base de empresas Leads2b"/>
    <s v=""/>
    <s v=""/>
    <s v=""/>
    <s v="Pipeline de Vendas"/>
    <s v="Apresentar Solução (35%)"/>
    <s v=""/>
    <d v="2026-07-31T00:00:00"/>
    <n v="58800"/>
    <n v="2525"/>
    <n v="17"/>
    <s v="Rayssa Karapeticov"/>
    <d v="2026-03-13T00:00:00"/>
    <d v="1899-12-30T14:52:20"/>
    <s v=""/>
    <s v="Perdido"/>
    <d v="2026-03-30T00:00:00"/>
    <d v="1899-12-30T16:07:14"/>
    <s v="Preço muito alto - fora do budget de investimento"/>
    <s v=""/>
    <s v=""/>
    <x v="199"/>
    <s v="Rayssa Karapeticov"/>
    <x v="220"/>
    <s v=""/>
    <d v="2026-03-30T00:00:00"/>
    <n v="30"/>
    <s v=""/>
    <s v="ERP"/>
    <s v=""/>
    <s v=""/>
    <n v="1"/>
  </r>
  <r>
    <x v="1"/>
    <n v="1020"/>
    <m/>
    <n v="3378"/>
    <s v="(17/03/2026) em contato com Junior ! A Otmiza busca um software para gerenciamento de obras com controle de contratos e ordens de serviço"/>
    <s v=""/>
    <x v="517"/>
    <m/>
    <s v=""/>
    <s v="Otimiza"/>
    <s v="6399999235"/>
    <s v=""/>
    <s v="pelissari.otimiza@gmail.com"/>
    <s v=""/>
    <s v=""/>
    <s v=""/>
    <s v=""/>
    <s v=""/>
    <s v="Campanha"/>
    <s v=""/>
    <s v=""/>
    <s v="Fora Perfil;Instagram"/>
    <s v="Pipeline de Vendas"/>
    <s v="Qualificação de Vendas (SQL) (25%)"/>
    <s v=""/>
    <d v="2026-03-31T00:00:00"/>
    <m/>
    <m/>
    <n v="1"/>
    <s v="Paulo Souza"/>
    <d v="2026-03-16T00:00:00"/>
    <d v="1899-12-30T13:47:29"/>
    <s v=""/>
    <s v="Perdido"/>
    <d v="2026-03-17T00:00:00"/>
    <d v="1899-12-30T09:38:46"/>
    <s v="Fora do porte mínimo (sem fit estrutural)"/>
    <s v="(17/03/2026) em contato com Junior ! A Otmiza busca um software para gerenciamento de obras com controle de contratos e ordens de serviço"/>
    <s v=""/>
    <x v="0"/>
    <s v="Junior Lopes"/>
    <x v="0"/>
    <s v=""/>
    <d v="2026-03-17T00:00:00"/>
    <n v="30"/>
    <s v=""/>
    <s v=""/>
    <s v=""/>
    <s v=""/>
    <n v="1"/>
  </r>
  <r>
    <x v="2"/>
    <n v="1021"/>
    <m/>
    <n v="3384"/>
    <s v="19.03 Pediu uma estimativa de valor, e achou o investimento muito alto para o faturamento anual da empresa"/>
    <s v=""/>
    <x v="518"/>
    <m/>
    <s v=""/>
    <s v="Javeh"/>
    <s v="11947270946"/>
    <s v=""/>
    <s v="atadeu7@gmail.com"/>
    <s v=""/>
    <s v=""/>
    <s v=""/>
    <s v=""/>
    <s v=""/>
    <s v="Campanha"/>
    <s v=""/>
    <s v=""/>
    <s v="Fora Perfil;Instagram"/>
    <s v="Pipeline de Vendas"/>
    <s v="Qualificação de Vendas (SQL) (25%)"/>
    <s v=""/>
    <d v="2026-03-31T00:00:00"/>
    <m/>
    <m/>
    <n v="3"/>
    <s v="Paulo Souza"/>
    <d v="2026-03-16T00:00:00"/>
    <d v="1899-12-30T13:48:48"/>
    <s v=""/>
    <s v="Perdido"/>
    <d v="2026-03-19T00:00:00"/>
    <d v="1899-12-30T11:31:26"/>
    <s v="Preço muito alto - fora do budget de investimento"/>
    <s v=""/>
    <s v=""/>
    <x v="0"/>
    <s v="Rayssa Karapeticov"/>
    <x v="0"/>
    <s v=""/>
    <d v="2026-03-17T00:00:00"/>
    <n v="30"/>
    <s v=""/>
    <s v=""/>
    <s v=""/>
    <s v=""/>
    <n v="1"/>
  </r>
  <r>
    <x v="1"/>
    <n v="1022"/>
    <m/>
    <n v="3385"/>
    <s v="(17/03/2026) em contato com Diego ! a Biricutico é um deposito de bebidas com venda balcão para pessoa física"/>
    <s v=""/>
    <x v="519"/>
    <m/>
    <s v=""/>
    <s v="Biricutico"/>
    <s v="21964945088"/>
    <s v=""/>
    <s v="diegosart@gmail.com"/>
    <s v=""/>
    <s v=""/>
    <s v=""/>
    <s v=""/>
    <s v=""/>
    <s v="Campanha"/>
    <s v=""/>
    <s v=""/>
    <s v="Fora Perfil;Instagram"/>
    <s v="Pipeline de Vendas"/>
    <s v="Qualificação de Vendas (SQL) (25%)"/>
    <s v=""/>
    <d v="2026-03-31T00:00:00"/>
    <m/>
    <m/>
    <n v="1"/>
    <s v="Paulo Souza"/>
    <d v="2026-03-16T00:00:00"/>
    <d v="1899-12-30T13:49:55"/>
    <s v=""/>
    <s v="Perdido"/>
    <d v="2026-03-17T00:00:00"/>
    <d v="1899-12-30T09:41:15"/>
    <s v="Fora do porte mínimo (sem fit estrutural)"/>
    <s v="(17/03/2026) em contato com Diego ! a Biricutico é um deposito de bebidas com venda balcão para pessoa física"/>
    <s v=""/>
    <x v="0"/>
    <s v="Junior Lopes"/>
    <x v="0"/>
    <s v=""/>
    <d v="2026-03-17T00:00:00"/>
    <n v="30"/>
    <s v=""/>
    <s v=""/>
    <s v=""/>
    <s v=""/>
    <n v="1"/>
  </r>
  <r>
    <x v="2"/>
    <n v="1023"/>
    <m/>
    <n v="3386"/>
    <s v="Falei com o Marcelo são uma distribuidora de descartaveis e estão buscando um software. _x000a_30.03 - esta viajando, pediu retorno na proxima semana_x000a_Passei informações sobre a Guarani, e enviei nossa apresentação, hoje vão ter uma reunião interna para saber quais sistemas que vão 18/03 agendar uma apresentação _x000a_30.03 - Falou que esta em viagem, pediu para retornar_x000a_07.03 - não estou tendo nenhum retorno"/>
    <s v=""/>
    <x v="520"/>
    <n v="57769346000176"/>
    <s v=""/>
    <s v="Plus atacadista"/>
    <s v="(62) 8318-2116/ (0000) 0000-0000"/>
    <s v=""/>
    <s v="diretor@staratacadista.com.br"/>
    <s v=""/>
    <s v=""/>
    <s v=""/>
    <s v="GOIANIA"/>
    <s v="GO"/>
    <s v="Campanha"/>
    <s v=""/>
    <s v=""/>
    <s v="Dentro Perfil;Instagram"/>
    <s v="Pipeline de Vendas"/>
    <s v="Apresentar Solução (35%)"/>
    <s v=""/>
    <d v="2026-07-31T00:00:00"/>
    <m/>
    <m/>
    <n v="22"/>
    <s v="Paulo Souza"/>
    <d v="2026-03-16T00:00:00"/>
    <d v="1899-12-30T13:51:06"/>
    <s v=""/>
    <s v="Perdido"/>
    <d v="2026-04-07T00:00:00"/>
    <d v="1899-12-30T10:45:40"/>
    <s v="Fora do porte mínimo (sem fit estrutural)"/>
    <s v=""/>
    <s v=""/>
    <x v="187"/>
    <s v="Rayssa Karapeticov"/>
    <x v="215"/>
    <s v=""/>
    <d v="2026-04-07T00:00:00"/>
    <n v="30"/>
    <s v=""/>
    <s v=""/>
    <s v=""/>
    <s v=""/>
    <n v="1"/>
  </r>
  <r>
    <x v="0"/>
    <n v="1024"/>
    <m/>
    <n v="3388"/>
    <s v="18/03 Liguei para o Tiago não atendeu. Deixei recado no whatsapp !_x000a_18/03 Tiago retorno por audio e falou que essa semana está ocupado e não consegue falar. Vai me retornar ate o fim da semana._x000a_20/03 Após conversa com o Tiago ele avisou que essa semana esta inviável para falar que conversamos semana que vem."/>
    <s v=""/>
    <x v="521"/>
    <m/>
    <s v=""/>
    <s v="Tiago"/>
    <s v="62991537827"/>
    <s v=""/>
    <s v="mastervedacoesind@gmail.com"/>
    <s v=""/>
    <s v=""/>
    <s v=""/>
    <s v=""/>
    <s v=""/>
    <s v="Campanha"/>
    <s v=""/>
    <s v=""/>
    <s v="Dentro Perfil;Instagram"/>
    <s v="Pipeline de Vendas"/>
    <s v="Qualificação de Vendas (SQL) (25%)"/>
    <s v=""/>
    <d v="2026-03-31T00:00:00"/>
    <m/>
    <m/>
    <n v="54"/>
    <s v="Paulo Souza"/>
    <d v="2026-03-16T00:00:00"/>
    <d v="1899-12-30T13:52:07"/>
    <s v=""/>
    <s v="Perdido"/>
    <d v="2026-05-09T00:00:00"/>
    <d v="1899-12-30T07:58:33"/>
    <s v="Sem qualificação — contato não atende ligações nem responde msg"/>
    <s v=""/>
    <s v=""/>
    <x v="0"/>
    <s v="Paulo Souza"/>
    <x v="0"/>
    <s v=""/>
    <d v="2026-03-20T00:00:00"/>
    <n v="30"/>
    <s v=""/>
    <s v=""/>
    <s v=""/>
    <s v=""/>
    <n v="1"/>
  </r>
  <r>
    <x v="0"/>
    <n v="1025"/>
    <m/>
    <n v="3389"/>
    <s v="18/03 Liguei para o Dimitrius e ele estava viajando hoje, vai me retornar ainda esta semana._x000a_18/03 Dimitrius retornou o áudio, avisou que vai me retornar assim que terminar a viagem que faz hoje._x000a_20/03 Fiz uma conversa com Demétrius para entender o cenário dele e alinhamos que ele vai preencher o formulário e depois disso fazer uma apresentação."/>
    <s v=""/>
    <x v="522"/>
    <m/>
    <s v=""/>
    <s v="Dimitrius"/>
    <s v="73988565500"/>
    <s v=""/>
    <s v="dimigrintzos@gmail.com"/>
    <s v=""/>
    <s v=""/>
    <s v=""/>
    <s v=""/>
    <s v=""/>
    <s v="Campanha"/>
    <s v=""/>
    <s v=""/>
    <s v="Dentro Perfil;Instagram"/>
    <s v="Pipeline de Vendas"/>
    <s v="Apresentar Solução (35%)"/>
    <s v=""/>
    <d v="2026-03-31T00:00:00"/>
    <m/>
    <m/>
    <n v="25"/>
    <s v="Paulo Souza"/>
    <d v="2026-03-16T00:00:00"/>
    <d v="1899-12-30T13:53:00"/>
    <s v=""/>
    <s v="Perdido"/>
    <d v="2026-04-10T00:00:00"/>
    <d v="1899-12-30T14:40:40"/>
    <s v="Projeto adiado / sem prazo definido"/>
    <s v=""/>
    <s v=""/>
    <x v="0"/>
    <s v="Paulo Souza"/>
    <x v="0"/>
    <s v=""/>
    <d v="2026-03-20T00:00:00"/>
    <n v="30"/>
    <s v=""/>
    <s v="ERP, AFV"/>
    <s v=""/>
    <s v=""/>
    <n v="1"/>
  </r>
  <r>
    <x v="1"/>
    <n v="1026"/>
    <m/>
    <n v="3390"/>
    <s v="14:10, 16/03/2026 Junior Lopes: Olá Rogerio, boa tarde ! _x000a_(27/03/2026) após varias tentativas sem retorno do Rogério , declinando oportunidade_x000a_Sou Junior Lopes da Guarani sistemas_x000a_14:11, 16/03/2026 Junior Lopes: estou retornando um contato que vc fez conosco_x000a_12:18, 19/03/2026 Junior Lopes: OLá Rogério ! tudo Bem ?_x000a_12:19, 19/03/2026 Junior Lopes: tem interesse em dar continuidade ?_x000a_(06/04/2026) varias tentativas de contato sem retorno"/>
    <s v=""/>
    <x v="523"/>
    <n v="35511300000110"/>
    <s v=""/>
    <s v="Vivazhigienização"/>
    <s v="82993812526"/>
    <s v=""/>
    <s v="progeriogomesxavier@gmail.comp"/>
    <s v=""/>
    <s v=""/>
    <s v=""/>
    <s v=""/>
    <s v=""/>
    <s v="Campanha"/>
    <s v=""/>
    <s v=""/>
    <s v="Dentro Perfil;Instagram"/>
    <s v="Pipeline de Vendas"/>
    <s v="Qualificação de Vendas (SQL) (25%)"/>
    <s v=""/>
    <d v="2026-03-31T00:00:00"/>
    <m/>
    <m/>
    <n v="54"/>
    <s v="Paulo Souza"/>
    <d v="2026-03-16T00:00:00"/>
    <d v="1899-12-30T13:53:57"/>
    <s v=""/>
    <s v="Perdido"/>
    <d v="2026-05-09T00:00:00"/>
    <d v="1899-12-30T07:59:08"/>
    <s v="Sem qualificação — contato não atende ligações nem responde msg"/>
    <s v=""/>
    <s v=""/>
    <x v="0"/>
    <s v="Junior Lopes"/>
    <x v="0"/>
    <s v=""/>
    <d v="2026-04-06T00:00:00"/>
    <n v="30"/>
    <s v=""/>
    <s v=""/>
    <s v=""/>
    <s v=""/>
    <n v="1"/>
  </r>
  <r>
    <x v="2"/>
    <n v="1027"/>
    <m/>
    <n v="3391"/>
    <s v=""/>
    <s v=""/>
    <x v="524"/>
    <m/>
    <s v=""/>
    <s v="Master"/>
    <s v="31994220888"/>
    <s v=""/>
    <s v="anibalsmoura@gmail.com"/>
    <s v=""/>
    <s v=""/>
    <s v=""/>
    <s v=""/>
    <s v=""/>
    <s v="Campanha"/>
    <s v=""/>
    <s v=""/>
    <s v="Dentro Perfil;Instagram"/>
    <s v="Pipeline de Vendas"/>
    <s v="Agendamento (0%)"/>
    <s v=""/>
    <d v="2026-07-31T00:00:00"/>
    <m/>
    <m/>
    <n v="54"/>
    <s v="Paulo Souza"/>
    <d v="2026-03-16T00:00:00"/>
    <d v="1899-12-30T13:54:58"/>
    <s v=""/>
    <s v="Perdido"/>
    <d v="2026-05-09T00:00:00"/>
    <d v="1899-12-30T21:12:46"/>
    <s v="Sem qualificação — contato não atende ligações nem responde msg"/>
    <s v=""/>
    <s v=""/>
    <x v="0"/>
    <s v="Rayssa Karapeticov"/>
    <x v="0"/>
    <s v=""/>
    <d v="2026-03-17T00:00:00"/>
    <n v="30"/>
    <s v=""/>
    <s v=""/>
    <s v=""/>
    <s v=""/>
    <n v="1"/>
  </r>
  <r>
    <x v="2"/>
    <n v="1029"/>
    <m/>
    <n v="3395"/>
    <s v="30.03 Tinhamos agendado uma apresentação na sexta-feira (27/03) porém o Vagner consultor da Guarani Cancelou e não avisaram o setor comercial. _x000a_Ao passar a informação de ultima hora de cancelamento para o cliente, não consegui reverte o atendimento _x000a_Cliente encerrou o contato com a Guarani Sistemas"/>
    <s v=""/>
    <x v="525"/>
    <n v="6864286000130"/>
    <s v=""/>
    <s v="Bruno"/>
    <s v="(48) 99677-1211"/>
    <s v=""/>
    <s v="bruno@alquimya.com.br"/>
    <s v=""/>
    <s v=""/>
    <s v=""/>
    <s v="Florianópolis"/>
    <s v=""/>
    <s v="Site"/>
    <s v=""/>
    <s v=""/>
    <s v=""/>
    <s v="Pipeline de Vendas"/>
    <s v="Apresentar Solução (35%)"/>
    <s v=""/>
    <d v="2026-05-31T00:00:00"/>
    <m/>
    <m/>
    <n v="13"/>
    <s v="Paulo Souza"/>
    <d v="2026-03-17T00:00:00"/>
    <d v="1899-12-30T15:45:42"/>
    <s v=""/>
    <s v="Perdido"/>
    <d v="2026-03-30T00:00:00"/>
    <d v="1899-12-30T15:55:01"/>
    <s v="Fechou com o concorrente - preço"/>
    <s v=""/>
    <s v=""/>
    <x v="0"/>
    <s v="Rayssa Karapeticov"/>
    <x v="0"/>
    <s v=""/>
    <d v="2026-03-30T00:00:00"/>
    <n v="30"/>
    <s v=""/>
    <s v="ERP, AFV, PCP"/>
    <s v=""/>
    <s v=""/>
    <n v="1"/>
  </r>
  <r>
    <x v="1"/>
    <n v="1030"/>
    <m/>
    <n v="3396"/>
    <s v="(23/06/2026) em contato com Leandro , atualmente o perfil é uma padaria e uma fabrica de pequeno porte de pão de alho ! enviei uma estimativa de valores mas achou que para o momento esta muito acima"/>
    <s v=""/>
    <x v="526"/>
    <m/>
    <s v=""/>
    <s v="Pão de alho"/>
    <s v="62985336869"/>
    <s v=""/>
    <s v="therabyte_go@hotmail.com"/>
    <s v=""/>
    <s v=""/>
    <s v=""/>
    <s v=""/>
    <s v=""/>
    <s v="Campanha"/>
    <s v=""/>
    <s v=""/>
    <s v="Fora Perfil;Instagram"/>
    <s v="Pipeline de Vendas"/>
    <s v="Qualificação de Vendas (SQL) (25%)"/>
    <s v=""/>
    <d v="2026-03-31T00:00:00"/>
    <m/>
    <m/>
    <n v="22"/>
    <s v="Paulo Souza"/>
    <d v="2026-03-17T00:00:00"/>
    <d v="1899-12-30T15:47:06"/>
    <s v=""/>
    <s v="Perdido"/>
    <d v="2026-04-08T00:00:00"/>
    <d v="1899-12-30T17:21:21"/>
    <s v="Fora do porte mínimo (sem fit estrutural)"/>
    <s v="(23/06/2026) em contato com Leandro , atualmente o perfil é uma padaria e uma fabrica de pequeno porte de pão de alho ! enviei uma estimativa de valores mas achou que para o momento esta muito acima"/>
    <s v=""/>
    <x v="0"/>
    <s v="Junior Lopes"/>
    <x v="0"/>
    <s v=""/>
    <d v="2026-03-23T00:00:00"/>
    <n v="30"/>
    <s v=""/>
    <s v=""/>
    <s v=""/>
    <s v=""/>
    <n v="1"/>
  </r>
  <r>
    <x v="0"/>
    <n v="1031"/>
    <m/>
    <n v="3397"/>
    <s v="18/03 Liguei para o Celso e ele não atendeu deixei recado no zap."/>
    <s v=""/>
    <x v="527"/>
    <n v="27742655000191"/>
    <s v=""/>
    <s v="Celso"/>
    <s v="21970038782"/>
    <s v=""/>
    <s v="gerencia@inovapet.com.br"/>
    <s v=""/>
    <s v=""/>
    <s v=""/>
    <s v=""/>
    <s v=""/>
    <s v="Campanha"/>
    <s v=""/>
    <s v=""/>
    <s v="Dentro Perfil;Instagram"/>
    <s v="Pipeline de Vendas"/>
    <s v="Qualificação de Vendas (SQL) (25%)"/>
    <s v=""/>
    <d v="2026-03-31T00:00:00"/>
    <m/>
    <m/>
    <n v="3"/>
    <s v="Paulo Souza"/>
    <d v="2026-03-17T00:00:00"/>
    <d v="1899-12-30T15:49:33"/>
    <s v=""/>
    <s v="Perdido"/>
    <d v="2026-03-20T00:00:00"/>
    <d v="1899-12-30T15:43:59"/>
    <s v="Fora do porte mínimo (sem fit estrutural)"/>
    <s v=""/>
    <s v=""/>
    <x v="0"/>
    <s v="Paulo Souza"/>
    <x v="0"/>
    <s v=""/>
    <m/>
    <n v="30"/>
    <s v=""/>
    <s v=""/>
    <s v=""/>
    <s v=""/>
    <n v="1"/>
  </r>
  <r>
    <x v="2"/>
    <n v="1032"/>
    <m/>
    <n v="3402"/>
    <s v="Cliente entrou em contato pelo suporte pedindo contato comercial apra falar sobre software, tentie ligar e mandie msg mas ainda não me retornou _x000a_31.03 - não atendeu,"/>
    <s v=""/>
    <x v="528"/>
    <n v="27742655000191"/>
    <s v=""/>
    <s v="Celso"/>
    <s v="(21) 3451-9599"/>
    <s v=""/>
    <s v="inovapet.adm@gmail.com"/>
    <s v=""/>
    <s v=""/>
    <s v=""/>
    <s v="DUQUE DE CAXIAS"/>
    <s v="RJ"/>
    <s v=""/>
    <s v=""/>
    <s v=""/>
    <s v=""/>
    <s v="Pipeline de Vendas"/>
    <s v="Agendamento (0%)"/>
    <s v=""/>
    <d v="2026-07-31T00:00:00"/>
    <m/>
    <m/>
    <n v="35"/>
    <s v="Rayssa Karapeticov"/>
    <d v="2026-03-18T00:00:00"/>
    <d v="1899-12-30T11:38:25"/>
    <s v=""/>
    <s v="Perdido"/>
    <d v="2026-04-22T00:00:00"/>
    <d v="1899-12-30T17:16:19"/>
    <s v="Não era o decisor - sem acesso"/>
    <s v=""/>
    <s v=""/>
    <x v="0"/>
    <s v="Rayssa Karapeticov"/>
    <x v="0"/>
    <s v=""/>
    <d v="2026-04-22T00:00:00"/>
    <n v="30"/>
    <s v=""/>
    <s v=""/>
    <s v=""/>
    <s v=""/>
    <n v="1"/>
  </r>
  <r>
    <x v="2"/>
    <n v="1033"/>
    <m/>
    <n v="3401"/>
    <s v="19.03 - CLiente estava em reunião, retornar o contato_x000a_20.03 cliente respondeu o formulário tentando agendar uma apresentação do ERp para o dia 31/03_x000a_30/03 - Fiz vários contato com o cliente para agendar uma apresentação e não tive retorno"/>
    <s v=""/>
    <x v="529"/>
    <n v="27251864000132"/>
    <s v=""/>
    <s v="Vinicius Primo"/>
    <s v="(19) 99959-1568"/>
    <s v=""/>
    <s v="engenharia@a2industrial.com.br"/>
    <s v=""/>
    <s v=""/>
    <s v=""/>
    <s v="Rio de Janeiro"/>
    <s v=""/>
    <s v="Site"/>
    <s v=""/>
    <s v=""/>
    <s v="Solicita demo"/>
    <s v="Pipeline de Vendas"/>
    <s v="Apresentar Solução (35%)"/>
    <s v=""/>
    <d v="2026-06-30T00:00:00"/>
    <m/>
    <m/>
    <n v="12"/>
    <s v="Paulo Souza"/>
    <d v="2026-03-18T00:00:00"/>
    <d v="1899-12-30T15:25:11"/>
    <s v=""/>
    <s v="Perdido"/>
    <d v="2026-03-30T00:00:00"/>
    <d v="1899-12-30T15:53:15"/>
    <s v="Projeto adiado / sem prazo definido"/>
    <s v=""/>
    <s v=""/>
    <x v="0"/>
    <s v="Rayssa Karapeticov"/>
    <x v="0"/>
    <s v=""/>
    <d v="2026-03-30T00:00:00"/>
    <n v="30"/>
    <s v=""/>
    <s v="ERP"/>
    <s v=""/>
    <s v=""/>
    <n v="1"/>
  </r>
  <r>
    <x v="1"/>
    <n v="1034"/>
    <m/>
    <n v="3400"/>
    <s v="(27/03/2026) Flavio não responde aos contatos"/>
    <s v=""/>
    <x v="530"/>
    <m/>
    <s v=""/>
    <s v="FM Negocios"/>
    <s v="11987194488"/>
    <s v=""/>
    <s v="fmsallas@gmail.com"/>
    <s v=""/>
    <s v=""/>
    <s v=""/>
    <s v=""/>
    <s v=""/>
    <s v="Campanha"/>
    <s v=""/>
    <s v=""/>
    <s v="Fora Perfil;Instagram"/>
    <s v="Pipeline de Vendas"/>
    <s v="Qualificação de Vendas (SQL) (25%)"/>
    <s v=""/>
    <d v="2026-03-31T00:00:00"/>
    <m/>
    <m/>
    <n v="21"/>
    <s v="Paulo Souza"/>
    <d v="2026-03-18T00:00:00"/>
    <d v="1899-12-30T15:26:48"/>
    <s v=""/>
    <s v="Perdido"/>
    <d v="2026-04-08T00:00:00"/>
    <d v="1899-12-30T17:22:35"/>
    <s v="Fora do porte mínimo (sem fit estrutural)"/>
    <s v="Flavio não responde aos contatos"/>
    <s v=""/>
    <x v="0"/>
    <s v="Junior Lopes"/>
    <x v="0"/>
    <s v=""/>
    <d v="2026-03-27T00:00:00"/>
    <n v="30"/>
    <s v=""/>
    <s v=""/>
    <s v=""/>
    <s v=""/>
    <n v="1"/>
  </r>
  <r>
    <x v="0"/>
    <n v="1035"/>
    <m/>
    <n v="3399"/>
    <s v="18/03 Fiz contato com o Itamar, sem retorno ate o momento._x000a_20/03 Falei com o Itamar esta na unimed ficamos de falar na próxima semana."/>
    <s v=""/>
    <x v="531"/>
    <m/>
    <s v=""/>
    <s v="Concreps"/>
    <s v="62984060714"/>
    <s v=""/>
    <s v="itamarbuenoadv@gmail.com"/>
    <s v=""/>
    <s v=""/>
    <s v=""/>
    <s v=""/>
    <s v=""/>
    <s v="Campanha"/>
    <s v=""/>
    <s v=""/>
    <s v="Dentro Perfil;Instagram"/>
    <s v="Pipeline de Vendas"/>
    <s v="Qualificação de Vendas (SQL) (25%)"/>
    <s v=""/>
    <d v="2026-03-31T00:00:00"/>
    <m/>
    <m/>
    <n v="52"/>
    <s v="Paulo Souza"/>
    <d v="2026-03-18T00:00:00"/>
    <d v="1899-12-30T15:27:53"/>
    <s v=""/>
    <s v="Perdido"/>
    <d v="2026-05-09T00:00:00"/>
    <d v="1899-12-30T08:02:23"/>
    <s v="Sem qualificação — contato não atende ligações nem responde msg"/>
    <s v=""/>
    <s v=""/>
    <x v="0"/>
    <s v="Paulo Souza"/>
    <x v="0"/>
    <s v=""/>
    <d v="2026-03-20T00:00:00"/>
    <n v="30"/>
    <s v=""/>
    <s v=""/>
    <s v=""/>
    <s v=""/>
    <n v="1"/>
  </r>
  <r>
    <x v="2"/>
    <n v="1037"/>
    <m/>
    <n v="3404"/>
    <s v="19.03 - Tentei contato por telefone, ligação por whatsapp e mensagem. _x000a_20.03 Convite enviado para Quarta (25/03) as 15h_x000a_Segue o link também:_x000a_https://teams.microsoft.com/meet/25533981257135?p=HZgs0XbZOVQrxgr3rL_x000a_24/03Realizamos uma apresentação do ERP, mas como o cliente é logista pediu uma previsão de investimento e achou o valor acima"/>
    <s v=""/>
    <x v="532"/>
    <m/>
    <s v=""/>
    <s v="Auto peças taurus"/>
    <s v="61981840031"/>
    <s v=""/>
    <s v="gustavoandreh@yahoo.com.br"/>
    <s v=""/>
    <s v=""/>
    <s v=""/>
    <s v=""/>
    <s v=""/>
    <s v="Campanha"/>
    <s v=""/>
    <s v=""/>
    <s v="Dentro Perfil;Instagram"/>
    <s v="Pipeline de Vendas"/>
    <s v="Apresentar Solução (35%)"/>
    <s v=""/>
    <d v="2026-03-31T00:00:00"/>
    <m/>
    <m/>
    <n v="51"/>
    <s v="Paulo Souza"/>
    <d v="2026-03-19T00:00:00"/>
    <d v="1899-12-30T10:26:22"/>
    <s v=""/>
    <s v="Perdido"/>
    <d v="2026-05-09T00:00:00"/>
    <d v="1899-12-30T21:07:24"/>
    <s v="Preço muito alto - fora do budget de investimento"/>
    <s v=""/>
    <s v=""/>
    <x v="200"/>
    <s v="Rayssa Karapeticov"/>
    <x v="219"/>
    <s v=""/>
    <d v="2026-03-24T00:00:00"/>
    <n v="30"/>
    <s v=""/>
    <s v=""/>
    <s v=""/>
    <s v=""/>
    <n v="1"/>
  </r>
  <r>
    <x v="1"/>
    <n v="1038"/>
    <m/>
    <n v="3405"/>
    <s v="11:55, 19/03/2026 Junior Lopes: Faz sentido para vocês ?_x000a_11:56, 19/03/2026 +55 35 9839-4949: Acredito que nao_x000a_12:02, 19/03/2026 +55 35 9839-4949: Distribuidor_x000a_12:02, 19/03/2026 +55 35 9839-4949: Frutas e legumes_x000a_12:03, 19/03/2026 Junior Lopes: E vc tem vendedores externos ?_x000a_12:09, 19/03/2026 +55 35 9839-4949: Somente 1"/>
    <s v=""/>
    <x v="533"/>
    <m/>
    <s v=""/>
    <s v="Grupo Kimura"/>
    <s v="35998394949"/>
    <s v=""/>
    <s v="veniltonsouza@hotmail.com"/>
    <s v=""/>
    <s v=""/>
    <s v=""/>
    <s v=""/>
    <s v=""/>
    <s v="Campanha"/>
    <s v=""/>
    <s v=""/>
    <s v="Fora Perfil;Instagram"/>
    <s v="Pipeline de Vendas"/>
    <s v="Qualificação de Vendas (SQL) (25%)"/>
    <s v=""/>
    <m/>
    <m/>
    <m/>
    <n v="0"/>
    <s v="Paulo Souza"/>
    <d v="2026-03-19T00:00:00"/>
    <d v="1899-12-30T10:29:59"/>
    <s v=""/>
    <s v="Perdido"/>
    <d v="2026-03-19T00:00:00"/>
    <d v="1899-12-30T12:15:59"/>
    <s v="Fora do porte mínimo (sem fit estrutural)"/>
    <s v="Cliente de porte muito pequeno"/>
    <s v=""/>
    <x v="0"/>
    <s v="Junior Lopes"/>
    <x v="0"/>
    <s v=""/>
    <m/>
    <n v="30"/>
    <s v=""/>
    <s v=""/>
    <s v=""/>
    <s v=""/>
    <n v="1"/>
  </r>
  <r>
    <x v="2"/>
    <n v="1040"/>
    <m/>
    <n v="3408"/>
    <s v="20.03 - Oi Raysa, bem e você?_x000a_Estou em viagem e só volto no final da próxima semana. _x000a_Podemos deixar para o meu retorno?_x000a_23.03 esta em viagem e retorna no final da proxima semana, agendando contato_x000a_31.03 retomamos o contato hoje _x000a_06.04 Eduardo pediu para entrar em contato com o Rafael, preciso entender o negócio deles."/>
    <s v=""/>
    <x v="534"/>
    <n v="40707794000142"/>
    <s v=""/>
    <s v="Aquatrat"/>
    <s v="71999081968"/>
    <s v=""/>
    <s v="eduardo@aquatrat.com.br"/>
    <s v=""/>
    <s v=""/>
    <s v=""/>
    <s v=""/>
    <s v=""/>
    <s v="Campanha"/>
    <s v=""/>
    <s v=""/>
    <s v="Fora Perfil;Instagram"/>
    <s v="Pipeline de Vendas"/>
    <s v="Agendamento (0%)"/>
    <s v=""/>
    <d v="2026-04-30T00:00:00"/>
    <m/>
    <m/>
    <n v="33"/>
    <s v="Paulo Souza"/>
    <d v="2026-03-20T00:00:00"/>
    <d v="1899-12-30T09:22:44"/>
    <s v=""/>
    <s v="Perdido"/>
    <d v="2026-04-22T00:00:00"/>
    <d v="1899-12-30T17:13:52"/>
    <s v="Fora do porte mínimo (sem fit estrutural)"/>
    <s v=""/>
    <s v=""/>
    <x v="0"/>
    <s v="Rayssa Karapeticov"/>
    <x v="0"/>
    <s v=""/>
    <d v="2026-04-22T00:00:00"/>
    <n v="30"/>
    <s v=""/>
    <s v=""/>
    <s v=""/>
    <s v=""/>
    <n v="1"/>
  </r>
  <r>
    <x v="2"/>
    <n v="1041"/>
    <m/>
    <n v="3409"/>
    <s v="20.03 não atendeu_x000a_Boa tarde Jairo, tudo bem?_x000a_Meu nome é Rayssa, sou da Guarani Sistemas, estou retornando seu contato interessado em software para a empresa VENTMAR Ventilação_x000a_podemos falar?_x000a_23.03 achou o investimento alto, é uma loja de bairro"/>
    <s v=""/>
    <x v="535"/>
    <m/>
    <s v=""/>
    <s v="VENTMAR Ventilacao"/>
    <s v="67999748649"/>
    <s v=""/>
    <s v="jairodsm@gmail.com"/>
    <s v=""/>
    <s v=""/>
    <s v=""/>
    <s v=""/>
    <s v=""/>
    <s v="Campanha"/>
    <s v=""/>
    <s v=""/>
    <s v="Fora Perfil;Instagram"/>
    <s v="Pipeline de Vendas"/>
    <s v="Agendamento (0%)"/>
    <s v=""/>
    <m/>
    <m/>
    <m/>
    <n v="50"/>
    <s v="Paulo Souza"/>
    <d v="2026-03-20T00:00:00"/>
    <d v="1899-12-30T15:28:44"/>
    <s v=""/>
    <s v="Perdido"/>
    <d v="2026-05-09T00:00:00"/>
    <d v="1899-12-30T21:09:38"/>
    <s v="Fora do porte mínimo (sem fit estrutural)"/>
    <s v=""/>
    <s v=""/>
    <x v="0"/>
    <s v="Rayssa Karapeticov"/>
    <x v="0"/>
    <s v=""/>
    <d v="2026-03-23T00:00:00"/>
    <n v="30"/>
    <s v=""/>
    <s v=""/>
    <s v=""/>
    <s v=""/>
    <n v="1"/>
  </r>
  <r>
    <x v="1"/>
    <n v="1044"/>
    <m/>
    <n v="3414"/>
    <s v="(27/03/2026) Após varias tentativas de contato com Afabio sem retorno ! estou declinando oportunidade"/>
    <s v=""/>
    <x v="536"/>
    <m/>
    <s v=""/>
    <s v="Vilela &amp; Vilela Ltda"/>
    <s v="9991419327"/>
    <s v=""/>
    <s v="afabio2016@gmail.com"/>
    <s v=""/>
    <s v=""/>
    <s v=""/>
    <s v=""/>
    <s v="Para"/>
    <s v="Inbound"/>
    <s v=""/>
    <s v=""/>
    <s v="Fora Perfil;Instagram;Perfil Indefinido"/>
    <s v="Pipeline de Vendas"/>
    <s v="Qualificação de Vendas (SQL) (25%)"/>
    <s v=""/>
    <d v="2026-03-24T00:00:00"/>
    <m/>
    <m/>
    <n v="16"/>
    <s v="Paulo Souza"/>
    <d v="2026-03-23T00:00:00"/>
    <d v="1899-12-30T13:47:48"/>
    <s v=""/>
    <s v="Perdido"/>
    <d v="2026-04-08T00:00:00"/>
    <d v="1899-12-30T17:20:11"/>
    <s v="Fora do porte mínimo (sem fit estrutural)"/>
    <s v="Após varias tentativas de contato com Afabio sem retorno ! estou declinando oportunidade"/>
    <s v=""/>
    <x v="0"/>
    <s v="Junior Lopes"/>
    <x v="0"/>
    <s v=""/>
    <d v="2026-03-23T00:00:00"/>
    <n v="30"/>
    <s v=""/>
    <s v=""/>
    <s v=""/>
    <s v=""/>
    <n v="1"/>
  </r>
  <r>
    <x v="2"/>
    <n v="1045"/>
    <m/>
    <n v="3412"/>
    <s v="24.03 - não consegui contato_x000a_06.04 - telefone não atende_x000a_11:28, 31/03/2026 Rayssa Karapeticov - Comercial - Guarani Sistemas: Bom dia Lucas, como vai?_x000a_Meu nome é Rayssa, sou da Guarani Sistemas. _x000a_Estou tentando contato com você para entender como as soluções da Guarani Sistemas podem atender a MaisMendes Distribuidora Materiais para construção_x000a_11:56, 06/04/2026 Rayssa Karapeticov - Comercial - Guarani Sistemas: Boa tarde Lucas, tudo bem? _x000a_Meu nome é Rayssa, sou da Guarani Sistemas. _x000a_Ainda faz sentido a procura de uma solução para sua empresa?_x000a_07.4"/>
    <s v=""/>
    <x v="537"/>
    <m/>
    <s v=""/>
    <s v="MaisMendes Distribuidora Materiais para construção"/>
    <s v="62993734302"/>
    <s v=""/>
    <s v="lucasmatheusmendes@outlook.com"/>
    <s v=""/>
    <s v=""/>
    <s v=""/>
    <s v=""/>
    <s v=""/>
    <s v="Campanha"/>
    <s v=""/>
    <s v=""/>
    <s v="Fora Perfil;Instagram"/>
    <s v="Pipeline de Vendas"/>
    <s v="Agendamento (0%)"/>
    <s v=""/>
    <d v="2026-04-30T00:00:00"/>
    <m/>
    <m/>
    <n v="15"/>
    <s v="Paulo Souza"/>
    <d v="2026-03-23T00:00:00"/>
    <d v="1899-12-30T13:49:09"/>
    <s v=""/>
    <s v="Perdido"/>
    <d v="2026-04-07T00:00:00"/>
    <d v="1899-12-30T09:36:31"/>
    <s v="Fora do porte mínimo (sem fit estrutural)"/>
    <s v=""/>
    <s v=""/>
    <x v="0"/>
    <s v="Rayssa Karapeticov"/>
    <x v="0"/>
    <s v=""/>
    <d v="2026-04-07T00:00:00"/>
    <n v="30"/>
    <s v=""/>
    <s v=""/>
    <s v=""/>
    <s v=""/>
    <n v="1"/>
  </r>
  <r>
    <x v="1"/>
    <n v="1046"/>
    <m/>
    <n v="3411"/>
    <s v="(23/03/2026) contato com Rafael _x000a_(27/03/2026) Rafael não responde aos contato"/>
    <s v=""/>
    <x v="538"/>
    <n v="32354207000150"/>
    <s v=""/>
    <s v="DISTRIBOM"/>
    <s v="27999328628"/>
    <s v=""/>
    <s v="rafaeldebossan@gmail.com"/>
    <s v=""/>
    <s v=""/>
    <s v=""/>
    <s v="VILA VELHA"/>
    <s v="ES"/>
    <s v="Campanha"/>
    <s v=""/>
    <s v=""/>
    <s v="Dentro Perfil;Instagram"/>
    <s v="Pipeline de Vendas"/>
    <s v="Qualificação de Vendas (SQL) (25%)"/>
    <s v=""/>
    <d v="2026-03-31T00:00:00"/>
    <m/>
    <m/>
    <n v="47"/>
    <s v="Paulo Souza"/>
    <d v="2026-03-23T00:00:00"/>
    <d v="1899-12-30T13:50:19"/>
    <s v=""/>
    <s v="Perdido"/>
    <d v="2026-05-09T00:00:00"/>
    <d v="1899-12-30T08:02:53"/>
    <s v="Sem qualificação — contato não atende ligações nem responde msg"/>
    <s v=""/>
    <s v=""/>
    <x v="0"/>
    <s v="Junior Lopes"/>
    <x v="0"/>
    <s v=""/>
    <d v="2026-03-27T00:00:00"/>
    <n v="30"/>
    <s v=""/>
    <s v=""/>
    <s v=""/>
    <s v=""/>
    <n v="1"/>
  </r>
  <r>
    <x v="1"/>
    <n v="1047"/>
    <m/>
    <n v="3417"/>
    <s v=""/>
    <s v=""/>
    <x v="539"/>
    <m/>
    <s v=""/>
    <s v="Preciza Imports"/>
    <s v="11947600755"/>
    <s v=""/>
    <s v="financeiro@precizaimports.com.br"/>
    <s v=""/>
    <s v=""/>
    <s v=""/>
    <s v=""/>
    <s v=""/>
    <s v=""/>
    <s v=""/>
    <s v=""/>
    <s v=""/>
    <s v="Pipeline de Vendas"/>
    <s v="Em Fechamento (100%)"/>
    <s v=""/>
    <m/>
    <n v="1652929"/>
    <n v="0"/>
    <n v="0"/>
    <s v="Junior Lopes"/>
    <d v="2026-03-24T00:00:00"/>
    <d v="1899-12-30T16:07:13"/>
    <s v=""/>
    <s v="Ganho"/>
    <d v="2026-03-24T00:00:00"/>
    <d v="1899-12-30T16:09:06"/>
    <s v=""/>
    <s v=""/>
    <s v=""/>
    <x v="84"/>
    <s v=""/>
    <x v="0"/>
    <s v=""/>
    <m/>
    <n v="90"/>
    <s v=""/>
    <s v=""/>
    <s v=""/>
    <s v=""/>
    <n v="1"/>
  </r>
  <r>
    <x v="1"/>
    <n v="1049"/>
    <m/>
    <n v="3420"/>
    <s v="(31/03/2026) Reciclanorte  tem algumas particularidades que fogem do nosso ERP"/>
    <s v=""/>
    <x v="540"/>
    <n v="33582253000170"/>
    <s v=""/>
    <s v="Mateus Ramos"/>
    <s v="(38) 9968-0779"/>
    <s v=""/>
    <s v="reciclanorte2@gmail.com"/>
    <s v=""/>
    <s v=""/>
    <s v=""/>
    <s v="PONTO CHIQUE"/>
    <s v="MG"/>
    <s v="Site"/>
    <s v=""/>
    <s v=""/>
    <s v="Contato;Fora Perfil"/>
    <s v="Pipeline de Vendas"/>
    <s v="Qualificação de Vendas (SQL) (25%)"/>
    <s v=""/>
    <d v="2026-03-31T00:00:00"/>
    <m/>
    <m/>
    <n v="7"/>
    <s v="Paulo Souza"/>
    <d v="2026-03-25T00:00:00"/>
    <d v="1899-12-30T16:31:34"/>
    <s v=""/>
    <s v="Perdido"/>
    <d v="2026-04-01T00:00:00"/>
    <d v="1899-12-30T10:29:40"/>
    <s v="Fora do porte mínimo (sem fit estrutural)"/>
    <s v="(31/03/2026) Reciclanorte  tem algumas particularidades que fogem do nosso ERP"/>
    <s v=""/>
    <x v="0"/>
    <s v="Junior Lopes"/>
    <x v="0"/>
    <s v=""/>
    <d v="2026-03-31T00:00:00"/>
    <n v="30"/>
    <s v=""/>
    <s v=""/>
    <s v=""/>
    <s v=""/>
    <n v="1"/>
  </r>
  <r>
    <x v="1"/>
    <n v="1050"/>
    <m/>
    <n v="3427"/>
    <s v="10:07, 14/04/2026 Luccas Globalmix: Bom dia meu amigo, tudo bem? _x000a_Desculpe não te responder. Estou com alguns problemas de família e estive meio ausente. _x000a_Analisamos sua proposta e infelizmente ficou muito acima do que estávamos planejando nesse momento. _x000a_Desculpe a minha ignorância, mas não consegui compreender o motivo de um custo tão alto para a implementação de um ERP já existente. O custo que você me passou é basicamente o de desenvolver um novo sistema próprio. _x000a_Infelizmente nessas condições é inviável para nós nesse momento. _x000a_Agradeço pelo seu atendimento nas últimas semanas, foi extremamente atencioso. Espero que compreenda. _x000a_Obrigado_x000a_10:15, 14/04/2026 Junior Lopes: Bom dia, Luccas, tudo bem?_x000a_Primeiro, espero que as coisas com sua família se resolvam da melhor forma possível. Fica tranquilo quanto ao retorno, eu entendo perfeitamente._x000a_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_x000a_O que está incluso nesse investimento é justamente o que vai fazer o sistema “virar realidade” dentro da Globalmix:_x000a_– entendimento dos processos de vocês;_x000a_– parametrização do ERP para a realidade da empresa;_x000a_– construção/ajuste dos relatórios que vocês precisam;_x000a_– validação e homologação do funcionamento antes de ir para produção;_x000a_– integração com a Lisa Log;_x000a_– e, principalmente, treinamento da equipe e acompanhamento na virada, para que todo mundo use da forma correta e o projeto traga resultado._x000a_Sem essa etapa de consultoria, o risco é ter um sistema bom, mas mal configurado ou pouco usado, o que acaba gerando retrabalho e perda de confiança na ferramenta – e é justamente isso que queremos evitar._x000a_Dito isso, eu entendo totalmente a questão de orçamento. Se fizer sentido para você, eu posso:_x000a_1) rever o escopo para enxugar etapas e tentar adequar o investimento ao momento da Globalmix; ou_x000a_2) pensar em uma implantação por fases, começando pelo essencial (comercial + força de vendas + básico de estoque) e deixando integrações e aprofundamentos para uma segunda etapa._x000a_Você se sentiria confortável em me dizer qual faixa de investimento vocês tinham planejado, para eu ver o que é possível ajustar com transparência?"/>
    <s v=""/>
    <x v="541"/>
    <m/>
    <s v=""/>
    <s v="GlobalMix - Cloud"/>
    <s v="11988736515"/>
    <s v=""/>
    <s v="contabilgrupocrx@gmail.com"/>
    <s v=""/>
    <s v=""/>
    <s v=""/>
    <s v=""/>
    <s v=""/>
    <s v=""/>
    <s v=""/>
    <s v=""/>
    <s v=""/>
    <s v="Pipeline de Vendas"/>
    <s v="Apresentar Solução (35%)"/>
    <s v=""/>
    <m/>
    <n v="1600"/>
    <n v="252471"/>
    <n v="20"/>
    <s v="Junior Lopes"/>
    <d v="2026-03-26T00:00:00"/>
    <d v="1899-12-30T15:55:09"/>
    <s v=""/>
    <s v="Perdido"/>
    <d v="2026-04-15T00:00:00"/>
    <d v="1899-12-30T09:40:31"/>
    <s v="Não houve aprovação financeira"/>
    <s v="10:07, 14/04/2026 Luccas Globalmix: Bom dia meu amigo, tudo bem? _x000a_Desculpe não te responder. Estou com alguns problemas de família e estive meio ausente. _x000a_Analisamos sua proposta e infelizmente ficou muito acima do que estávamos planejando nesse momento. _x000a_Desculpe a minha ignorância, mas não consegui compreender o motivo de um custo tão alto para a implementação de um ERP já existente. O custo que você me passou é basicamente o de desenvolver um novo sistema próprio. _x000a_Infelizmente nessas condições é inviável para nós nesse momento. _x000a_Agradeço pelo seu atendimento nas últimas semanas, foi extremamente atencioso. Espero que compreenda. _x000a_Obrigado_x000a_10:15, 14/04/2026 Junior Lopes: Bom dia, Luccas, tudo bem?_x000a_Primeiro, espero que as coisas com sua família se resolvam da melhor forma possível. Fica tranquilo quanto ao retorno, eu entendo perfeitamente._x000a_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_x000a_O que está incluso nesse investimento é justamente o que vai fazer o sistema “virar realidade” dentro da Globalmix:_x000a_– entendimento dos processos de vocês;_x000a_– parametrização do ERP para a realidade da empresa;_x000a_– construção/ajuste dos relatórios que vocês precisam;_x000a_– validação e homologação do funcionamento antes de ir para produção;_x000a_– integração com a Lisa Log;_x000a_– e, principalmente, treinamento da equipe e acompanhamento na virada, para que todo mundo use da forma correta e o projeto traga resultado._x000a_Sem essa etapa de consultoria, o risco é ter um sistema bom, mas mal configurado ou pouco usado, o que acaba gerando retrabalho e perda de confiança na ferramenta – e é justamente isso que queremos evitar._x000a_Dito isso, eu entendo totalmente a questão de orçamento. Se fizer sentido para você, eu posso:_x000a_1) rever o escopo para enxugar etapas e tentar adequar o investimento ao momento da Globalmix; ou_x000a_2) pensar em uma implantação por fases, começando pelo essencial (comercial + força de vendas + básico de estoque) e deixando integrações e aprofundamentos para uma segunda etapa._x000a_Você se sentiria confortável em me dizer qual faixa de investimento vocês tinham planejado, para eu ver o que é possível ajustar com transparência?"/>
    <s v=""/>
    <x v="194"/>
    <s v=""/>
    <x v="211"/>
    <s v=""/>
    <d v="2026-04-15T00:00:00"/>
    <n v="50"/>
    <s v=""/>
    <s v=""/>
    <s v=""/>
    <s v=""/>
    <n v="1"/>
  </r>
  <r>
    <x v="1"/>
    <n v="1051"/>
    <m/>
    <n v="3428"/>
    <s v="10:07, 14/04/2026 Luccas Globalmix: Bom dia meu amigo, tudo bem? _x000a_Desculpe não te responder. Estou com alguns problemas de família e estive meio ausente. _x000a_Analisamos sua proposta e infelizmente ficou muito acima do que estávamos planejando nesse momento. _x000a_Desculpe a minha ignorância, mas não consegui compreender o motivo de um custo tão alto para a implementação de um ERP já existente. O custo que você me passou é basicamente o de desenvolver um novo sistema próprio. _x000a_Infelizmente nessas condições é inviável para nós nesse momento. _x000a_Agradeço pelo seu atendimento nas últimas semanas, foi extremamente atencioso. Espero que compreenda. _x000a_Obrigado_x000a_10:15, 14/04/2026 Junior Lopes: Bom dia, Luccas, tudo bem?_x000a_Primeiro, espero que as coisas com sua família se resolvam da melhor forma possível. Fica tranquilo quanto ao retorno, eu entendo perfeitamente._x000a_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_x000a_O que está incluso nesse investimento é justamente o que vai fazer o sistema “virar realidade” dentro da Globalmix:_x000a_– entendimento dos processos de vocês;_x000a_– parametrização do ERP para a realidade da empresa;_x000a_– construção/ajuste dos relatórios que vocês precisam;_x000a_– validação e homologação do funcionamento antes de ir para produção;_x000a_– integração com a Lisa Log;_x000a_– e, principalmente, treinamento da equipe e acompanhamento na virada, para que todo mundo use da forma correta e o projeto traga resultado._x000a_Sem essa etapa de consultoria, o risco é ter um sistema bom, mas mal configurado ou pouco usado, o que acaba gerando retrabalho e perda de confiança na ferramenta – e é justamente isso que queremos evitar._x000a_Dito isso, eu entendo totalmente a questão de orçamento. Se fizer sentido para você, eu posso:_x000a_1) rever o escopo para enxugar etapas e tentar adequar o investimento ao momento da Globalmix; ou_x000a_2) pensar em uma implantação por fases, começando pelo essencial (comercial + força de vendas + básico de estoque) e deixando integrações e aprofundamentos para uma segunda etapa._x000a_Você se sentiria confortável em me dizer qual faixa de investimento vocês tinham planejado, para eu ver o que é possível ajustar com transparência?"/>
    <s v=""/>
    <x v="542"/>
    <m/>
    <s v=""/>
    <s v="GlobalMix - B2B"/>
    <s v="11988736515"/>
    <s v=""/>
    <s v="contabilgrupocrx@gmail.com"/>
    <s v=""/>
    <s v=""/>
    <s v=""/>
    <s v=""/>
    <s v=""/>
    <s v=""/>
    <s v=""/>
    <s v=""/>
    <s v=""/>
    <s v="Pipeline de Vendas"/>
    <s v="Apresentar Solução (35%)"/>
    <s v=""/>
    <m/>
    <n v="13100"/>
    <n v="1800"/>
    <n v="20"/>
    <s v="Junior Lopes"/>
    <d v="2026-03-26T00:00:00"/>
    <d v="1899-12-30T15:59:11"/>
    <s v=""/>
    <s v="Perdido"/>
    <d v="2026-04-15T00:00:00"/>
    <d v="1899-12-30T09:36:41"/>
    <s v="Não houve aprovação financeira"/>
    <s v="10:07, 14/04/2026 Luccas Globalmix: Bom dia meu amigo, tudo bem? _x000a_Desculpe não te responder. Estou com alguns problemas de família e estive meio ausente. _x000a_Analisamos sua proposta e infelizmente ficou muito acima do que estávamos planejando nesse momento. _x000a_Desculpe a minha ignorância, mas não consegui compreender o motivo de um custo tão alto para a implementação de um ERP já existente. O custo que você me passou é basicamente o de desenvolver um novo sistema próprio. _x000a_Infelizmente nessas condições é inviável para nós nesse momento. _x000a_Agradeço pelo seu atendimento nas últimas semanas, foi extremamente atencioso. Espero que compreenda. _x000a_Obrigado_x000a_10:15, 14/04/2026 Junior Lopes: Bom dia, Luccas, tudo bem?_x000a_Primeiro, espero que as coisas com sua família se resolvam da melhor forma possível. Fica tranquilo quanto ao retorno, eu entendo perfeitamente._x000a_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_x000a_O que está incluso nesse investimento é justamente o que vai fazer o sistema “virar realidade” dentro da Globalmix:_x000a_– entendimento dos processos de vocês;_x000a_– parametrização do ERP para a realidade da empresa;_x000a_– construção/ajuste dos relatórios que vocês precisam;_x000a_– validação e homologação do funcionamento antes de ir para produção;_x000a_– integração com a Lisa Log;_x000a_– e, principalmente, treinamento da equipe e acompanhamento na virada, para que todo mundo use da forma correta e o projeto traga resultado._x000a_Sem essa etapa de consultoria, o risco é ter um sistema bom, mas mal configurado ou pouco usado, o que acaba gerando retrabalho e perda de confiança na ferramenta – e é justamente isso que queremos evitar._x000a_Dito isso, eu entendo totalmente a questão de orçamento. Se fizer sentido para você, eu posso:_x000a_1) rever o escopo para enxugar etapas e tentar adequar o investimento ao momento da Globalmix; ou_x000a_2) pensar em uma implantação por fases, começando pelo essencial (comercial + força de vendas + básico de estoque) e deixando integrações e aprofundamentos para uma segunda etapa._x000a_Você se sentiria confortável em me dizer qual faixa de investimento vocês tinham planejado, para eu ver o que é possível ajustar com transparência?"/>
    <s v=""/>
    <x v="194"/>
    <s v=""/>
    <x v="221"/>
    <s v=""/>
    <d v="2026-04-15T00:00:00"/>
    <n v="50"/>
    <s v=""/>
    <s v=""/>
    <s v=""/>
    <s v=""/>
    <n v="1"/>
  </r>
  <r>
    <x v="2"/>
    <n v="1052"/>
    <m/>
    <n v="3423"/>
    <s v="31.03 caixa postal: Bom dia Murilo, como vai?_x000a_Meu nome é Rayssa, sou da Guarani Sistemas. _x000a_Estou tentando contato com você para entender como as soluções da Guarani Sistemas podem atender a JUNDCOAT_x000a_07.04 caixa postal"/>
    <s v=""/>
    <x v="543"/>
    <n v="48440778000148"/>
    <s v=""/>
    <s v="JUNDCOAT"/>
    <s v="11912958843"/>
    <s v=""/>
    <s v="murilo@jundcoat.com.br"/>
    <s v=""/>
    <s v=""/>
    <s v=""/>
    <s v=""/>
    <s v="Itupeva"/>
    <s v="Inbound"/>
    <s v=""/>
    <s v=""/>
    <s v="Dentro Perfil;Instagram"/>
    <s v="Pipeline de Vendas"/>
    <s v="Agendamento (0%)"/>
    <s v=""/>
    <d v="2026-03-31T00:00:00"/>
    <m/>
    <m/>
    <n v="44"/>
    <s v="Paulo Souza"/>
    <d v="2026-03-26T00:00:00"/>
    <d v="1899-12-30T16:53:38"/>
    <s v=""/>
    <s v="Perdido"/>
    <d v="2026-05-09T00:00:00"/>
    <d v="1899-12-30T08:37:27"/>
    <s v="Sem qualificação — contato não atende ligações nem responde msg"/>
    <s v=""/>
    <s v=""/>
    <x v="0"/>
    <s v="Rayssa Karapeticov"/>
    <x v="0"/>
    <s v=""/>
    <d v="2026-04-07T00:00:00"/>
    <n v="30"/>
    <s v=""/>
    <s v=""/>
    <s v=""/>
    <s v=""/>
    <n v="1"/>
  </r>
  <r>
    <x v="1"/>
    <n v="1053"/>
    <m/>
    <n v="3424"/>
    <s v="(26/03/2026) em contato com Joel"/>
    <s v=""/>
    <x v="544"/>
    <n v="4486490000139"/>
    <s v=""/>
    <s v="indukraft"/>
    <s v="47988227474"/>
    <s v=""/>
    <s v="joel@indukraft.com.br"/>
    <s v=""/>
    <s v=""/>
    <s v=""/>
    <s v=""/>
    <s v=""/>
    <s v="Campanha"/>
    <s v=""/>
    <s v=""/>
    <s v="Dentro Perfil;Instagram"/>
    <s v="Pipeline de Vendas"/>
    <s v="Qualificação de Vendas (SQL) (25%)"/>
    <s v=""/>
    <d v="2026-03-26T00:00:00"/>
    <m/>
    <m/>
    <n v="55"/>
    <s v="Paulo Souza"/>
    <d v="2026-03-26T00:00:00"/>
    <d v="1899-12-30T16:56:07"/>
    <s v=""/>
    <s v="Ativo"/>
    <m/>
    <m/>
    <s v=""/>
    <s v=""/>
    <s v=""/>
    <x v="0"/>
    <s v="Junior Lopes"/>
    <x v="0"/>
    <s v=""/>
    <m/>
    <n v="30"/>
    <s v=""/>
    <s v=""/>
    <s v=""/>
    <s v=""/>
    <n v="1"/>
  </r>
  <r>
    <x v="2"/>
    <n v="1054"/>
    <m/>
    <n v="3425"/>
    <s v="30.03 pediu uma apresentação e valores. _x000a_Falei que preciso conhecer a empresa dele e entender a razão de procurar um novo software para empresa_x000a_Estavamos avançando com a conversa_x000a_01.04 - Não atendeu _x000a_Boa tarde Milton, tudo bem?_x000a_Fez sentido para sua operação as informações que passei?_x000a_06.04 - não atende e não retorna contato"/>
    <s v=""/>
    <x v="545"/>
    <m/>
    <s v=""/>
    <s v="B&amp;G Comércio de Sinalização e Materiais de Construção"/>
    <s v="11984731999"/>
    <s v=""/>
    <s v="milton-bernardo@uol.com.br"/>
    <s v=""/>
    <s v=""/>
    <s v=""/>
    <s v=""/>
    <s v="Caieiras"/>
    <s v="Inbound"/>
    <s v=""/>
    <s v=""/>
    <s v="Fora Perfil;Instagram"/>
    <s v="Pipeline de Vendas"/>
    <s v="Agendamento (0%)"/>
    <s v=""/>
    <d v="2026-03-26T00:00:00"/>
    <m/>
    <m/>
    <n v="11"/>
    <s v="Paulo Souza"/>
    <d v="2026-03-26T00:00:00"/>
    <d v="1899-12-30T16:58:49"/>
    <s v=""/>
    <s v="Perdido"/>
    <d v="2026-04-06T00:00:00"/>
    <d v="1899-12-30T12:44:35"/>
    <s v="Fora do porte mínimo (sem fit estrutural)"/>
    <s v=""/>
    <s v=""/>
    <x v="0"/>
    <s v="Rayssa Karapeticov"/>
    <x v="0"/>
    <s v=""/>
    <d v="2026-04-01T00:00:00"/>
    <n v="30"/>
    <s v=""/>
    <s v=""/>
    <s v=""/>
    <s v=""/>
    <n v="1"/>
  </r>
  <r>
    <x v="2"/>
    <n v="1055"/>
    <m/>
    <n v="3429"/>
    <s v="30.03 - lojista de material de construção"/>
    <s v=""/>
    <x v="546"/>
    <m/>
    <s v=""/>
    <s v="Leondilmo mat const ltda"/>
    <s v="61999781085"/>
    <s v=""/>
    <s v="leondilmo@hotmail.com"/>
    <s v=""/>
    <s v=""/>
    <s v=""/>
    <s v=""/>
    <s v=""/>
    <s v="Campanha"/>
    <s v=""/>
    <s v=""/>
    <s v="Fora Perfil;Instagram"/>
    <s v="Pipeline de Vendas"/>
    <s v="Agendamento (0%)"/>
    <s v=""/>
    <d v="2026-03-31T00:00:00"/>
    <m/>
    <m/>
    <n v="3"/>
    <s v="Paulo Souza"/>
    <d v="2026-03-27T00:00:00"/>
    <d v="1899-12-30T10:18:25"/>
    <s v=""/>
    <s v="Perdido"/>
    <d v="2026-03-30T00:00:00"/>
    <d v="1899-12-30T17:43:09"/>
    <s v="Fora do porte mínimo (sem fit estrutural)"/>
    <s v=""/>
    <s v=""/>
    <x v="0"/>
    <s v="Rayssa Karapeticov"/>
    <x v="0"/>
    <s v=""/>
    <d v="2026-03-30T00:00:00"/>
    <n v="30"/>
    <s v=""/>
    <s v=""/>
    <s v=""/>
    <s v=""/>
    <n v="1"/>
  </r>
  <r>
    <x v="1"/>
    <n v="1059"/>
    <m/>
    <n v="3455"/>
    <s v="(30/03/2026) Alinhando visita presencial com Thiago"/>
    <s v=""/>
    <x v="547"/>
    <m/>
    <s v=""/>
    <s v="Banana Toys - Cloud"/>
    <s v="1532835196"/>
    <s v=""/>
    <s v="faturamento@bananatoys.com.br"/>
    <s v=""/>
    <s v=""/>
    <s v=""/>
    <s v=""/>
    <s v=""/>
    <s v=""/>
    <s v=""/>
    <s v=""/>
    <s v=""/>
    <s v="Pipeline de Vendas"/>
    <s v="Em negociação (75%)"/>
    <s v=""/>
    <m/>
    <n v="1600"/>
    <n v="384454"/>
    <n v="51"/>
    <s v="Junior Lopes"/>
    <d v="2026-03-30T00:00:00"/>
    <d v="1899-12-30T15:20:04"/>
    <s v=""/>
    <s v="Ativo"/>
    <m/>
    <m/>
    <s v=""/>
    <s v=""/>
    <s v=""/>
    <x v="197"/>
    <s v=""/>
    <x v="222"/>
    <s v=""/>
    <d v="2026-03-30T00:00:00"/>
    <n v="50"/>
    <s v=""/>
    <s v=""/>
    <s v=""/>
    <s v=""/>
    <n v="1"/>
  </r>
  <r>
    <x v="1"/>
    <n v="1060"/>
    <m/>
    <n v="3460"/>
    <s v=""/>
    <s v=""/>
    <x v="548"/>
    <m/>
    <s v=""/>
    <s v="Util Ud - PCP / WMS"/>
    <s v="19974080034"/>
    <s v=""/>
    <s v="null"/>
    <s v=""/>
    <s v=""/>
    <s v=""/>
    <s v=""/>
    <s v=""/>
    <s v=""/>
    <s v=""/>
    <s v=""/>
    <s v=""/>
    <s v="Pipeline de Vendas"/>
    <s v="Em negociação (75%)"/>
    <s v=""/>
    <m/>
    <n v="34236"/>
    <n v="42768"/>
    <n v="51"/>
    <s v="Junior Lopes"/>
    <d v="2026-03-30T00:00:00"/>
    <d v="1899-12-30T16:14:02"/>
    <s v=""/>
    <s v="Ativo"/>
    <m/>
    <m/>
    <s v=""/>
    <s v=""/>
    <s v=""/>
    <x v="201"/>
    <s v=""/>
    <x v="223"/>
    <s v=""/>
    <m/>
    <n v="50"/>
    <s v=""/>
    <s v=""/>
    <s v=""/>
    <s v=""/>
    <n v="1"/>
  </r>
  <r>
    <x v="1"/>
    <n v="1061"/>
    <m/>
    <n v="3466"/>
    <s v="(24/04/2026) orçamento não aprovado"/>
    <s v=""/>
    <x v="549"/>
    <m/>
    <s v=""/>
    <s v="Weck - Horas"/>
    <s v="11947895866"/>
    <s v=""/>
    <s v="null"/>
    <s v=""/>
    <s v=""/>
    <s v=""/>
    <s v=""/>
    <s v=""/>
    <s v=""/>
    <s v=""/>
    <s v=""/>
    <s v=""/>
    <s v="Pipeline de Vendas"/>
    <s v="Apresentar Proposta (50%)"/>
    <s v=""/>
    <m/>
    <n v="13568"/>
    <n v="0"/>
    <n v="25"/>
    <s v="Junior Lopes"/>
    <d v="2026-03-30T00:00:00"/>
    <d v="1899-12-30T16:39:07"/>
    <s v=""/>
    <s v="Perdido"/>
    <d v="2026-04-24T00:00:00"/>
    <d v="1899-12-30T10:11:23"/>
    <s v="Não houve aprovação financeira"/>
    <s v="(24/04/2026) orçamento não aprovado"/>
    <s v=""/>
    <x v="202"/>
    <s v=""/>
    <x v="224"/>
    <s v=""/>
    <d v="2026-04-24T00:00:00"/>
    <n v="30"/>
    <s v=""/>
    <s v=""/>
    <s v=""/>
    <s v=""/>
    <n v="1"/>
  </r>
  <r>
    <x v="1"/>
    <n v="1062"/>
    <m/>
    <n v="3093"/>
    <s v=""/>
    <s v=""/>
    <x v="550"/>
    <n v="53629067000156"/>
    <s v=""/>
    <s v="Claudio Teixeira"/>
    <s v="(43) 99669-3593"/>
    <s v=""/>
    <s v="claudioteixeirasap@hotmail.com"/>
    <s v=""/>
    <s v=""/>
    <s v=""/>
    <s v="CONSELHEIRO MAIRINCK"/>
    <s v="PR"/>
    <s v="Site"/>
    <s v=""/>
    <s v=""/>
    <s v="Solicita demo"/>
    <s v="Pipeline de Vendas"/>
    <s v="Apresentar Proposta (50%)"/>
    <s v=""/>
    <m/>
    <n v="68743"/>
    <n v="143186"/>
    <n v="0"/>
    <s v="Junior Lopes"/>
    <d v="2026-03-30T00:00:00"/>
    <d v="1899-12-30T17:23:13"/>
    <s v=""/>
    <s v="Perdido"/>
    <d v="2026-03-30T00:00:00"/>
    <d v="1899-12-30T17:46:58"/>
    <s v="Não houve aprovação financeira"/>
    <s v="Claudio achou o valor muito acima para investimento"/>
    <s v=""/>
    <x v="160"/>
    <s v=""/>
    <x v="173"/>
    <s v=""/>
    <m/>
    <n v="30"/>
    <s v=""/>
    <s v=""/>
    <s v=""/>
    <s v=""/>
    <n v="1"/>
  </r>
  <r>
    <x v="1"/>
    <n v="1063"/>
    <m/>
    <n v="3467"/>
    <s v=""/>
    <s v=""/>
    <x v="551"/>
    <m/>
    <s v=""/>
    <s v="Casabella Claudio Teixeira - Cloud"/>
    <s v="43996693593"/>
    <s v=""/>
    <s v="null"/>
    <s v=""/>
    <s v=""/>
    <s v=""/>
    <s v=""/>
    <s v=""/>
    <s v=""/>
    <s v=""/>
    <s v=""/>
    <s v=""/>
    <s v="Pipeline de Vendas"/>
    <s v="Apresentar Proposta (50%)"/>
    <s v=""/>
    <m/>
    <n v="1600"/>
    <n v="252471"/>
    <n v="0"/>
    <s v="Junior Lopes"/>
    <d v="2026-03-30T00:00:00"/>
    <d v="1899-12-30T17:41:36"/>
    <s v=""/>
    <s v="Perdido"/>
    <d v="2026-03-30T00:00:00"/>
    <d v="1899-12-30T17:47:37"/>
    <s v="Não houve aprovação financeira"/>
    <s v="Claudio achou o valor muito acima para investimento"/>
    <s v=""/>
    <x v="203"/>
    <s v=""/>
    <x v="173"/>
    <s v="27/03/2026 00:00"/>
    <m/>
    <n v="30"/>
    <s v=""/>
    <s v=""/>
    <s v=""/>
    <s v=""/>
    <n v="1"/>
  </r>
  <r>
    <x v="2"/>
    <n v="1064"/>
    <m/>
    <n v="3446"/>
    <s v="31.03 - Caixa Postal - Bom dia Anderson, como vai?_x000a_Meu nome é Rayssa, sou da Guarani Sistemas. _x000a_Estou tentando contato com você para entender como as soluções da Guarani Sistemas podem atender a Distribuidora Anderson Corrado_x000a_01.04 - caixa postal_x000a_07.04 encerrando por falta de retorno"/>
    <s v=""/>
    <x v="552"/>
    <m/>
    <s v=""/>
    <s v="Anderson Corrado"/>
    <s v="31971564261"/>
    <s v=""/>
    <s v="andersoncorrado@gmail.com"/>
    <s v=""/>
    <s v=""/>
    <s v=""/>
    <s v=""/>
    <s v=""/>
    <s v="Campanha"/>
    <s v=""/>
    <s v=""/>
    <s v="Fora Perfil;Instagram"/>
    <s v="Pipeline de Vendas"/>
    <s v="Agendamento (0%)"/>
    <s v=""/>
    <d v="2026-04-30T00:00:00"/>
    <m/>
    <m/>
    <n v="7"/>
    <s v="Paulo Souza"/>
    <d v="2026-03-31T00:00:00"/>
    <d v="1899-12-30T10:18:31"/>
    <s v=""/>
    <s v="Perdido"/>
    <d v="2026-04-07T00:00:00"/>
    <d v="1899-12-30T09:12:54"/>
    <s v="Fora do porte mínimo (sem fit estrutural)"/>
    <s v=""/>
    <s v=""/>
    <x v="0"/>
    <s v="Rayssa Karapeticov"/>
    <x v="0"/>
    <s v=""/>
    <d v="2026-04-01T00:00:00"/>
    <n v="30"/>
    <s v=""/>
    <s v=""/>
    <s v=""/>
    <s v=""/>
    <n v="1"/>
  </r>
  <r>
    <x v="1"/>
    <n v="1065"/>
    <m/>
    <n v="3447"/>
    <s v="(31/03/2026) cliente de loja porte pequeno , fora do perfil"/>
    <s v=""/>
    <x v="553"/>
    <m/>
    <s v=""/>
    <s v="nat art papelaria"/>
    <s v="15991197046"/>
    <s v=""/>
    <s v="cricanicolete@gmail.com"/>
    <s v=""/>
    <s v=""/>
    <s v=""/>
    <s v=""/>
    <s v="Sorocaba"/>
    <s v="Inbound"/>
    <s v=""/>
    <s v=""/>
    <s v="Fora Perfil;Instagram"/>
    <s v="Pipeline de Vendas"/>
    <s v="Agendamento (0%)"/>
    <s v=""/>
    <d v="2026-03-31T00:00:00"/>
    <m/>
    <m/>
    <n v="0"/>
    <s v="Paulo Souza"/>
    <d v="2026-03-31T00:00:00"/>
    <d v="1899-12-30T10:23:46"/>
    <s v=""/>
    <s v="Perdido"/>
    <d v="2026-03-31T00:00:00"/>
    <d v="1899-12-30T14:56:07"/>
    <s v="Fora do porte mínimo (sem fit estrutural)"/>
    <s v="(31/03/2026) cliente de loja porte pequeno , fora do perfil"/>
    <s v=""/>
    <x v="0"/>
    <s v="Junior Lopes"/>
    <x v="0"/>
    <s v=""/>
    <m/>
    <n v="30"/>
    <s v=""/>
    <s v=""/>
    <s v=""/>
    <s v=""/>
    <n v="1"/>
  </r>
  <r>
    <x v="1"/>
    <n v="1066"/>
    <m/>
    <n v="3448"/>
    <s v="(31/03/2026) em contato com Fernando _x000a_(06/04/2026) declinando por falta de retorno"/>
    <s v=""/>
    <x v="554"/>
    <n v="4827674000115"/>
    <s v=""/>
    <s v="Forte e Limpo"/>
    <s v="(73) 3027-3546"/>
    <s v=""/>
    <s v="forteelimpo@gmail.com"/>
    <s v=""/>
    <s v=""/>
    <s v=""/>
    <s v="ITABUNA"/>
    <s v="BA"/>
    <s v="Campanha"/>
    <s v=""/>
    <s v=""/>
    <s v="Dentro Perfil;Instagram"/>
    <s v="Pipeline de Vendas"/>
    <s v="Qualificação de Vendas (SQL) (25%)"/>
    <s v=""/>
    <m/>
    <m/>
    <m/>
    <n v="39"/>
    <s v="Paulo Souza"/>
    <d v="2026-03-31T00:00:00"/>
    <d v="1899-12-30T10:32:04"/>
    <s v=""/>
    <s v="Perdido"/>
    <d v="2026-05-09T00:00:00"/>
    <d v="1899-12-30T08:03:53"/>
    <s v="Sem qualificação — contato não atende ligações nem responde msg"/>
    <s v=""/>
    <s v=""/>
    <x v="0"/>
    <s v="Junior Lopes"/>
    <x v="0"/>
    <s v=""/>
    <d v="2026-04-06T00:00:00"/>
    <n v="30"/>
    <s v=""/>
    <s v=""/>
    <s v=""/>
    <s v=""/>
    <n v="1"/>
  </r>
  <r>
    <x v="2"/>
    <n v="1067"/>
    <m/>
    <n v="3468"/>
    <s v="31.03 é uma corretora e agentes de seguros, de planos de previdência complementar e de saúde."/>
    <s v=""/>
    <x v="555"/>
    <n v="50649054000150"/>
    <s v=""/>
    <s v="Finance coop LTDA"/>
    <s v="(21) 9310-5614"/>
    <s v=""/>
    <s v="financecorporacao@gmail.com"/>
    <s v=""/>
    <s v=""/>
    <s v=""/>
    <s v="RIO DE JANEIRO"/>
    <s v="RJ"/>
    <s v="Inbound"/>
    <s v=""/>
    <s v=""/>
    <s v="Fora Perfil;Instagram"/>
    <s v="Pipeline de Vendas"/>
    <s v="Agendamento (0%)"/>
    <s v=""/>
    <m/>
    <m/>
    <m/>
    <n v="0"/>
    <s v="Paulo Souza"/>
    <d v="2026-03-31T00:00:00"/>
    <d v="1899-12-30T10:35:35"/>
    <s v=""/>
    <s v="Perdido"/>
    <d v="2026-03-31T00:00:00"/>
    <d v="1899-12-30T15:20:34"/>
    <s v="Fora do porte mínimo (sem fit estrutural)"/>
    <s v=""/>
    <s v=""/>
    <x v="0"/>
    <s v="Rayssa Karapeticov"/>
    <x v="0"/>
    <s v=""/>
    <m/>
    <n v="30"/>
    <s v=""/>
    <s v=""/>
    <s v=""/>
    <s v=""/>
    <n v="1"/>
  </r>
  <r>
    <x v="1"/>
    <n v="1068"/>
    <m/>
    <n v="3471"/>
    <s v="(20/04/2026) em contato com Edson , informou que Baag vai manter servidor local devido ao alto investimento"/>
    <s v=""/>
    <x v="556"/>
    <m/>
    <s v=""/>
    <s v="Baag - Cloud"/>
    <s v="(75) 3021-7768"/>
    <s v=""/>
    <s v="null"/>
    <s v=""/>
    <s v=""/>
    <s v=""/>
    <s v=""/>
    <s v=""/>
    <s v=""/>
    <s v=""/>
    <s v=""/>
    <s v=""/>
    <s v="Pipeline de Vendas"/>
    <s v="Apresentar Proposta (50%)"/>
    <s v=""/>
    <m/>
    <n v="1600"/>
    <n v="384454"/>
    <n v="20"/>
    <s v="Junior Lopes"/>
    <d v="2026-03-31T00:00:00"/>
    <d v="1899-12-30T15:16:59"/>
    <s v=""/>
    <s v="Perdido"/>
    <d v="2026-04-20T00:00:00"/>
    <d v="1899-12-30T11:51:43"/>
    <s v="Não houve aprovação financeira"/>
    <s v="(20/04/2026) em contato com Edson , informou que Baag vai manter servidor local devido ao alto investimento"/>
    <s v=""/>
    <x v="194"/>
    <s v=""/>
    <x v="218"/>
    <s v=""/>
    <d v="2026-04-20T00:00:00"/>
    <n v="50"/>
    <s v=""/>
    <s v=""/>
    <s v=""/>
    <s v=""/>
    <n v="1"/>
  </r>
  <r>
    <x v="1"/>
    <n v="1069"/>
    <m/>
    <n v="3472"/>
    <s v=""/>
    <s v=""/>
    <x v="557"/>
    <m/>
    <s v=""/>
    <s v="Baag - Televendas"/>
    <s v="7530217768"/>
    <s v=""/>
    <s v="null"/>
    <s v=""/>
    <s v=""/>
    <s v=""/>
    <s v=""/>
    <s v=""/>
    <s v=""/>
    <s v=""/>
    <s v=""/>
    <s v=""/>
    <s v="Pipeline de Vendas"/>
    <s v="Apresentar Proposta (50%)"/>
    <s v=""/>
    <m/>
    <n v="8480"/>
    <n v="3564"/>
    <n v="24"/>
    <s v="Junior Lopes"/>
    <d v="2026-03-31T00:00:00"/>
    <d v="1899-12-30T15:37:28"/>
    <s v=""/>
    <s v="Perdido"/>
    <d v="2026-04-24T00:00:00"/>
    <d v="1899-12-30T10:06:18"/>
    <s v="Não houve aprovação financeira"/>
    <s v="24/04/2026) Edson falou com diretoria e achou valor alto para o momento"/>
    <s v=""/>
    <x v="204"/>
    <s v=""/>
    <x v="225"/>
    <s v=""/>
    <m/>
    <n v="30"/>
    <s v=""/>
    <s v=""/>
    <s v=""/>
    <s v=""/>
    <n v="1"/>
  </r>
  <r>
    <x v="1"/>
    <n v="1072"/>
    <m/>
    <n v="3474"/>
    <s v="(01/04/2026) Badux é uma auto elétrica que que faz manutenção e venda de peças no balcão (lojista)"/>
    <s v=""/>
    <x v="558"/>
    <n v="27728774000190"/>
    <s v=""/>
    <s v="Badux auto eletrica"/>
    <s v="(95) 9142-2588"/>
    <s v=""/>
    <s v="fabianoggsilva@hotmail.com"/>
    <s v=""/>
    <s v=""/>
    <s v=""/>
    <s v="BOA VISTA"/>
    <s v="RR"/>
    <s v="Inbound"/>
    <s v=""/>
    <s v=""/>
    <s v="Fora Perfil;Instagram"/>
    <s v="Pipeline de Vendas"/>
    <s v="Agendamento (0%)"/>
    <s v=""/>
    <m/>
    <m/>
    <m/>
    <n v="0"/>
    <s v="Paulo Souza"/>
    <d v="2026-04-01T00:00:00"/>
    <d v="1899-12-30T11:45:05"/>
    <s v=""/>
    <s v="Perdido"/>
    <d v="2026-04-01T00:00:00"/>
    <d v="1899-12-30T15:25:26"/>
    <s v="Fora do porte mínimo (sem fit estrutural)"/>
    <s v="(01/04/2026) Badux é uma auto elétrica que que faz manutenção e venda de peças no balcão (lojista)"/>
    <s v=""/>
    <x v="0"/>
    <s v="Junior Lopes"/>
    <x v="0"/>
    <s v=""/>
    <m/>
    <n v="30"/>
    <s v=""/>
    <s v=""/>
    <s v=""/>
    <s v=""/>
    <n v="1"/>
  </r>
  <r>
    <x v="1"/>
    <n v="1073"/>
    <m/>
    <n v="3479"/>
    <s v="(07/04/2026) tentativas de contato sem sucesso , em analise sobre verifiquei que é um empresa de lavanderia ! fora do perfil"/>
    <s v=""/>
    <x v="559"/>
    <n v="667476000261"/>
    <s v=""/>
    <s v="Ciape Distribuidora De Peças"/>
    <s v="44988361402"/>
    <s v=""/>
    <s v="rodrigo@lavinorte.com.br"/>
    <s v=""/>
    <s v=""/>
    <s v=""/>
    <s v=""/>
    <s v=""/>
    <s v="Campanha"/>
    <s v=""/>
    <s v=""/>
    <s v="Fora Perfil;Instagram"/>
    <s v="Pipeline de Vendas"/>
    <s v="Qualificação de Vendas (SQL) (25%)"/>
    <s v=""/>
    <m/>
    <m/>
    <m/>
    <n v="1"/>
    <s v="Paulo Souza"/>
    <d v="2026-04-06T00:00:00"/>
    <d v="1899-12-30T11:20:09"/>
    <s v=""/>
    <s v="Perdido"/>
    <d v="2026-04-07T00:00:00"/>
    <d v="1899-12-30T16:31:35"/>
    <s v="Fora do porte mínimo (sem fit estrutural)"/>
    <s v="(07/04/2026) tentativas de contato sem sucesso , em analise sobre verifiquei que é um empresa de lavanderia ! fora do perfil"/>
    <s v=""/>
    <x v="0"/>
    <s v="Junior Lopes"/>
    <x v="0"/>
    <s v=""/>
    <d v="2026-04-07T00:00:00"/>
    <n v="30"/>
    <s v=""/>
    <s v=""/>
    <s v=""/>
    <s v=""/>
    <n v="1"/>
  </r>
  <r>
    <x v="2"/>
    <n v="1074"/>
    <m/>
    <n v="3478"/>
    <s v="06.04 Liguei, pediu para chamar no whatsapp_x000a_Boa tarde Leandro, tudo bem?_x000a_Meu nome é Rayssa, sou da Guarani Sistemas. _x000a_Acabei de te liga rpara entender sua necessidade quanton as soluções da Guarani Sistemas. _x000a_Como posso te ajudar?"/>
    <s v=""/>
    <x v="560"/>
    <n v="34777766000107"/>
    <s v=""/>
    <s v="Tecalhas"/>
    <s v="(32) 3551-6365"/>
    <s v=""/>
    <s v="contato@realcontabilidadevrb.com.br"/>
    <s v=""/>
    <s v=""/>
    <s v=""/>
    <s v="VISCONDE DO RIO BRANCO"/>
    <s v="MG"/>
    <s v="Campanha"/>
    <s v=""/>
    <s v=""/>
    <s v="Fora Perfil;Instagram"/>
    <s v="Pipeline de Vendas"/>
    <s v="Agendamento (0%)"/>
    <s v=""/>
    <m/>
    <m/>
    <m/>
    <n v="33"/>
    <s v="Paulo Souza"/>
    <d v="2026-04-06T00:00:00"/>
    <d v="1899-12-30T11:21:52"/>
    <s v=""/>
    <s v="Perdido"/>
    <d v="2026-05-09T00:00:00"/>
    <d v="1899-12-30T08:38:25"/>
    <s v="Sem qualificação — contato não atende ligações nem responde msg"/>
    <s v=""/>
    <s v=""/>
    <x v="0"/>
    <s v="Rayssa Karapeticov"/>
    <x v="0"/>
    <s v=""/>
    <d v="2026-04-07T00:00:00"/>
    <n v="27"/>
    <s v=""/>
    <s v=""/>
    <s v=""/>
    <s v=""/>
    <n v="1"/>
  </r>
  <r>
    <x v="1"/>
    <n v="1075"/>
    <m/>
    <n v="3480"/>
    <s v="(06/04/2026) em contato com Thamires _x000a_(06/04/2026) Thamires não responde a ligação e e mensagens ! estou descartando o lead , falta muita informação como a razão social do cliente, endereço , CNPJ ! impossível fazer  uma pesquisa sobre o cliente"/>
    <s v=""/>
    <x v="561"/>
    <m/>
    <s v=""/>
    <s v="Eletro+"/>
    <s v="22997047181"/>
    <s v=""/>
    <s v="thamirestelleseriscado@hotmail.com"/>
    <s v=""/>
    <s v=""/>
    <s v=""/>
    <s v=""/>
    <s v=""/>
    <s v="Campanha"/>
    <s v=""/>
    <s v=""/>
    <s v="Fora Perfil;Instagram"/>
    <s v="Pipeline de Vendas"/>
    <s v="Agendamento (0%)"/>
    <s v=""/>
    <m/>
    <m/>
    <m/>
    <n v="0"/>
    <s v="Paulo Souza"/>
    <d v="2026-04-06T00:00:00"/>
    <d v="1899-12-30T11:23:42"/>
    <s v=""/>
    <s v="Perdido"/>
    <d v="2026-04-06T00:00:00"/>
    <d v="1899-12-30T17:17:27"/>
    <s v="Fora do porte mínimo (sem fit estrutural)"/>
    <s v="(06/04/2026) Thamires não responde a ligação e e mensagens ! estou descartando o lead , falta muita informação como a razão social do cliente, endereço , CNPJ ! impossível fazer  uma pesquisa sobre o cliente"/>
    <s v=""/>
    <x v="0"/>
    <s v="Junior Lopes"/>
    <x v="0"/>
    <s v=""/>
    <m/>
    <n v="30"/>
    <s v=""/>
    <s v=""/>
    <s v=""/>
    <s v=""/>
    <n v="1"/>
  </r>
  <r>
    <x v="2"/>
    <n v="1076"/>
    <m/>
    <n v="3482"/>
    <s v="06.04 - telefone errado"/>
    <s v=""/>
    <x v="562"/>
    <m/>
    <s v=""/>
    <s v="pra mim mesmo"/>
    <s v="4694441158"/>
    <s v=""/>
    <s v="t.marcio@hotmail.com"/>
    <s v=""/>
    <s v=""/>
    <s v=""/>
    <s v=""/>
    <s v=""/>
    <s v="Campanha"/>
    <s v=""/>
    <s v=""/>
    <s v="Fora Perfil;Instagram"/>
    <s v="Pipeline de Vendas"/>
    <s v="Agendamento (0%)"/>
    <s v=""/>
    <m/>
    <m/>
    <m/>
    <n v="1"/>
    <s v="Paulo Souza"/>
    <d v="2026-04-06T00:00:00"/>
    <d v="1899-12-30T11:25:26"/>
    <s v=""/>
    <s v="Perdido"/>
    <d v="2026-04-07T00:00:00"/>
    <d v="1899-12-30T09:07:58"/>
    <s v="Fora do porte mínimo (sem fit estrutural)"/>
    <s v=""/>
    <s v=""/>
    <x v="0"/>
    <s v="Rayssa Karapeticov"/>
    <x v="0"/>
    <s v=""/>
    <m/>
    <n v="30"/>
    <s v=""/>
    <s v=""/>
    <s v=""/>
    <s v=""/>
    <n v="1"/>
  </r>
  <r>
    <x v="1"/>
    <n v="1077"/>
    <m/>
    <n v="3483"/>
    <s v="(06/04/2026) Coelhos identificado como fora do perfil , executa trabalhos de automação de portaria e vendas de computadores para cliente pessoa física"/>
    <s v=""/>
    <x v="563"/>
    <n v="2861273000156"/>
    <s v=""/>
    <s v="Coelhos Automação"/>
    <s v="5330256162"/>
    <s v=""/>
    <s v="vilmar@coelhosautomacao.com.br"/>
    <s v=""/>
    <s v=""/>
    <s v=""/>
    <s v=""/>
    <s v=""/>
    <s v="Campanha"/>
    <s v=""/>
    <s v=""/>
    <s v="Fora Perfil;Instagram"/>
    <s v="Pipeline de Vendas"/>
    <s v="Agendamento (0%)"/>
    <s v=""/>
    <m/>
    <m/>
    <m/>
    <n v="0"/>
    <s v="Paulo Souza"/>
    <d v="2026-04-06T00:00:00"/>
    <d v="1899-12-30T11:27:43"/>
    <s v=""/>
    <s v="Perdido"/>
    <d v="2026-04-06T00:00:00"/>
    <d v="1899-12-30T16:59:44"/>
    <s v="Fora do porte mínimo (sem fit estrutural)"/>
    <s v="(06/04/2026) Coelhos identificado como fora do perfil , executa trabalhos de automação de portaria e vendas de computadores para cliente pessoa física"/>
    <s v=""/>
    <x v="0"/>
    <s v="Junior Lopes"/>
    <x v="0"/>
    <s v=""/>
    <m/>
    <n v="28"/>
    <s v=""/>
    <s v=""/>
    <s v=""/>
    <s v=""/>
    <n v="1"/>
  </r>
  <r>
    <x v="1"/>
    <n v="1078"/>
    <m/>
    <n v="3497"/>
    <s v="24/04/2026) Edson falou com diretoria e achou valor alto para o momento"/>
    <s v=""/>
    <x v="564"/>
    <m/>
    <s v=""/>
    <s v="Baag - BI"/>
    <s v="7530217768"/>
    <s v=""/>
    <s v="helpdesk@bahiagrafica.com.br"/>
    <s v=""/>
    <s v=""/>
    <s v=""/>
    <s v=""/>
    <s v=""/>
    <s v=""/>
    <s v=""/>
    <s v=""/>
    <s v=""/>
    <s v="Pipeline de Vendas"/>
    <s v="Apresentar Proposta (50%)"/>
    <s v=""/>
    <m/>
    <n v="8100"/>
    <n v="1080"/>
    <n v="16"/>
    <s v="Junior Lopes"/>
    <d v="2026-04-08T00:00:00"/>
    <d v="1899-12-30T16:50:57"/>
    <s v=""/>
    <s v="Perdido"/>
    <d v="2026-04-24T00:00:00"/>
    <d v="1899-12-30T09:54:24"/>
    <s v="Não houve aprovação financeira"/>
    <s v="24/04/2026) Edson falou com diretoria e achou valor alto para o momento"/>
    <s v=""/>
    <x v="205"/>
    <s v=""/>
    <x v="226"/>
    <s v=""/>
    <d v="2026-04-24T00:00:00"/>
    <n v="50"/>
    <s v=""/>
    <s v=""/>
    <s v=""/>
    <s v=""/>
    <n v="1"/>
  </r>
  <r>
    <x v="1"/>
    <n v="1079"/>
    <m/>
    <n v="3501"/>
    <s v="(09/04/2026) Prospecção , buscando contato para conexão e apresentação das soluções ERP e Força de vendas"/>
    <s v=""/>
    <x v="565"/>
    <n v="48260432000168"/>
    <s v=""/>
    <s v="EDUARDO MARINO COELHO"/>
    <s v=""/>
    <s v=""/>
    <s v=""/>
    <s v=""/>
    <s v=""/>
    <s v=""/>
    <s v=""/>
    <s v=""/>
    <s v="Base de empresas Leads2b"/>
    <s v=""/>
    <s v=""/>
    <s v=""/>
    <s v="Pipeline de Vendas"/>
    <s v="Qualificação de Vendas (SQL) (25%)"/>
    <s v=""/>
    <m/>
    <m/>
    <m/>
    <n v="41"/>
    <s v="Junior Lopes"/>
    <d v="2026-04-09T00:00:00"/>
    <d v="1899-12-30T09:22:10"/>
    <s v=""/>
    <s v="Ativo"/>
    <m/>
    <m/>
    <s v=""/>
    <s v=""/>
    <s v=""/>
    <x v="0"/>
    <s v=""/>
    <x v="0"/>
    <s v=""/>
    <d v="2026-05-06T00:00:00"/>
    <n v="30"/>
    <s v=""/>
    <s v=""/>
    <s v=""/>
    <s v=""/>
    <n v="1"/>
  </r>
  <r>
    <x v="1"/>
    <n v="1080"/>
    <m/>
    <n v="3502"/>
    <s v="(09/04/2026) Em contato com Jaison (TI) _x000a_09:49, 09/04/2026 Junior Lopes: Olá Jaison ! Bom dia meu amigo ! _x000a_Junior da Guarani sistemas por aqui_x000a_09:49, 09/04/2026 Junior Lopes: Há um tempo fizemos uma apresentação da solução de força de vendas para a Unitermi e fiquei curioso para saber como vocês estão hoje com esse tipo de solução._x000a_Estão utilizando alguma ferramenta atualmente?_x000a_Vejo que ainda podemos ajudar bastante na organização dos pedidos, acompanhamento da equipe de vendas em campo e melhoria dos resultados. Se fizer sentido, posso agendar uma conversa rápida para entendermos o momento de vocês e mostrar como podemos apoiar._x000a_Contato com Danieli (Comercial)_x000a_09:51, 09/04/2026 Junior Lopes: Olá Danieli , bom dia _x000a_Junior da Guarani sistemas por aqui ! Td bem ?_x000a_09:52, 09/04/2026 Junior Lopes: Alguns meses atrás apresentei nossa solução de força de vendas para a Unitermi e fiquei pensando em como está hoje o processo comercial de vocês: pedidos, roteiros, acompanhamento da equipe externa etc._x000a_Vocês já estão com alguma solução implantada ou ainda avaliam opções?_x000a_10:12, 09/04/2026 Unitermi Danieli: Jaison Unitermi TI_x000a_10:12, 09/04/2026 Unitermi Danieli: Bom dia_x000a_10:12, 09/04/2026 Unitermi Danieli: Favor contatar o responsável da Ti_x000a_10:12, 09/04/2026 Unitermi Danieli: Obrigada"/>
    <s v=""/>
    <x v="566"/>
    <n v="19398581000190"/>
    <s v=""/>
    <s v="Unitermi indústria"/>
    <s v="48988044437"/>
    <s v=""/>
    <s v="sup.comercial@unitermi.com.br"/>
    <s v=""/>
    <s v=""/>
    <s v=""/>
    <s v="PAULO LOPES"/>
    <s v="SC"/>
    <s v=""/>
    <s v=""/>
    <s v=""/>
    <s v=""/>
    <s v="Pipeline de Vendas"/>
    <s v="Qualificação de Vendas (SQL) (25%)"/>
    <s v=""/>
    <m/>
    <m/>
    <m/>
    <n v="41"/>
    <s v="Junior Lopes"/>
    <d v="2026-04-09T00:00:00"/>
    <d v="1899-12-30T10:11:00"/>
    <s v=""/>
    <s v="Ativo"/>
    <m/>
    <m/>
    <s v=""/>
    <s v=""/>
    <s v=""/>
    <x v="0"/>
    <s v=""/>
    <x v="0"/>
    <s v=""/>
    <d v="2026-05-06T00:00:00"/>
    <n v="30"/>
    <s v=""/>
    <s v=""/>
    <s v=""/>
    <s v=""/>
    <n v="1"/>
  </r>
  <r>
    <x v="1"/>
    <n v="1081"/>
    <m/>
    <n v="3504"/>
    <s v="(09/04/2026) em contato com Daniel _x000a_10:38, 09/04/2026 Junior Lopes: Olá Daniel ! Bom dia , Júnior Lopes da Guarani sistemas por aqui_x000a_10:38, 09/04/2026 Junior Lopes: Algum tempo atrás apresentei nossa solução de força de vendas para Martiplast e fiquei pensando em como está o processo comercial de vocês ?_x000a_10:38, 09/04/2026 Junior Lopes: Que tal rever nossas soluções?"/>
    <s v="Martiplast Industria E Comercio De Plasticos Ltda"/>
    <x v="567"/>
    <n v="73445454000654"/>
    <s v=""/>
    <s v="Martiplast Industria E Comercio De Plasticos Ltda"/>
    <s v="(54) 2101-9090"/>
    <s v=""/>
    <s v="diego.borges@martiplast.com.br"/>
    <s v=""/>
    <s v=""/>
    <s v=""/>
    <s v="SAO PAULO"/>
    <s v="SP"/>
    <s v="Base de empresas Leads2b"/>
    <s v=""/>
    <s v=""/>
    <s v=""/>
    <s v="Pipeline de Vendas"/>
    <s v="Qualificação de Vendas (SQL) (25%)"/>
    <s v=""/>
    <m/>
    <m/>
    <m/>
    <n v="41"/>
    <s v="Junior Lopes"/>
    <d v="2026-04-09T00:00:00"/>
    <d v="1899-12-30T10:44:36"/>
    <s v=""/>
    <s v="Ativo"/>
    <m/>
    <m/>
    <s v=""/>
    <s v=""/>
    <s v=""/>
    <x v="0"/>
    <s v=""/>
    <x v="0"/>
    <s v=""/>
    <d v="2026-05-06T00:00:00"/>
    <n v="30"/>
    <s v=""/>
    <s v=""/>
    <s v=""/>
    <s v=""/>
    <n v="1"/>
  </r>
  <r>
    <x v="2"/>
    <n v="1082"/>
    <m/>
    <n v="3488"/>
    <s v="10.04 Liguei ficou na caixa postal _x000a_Bom dia Vidal, tudo bem?_x000a_meu nome é Rayssa, sou da Guarani Sistemas. _x000a_Tentei contato com você para falarmos das soluções de software para sua empresa. _x000a_Qual melhor horario para te retornar?_x000a_23.04Bom dia Vidal, como vai?_x000a_Estou tentando contato com você para entender sua solicitação para conhecer nossos sistemas._x000a_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_x000a_Vou deixar uma apresentação de nossa empresa e quando tiver um tempo disponivel por retornar o contato"/>
    <s v=""/>
    <x v="568"/>
    <m/>
    <s v=""/>
    <s v="Vidal"/>
    <s v="51981230645"/>
    <s v=""/>
    <s v="g.vidal0220@gmail.com"/>
    <s v=""/>
    <s v=""/>
    <s v=""/>
    <s v=""/>
    <s v=""/>
    <s v="Campanha"/>
    <s v=""/>
    <s v=""/>
    <s v="Fora Perfil;Instagram"/>
    <s v="Pipeline de Vendas"/>
    <s v="Agendamento (0%)"/>
    <s v=""/>
    <d v="2026-04-30T00:00:00"/>
    <m/>
    <m/>
    <n v="29"/>
    <s v="Paulo Souza"/>
    <d v="2026-04-10T00:00:00"/>
    <d v="1899-12-30T08:45:52"/>
    <s v=""/>
    <s v="Perdido"/>
    <d v="2026-05-09T00:00:00"/>
    <d v="1899-12-30T08:38:47"/>
    <s v="Sem qualificação — contato não atende ligações nem responde msg"/>
    <s v=""/>
    <s v=""/>
    <x v="0"/>
    <s v="Rayssa Karapeticov"/>
    <x v="0"/>
    <s v=""/>
    <d v="2026-04-23T00:00:00"/>
    <n v="28"/>
    <s v=""/>
    <s v=""/>
    <s v=""/>
    <s v=""/>
    <n v="1"/>
  </r>
  <r>
    <x v="1"/>
    <n v="1083"/>
    <m/>
    <n v="3491"/>
    <s v="(10/04/2026) Buscando contato com Belmar"/>
    <s v=""/>
    <x v="569"/>
    <n v="91241034000123"/>
    <s v=""/>
    <s v="METALÚRGICA VALENTINI LTDA"/>
    <s v="(54) 3321-5204 / (54) 3321-5204"/>
    <s v=""/>
    <s v="metalvalentini@gmail.com"/>
    <s v=""/>
    <s v=""/>
    <s v=""/>
    <s v="ERECHIM"/>
    <s v="RS"/>
    <s v="Campanha"/>
    <s v=""/>
    <s v=""/>
    <s v="Fora Perfil;Instagram"/>
    <s v="Pipeline de Vendas"/>
    <s v="Agendamento (0%)"/>
    <s v=""/>
    <m/>
    <m/>
    <m/>
    <n v="29"/>
    <s v="Paulo Souza"/>
    <d v="2026-04-10T00:00:00"/>
    <d v="1899-12-30T08:47:32"/>
    <s v=""/>
    <s v="Perdido"/>
    <d v="2026-05-09T00:00:00"/>
    <d v="1899-12-30T08:40:51"/>
    <s v="Sem qualificação — contato não atende ligações nem responde msg"/>
    <s v=""/>
    <s v=""/>
    <x v="0"/>
    <s v="Junior Lopes"/>
    <x v="0"/>
    <s v=""/>
    <m/>
    <n v="30"/>
    <s v=""/>
    <s v=""/>
    <s v=""/>
    <s v=""/>
    <n v="1"/>
  </r>
  <r>
    <x v="1"/>
    <n v="1084"/>
    <m/>
    <n v="3492"/>
    <s v="(10/04/2026) em contato com Danyllo buscando agenda para um bate papo"/>
    <s v=""/>
    <x v="570"/>
    <m/>
    <s v=""/>
    <s v="Camelo distribuidora"/>
    <s v="62991773767"/>
    <s v=""/>
    <s v="danyllogac@hotmail.com"/>
    <s v=""/>
    <s v=""/>
    <s v=""/>
    <s v=""/>
    <s v=""/>
    <s v="Campanha"/>
    <s v=""/>
    <s v=""/>
    <s v="Dentro Perfil;Instagram"/>
    <s v="Pipeline de Vendas"/>
    <s v="Qualificação de Vendas (SQL) (25%)"/>
    <s v=""/>
    <m/>
    <m/>
    <m/>
    <n v="40"/>
    <s v="Paulo Souza"/>
    <d v="2026-04-10T00:00:00"/>
    <d v="1899-12-30T08:49:10"/>
    <s v=""/>
    <s v="Ativo"/>
    <m/>
    <m/>
    <s v=""/>
    <s v=""/>
    <s v=""/>
    <x v="0"/>
    <s v="Junior Lopes"/>
    <x v="0"/>
    <s v=""/>
    <m/>
    <n v="29"/>
    <s v=""/>
    <s v=""/>
    <s v=""/>
    <s v=""/>
    <n v="1"/>
  </r>
  <r>
    <x v="2"/>
    <n v="1085"/>
    <m/>
    <n v="3494"/>
    <s v=""/>
    <s v=""/>
    <x v="571"/>
    <n v="21233195000190"/>
    <s v=""/>
    <s v="Cleber vieira teles"/>
    <s v="(15) 9800-0087"/>
    <s v=""/>
    <s v="vieira_teles@hotmail.com"/>
    <s v=""/>
    <s v=""/>
    <s v=""/>
    <s v="PORTO FELIZ"/>
    <s v="SP"/>
    <s v="Campanha"/>
    <s v=""/>
    <s v=""/>
    <s v="Fora Perfil;Instagram"/>
    <s v="Pipeline de Vendas"/>
    <s v="Agendamento (0%)"/>
    <s v=""/>
    <d v="2026-04-30T00:00:00"/>
    <m/>
    <m/>
    <n v="13"/>
    <s v="Paulo Souza"/>
    <d v="2026-04-10T00:00:00"/>
    <d v="1899-12-30T08:50:25"/>
    <s v=""/>
    <s v="Perdido"/>
    <d v="2026-04-23T00:00:00"/>
    <d v="1899-12-30T11:03:07"/>
    <s v="Fora do porte mínimo (sem fit estrutural)"/>
    <s v=""/>
    <s v=""/>
    <x v="0"/>
    <s v="Rayssa Karapeticov"/>
    <x v="0"/>
    <s v=""/>
    <d v="2026-04-23T00:00:00"/>
    <n v="30"/>
    <s v=""/>
    <s v=""/>
    <s v=""/>
    <s v=""/>
    <n v="1"/>
  </r>
  <r>
    <x v="2"/>
    <n v="1086"/>
    <m/>
    <n v="3496"/>
    <s v="Todos os dados preenchidos:_x000a_empresa: Grupo Marcamix _x000a_name: Ismael Ramos _x000a_cargo: Analista de Sistemas _x000a_whatsapp: 11960590527 _x000a_email: suporte@marcamix.com.br"/>
    <s v=""/>
    <x v="572"/>
    <n v="3634113000137"/>
    <s v=""/>
    <s v="Ismael Ramos"/>
    <s v=""/>
    <s v=""/>
    <s v="suporte@marcamix.com.br"/>
    <s v=""/>
    <s v=""/>
    <s v=""/>
    <s v="Ribeirão Preto"/>
    <s v=""/>
    <s v="Inbound"/>
    <s v=""/>
    <s v=""/>
    <s v="comex"/>
    <s v="Pipeline de Vendas"/>
    <s v="Em negociação (75%)"/>
    <s v=""/>
    <d v="2026-04-10T00:00:00"/>
    <n v="6000"/>
    <n v="2000"/>
    <n v="40"/>
    <s v="Paulo Souza"/>
    <d v="2026-04-10T00:00:00"/>
    <d v="1899-12-30T08:52:00"/>
    <s v=""/>
    <s v="Ativo"/>
    <m/>
    <m/>
    <s v=""/>
    <s v=""/>
    <s v=""/>
    <x v="206"/>
    <s v="Rayssa Karapeticov"/>
    <x v="227"/>
    <s v=""/>
    <d v="2026-05-13T00:00:00"/>
    <n v="30"/>
    <s v=""/>
    <s v=""/>
    <s v=""/>
    <s v=""/>
    <n v="1"/>
  </r>
  <r>
    <x v="0"/>
    <n v="1087"/>
    <m/>
    <n v="3495"/>
    <s v=""/>
    <s v=""/>
    <x v="573"/>
    <m/>
    <s v=""/>
    <s v="Romulo"/>
    <s v="8191451469"/>
    <s v=""/>
    <s v="romulomelo2009@gmai.com"/>
    <s v=""/>
    <s v=""/>
    <s v=""/>
    <s v=""/>
    <s v=""/>
    <s v="Campanha"/>
    <s v=""/>
    <s v=""/>
    <s v="Fora Perfil;Instagram"/>
    <s v="Pipeline de Vendas"/>
    <s v="Agendamento (0%)"/>
    <s v=""/>
    <d v="2026-04-30T00:00:00"/>
    <m/>
    <m/>
    <n v="0"/>
    <s v="Paulo Souza"/>
    <d v="2026-04-10T00:00:00"/>
    <d v="1899-12-30T08:53:42"/>
    <s v=""/>
    <s v="Perdido"/>
    <d v="2026-04-10T00:00:00"/>
    <d v="1899-12-30T14:08:40"/>
    <s v="Preço muito alto - fora do budget de investimento"/>
    <s v=""/>
    <s v=""/>
    <x v="0"/>
    <s v="Paulo Souza"/>
    <x v="0"/>
    <s v=""/>
    <m/>
    <n v="30"/>
    <s v=""/>
    <s v=""/>
    <s v=""/>
    <s v=""/>
    <n v="1"/>
  </r>
  <r>
    <x v="0"/>
    <n v="1088"/>
    <m/>
    <n v="3498"/>
    <s v=""/>
    <s v=""/>
    <x v="574"/>
    <m/>
    <s v=""/>
    <s v="JH Navegação e Logística Ltda"/>
    <s v="92991313828"/>
    <s v=""/>
    <s v="hayliebarbosa1@gmail.com"/>
    <s v=""/>
    <s v=""/>
    <s v=""/>
    <s v=""/>
    <s v=""/>
    <s v="Campanha"/>
    <s v=""/>
    <s v=""/>
    <s v="Fora Perfil;Instagram"/>
    <s v="Pipeline de Vendas"/>
    <s v="Agendamento (0%)"/>
    <s v=""/>
    <m/>
    <m/>
    <m/>
    <n v="29"/>
    <s v="Paulo Souza"/>
    <d v="2026-04-10T00:00:00"/>
    <d v="1899-12-30T08:54:24"/>
    <s v=""/>
    <s v="Perdido"/>
    <d v="2026-05-09T00:00:00"/>
    <d v="1899-12-30T08:41:27"/>
    <s v="Fora do segmento atendido"/>
    <s v=""/>
    <s v=""/>
    <x v="0"/>
    <s v="Paulo Souza"/>
    <x v="0"/>
    <s v=""/>
    <m/>
    <n v="30"/>
    <s v=""/>
    <s v=""/>
    <s v=""/>
    <s v=""/>
    <n v="1"/>
  </r>
  <r>
    <x v="1"/>
    <n v="1089"/>
    <m/>
    <n v="3509"/>
    <s v=""/>
    <s v=""/>
    <x v="575"/>
    <n v="3654966000130"/>
    <s v=""/>
    <s v="Marlim Azul Turismo"/>
    <s v="27999346494"/>
    <s v=""/>
    <s v="heber@marlimazulturismo.com.br"/>
    <s v=""/>
    <s v=""/>
    <s v=""/>
    <s v=""/>
    <s v="Serra ES"/>
    <s v="Inbound"/>
    <s v=""/>
    <s v=""/>
    <s v="Fora Perfil;Instagram"/>
    <s v="Pipeline de Vendas"/>
    <s v="Agendamento (0%)"/>
    <s v=""/>
    <m/>
    <m/>
    <m/>
    <n v="0"/>
    <s v="Paulo Souza"/>
    <d v="2026-04-10T00:00:00"/>
    <d v="1899-12-30T08:55:19"/>
    <s v=""/>
    <s v="Perdido"/>
    <d v="2026-04-10T00:00:00"/>
    <d v="1899-12-30T10:24:21"/>
    <s v="Fora do porte mínimo (sem fit estrutural)"/>
    <s v="empresa fora do perfil"/>
    <s v=""/>
    <x v="0"/>
    <s v="Junior Lopes"/>
    <x v="0"/>
    <s v=""/>
    <m/>
    <n v="30"/>
    <s v=""/>
    <s v=""/>
    <s v=""/>
    <s v=""/>
    <n v="1"/>
  </r>
  <r>
    <x v="2"/>
    <n v="1090"/>
    <m/>
    <n v="3508"/>
    <s v="10.04 - Caixa postal _x000a_Bom dia Claudio , como vai?_x000a_Meu nome é Rayssa, sou da Guarani Sistemas. _x000a_Tentei contato com você para falarmos de sua necessidade de implantação de um novo software para sua empresa._x000a_Qual melhor horario para te retornar?"/>
    <s v=""/>
    <x v="576"/>
    <m/>
    <s v=""/>
    <s v="Mercado do bairro"/>
    <s v="11949454465"/>
    <s v=""/>
    <s v="mercadobairro11@gmail.com"/>
    <s v=""/>
    <s v=""/>
    <s v=""/>
    <s v=""/>
    <s v=""/>
    <s v="Campanha"/>
    <s v=""/>
    <s v=""/>
    <s v="Fora Perfil;Instagram"/>
    <s v="Pipeline de Vendas"/>
    <s v="Agendamento (0%)"/>
    <s v=""/>
    <d v="2026-04-30T00:00:00"/>
    <m/>
    <m/>
    <n v="0"/>
    <s v="Paulo Souza"/>
    <d v="2026-04-10T00:00:00"/>
    <d v="1899-12-30T08:56:18"/>
    <s v=""/>
    <s v="Perdido"/>
    <d v="2026-04-10T00:00:00"/>
    <d v="1899-12-30T10:43:18"/>
    <s v="Fora do porte mínimo (sem fit estrutural)"/>
    <s v="mercado"/>
    <s v=""/>
    <x v="0"/>
    <s v="Rayssa Karapeticov"/>
    <x v="0"/>
    <s v=""/>
    <m/>
    <n v="30"/>
    <s v=""/>
    <s v=""/>
    <s v=""/>
    <s v=""/>
    <n v="1"/>
  </r>
  <r>
    <x v="1"/>
    <n v="1091"/>
    <m/>
    <n v="3507"/>
    <s v="(10/04/2026) em contato com Guri a fim de entender melhor suas necessidades"/>
    <s v=""/>
    <x v="577"/>
    <m/>
    <s v=""/>
    <s v="Guri cervejaria"/>
    <s v="54996551297"/>
    <s v=""/>
    <s v="cervejariaguri@hotmail.com"/>
    <s v=""/>
    <s v=""/>
    <s v=""/>
    <s v=""/>
    <s v=""/>
    <s v="Campanha"/>
    <s v=""/>
    <s v=""/>
    <s v="Fora Perfil;Instagram"/>
    <s v="Pipeline de Vendas"/>
    <s v="Qualificação de Vendas (SQL) (25%)"/>
    <s v=""/>
    <d v="2026-04-30T00:00:00"/>
    <m/>
    <m/>
    <n v="0"/>
    <s v="Paulo Souza"/>
    <d v="2026-04-10T00:00:00"/>
    <d v="1899-12-30T08:57:15"/>
    <s v=""/>
    <s v="Perdido"/>
    <d v="2026-04-10T00:00:00"/>
    <d v="1899-12-30T10:26:02"/>
    <s v="Fora do porte mínimo (sem fit estrutural)"/>
    <s v="Guri cervejaria é basicamente um bar e entretenimento com quadras de futebol, fora do perfil"/>
    <s v=""/>
    <x v="0"/>
    <s v="Junior Lopes"/>
    <x v="0"/>
    <s v=""/>
    <m/>
    <n v="30"/>
    <s v=""/>
    <s v=""/>
    <s v=""/>
    <s v=""/>
    <n v="1"/>
  </r>
  <r>
    <x v="2"/>
    <n v="1092"/>
    <m/>
    <n v="3506"/>
    <s v="28.04 Boa tarde Paulo, como vai?_x000a_Meu nome é Rayssa, sou da Guarani Sistemas, e falei com você uns dias atrás para entender sua necessidade de implantação de um novo software, porém, não consegui mais falar com você._x000a_Ainda está em busca de uma solução tecnologica para a empresa?"/>
    <s v=""/>
    <x v="578"/>
    <n v="34731194000117"/>
    <s v=""/>
    <s v="UP"/>
    <s v="(11) 4199-5100"/>
    <s v=""/>
    <s v="financeiro@up-ib.com.br"/>
    <s v=""/>
    <s v=""/>
    <s v=""/>
    <s v="ARACARIGUAMA"/>
    <s v="SP"/>
    <s v="Inbound"/>
    <s v=""/>
    <s v=""/>
    <s v="Dentro Perfil;Instagram"/>
    <s v="Pipeline de Vendas"/>
    <s v="Apresentar Solução (35%)"/>
    <s v=""/>
    <d v="2026-06-30T00:00:00"/>
    <m/>
    <m/>
    <n v="39"/>
    <s v="Paulo Souza"/>
    <d v="2026-04-10T00:00:00"/>
    <d v="1899-12-30T08:58:12"/>
    <s v=""/>
    <s v="Perdido"/>
    <d v="2026-05-19T00:00:00"/>
    <d v="1899-12-30T11:26:52"/>
    <s v="Projeto adiado / sem prazo definido"/>
    <s v=""/>
    <s v=""/>
    <x v="0"/>
    <s v="Rayssa Karapeticov"/>
    <x v="0"/>
    <s v=""/>
    <d v="2026-05-19T00:00:00"/>
    <n v="30"/>
    <s v=""/>
    <s v=""/>
    <s v=""/>
    <s v=""/>
    <n v="1"/>
  </r>
  <r>
    <x v="2"/>
    <n v="1093"/>
    <m/>
    <n v="3487"/>
    <s v=""/>
    <s v=""/>
    <x v="579"/>
    <n v="9313543000133"/>
    <s v=""/>
    <s v="Aucione Lima da Silva"/>
    <s v="(11) 94035-6615"/>
    <s v=""/>
    <s v="contato@raryplast.com.br"/>
    <s v=""/>
    <s v=""/>
    <s v=""/>
    <s v="Tatuí"/>
    <s v=""/>
    <s v="Site"/>
    <s v=""/>
    <s v=""/>
    <s v="Contato"/>
    <s v="Pipeline de Vendas"/>
    <s v="Agendamento (0%)"/>
    <s v=""/>
    <d v="2026-08-31T00:00:00"/>
    <m/>
    <m/>
    <n v="12"/>
    <s v="Paulo Souza"/>
    <d v="2026-04-10T00:00:00"/>
    <d v="1899-12-30T09:00:23"/>
    <s v=""/>
    <s v="Perdido"/>
    <d v="2026-04-22T00:00:00"/>
    <d v="1899-12-30T17:04:29"/>
    <s v="Não quer mudar a solução atual"/>
    <s v=""/>
    <s v=""/>
    <x v="0"/>
    <s v="Rayssa Karapeticov"/>
    <x v="0"/>
    <s v=""/>
    <d v="2026-04-22T00:00:00"/>
    <n v="30"/>
    <s v=""/>
    <s v=""/>
    <s v=""/>
    <s v=""/>
    <n v="1"/>
  </r>
  <r>
    <x v="0"/>
    <n v="1094"/>
    <m/>
    <n v="3499"/>
    <s v=""/>
    <s v=""/>
    <x v="580"/>
    <m/>
    <s v=""/>
    <s v="Adovanio"/>
    <s v="11947878080"/>
    <s v=""/>
    <s v="cptavaresrepresenta@gmail.com"/>
    <s v=""/>
    <s v=""/>
    <s v=""/>
    <s v=""/>
    <s v=""/>
    <s v="Campanha"/>
    <s v=""/>
    <s v=""/>
    <s v="Dentro Perfil;Instagram"/>
    <s v="Pipeline de Vendas"/>
    <s v="Agendamento (0%)"/>
    <s v=""/>
    <d v="2026-04-30T00:00:00"/>
    <m/>
    <m/>
    <n v="29"/>
    <s v="Paulo Souza"/>
    <d v="2026-04-10T00:00:00"/>
    <d v="1899-12-30T09:01:47"/>
    <s v=""/>
    <s v="Perdido"/>
    <d v="2026-05-09T00:00:00"/>
    <d v="1899-12-30T08:42:12"/>
    <s v="Sem qualificação — contato não atende ligações nem responde msg"/>
    <s v=""/>
    <s v=""/>
    <x v="0"/>
    <s v="Paulo Souza"/>
    <x v="0"/>
    <s v=""/>
    <m/>
    <n v="30"/>
    <s v=""/>
    <s v=""/>
    <s v=""/>
    <s v=""/>
    <n v="1"/>
  </r>
  <r>
    <x v="1"/>
    <n v="1095"/>
    <m/>
    <n v="3489"/>
    <s v="(10/04/2026) Buscando contato com Andrea"/>
    <s v=""/>
    <x v="581"/>
    <n v="18564850000188"/>
    <s v=""/>
    <s v="Gerente Produção"/>
    <s v="(47) 99633-0990"/>
    <s v=""/>
    <s v="gerenteproducaosimas@gmail.com"/>
    <s v=""/>
    <s v=""/>
    <s v=""/>
    <s v="ITAJAI"/>
    <s v="SC"/>
    <s v="Site"/>
    <s v=""/>
    <s v=""/>
    <s v="Solicita demo"/>
    <s v="Pipeline de Vendas"/>
    <s v="Em negociação (75%)"/>
    <s v=""/>
    <d v="2026-04-30T00:00:00"/>
    <n v="16960"/>
    <n v="1150"/>
    <n v="40"/>
    <s v="Paulo Souza"/>
    <d v="2026-04-10T00:00:00"/>
    <d v="1899-12-30T09:02:55"/>
    <s v=""/>
    <s v="Ativo"/>
    <m/>
    <m/>
    <s v=""/>
    <s v=""/>
    <s v=""/>
    <x v="207"/>
    <s v="Junior Lopes"/>
    <x v="228"/>
    <s v="06/05/2026"/>
    <m/>
    <n v="30"/>
    <s v=""/>
    <s v=""/>
    <s v=""/>
    <s v=""/>
    <n v="1"/>
  </r>
  <r>
    <x v="0"/>
    <n v="1096"/>
    <m/>
    <n v="3513"/>
    <s v=""/>
    <s v=""/>
    <x v="582"/>
    <m/>
    <s v=""/>
    <s v="Silvia"/>
    <s v="11996146290"/>
    <s v=""/>
    <s v="null"/>
    <s v=""/>
    <s v=""/>
    <s v=""/>
    <s v=""/>
    <s v=""/>
    <s v=""/>
    <s v=""/>
    <s v=""/>
    <s v=""/>
    <s v="Pipeline de Vendas"/>
    <s v="Em negociação (75%)"/>
    <s v=""/>
    <m/>
    <n v="26350"/>
    <n v="3450"/>
    <n v="38"/>
    <s v="Paulo Souza"/>
    <d v="2026-04-10T00:00:00"/>
    <d v="1899-12-30T09:15:28"/>
    <s v=""/>
    <s v="Perdido"/>
    <d v="2026-05-18T00:00:00"/>
    <d v="1899-12-30T17:01:15"/>
    <s v="Preço muito alto - fora do budget de investimento"/>
    <s v=""/>
    <s v=""/>
    <x v="0"/>
    <s v="Paulo Souza"/>
    <x v="0"/>
    <s v=""/>
    <d v="2026-04-20T00:00:00"/>
    <n v="30"/>
    <s v=""/>
    <s v=""/>
    <s v=""/>
    <s v=""/>
    <n v="1"/>
  </r>
  <r>
    <x v="2"/>
    <n v="1097"/>
    <m/>
    <n v="3514"/>
    <s v=""/>
    <s v="Green Flower Comercio, Importacao E Exportacao Ltda"/>
    <x v="583"/>
    <n v="7382350000109"/>
    <s v=""/>
    <s v="Green Flower Comercio, Importacao E Exportacao Ltda"/>
    <s v="(11) 4395-7650"/>
    <s v=""/>
    <s v="contato@acrosscontabil.com.br"/>
    <s v=""/>
    <s v=""/>
    <s v=""/>
    <s v="SAO PAULO"/>
    <s v="SP"/>
    <s v="Base de empresas Leads2b"/>
    <s v=""/>
    <s v=""/>
    <s v=""/>
    <s v="Pipeline de Vendas"/>
    <s v="Qualificação de Vendas (SQL) (25%)"/>
    <s v=""/>
    <m/>
    <m/>
    <m/>
    <n v="40"/>
    <s v="Rayssa Karapeticov"/>
    <d v="2026-04-10T00:00:00"/>
    <d v="1899-12-30T15:04:34"/>
    <s v=""/>
    <s v="Ativo"/>
    <m/>
    <m/>
    <s v=""/>
    <s v=""/>
    <s v=""/>
    <x v="0"/>
    <s v="Rayssa Karapeticov"/>
    <x v="0"/>
    <s v=""/>
    <d v="2026-05-07T00:00:00"/>
    <n v="30"/>
    <s v=""/>
    <s v=""/>
    <s v=""/>
    <s v=""/>
    <n v="1"/>
  </r>
  <r>
    <x v="2"/>
    <n v="1098"/>
    <m/>
    <n v="3516"/>
    <s v=""/>
    <s v="Santorini Atacadista Ltda"/>
    <x v="584"/>
    <n v="34355470000190"/>
    <s v=""/>
    <s v="Santorini Atacadista Ltda"/>
    <s v="(11) 8284-9672"/>
    <s v=""/>
    <s v="maluciarezende@gmail.com"/>
    <s v=""/>
    <s v=""/>
    <s v=""/>
    <s v="SAO PAULO"/>
    <s v="SP"/>
    <s v="Base de empresas Leads2b"/>
    <s v=""/>
    <s v=""/>
    <s v=""/>
    <s v="Pipeline de Vendas"/>
    <s v="Agendamento (0%)"/>
    <s v=""/>
    <m/>
    <m/>
    <m/>
    <n v="0"/>
    <s v="Rayssa Karapeticov"/>
    <d v="2026-04-10T00:00:00"/>
    <d v="1899-12-30T15:47:11"/>
    <s v=""/>
    <s v="Perdido"/>
    <d v="2026-04-10T00:00:00"/>
    <d v="1899-12-30T15:48:31"/>
    <s v="Fora do porte mínimo (sem fit estrutural)"/>
    <s v=""/>
    <s v=""/>
    <x v="0"/>
    <s v="Rayssa Karapeticov"/>
    <x v="0"/>
    <s v=""/>
    <m/>
    <n v="30"/>
    <s v=""/>
    <s v=""/>
    <s v=""/>
    <s v=""/>
    <n v="1"/>
  </r>
  <r>
    <x v="2"/>
    <n v="1099"/>
    <m/>
    <n v="3518"/>
    <s v=""/>
    <s v="Mabel Comercio De Importados Ltda"/>
    <x v="585"/>
    <n v="527682000195"/>
    <s v=""/>
    <s v="Mabel Comercio De Importados Ltda"/>
    <s v="(11) 3315-0052"/>
    <s v=""/>
    <s v="deptofiscal@mabelimport.com.br"/>
    <s v=""/>
    <s v=""/>
    <s v=""/>
    <s v="SOROCABA"/>
    <s v="SP"/>
    <s v="Base de empresas Leads2b"/>
    <s v=""/>
    <s v=""/>
    <s v=""/>
    <s v="Pipeline de Vendas"/>
    <s v="Qualificação de Vendas (SQL) (25%)"/>
    <s v=""/>
    <m/>
    <m/>
    <m/>
    <n v="27"/>
    <s v="Rayssa Karapeticov"/>
    <d v="2026-04-10T00:00:00"/>
    <d v="1899-12-30T17:12:21"/>
    <s v=""/>
    <s v="Perdido"/>
    <d v="2026-05-07T00:00:00"/>
    <d v="1899-12-30T10:09:44"/>
    <s v="Projeto adiado / sem prazo definido"/>
    <s v=""/>
    <s v=""/>
    <x v="0"/>
    <s v="Rayssa Karapeticov"/>
    <x v="0"/>
    <s v=""/>
    <m/>
    <n v="28"/>
    <s v=""/>
    <s v=""/>
    <s v=""/>
    <s v=""/>
    <n v="1"/>
  </r>
  <r>
    <x v="2"/>
    <n v="1100"/>
    <m/>
    <n v="3522"/>
    <s v=""/>
    <s v="U4 Home Artigos Domesticos Ltda"/>
    <x v="586"/>
    <n v="28516601000170"/>
    <s v=""/>
    <s v="U4 Home Artigos Domesticos Ltda"/>
    <s v="(13) 3303-9200"/>
    <s v=""/>
    <s v="financeiro@u4home.com.br"/>
    <s v=""/>
    <s v=""/>
    <s v=""/>
    <s v="ITANHAEM"/>
    <s v="SP"/>
    <s v="Base de empresas Leads2b"/>
    <s v=""/>
    <s v=""/>
    <s v=""/>
    <s v="Pipeline de Vendas"/>
    <s v="Qualificação de Vendas (SQL) (25%)"/>
    <s v=""/>
    <m/>
    <m/>
    <m/>
    <n v="40"/>
    <s v="Rayssa Karapeticov"/>
    <d v="2026-04-10T00:00:00"/>
    <d v="1899-12-30T17:23:16"/>
    <s v=""/>
    <s v="Ativo"/>
    <m/>
    <m/>
    <s v=""/>
    <s v=""/>
    <s v=""/>
    <x v="0"/>
    <s v="Rayssa Karapeticov"/>
    <x v="0"/>
    <s v=""/>
    <m/>
    <n v="30"/>
    <s v=""/>
    <s v=""/>
    <s v=""/>
    <s v=""/>
    <n v="1"/>
  </r>
  <r>
    <x v="2"/>
    <n v="1101"/>
    <m/>
    <n v="3530"/>
    <s v="16.14 - apresentação realizada"/>
    <s v="Ns Iguacu Eletronicos Ltda"/>
    <x v="587"/>
    <n v="12259254000108"/>
    <s v=""/>
    <s v="Leticia"/>
    <s v="(11) 96978-9804"/>
    <s v=""/>
    <s v="weisc@uol.com.br"/>
    <s v=""/>
    <s v=""/>
    <s v=""/>
    <s v="SAO PAULO"/>
    <s v="SP"/>
    <s v="Base de empresas Leads2b"/>
    <s v=""/>
    <s v=""/>
    <s v=""/>
    <s v="Pipeline de Vendas"/>
    <s v="Apresentar Proposta (50%)"/>
    <s v=""/>
    <d v="2026-07-31T00:00:00"/>
    <m/>
    <m/>
    <n v="37"/>
    <s v="Rayssa Karapeticov"/>
    <d v="2026-04-13T00:00:00"/>
    <d v="1899-12-30T12:31:55"/>
    <s v=""/>
    <s v="Ativo"/>
    <m/>
    <m/>
    <s v=""/>
    <s v=""/>
    <s v=""/>
    <x v="208"/>
    <s v="Rayssa Karapeticov"/>
    <x v="229"/>
    <s v="04/05/2026"/>
    <d v="2026-05-13T00:00:00"/>
    <n v="30"/>
    <s v=""/>
    <s v=""/>
    <s v=""/>
    <s v=""/>
    <n v="1"/>
  </r>
  <r>
    <x v="1"/>
    <n v="1102"/>
    <m/>
    <n v="3533"/>
    <s v="(23/04/2026) em ligação _x000a_adicionou meu numero de WhatsApp para enviar ao gerente comercial _x000a_10:49, 23/04/2026 Amanda Etilux Oliveira: Bom dia, tudo bem ?_x000a_10:50, 23/04/2026 Amanda Etilux Oliveira: Amanda da Etilux_x000a_10:50, 23/04/2026 Junior Lopes: Olá Amanda, bom dia! Tudo bem por aqui. Como posso te ajudar hoje?_x000a_10:57, 23/04/2026 Junior Lopes: Olá ! Muito obrigado_x000a_10:58, 23/04/2026 Amanda Etilux Oliveira: poderia me explicar de novo, para te encaminhar para o setor responsavel_x000a_10:58, 23/04/2026 Junior Lopes: Td bem Amanda ?_x000a_10:59, 23/04/2026 Amanda Etilux Oliveira: sim_x000a_11:01, 23/04/2026 Junior Lopes: Sou Junior Lopes da Guarani sistemas _x000a_A ideia é apresentar nossa soluções para automação da força de vendas _x000a_Nossa solução pode ajudar seu representante a vender mais com recursos de IA acoplado ao aplicativo, vendas B2B feitas pelo próprio representante/vendedor_x000a_11:01, 23/04/2026 Junior Lopes: A ideia é apresentar essa solução para seu gestor comercial_x000a_11:01, 23/04/2026 Junior Lopes: Acredito que seja o Rodrigo Fritoli_x000a_11:03, 23/04/2026 Amanda Etilux Oliveira: Sobre sistemas pode mandar e-mail ewerton.dias@etilux.com.br_x000a_11:04, 23/04/2026 Junior Lopes: Ta joia ! Vou enviar para Ewerton_x000a_11:04, 23/04/2026 Junior Lopes: Acredito que seja o Rodrigo Fritoli_x000a_Vc consegue me enviar o telefone do Rodrigo?_x000a_11:05, 23/04/2026 Amanda Etilux Oliveira: Consigo te enviar o e-mail _x000a_rodrigo.fritoli@etilux.com.br"/>
    <s v="Etilux Importacao E Distribuicao De Artigos De Cutelaria Ltda"/>
    <x v="588"/>
    <n v="50306471000524"/>
    <s v=""/>
    <s v="Etilux Importacao E Distribuicao De Artigos De Cutelaria Ltda"/>
    <s v="(11) 3227-3263"/>
    <s v=""/>
    <s v="askfiscal@askcontabil.com.br"/>
    <s v=""/>
    <s v=""/>
    <s v=""/>
    <s v="GUARULHOS"/>
    <s v="SP"/>
    <s v="Base de empresas Leads2b"/>
    <s v=""/>
    <s v=""/>
    <s v=""/>
    <s v="Pipeline de Vendas"/>
    <s v="Qualificação de Vendas (SQL) (25%)"/>
    <s v=""/>
    <m/>
    <m/>
    <m/>
    <n v="37"/>
    <s v="Junior Lopes"/>
    <d v="2026-04-13T00:00:00"/>
    <d v="1899-12-30T15:14:42"/>
    <s v=""/>
    <s v="Ativo"/>
    <m/>
    <m/>
    <s v=""/>
    <s v=""/>
    <s v=""/>
    <x v="0"/>
    <s v=""/>
    <x v="0"/>
    <s v=""/>
    <d v="2026-04-23T00:00:00"/>
    <n v="30"/>
    <s v=""/>
    <s v=""/>
    <s v="R$ 0,00"/>
    <s v=""/>
    <n v="1"/>
  </r>
  <r>
    <x v="2"/>
    <n v="1103"/>
    <m/>
    <n v="3534"/>
    <s v="14.04 - em ligação com o cliente, já conhecem o Guarani devido a clientes do mesmo segmento, e já tiveram uma conversa conosco a uns 15 anos atrás e não avançaram devido o valor. Retornou o contato pedindo uma apreentação do sistemas para os funcionários da empresa ainda essa semana, porque o diretor que estara presente viaja na proxima semana"/>
    <s v=""/>
    <x v="589"/>
    <n v="8822792000191"/>
    <s v=""/>
    <s v="Ana Cristina"/>
    <s v="(11) 95126-4832"/>
    <s v=""/>
    <s v="financeiro.sqcomercio@gmail.com"/>
    <s v=""/>
    <s v=""/>
    <s v=""/>
    <s v="SAO PAULO"/>
    <s v="SP"/>
    <s v="Site"/>
    <s v=""/>
    <s v=""/>
    <s v="Dentro Perfil;Solicita demo"/>
    <s v="Pipeline de Vendas"/>
    <s v="Em negociação (75%)"/>
    <s v=""/>
    <d v="2026-09-30T00:00:00"/>
    <n v="85600"/>
    <n v="66847"/>
    <n v="29"/>
    <s v="Paulo Souza"/>
    <d v="2026-04-14T00:00:00"/>
    <d v="1899-12-30T10:03:18"/>
    <s v=""/>
    <s v="Perdido"/>
    <d v="2026-05-13T00:00:00"/>
    <d v="1899-12-30T11:16:02"/>
    <s v="Fechou com o concorrente - funcionaliadade"/>
    <s v=""/>
    <s v=""/>
    <x v="208"/>
    <s v="Rayssa Karapeticov"/>
    <x v="230"/>
    <s v=""/>
    <d v="2026-05-13T00:00:00"/>
    <n v="30"/>
    <s v=""/>
    <s v="ERP, AFV, WMS, COMEX, CLOUD"/>
    <s v=""/>
    <s v=""/>
    <n v="1"/>
  </r>
  <r>
    <x v="2"/>
    <n v="1104"/>
    <m/>
    <n v="3527"/>
    <s v="14.04 Cliente vende auto peças, material de construção e ainda presta serviço. é um logista. _x000a_Fora do perfil"/>
    <s v=""/>
    <x v="590"/>
    <m/>
    <s v=""/>
    <s v="Comblocos Materiais de Construção"/>
    <s v="33988611992"/>
    <s v=""/>
    <s v="ittalo.tim@hotmail.com"/>
    <s v=""/>
    <s v=""/>
    <s v=""/>
    <s v=""/>
    <s v="Vvv"/>
    <s v="Inbound"/>
    <s v=""/>
    <s v=""/>
    <s v="Fora Perfil;Instagram"/>
    <s v="Pipeline de Vendas"/>
    <s v="Agendamento (0%)"/>
    <s v=""/>
    <d v="2026-04-30T00:00:00"/>
    <m/>
    <m/>
    <n v="0"/>
    <s v="Paulo Souza"/>
    <d v="2026-04-14T00:00:00"/>
    <d v="1899-12-30T10:05:58"/>
    <s v=""/>
    <s v="Perdido"/>
    <d v="2026-04-14T00:00:00"/>
    <d v="1899-12-30T10:31:19"/>
    <s v="Fora do porte mínimo (sem fit estrutural)"/>
    <s v=""/>
    <s v=""/>
    <x v="0"/>
    <s v="Rayssa Karapeticov"/>
    <x v="0"/>
    <s v=""/>
    <m/>
    <n v="30"/>
    <s v=""/>
    <s v=""/>
    <s v=""/>
    <s v=""/>
    <n v="1"/>
  </r>
  <r>
    <x v="1"/>
    <n v="1105"/>
    <m/>
    <n v="3524"/>
    <s v="(14/04/2026) em contato com Renan _x000a_10:42, 14/04/2026 Junior Lopes: Olá Renan, bom dia ! tudo bem ?_x000a_10:42, 14/04/2026 Junior Lopes: sou Junior Lopes da Guarani sistemas td bem ?_x000a_10:44, 14/04/2026 +55 66 9647-2785: Bom dia Junior_x000a_10:44, 14/04/2026 +55 66 9647-2785: Tudo bem e contigo?_x000a_10:45, 14/04/2026 Junior Lopes: Opa Td joia ! _x000a_Estou retornando para vc um contato que fez conosco sobre nosso software_x000a_11:03, 14/04/2026 +55 66 9647-2785: Vc tem sistema para materiais para construção_x000a_11:03, 14/04/2026 +55 66 9647-2785: ?_x000a_11:27, 14/04/2026 +55 66 9647-2785: A venda somente interna mesmo_x000a_11:27, 14/04/2026 +55 66 9647-2785: Não tem vendedores externos_x000a_11:36, 14/04/2026 Junior Lopes: Fiz uma análise rápida aqui Renan devido alguns pontos não consigo te atender! Ate pq nossa solução é mais focada em distribuição"/>
    <s v=""/>
    <x v="591"/>
    <m/>
    <s v=""/>
    <s v="Araguaia Materiais Para Construcao"/>
    <s v="66996472785"/>
    <s v=""/>
    <s v="renansimon@gmail.com"/>
    <s v=""/>
    <s v=""/>
    <s v=""/>
    <s v=""/>
    <s v=""/>
    <s v="Campanha"/>
    <s v=""/>
    <s v=""/>
    <s v="Fora Perfil;Instagram"/>
    <s v="Pipeline de Vendas"/>
    <s v="Qualificação de Vendas (SQL) (25%)"/>
    <s v=""/>
    <d v="2026-04-14T00:00:00"/>
    <m/>
    <m/>
    <n v="0"/>
    <s v="Paulo Souza"/>
    <d v="2026-04-14T00:00:00"/>
    <d v="1899-12-30T10:08:51"/>
    <s v=""/>
    <s v="Perdido"/>
    <d v="2026-04-14T00:00:00"/>
    <d v="1899-12-30T11:58:52"/>
    <s v="Fora do porte mínimo (sem fit estrutural)"/>
    <s v="em contato com Renan, precisa de um PDV para loja de material de construção com particularidades de entrega parcial e controle de medidas das para venda de terras e pedras"/>
    <s v=""/>
    <x v="0"/>
    <s v="Junior Lopes"/>
    <x v="0"/>
    <s v=""/>
    <m/>
    <n v="30"/>
    <s v=""/>
    <s v=""/>
    <s v=""/>
    <s v=""/>
    <n v="1"/>
  </r>
  <r>
    <x v="1"/>
    <n v="1106"/>
    <m/>
    <n v="3525"/>
    <s v=""/>
    <s v=""/>
    <x v="592"/>
    <m/>
    <s v=""/>
    <s v="Teodoro cosméticos"/>
    <s v="64999291080"/>
    <s v=""/>
    <s v="rogeriojtigo@hotmail.com"/>
    <s v=""/>
    <s v=""/>
    <s v=""/>
    <s v=""/>
    <s v="Jatai goais"/>
    <s v="Inbound"/>
    <s v=""/>
    <s v=""/>
    <s v="Dentro Perfil;Instagram"/>
    <s v="Pipeline de Vendas"/>
    <s v="Qualificação de Vendas (SQL) (25%)"/>
    <s v=""/>
    <d v="2026-04-14T00:00:00"/>
    <m/>
    <m/>
    <n v="36"/>
    <s v="Paulo Souza"/>
    <d v="2026-04-14T00:00:00"/>
    <d v="1899-12-30T10:09:44"/>
    <s v=""/>
    <s v="Ativo"/>
    <m/>
    <m/>
    <s v=""/>
    <s v=""/>
    <s v=""/>
    <x v="0"/>
    <s v="Junior Lopes"/>
    <x v="0"/>
    <s v=""/>
    <m/>
    <n v="30"/>
    <s v=""/>
    <s v=""/>
    <s v=""/>
    <s v=""/>
    <n v="1"/>
  </r>
  <r>
    <x v="1"/>
    <n v="1107"/>
    <m/>
    <n v="3526"/>
    <s v=""/>
    <s v=""/>
    <x v="593"/>
    <n v="52975803000165"/>
    <s v=""/>
    <s v="Dsg"/>
    <s v="85994341515"/>
    <s v=""/>
    <s v="euderi@hotmail.com"/>
    <s v=""/>
    <s v=""/>
    <s v=""/>
    <s v="MARACANAU"/>
    <s v="CE"/>
    <s v="Campanha"/>
    <s v=""/>
    <s v=""/>
    <s v="Fora Perfil;Instagram"/>
    <s v="Pipeline de Vendas"/>
    <s v="Agendamento (0%)"/>
    <s v=""/>
    <d v="2026-04-14T00:00:00"/>
    <m/>
    <m/>
    <n v="25"/>
    <s v="Paulo Souza"/>
    <d v="2026-04-14T00:00:00"/>
    <d v="1899-12-30T10:11:37"/>
    <s v=""/>
    <s v="Perdido"/>
    <d v="2026-05-09T00:00:00"/>
    <d v="1899-12-30T08:42:58"/>
    <s v="Fora do segmento atendido"/>
    <s v=""/>
    <s v=""/>
    <x v="0"/>
    <s v="Junior Lopes"/>
    <x v="0"/>
    <s v=""/>
    <m/>
    <n v="30"/>
    <s v=""/>
    <s v=""/>
    <s v=""/>
    <s v=""/>
    <n v="1"/>
  </r>
  <r>
    <x v="1"/>
    <n v="1113"/>
    <m/>
    <n v="3542"/>
    <s v=""/>
    <s v="Logrosoft Comercio, Importacao, Exportacao E Prestacao De Servicos Ltda"/>
    <x v="594"/>
    <n v="38116840000197"/>
    <s v=""/>
    <s v="Logrosoft Comercio, Importacao, Exportacao E Prestacao De Servicos Ltda"/>
    <s v="(31) 3378-0033"/>
    <s v=""/>
    <s v="supervisoroperacional@logrosoft.com.br"/>
    <s v=""/>
    <s v=""/>
    <s v=""/>
    <s v="BELO HORIZONTE"/>
    <s v="MG"/>
    <s v="Base de empresas Leads2b"/>
    <s v=""/>
    <s v=""/>
    <s v=""/>
    <s v="Pipeline de Vendas"/>
    <s v="Apresentar Solução (35%)"/>
    <s v=""/>
    <m/>
    <n v="13509779"/>
    <n v="899628"/>
    <n v="16"/>
    <s v="Junior Lopes"/>
    <d v="2026-04-14T00:00:00"/>
    <d v="1899-12-30T16:43:47"/>
    <s v=""/>
    <s v="Perdido"/>
    <d v="2026-04-30T00:00:00"/>
    <d v="1899-12-30T15:42:59"/>
    <s v="Não houve aprovação financeira"/>
    <s v="dois pontos que o cliente usou para não seguir ! busca um ERP Mais simples e com valor ,ais em conta"/>
    <s v=""/>
    <x v="209"/>
    <s v=""/>
    <x v="231"/>
    <s v=""/>
    <m/>
    <n v="50"/>
    <s v=""/>
    <s v=""/>
    <s v=""/>
    <s v=""/>
    <n v="1"/>
  </r>
  <r>
    <x v="1"/>
    <n v="1114"/>
    <m/>
    <n v="3544"/>
    <s v=""/>
    <s v=""/>
    <x v="595"/>
    <n v="38116840000197"/>
    <s v=""/>
    <s v="Logrosoft comercio CLOUD"/>
    <s v="3133780033"/>
    <s v=""/>
    <s v="supervisoroperacional@logrosoft.com.br"/>
    <s v=""/>
    <s v=""/>
    <s v=""/>
    <s v="BELO HORIZONTE"/>
    <s v="MG"/>
    <s v=""/>
    <s v=""/>
    <s v=""/>
    <s v=""/>
    <s v="Pipeline de Vendas"/>
    <s v="Em negociação (75%)"/>
    <s v=""/>
    <m/>
    <m/>
    <m/>
    <n v="16"/>
    <s v="Junior Lopes"/>
    <d v="2026-04-14T00:00:00"/>
    <d v="1899-12-30T16:46:18"/>
    <s v=""/>
    <s v="Perdido"/>
    <d v="2026-04-30T00:00:00"/>
    <d v="1899-12-30T15:42:07"/>
    <s v="Não houve aprovação financeira"/>
    <s v="dois pontos que o cliente usou para não seguir ! busca um ERP Mais simples e com valor ,ais em conta"/>
    <s v=""/>
    <x v="209"/>
    <s v=""/>
    <x v="232"/>
    <s v=""/>
    <m/>
    <n v="50"/>
    <s v=""/>
    <s v=""/>
    <s v=""/>
    <s v=""/>
    <n v="1"/>
  </r>
  <r>
    <x v="2"/>
    <n v="1116"/>
    <m/>
    <n v="3545"/>
    <s v="28.04"/>
    <s v=""/>
    <x v="596"/>
    <m/>
    <s v=""/>
    <s v="RK Assessoria Contábil"/>
    <s v="92981527777"/>
    <s v=""/>
    <s v="rcustodio777@gmail.com"/>
    <s v=""/>
    <s v=""/>
    <s v=""/>
    <s v=""/>
    <s v="Amazonas"/>
    <s v="Inbound"/>
    <s v=""/>
    <s v=""/>
    <s v="Dentro Perfil;Instagram"/>
    <s v="Pipeline de Vendas"/>
    <s v="Agendamento (0%)"/>
    <s v=""/>
    <d v="2026-04-15T00:00:00"/>
    <m/>
    <m/>
    <n v="24"/>
    <s v="Paulo Souza"/>
    <d v="2026-04-15T00:00:00"/>
    <d v="1899-12-30T12:27:42"/>
    <s v=""/>
    <s v="Perdido"/>
    <d v="2026-05-09T00:00:00"/>
    <d v="1899-12-30T08:29:42"/>
    <s v="Fora do segmento atendido"/>
    <s v=""/>
    <s v=""/>
    <x v="0"/>
    <s v="Rayssa Karapeticov"/>
    <x v="0"/>
    <s v=""/>
    <d v="2026-04-28T00:00:00"/>
    <n v="30"/>
    <s v=""/>
    <s v=""/>
    <s v=""/>
    <s v=""/>
    <n v="1"/>
  </r>
  <r>
    <x v="1"/>
    <n v="1117"/>
    <m/>
    <n v="3546"/>
    <s v="11:25, 16/04/2026 Junior Lopes: Olá bom dia !_x000a_11:25, 16/04/2026 Junior Lopes: Sou Junior Lopes da Guarani sistemas, Td bem ?_x000a_11:28, 16/04/2026 Junior Lopes: Estou retornando um contato que vc fez conosco_x000a_11:38, 16/04/2026 Big Alimentos: BIG Alimentos  agradece seu contato. Como podemos ajudar?_x000a_14:48, 16/04/2026 Big Alimentos: Olá_x000a_14:49, 16/04/2026 Big Alimentos: Júnior estou na estrada _x000a_Retorno na quarta_x000a_14:49, 16/04/2026 Big Alimentos: Aí falamos_x000a_14:49, 16/04/2026 Big Alimentos: Blz_x000a_14:54, 16/04/2026 Junior Lopes: Boa viagem 👊_x000a_🙏_x000a_(18/05/2026) cliente não responde aos contatos"/>
    <s v=""/>
    <x v="597"/>
    <m/>
    <s v=""/>
    <s v="AutoFoz"/>
    <s v="41991237979"/>
    <s v=""/>
    <s v="b8alimentos@gmail.com"/>
    <s v=""/>
    <s v=""/>
    <s v=""/>
    <s v=""/>
    <s v="Brasil"/>
    <s v="Inbound"/>
    <s v=""/>
    <s v=""/>
    <s v="Dentro Perfil;Instagram"/>
    <s v="Pipeline de Vendas"/>
    <s v="Qualificação de Vendas (SQL) (25%)"/>
    <s v=""/>
    <d v="2026-04-30T00:00:00"/>
    <m/>
    <m/>
    <n v="33"/>
    <s v="Paulo Souza"/>
    <d v="2026-04-15T00:00:00"/>
    <d v="1899-12-30T12:28:31"/>
    <s v=""/>
    <s v="Perdido"/>
    <d v="2026-05-18T00:00:00"/>
    <d v="1899-12-30T15:03:56"/>
    <s v="Sem qualificação — contato não atende ligações nem responde msg"/>
    <s v="inicialmente cliente chegou a responder , logo sumiu e não retorna mais"/>
    <s v=""/>
    <x v="0"/>
    <s v="Junior Lopes"/>
    <x v="0"/>
    <s v=""/>
    <d v="2026-05-18T00:00:00"/>
    <n v="30"/>
    <s v=""/>
    <s v=""/>
    <s v=""/>
    <s v=""/>
    <n v="1"/>
  </r>
  <r>
    <x v="1"/>
    <n v="1120"/>
    <m/>
    <n v="3556"/>
    <s v="14:26, 17/04/2026 Junior Lopes: Olá Danilo ,_x000a_Boa tarde _x000a_Sou Junior Lopes da Guarani sistemas! Td bem ? _x000a_Quem me passou seu contato foi o Jonas_x000a_14:26, 17/04/2026 Danillo Negrao Atac: ola tudo bem??_x000a_14:33, 17/04/2026 Junior Lopes: Imagine que o próprio representante/vendedor pode enviar loja B2B para o cliente dele e administrar essas lojas no dispositivo"/>
    <s v="Ferragens Negrao Comercial Ltda"/>
    <x v="598"/>
    <n v="76639285000339"/>
    <s v=""/>
    <s v="Ferragens Negrao Comercial Ltda"/>
    <s v="(41) 2109-8000"/>
    <s v=""/>
    <s v="fiscal@grupofn.com.br"/>
    <s v=""/>
    <s v=""/>
    <s v=""/>
    <s v="CURITIBA"/>
    <s v="PR"/>
    <s v="Base de empresas Leads2b"/>
    <s v=""/>
    <s v=""/>
    <s v=""/>
    <s v="Pipeline de Vendas"/>
    <s v="Qualificação de Vendas (SQL) (25%)"/>
    <s v=""/>
    <m/>
    <m/>
    <m/>
    <n v="33"/>
    <s v="Junior Lopes"/>
    <d v="2026-04-17T00:00:00"/>
    <d v="1899-12-30T14:41:48"/>
    <s v=""/>
    <s v="Ativo"/>
    <m/>
    <m/>
    <s v=""/>
    <s v=""/>
    <s v=""/>
    <x v="0"/>
    <s v=""/>
    <x v="0"/>
    <s v=""/>
    <m/>
    <n v="30"/>
    <s v=""/>
    <s v=""/>
    <s v=""/>
    <s v=""/>
    <n v="1"/>
  </r>
  <r>
    <x v="1"/>
    <n v="1121"/>
    <m/>
    <n v="3558"/>
    <s v="(23/04/2026 E mail enviado buscando agenda : _x000a_Olá Tito, Tudo bem ? _x000a_ _x000a_Meu nome é Junior Lopes , da Guarani Sistemas. Escrevo para apresentar uma solução que pode transformar a eficiência da equipe de vendas da Bartofil: o Guarani AFV._x000a_ _x000a_Em anexo, envio um folder com todos os detalhes, mas gostaria de destacar três pilares que fazem toda a diferença:_x000a_ _x000a_IA Iara, sua assistente virtual de vendas: Ela atua dentro do app do representante, analisando histórico, ramo de atividade e comportamento de compra para fazer predições e sugestões de venda inteligentes. A Iara aprende com cada cliente e ajuda a impulsionar o mix de produtos ativos, reduzindo rupturas no PDV._x000a_Integração nativa com qualquer ERP: O sistema se conecta perfeitamente ao seu software de gestão atual, seja qual for. Isso garante um fluxo de dados único (pedidos, estoque, clientes) sem retrabalho, duplicidade ou necessidade de mudar toda a operação._x000a_Loja B2B personalizada: Ofereça aos seus clientes um canal de compra 24/7, onde podem fazer pedidos de onde, quando e como quiserem. Isso amplia o ticket médio, libera a equipe de vendas para atividades mais estratégicas e garante que nenhuma oportunidade seja perdida fora do horário comercial._x000a_ _x000a_Além disso, a solução inclui catálogo digital, orçamento e proposta web, roteirização inteligente, controle de estoques em múltiplos locais e indicadores de desempenho em tempo real._x000a_ _x000a_Gostaria de agendar uma apresentação rápida (30–45 minutos) para mostrar, na prática, como o Guarani AFV pode apoiar a equipe da Bartofil e reduzir rupturas no ponto de venda, além de ampliar o mix de produtos ativos em cada cliente._x000a_ _x000a_Você teria disponibilidade na próxima semana, em algum desses horários?_x000a_ _x000a_Segunda-feira dia 27/04 às 10 horas _x000a_Terça-feira dia 28/04 às 14 horas _x000a_ _x000a_Se preferir, posso me adequar ao melhor dia e horário para você._x000a_ _x000a_Fico à disposição e agradeço desde já pela atenção."/>
    <s v="Nova Casa Distribuidora De Materiais Para Construcao S/a"/>
    <x v="599"/>
    <n v="74200403001605"/>
    <s v=""/>
    <s v="Nova Casa Distribuidora De Materiais Para Construcao S/a"/>
    <s v="(61) 3025-9500"/>
    <s v=""/>
    <s v="fiscal@ncdistribuidora.com.br"/>
    <s v=""/>
    <s v=""/>
    <s v=""/>
    <s v="SAO LUIS"/>
    <s v="MA"/>
    <s v="Base de empresas Leads2b"/>
    <s v=""/>
    <s v=""/>
    <s v=""/>
    <s v="Pipeline de Vendas"/>
    <s v="Qualificação de Vendas (SQL) (25%)"/>
    <s v=""/>
    <m/>
    <m/>
    <m/>
    <n v="33"/>
    <s v="Junior Lopes"/>
    <d v="2026-04-17T00:00:00"/>
    <d v="1899-12-30T14:51:26"/>
    <s v=""/>
    <s v="Ativo"/>
    <m/>
    <m/>
    <s v=""/>
    <s v=""/>
    <s v=""/>
    <x v="0"/>
    <s v=""/>
    <x v="0"/>
    <s v=""/>
    <d v="2026-04-23T00:00:00"/>
    <n v="30"/>
    <s v=""/>
    <s v=""/>
    <s v=""/>
    <s v=""/>
    <n v="1"/>
  </r>
  <r>
    <x v="1"/>
    <n v="1122"/>
    <m/>
    <n v="3560"/>
    <s v=""/>
    <s v="Bartofil Distribuidora Sa"/>
    <x v="600"/>
    <n v="23797376005567"/>
    <s v=""/>
    <s v="Bartofil Distribuidora Sa"/>
    <s v="(31) 3819-2000"/>
    <s v=""/>
    <s v="contabilidade@bartofil.com.br"/>
    <s v=""/>
    <s v=""/>
    <s v=""/>
    <s v="NOVA FRIBURGO"/>
    <s v="RJ"/>
    <s v="Base de empresas Leads2b"/>
    <s v=""/>
    <s v=""/>
    <s v=""/>
    <s v="Pipeline de Vendas"/>
    <s v="Qualificação de Vendas (SQL) (25%)"/>
    <s v=""/>
    <m/>
    <m/>
    <m/>
    <n v="33"/>
    <s v="Junior Lopes"/>
    <d v="2026-04-17T00:00:00"/>
    <d v="1899-12-30T15:36:58"/>
    <s v=""/>
    <s v="Ativo"/>
    <m/>
    <m/>
    <s v=""/>
    <s v=""/>
    <s v=""/>
    <x v="0"/>
    <s v=""/>
    <x v="0"/>
    <s v=""/>
    <d v="2026-05-06T00:00:00"/>
    <n v="30"/>
    <s v=""/>
    <s v=""/>
    <s v=""/>
    <s v=""/>
    <n v="1"/>
  </r>
  <r>
    <x v="1"/>
    <n v="1123"/>
    <m/>
    <n v="3562"/>
    <s v=""/>
    <s v="L.l.e. Ferragens Ltda."/>
    <x v="601"/>
    <n v="5953543000147"/>
    <s v=""/>
    <s v="L.l.e. Ferragens Ltda."/>
    <s v="(21) 2131-8511"/>
    <s v=""/>
    <s v="fiscal@grupolle.com.br"/>
    <s v=""/>
    <s v=""/>
    <s v=""/>
    <s v="RIO DE JANEIRO"/>
    <s v="RJ"/>
    <s v="Base de empresas Leads2b"/>
    <s v=""/>
    <s v=""/>
    <s v=""/>
    <s v="Pipeline de Vendas"/>
    <s v="Qualificação de Vendas (SQL) (25%)"/>
    <s v=""/>
    <m/>
    <m/>
    <m/>
    <n v="33"/>
    <s v="Junior Lopes"/>
    <d v="2026-04-17T00:00:00"/>
    <d v="1899-12-30T16:48:26"/>
    <s v=""/>
    <s v="Ativo"/>
    <m/>
    <m/>
    <s v=""/>
    <s v=""/>
    <s v=""/>
    <x v="0"/>
    <s v=""/>
    <x v="0"/>
    <s v=""/>
    <d v="2026-05-06T00:00:00"/>
    <n v="30"/>
    <s v=""/>
    <s v=""/>
    <s v=""/>
    <s v=""/>
    <n v="1"/>
  </r>
  <r>
    <x v="2"/>
    <n v="1126"/>
    <m/>
    <n v="3553"/>
    <s v="22.04 caixa postal_x000a_10:19, 22/04/2026 Rayssa Karapeticov - Comercial - Guarani Sistemas: Bom dia Valéria, tudo bem?_x000a_Meu nome é Rayssa, sou executiva de vendas na Guarani Sistemas_x000a_Estou retornando seu contato com interesse em nossa soluções,_x000a_10:20, 22/04/2026 Rayssa Karapeticov - Comercial - Guarani Sistemas: Para seguirmos com seu atendimento, preciso entender seus processos e mais sobre sua empresa_x000a_Qual a melhor forma para retornar o contato, prefere falar por aqui ou prefere que te ligue?"/>
    <s v=""/>
    <x v="602"/>
    <m/>
    <s v=""/>
    <s v="Brasil Rural"/>
    <s v="17997762600"/>
    <s v=""/>
    <s v="valeria.rod312@gmail.com"/>
    <s v=""/>
    <s v=""/>
    <s v=""/>
    <s v=""/>
    <s v="Brasil"/>
    <s v="Inbound"/>
    <s v=""/>
    <s v=""/>
    <s v="Fora Perfil;Instagram"/>
    <s v="Pipeline de Vendas"/>
    <s v="Agendamento (0%)"/>
    <s v=""/>
    <m/>
    <m/>
    <m/>
    <n v="19"/>
    <s v="Paulo Souza"/>
    <d v="2026-04-20T00:00:00"/>
    <d v="1899-12-30T14:16:55"/>
    <s v=""/>
    <s v="Perdido"/>
    <d v="2026-05-09T00:00:00"/>
    <d v="1899-12-30T08:28:25"/>
    <s v="Sem qualificação — contato não atende ligações nem responde msg"/>
    <s v=""/>
    <s v=""/>
    <x v="0"/>
    <s v="Rayssa Karapeticov"/>
    <x v="0"/>
    <s v=""/>
    <d v="2026-04-30T00:00:00"/>
    <n v="30"/>
    <s v=""/>
    <s v=""/>
    <s v=""/>
    <s v=""/>
    <n v="1"/>
  </r>
  <r>
    <x v="1"/>
    <n v="1127"/>
    <m/>
    <n v="3555"/>
    <s v="e mail enviado _x000a_(30/04/2026) em contato com Manoel vendo melhor data para apresentação _x000a_Olá Manoel ! _x000a_Meu nome é Junior Lopes, sou Executivo de Contas Corporativas na Guarani Sistemas, empresa especializada em soluções de gestão empresarial e comercial para toda a cadeia de abastecimento de artigos para o lar._x000a_ _x000a_Desde 2006, desenvolvemos e implementamos ferramentas que fomentam o crescimento dos nossos clientes. Hoje, contamos com mais de 900 clientes ativos, 40 mil usuários e cerca de 65 mil notas fiscais geradas diariamente em nossa plataforma, mantendo um crescimento médio anual de 20%. Nosso propósito é transformar nossos clientes em referência comercial e operacional em seus mercados, criando em conjunto soluções flexíveis que promovam diretamente o crescimento do negócio._x000a_ _x000a_Atendemos indústrias, importadores, distribuidores, atacadistas e varejistas dos segmentos de utilidades domésticas, brinquedos, presentes, decoração, metalúrgica, química, alimentos, têxtil, agro e outros generalistas. Entre nossos clientes, temos casos de sucesso como Plasútil, Paramount, Ingá Import, Alumínio Nacional e Dolce Home, que ampliaram sua eficiência e cresceram fortemente com o apoio de nossas soluções._x000a_ _x000a_Para a Home Market 24h, enxergamos grande potencial de apoio principalmente em três frentes:_x000a_Gestão integrada da operação, com nosso ERP (on-premise ou em nuvem), módulos de PCP e WMS, garantindo controle de estoques, compras, vendas, faturamento, financeiro e logística em um único ambiente._x000a_Automação da força de vendas, com o Guarani AFV, levando mais produtividade, controle e inteligência comercial para a equipe, com informações em tempo real e apoio à expansão da carteira de clientes._x000a_E-commerce B2B integrado, com o Power B2B, permitindo que seus clientes realizem pedidos de maneira simples, rápida e totalmente integrada ao ERP, ampliando o alcance da Home Market 24h no mercado corporativo._x000a_ _x000a_ _x000a_Gostaria de agendar uma breve conversa para entender melhor o cenário atual da Home Market 24h e apresentar de forma objetiva como a Guarani Sistemas pode contribuir com a operação de vocês?_x000a_ _x000a_Fico à disposição para alinhar o melhor dia e horário._x000a_ _x000a_ _x000a_Atenciosamente,"/>
    <s v=""/>
    <x v="603"/>
    <m/>
    <s v=""/>
    <s v="Comercial O Manoel"/>
    <s v="85999874743"/>
    <s v=""/>
    <s v="comercialomanoel@gmail.com"/>
    <s v=""/>
    <s v=""/>
    <s v=""/>
    <s v=""/>
    <s v="Ceara"/>
    <s v="Inbound"/>
    <s v=""/>
    <s v=""/>
    <s v="Dentro Perfil;Instagram"/>
    <s v="Pipeline de Vendas"/>
    <s v="Qualificação de Vendas (SQL) (25%)"/>
    <s v=""/>
    <m/>
    <m/>
    <m/>
    <n v="30"/>
    <s v="Paulo Souza"/>
    <d v="2026-04-20T00:00:00"/>
    <d v="1899-12-30T14:26:57"/>
    <s v=""/>
    <s v="Ativo"/>
    <m/>
    <m/>
    <s v=""/>
    <s v=""/>
    <s v=""/>
    <x v="0"/>
    <s v="Junior Lopes"/>
    <x v="0"/>
    <s v=""/>
    <d v="2026-04-30T00:00:00"/>
    <n v="30"/>
    <s v=""/>
    <s v=""/>
    <s v=""/>
    <s v=""/>
    <n v="1"/>
  </r>
  <r>
    <x v="2"/>
    <n v="1128"/>
    <m/>
    <n v="3565"/>
    <s v="22.04 Não atendeu _x000a_Bom dia, Sergio. Como vai? _x000a_Meu nome é Rayssa, sou Executiva de Vendas na Guarani Sistemas, e estou retornando seu contato com nossa empresa para conhecer mais sobre nossas soluções_x000a_Para seguirmos preciso entender sua empresa e seus processos. _x000a_Você prefere seguir o atendimento por aqui ou prefere que te ligue?"/>
    <s v=""/>
    <x v="604"/>
    <m/>
    <s v=""/>
    <s v="Garrama com essência eirele"/>
    <s v="11986111998"/>
    <s v=""/>
    <s v="ss.sergiofaertes@gmail.com"/>
    <s v=""/>
    <s v=""/>
    <s v=""/>
    <s v=""/>
    <s v=""/>
    <s v="Campanha"/>
    <s v=""/>
    <s v=""/>
    <s v="Fora Perfil;Instagram"/>
    <s v="Pipeline de Vendas"/>
    <s v="Qualificação de Vendas (SQL) (25%)"/>
    <s v=""/>
    <d v="2026-04-30T00:00:00"/>
    <m/>
    <m/>
    <n v="19"/>
    <s v="Paulo Souza"/>
    <d v="2026-04-20T00:00:00"/>
    <d v="1899-12-30T15:22:35"/>
    <s v=""/>
    <s v="Perdido"/>
    <d v="2026-05-09T00:00:00"/>
    <d v="1899-12-30T08:36:06"/>
    <s v="Sem qualificação — contato não atende ligações nem responde msg"/>
    <s v=""/>
    <s v=""/>
    <x v="0"/>
    <s v="Rayssa Karapeticov"/>
    <x v="0"/>
    <s v=""/>
    <d v="2026-04-24T00:00:00"/>
    <n v="30"/>
    <s v=""/>
    <s v=""/>
    <s v=""/>
    <s v=""/>
    <n v="1"/>
  </r>
  <r>
    <x v="1"/>
    <n v="1129"/>
    <m/>
    <n v="3566"/>
    <s v=""/>
    <s v=""/>
    <x v="605"/>
    <m/>
    <s v=""/>
    <s v="Supermercado Mathur"/>
    <s v="11954971535"/>
    <s v=""/>
    <s v="renato@mathur.com.br"/>
    <s v=""/>
    <s v=""/>
    <s v=""/>
    <s v=""/>
    <s v="Sao paulo"/>
    <s v="Inbound"/>
    <s v=""/>
    <s v=""/>
    <s v="Fora Perfil;Instagram"/>
    <s v="Pipeline de Vendas"/>
    <s v="Agendamento (0%)"/>
    <s v=""/>
    <m/>
    <m/>
    <m/>
    <n v="0"/>
    <s v="Paulo Souza"/>
    <d v="2026-04-20T00:00:00"/>
    <d v="1899-12-30T15:23:29"/>
    <s v=""/>
    <s v="Perdido"/>
    <d v="2026-04-20T00:00:00"/>
    <d v="1899-12-30T16:43:51"/>
    <s v="Fora do porte mínimo (sem fit estrutural)"/>
    <s v="Supermercado, fora do perfil"/>
    <s v=""/>
    <x v="0"/>
    <s v="Junior Lopes"/>
    <x v="0"/>
    <s v=""/>
    <m/>
    <n v="30"/>
    <s v=""/>
    <s v=""/>
    <s v=""/>
    <s v=""/>
    <n v="1"/>
  </r>
  <r>
    <x v="2"/>
    <n v="1130"/>
    <m/>
    <n v="3567"/>
    <s v="Falei com o Arthur,. porem quem esta cuidando disso é o Rodrigo, vai passar meu contato para ele para seguir com o Atendimento"/>
    <s v=""/>
    <x v="606"/>
    <m/>
    <s v=""/>
    <s v="Cafe Santa Monica"/>
    <s v="11981430800"/>
    <s v=""/>
    <s v="arthurmosco@gmail.com"/>
    <s v=""/>
    <s v=""/>
    <s v=""/>
    <s v=""/>
    <s v=""/>
    <s v="Campanha"/>
    <s v=""/>
    <s v=""/>
    <s v="Dentro Perfil;Instagram"/>
    <s v="Pipeline de Vendas"/>
    <s v="Qualificação de Vendas (SQL) (25%)"/>
    <s v=""/>
    <m/>
    <m/>
    <m/>
    <n v="30"/>
    <s v="Paulo Souza"/>
    <d v="2026-04-20T00:00:00"/>
    <d v="1899-12-30T15:25:17"/>
    <s v=""/>
    <s v="Ativo"/>
    <m/>
    <m/>
    <s v=""/>
    <s v=""/>
    <s v=""/>
    <x v="0"/>
    <s v="Rayssa Karapeticov"/>
    <x v="0"/>
    <s v=""/>
    <d v="2026-05-07T00:00:00"/>
    <n v="30"/>
    <s v=""/>
    <s v=""/>
    <s v=""/>
    <s v=""/>
    <n v="1"/>
  </r>
  <r>
    <x v="1"/>
    <n v="1131"/>
    <m/>
    <n v="3568"/>
    <s v="(20/04/2026) em contato com Kamilla"/>
    <s v=""/>
    <x v="607"/>
    <n v="36955063000149"/>
    <s v=""/>
    <s v="NORTH EXPORTACAO"/>
    <s v="(91) 9343-5475"/>
    <s v=""/>
    <s v="northacaifoods@gmail.com"/>
    <s v=""/>
    <s v=""/>
    <s v=""/>
    <s v="BELEM"/>
    <s v="PA"/>
    <s v="Campanha"/>
    <s v=""/>
    <s v=""/>
    <s v="Dentro Perfil;Instagram"/>
    <s v="Pipeline de Vendas"/>
    <s v="Qualificação de Vendas (SQL) (25%)"/>
    <s v=""/>
    <m/>
    <m/>
    <m/>
    <n v="19"/>
    <s v="Paulo Souza"/>
    <d v="2026-04-20T00:00:00"/>
    <d v="1899-12-30T15:26:13"/>
    <s v=""/>
    <s v="Perdido"/>
    <d v="2026-05-09T00:00:00"/>
    <d v="1899-12-30T08:36:50"/>
    <s v="Sem qualificação — contato não atende ligações nem responde msg"/>
    <s v=""/>
    <s v=""/>
    <x v="0"/>
    <s v="Junior Lopes"/>
    <x v="0"/>
    <s v=""/>
    <d v="2026-04-28T00:00:00"/>
    <n v="30"/>
    <s v=""/>
    <s v=""/>
    <s v=""/>
    <s v=""/>
    <n v="1"/>
  </r>
  <r>
    <x v="2"/>
    <n v="1132"/>
    <m/>
    <n v="3569"/>
    <s v="22.04 liguei e deu caixa postal _x000a_Bom dia Rafael, tudo bem? _x000a_Meu nome e Rayssa, sou Executiva de Vendas na Guarani Sistemas, estou retornando seu contato para falar sobre seu interesse em um novo software. _x000a_Para seguirmos com esse contato preciso entender o processo de sua empresa e o que esta buscando _x000a_Como prefere seguir o atendimento, por aqui ou quer que eu te ligue?"/>
    <s v=""/>
    <x v="608"/>
    <m/>
    <s v=""/>
    <s v="Lpx"/>
    <s v="9282770000"/>
    <s v=""/>
    <s v="atakadaoeletrica@gmail.com"/>
    <s v=""/>
    <s v=""/>
    <s v=""/>
    <s v=""/>
    <s v="Brasil"/>
    <s v="Inbound"/>
    <s v=""/>
    <s v=""/>
    <s v="Fora Perfil;Instagram"/>
    <s v="Pipeline de Vendas"/>
    <s v="Agendamento (0%)"/>
    <s v=""/>
    <m/>
    <m/>
    <m/>
    <n v="19"/>
    <s v="Paulo Souza"/>
    <d v="2026-04-20T00:00:00"/>
    <d v="1899-12-30T15:27:43"/>
    <s v=""/>
    <s v="Perdido"/>
    <d v="2026-05-09T00:00:00"/>
    <d v="1899-12-30T08:43:51"/>
    <s v="Sem qualificação — contato não atende ligações nem responde msg"/>
    <s v=""/>
    <s v=""/>
    <x v="0"/>
    <s v="Rayssa Karapeticov"/>
    <x v="0"/>
    <s v=""/>
    <d v="2026-04-29T00:00:00"/>
    <n v="30"/>
    <s v=""/>
    <s v=""/>
    <s v=""/>
    <s v=""/>
    <n v="1"/>
  </r>
  <r>
    <x v="1"/>
    <n v="1133"/>
    <m/>
    <n v="3571"/>
    <s v="16:55, 20/04/2026 Junior Lopes: Olá Marcos , boa tarde_x000a_16:55, 20/04/2026 Junior Lopes: sou Junior lopes da Guarani sistemas, td bem ?_x000a_16:55, 20/04/2026 Junior Lopes: estou retornando contato que vc fez conosco_x000a_17:18, 20/04/2026 +55 18 99701-9440: Olá boa tarde."/>
    <s v=""/>
    <x v="609"/>
    <m/>
    <s v=""/>
    <s v="Governo do Estado de São Paulo"/>
    <s v="18997019440"/>
    <s v=""/>
    <s v="marcosleitao37@hotmail.com"/>
    <s v=""/>
    <s v=""/>
    <s v=""/>
    <s v=""/>
    <s v="Presidente Epitácio Sp"/>
    <s v="Inbound"/>
    <s v=""/>
    <s v=""/>
    <s v="Fora Perfil;Instagram"/>
    <s v="Pipeline de Vendas"/>
    <s v="Agendamento (0%)"/>
    <s v=""/>
    <m/>
    <m/>
    <m/>
    <n v="19"/>
    <s v="Paulo Souza"/>
    <d v="2026-04-20T00:00:00"/>
    <d v="1899-12-30T15:29:11"/>
    <s v=""/>
    <s v="Perdido"/>
    <d v="2026-05-09T00:00:00"/>
    <d v="1899-12-30T08:45:24"/>
    <s v="Fora do segmento atendido"/>
    <s v=""/>
    <s v=""/>
    <x v="0"/>
    <s v="Junior Lopes"/>
    <x v="0"/>
    <s v=""/>
    <m/>
    <n v="30"/>
    <s v=""/>
    <s v=""/>
    <s v=""/>
    <s v=""/>
    <n v="1"/>
  </r>
  <r>
    <x v="0"/>
    <n v="1134"/>
    <m/>
    <n v="3575"/>
    <s v=""/>
    <s v=""/>
    <x v="610"/>
    <n v="67846790000100"/>
    <s v=""/>
    <s v="Andrea"/>
    <s v="(11) 4526-2313"/>
    <s v=""/>
    <s v="financeiro@hoberplasticos.com.br"/>
    <s v=""/>
    <s v=""/>
    <s v=""/>
    <s v="JUNDIAI"/>
    <s v="SP"/>
    <s v=""/>
    <s v=""/>
    <s v=""/>
    <s v=""/>
    <s v="Pipeline de Vendas"/>
    <s v="Em negociação (75%)"/>
    <s v=""/>
    <d v="2026-05-31T00:00:00"/>
    <n v="1364029"/>
    <n v="563118"/>
    <n v="30"/>
    <s v="Paulo Souza"/>
    <d v="2026-04-20T00:00:00"/>
    <d v="1899-12-30T16:00:02"/>
    <s v=""/>
    <s v="Ativo"/>
    <m/>
    <m/>
    <s v=""/>
    <s v=""/>
    <s v=""/>
    <x v="210"/>
    <s v="Paulo Souza"/>
    <x v="233"/>
    <s v=""/>
    <d v="2026-05-18T00:00:00"/>
    <n v="30"/>
    <s v=""/>
    <s v=""/>
    <s v=""/>
    <s v=""/>
    <n v="1"/>
  </r>
  <r>
    <x v="0"/>
    <n v="1135"/>
    <m/>
    <n v="3578"/>
    <s v=""/>
    <s v=""/>
    <x v="490"/>
    <n v="7730144000142"/>
    <s v=""/>
    <s v="Alexandre"/>
    <s v="(11) 4151-2564/ (11) 4551-2554"/>
    <s v=""/>
    <s v="comercial@kopermax.com.br"/>
    <s v=""/>
    <s v=""/>
    <s v=""/>
    <s v="CARAPICUIBA"/>
    <s v="SP"/>
    <s v=""/>
    <s v=""/>
    <s v=""/>
    <s v=""/>
    <s v="Pipeline de Vendas"/>
    <s v="Apresentar Proposta (50%)"/>
    <s v=""/>
    <d v="2026-05-31T00:00:00"/>
    <m/>
    <m/>
    <n v="21"/>
    <s v="Paulo Souza"/>
    <d v="2026-04-20T00:00:00"/>
    <d v="1899-12-30T16:52:52"/>
    <s v=""/>
    <s v="Perdido"/>
    <d v="2026-05-11T00:00:00"/>
    <d v="1899-12-30T11:58:02"/>
    <s v="Projeto adiado / sem prazo definido"/>
    <s v=""/>
    <s v=""/>
    <x v="211"/>
    <s v="Paulo Souza"/>
    <x v="233"/>
    <s v=""/>
    <m/>
    <n v="30"/>
    <s v=""/>
    <s v=""/>
    <s v=""/>
    <s v=""/>
    <n v="1"/>
  </r>
  <r>
    <x v="1"/>
    <n v="1136"/>
    <m/>
    <n v="3582"/>
    <s v="(23/04/2026) em contato com João Netto via telefone _x000a_atualmente busca um software para automação da sua produção e controle de estoque que contempla a gestão financeira e fiscal , sua equipe de venda precisa de um aplicativo para estrada e controle de pedidos"/>
    <s v=""/>
    <x v="611"/>
    <n v="25356414000189"/>
    <s v=""/>
    <s v="Bia alimentos"/>
    <s v="75992608709"/>
    <s v=""/>
    <s v="jjneto28@gmail.com"/>
    <s v=""/>
    <s v=""/>
    <s v=""/>
    <s v="SAO GONCALO DOS CAMPOS"/>
    <s v="BA"/>
    <s v="Campanha"/>
    <s v=""/>
    <s v=""/>
    <s v="Dentro Perfil;Instagram"/>
    <s v="Pipeline de Vendas"/>
    <s v="Apresentar Solução (35%)"/>
    <s v=""/>
    <m/>
    <m/>
    <m/>
    <n v="27"/>
    <s v="Paulo Souza"/>
    <d v="2026-04-23T00:00:00"/>
    <d v="1899-12-30T14:05:58"/>
    <s v=""/>
    <s v="Ativo"/>
    <m/>
    <m/>
    <s v=""/>
    <s v=""/>
    <s v=""/>
    <x v="0"/>
    <s v="Junior Lopes"/>
    <x v="0"/>
    <s v=""/>
    <m/>
    <n v="30"/>
    <s v=""/>
    <s v=""/>
    <s v=""/>
    <s v=""/>
    <n v="1"/>
  </r>
  <r>
    <x v="2"/>
    <n v="1137"/>
    <m/>
    <n v="3581"/>
    <s v=""/>
    <s v=""/>
    <x v="612"/>
    <m/>
    <s v=""/>
    <s v="Quality medical"/>
    <s v="6592542913"/>
    <s v=""/>
    <s v="marcosrobertosilvestre@hotmail.com"/>
    <s v=""/>
    <s v=""/>
    <s v=""/>
    <s v=""/>
    <s v=""/>
    <s v="Campanha"/>
    <s v=""/>
    <s v=""/>
    <s v="Dentro Perfil;Instagram"/>
    <s v="Pipeline de Vendas"/>
    <s v="Qualificação de Vendas (SQL) (25%)"/>
    <s v=""/>
    <m/>
    <m/>
    <m/>
    <n v="27"/>
    <s v="Paulo Souza"/>
    <d v="2026-04-23T00:00:00"/>
    <d v="1899-12-30T14:08:08"/>
    <s v=""/>
    <s v="Ativo"/>
    <m/>
    <m/>
    <s v=""/>
    <s v=""/>
    <s v=""/>
    <x v="0"/>
    <s v="Rayssa Karapeticov"/>
    <x v="0"/>
    <s v=""/>
    <d v="2026-05-07T00:00:00"/>
    <n v="30"/>
    <s v=""/>
    <s v=""/>
    <s v=""/>
    <s v=""/>
    <n v="1"/>
  </r>
  <r>
    <x v="2"/>
    <n v="1138"/>
    <m/>
    <n v="3586"/>
    <s v=""/>
    <s v=""/>
    <x v="613"/>
    <m/>
    <s v=""/>
    <s v="Autônomo"/>
    <s v="94991836683"/>
    <s v=""/>
    <s v="gersondsvasconcelos@gmail.com"/>
    <s v=""/>
    <s v=""/>
    <s v=""/>
    <s v=""/>
    <s v=""/>
    <s v="Campanha"/>
    <s v=""/>
    <s v=""/>
    <s v="Fora Perfil;Instagram"/>
    <s v="Pipeline de Vendas"/>
    <s v="Agendamento (0%)"/>
    <s v=""/>
    <m/>
    <m/>
    <m/>
    <n v="15"/>
    <s v="Paulo Souza"/>
    <d v="2026-04-24T00:00:00"/>
    <d v="1899-12-30T10:11:26"/>
    <s v=""/>
    <s v="Perdido"/>
    <d v="2026-05-09T00:00:00"/>
    <d v="1899-12-30T08:45:54"/>
    <s v="Sem qualificação — contato não atende ligações nem responde msg"/>
    <s v=""/>
    <s v=""/>
    <x v="0"/>
    <s v="Rayssa Karapeticov"/>
    <x v="0"/>
    <s v=""/>
    <m/>
    <n v="30"/>
    <s v=""/>
    <s v=""/>
    <s v=""/>
    <s v=""/>
    <n v="1"/>
  </r>
  <r>
    <x v="1"/>
    <n v="1139"/>
    <m/>
    <n v="3603"/>
    <s v="(27/04/2026) em contato com Carol, Sr. Paulo não estava na empresa ! Carol anotou meu WhatsApp para retorno"/>
    <s v=""/>
    <x v="614"/>
    <n v="7598229000119"/>
    <s v=""/>
    <s v="plaslumy"/>
    <s v="(35) 3232-2223 / (35) 3234-1578 / (35) 3232-2223"/>
    <s v=""/>
    <s v="fiscal@plaslumy.com.br"/>
    <s v=""/>
    <s v=""/>
    <s v=""/>
    <s v="TRES CORACOES"/>
    <s v="MG"/>
    <s v="Inbound"/>
    <s v=""/>
    <s v=""/>
    <s v="Dentro Perfil;Instagram"/>
    <s v="Pipeline de Vendas"/>
    <s v="Qualificação de Vendas (SQL) (25%)"/>
    <s v=""/>
    <m/>
    <m/>
    <m/>
    <n v="23"/>
    <s v="Paulo Souza"/>
    <d v="2026-04-27T00:00:00"/>
    <d v="1899-12-30T15:32:48"/>
    <s v=""/>
    <s v="Ativo"/>
    <m/>
    <m/>
    <s v=""/>
    <s v=""/>
    <s v=""/>
    <x v="0"/>
    <s v="Junior Lopes"/>
    <x v="0"/>
    <s v=""/>
    <m/>
    <n v="30"/>
    <s v=""/>
    <s v=""/>
    <s v=""/>
    <s v=""/>
    <n v="1"/>
  </r>
  <r>
    <x v="2"/>
    <n v="1140"/>
    <m/>
    <n v="3588"/>
    <s v=""/>
    <s v=""/>
    <x v="615"/>
    <n v="7403402000186"/>
    <s v=""/>
    <s v="Shopping do Parafuso"/>
    <s v="31996583027"/>
    <s v=""/>
    <s v="comercial@shoppingdoparafuso.com.br"/>
    <s v=""/>
    <s v=""/>
    <s v=""/>
    <s v=""/>
    <s v=""/>
    <s v="Campanha"/>
    <s v=""/>
    <s v=""/>
    <s v="Fora Perfil;Instagram;Perfil Indefinido"/>
    <s v="Pipeline de Vendas"/>
    <s v="Qualificação de Vendas (SQL) (25%)"/>
    <s v=""/>
    <m/>
    <m/>
    <m/>
    <n v="10"/>
    <s v="Paulo Souza"/>
    <d v="2026-04-27T00:00:00"/>
    <d v="1899-12-30T15:48:50"/>
    <s v=""/>
    <s v="Perdido"/>
    <d v="2026-05-07T00:00:00"/>
    <d v="1899-12-30T10:40:49"/>
    <s v="Fora do porte mínimo (sem fit estrutural)"/>
    <s v=""/>
    <s v=""/>
    <x v="0"/>
    <s v="Rayssa Karapeticov"/>
    <x v="0"/>
    <s v=""/>
    <d v="2026-04-29T00:00:00"/>
    <n v="30"/>
    <s v=""/>
    <s v=""/>
    <s v=""/>
    <s v=""/>
    <n v="1"/>
  </r>
  <r>
    <x v="2"/>
    <n v="1141"/>
    <m/>
    <n v="3589"/>
    <s v=""/>
    <s v=""/>
    <x v="616"/>
    <n v="24094663000180"/>
    <s v=""/>
    <s v="Max LED"/>
    <s v="(11) 2181-1005 / (11) 6735-4750 / (11) 2181-1005"/>
    <s v=""/>
    <s v="alexfelixsantos@hotmail.com"/>
    <s v=""/>
    <s v=""/>
    <s v=""/>
    <s v="SAO PAULO"/>
    <s v="SP"/>
    <s v="Campanha"/>
    <s v=""/>
    <s v=""/>
    <s v="Dentro Perfil;Instagram"/>
    <s v="Pipeline de Vendas"/>
    <s v="Apresentar Solução (35%)"/>
    <s v=""/>
    <m/>
    <m/>
    <m/>
    <n v="23"/>
    <s v="Paulo Souza"/>
    <d v="2026-04-27T00:00:00"/>
    <d v="1899-12-30T15:49:56"/>
    <s v=""/>
    <s v="Ativo"/>
    <m/>
    <m/>
    <s v=""/>
    <s v=""/>
    <s v=""/>
    <x v="0"/>
    <s v="Rayssa Karapeticov"/>
    <x v="234"/>
    <s v=""/>
    <d v="2026-05-18T00:00:00"/>
    <n v="30"/>
    <s v=""/>
    <s v=""/>
    <s v=""/>
    <s v=""/>
    <n v="1"/>
  </r>
  <r>
    <x v="1"/>
    <n v="1142"/>
    <m/>
    <n v="3590"/>
    <s v=""/>
    <s v=""/>
    <x v="617"/>
    <m/>
    <s v=""/>
    <s v="Tres americas alimentos"/>
    <s v="65992888768"/>
    <s v=""/>
    <s v="jctransportess.mt@gmail.com"/>
    <s v=""/>
    <s v=""/>
    <s v=""/>
    <s v=""/>
    <s v=""/>
    <s v="Campanha"/>
    <s v=""/>
    <s v=""/>
    <s v="Dentro Perfil;Instagram"/>
    <s v="Pipeline de Vendas"/>
    <s v="Qualificação de Vendas (SQL) (25%)"/>
    <s v=""/>
    <m/>
    <m/>
    <m/>
    <n v="23"/>
    <s v="Paulo Souza"/>
    <d v="2026-04-27T00:00:00"/>
    <d v="1899-12-30T15:52:31"/>
    <s v=""/>
    <s v="Ativo"/>
    <m/>
    <m/>
    <s v=""/>
    <s v=""/>
    <s v=""/>
    <x v="0"/>
    <s v="Junior Lopes"/>
    <x v="0"/>
    <s v=""/>
    <d v="2026-05-06T00:00:00"/>
    <n v="30"/>
    <s v=""/>
    <s v=""/>
    <s v=""/>
    <s v=""/>
    <n v="1"/>
  </r>
  <r>
    <x v="2"/>
    <n v="1143"/>
    <m/>
    <n v="3591"/>
    <s v="Todos os dados preenchidos:_x000a_empresa: Alexdan _x000a_name: Alexandre Biassio _x000a_cargo: Diretor _x000a_whatsapp: 11982599832 _x000a_email: alexandre@alexdan.com.br _x000a_referrer: https://www.guaranisistemas.com.br/"/>
    <s v=""/>
    <x v="618"/>
    <n v="3098281000155"/>
    <s v=""/>
    <s v="Alexandre Biassio"/>
    <s v=""/>
    <s v=""/>
    <s v="alexandre@alexdan.com.br"/>
    <s v=""/>
    <s v=""/>
    <s v=""/>
    <s v="Santo André"/>
    <s v=""/>
    <s v="Inbound"/>
    <s v=""/>
    <s v=""/>
    <s v=""/>
    <s v="Pipeline de Vendas"/>
    <s v="Apresentar Solução (35%)"/>
    <s v=""/>
    <m/>
    <m/>
    <m/>
    <n v="23"/>
    <s v="Paulo Souza"/>
    <d v="2026-04-27T00:00:00"/>
    <d v="1899-12-30T15:53:51"/>
    <s v=""/>
    <s v="Ativo"/>
    <m/>
    <m/>
    <s v=""/>
    <s v=""/>
    <s v=""/>
    <x v="0"/>
    <s v="Rayssa Karapeticov"/>
    <x v="0"/>
    <s v=""/>
    <d v="2026-05-19T00:00:00"/>
    <n v="30"/>
    <s v=""/>
    <s v=""/>
    <s v=""/>
    <s v=""/>
    <n v="1"/>
  </r>
  <r>
    <x v="1"/>
    <n v="1144"/>
    <m/>
    <n v="3592"/>
    <s v="(28/04/2026) em contato com Janayna"/>
    <s v=""/>
    <x v="619"/>
    <m/>
    <s v=""/>
    <s v="Bitilila Nails"/>
    <s v="17997180789"/>
    <s v=""/>
    <s v="janaynamundial@hotmail.com"/>
    <s v=""/>
    <s v=""/>
    <s v=""/>
    <s v=""/>
    <s v=""/>
    <s v="Campanha"/>
    <s v=""/>
    <s v=""/>
    <s v="Dentro Perfil;Instagram"/>
    <s v="Pipeline de Vendas"/>
    <s v="Agendamento (0%)"/>
    <s v=""/>
    <m/>
    <m/>
    <m/>
    <n v="12"/>
    <s v="Paulo Souza"/>
    <d v="2026-04-27T00:00:00"/>
    <d v="1899-12-30T15:54:58"/>
    <s v=""/>
    <s v="Perdido"/>
    <d v="2026-05-09T00:00:00"/>
    <d v="1899-12-30T08:46:25"/>
    <s v="Sem qualificação — contato não atende ligações nem responde msg"/>
    <s v=""/>
    <s v=""/>
    <x v="0"/>
    <s v="Junior Lopes"/>
    <x v="0"/>
    <s v=""/>
    <d v="2026-05-06T00:00:00"/>
    <n v="32"/>
    <s v=""/>
    <s v=""/>
    <s v=""/>
    <s v=""/>
    <n v="1"/>
  </r>
  <r>
    <x v="2"/>
    <n v="1145"/>
    <m/>
    <n v="3599"/>
    <s v=""/>
    <s v="Abc Internacional Comercio Importacao E Exportacao Ltda"/>
    <x v="620"/>
    <n v="58846435000131"/>
    <s v=""/>
    <s v="Abc Internacional Comercio Importacao E Exportacao Ltda"/>
    <s v="(47) 3021-7932"/>
    <s v=""/>
    <s v="contato@contabilidadestacatarina.com.br"/>
    <s v=""/>
    <s v=""/>
    <s v=""/>
    <s v="SAO PAULO"/>
    <s v="SP"/>
    <s v="Base de empresas Leads2b"/>
    <s v=""/>
    <s v=""/>
    <s v=""/>
    <s v="Pipeline de Vendas"/>
    <s v="Qualificação de Vendas (SQL) (25%)"/>
    <s v=""/>
    <m/>
    <m/>
    <m/>
    <n v="23"/>
    <s v="Rayssa Karapeticov"/>
    <d v="2026-04-27T00:00:00"/>
    <d v="1899-12-30T15:55:21"/>
    <s v=""/>
    <s v="Ativo"/>
    <m/>
    <m/>
    <s v=""/>
    <s v=""/>
    <s v=""/>
    <x v="0"/>
    <s v="Rayssa Karapeticov"/>
    <x v="0"/>
    <s v=""/>
    <d v="2026-05-13T00:00:00"/>
    <n v="30"/>
    <s v=""/>
    <s v="ERP"/>
    <s v=""/>
    <s v=""/>
    <n v="1"/>
  </r>
  <r>
    <x v="2"/>
    <n v="1146"/>
    <m/>
    <n v="3593"/>
    <s v=""/>
    <s v=""/>
    <x v="621"/>
    <m/>
    <s v=""/>
    <s v="Oneclick"/>
    <s v="31999499091"/>
    <s v=""/>
    <s v="hm2matoa@gmail.com"/>
    <s v=""/>
    <s v=""/>
    <s v=""/>
    <s v=""/>
    <s v=""/>
    <s v="Campanha"/>
    <s v=""/>
    <s v=""/>
    <s v="Dentro Perfil;Instagram"/>
    <s v="Pipeline de Vendas"/>
    <s v="Qualificação de Vendas (SQL) (25%)"/>
    <s v=""/>
    <m/>
    <m/>
    <m/>
    <n v="16"/>
    <s v="Paulo Souza"/>
    <d v="2026-04-27T00:00:00"/>
    <d v="1899-12-30T15:56:24"/>
    <s v=""/>
    <s v="Perdido"/>
    <d v="2026-05-13T00:00:00"/>
    <d v="1899-12-30T12:58:25"/>
    <s v="Sem qualificação — contato não atende ligações nem responde msg"/>
    <s v=""/>
    <s v=""/>
    <x v="0"/>
    <s v="Rayssa Karapeticov"/>
    <x v="0"/>
    <s v=""/>
    <d v="2026-05-13T00:00:00"/>
    <n v="30"/>
    <s v=""/>
    <s v=""/>
    <s v=""/>
    <s v=""/>
    <n v="1"/>
  </r>
  <r>
    <x v="1"/>
    <n v="1147"/>
    <m/>
    <n v="3594"/>
    <s v="16:13, 27/04/2026 Junior Lopes: Olá Manuel , boa tarde_x000a_16:14, 27/04/2026 Junior Lopes: Junior da Guarani sistemas por aqui_x000a_(28/04/2026) em contato com Manuel, empresa de construção civil , fora do perfil"/>
    <s v=""/>
    <x v="622"/>
    <m/>
    <s v=""/>
    <s v="JJ SOLUÇÕES INDUSTRIAIS"/>
    <s v="9294614731"/>
    <s v=""/>
    <s v="manuel.rivero@jjsoluempresa.com"/>
    <s v=""/>
    <s v=""/>
    <s v=""/>
    <s v=""/>
    <s v=""/>
    <s v="Campanha"/>
    <s v=""/>
    <s v=""/>
    <s v="Fora Perfil;Instagram"/>
    <s v="Pipeline de Vendas"/>
    <s v="Agendamento (0%)"/>
    <s v=""/>
    <m/>
    <m/>
    <m/>
    <n v="1"/>
    <s v="Paulo Souza"/>
    <d v="2026-04-27T00:00:00"/>
    <d v="1899-12-30T15:57:32"/>
    <s v=""/>
    <s v="Perdido"/>
    <d v="2026-04-28T00:00:00"/>
    <d v="1899-12-30T11:42:44"/>
    <s v="Fora do porte mínimo (sem fit estrutural)"/>
    <s v="construção civil"/>
    <s v=""/>
    <x v="0"/>
    <s v="Junior Lopes"/>
    <x v="0"/>
    <s v=""/>
    <m/>
    <n v="30"/>
    <s v=""/>
    <s v=""/>
    <s v=""/>
    <s v=""/>
    <n v="1"/>
  </r>
  <r>
    <x v="2"/>
    <n v="1148"/>
    <m/>
    <n v="3595"/>
    <s v=""/>
    <s v=""/>
    <x v="623"/>
    <n v="10255338000148"/>
    <s v=""/>
    <s v="JA ind plástica"/>
    <s v="62981282665"/>
    <s v=""/>
    <s v="big@biglixos.com.br"/>
    <s v=""/>
    <s v=""/>
    <s v=""/>
    <s v=""/>
    <s v=""/>
    <s v="Campanha"/>
    <s v=""/>
    <s v=""/>
    <s v="Dentro Perfil;Instagram"/>
    <s v="Pipeline de Vendas"/>
    <s v="Qualificação de Vendas (SQL) (25%)"/>
    <s v=""/>
    <m/>
    <m/>
    <m/>
    <n v="23"/>
    <s v="Paulo Souza"/>
    <d v="2026-04-27T00:00:00"/>
    <d v="1899-12-30T15:58:51"/>
    <s v=""/>
    <s v="Ativo"/>
    <m/>
    <m/>
    <s v=""/>
    <s v=""/>
    <s v=""/>
    <x v="0"/>
    <s v="Rayssa Karapeticov"/>
    <x v="0"/>
    <s v=""/>
    <d v="2026-05-13T00:00:00"/>
    <n v="30"/>
    <s v=""/>
    <s v=""/>
    <s v=""/>
    <s v=""/>
    <n v="1"/>
  </r>
  <r>
    <x v="2"/>
    <n v="1149"/>
    <m/>
    <n v="3596"/>
    <s v=""/>
    <s v=""/>
    <x v="624"/>
    <n v="44922087000120"/>
    <s v=""/>
    <s v="Invictus Soluções Integradas Ltda"/>
    <s v="(34) 3817-8240"/>
    <s v=""/>
    <s v="licitacao.invictus@gmail.com"/>
    <s v=""/>
    <s v=""/>
    <s v=""/>
    <s v="COROMANDEL"/>
    <s v="MG"/>
    <s v="Campanha"/>
    <s v=""/>
    <s v=""/>
    <s v="Fora Perfil;Instagram"/>
    <s v="Pipeline de Vendas"/>
    <s v="Agendamento (0%)"/>
    <s v=""/>
    <m/>
    <m/>
    <m/>
    <n v="12"/>
    <s v="Paulo Souza"/>
    <d v="2026-04-27T00:00:00"/>
    <d v="1899-12-30T16:00:22"/>
    <s v=""/>
    <s v="Perdido"/>
    <d v="2026-05-09T00:00:00"/>
    <d v="1899-12-30T08:50:26"/>
    <s v="Fora do segmento atendido"/>
    <s v=""/>
    <s v=""/>
    <x v="0"/>
    <s v="Rayssa Karapeticov"/>
    <x v="0"/>
    <s v=""/>
    <m/>
    <n v="30"/>
    <s v=""/>
    <s v=""/>
    <s v=""/>
    <s v=""/>
    <n v="1"/>
  </r>
  <r>
    <x v="1"/>
    <n v="1150"/>
    <m/>
    <n v="3597"/>
    <s v="16:36, 27/04/2026 Junior Lopes: Olá Paulo , boa tarde_x000a_16:37, 27/04/2026 Junior Lopes: Junior da Guarani sistemas por aqui_x000a_16:37, 27/04/2026 Junior Lopes: Td bem ?_x000a_11:46, 28/04/2026 Junior Lopes: Paulo , tudo bem ? _x000a_Não tive seu retorno _x000a_De qualquer forma pode me chamar caso queira dar continuidade _x000a_Um abraço"/>
    <s v=""/>
    <x v="625"/>
    <m/>
    <s v=""/>
    <s v="Paulo Sergio"/>
    <s v="(67) 99341-4113"/>
    <s v=""/>
    <s v="paulopedradagua@gmail.com"/>
    <s v=""/>
    <s v=""/>
    <s v=""/>
    <s v="Campo Grande"/>
    <s v=""/>
    <s v="Site"/>
    <s v=""/>
    <s v=""/>
    <s v="Solicita demo"/>
    <s v="Pipeline de Vendas"/>
    <s v="Agendamento (0%)"/>
    <s v=""/>
    <m/>
    <m/>
    <m/>
    <n v="1"/>
    <s v="Paulo Souza"/>
    <d v="2026-04-27T00:00:00"/>
    <d v="1899-12-30T16:01:20"/>
    <s v=""/>
    <s v="Perdido"/>
    <d v="2026-04-28T00:00:00"/>
    <d v="1899-12-30T11:47:45"/>
    <s v="Nossa solução não atende - falta funcionalidade"/>
    <s v="16:36, 27/04/2026 Junior Lopes: Olá Paulo , boa tarde_x000a_16:37, 27/04/2026 Junior Lopes: Junior da Guarani sistemas por aqui_x000a_16:37, 27/04/2026 Junior Lopes: Td bem ?_x000a_11:46, 28/04/2026 Junior Lopes: Paulo , tudo bem ? _x000a_Não tive seu retorno _x000a_De qualquer forma pode me chamar caso queira dar continuidade _x000a_Um abraço"/>
    <s v=""/>
    <x v="0"/>
    <s v="Junior Lopes"/>
    <x v="0"/>
    <s v=""/>
    <m/>
    <n v="30"/>
    <s v=""/>
    <s v=""/>
    <s v=""/>
    <s v=""/>
    <n v="1"/>
  </r>
  <r>
    <x v="1"/>
    <n v="1151"/>
    <m/>
    <n v="3602"/>
    <s v="28/04/2026) tentativa de contato não atendida , em uma busca sobre o lead, percebi que esta fora do perfil , revendedor de têni"/>
    <s v=""/>
    <x v="626"/>
    <m/>
    <s v=""/>
    <s v="GRIJALBA AGUIAR LINHARES"/>
    <s v="85985507327"/>
    <s v=""/>
    <s v="grijalbalinhares@gmail.com"/>
    <s v=""/>
    <s v=""/>
    <s v=""/>
    <s v=""/>
    <s v=""/>
    <s v="Campanha"/>
    <s v=""/>
    <s v=""/>
    <s v="Fora Perfil;Instagram"/>
    <s v="Pipeline de Vendas"/>
    <s v="Agendamento (0%)"/>
    <s v=""/>
    <m/>
    <m/>
    <m/>
    <n v="1"/>
    <s v="Paulo Souza"/>
    <d v="2026-04-27T00:00:00"/>
    <d v="1899-12-30T16:02:02"/>
    <s v=""/>
    <s v="Perdido"/>
    <d v="2026-04-28T00:00:00"/>
    <d v="1899-12-30T11:21:54"/>
    <s v="Fora do porte mínimo (sem fit estrutural)"/>
    <s v="fora do perfil, revendedor de tenis"/>
    <s v=""/>
    <x v="0"/>
    <s v="Junior Lopes"/>
    <x v="0"/>
    <s v=""/>
    <m/>
    <n v="30"/>
    <s v=""/>
    <s v=""/>
    <s v=""/>
    <s v=""/>
    <n v="1"/>
  </r>
  <r>
    <x v="2"/>
    <n v="1152"/>
    <m/>
    <n v="3608"/>
    <s v=""/>
    <s v=""/>
    <x v="627"/>
    <n v="9073191000196"/>
    <s v=""/>
    <s v="Megacenter trading"/>
    <s v="45999334900"/>
    <s v=""/>
    <s v="eduardo@megacenteratacado.com.br"/>
    <s v=""/>
    <s v=""/>
    <s v=""/>
    <s v=""/>
    <s v="Foz do iguaçu"/>
    <s v="Inbound"/>
    <s v=""/>
    <s v=""/>
    <s v="Dentro Perfil;Instagram"/>
    <s v="Pipeline de Vendas"/>
    <s v="Qualificação de Vendas (SQL) (25%)"/>
    <s v=""/>
    <m/>
    <m/>
    <m/>
    <n v="21"/>
    <s v="Paulo Souza"/>
    <d v="2026-04-29T00:00:00"/>
    <d v="1899-12-30T07:28:01"/>
    <s v=""/>
    <s v="Ativo"/>
    <m/>
    <m/>
    <s v=""/>
    <s v=""/>
    <s v=""/>
    <x v="0"/>
    <s v="Rayssa Karapeticov"/>
    <x v="0"/>
    <s v=""/>
    <d v="2026-05-13T00:00:00"/>
    <n v="30"/>
    <s v=""/>
    <s v=""/>
    <s v=""/>
    <s v=""/>
    <n v="1"/>
  </r>
  <r>
    <x v="1"/>
    <n v="1153"/>
    <m/>
    <n v="3609"/>
    <s v=""/>
    <s v=""/>
    <x v="628"/>
    <m/>
    <s v=""/>
    <s v="Distribuidora Robaski"/>
    <s v="51998484595"/>
    <s v=""/>
    <s v="edson@robaski.com.br"/>
    <s v=""/>
    <s v=""/>
    <s v=""/>
    <s v=""/>
    <s v=""/>
    <s v="Campanha"/>
    <s v=""/>
    <s v=""/>
    <s v="Dentro Perfil;Instagram"/>
    <s v="Pipeline de Vendas"/>
    <s v="Qualificação de Vendas (SQL) (25%)"/>
    <s v=""/>
    <m/>
    <m/>
    <m/>
    <n v="21"/>
    <s v="Paulo Souza"/>
    <d v="2026-04-29T00:00:00"/>
    <d v="1899-12-30T07:29:14"/>
    <s v=""/>
    <s v="Ativo"/>
    <m/>
    <m/>
    <s v=""/>
    <s v=""/>
    <s v=""/>
    <x v="0"/>
    <s v="Junior Lopes"/>
    <x v="0"/>
    <s v=""/>
    <d v="2026-05-06T00:00:00"/>
    <n v="30"/>
    <s v=""/>
    <s v=""/>
    <s v=""/>
    <s v=""/>
    <n v="1"/>
  </r>
  <r>
    <x v="2"/>
    <n v="1154"/>
    <m/>
    <n v="3610"/>
    <s v=""/>
    <s v=""/>
    <x v="629"/>
    <n v="8051809000154"/>
    <s v=""/>
    <s v="Rc distribuidora"/>
    <s v="93991455102"/>
    <s v=""/>
    <s v="dis.aliaca@gemai.com"/>
    <s v=""/>
    <s v=""/>
    <s v=""/>
    <s v=""/>
    <s v=""/>
    <s v="Campanha"/>
    <s v=""/>
    <s v=""/>
    <s v="Dentro Perfil;Instagram"/>
    <s v="Pipeline de Vendas"/>
    <s v="Qualificação de Vendas (SQL) (25%)"/>
    <s v=""/>
    <m/>
    <m/>
    <m/>
    <n v="14"/>
    <s v="Paulo Souza"/>
    <d v="2026-04-29T00:00:00"/>
    <d v="1899-12-30T07:30:18"/>
    <s v=""/>
    <s v="Perdido"/>
    <d v="2026-05-13T00:00:00"/>
    <d v="1899-12-30T12:45:34"/>
    <s v="Sem qualificação — contato não atende ligações nem responde msg"/>
    <s v=""/>
    <s v=""/>
    <x v="0"/>
    <s v="Rayssa Karapeticov"/>
    <x v="0"/>
    <s v=""/>
    <d v="2026-05-04T00:00:00"/>
    <n v="30"/>
    <s v=""/>
    <s v=""/>
    <s v=""/>
    <s v=""/>
    <n v="1"/>
  </r>
  <r>
    <x v="1"/>
    <n v="1155"/>
    <m/>
    <n v="3611"/>
    <s v="08:59, 29/04/2026 Junior Lopes: Olá Antonio , bom dia_x000a_09:00, 29/04/2026 Junior Lopes: Junior da Guarani sistemas por aqui_x000a_16:55, 04/05/2026 Junior Lopes: Olá Antonio ! Boa tarde"/>
    <s v=""/>
    <x v="630"/>
    <n v="8962163000167"/>
    <s v=""/>
    <s v="Antonio Rodriguez"/>
    <s v="31992924902"/>
    <s v=""/>
    <s v="ar@linexgel.com.br"/>
    <s v=""/>
    <s v=""/>
    <s v=""/>
    <s v=""/>
    <s v="Contagem"/>
    <s v="Inbound"/>
    <s v=""/>
    <s v=""/>
    <s v="Dentro Perfil;Instagram"/>
    <s v="Pipeline de Vendas"/>
    <s v="Qualificação de Vendas (SQL) (25%)"/>
    <s v=""/>
    <m/>
    <m/>
    <m/>
    <n v="21"/>
    <s v="Paulo Souza"/>
    <d v="2026-04-29T00:00:00"/>
    <d v="1899-12-30T07:31:11"/>
    <s v=""/>
    <s v="Ativo"/>
    <m/>
    <m/>
    <s v=""/>
    <s v=""/>
    <s v=""/>
    <x v="0"/>
    <s v="Junior Lopes"/>
    <x v="0"/>
    <s v=""/>
    <d v="2026-05-04T00:00:00"/>
    <n v="30"/>
    <s v=""/>
    <s v=""/>
    <s v=""/>
    <s v=""/>
    <n v="1"/>
  </r>
  <r>
    <x v="2"/>
    <n v="1156"/>
    <m/>
    <n v="3612"/>
    <s v=""/>
    <s v=""/>
    <x v="631"/>
    <n v="11513572000190"/>
    <s v=""/>
    <s v="Brsafe Comércio de Epis Ltda"/>
    <s v="43999150512"/>
    <s v=""/>
    <s v="comercial@brsafeepi.com.br"/>
    <s v=""/>
    <s v=""/>
    <s v=""/>
    <s v=""/>
    <s v="Arapongas"/>
    <s v="Inbound"/>
    <s v=""/>
    <s v=""/>
    <s v="Dentro Perfil;Instagram"/>
    <s v="Pipeline de Vendas"/>
    <s v="Qualificação de Vendas (SQL) (25%)"/>
    <s v=""/>
    <d v="2026-05-13T00:00:00"/>
    <m/>
    <m/>
    <n v="14"/>
    <s v="Paulo Souza"/>
    <d v="2026-04-29T00:00:00"/>
    <d v="1899-12-30T07:32:06"/>
    <s v=""/>
    <s v="Perdido"/>
    <d v="2026-05-13T00:00:00"/>
    <d v="1899-12-30T12:42:56"/>
    <s v="Sem qualificação — contato não atende ligações nem responde msg"/>
    <s v=""/>
    <s v=""/>
    <x v="0"/>
    <s v="Rayssa Karapeticov"/>
    <x v="0"/>
    <s v=""/>
    <d v="2026-05-04T00:00:00"/>
    <n v="30"/>
    <s v=""/>
    <s v=""/>
    <s v=""/>
    <s v=""/>
    <n v="1"/>
  </r>
  <r>
    <x v="1"/>
    <n v="1159"/>
    <m/>
    <n v="3692"/>
    <s v=""/>
    <s v=""/>
    <x v="632"/>
    <m/>
    <s v=""/>
    <s v="MDL (HOras)"/>
    <s v="11910695515"/>
    <s v=""/>
    <s v="janaina@mdlimport.com.br"/>
    <s v=""/>
    <s v=""/>
    <s v=""/>
    <s v=""/>
    <s v=""/>
    <s v=""/>
    <s v=""/>
    <s v=""/>
    <s v=""/>
    <s v="Pipeline de Vendas"/>
    <s v="Em Fechamento (100%)"/>
    <s v=""/>
    <m/>
    <n v="1485378"/>
    <n v="0"/>
    <n v="14"/>
    <s v="Junior Lopes"/>
    <d v="2026-04-30T00:00:00"/>
    <d v="1899-12-30T14:26:58"/>
    <s v=""/>
    <s v="Ganho"/>
    <d v="2026-05-14T00:00:00"/>
    <d v="1899-12-30T09:17:07"/>
    <s v=""/>
    <s v=""/>
    <s v=""/>
    <x v="212"/>
    <s v=""/>
    <x v="0"/>
    <s v=""/>
    <d v="2026-05-14T00:00:00"/>
    <n v="90"/>
    <s v=""/>
    <s v=""/>
    <s v=""/>
    <s v=""/>
    <n v="1"/>
  </r>
  <r>
    <x v="1"/>
    <n v="1160"/>
    <m/>
    <n v="3693"/>
    <s v="em contato com Dayane, vamos nos reunir na segunda feira dia 18/05"/>
    <s v=""/>
    <x v="633"/>
    <m/>
    <s v=""/>
    <s v="Tecelagem Castilho (E-commerce)"/>
    <s v="62993609476"/>
    <s v=""/>
    <s v="null"/>
    <s v=""/>
    <s v=""/>
    <s v=""/>
    <s v=""/>
    <s v=""/>
    <s v=""/>
    <s v=""/>
    <s v=""/>
    <s v=""/>
    <s v="Pipeline de Vendas"/>
    <s v="Em negociação (75%)"/>
    <s v=""/>
    <m/>
    <n v="4240"/>
    <n v="7128"/>
    <n v="20"/>
    <s v="Junior Lopes"/>
    <d v="2026-04-30T00:00:00"/>
    <d v="1899-12-30T14:36:01"/>
    <s v=""/>
    <s v="Ativo"/>
    <m/>
    <m/>
    <s v=""/>
    <s v=""/>
    <s v=""/>
    <x v="213"/>
    <s v=""/>
    <x v="234"/>
    <s v=""/>
    <d v="2026-05-18T00:00:00"/>
    <n v="50"/>
    <s v=""/>
    <s v=""/>
    <s v=""/>
    <s v=""/>
    <n v="1"/>
  </r>
  <r>
    <x v="1"/>
    <n v="1161"/>
    <m/>
    <n v="3694"/>
    <s v=""/>
    <s v=""/>
    <x v="634"/>
    <m/>
    <s v=""/>
    <s v="Logro Soft - Comex"/>
    <s v="3133780033"/>
    <s v=""/>
    <s v="supervisoroperacional@logrosoft.com.br"/>
    <s v=""/>
    <s v=""/>
    <s v=""/>
    <s v=""/>
    <s v=""/>
    <s v=""/>
    <s v=""/>
    <s v=""/>
    <s v=""/>
    <s v="Pipeline de Vendas"/>
    <s v="Em negociação (75%)"/>
    <s v=""/>
    <m/>
    <n v="6000"/>
    <n v="2000"/>
    <n v="0"/>
    <s v="Junior Lopes"/>
    <d v="2026-04-30T00:00:00"/>
    <d v="1899-12-30T14:59:00"/>
    <s v=""/>
    <s v="Perdido"/>
    <d v="2026-04-30T00:00:00"/>
    <d v="1899-12-30T15:41:47"/>
    <s v="Não houve aprovação financeira"/>
    <s v="dois pontos que o cliente usou para não seguir ! busca um ERP Mais simples e com valor ,ais em conta"/>
    <s v=""/>
    <x v="214"/>
    <s v=""/>
    <x v="231"/>
    <s v=""/>
    <m/>
    <n v="50"/>
    <s v=""/>
    <s v=""/>
    <s v=""/>
    <s v=""/>
    <n v="1"/>
  </r>
  <r>
    <x v="1"/>
    <n v="1162"/>
    <m/>
    <n v="3637"/>
    <s v="Todos os dados preenchidos:empresa: InfinitTec  name: Pedro Paulo cargo: Proprietário  whatsapp: 69981362005 email: adm@infinittec.com.br referrer: https://www.guaranisistemas.com.br/ _x000a_(04/05/2026) em busca sobre o lead ! _x000a_Infinitec é uma casa de software e controladoria financeira"/>
    <s v=""/>
    <x v="635"/>
    <m/>
    <s v=""/>
    <s v="Pedro Paulo"/>
    <s v=""/>
    <s v=""/>
    <s v="adm@infinittec.com.br"/>
    <s v=""/>
    <s v=""/>
    <s v=""/>
    <s v="Cacoal"/>
    <s v=""/>
    <s v="Inbound"/>
    <s v=""/>
    <s v=""/>
    <s v="Fora Perfil"/>
    <s v="Pipeline de Vendas"/>
    <s v="Agendamento (0%)"/>
    <s v=""/>
    <m/>
    <m/>
    <m/>
    <n v="0"/>
    <s v="Paulo Souza"/>
    <d v="2026-05-04T00:00:00"/>
    <d v="1899-12-30T08:07:13"/>
    <s v=""/>
    <s v="Perdido"/>
    <d v="2026-05-04T00:00:00"/>
    <d v="1899-12-30T09:31:01"/>
    <s v="Fora do porte mínimo (sem fit estrutural)"/>
    <s v="casa de software"/>
    <s v=""/>
    <x v="0"/>
    <s v="Junior Lopes"/>
    <x v="0"/>
    <s v=""/>
    <m/>
    <n v="30"/>
    <s v=""/>
    <s v=""/>
    <s v=""/>
    <s v=""/>
    <n v="1"/>
  </r>
  <r>
    <x v="3"/>
    <n v="1163"/>
    <m/>
    <n v="3638"/>
    <s v="Falei com o Chico: a empresa (atacado) possui 4 lojas e está prestes a inaugurar uma nova filial. Conta com 110 colaboradores (incluindo a equipe interna de vendas/televendas) e 6 representantes comerciais. Atualmente utiliza o sistema RP ERP e demonstrou interesse em conhecer novas opções. Também solicitou referências de clientes da região._x000a_Apresentação agendada para 11/05 às 10h._x000a_(18/05) Enviado msg para Chico a fim de agendar um bate-papo."/>
    <s v=""/>
    <x v="636"/>
    <n v="42263870000101"/>
    <s v=""/>
    <s v="eficaz atacadao da limpeza"/>
    <s v="(67) 9895-2961"/>
    <s v=""/>
    <s v="gerentedevendas@eficazatacadaodalimpeza.com.br"/>
    <s v=""/>
    <s v=""/>
    <s v=""/>
    <s v="CAMPO GRANDE"/>
    <s v="MS"/>
    <s v="Campanha"/>
    <s v=""/>
    <s v=""/>
    <s v="Dentro Perfil;Instagram"/>
    <s v="Pipeline de Vendas"/>
    <s v="Qualificação de Vendas (SQL) (25%)"/>
    <s v=""/>
    <m/>
    <m/>
    <m/>
    <n v="16"/>
    <s v="Paulo Souza"/>
    <d v="2026-05-04T00:00:00"/>
    <d v="1899-12-30T08:10:13"/>
    <s v=""/>
    <s v="Ativo"/>
    <m/>
    <m/>
    <s v=""/>
    <s v=""/>
    <s v=""/>
    <x v="0"/>
    <s v="Ronaldo Nascimento"/>
    <x v="0"/>
    <s v=""/>
    <m/>
    <n v="30"/>
    <s v=""/>
    <s v="AFV, ERP"/>
    <s v=""/>
    <s v=""/>
    <n v="1"/>
  </r>
  <r>
    <x v="2"/>
    <n v="1164"/>
    <m/>
    <n v="3695"/>
    <s v=""/>
    <s v=""/>
    <x v="637"/>
    <n v="64508464000196"/>
    <s v=""/>
    <s v="Shirley"/>
    <s v="41998464626"/>
    <s v=""/>
    <s v="zahrahcezar@gmail.com"/>
    <s v=""/>
    <s v=""/>
    <s v=""/>
    <s v="PIRAQUARA"/>
    <s v="PR"/>
    <s v="Campanha"/>
    <s v=""/>
    <s v=""/>
    <s v="Fora Perfil;Instagram"/>
    <s v="Pipeline de Vendas"/>
    <s v="Qualificação de Vendas (SQL) (25%)"/>
    <s v=""/>
    <m/>
    <m/>
    <m/>
    <n v="4"/>
    <s v="Paulo Souza"/>
    <d v="2026-05-04T00:00:00"/>
    <d v="1899-12-30T08:11:30"/>
    <s v=""/>
    <s v="Perdido"/>
    <d v="2026-05-08T00:00:00"/>
    <d v="1899-12-30T10:31:28"/>
    <s v="Fora do porte mínimo (sem fit estrutural)"/>
    <s v=""/>
    <s v=""/>
    <x v="0"/>
    <s v="Rayssa Karapeticov"/>
    <x v="0"/>
    <s v=""/>
    <d v="2026-05-08T00:00:00"/>
    <n v="31"/>
    <s v=""/>
    <s v=""/>
    <s v=""/>
    <s v=""/>
    <n v="1"/>
  </r>
  <r>
    <x v="1"/>
    <n v="1165"/>
    <m/>
    <n v="3698"/>
    <s v=""/>
    <s v=""/>
    <x v="638"/>
    <n v="15725079000195"/>
    <s v=""/>
    <s v="Edu Autoparts"/>
    <s v="8196028924"/>
    <s v=""/>
    <s v="eduardo@edusomautoparts.com.br"/>
    <s v=""/>
    <s v=""/>
    <s v=""/>
    <s v=""/>
    <s v=""/>
    <s v="Campanha"/>
    <s v=""/>
    <s v=""/>
    <s v="Dentro Perfil;Instagram"/>
    <s v="Pipeline de Vendas"/>
    <s v="Qualificação de Vendas (SQL) (25%)"/>
    <s v=""/>
    <m/>
    <m/>
    <m/>
    <n v="10"/>
    <s v="Paulo Souza"/>
    <d v="2026-05-04T00:00:00"/>
    <d v="1899-12-30T08:13:17"/>
    <s v=""/>
    <s v="Perdido"/>
    <d v="2026-05-14T00:00:00"/>
    <d v="1899-12-30T11:31:32"/>
    <s v="Sem qualificação — contato não atende ligações nem responde msg"/>
    <s v="(14/05/2026) cliente não responde aos contatos"/>
    <s v=""/>
    <x v="0"/>
    <s v="Junior Lopes"/>
    <x v="0"/>
    <s v=""/>
    <d v="2026-05-14T00:00:00"/>
    <n v="28"/>
    <s v=""/>
    <s v=""/>
    <s v=""/>
    <s v=""/>
    <n v="1"/>
  </r>
  <r>
    <x v="3"/>
    <n v="1166"/>
    <m/>
    <n v="3699"/>
    <s v="(04/05) Falei com o Leandro. A empresa utiliza o ERP Excellent Sistemas, mas ele relatou insatisfação principalmente nos módulos de compras e controle de estoque. Está em busca de um sistema mais completo._x000a_Solicitou que eu envie mais informações pelo WhatsApp para, em seguida, agendarmos uma reunião._x000a_Atualmente, a equipe conta com 3 representantes e 3 vendedores internos._x000a_(11/05) Enviado e-mail ao Leandro com informações sobre nossas soluções e possíveis ganhos operacionais nas áreas de compras e controle de estoque. Aguardando retorno para agendamento da apresentação._x000a_(18/05) Enviado WhatsApp para Leandro a fim de agendarmos uma apresentação."/>
    <s v=""/>
    <x v="639"/>
    <m/>
    <s v=""/>
    <s v="Bornia Metais Ltda."/>
    <s v="44991022838"/>
    <s v=""/>
    <s v="gallo.bornia@hotmail.com"/>
    <s v=""/>
    <s v=""/>
    <s v=""/>
    <s v=""/>
    <s v=""/>
    <s v="Campanha"/>
    <s v=""/>
    <s v=""/>
    <s v="Dentro Perfil;Instagram"/>
    <s v="Pipeline de Vendas"/>
    <s v="Qualificação de Vendas (SQL) (25%)"/>
    <s v=""/>
    <m/>
    <m/>
    <m/>
    <n v="16"/>
    <s v="Paulo Souza"/>
    <d v="2026-05-04T00:00:00"/>
    <d v="1899-12-30T08:14:23"/>
    <s v=""/>
    <s v="Ativo"/>
    <m/>
    <m/>
    <s v=""/>
    <s v=""/>
    <s v=""/>
    <x v="0"/>
    <s v="Ronaldo Nascimento"/>
    <x v="0"/>
    <s v=""/>
    <d v="2026-05-11T00:00:00"/>
    <n v="30"/>
    <s v=""/>
    <s v=""/>
    <s v=""/>
    <s v=""/>
    <n v="1"/>
  </r>
  <r>
    <x v="2"/>
    <n v="1167"/>
    <m/>
    <n v="3700"/>
    <s v=""/>
    <s v=""/>
    <x v="640"/>
    <m/>
    <s v=""/>
    <s v="Proprietario"/>
    <s v="5591420014"/>
    <s v=""/>
    <s v="lucasmaslonik@hotmail.com"/>
    <s v=""/>
    <s v=""/>
    <s v=""/>
    <s v=""/>
    <s v=""/>
    <s v="Campanha"/>
    <s v=""/>
    <s v=""/>
    <s v="Fora Perfil;Instagram"/>
    <s v="Pipeline de Vendas"/>
    <s v="Qualificação de Vendas (SQL) (25%)"/>
    <s v=""/>
    <m/>
    <m/>
    <m/>
    <n v="4"/>
    <s v="Paulo Souza"/>
    <d v="2026-05-04T00:00:00"/>
    <d v="1899-12-30T08:15:36"/>
    <s v=""/>
    <s v="Perdido"/>
    <d v="2026-05-08T00:00:00"/>
    <d v="1899-12-30T10:29:39"/>
    <s v="Fora do porte mínimo (sem fit estrutural)"/>
    <s v=""/>
    <s v=""/>
    <x v="0"/>
    <s v="Rayssa Karapeticov"/>
    <x v="0"/>
    <s v=""/>
    <d v="2026-05-08T00:00:00"/>
    <n v="30"/>
    <s v=""/>
    <s v=""/>
    <s v=""/>
    <s v=""/>
    <n v="1"/>
  </r>
  <r>
    <x v="2"/>
    <n v="1168"/>
    <m/>
    <n v="3701"/>
    <s v=""/>
    <s v=""/>
    <x v="641"/>
    <m/>
    <s v=""/>
    <s v="BC"/>
    <s v="14999125373"/>
    <s v=""/>
    <s v="jeruzamocluciano@gmail.com"/>
    <s v=""/>
    <s v=""/>
    <s v=""/>
    <s v=""/>
    <s v=""/>
    <s v="Campanha"/>
    <s v=""/>
    <s v=""/>
    <s v="Dentro Perfil;Instagram"/>
    <s v="Pipeline de Vendas"/>
    <s v="Agendamento (0%)"/>
    <s v=""/>
    <m/>
    <m/>
    <m/>
    <n v="5"/>
    <s v="Paulo Souza"/>
    <d v="2026-05-04T00:00:00"/>
    <d v="1899-12-30T08:16:29"/>
    <s v=""/>
    <s v="Perdido"/>
    <d v="2026-05-09T00:00:00"/>
    <d v="1899-12-30T08:46:59"/>
    <s v="Inválido - empresa não existe / dados errados"/>
    <s v=""/>
    <s v=""/>
    <x v="0"/>
    <s v="Rayssa Karapeticov"/>
    <x v="0"/>
    <s v=""/>
    <m/>
    <n v="30"/>
    <s v=""/>
    <s v=""/>
    <s v=""/>
    <s v=""/>
    <n v="1"/>
  </r>
  <r>
    <x v="1"/>
    <n v="1169"/>
    <m/>
    <n v="3702"/>
    <s v="(04/05/2026) em ligação com Paulo Rosa , _x000a_atualmente usa ERP https://www.etoerp.com.br/_x000a_atualmente esta com dificuldade com PCP em controlar insumos para produção ! esto8u enviando material via e -mail para logo seguirmos com apresentação _x000a_(15/05/2026) após envio de material não obtive mais retorno do Paulo"/>
    <s v=""/>
    <x v="642"/>
    <n v="29795322000156"/>
    <s v=""/>
    <s v="Presystem Projetos e Sistemas Eletrônicos"/>
    <s v="(11) 2031-1273"/>
    <s v=""/>
    <s v="contato@bepcontabilidade.com"/>
    <s v=""/>
    <s v=""/>
    <s v=""/>
    <s v="SAO PAULO"/>
    <s v="SP"/>
    <s v="Campanha"/>
    <s v=""/>
    <s v=""/>
    <s v="Dentro Perfil;Instagram"/>
    <s v="Pipeline de Vendas"/>
    <s v="Qualificação de Vendas (SQL) (25%)"/>
    <s v=""/>
    <m/>
    <m/>
    <m/>
    <n v="11"/>
    <s v="Paulo Souza"/>
    <d v="2026-05-04T00:00:00"/>
    <d v="1899-12-30T08:18:58"/>
    <s v=""/>
    <s v="Perdido"/>
    <d v="2026-05-15T00:00:00"/>
    <d v="1899-12-30T16:29:44"/>
    <s v="Sem qualificação — contato não atende ligações nem responde msg"/>
    <s v="no dia 05/05 cheguei a falar com Paulo, porem após envio do material e esboço de investimento  nao tive mais retorno"/>
    <s v=""/>
    <x v="0"/>
    <s v="Junior Lopes"/>
    <x v="0"/>
    <s v=""/>
    <d v="2026-05-15T00:00:00"/>
    <n v="31"/>
    <s v=""/>
    <s v=""/>
    <s v=""/>
    <s v=""/>
    <n v="1"/>
  </r>
  <r>
    <x v="1"/>
    <n v="1170"/>
    <m/>
    <n v="3704"/>
    <s v="Oi_x000a_hj sou socio na magnus transformadores_x000a_cnpj 27.569.814/0001-06_x000a_utilizamos um erp da empresa unicode_x000a_vou iniciar uma nova empresa de forma individual com a mesma atividade fabricação de transformadores_x000a_preciso de um sistema para gerir todas as estapas do processo da empresa_x000a_vendas, compras, produção, financeiro_x000a_(15/05/2026) depois da ultima conversa com Raul , dei um esboço do investimento logo não tivemos mais retorno"/>
    <s v=""/>
    <x v="643"/>
    <m/>
    <s v=""/>
    <s v="Ivan Edson Dias"/>
    <s v="(11) 95811-0104"/>
    <s v=""/>
    <s v="ivanedson77@gmail.com"/>
    <s v=""/>
    <s v=""/>
    <s v=""/>
    <s v="São Paulo"/>
    <s v=""/>
    <s v="Site"/>
    <s v=""/>
    <s v=""/>
    <s v="Dentro Perfil;Solicita demo"/>
    <s v="Pipeline de Vendas"/>
    <s v="Qualificação de Vendas (SQL) (25%)"/>
    <s v=""/>
    <m/>
    <m/>
    <m/>
    <n v="11"/>
    <s v="Paulo Souza"/>
    <d v="2026-05-04T00:00:00"/>
    <d v="1899-12-30T08:20:31"/>
    <s v=""/>
    <s v="Perdido"/>
    <d v="2026-05-15T00:00:00"/>
    <d v="1899-12-30T16:22:29"/>
    <s v="Não houve aprovação financeira"/>
    <s v="(15/05/2026) depois da ultima conversa com Ivan , dei um esboço do investimento logo não tivemos mais retorno"/>
    <s v=""/>
    <x v="0"/>
    <s v="Junior Lopes"/>
    <x v="0"/>
    <s v=""/>
    <d v="2026-05-15T00:00:00"/>
    <n v="30"/>
    <s v=""/>
    <s v=""/>
    <s v=""/>
    <s v=""/>
    <n v="1"/>
  </r>
  <r>
    <x v="3"/>
    <n v="1171"/>
    <m/>
    <n v="3705"/>
    <s v="(04/05) Realizado ligação, porém, caiu na caixa postal. Enviado msg por WhatsApp._x000a_(11/05) Enviado WhatsApp para Raimundo com o objetivo de verificar o melhor horário para realizar contato telefônico."/>
    <s v=""/>
    <x v="644"/>
    <m/>
    <s v=""/>
    <s v="Ellform"/>
    <s v="7187881309"/>
    <s v=""/>
    <s v="racoelhoneto@hotmail.com"/>
    <s v=""/>
    <s v=""/>
    <s v=""/>
    <s v=""/>
    <s v=""/>
    <s v="Campanha"/>
    <s v=""/>
    <s v=""/>
    <s v="Dentro Perfil;Instagram"/>
    <s v="Pipeline de Vendas"/>
    <s v="Qualificação de Vendas (SQL) (25%)"/>
    <s v=""/>
    <m/>
    <m/>
    <m/>
    <n v="14"/>
    <s v="Paulo Souza"/>
    <d v="2026-05-04T00:00:00"/>
    <d v="1899-12-30T08:21:13"/>
    <s v=""/>
    <s v="Perdido"/>
    <d v="2026-05-18T00:00:00"/>
    <d v="1899-12-30T09:31:54"/>
    <s v="Sem qualificação — contato não atende ligações nem responde msg"/>
    <s v="(18/05) Raimundo não retornou meus contatos. Enviei uma mensagem encerrando o atendimento no momento, mas deixei meu contato à disposição para um possível retorno futuro."/>
    <s v=""/>
    <x v="0"/>
    <s v="Ronaldo Nascimento"/>
    <x v="0"/>
    <s v=""/>
    <d v="2026-05-11T00:00:00"/>
    <n v="30"/>
    <s v=""/>
    <s v=""/>
    <s v=""/>
    <s v=""/>
    <n v="1"/>
  </r>
  <r>
    <x v="3"/>
    <n v="1172"/>
    <m/>
    <n v="3706"/>
    <s v="(04/05) Realizado ligação, porém, caiu na caixa postal. Enviado msg por WhatsApp._x000a_(11/05) Enviado WhatsApp para Márcio com o objetivo de verificar o melhor horário para realizar contato telefônico._x000a_(18/05) Tentei contato novamente com Márcio, porém, sem sucesso (Ligação e WhatsApp). Enviado e-mail antes de perder o negócio."/>
    <s v=""/>
    <x v="645"/>
    <n v="32268865000391"/>
    <s v=""/>
    <s v="Morefix"/>
    <s v="19991043105"/>
    <s v=""/>
    <s v="marcio.soares@morefix.com.br"/>
    <s v=""/>
    <s v=""/>
    <s v=""/>
    <s v=""/>
    <s v=""/>
    <s v="Campanha"/>
    <s v=""/>
    <s v=""/>
    <s v="Dentro Perfil;Instagram"/>
    <s v="Pipeline de Vendas"/>
    <s v="Qualificação de Vendas (SQL) (25%)"/>
    <s v=""/>
    <m/>
    <m/>
    <m/>
    <n v="16"/>
    <s v="Paulo Souza"/>
    <d v="2026-05-04T00:00:00"/>
    <d v="1899-12-30T08:22:02"/>
    <s v=""/>
    <s v="Ativo"/>
    <m/>
    <m/>
    <s v=""/>
    <s v=""/>
    <s v=""/>
    <x v="0"/>
    <s v="Ronaldo Nascimento"/>
    <x v="0"/>
    <s v=""/>
    <d v="2026-05-11T00:00:00"/>
    <n v="30"/>
    <s v=""/>
    <s v=""/>
    <s v=""/>
    <s v=""/>
    <n v="1"/>
  </r>
  <r>
    <x v="1"/>
    <n v="1173"/>
    <m/>
    <n v="3707"/>
    <s v="(04/05/2026) tentativa de ligação ! porem numero somente WhatsApp_x000a_(04/05/2026) em contato com Sérgio ! _x000a_em ligação se identificou e já foi cliente Guarani na oportunidade migrou para Winthor ! _x000a_pediu uma ideia de investimento para entender sobre uma eventual mudança ! estou batalhando para nos reunirmos para uma breve apresentação _x000a_Tentativa de contato : _x000a_ 14:51, 04/05/2026 Junior Lopes: Olá Sérgio ! Boa tarde_x000a_14:51, 04/05/2026 Junior Lopes: Junior da Guarani sistemas por aqui ! Td bem ?_x000a_(15/05/2026) tentaiva de ligação não atendia com Sérgio, a ideia é fazer apresentação"/>
    <s v=""/>
    <x v="646"/>
    <n v="1784943000115"/>
    <s v=""/>
    <s v="Astrum Distribuidora"/>
    <s v="38988234018"/>
    <s v=""/>
    <s v="sergio@resendesantos.com.br"/>
    <s v=""/>
    <s v=""/>
    <s v=""/>
    <s v=""/>
    <s v="Montes Claros"/>
    <s v="Inbound"/>
    <s v=""/>
    <s v=""/>
    <s v="Dentro Perfil;Instagram"/>
    <s v="Pipeline de Vendas"/>
    <s v="Qualificação de Vendas (SQL) (25%)"/>
    <s v=""/>
    <m/>
    <m/>
    <m/>
    <n v="16"/>
    <s v="Paulo Souza"/>
    <d v="2026-05-04T00:00:00"/>
    <d v="1899-12-30T08:23:02"/>
    <s v=""/>
    <s v="Ativo"/>
    <m/>
    <m/>
    <s v=""/>
    <s v=""/>
    <s v=""/>
    <x v="0"/>
    <s v="Junior Lopes"/>
    <x v="0"/>
    <s v=""/>
    <d v="2026-05-15T00:00:00"/>
    <n v="30"/>
    <s v=""/>
    <s v=""/>
    <s v=""/>
    <s v=""/>
    <n v="1"/>
  </r>
  <r>
    <x v="3"/>
    <n v="1174"/>
    <m/>
    <n v="3708"/>
    <s v="(04/05) Entrei em contato e falei com Luis. Informou que João estará na empresa à partir das 16h, pediu para retornar neste horário._x000a_(06/05) Entrei em contato com o Luis, que solicitou o envio das informações por e-mail ao João. Ficou combinado retorno amanhã às 11h30._x000a_(11/05) Realizada nova tentativa de contato com João, porém sem sucesso. Enviado e-mail com o objetivo de agendar um bate-papo para apresentação das soluções._x000a_(18/05) Como não tive retorno (ligação), enviado e-mail para João antes de perder o negócio."/>
    <s v=""/>
    <x v="647"/>
    <n v="10667844000144"/>
    <s v=""/>
    <s v="ferragens renova"/>
    <s v="5134904475"/>
    <s v=""/>
    <s v="diretoria@ferragensrenova.com.br"/>
    <s v=""/>
    <s v=""/>
    <s v=""/>
    <s v=""/>
    <s v=""/>
    <s v="Campanha"/>
    <s v=""/>
    <s v=""/>
    <s v="Dentro Perfil;Instagram"/>
    <s v="Pipeline de Vendas"/>
    <s v="Qualificação de Vendas (SQL) (25%)"/>
    <s v=""/>
    <m/>
    <m/>
    <m/>
    <n v="16"/>
    <s v="Paulo Souza"/>
    <d v="2026-05-04T00:00:00"/>
    <d v="1899-12-30T08:23:51"/>
    <s v=""/>
    <s v="Ativo"/>
    <m/>
    <m/>
    <s v=""/>
    <s v=""/>
    <s v=""/>
    <x v="0"/>
    <s v="Ronaldo Nascimento"/>
    <x v="0"/>
    <s v=""/>
    <d v="2026-05-11T00:00:00"/>
    <n v="30"/>
    <s v=""/>
    <s v=""/>
    <s v=""/>
    <s v=""/>
    <n v="1"/>
  </r>
  <r>
    <x v="3"/>
    <n v="1175"/>
    <n v="213"/>
    <n v="3714"/>
    <s v="(04/05) Falei com o Thiago: ele está em fechamento e com dois colaboradores do administrativo em férias. Após essa semana, irá verificar uma agenda para conversarmos. Retornar na segunda-feira._x000a_(11/05) Enviado msg para Thiago a fim de agendar um bate-papo."/>
    <s v=""/>
    <x v="648"/>
    <n v="3670607000177"/>
    <s v="RV DISTRIBUIDORA DE GENEROS ALIMENTICIOS LTDA"/>
    <s v="Thiago Barbosa"/>
    <s v="(16) 98127-4870"/>
    <s v="16981274870"/>
    <s v="rvdistribuidora123@gmail.com"/>
    <s v="Matriz"/>
    <s v=""/>
    <s v="AV LUIZ ALFREDO DE MELO ROSA 460"/>
    <s v="IBATE"/>
    <s v="SP"/>
    <s v="Outbound"/>
    <s v="Outbound"/>
    <s v=""/>
    <s v="Dentro Perfil"/>
    <s v="Pipeline de Vendas"/>
    <s v="Qualificação de Vendas (SQL) (25%)"/>
    <s v=""/>
    <m/>
    <m/>
    <m/>
    <n v="16"/>
    <s v="Paulo Souza"/>
    <d v="2026-05-04T00:00:00"/>
    <d v="1899-12-30T08:43:59"/>
    <s v=""/>
    <s v="Ativo"/>
    <m/>
    <m/>
    <s v=""/>
    <s v=""/>
    <s v=""/>
    <x v="0"/>
    <s v="Ronaldo Nascimento"/>
    <x v="0"/>
    <s v=""/>
    <d v="2026-05-11T00:00:00"/>
    <n v="30"/>
    <s v=""/>
    <s v=""/>
    <s v=""/>
    <s v=""/>
    <n v="1"/>
  </r>
  <r>
    <x v="2"/>
    <n v="1176"/>
    <m/>
    <n v="3716"/>
    <s v=""/>
    <s v=""/>
    <x v="649"/>
    <n v="52696640000181"/>
    <s v=""/>
    <s v="Aparecido Ribeiro Molina Junior"/>
    <s v="(19) 99788-2241"/>
    <s v=""/>
    <s v="gerencia@grupogadulog.com.br"/>
    <s v=""/>
    <s v=""/>
    <s v=""/>
    <s v="DESCALVADO"/>
    <s v="SP"/>
    <s v="Site"/>
    <s v=""/>
    <s v=""/>
    <s v="Fora Perfil;Solicita demo"/>
    <s v="Pipeline de Vendas"/>
    <s v="Qualificação de Vendas (SQL) (25%)"/>
    <s v=""/>
    <m/>
    <m/>
    <m/>
    <n v="4"/>
    <s v="Paulo Souza"/>
    <d v="2026-05-04T00:00:00"/>
    <d v="1899-12-30T15:45:58"/>
    <s v=""/>
    <s v="Perdido"/>
    <d v="2026-05-08T00:00:00"/>
    <d v="1899-12-30T12:09:14"/>
    <s v="Fora do porte mínimo (sem fit estrutural)"/>
    <s v=""/>
    <s v=""/>
    <x v="0"/>
    <s v="Rayssa Karapeticov"/>
    <x v="0"/>
    <s v=""/>
    <d v="2026-05-05T00:00:00"/>
    <n v="30"/>
    <s v=""/>
    <s v=""/>
    <s v=""/>
    <s v=""/>
    <n v="1"/>
  </r>
  <r>
    <x v="1"/>
    <n v="1177"/>
    <m/>
    <n v="3732"/>
    <s v=""/>
    <s v=""/>
    <x v="650"/>
    <n v="36356922000183"/>
    <s v=""/>
    <s v="Istok comércio"/>
    <s v="(11) 2361-7746"/>
    <s v=""/>
    <s v="diogo.contabilidade@yahoo.com.br"/>
    <s v=""/>
    <s v=""/>
    <s v=""/>
    <s v="SAO PAULO"/>
    <s v="SP"/>
    <s v=""/>
    <s v=""/>
    <s v=""/>
    <s v=""/>
    <s v="Pipeline de Vendas"/>
    <s v="Em Fechamento (100%)"/>
    <s v=""/>
    <m/>
    <n v="694512"/>
    <n v="201348"/>
    <n v="14"/>
    <s v="Junior Lopes"/>
    <d v="2026-05-05T00:00:00"/>
    <d v="1899-12-30T16:57:12"/>
    <s v=""/>
    <s v="Ganho"/>
    <d v="2026-05-19T00:00:00"/>
    <d v="1899-12-30T14:28:32"/>
    <s v=""/>
    <s v=""/>
    <s v=""/>
    <x v="215"/>
    <s v=""/>
    <x v="235"/>
    <s v="12/05/2026"/>
    <m/>
    <n v="50"/>
    <s v=""/>
    <s v=""/>
    <s v=""/>
    <s v=""/>
    <n v="1"/>
  </r>
  <r>
    <x v="3"/>
    <n v="1178"/>
    <n v="263"/>
    <n v="3734"/>
    <s v="(11/05) Enviada nova mensagem via LinkedIn para Rodrigo Buzinari. Em 05/05, também foi encaminhado e-mail para Rodrigo Furtado (diretor)._x000a_(18/05) Enviado e-mail para Rodrigo, antes de perder o negócio."/>
    <s v=""/>
    <x v="651"/>
    <n v="20718183000192"/>
    <s v="PETIKO COMERCIO E DISTRIBUICAO DE PRODUTOS PET S.A"/>
    <s v="Rodrigo José Buzinari"/>
    <s v="(16) 33712-3681"/>
    <s v=""/>
    <s v="eucuidoparavoce@doutorcontabil.com.br"/>
    <s v="Matriz"/>
    <s v=""/>
    <s v="R FRANCISCO MARICONDI 254"/>
    <s v="SAO CARLOS"/>
    <s v="SP"/>
    <s v=""/>
    <s v=""/>
    <s v=""/>
    <s v="Dentro Perfil"/>
    <s v="Pipeline de Vendas"/>
    <s v="Qualificação de Vendas (SQL) (25%)"/>
    <s v=""/>
    <m/>
    <m/>
    <m/>
    <n v="15"/>
    <s v="Ronaldo Nascimento"/>
    <d v="2026-05-05T00:00:00"/>
    <d v="1899-12-30T17:25:14"/>
    <s v=""/>
    <s v="Ativo"/>
    <m/>
    <m/>
    <s v=""/>
    <s v=""/>
    <s v=""/>
    <x v="0"/>
    <s v=""/>
    <x v="0"/>
    <s v=""/>
    <d v="2026-05-11T00:00:00"/>
    <n v="30"/>
    <s v=""/>
    <s v=""/>
    <s v=""/>
    <s v=""/>
    <n v="1"/>
  </r>
  <r>
    <x v="3"/>
    <n v="1179"/>
    <m/>
    <n v="3735"/>
    <s v="(06/05) Realizei contato telefônico com Lucianei, que informou não poder falar no momento e que retornaria assim que possível. Também enviei mensagem via WhatsApp para acompanhamento._x000a_(07/05) Realizo novo contato por WhatsApp. (Telefone deu caixa portal)_x000a_(11/05) Realizada nova tentativa de contato com Luciane, porém sem sucesso. Enviada nova mensagem via WhatsApp._x000a_(18/05) Luciane não retornou meus contatos. Enviei uma mensagem encerrando o atendimento no momento, mas deixei meu contato à disposição para um possível retorno futuro."/>
    <s v=""/>
    <x v="652"/>
    <m/>
    <s v=""/>
    <s v="Querosmais"/>
    <s v="41988659245"/>
    <s v=""/>
    <s v="querosmais@ig.com.br"/>
    <s v=""/>
    <s v=""/>
    <s v=""/>
    <s v=""/>
    <s v=""/>
    <s v="Campanha"/>
    <s v=""/>
    <s v=""/>
    <s v="Dentro Perfil;Instagram"/>
    <s v="Pipeline de Vendas"/>
    <s v="Qualificação de Vendas (SQL) (25%)"/>
    <s v=""/>
    <m/>
    <m/>
    <m/>
    <n v="12"/>
    <s v="Paulo Souza"/>
    <d v="2026-05-06T00:00:00"/>
    <d v="1899-12-30T03:15:00"/>
    <s v=""/>
    <s v="Perdido"/>
    <d v="2026-05-18T00:00:00"/>
    <d v="1899-12-30T10:08:21"/>
    <s v="Sem qualificação — contato não atende ligações nem responde msg"/>
    <s v="(18/05) Luciane não retornou meus contatos. Enviei uma mensagem encerrando o atendimento no momento, mas deixei meu contato à disposição para um possível retorno futuro."/>
    <s v=""/>
    <x v="0"/>
    <s v="Ronaldo Nascimento"/>
    <x v="0"/>
    <s v=""/>
    <d v="2026-05-11T00:00:00"/>
    <n v="30"/>
    <s v=""/>
    <s v=""/>
    <s v=""/>
    <s v=""/>
    <n v="1"/>
  </r>
  <r>
    <x v="3"/>
    <n v="1180"/>
    <m/>
    <n v="3718"/>
    <s v="(06/05) Realizei contato telefônico com Marcelo. A empresa utiliza o sistema Sankhya e demonstrou insatisfação. Possuem vendedores internos e representantes comerciais. Apresentação agendada para quinta-feira (07/05), às 15h._x000a_(07/05) Realizada apresentação para o Marcelo. A reunião foi conduzida pelo Paulo, eu acompanhei._x000a_O projeto contempla aproximadamente 13 usuários entre ERP e AFV. Foi enviado o formulário para preenchimento e, posteriormente, será realizada a emissão da proposta._x000a_Obs.: Marcelo está ciente das horas de implantação._x000a_(14/05) Enviado WhatsApp para Marcelo solicitando um retorno sobre a proposta apresentada."/>
    <s v=""/>
    <x v="653"/>
    <n v="4184739000151"/>
    <s v=""/>
    <s v="Fikssar distribuidora LTDA"/>
    <s v="34996787403"/>
    <s v=""/>
    <s v="marcelojsilva@fikssar.com.br"/>
    <s v=""/>
    <s v=""/>
    <s v=""/>
    <s v=""/>
    <s v="Patos  de Minas"/>
    <s v="Inbound"/>
    <s v=""/>
    <s v=""/>
    <s v="Dentro Perfil;Instagram"/>
    <s v="Pipeline de Vendas"/>
    <s v="Em negociação (75%)"/>
    <s v=""/>
    <m/>
    <n v="8585802"/>
    <m/>
    <n v="14"/>
    <s v="Paulo Souza"/>
    <d v="2026-05-06T00:00:00"/>
    <d v="1899-12-30T03:16:48"/>
    <s v=""/>
    <s v="Ativo"/>
    <m/>
    <m/>
    <s v=""/>
    <s v=""/>
    <s v=""/>
    <x v="215"/>
    <s v="Ronaldo Nascimento"/>
    <x v="236"/>
    <s v=""/>
    <d v="2026-05-12T00:00:00"/>
    <n v="50"/>
    <s v=""/>
    <s v="AFV, ERP"/>
    <s v=""/>
    <s v=""/>
    <n v="1"/>
  </r>
  <r>
    <x v="3"/>
    <n v="1181"/>
    <m/>
    <n v="3720"/>
    <s v="(06/05) Tentei contato telefônico, porém a chamada foi direcionada para a caixa postal. Enviei mensagem via WhatsApp para identificar o melhor horário para retorno da ligação._x000a_(07/05) Johnny retornou a mensagem informando que estava em viagem, cuidando da saúde do pai, e que nesta semana não seria possível falarmos. Disse que na próxima semana entrará em contato. Caso isso não ocorra, realizar novo contato._x000a_(18/05) Enviado nova msg para Johnny a fim de verificar melhor horário para ligação."/>
    <s v=""/>
    <x v="654"/>
    <m/>
    <s v=""/>
    <s v="Krieger ind e com fé madeiras"/>
    <s v="66984172640"/>
    <s v=""/>
    <s v="kriegermadeiraspga@gmail.com"/>
    <s v=""/>
    <s v=""/>
    <s v=""/>
    <s v=""/>
    <s v="Porto dos Gaúchos MT"/>
    <s v="Inbound"/>
    <s v=""/>
    <s v=""/>
    <s v="Dentro Perfil;Instagram"/>
    <s v="Pipeline de Vendas"/>
    <s v="Qualificação de Vendas (SQL) (25%)"/>
    <s v=""/>
    <m/>
    <m/>
    <m/>
    <n v="14"/>
    <s v="Paulo Souza"/>
    <d v="2026-05-06T00:00:00"/>
    <d v="1899-12-30T03:17:57"/>
    <s v=""/>
    <s v="Ativo"/>
    <m/>
    <m/>
    <s v=""/>
    <s v=""/>
    <s v=""/>
    <x v="0"/>
    <s v="Ronaldo Nascimento"/>
    <x v="0"/>
    <s v=""/>
    <m/>
    <n v="30"/>
    <s v=""/>
    <s v=""/>
    <s v=""/>
    <s v=""/>
    <n v="1"/>
  </r>
  <r>
    <x v="3"/>
    <n v="1184"/>
    <m/>
    <n v="3737"/>
    <s v="(07/05) Tentei contato telefônico, porém sem sucesso. Foi enviado WhatsApp para Tiago, com o objetivo de verificar o melhor horário para conversarmos."/>
    <s v=""/>
    <x v="655"/>
    <m/>
    <s v=""/>
    <s v="Tiago sandavid"/>
    <s v="93991009174"/>
    <s v=""/>
    <s v="souzamaia2010@hotmail.com"/>
    <s v=""/>
    <s v=""/>
    <s v=""/>
    <s v=""/>
    <s v=""/>
    <s v="Campanha"/>
    <s v=""/>
    <s v=""/>
    <s v="Fora Perfil;Instagram"/>
    <s v="Pipeline de Vendas"/>
    <s v="Qualificação de Vendas (SQL) (25%)"/>
    <s v=""/>
    <m/>
    <m/>
    <m/>
    <n v="0"/>
    <s v="Paulo Souza"/>
    <d v="2026-05-07T00:00:00"/>
    <d v="1899-12-30T08:39:53"/>
    <s v=""/>
    <s v="Perdido"/>
    <d v="2026-05-07T00:00:00"/>
    <d v="1899-12-30T14:21:16"/>
    <s v="Fora do porte mínimo (sem fit estrutural)"/>
    <s v="Empresa de pequeno porte, com 3 vendedores internos._x000a_Atualmente utilizam o sistema Vendr, do Grupo IOB."/>
    <s v=""/>
    <x v="0"/>
    <s v="Ronaldo Nascimento"/>
    <x v="0"/>
    <s v=""/>
    <m/>
    <n v="30"/>
    <s v=""/>
    <s v=""/>
    <s v=""/>
    <s v=""/>
    <n v="1"/>
  </r>
  <r>
    <x v="1"/>
    <n v="1185"/>
    <m/>
    <n v="3741"/>
    <s v="(07/05/2026) tentativa de ligação _x000a_08:45, 07/05/2026 Junior Lopes: Olá Fran , bom dia_x000a_08:45, 07/05/2026 Fran dantas Cafe Espressiata: Espressiata agradece seu contato. Como podemos ajudar?_x000a_08:45, 07/05/2026 Junior Lopes: Sou Junior Lopes da Guarani sistemas! Td bem ?"/>
    <s v=""/>
    <x v="656"/>
    <n v="40904398000105"/>
    <s v=""/>
    <s v="Espressiata Cafés Especiais"/>
    <s v="34999008780"/>
    <s v=""/>
    <s v="franciele@espressiata.com.br"/>
    <s v=""/>
    <s v=""/>
    <s v=""/>
    <s v=""/>
    <s v="Frutal MG"/>
    <s v="Inbound"/>
    <s v=""/>
    <s v=""/>
    <s v="Dentro Perfil;Instagram"/>
    <s v="Pipeline de Vendas"/>
    <s v="Qualificação de Vendas (SQL) (25%)"/>
    <s v=""/>
    <m/>
    <m/>
    <m/>
    <n v="7"/>
    <s v="Paulo Souza"/>
    <d v="2026-05-07T00:00:00"/>
    <d v="1899-12-30T08:41:59"/>
    <s v=""/>
    <s v="Perdido"/>
    <d v="2026-05-14T00:00:00"/>
    <d v="1899-12-30T15:40:42"/>
    <s v="Sem qualificação — contato não atende ligações nem responde msg"/>
    <s v="Olá boa tarde ! Junior da Guarani sistemas por aqui _x000a_Logo que nós tivemos retorno ao contato estou finalizando por aqui ! _x000a_Caso mude de ideia por favor só me chamar _x000a_Sucesso por aí"/>
    <s v=""/>
    <x v="0"/>
    <s v="Junior Lopes"/>
    <x v="0"/>
    <s v=""/>
    <d v="2026-05-14T00:00:00"/>
    <n v="30"/>
    <s v=""/>
    <s v=""/>
    <s v=""/>
    <s v=""/>
    <n v="1"/>
  </r>
  <r>
    <x v="0"/>
    <n v="1186"/>
    <m/>
    <n v="3745"/>
    <s v=""/>
    <s v=""/>
    <x v="657"/>
    <n v="62956379000165"/>
    <s v=""/>
    <s v="Mirian"/>
    <s v="(16) 99705-1588"/>
    <s v=""/>
    <s v="mirian@jcsperfis.com.br"/>
    <s v=""/>
    <s v=""/>
    <s v=""/>
    <s v="SAO CARLOS"/>
    <s v="SP"/>
    <s v="Inbound"/>
    <s v=""/>
    <s v=""/>
    <s v="Dentro Perfil;Instagram"/>
    <s v="Pipeline de Vendas"/>
    <s v="Apresentar Solução (35%)"/>
    <s v=""/>
    <d v="2026-05-31T00:00:00"/>
    <m/>
    <m/>
    <n v="13"/>
    <s v="Paulo Souza"/>
    <d v="2026-05-07T00:00:00"/>
    <d v="1899-12-30T08:43:39"/>
    <s v=""/>
    <s v="Ativo"/>
    <m/>
    <m/>
    <s v=""/>
    <s v=""/>
    <s v=""/>
    <x v="0"/>
    <s v="Paulo Souza"/>
    <x v="0"/>
    <s v=""/>
    <d v="2026-05-18T00:00:00"/>
    <n v="30"/>
    <s v="-1"/>
    <s v=""/>
    <s v=""/>
    <s v=""/>
    <n v="1"/>
  </r>
  <r>
    <x v="2"/>
    <n v="1187"/>
    <m/>
    <n v="3744"/>
    <s v="Todos os dados preenchidos:_x000a_empresa: andreingrati@gmail.com _x000a_name: Andre  _x000a_cargo: andreingrati@gmail.com _x000a_whatsapp: 18997028677 _x000a_email: andreingrati@gmail.com _x000a_referrer: https://www.guaranisistemas.com.br/"/>
    <s v=""/>
    <x v="658"/>
    <m/>
    <s v=""/>
    <s v="Andre"/>
    <s v=""/>
    <s v=""/>
    <s v="andreingrati@gmail.com"/>
    <s v=""/>
    <s v=""/>
    <s v=""/>
    <s v="Andradina"/>
    <s v=""/>
    <s v="Inbound"/>
    <s v=""/>
    <s v=""/>
    <s v="Fora Perfil"/>
    <s v="Pipeline de Vendas"/>
    <s v="Agendamento (0%)"/>
    <s v=""/>
    <m/>
    <m/>
    <m/>
    <n v="0"/>
    <s v="Paulo Souza"/>
    <d v="2026-05-07T00:00:00"/>
    <d v="1899-12-30T08:45:42"/>
    <s v=""/>
    <s v="Perdido"/>
    <d v="2026-05-07T00:00:00"/>
    <d v="1899-12-30T09:53:22"/>
    <s v="Fora do porte mínimo (sem fit estrutural)"/>
    <s v=""/>
    <s v=""/>
    <x v="0"/>
    <s v="Rayssa Karapeticov"/>
    <x v="0"/>
    <s v=""/>
    <m/>
    <n v="30"/>
    <s v=""/>
    <s v=""/>
    <s v=""/>
    <s v=""/>
    <n v="1"/>
  </r>
  <r>
    <x v="2"/>
    <n v="1188"/>
    <m/>
    <n v="3743"/>
    <s v=""/>
    <s v=""/>
    <x v="659"/>
    <m/>
    <s v=""/>
    <s v="GSH Marketing Solutions"/>
    <s v="8496757596"/>
    <s v=""/>
    <s v="gleydson.silva@live.com"/>
    <s v=""/>
    <s v=""/>
    <s v=""/>
    <s v=""/>
    <s v=""/>
    <s v="Campanha"/>
    <s v=""/>
    <s v=""/>
    <s v="Dentro Perfil;Instagram"/>
    <s v="Pipeline de Vendas"/>
    <s v="Agendamento (0%)"/>
    <s v=""/>
    <d v="2026-05-31T00:00:00"/>
    <m/>
    <m/>
    <n v="2"/>
    <s v="Paulo Souza"/>
    <d v="2026-05-07T00:00:00"/>
    <d v="1899-12-30T08:47:19"/>
    <s v=""/>
    <s v="Perdido"/>
    <d v="2026-05-09T00:00:00"/>
    <d v="1899-12-30T08:54:10"/>
    <s v="Nossa solução não atende - falta funcionalidade"/>
    <s v=""/>
    <s v=""/>
    <x v="0"/>
    <s v="Rayssa Karapeticov"/>
    <x v="0"/>
    <s v=""/>
    <m/>
    <n v="30"/>
    <s v=""/>
    <s v=""/>
    <s v=""/>
    <s v=""/>
    <n v="1"/>
  </r>
  <r>
    <x v="1"/>
    <n v="1189"/>
    <m/>
    <n v="3742"/>
    <s v="08:52, 07/05/2026 Junior Lopes: Olá bom dia !_x000a_08:52, 07/05/2026 Junior Lopes: Sou Junior Lopes da Guarani sistemas! Td bem ?_x000a_11:51, 07/05/2026 Junior Lopes: qual o melhor horario para falarmos"/>
    <s v=""/>
    <x v="660"/>
    <m/>
    <s v=""/>
    <s v="Contade"/>
    <s v="4399777609"/>
    <s v=""/>
    <s v="arianagrandepequenasim@gmail.com"/>
    <s v=""/>
    <s v=""/>
    <s v=""/>
    <s v=""/>
    <s v="N sei"/>
    <s v="Inbound"/>
    <s v=""/>
    <s v=""/>
    <s v="Fora Perfil;Instagram"/>
    <s v="Pipeline de Vendas"/>
    <s v="Qualificação de Vendas (SQL) (25%)"/>
    <s v=""/>
    <m/>
    <m/>
    <m/>
    <n v="7"/>
    <s v="Paulo Souza"/>
    <d v="2026-05-07T00:00:00"/>
    <d v="1899-12-30T08:48:50"/>
    <s v=""/>
    <s v="Perdido"/>
    <d v="2026-05-14T00:00:00"/>
    <d v="1899-12-30T15:37:01"/>
    <s v="Inválido - empresa não existe / dados errados"/>
    <s v="(14/05/2026) _x000a_contato não responde _x000a_as informações inseridas não encontram dados da empresa ! ideal exigir CNPJ para uma melhor busca"/>
    <s v=""/>
    <x v="0"/>
    <s v="Junior Lopes"/>
    <x v="0"/>
    <s v=""/>
    <d v="2026-05-14T00:00:00"/>
    <n v="30"/>
    <s v=""/>
    <s v=""/>
    <s v=""/>
    <s v=""/>
    <n v="1"/>
  </r>
  <r>
    <x v="3"/>
    <n v="1190"/>
    <n v="276"/>
    <n v="3748"/>
    <s v="(07/05) Falei com Leila. Eles realizaram recentemente a troca de ERP e estão em busca de um novo CRM. Apresentei as soluções que oferecemos, com foco no AFV._x000a_No momento, estamos aguardando o retorno do Gestor Comercial para avançarmos com o agendamento de uma reunião._x000a_(12/05): Leila gostaria de uma reunião para entender melhor as nossa soluções. Como mudaram recentemente de ERP, a idéia é conhecer o nosso força de vendas e o BI para companhamento das vendas/metas._x000a_A Estilo Ar atua como distribuidora de peças e soluções para ar-condicionado automotivo. Filiais em: Uberlândia/MG (matriz), Belo Horizonte/MG, Juiz de Fora/MG, Montes Claros/MG, Goiânia/GO, Itumbiara/GO, Duque de Caxias/RJ e Cuiabá/MT. Então abrindo a nova filial Cuiabá._x000a_Produros que trabalham: Produtos que trabalham: Peças para ar-condicionado automotivo, Componentes Denso e Delphi, Produtos da marca própria Estilo Ar,  Filtros de cabine, Óleos, Higienizadores, Ferramentas e itens para manutenção automotiva. ERP atual: Sankhya e CRM Kommo integrado._x000a_Paulo: o foco é no AFV e BI, pois estão insatisfeito com o CRM atual. _x000a_(12/05) Reunião agendada para 12/05, as 14h30._x000a_(13/05) Reunião realizada. Leila informou que utilizam o CRM da Sankhya há aproximadamente 3 anos, porém estão insatisfeitos com a usabilidade da ferramenta. Atualmente, contam apenas com vendedores internos, mas a intenção é também trabalhar com representantes comerciais a partir do segundo semestre._x000a_Durante a reunião, foram apresentadas a Guarani Sistemas, as soluções AFV, Loja B2B e BI. Também foi enviado, via WhatsApp, o link do CRM Leads2b , juntamente com nossa apresentação institucional."/>
    <s v=""/>
    <x v="661"/>
    <n v="15338344000182"/>
    <s v="ESTILO AR COMERCIO DE PECAS LTDA"/>
    <s v="Leila Oliveira"/>
    <s v="(34) 3291-9100"/>
    <s v=""/>
    <s v="irpf@aserco.com.br"/>
    <s v="Matriz"/>
    <s v=""/>
    <s v="AV ENGENHEIRO DINIZ 848"/>
    <s v="UBERLANDIA"/>
    <s v="MG"/>
    <s v=""/>
    <s v=""/>
    <s v=""/>
    <s v="Dentro Perfil"/>
    <s v="Pipeline de Vendas"/>
    <s v="Apresentar Solução (35%)"/>
    <s v=""/>
    <m/>
    <m/>
    <m/>
    <n v="7"/>
    <s v="Ronaldo Nascimento"/>
    <d v="2026-05-07T00:00:00"/>
    <d v="1899-12-30T12:06:01"/>
    <s v=""/>
    <s v="Perdido"/>
    <d v="2026-05-14T00:00:00"/>
    <d v="1899-12-30T08:08:53"/>
    <s v="Projeto adiado / sem prazo definido"/>
    <s v="(14/05) Conforme Leila, a ideia é trabalhar com vendedor externo no segundo semestre. Criado atividade para contatar cliente em ago/26."/>
    <s v=""/>
    <x v="0"/>
    <s v=""/>
    <x v="237"/>
    <s v=""/>
    <m/>
    <n v="30"/>
    <s v=""/>
    <s v=""/>
    <s v=""/>
    <s v=""/>
    <n v="1"/>
  </r>
  <r>
    <x v="2"/>
    <n v="1191"/>
    <m/>
    <n v="3749"/>
    <s v=""/>
    <s v=""/>
    <x v="662"/>
    <n v="8333878000150"/>
    <s v=""/>
    <s v="Danielle"/>
    <s v="(74) 8124-8767"/>
    <s v=""/>
    <s v="maristela@kisolpiscinas.com"/>
    <s v=""/>
    <s v=""/>
    <s v=""/>
    <s v="FERNANDOPOLIS"/>
    <s v="SP"/>
    <s v=""/>
    <s v=""/>
    <s v=""/>
    <s v=""/>
    <s v="Pipeline de Vendas"/>
    <s v="Apresentar Solução (35%)"/>
    <s v=""/>
    <m/>
    <m/>
    <m/>
    <n v="13"/>
    <s v="Rayssa Karapeticov"/>
    <d v="2026-05-07T00:00:00"/>
    <d v="1899-12-30T16:38:45"/>
    <s v=""/>
    <s v="Ativo"/>
    <m/>
    <m/>
    <s v=""/>
    <s v=""/>
    <s v=""/>
    <x v="216"/>
    <s v="Rayssa Karapeticov"/>
    <x v="0"/>
    <s v=""/>
    <d v="2026-05-13T00:00:00"/>
    <n v="30"/>
    <s v=""/>
    <s v="ERP"/>
    <s v=""/>
    <s v=""/>
    <n v="1"/>
  </r>
  <r>
    <x v="3"/>
    <n v="1192"/>
    <n v="273"/>
    <n v="3754"/>
    <s v="(08/05) Apresentação agendada para 13/08 às 10h. Conforme informado pelo Milton, a empresa está em busca de um novo sistema de gestão e atualmente não possui uma ferramenta de força de vendas."/>
    <s v=""/>
    <x v="663"/>
    <n v="40220751000138"/>
    <s v="MARDEN MEDICAL LTDA."/>
    <s v="Milton Cavalieri"/>
    <s v="(16) 2121-0858"/>
    <s v=""/>
    <s v="administracao@mardenmedical.com.br"/>
    <s v="Matriz"/>
    <s v=""/>
    <s v="R GASTAO VIEIRA 229"/>
    <s v="SAO CARLOS"/>
    <s v="SP"/>
    <s v=""/>
    <s v=""/>
    <s v=""/>
    <s v="Dentro Perfil"/>
    <s v="Pipeline de Vendas"/>
    <s v="Apresentar Solução (35%)"/>
    <s v=""/>
    <m/>
    <m/>
    <m/>
    <n v="13"/>
    <s v="Ronaldo Nascimento"/>
    <d v="2026-05-07T00:00:00"/>
    <d v="1899-12-30T16:57:47"/>
    <s v=""/>
    <s v="Ativo"/>
    <m/>
    <m/>
    <s v=""/>
    <s v=""/>
    <s v=""/>
    <x v="0"/>
    <s v=""/>
    <x v="238"/>
    <s v=""/>
    <d v="2026-05-13T00:00:00"/>
    <n v="30"/>
    <s v=""/>
    <s v="ERP, AFV"/>
    <s v=""/>
    <s v=""/>
    <n v="1"/>
  </r>
  <r>
    <x v="3"/>
    <n v="1193"/>
    <n v="279"/>
    <m/>
    <s v="(08/05) Enviada mensagem via LinkedIn para Hugo Oliveira (gestor comercial), com o objetivo de apresentar as soluções da Guarani Sistemas e alinhar um possível bate-papo comercial."/>
    <s v=""/>
    <x v="221"/>
    <n v="89738173000115"/>
    <s v="SANREMO S/A"/>
    <s v=""/>
    <s v=""/>
    <s v=""/>
    <s v="bt_contabilidade@bettanin.com.br"/>
    <s v="Matriz"/>
    <s v=""/>
    <s v="AV INDEPENDENCIA 8885"/>
    <s v="ESTEIO"/>
    <s v="RS"/>
    <s v=""/>
    <s v=""/>
    <s v=""/>
    <s v="Dentro Perfil"/>
    <s v="Pipeline de Vendas"/>
    <s v="Agendamento (0%)"/>
    <s v=""/>
    <m/>
    <m/>
    <m/>
    <n v="12"/>
    <s v="Ronaldo Nascimento"/>
    <d v="2026-05-08T00:00:00"/>
    <d v="1899-12-30T10:00:51"/>
    <s v=""/>
    <s v="Ativo"/>
    <m/>
    <m/>
    <s v=""/>
    <s v=""/>
    <s v=""/>
    <x v="0"/>
    <s v=""/>
    <x v="0"/>
    <s v=""/>
    <m/>
    <n v="30"/>
    <s v=""/>
    <s v=""/>
    <s v=""/>
    <s v=""/>
    <n v="1"/>
  </r>
  <r>
    <x v="3"/>
    <n v="1194"/>
    <n v="281"/>
    <m/>
    <s v="(08/05) Enviada mensagem via LinkedIn para Vagner (gestor comercial), com o objetivo de apresentar as soluções da Guarani Sistemas e alinhar um possível bate-papo comercial._x000a_(18/05) Gestor comercial: Paulo Pimentel. Enviado msg a fim de agendar uma apresentação."/>
    <s v=""/>
    <x v="664"/>
    <n v="4381287000106"/>
    <s v="ORDENE S/A"/>
    <s v=""/>
    <s v=""/>
    <s v=""/>
    <s v="bt_contabilidade@bettanin.com.br"/>
    <s v="Matriz"/>
    <s v=""/>
    <s v="RUA GILBERTO TADEU MORAIS S/N"/>
    <s v="ESTEIO"/>
    <s v="RS"/>
    <s v=""/>
    <s v=""/>
    <s v=""/>
    <s v="Dentro Perfil"/>
    <s v="Pipeline de Vendas"/>
    <s v="Qualificação de Vendas (SQL) (25%)"/>
    <s v=""/>
    <m/>
    <m/>
    <m/>
    <n v="12"/>
    <s v="Ronaldo Nascimento"/>
    <d v="2026-05-08T00:00:00"/>
    <d v="1899-12-30T10:07:26"/>
    <s v=""/>
    <s v="Ativo"/>
    <m/>
    <m/>
    <s v=""/>
    <s v=""/>
    <s v=""/>
    <x v="0"/>
    <s v=""/>
    <x v="0"/>
    <s v=""/>
    <m/>
    <n v="30"/>
    <s v=""/>
    <s v=""/>
    <s v=""/>
    <s v=""/>
    <n v="1"/>
  </r>
  <r>
    <x v="3"/>
    <n v="1195"/>
    <n v="282"/>
    <n v="3760"/>
    <s v="(08/05) Enviada mensagem via LinkedIn para Lucimara (gestora comercial), com o objetivo de apresentar as soluções da Guarani Sistemas e alinhar um possível bate-papo comercial._x000a_(11/05) Consegui o contato de WhatsApp do Adm. Felix Carvalho. Enviei mensagem com o objetivo de verificar um melhor horário para realizarmos um bate-papo."/>
    <s v=""/>
    <x v="665"/>
    <n v="43948561000120"/>
    <s v="NIGRO ALUMINIO LTDA"/>
    <s v="Lucimara Zenatti"/>
    <s v="16210844221"/>
    <s v=""/>
    <s v="contabil@nigro.com.br"/>
    <s v="Matriz"/>
    <s v=""/>
    <s v="AV ARCANGELO NIGRO 166"/>
    <s v="ARARAQUARA"/>
    <s v="SP"/>
    <s v=""/>
    <s v=""/>
    <s v=""/>
    <s v="Dentro Perfil"/>
    <s v="Pipeline de Vendas"/>
    <s v="Qualificação de Vendas (SQL) (25%)"/>
    <s v=""/>
    <m/>
    <m/>
    <m/>
    <n v="12"/>
    <s v="Ronaldo Nascimento"/>
    <d v="2026-05-08T00:00:00"/>
    <d v="1899-12-30T10:30:00"/>
    <s v=""/>
    <s v="Ativo"/>
    <m/>
    <m/>
    <s v=""/>
    <s v=""/>
    <s v=""/>
    <x v="0"/>
    <s v=""/>
    <x v="0"/>
    <s v=""/>
    <m/>
    <n v="30"/>
    <s v=""/>
    <s v=""/>
    <s v=""/>
    <s v=""/>
    <n v="1"/>
  </r>
  <r>
    <x v="0"/>
    <n v="1196"/>
    <m/>
    <n v="3746"/>
    <s v=""/>
    <s v=""/>
    <x v="666"/>
    <n v="5659821000239"/>
    <s v=""/>
    <s v="Alexandre"/>
    <s v="11988734899"/>
    <s v=""/>
    <s v="alexandre@emblemax.com.br"/>
    <s v=""/>
    <s v=""/>
    <s v=""/>
    <s v=""/>
    <s v="SP"/>
    <s v="Inbound"/>
    <s v=""/>
    <s v=""/>
    <s v="Dentro Perfil;Instagram"/>
    <s v="Pipeline de Vendas"/>
    <s v="Qualificação de Vendas (SQL) (25%)"/>
    <s v=""/>
    <m/>
    <m/>
    <m/>
    <n v="12"/>
    <s v="Paulo Souza"/>
    <d v="2026-05-08T00:00:00"/>
    <d v="1899-12-30T11:46:39"/>
    <s v=""/>
    <s v="Ativo"/>
    <m/>
    <m/>
    <s v=""/>
    <s v=""/>
    <s v=""/>
    <x v="0"/>
    <s v="Paulo Souza"/>
    <x v="0"/>
    <s v=""/>
    <d v="2026-05-18T00:00:00"/>
    <n v="30"/>
    <s v=""/>
    <s v=""/>
    <s v=""/>
    <s v=""/>
    <n v="1"/>
  </r>
  <r>
    <x v="3"/>
    <n v="1197"/>
    <n v="270"/>
    <m/>
    <s v="(08/05) Enviado WhatsApp para Luiz (amigo pessoal) para entender melhor a estrutura comercial da MMO, incluindo modelo de equipe de vendas (interna e/ou externa) e sistemas utilizados atualmente para gestão e vendas._x000a_(11/05) Enviado msg para Gabriela (filha do Luis e amiga pessoal)."/>
    <s v=""/>
    <x v="667"/>
    <n v="2466212000194"/>
    <s v="MM OPTICS LTDA"/>
    <s v=""/>
    <s v=""/>
    <s v=""/>
    <s v="mmo@com.br"/>
    <s v="Matriz"/>
    <s v=""/>
    <s v="RUA GEMINIANO COSTA 143"/>
    <s v="SAO CARLOS"/>
    <s v="SP"/>
    <s v=""/>
    <s v=""/>
    <s v=""/>
    <s v="Dentro Perfil"/>
    <s v="Pipeline de Vendas"/>
    <s v="Qualificação de Vendas (SQL) (25%)"/>
    <s v=""/>
    <m/>
    <m/>
    <m/>
    <n v="12"/>
    <s v="Ronaldo Nascimento"/>
    <d v="2026-05-08T00:00:00"/>
    <d v="1899-12-30T12:05:35"/>
    <s v=""/>
    <s v="Ativo"/>
    <m/>
    <m/>
    <s v=""/>
    <s v=""/>
    <s v=""/>
    <x v="0"/>
    <s v=""/>
    <x v="0"/>
    <s v=""/>
    <d v="2026-05-11T00:00:00"/>
    <n v="30"/>
    <s v=""/>
    <s v=""/>
    <s v=""/>
    <s v=""/>
    <n v="1"/>
  </r>
  <r>
    <x v="3"/>
    <n v="1198"/>
    <n v="256"/>
    <n v="3773"/>
    <s v="(08/05) Enviado WhatsApp para Fabiana (amiga pessoal) com o objetivo de alinhar e agendar uma apresentação das nossas soluções."/>
    <s v=""/>
    <x v="668"/>
    <n v="20137275000189"/>
    <s v="VOLMED BRASIL EQUIPAMENTOS LTDA"/>
    <s v="Fabiana Voltatódio"/>
    <s v="(16) 3419-1794"/>
    <s v=""/>
    <s v="financeiro@volmed.com.br"/>
    <s v="Matriz"/>
    <s v=""/>
    <s v="RUA FRANCISCO CORREA BUENO 435"/>
    <s v="SAO CARLOS"/>
    <s v="SP"/>
    <s v=""/>
    <s v=""/>
    <s v=""/>
    <s v="TAG1SEM"/>
    <s v="Pipeline de Vendas"/>
    <s v="Agendamento (0%)"/>
    <s v=""/>
    <m/>
    <m/>
    <m/>
    <n v="0"/>
    <s v="Ronaldo Nascimento"/>
    <d v="2026-05-11T00:00:00"/>
    <d v="1899-12-30T09:33:58"/>
    <s v=""/>
    <s v="Perdido"/>
    <d v="2026-05-11T00:00:00"/>
    <d v="1899-12-30T09:35:54"/>
    <s v="Nossa solução não atende - falta funcionalidade"/>
    <s v="Em contato com Fabiana, foi informado que a empresa utiliza ferramentas específicas para o segmento (ERP e Força de Vendas), incluindo validações e exigências da Anvisa."/>
    <s v=""/>
    <x v="0"/>
    <s v=""/>
    <x v="0"/>
    <s v=""/>
    <m/>
    <n v="30"/>
    <s v=""/>
    <s v=""/>
    <s v=""/>
    <s v=""/>
    <n v="1"/>
  </r>
  <r>
    <x v="3"/>
    <n v="1199"/>
    <n v="283"/>
    <n v="3776"/>
    <s v="(08/05) Enviada mensagem via LinkedIn para Nádia (gestora comercial), com o objetivo de apresentar as soluções da Guarani Sistemas e alinhar um possível bate-papo comercial._x000a_(11/05) Nádia aceitou a conexão no LinkedIn. Enviada mensagem inicial apresentando as soluções da Guarani Sistemas."/>
    <s v=""/>
    <x v="669"/>
    <n v="88610191000154"/>
    <s v="MUNDIAL S.A. - PRODUTOS DE CONSUMO"/>
    <s v="Nádia C. da Silva"/>
    <s v="(51) 3358-5000"/>
    <s v=""/>
    <s v="lara.nunes@mundial.com"/>
    <s v="Matriz"/>
    <s v=""/>
    <s v="R DO PARAISO 148"/>
    <s v="SAO JOAO DE MERITI"/>
    <s v="RJ"/>
    <s v=""/>
    <s v=""/>
    <s v=""/>
    <s v="Dentro Perfil"/>
    <s v="Pipeline de Vendas"/>
    <s v="Qualificação de Vendas (SQL) (25%)"/>
    <s v=""/>
    <m/>
    <m/>
    <m/>
    <n v="9"/>
    <s v="Ronaldo Nascimento"/>
    <d v="2026-05-11T00:00:00"/>
    <d v="1899-12-30T10:28:33"/>
    <s v=""/>
    <s v="Ativo"/>
    <m/>
    <m/>
    <s v=""/>
    <s v=""/>
    <s v=""/>
    <x v="0"/>
    <s v=""/>
    <x v="0"/>
    <s v=""/>
    <m/>
    <n v="30"/>
    <s v=""/>
    <s v=""/>
    <s v=""/>
    <s v=""/>
    <n v="1"/>
  </r>
  <r>
    <x v="2"/>
    <n v="1200"/>
    <m/>
    <n v="3777"/>
    <s v=""/>
    <s v=""/>
    <x v="670"/>
    <n v="8821632000128"/>
    <s v=""/>
    <s v="LUCIANO CARBONARO DE OLIVEIRA"/>
    <s v=""/>
    <s v=""/>
    <s v=""/>
    <s v=""/>
    <s v=""/>
    <s v=""/>
    <s v=""/>
    <s v=""/>
    <s v="Campanha"/>
    <s v=""/>
    <s v=""/>
    <s v="Dentro Perfil;Instagram"/>
    <s v="Pipeline de Vendas"/>
    <s v="Qualificação de Vendas (SQL) (25%)"/>
    <s v=""/>
    <d v="2026-05-31T00:00:00"/>
    <m/>
    <m/>
    <n v="9"/>
    <s v="Paulo Souza"/>
    <d v="2026-05-11T00:00:00"/>
    <d v="1899-12-30T11:03:53"/>
    <s v=""/>
    <s v="Ativo"/>
    <m/>
    <m/>
    <s v=""/>
    <s v=""/>
    <s v=""/>
    <x v="0"/>
    <s v="Rayssa Karapeticov"/>
    <x v="0"/>
    <s v=""/>
    <d v="2026-05-13T00:00:00"/>
    <n v="30"/>
    <s v=""/>
    <s v=""/>
    <s v=""/>
    <s v=""/>
    <n v="1"/>
  </r>
  <r>
    <x v="1"/>
    <n v="1201"/>
    <m/>
    <n v="3771"/>
    <s v="(11/05/2026) tentativa de ligação porem o telefone esta bloqueado para chamadas _x000a_contato via WhatsApp_x000a_12:02, 11/05/2026 Junior Lopes: Olá Tone Oliveira, bom dia_x000a_12:02, 11/05/2026 Junior Lopes: sou Junior Lopes da Guarani sistemas_x000a_12:02, 11/05/2026 Junior Lopes: td bem ?_x000a_(14/05/2026) avançando com informações da solução ! direcionando para uma apresentação"/>
    <s v="N. K. Distribuidora Ltda"/>
    <x v="671"/>
    <n v="12084237000187"/>
    <s v=""/>
    <s v="NK Distribuidora De Cosmeticos"/>
    <s v="6699942807"/>
    <s v=""/>
    <s v="toneoliveira@hotmail.com"/>
    <s v=""/>
    <s v=""/>
    <s v=""/>
    <s v="RONDONOPOLIS"/>
    <s v="MT"/>
    <s v="Campanha"/>
    <s v=""/>
    <s v=""/>
    <s v="Dentro Perfil;Instagram"/>
    <s v="Pipeline de Vendas"/>
    <s v="Qualificação de Vendas (SQL) (25%)"/>
    <s v=""/>
    <d v="2026-05-31T00:00:00"/>
    <m/>
    <m/>
    <n v="9"/>
    <s v="Paulo Souza"/>
    <d v="2026-05-11T00:00:00"/>
    <d v="1899-12-30T11:18:41"/>
    <s v=""/>
    <s v="Ativo"/>
    <m/>
    <m/>
    <s v=""/>
    <s v=""/>
    <s v=""/>
    <x v="0"/>
    <s v="Junior Lopes"/>
    <x v="0"/>
    <s v=""/>
    <m/>
    <n v="30"/>
    <s v=""/>
    <s v=""/>
    <s v=""/>
    <s v=""/>
    <n v="1"/>
  </r>
  <r>
    <x v="3"/>
    <n v="1202"/>
    <n v="241"/>
    <n v="3779"/>
    <s v="(11/05) Em contato com Paula, foi informado que a empresa utiliza diferentes sistemas separados por departamento. Solicitou o envio de uma apresentação por e-mail para encaminhamento ao João. Atualmente, a empresa possui equipe de vendas interna e apenas um vendedor externo (João)."/>
    <s v=""/>
    <x v="672"/>
    <n v="6269527000100"/>
    <s v="LA ROCHA INDUSTRIA E COMERCIO DE FIBRAS MINERAIS LTDA"/>
    <s v="Paula Franzin"/>
    <s v="(01) 63911-7784"/>
    <s v=""/>
    <s v=""/>
    <s v="Matriz"/>
    <s v=""/>
    <s v="EST VICINAL VITO GAIA PUOLI, KM 2 + S/N"/>
    <s v="DESCALVADO"/>
    <s v="SP"/>
    <s v=""/>
    <s v=""/>
    <s v=""/>
    <s v="Dentro Perfil"/>
    <s v="Pipeline de Vendas"/>
    <s v="Qualificação de Vendas (SQL) (25%)"/>
    <s v=""/>
    <m/>
    <m/>
    <m/>
    <n v="9"/>
    <s v="Ronaldo Nascimento"/>
    <d v="2026-05-11T00:00:00"/>
    <d v="1899-12-30T11:23:29"/>
    <s v=""/>
    <s v="Ativo"/>
    <m/>
    <m/>
    <s v=""/>
    <s v=""/>
    <s v=""/>
    <x v="0"/>
    <s v=""/>
    <x v="0"/>
    <s v=""/>
    <m/>
    <n v="30"/>
    <s v=""/>
    <s v=""/>
    <s v=""/>
    <s v=""/>
    <n v="1"/>
  </r>
  <r>
    <x v="0"/>
    <n v="1203"/>
    <m/>
    <n v="3770"/>
    <s v=""/>
    <s v=""/>
    <x v="673"/>
    <n v="48579170000107"/>
    <s v=""/>
    <s v="Belapin ind com"/>
    <s v="11970330999"/>
    <s v=""/>
    <s v="junior@arcobello.com.br"/>
    <s v=""/>
    <s v=""/>
    <s v=""/>
    <s v=""/>
    <s v=""/>
    <s v="Campanha"/>
    <s v=""/>
    <s v=""/>
    <s v="Dentro Perfil;Instagram"/>
    <s v="Pipeline de Vendas"/>
    <s v="Qualificação de Vendas (SQL) (25%)"/>
    <s v=""/>
    <d v="2026-05-31T00:00:00"/>
    <m/>
    <m/>
    <n v="9"/>
    <s v="Paulo Souza"/>
    <d v="2026-05-11T00:00:00"/>
    <d v="1899-12-30T11:24:21"/>
    <s v=""/>
    <s v="Ativo"/>
    <m/>
    <m/>
    <s v=""/>
    <s v=""/>
    <s v=""/>
    <x v="0"/>
    <s v="Paulo Souza"/>
    <x v="0"/>
    <s v=""/>
    <m/>
    <n v="30"/>
    <s v=""/>
    <s v=""/>
    <s v=""/>
    <s v=""/>
    <n v="1"/>
  </r>
  <r>
    <x v="3"/>
    <n v="1204"/>
    <n v="231"/>
    <n v="3780"/>
    <s v="(11/05) Falei com Orlei (Compras), que indicou o Rodrigo, da área Comercial, como responsável para continuidade da conversa. Atualmente a empresa utiliza o sistema WBC, desenvolvido para o segmento, porém cada departamento trabalha com um sistema diferente._x000a_Comentou também que, há algum tempo, chegaram a conversar com a TOTVS sobre implantação de ERP, mas o projeto acabou não avançando devido à dificuldade relacionada à migração/estruturação dos dados._x000a_Realizei contato com o Rodrigo, porém a ligação caiu na caixa postal. Enviei mensagem via WhatsApp para tentar agendar um bate-papo."/>
    <s v=""/>
    <x v="674"/>
    <n v="490414000146"/>
    <s v="N S F INDUSTRIA E COMERCIO DE EQUIPAMENTOS PARA INSTALACOES COMERCIAIS LTDA"/>
    <s v="Antonio Marcos Real"/>
    <s v="(16) 3377-9700"/>
    <s v=""/>
    <s v="financeiro@nsf.ind.br"/>
    <s v="Matriz"/>
    <s v=""/>
    <s v="ROD WASHINGTON LUIZ S/N"/>
    <s v="SAO CARLOS"/>
    <s v="SP"/>
    <s v=""/>
    <s v=""/>
    <s v=""/>
    <s v="Dentro Perfil"/>
    <s v="Pipeline de Vendas"/>
    <s v="Qualificação de Vendas (SQL) (25%)"/>
    <s v=""/>
    <m/>
    <m/>
    <m/>
    <n v="9"/>
    <s v="Ronaldo Nascimento"/>
    <d v="2026-05-11T00:00:00"/>
    <d v="1899-12-30T14:29:08"/>
    <s v=""/>
    <s v="Ativo"/>
    <m/>
    <m/>
    <s v=""/>
    <s v=""/>
    <s v=""/>
    <x v="0"/>
    <s v=""/>
    <x v="0"/>
    <s v=""/>
    <m/>
    <n v="30"/>
    <s v=""/>
    <s v=""/>
    <s v=""/>
    <s v=""/>
    <n v="1"/>
  </r>
  <r>
    <x v="3"/>
    <n v="1205"/>
    <n v="252"/>
    <n v="3781"/>
    <s v="(08/05) Enviado WhatsApp para Lana (amiga pessoal), atualmente representante comercial da empresa, solicitando o contato do gestor comercial para possível apresentação das soluções._x000a_(11/05) Falei com a Lana. No momento, a empresa está concentrada na preparação para a Feira Hospitalar, que acontecerá entre os dias 19 e 22 de maio._x000a_Comentou que atualmente utilizam as soluções da Sectra para a área comercial (possivelmente ERP também). Sugeriu retomarmos o contato durante a feira ou após o evento para conversarmos com mais tranquilidade."/>
    <s v=""/>
    <x v="675"/>
    <n v="13459890000146"/>
    <s v="HORTRON INDUSTRIA E COMERCIO DE PRODUTOS ELETRONICOS LTDA"/>
    <s v="Willian Zanon"/>
    <s v="(16) 3419-0892"/>
    <s v=""/>
    <s v="hortron@hortron.com.br"/>
    <s v="Matriz"/>
    <s v=""/>
    <s v="AV GETULIO VARGAS 2831"/>
    <s v="SAO CARLOS"/>
    <s v="SP"/>
    <s v=""/>
    <s v=""/>
    <s v=""/>
    <s v="Dentro Perfil"/>
    <s v="Pipeline de Vendas"/>
    <s v="Qualificação de Vendas (SQL) (25%)"/>
    <s v=""/>
    <m/>
    <m/>
    <m/>
    <n v="9"/>
    <s v="Ronaldo Nascimento"/>
    <d v="2026-05-11T00:00:00"/>
    <d v="1899-12-30T14:44:21"/>
    <s v=""/>
    <s v="Ativo"/>
    <m/>
    <m/>
    <s v=""/>
    <s v=""/>
    <s v=""/>
    <x v="0"/>
    <s v=""/>
    <x v="0"/>
    <s v=""/>
    <m/>
    <n v="30"/>
    <s v=""/>
    <s v=""/>
    <s v=""/>
    <s v=""/>
    <n v="1"/>
  </r>
  <r>
    <x v="3"/>
    <n v="1206"/>
    <n v="226"/>
    <n v="3782"/>
    <s v="(11/05) Falei com Denise (contato pessoal da área de RH). Apresentei brevemente a Guarani Sistemas e algumas das soluções que oferecemos, principalmente na área comercial. Solicitei o contato do gestor/com responsável pela área comercial para apresentar nossa solução de vendas. Aguardando retorno._x000a_(12/05) Falei com a Denise, que me passou o contato (e-mail) do Farid, Gestor Comercial da Hece Máquinas. Denise comentou que a empresa atualmente trabalha com um ERP próprio. Enviado e-mail a fim de agendarmos um bate-papo."/>
    <s v=""/>
    <x v="676"/>
    <n v="59602144000160"/>
    <s v="HECE MAQUINAS LTDA"/>
    <s v="Denise Rodrigues Ferreira"/>
    <s v="(16) 98198-8289"/>
    <s v="16981988289"/>
    <s v="rh@hece.com.br"/>
    <s v="Matriz"/>
    <s v=""/>
    <s v="R JOAO ABDELNUR 99"/>
    <s v="SAO CARLOS"/>
    <s v="SP"/>
    <s v=""/>
    <s v=""/>
    <s v=""/>
    <s v="Dentro Perfil"/>
    <s v="Pipeline de Vendas"/>
    <s v="Qualificação de Vendas (SQL) (25%)"/>
    <s v=""/>
    <m/>
    <m/>
    <m/>
    <n v="9"/>
    <s v="Ronaldo Nascimento"/>
    <d v="2026-05-11T00:00:00"/>
    <d v="1899-12-30T14:54:52"/>
    <s v=""/>
    <s v="Ativo"/>
    <m/>
    <m/>
    <s v=""/>
    <s v=""/>
    <s v=""/>
    <x v="0"/>
    <s v=""/>
    <x v="0"/>
    <s v=""/>
    <d v="2026-05-12T00:00:00"/>
    <n v="30"/>
    <s v=""/>
    <s v=""/>
    <s v=""/>
    <s v=""/>
    <n v="1"/>
  </r>
  <r>
    <x v="3"/>
    <n v="1208"/>
    <n v="255"/>
    <n v="3788"/>
    <s v="(11/05) Enviado msg para Nathalia a fim de agendarmos um bate-papo._x000a_(12/05) Falei com a Nathalia, que me passou o contato (e-mail) da Vanessa, Gerente Comercial da Setormed. Enviado e-mail a fim de agendarmos um bate-papo."/>
    <s v=""/>
    <x v="677"/>
    <n v="13533397000129"/>
    <s v="SETORMED INDUSTRIA E COMERCIO DE EQUIPAMENTOS MEDICOS E ODONTOLOGICOS S.A."/>
    <s v="Nathalia C. S. Santos"/>
    <s v="(16) 34165-3681"/>
    <s v=""/>
    <s v="setormed@setormed.com.br"/>
    <s v="Matriz"/>
    <s v=""/>
    <s v="RUA ARTHUR RODRIGUES DE CASTRO 150"/>
    <s v="SAO CARLOS"/>
    <s v="SP"/>
    <s v=""/>
    <s v=""/>
    <s v=""/>
    <s v="Dentro Perfil"/>
    <s v="Pipeline de Vendas"/>
    <s v="Qualificação de Vendas (SQL) (25%)"/>
    <s v=""/>
    <m/>
    <m/>
    <m/>
    <n v="8"/>
    <s v="Ronaldo Nascimento"/>
    <d v="2026-05-12T00:00:00"/>
    <d v="1899-12-30T11:50:46"/>
    <s v=""/>
    <s v="Ativo"/>
    <m/>
    <m/>
    <s v=""/>
    <s v=""/>
    <s v=""/>
    <x v="0"/>
    <s v=""/>
    <x v="0"/>
    <s v=""/>
    <m/>
    <n v="30"/>
    <s v=""/>
    <s v=""/>
    <s v=""/>
    <s v=""/>
    <n v="1"/>
  </r>
  <r>
    <x v="2"/>
    <n v="1209"/>
    <m/>
    <n v="3786"/>
    <s v="Todos os dados preenchidos:_x000a_empresa: Casa Bonitta _x000a_name: NATALIA GABRIELA DAMACENO MOTA _x000a_cargo: Proprietária _x000a_whatsapp: 11996672094 _x000a_email: naty-gabriela@hotmail.com _x000a_referrer: https://www.guaranisistemas.com.br/"/>
    <s v=""/>
    <x v="678"/>
    <n v="36621794000158"/>
    <s v=""/>
    <s v="NATALIA GABRIELA DAMACENO MOTA"/>
    <s v="(11) 4292-3358"/>
    <s v=""/>
    <s v="naty-gabriela@hotmail.com"/>
    <s v=""/>
    <s v=""/>
    <s v=""/>
    <s v="SUZANO"/>
    <s v="SP"/>
    <s v="Inbound"/>
    <s v=""/>
    <s v=""/>
    <s v="Perfil Indefinido"/>
    <s v="Pipeline de Vendas"/>
    <s v="Apresentar Solução (35%)"/>
    <s v=""/>
    <d v="2026-05-31T00:00:00"/>
    <m/>
    <m/>
    <n v="8"/>
    <s v="Paulo Souza"/>
    <d v="2026-05-12T00:00:00"/>
    <d v="1899-12-30T15:18:03"/>
    <s v=""/>
    <s v="Ativo"/>
    <m/>
    <m/>
    <s v=""/>
    <s v=""/>
    <s v=""/>
    <x v="0"/>
    <s v="Rayssa Karapeticov"/>
    <x v="0"/>
    <s v=""/>
    <d v="2026-05-19T00:00:00"/>
    <n v="30"/>
    <s v=""/>
    <s v=""/>
    <s v=""/>
    <s v=""/>
    <n v="1"/>
  </r>
  <r>
    <x v="3"/>
    <n v="1212"/>
    <n v="291"/>
    <n v="3801"/>
    <s v=""/>
    <s v=""/>
    <x v="679"/>
    <n v="17188274000159"/>
    <s v="UTILIMIX INDUSTRIA E COMERCIO LTDA"/>
    <s v="Bruno"/>
    <s v="(11) 91010-4191"/>
    <s v=""/>
    <s v="utilimix@bol.com.br"/>
    <s v="Matriz"/>
    <s v=""/>
    <s v="RUA ESTADO DE PERNAMBUCO 93"/>
    <s v="SAO PAULO"/>
    <s v="SP"/>
    <s v=""/>
    <s v=""/>
    <s v=""/>
    <s v="Dentro Perfil"/>
    <s v="Pipeline de Vendas"/>
    <s v="Apresentar Solução (35%)"/>
    <s v=""/>
    <m/>
    <m/>
    <m/>
    <n v="5"/>
    <s v="Ronaldo Nascimento"/>
    <d v="2026-05-13T00:00:00"/>
    <d v="1899-12-30T14:07:38"/>
    <s v=""/>
    <s v="Perdido"/>
    <d v="2026-05-18T00:00:00"/>
    <d v="1899-12-30T09:10:54"/>
    <s v="Fora do porte mínimo (sem fit estrutural)"/>
    <s v="Bruno gostou bastante da solução, porém, no momento a estrutura da empresa ainda é pequena para utilização das nossas ferramentas. Deixei meu contato à disposição para, futuramente, caso a empresa cresça ou o perfil da operação mude, avaliarmos uma solução mais robusta."/>
    <s v=""/>
    <x v="0"/>
    <s v=""/>
    <x v="0"/>
    <s v=""/>
    <d v="2026-05-15T00:00:00"/>
    <n v="40"/>
    <s v=""/>
    <s v=""/>
    <s v=""/>
    <s v=""/>
    <n v="1"/>
  </r>
  <r>
    <x v="1"/>
    <n v="1213"/>
    <m/>
    <n v="3802"/>
    <s v="Olá Alexandre boa tarde ! Aqui é Junior Lopes da Guarani sistemas, Td bem ?_x000a_Estou retornando contato que vc fez conosco referente as nossas soluções de ERP e soluções de força de vendas_x000a_Olá Alexandre, bom dia_x000a_Bom dia_x000a_Mandei mensagem para saber sobre valor do sistema e como funciona_x000a_Ok_x000a_Pode deixar_x000a_Não tenho interesse"/>
    <s v="Analu Parafusos Ltda"/>
    <x v="680"/>
    <n v="26991643000138"/>
    <s v=""/>
    <s v="Alexandre"/>
    <s v="17981238345"/>
    <s v=""/>
    <s v="analuparafusos@gmail.com"/>
    <s v=""/>
    <s v=""/>
    <s v=""/>
    <s v="CAMPO GRANDE"/>
    <s v="MS"/>
    <s v="Campanha"/>
    <s v=""/>
    <s v=""/>
    <s v="Dentro Perfil;Instagram"/>
    <s v="Pipeline de Vendas"/>
    <s v="Qualificação de Vendas (SQL) (25%)"/>
    <s v=""/>
    <d v="2026-05-31T00:00:00"/>
    <m/>
    <m/>
    <n v="1"/>
    <s v="Paulo Souza"/>
    <d v="2026-05-13T00:00:00"/>
    <d v="1899-12-30T17:48:05"/>
    <s v=""/>
    <s v="Perdido"/>
    <d v="2026-05-14T00:00:00"/>
    <d v="1899-12-30T11:26:14"/>
    <s v="Cliente não quer contato LGPD"/>
    <s v="Olá Alexandre boa tarde ! Aqui é Junior Lopes da Guarani sistemas, Td bem ?_x000a_Estou retornando contato que vc fez conosco referente as nossas soluções de ERP e soluções de força de vendas_x000a_Olá Alexandre, bom dia_x000a_Bom dia_x000a_Mandei mensagem para saber sobre valor do sistema e como funciona_x000a_Ok_x000a_Pode deixar_x000a_Não tenho interesse"/>
    <s v=""/>
    <x v="0"/>
    <s v="Junior Lopes"/>
    <x v="0"/>
    <s v=""/>
    <d v="2026-05-14T00:00:00"/>
    <n v="30"/>
    <s v=""/>
    <s v=""/>
    <s v=""/>
    <s v=""/>
    <n v="1"/>
  </r>
  <r>
    <x v="2"/>
    <n v="1214"/>
    <m/>
    <n v="3804"/>
    <s v=""/>
    <s v=""/>
    <x v="681"/>
    <n v="68044700000111"/>
    <s v=""/>
    <s v="Belapin Industria E Comercio De Alimenticios Ltda"/>
    <s v="(011) 2726-761"/>
    <s v=""/>
    <s v="null"/>
    <s v=""/>
    <s v=""/>
    <s v=""/>
    <s v="SAO PAULO"/>
    <s v="SP"/>
    <s v="Base de empresas Leads2b"/>
    <s v=""/>
    <s v=""/>
    <s v=""/>
    <s v="Pipeline de Vendas"/>
    <s v="Qualificação de Vendas (SQL) (25%)"/>
    <s v=""/>
    <m/>
    <m/>
    <m/>
    <n v="7"/>
    <s v="Rayssa Karapeticov"/>
    <d v="2026-05-13T00:00:00"/>
    <d v="1899-12-30T18:21:57"/>
    <s v=""/>
    <s v="Ativo"/>
    <m/>
    <m/>
    <s v=""/>
    <s v=""/>
    <s v=""/>
    <x v="0"/>
    <s v=""/>
    <x v="0"/>
    <s v=""/>
    <m/>
    <m/>
    <s v=""/>
    <s v=""/>
    <s v=""/>
    <s v=""/>
    <n v="1"/>
  </r>
  <r>
    <x v="1"/>
    <n v="1215"/>
    <m/>
    <n v="3807"/>
    <s v=""/>
    <s v=""/>
    <x v="682"/>
    <m/>
    <s v=""/>
    <s v="Istok comercio importação (Cloud)"/>
    <s v="1123617746"/>
    <s v=""/>
    <s v="diogo.contabilidade@yahoo.com.br"/>
    <s v=""/>
    <s v=""/>
    <s v=""/>
    <s v=""/>
    <s v=""/>
    <s v=""/>
    <s v=""/>
    <s v=""/>
    <s v=""/>
    <s v="Pipeline de Vendas"/>
    <s v="Em Fechamento (100%)"/>
    <s v=""/>
    <m/>
    <n v="0"/>
    <n v="2400"/>
    <n v="5"/>
    <s v="Junior Lopes"/>
    <d v="2026-05-14T00:00:00"/>
    <d v="1899-12-30T08:46:38"/>
    <s v=""/>
    <s v="Ganho"/>
    <d v="2026-05-19T00:00:00"/>
    <d v="1899-12-30T14:27:54"/>
    <s v=""/>
    <s v=""/>
    <s v=""/>
    <x v="215"/>
    <s v=""/>
    <x v="235"/>
    <s v="12/05/2026"/>
    <m/>
    <n v="90"/>
    <s v=""/>
    <s v=""/>
    <s v=""/>
    <s v=""/>
    <n v="1"/>
  </r>
  <r>
    <x v="3"/>
    <n v="1216"/>
    <n v="289"/>
    <n v="3812"/>
    <s v="(13/05) Conversei com Joel, vendedor da Newlar. Atualmente, eles não possuem sistema de força de vendas via celular, realizando os pedidos de forma online._x000a_Joel me passou o contato do Edinho, gestor comercial. Enviei mensagem com o objetivo de agendarmos uma apresentação da solução._x000a_(14/05) Em ligação, Tatiana (financeiro) informou que a empresa utiliza o ERP Sankhya há cerca de 4 anos. Atualmente não possuem equipe de vendas externa, e o site é utilizado apenas para demonstração dos produtos/pedidos._x000a_Solicitou uma apresentação inicial por e-mail e também deixou o WhatsApp (11 97334-5254) para um novo contato, a fim de apresentarmos nossas soluções._x000a_Comentou ainda que considera a mensalidade atual do ERP elevada."/>
    <s v=""/>
    <x v="683"/>
    <n v="3717565000182"/>
    <s v="NEWLAR DISTRIBUIDORA DE UTILIDADES DOMESTICAS LTDA"/>
    <s v="Edinho"/>
    <s v="(11) 96123-5967"/>
    <s v="11961235967"/>
    <s v="newlar@newlar.com.br"/>
    <s v="Matriz"/>
    <s v=""/>
    <s v="AV VAUTIER 649"/>
    <s v="SAO PAULO"/>
    <s v="SP"/>
    <s v=""/>
    <s v=""/>
    <s v=""/>
    <s v="Dentro Perfil"/>
    <s v="Pipeline de Vendas"/>
    <s v="Qualificação de Vendas (SQL) (25%)"/>
    <s v=""/>
    <m/>
    <m/>
    <m/>
    <n v="6"/>
    <s v="Ronaldo Nascimento"/>
    <d v="2026-05-14T00:00:00"/>
    <d v="1899-12-30T11:56:50"/>
    <s v=""/>
    <s v="Ativo"/>
    <m/>
    <m/>
    <s v=""/>
    <s v=""/>
    <s v=""/>
    <x v="0"/>
    <s v=""/>
    <x v="0"/>
    <s v=""/>
    <m/>
    <n v="30"/>
    <s v=""/>
    <s v=""/>
    <s v=""/>
    <s v=""/>
    <n v="1"/>
  </r>
  <r>
    <x v="2"/>
    <n v="1217"/>
    <m/>
    <n v="3814"/>
    <s v=""/>
    <s v=""/>
    <x v="684"/>
    <n v="11587676000140"/>
    <s v=""/>
    <s v="Gifran Industria De Artigos Texteis Ltda"/>
    <s v="(24) 2255-5069"/>
    <s v=""/>
    <s v="comercial@gifran.com.br"/>
    <s v=""/>
    <s v=""/>
    <s v=""/>
    <s v="TRES RIOS"/>
    <s v="RJ"/>
    <s v="Base de empresas Leads2b"/>
    <s v=""/>
    <s v=""/>
    <s v=""/>
    <s v="Pipeline de Vendas"/>
    <s v="Qualificação de Vendas (SQL) (25%)"/>
    <s v=""/>
    <m/>
    <m/>
    <m/>
    <n v="6"/>
    <s v="Rayssa Karapeticov"/>
    <d v="2026-05-14T00:00:00"/>
    <d v="1899-12-30T14:46:19"/>
    <s v=""/>
    <s v="Ativo"/>
    <m/>
    <m/>
    <s v=""/>
    <s v=""/>
    <s v=""/>
    <x v="0"/>
    <s v=""/>
    <x v="0"/>
    <s v=""/>
    <d v="2026-05-14T00:00:00"/>
    <n v="30"/>
    <s v=""/>
    <s v=""/>
    <s v=""/>
    <s v=""/>
    <n v="1"/>
  </r>
  <r>
    <x v="2"/>
    <n v="1218"/>
    <m/>
    <n v="3817"/>
    <s v=""/>
    <s v=""/>
    <x v="685"/>
    <n v="3640671000105"/>
    <s v=""/>
    <s v="Plasnew Utilidades Domesticas Ltda."/>
    <s v="(19) 3852-9000"/>
    <s v=""/>
    <s v="plasnew@plasnew.ind.br"/>
    <s v=""/>
    <s v=""/>
    <s v=""/>
    <s v="PEDREIRA"/>
    <s v="SP"/>
    <s v="Base de empresas Leads2b"/>
    <s v=""/>
    <s v=""/>
    <s v=""/>
    <s v="Pipeline de Vendas"/>
    <s v="Qualificação de Vendas (SQL) (25%)"/>
    <s v=""/>
    <m/>
    <m/>
    <m/>
    <n v="6"/>
    <s v="Rayssa Karapeticov"/>
    <d v="2026-05-14T00:00:00"/>
    <d v="1899-12-30T14:49:03"/>
    <s v=""/>
    <s v="Ativo"/>
    <m/>
    <m/>
    <s v=""/>
    <s v=""/>
    <s v=""/>
    <x v="0"/>
    <s v=""/>
    <x v="0"/>
    <s v=""/>
    <m/>
    <m/>
    <s v=""/>
    <s v=""/>
    <s v=""/>
    <s v=""/>
    <n v="1"/>
  </r>
  <r>
    <x v="2"/>
    <n v="1219"/>
    <m/>
    <n v="3820"/>
    <s v=""/>
    <s v=""/>
    <x v="686"/>
    <n v="14892407000185"/>
    <s v=""/>
    <s v="Ambiente Verde Industria Ltda"/>
    <s v="(51) 3541-7491"/>
    <s v=""/>
    <s v="ambienteverde@ambienteverde.ind.br"/>
    <s v=""/>
    <s v=""/>
    <s v=""/>
    <s v="IGREJINHA"/>
    <s v="RS"/>
    <s v="Base de empresas Leads2b"/>
    <s v=""/>
    <s v=""/>
    <s v=""/>
    <s v="Pipeline de Vendas"/>
    <s v="Qualificação de Vendas (SQL) (25%)"/>
    <s v=""/>
    <m/>
    <m/>
    <m/>
    <n v="6"/>
    <s v="Rayssa Karapeticov"/>
    <d v="2026-05-14T00:00:00"/>
    <d v="1899-12-30T14:49:45"/>
    <s v=""/>
    <s v="Ativo"/>
    <m/>
    <m/>
    <s v=""/>
    <s v=""/>
    <s v=""/>
    <x v="0"/>
    <s v=""/>
    <x v="0"/>
    <s v=""/>
    <m/>
    <m/>
    <s v=""/>
    <s v=""/>
    <s v=""/>
    <s v=""/>
    <n v="1"/>
  </r>
  <r>
    <x v="1"/>
    <n v="1220"/>
    <m/>
    <n v="3824"/>
    <s v=""/>
    <s v=""/>
    <x v="687"/>
    <m/>
    <s v=""/>
    <s v="Baag - Horas"/>
    <s v="75981337574"/>
    <s v=""/>
    <s v="cleber@baag.com.br"/>
    <s v=""/>
    <s v=""/>
    <s v=""/>
    <s v=""/>
    <s v=""/>
    <s v=""/>
    <s v=""/>
    <s v=""/>
    <s v=""/>
    <s v="Pipeline de Vendas"/>
    <s v="Em negociação (75%)"/>
    <s v=""/>
    <m/>
    <n v="25228"/>
    <n v="0"/>
    <n v="6"/>
    <s v="Junior Lopes"/>
    <d v="2026-05-14T00:00:00"/>
    <d v="1899-12-30T14:51:10"/>
    <s v=""/>
    <s v="Ativo"/>
    <m/>
    <m/>
    <s v=""/>
    <s v=""/>
    <s v=""/>
    <x v="212"/>
    <s v=""/>
    <x v="0"/>
    <s v=""/>
    <m/>
    <n v="50"/>
    <s v=""/>
    <s v=""/>
    <s v=""/>
    <s v=""/>
    <n v="1"/>
  </r>
  <r>
    <x v="2"/>
    <n v="1221"/>
    <m/>
    <n v="3826"/>
    <s v=""/>
    <s v=""/>
    <x v="688"/>
    <n v="79846465000207"/>
    <s v=""/>
    <s v="Goedert Ltda"/>
    <s v="(48) 3205-2140"/>
    <s v=""/>
    <s v="administracao@goedert.com.br"/>
    <s v=""/>
    <s v=""/>
    <s v=""/>
    <s v="PALHOCA"/>
    <s v="SC"/>
    <s v="Base de empresas Leads2b"/>
    <s v=""/>
    <s v=""/>
    <s v=""/>
    <s v="Pipeline de Vendas"/>
    <s v="Qualificação de Vendas (SQL) (25%)"/>
    <s v=""/>
    <m/>
    <m/>
    <m/>
    <n v="6"/>
    <s v="Rayssa Karapeticov"/>
    <d v="2026-05-14T00:00:00"/>
    <d v="1899-12-30T15:23:21"/>
    <s v=""/>
    <s v="Ativo"/>
    <m/>
    <m/>
    <s v=""/>
    <s v=""/>
    <s v=""/>
    <x v="0"/>
    <s v=""/>
    <x v="0"/>
    <s v=""/>
    <m/>
    <m/>
    <s v=""/>
    <s v=""/>
    <s v=""/>
    <s v=""/>
    <n v="1"/>
  </r>
  <r>
    <x v="2"/>
    <n v="1222"/>
    <m/>
    <n v="3827"/>
    <s v=""/>
    <s v=""/>
    <x v="89"/>
    <n v="5670513000123"/>
    <s v=""/>
    <s v="Jlk Industria E Comercio De Plasticos Ltda"/>
    <s v="(11) 2243-0117"/>
    <s v=""/>
    <s v="jlk@jlkplasticos.com.br"/>
    <s v=""/>
    <s v=""/>
    <s v=""/>
    <s v="SAO PAULO"/>
    <s v="SP"/>
    <s v="Base de empresas Leads2b"/>
    <s v=""/>
    <s v=""/>
    <s v=""/>
    <s v="Pipeline de Vendas"/>
    <s v="Agendamento (0%)"/>
    <s v=""/>
    <m/>
    <m/>
    <m/>
    <n v="6"/>
    <s v="Rayssa Karapeticov"/>
    <d v="2026-05-14T00:00:00"/>
    <d v="1899-12-30T15:24:59"/>
    <s v=""/>
    <s v="Ativo"/>
    <m/>
    <m/>
    <s v=""/>
    <s v=""/>
    <s v=""/>
    <x v="0"/>
    <s v=""/>
    <x v="0"/>
    <s v=""/>
    <m/>
    <m/>
    <s v=""/>
    <s v=""/>
    <s v=""/>
    <s v=""/>
    <n v="1"/>
  </r>
  <r>
    <x v="2"/>
    <n v="1223"/>
    <m/>
    <n v="3830"/>
    <s v=""/>
    <s v=""/>
    <x v="689"/>
    <n v="29946937000136"/>
    <s v=""/>
    <s v="Mercapet Comercio De Acessorios Para Animais Ltda"/>
    <s v="(11) 7162-4141"/>
    <s v=""/>
    <s v="marcosmercapet@gmail.com"/>
    <s v=""/>
    <s v=""/>
    <s v=""/>
    <s v="ITAQUAQUECETUBA"/>
    <s v="SP"/>
    <s v="Base de empresas Leads2b"/>
    <s v=""/>
    <s v=""/>
    <s v=""/>
    <s v="Pipeline de Vendas"/>
    <s v="Agendamento (0%)"/>
    <s v=""/>
    <m/>
    <m/>
    <m/>
    <n v="6"/>
    <s v="Rayssa Karapeticov"/>
    <d v="2026-05-14T00:00:00"/>
    <d v="1899-12-30T15:29:49"/>
    <s v=""/>
    <s v="Ativo"/>
    <m/>
    <m/>
    <s v=""/>
    <s v=""/>
    <s v=""/>
    <x v="0"/>
    <s v=""/>
    <x v="0"/>
    <s v=""/>
    <m/>
    <m/>
    <s v=""/>
    <s v=""/>
    <s v=""/>
    <s v=""/>
    <n v="1"/>
  </r>
  <r>
    <x v="2"/>
    <n v="1224"/>
    <m/>
    <n v="3832"/>
    <s v=""/>
    <s v=""/>
    <x v="690"/>
    <n v="90406117000162"/>
    <s v=""/>
    <s v="Future Industria Metalurgica Ltda"/>
    <s v="(54) 3535-8700"/>
    <s v=""/>
    <s v="future@futureutilidades.com.br"/>
    <s v=""/>
    <s v=""/>
    <s v=""/>
    <s v="CAXIAS DO SUL"/>
    <s v="RS"/>
    <s v="Base de empresas Leads2b"/>
    <s v=""/>
    <s v=""/>
    <s v=""/>
    <s v="Pipeline de Vendas"/>
    <s v="Agendamento (0%)"/>
    <s v=""/>
    <m/>
    <m/>
    <m/>
    <n v="6"/>
    <s v="Rayssa Karapeticov"/>
    <d v="2026-05-14T00:00:00"/>
    <d v="1899-12-30T15:31:13"/>
    <s v=""/>
    <s v="Ativo"/>
    <m/>
    <m/>
    <s v=""/>
    <s v=""/>
    <s v=""/>
    <x v="0"/>
    <s v=""/>
    <x v="0"/>
    <s v=""/>
    <m/>
    <m/>
    <s v=""/>
    <s v=""/>
    <s v=""/>
    <s v=""/>
    <n v="1"/>
  </r>
  <r>
    <x v="2"/>
    <n v="1225"/>
    <m/>
    <n v="3835"/>
    <s v=""/>
    <s v=""/>
    <x v="691"/>
    <n v="5020996000110"/>
    <s v=""/>
    <s v="Primavera Industria De Vassouras E Escovas Ltda"/>
    <s v="(54) 3344-1438"/>
    <s v=""/>
    <s v="primavera@primavera.ind.br"/>
    <s v=""/>
    <s v=""/>
    <s v=""/>
    <s v="TAPEJARA"/>
    <s v="RS"/>
    <s v="Base de empresas Leads2b"/>
    <s v=""/>
    <s v=""/>
    <s v=""/>
    <s v="Pipeline de Vendas"/>
    <s v="Agendamento (0%)"/>
    <s v=""/>
    <m/>
    <m/>
    <m/>
    <n v="6"/>
    <s v="Rayssa Karapeticov"/>
    <d v="2026-05-14T00:00:00"/>
    <d v="1899-12-30T15:32:28"/>
    <s v=""/>
    <s v="Ativo"/>
    <m/>
    <m/>
    <s v=""/>
    <s v=""/>
    <s v=""/>
    <x v="0"/>
    <s v=""/>
    <x v="0"/>
    <s v=""/>
    <m/>
    <m/>
    <s v=""/>
    <s v=""/>
    <s v=""/>
    <s v=""/>
    <n v="1"/>
  </r>
  <r>
    <x v="2"/>
    <n v="1226"/>
    <m/>
    <n v="3838"/>
    <s v=""/>
    <s v=""/>
    <x v="692"/>
    <n v="30365926000141"/>
    <s v=""/>
    <s v="Esponjas Evol Clean Ltda"/>
    <s v="(44) 3629-5720"/>
    <s v=""/>
    <s v="esponjasevolclean@gmail.com"/>
    <s v=""/>
    <s v=""/>
    <s v=""/>
    <s v="CIANORTE"/>
    <s v="PR"/>
    <s v="Base de empresas Leads2b"/>
    <s v=""/>
    <s v=""/>
    <s v=""/>
    <s v="Pipeline de Vendas"/>
    <s v="Agendamento (0%)"/>
    <s v=""/>
    <m/>
    <m/>
    <m/>
    <n v="6"/>
    <s v="Rayssa Karapeticov"/>
    <d v="2026-05-14T00:00:00"/>
    <d v="1899-12-30T15:33:49"/>
    <s v=""/>
    <s v="Ativo"/>
    <m/>
    <m/>
    <s v=""/>
    <s v=""/>
    <s v=""/>
    <x v="0"/>
    <s v=""/>
    <x v="0"/>
    <s v=""/>
    <m/>
    <m/>
    <s v=""/>
    <s v=""/>
    <s v=""/>
    <s v=""/>
    <n v="1"/>
  </r>
  <r>
    <x v="2"/>
    <n v="1227"/>
    <m/>
    <n v="3840"/>
    <s v=""/>
    <s v=""/>
    <x v="693"/>
    <n v="1355480000176"/>
    <s v=""/>
    <s v="Uninjet Industria E Comercio De Plasticos Ltda"/>
    <s v="(11) 2521-3011"/>
    <s v=""/>
    <s v="a.garcia@uninjet.com.br"/>
    <s v=""/>
    <s v=""/>
    <s v=""/>
    <s v="SAO PAULO"/>
    <s v="SP"/>
    <s v="Base de empresas Leads2b"/>
    <s v=""/>
    <s v=""/>
    <s v=""/>
    <s v="Pipeline de Vendas"/>
    <s v="Agendamento (0%)"/>
    <s v=""/>
    <m/>
    <m/>
    <m/>
    <n v="6"/>
    <s v="Rayssa Karapeticov"/>
    <d v="2026-05-14T00:00:00"/>
    <d v="1899-12-30T15:34:25"/>
    <s v=""/>
    <s v="Ativo"/>
    <m/>
    <m/>
    <s v=""/>
    <s v=""/>
    <s v=""/>
    <x v="0"/>
    <s v=""/>
    <x v="0"/>
    <s v=""/>
    <m/>
    <m/>
    <s v=""/>
    <s v=""/>
    <s v=""/>
    <s v=""/>
    <n v="1"/>
  </r>
  <r>
    <x v="2"/>
    <n v="1228"/>
    <m/>
    <n v="3877"/>
    <s v=""/>
    <s v=""/>
    <x v="694"/>
    <n v="3959052000188"/>
    <s v=""/>
    <s v="Gioplast Industria E Comercio Ltda"/>
    <s v="(11) 3132-9192"/>
    <s v=""/>
    <s v="contato@produtosgiotto.com.br"/>
    <s v=""/>
    <s v=""/>
    <s v=""/>
    <s v="NAZARE PAULISTA"/>
    <s v="SP"/>
    <s v="Base de empresas Leads2b"/>
    <s v=""/>
    <s v=""/>
    <s v=""/>
    <s v="Pipeline de Vendas"/>
    <s v="Agendamento (0%)"/>
    <s v=""/>
    <m/>
    <m/>
    <m/>
    <n v="6"/>
    <s v="Rayssa Karapeticov"/>
    <d v="2026-05-14T00:00:00"/>
    <d v="1899-12-30T15:51:54"/>
    <s v=""/>
    <s v="Ativo"/>
    <m/>
    <m/>
    <s v=""/>
    <s v=""/>
    <s v=""/>
    <x v="0"/>
    <s v=""/>
    <x v="0"/>
    <s v=""/>
    <m/>
    <m/>
    <s v=""/>
    <s v=""/>
    <s v=""/>
    <s v=""/>
    <n v="1"/>
  </r>
  <r>
    <x v="2"/>
    <n v="1229"/>
    <m/>
    <n v="3881"/>
    <s v=""/>
    <s v=""/>
    <x v="695"/>
    <n v="9149833000193"/>
    <s v=""/>
    <s v="Neoplas Industria E Comercio De Plasticos Ltda"/>
    <s v="(47) 3438-6970"/>
    <s v=""/>
    <s v="neoplas@neoplas.com.br"/>
    <s v=""/>
    <s v=""/>
    <s v=""/>
    <s v="JOINVILLE"/>
    <s v="SC"/>
    <s v="Base de empresas Leads2b"/>
    <s v=""/>
    <s v=""/>
    <s v=""/>
    <s v="Pipeline de Vendas"/>
    <s v="Agendamento (0%)"/>
    <s v=""/>
    <m/>
    <m/>
    <m/>
    <n v="6"/>
    <s v="Rayssa Karapeticov"/>
    <d v="2026-05-14T00:00:00"/>
    <d v="1899-12-30T15:52:32"/>
    <s v=""/>
    <s v="Ativo"/>
    <m/>
    <m/>
    <s v=""/>
    <s v=""/>
    <s v=""/>
    <x v="0"/>
    <s v=""/>
    <x v="0"/>
    <s v=""/>
    <m/>
    <m/>
    <s v=""/>
    <s v=""/>
    <s v=""/>
    <s v=""/>
    <n v="1"/>
  </r>
  <r>
    <x v="2"/>
    <n v="1230"/>
    <m/>
    <n v="3892"/>
    <s v=""/>
    <s v=""/>
    <x v="696"/>
    <n v="8696119000314"/>
    <s v=""/>
    <s v="Mix Sao Paulo Industria E Comercio Ltda"/>
    <s v="(11) 3013-1300"/>
    <s v=""/>
    <s v="contato@plastco.com.br"/>
    <s v=""/>
    <s v=""/>
    <s v=""/>
    <s v="SAO PAULO"/>
    <s v="SP"/>
    <s v="Base de empresas Leads2b"/>
    <s v=""/>
    <s v=""/>
    <s v=""/>
    <s v="Pipeline de Vendas"/>
    <s v="Agendamento (0%)"/>
    <s v=""/>
    <m/>
    <m/>
    <m/>
    <n v="6"/>
    <s v="Rayssa Karapeticov"/>
    <d v="2026-05-14T00:00:00"/>
    <d v="1899-12-30T16:06:06"/>
    <s v=""/>
    <s v="Ativo"/>
    <m/>
    <m/>
    <s v=""/>
    <s v=""/>
    <s v=""/>
    <x v="0"/>
    <s v=""/>
    <x v="0"/>
    <s v=""/>
    <m/>
    <m/>
    <s v=""/>
    <s v=""/>
    <s v=""/>
    <s v=""/>
    <n v="1"/>
  </r>
  <r>
    <x v="2"/>
    <n v="1231"/>
    <m/>
    <n v="3895"/>
    <s v=""/>
    <s v=""/>
    <x v="697"/>
    <n v="8266046000169"/>
    <s v=""/>
    <s v="Forfest Industria De Descartaveis Ltda"/>
    <s v="(48) 3466-2961"/>
    <s v=""/>
    <s v="atendimento@forfest.com.br"/>
    <s v=""/>
    <s v=""/>
    <s v=""/>
    <s v="ORLEANS"/>
    <s v="SC"/>
    <s v="Base de empresas Leads2b"/>
    <s v=""/>
    <s v=""/>
    <s v=""/>
    <s v="Pipeline de Vendas"/>
    <s v="Qualificação de Vendas (SQL) (25%)"/>
    <s v=""/>
    <m/>
    <m/>
    <m/>
    <n v="6"/>
    <s v="Rayssa Karapeticov"/>
    <d v="2026-05-14T00:00:00"/>
    <d v="1899-12-30T16:13:45"/>
    <s v=""/>
    <s v="Ativo"/>
    <m/>
    <m/>
    <s v=""/>
    <s v=""/>
    <s v=""/>
    <x v="0"/>
    <s v=""/>
    <x v="0"/>
    <s v=""/>
    <m/>
    <m/>
    <s v=""/>
    <s v=""/>
    <s v=""/>
    <s v=""/>
    <n v="1"/>
  </r>
  <r>
    <x v="2"/>
    <n v="1232"/>
    <m/>
    <n v="3898"/>
    <s v=""/>
    <s v=""/>
    <x v="698"/>
    <n v="18455453000178"/>
    <s v=""/>
    <s v="Comfort Door Importacao E Distribuicao De Utilidades Domesticas Ltda"/>
    <s v="(43) 3376-3000"/>
    <s v=""/>
    <s v="contato@comfortdoor.com.br"/>
    <s v=""/>
    <s v=""/>
    <s v=""/>
    <s v="LONDRINA"/>
    <s v="PR"/>
    <s v="Base de empresas Leads2b"/>
    <s v=""/>
    <s v=""/>
    <s v=""/>
    <s v="Pipeline de Vendas"/>
    <s v="Qualificação de Vendas (SQL) (25%)"/>
    <s v=""/>
    <m/>
    <m/>
    <m/>
    <n v="6"/>
    <s v="Rayssa Karapeticov"/>
    <d v="2026-05-14T00:00:00"/>
    <d v="1899-12-30T16:14:25"/>
    <s v=""/>
    <s v="Ativo"/>
    <m/>
    <m/>
    <s v=""/>
    <s v=""/>
    <s v=""/>
    <x v="0"/>
    <s v=""/>
    <x v="0"/>
    <s v=""/>
    <m/>
    <m/>
    <s v=""/>
    <s v=""/>
    <s v=""/>
    <s v=""/>
    <n v="1"/>
  </r>
  <r>
    <x v="1"/>
    <n v="1233"/>
    <m/>
    <n v="3918"/>
    <s v=""/>
    <s v=""/>
    <x v="699"/>
    <n v="35754976000215"/>
    <s v=""/>
    <s v="StarTools ferramaentas (Cloud)"/>
    <s v="1184724282"/>
    <s v=""/>
    <s v="controladoria@startoolsferramentas.com.br"/>
    <s v=""/>
    <s v=""/>
    <s v=""/>
    <s v="ARAQUARI"/>
    <s v="SC"/>
    <s v=""/>
    <s v=""/>
    <s v=""/>
    <s v=""/>
    <s v="Pipeline de Vendas"/>
    <s v="Apresentar Solução (35%)"/>
    <s v=""/>
    <m/>
    <m/>
    <m/>
    <n v="5"/>
    <s v="Junior Lopes"/>
    <d v="2026-05-15T00:00:00"/>
    <d v="1899-12-30T11:25:41"/>
    <s v=""/>
    <s v="Ativo"/>
    <m/>
    <m/>
    <s v=""/>
    <s v=""/>
    <s v=""/>
    <x v="0"/>
    <s v=""/>
    <x v="239"/>
    <s v=""/>
    <m/>
    <n v="50"/>
    <s v=""/>
    <s v=""/>
    <s v=""/>
    <s v=""/>
    <n v="1"/>
  </r>
  <r>
    <x v="3"/>
    <n v="1234"/>
    <m/>
    <n v="3917"/>
    <s v="Todos os dados preenchidos:name: William Zanini Brogni field_3: Diretor phone: 45988277667 email: william@abtec.eng.br nome_da_empresa: Abtec field_4: Sudeste site_ou_rede_social_da_empresa: https://abecommerce.com.br/ referrer: https://instagram.com/ _x000a_(15/05) Falei com William, que estava em reunião no momento. Solicitou novo contato na segunda-feira pela manhã."/>
    <s v=""/>
    <x v="700"/>
    <m/>
    <s v=""/>
    <s v="William Zanini Brogni"/>
    <s v="(45) 98827-7667"/>
    <s v=""/>
    <s v="william@abtec.eng.br"/>
    <s v=""/>
    <s v=""/>
    <s v=""/>
    <s v="Cascavel"/>
    <s v=""/>
    <s v="Inbound"/>
    <s v=""/>
    <s v=""/>
    <s v="Dentro Perfil;Instagram"/>
    <s v="Pipeline de Vendas"/>
    <s v="Qualificação de Vendas (SQL) (25%)"/>
    <s v=""/>
    <m/>
    <m/>
    <m/>
    <n v="5"/>
    <s v="Paulo Souza"/>
    <d v="2026-05-15T00:00:00"/>
    <d v="1899-12-30T12:17:45"/>
    <s v=""/>
    <s v="Ativo"/>
    <m/>
    <m/>
    <s v=""/>
    <s v=""/>
    <s v=""/>
    <x v="0"/>
    <s v="Ronaldo Nascimento"/>
    <x v="0"/>
    <s v=""/>
    <m/>
    <n v="30"/>
    <s v=""/>
    <s v=""/>
    <s v=""/>
    <s v=""/>
    <n v="1"/>
  </r>
  <r>
    <x v="1"/>
    <n v="1236"/>
    <m/>
    <n v="3921"/>
    <s v=""/>
    <s v=""/>
    <x v="701"/>
    <m/>
    <s v=""/>
    <s v="MDL - Comex"/>
    <s v="11910695515"/>
    <s v=""/>
    <s v="janaina@mdlimport.com.br"/>
    <s v=""/>
    <s v=""/>
    <s v=""/>
    <s v=""/>
    <s v=""/>
    <s v=""/>
    <s v=""/>
    <s v=""/>
    <s v=""/>
    <s v="Pipeline de Vendas"/>
    <s v="Apresentar Proposta (50%)"/>
    <s v=""/>
    <m/>
    <m/>
    <m/>
    <n v="2"/>
    <s v="Junior Lopes"/>
    <d v="2026-05-18T00:00:00"/>
    <d v="1899-12-30T08:19:14"/>
    <s v=""/>
    <s v="Ativo"/>
    <m/>
    <m/>
    <s v=""/>
    <s v=""/>
    <s v=""/>
    <x v="217"/>
    <s v=""/>
    <x v="0"/>
    <s v=""/>
    <m/>
    <n v="50"/>
    <s v=""/>
    <s v=""/>
    <s v=""/>
    <s v=""/>
    <n v="1"/>
  </r>
  <r>
    <x v="1"/>
    <n v="1237"/>
    <m/>
    <n v="3922"/>
    <s v=""/>
    <s v=""/>
    <x v="702"/>
    <m/>
    <s v=""/>
    <s v="MDL - Boleto Whats"/>
    <s v="11910695515"/>
    <s v=""/>
    <s v="janaina@mdlimport.com.br"/>
    <s v=""/>
    <s v=""/>
    <s v=""/>
    <s v=""/>
    <s v=""/>
    <s v=""/>
    <s v=""/>
    <s v=""/>
    <s v=""/>
    <s v="Pipeline de Vendas"/>
    <s v="Apresentar Proposta (50%)"/>
    <s v=""/>
    <m/>
    <m/>
    <m/>
    <n v="2"/>
    <s v="Junior Lopes"/>
    <d v="2026-05-18T00:00:00"/>
    <d v="1899-12-30T08:26:32"/>
    <s v=""/>
    <s v="Ativo"/>
    <m/>
    <m/>
    <s v=""/>
    <s v=""/>
    <s v=""/>
    <x v="217"/>
    <s v=""/>
    <x v="240"/>
    <s v=""/>
    <m/>
    <n v="50"/>
    <s v=""/>
    <s v=""/>
    <s v=""/>
    <s v=""/>
    <n v="1"/>
  </r>
  <r>
    <x v="1"/>
    <n v="1238"/>
    <m/>
    <n v="3923"/>
    <s v=""/>
    <s v=""/>
    <x v="703"/>
    <m/>
    <s v=""/>
    <s v="Star Distribuidora - Boleto Whats"/>
    <s v="17996266970"/>
    <s v=""/>
    <s v="administrativo@distribuidorastar.com.br"/>
    <s v=""/>
    <s v=""/>
    <s v=""/>
    <s v=""/>
    <s v=""/>
    <s v=""/>
    <s v=""/>
    <s v=""/>
    <s v=""/>
    <s v="Pipeline de Vendas"/>
    <s v="Apresentar Proposta (50%)"/>
    <s v=""/>
    <m/>
    <m/>
    <m/>
    <n v="2"/>
    <s v="Junior Lopes"/>
    <d v="2026-05-18T00:00:00"/>
    <d v="1899-12-30T08:39:29"/>
    <s v=""/>
    <s v="Ativo"/>
    <m/>
    <m/>
    <s v=""/>
    <s v=""/>
    <s v=""/>
    <x v="217"/>
    <s v=""/>
    <x v="240"/>
    <s v=""/>
    <m/>
    <n v="50"/>
    <s v=""/>
    <s v=""/>
    <s v=""/>
    <s v=""/>
    <n v="1"/>
  </r>
  <r>
    <x v="1"/>
    <n v="1240"/>
    <m/>
    <n v="3962"/>
    <s v=""/>
    <s v=""/>
    <x v="704"/>
    <m/>
    <s v=""/>
    <s v="fuzipar - ERP"/>
    <s v="54984185138"/>
    <s v=""/>
    <s v="null"/>
    <s v=""/>
    <s v=""/>
    <s v=""/>
    <s v=""/>
    <s v=""/>
    <s v=""/>
    <s v=""/>
    <s v=""/>
    <s v=""/>
    <s v="Pipeline de Vendas"/>
    <s v="Apresentar Solução (35%)"/>
    <s v=""/>
    <m/>
    <m/>
    <m/>
    <n v="1"/>
    <s v="Junior Lopes"/>
    <d v="2026-05-19T00:00:00"/>
    <d v="1899-12-30T17:02:34"/>
    <s v=""/>
    <s v="Ativo"/>
    <m/>
    <m/>
    <s v=""/>
    <s v=""/>
    <s v=""/>
    <x v="0"/>
    <s v=""/>
    <x v="0"/>
    <s v=""/>
    <m/>
    <n v="50"/>
    <s v=""/>
    <s v=""/>
    <s v=""/>
    <s v=""/>
    <n v="1"/>
  </r>
</pivotCacheRecords>
</file>

<file path=xl/pivotCache/pivotCacheRecords6.xml><?xml version="1.0" encoding="utf-8"?>
<pivotCacheRecords xmlns="http://schemas.openxmlformats.org/spreadsheetml/2006/main" count="716">
  <r>
    <x v="0"/>
    <n v="87"/>
    <m/>
    <n v="548"/>
    <s v=""/>
    <s v=""/>
    <x v="0"/>
    <m/>
    <s v=""/>
    <s v="Paulo Teste"/>
    <s v="16997181604"/>
    <s v=""/>
    <s v="paulo.souza@guaranisistemas.com.br"/>
    <s v=""/>
    <s v=""/>
    <s v=""/>
    <s v=""/>
    <s v=""/>
    <s v=""/>
    <s v=""/>
    <s v=""/>
    <s v="Guarani AFV;SDRPaulo"/>
    <s v="Pipeline de Vendas"/>
    <s v="Agendamento (0%)"/>
    <s v=""/>
    <m/>
    <n v="0"/>
    <n v="27562"/>
    <n v="540"/>
    <s v="Paulo Souza"/>
    <d v="2024-11-26T00:00:00"/>
    <d v="1899-12-30T17:25:50"/>
    <s v=""/>
    <s v="Ativo"/>
    <m/>
    <m/>
    <s v=""/>
    <s v=""/>
    <s v=""/>
    <x v="0"/>
    <s v="Paulo Souza"/>
    <x v="0"/>
    <s v=""/>
    <m/>
    <m/>
    <s v=""/>
    <s v=""/>
    <s v=""/>
    <s v=""/>
    <n v="1"/>
  </r>
  <r>
    <x v="1"/>
    <n v="88"/>
    <m/>
    <n v="269"/>
    <s v=""/>
    <s v="EDDI INDUSTRIA E COMERCIO DE ARTEFATOS PLASTICOS LTDA"/>
    <x v="1"/>
    <n v="24870219000100"/>
    <s v=""/>
    <s v="EDDI CASA"/>
    <s v="16997246190"/>
    <s v=""/>
    <s v="comercial@eddicasa.com"/>
    <s v=""/>
    <s v="EDDI CASA;Bruno"/>
    <s v=""/>
    <s v="Ibitinga - SP"/>
    <s v="SP"/>
    <s v="Outbound"/>
    <s v=""/>
    <s v=""/>
    <s v="Guarani AFV;Importado a partir de lista;SDRFernanda"/>
    <s v="Pipeline de Vendas"/>
    <s v="Apresentar Proposta (50%)"/>
    <s v=""/>
    <m/>
    <m/>
    <m/>
    <n v="55"/>
    <s v="Fernanda Santiago"/>
    <d v="2024-11-27T00:00:00"/>
    <d v="1899-12-30T14:28:37"/>
    <s v=""/>
    <s v="Perdido"/>
    <d v="2025-01-21T00:00:00"/>
    <d v="1899-12-30T11:55:50"/>
    <s v="Projeto adiado / sem prazo definido"/>
    <s v="sem retorno do cliente"/>
    <s v="27/11/2024"/>
    <x v="1"/>
    <s v="Fernanda Santiago"/>
    <x v="1"/>
    <s v=""/>
    <m/>
    <m/>
    <s v=""/>
    <s v=""/>
    <s v=""/>
    <s v=""/>
    <n v="1"/>
  </r>
  <r>
    <x v="0"/>
    <n v="89"/>
    <m/>
    <n v="439"/>
    <s v="APÓS PESQUISA ENCONTREI O TELEFONE 88 98114-7695 NO CATALAGO DIGITAL DA EMPRESA, MANDEI MSG PARA VALIDAR E CONVERSEI COM LUCAS, ELE DISSE QUE NO PASSADO JA NOS PROCUROU PARA CONHECER NOSSO ERP, POIS QUEREM MUDAR DE SISTEMA, O GERENTE DELES DE PRODUÇÃO JA TRABALHOU CONOSCO NA ARCA PLAST E INDICOU. ATUALMENTE USA SISTEMA CHAMADO WSHOP, MAS NÃO ATENDE ELES BEM. QUER VER TODA PARTE DE PRODUÇÃO, PRODUTOS, CUSTOS, FATURAMENTO... POSSUEM POUCOS REPRESENTANTES, FOCO NO MOMENTO É O ERP, APÓS ELE VE O FORÇA DE VENDAS._x000a_AGENDADO APRESENTAÇÃO COM O PAULO DIA 27/11 AS 15H"/>
    <s v=""/>
    <x v="2"/>
    <n v="51921277000198"/>
    <s v=""/>
    <s v="Lucas"/>
    <s v="(88) 98114-7695"/>
    <s v=""/>
    <s v="lucasnewway@gmail.com"/>
    <s v=""/>
    <s v=""/>
    <s v=""/>
    <s v=""/>
    <s v=""/>
    <s v="Base de empresas Leads2b"/>
    <s v=""/>
    <s v=""/>
    <s v="SDRDébora"/>
    <s v="Pipeline de Vendas"/>
    <s v="Em negociação (75%)"/>
    <s v=""/>
    <m/>
    <m/>
    <m/>
    <n v="63"/>
    <s v="Débora Duarte"/>
    <d v="2024-11-27T00:00:00"/>
    <d v="1899-12-30T14:29:05"/>
    <s v=""/>
    <s v="Perdido"/>
    <d v="2025-01-29T00:00:00"/>
    <d v="1899-12-30T01:04:01"/>
    <s v="Cliente não quer contato LGPD"/>
    <s v=""/>
    <s v="27/11/2024"/>
    <x v="0"/>
    <s v="Débora Duarte"/>
    <x v="0"/>
    <s v=""/>
    <m/>
    <m/>
    <s v=""/>
    <s v=""/>
    <s v=""/>
    <s v=""/>
    <n v="1"/>
  </r>
  <r>
    <x v="1"/>
    <n v="90"/>
    <m/>
    <n v="372"/>
    <s v="FALEI COM SILDÁCIO, ATUALMENTE USAM SISTEMA PROPRIO, MAS BUSCAM MELHORIAS E CONFORMA PLANEJAMENTO PARA 2025 ESTÁ COTANDO COM SOLUÇÕES DO MERCADO, OUVI DE OUTRAS IMPORTADORAS QUE USAM NOSSA SISTEMA PARA FORÇA DE VENDAS. HOJE SÃO 5 RCA, MAS ESTÃO EXPANDIDO O ATENDIMENTO PARA OUTROS ESTADOS E AUMENTANDO A EQUIPE. USAM ERP TOTVS. SÃO IMPORTADORA UD/BRINQUEDOS/DECOR_x000a_AGENDADO APRESENTAÇÃO DIA 21/11 AS 11H30_x000a_INCLUIR NO INVITE jacqueline.santos@casafreitas.com.br"/>
    <s v=""/>
    <x v="3"/>
    <n v="1740627000575"/>
    <s v=""/>
    <s v="Sildácio Amaral"/>
    <s v="(85) 99797-0405"/>
    <s v=""/>
    <s v="sildacio.amaral@casafreitas.com.br"/>
    <s v=""/>
    <s v=""/>
    <s v=""/>
    <s v=""/>
    <s v=""/>
    <s v="Site"/>
    <s v=""/>
    <s v=""/>
    <s v="90%;Guarani AFV;SDRDébora;SDRInbound"/>
    <s v="Pipeline de Vendas"/>
    <s v="Em Fechamento (100%)"/>
    <s v="6x sem juros (0/30/60/90/120/150...)"/>
    <m/>
    <n v="14416"/>
    <n v="18072"/>
    <n v="266"/>
    <s v="Débora Duarte"/>
    <d v="2024-11-27T00:00:00"/>
    <d v="1899-12-30T15:32:35"/>
    <s v=""/>
    <s v="Ganho"/>
    <d v="2025-08-20T00:00:00"/>
    <d v="1899-12-30T09:37:28"/>
    <s v=""/>
    <s v=""/>
    <s v="19/11/2024 00:00"/>
    <x v="2"/>
    <s v="Débora Duarte"/>
    <x v="2"/>
    <s v="07/03/2025"/>
    <m/>
    <m/>
    <s v=""/>
    <s v=""/>
    <s v=""/>
    <s v=""/>
    <n v="1"/>
  </r>
  <r>
    <x v="1"/>
    <n v="91"/>
    <m/>
    <n v="502"/>
    <s v="Então, eu conheci o sistema AFV por um fornecedor nosso e ficamos interessados pelo recursos que você possui em realizar vendas e consultar estoques pelo celular_x000a_Somos um grupo o KWI, que é composto por 3 empresas, 2 é varejista e não fazemos vendas externas e nem representantes. E 1 é Atacadista, no momento é uma empresa nova, mas estamos nos organizando para incorporar vendas externas_x000a_Varejista e Atacadista_x000a_Porque ficamos interessamos em por exemplo quando estamos na feira para expor ao invés de fazer pedido no papel, utilizar um celular que é mais pratico_x000a_Ultimamos o ERP Verup_x000a_Ah então pode ser quinta 10hrs? Sou Supervisora do T.I_x000a_Recebi. Muito obrigada!!"/>
    <s v=""/>
    <x v="4"/>
    <n v="8196258000117"/>
    <s v=""/>
    <s v="Giovanna Seguette"/>
    <s v="(11) 94444-8474"/>
    <s v=""/>
    <s v="suppliers@bongmoon.com"/>
    <s v=""/>
    <s v=""/>
    <s v=""/>
    <s v=""/>
    <s v=""/>
    <s v="Site"/>
    <s v=""/>
    <s v=""/>
    <s v="Guarani AFV;SDRDébora;SDRInbound"/>
    <s v="Pipeline de Vendas"/>
    <s v="Apresentar Proposta (50%)"/>
    <s v=""/>
    <m/>
    <m/>
    <m/>
    <n v="55"/>
    <s v="Débora Duarte"/>
    <d v="2024-11-27T00:00:00"/>
    <d v="1899-12-30T15:34:41"/>
    <s v=""/>
    <s v="Perdido"/>
    <d v="2025-01-21T00:00:00"/>
    <d v="1899-12-30T11:59:45"/>
    <s v="Projeto adiado / sem prazo definido"/>
    <s v="sem retorno do cliente"/>
    <s v="25/11/2024 00:00"/>
    <x v="3"/>
    <s v="Débora Duarte"/>
    <x v="3"/>
    <s v=""/>
    <m/>
    <m/>
    <s v=""/>
    <s v=""/>
    <s v=""/>
    <s v=""/>
    <n v="1"/>
  </r>
  <r>
    <x v="1"/>
    <n v="92"/>
    <m/>
    <n v="360"/>
    <s v="APÓS INDICAÇÃO DO TEL 16 99776-7635 CONTATO PASSOU O Nº DA JESSICA, FALEI COM ELA POR WHATS, ATUALMENTE USAM SISTEMA DA IDEIA, MAS ELA ACEITOU VER UMA DEMONSTRAÇÃO DO NOSSO FORÇA DE VENDAS._x000a_EMPRESA É DE ARARAQUARA, INDUSTRIA DE UD_x000a_AGENDADO APRESENTAÇÃO DIA 03/12 AS 10H COM O JUCA"/>
    <s v="Utiliplas Fabricacao E Comercio De Artefatos Plasticos Ltda"/>
    <x v="5"/>
    <n v="32364538000171"/>
    <s v=""/>
    <s v="Jessica Edevania"/>
    <s v="(16) 3332-7378"/>
    <s v=""/>
    <s v="comercialutiliplas@gmail.com"/>
    <s v=""/>
    <s v=""/>
    <s v=""/>
    <s v="ARARAQUARA"/>
    <s v="SP"/>
    <s v="Base de empresas Leads2b"/>
    <s v=""/>
    <s v=""/>
    <s v="Guarani AFV;SDRDébora"/>
    <s v="Pipeline de Vendas"/>
    <s v="Em negociação (75%)"/>
    <s v=""/>
    <m/>
    <n v="2496"/>
    <m/>
    <n v="62"/>
    <s v="Débora Duarte"/>
    <d v="2024-11-27T00:00:00"/>
    <d v="1899-12-30T15:37:15"/>
    <s v=""/>
    <s v="Perdido"/>
    <d v="2025-01-28T00:00:00"/>
    <d v="1899-12-30T15:33:32"/>
    <s v="Projeto adiado / sem prazo definido"/>
    <s v="cliente não da retorno"/>
    <s v="26/11/2024 00:00"/>
    <x v="4"/>
    <s v="Débora Duarte"/>
    <x v="2"/>
    <s v=""/>
    <m/>
    <m/>
    <s v=""/>
    <s v=""/>
    <s v=""/>
    <s v=""/>
    <n v="1"/>
  </r>
  <r>
    <x v="0"/>
    <n v="93"/>
    <m/>
    <n v="598"/>
    <s v="A Primu's Rio é uma rede de lojas especializada em Brinquedos, Cama, Mesa e Banho, Utensílios domésticos, Papelaria, Plástico, Vidro, Alumínio e muito mais._x000a_São mais de 25 anos no mercado, oferecendo os melhores produtos com os melhores preços, tanto para o consumidor varejista, quanto para o atacadista._x000a_Site: Loja online de Primu's Rio - Quem Somos_x000a_O Grupo primus é um grupo econômico com 7 empresas, e estão divididas da seguinte maneira:_x000a_Distribuidora/Importadora_x000a_ERP = 10_x000a_AFV = 2_x000a_PDV = 10_x000a_7 CNPJ_x000a_Produtos de Interesse (ERP, AFV, PDV, MDFE, MDE, B2B)_x000a_Atacado e Lojas_x000a_4 lojas com 28 PDV, sendo que uma dessa loja é atacado._x000a_ASSUNTOS A SER DETALHANDOS NA APRESENTAÇÃO:_x000a_Política de preço, eles fazer 3 tipos de preço T1 (9,90), T2 (8,90), T3 (7,90), a regra é que com determinado volume financeiro na compra o preço flute entre as tabelas;_x000a_Tem dois tipos de custo quando a mercadoria entra pela importadora é um e pela distribuidora é outro, entender melhor isso_x000a_A apresentação dever ser focada na distribuidora e seus processos diários. Seguir o fluxo apresentando a Estoque, Financeiro, Fiscal, Politicas de Preço, Faturamento e Gerenciamento da Operação."/>
    <s v=""/>
    <x v="6"/>
    <n v="3375396000492"/>
    <s v=""/>
    <s v="Celso"/>
    <s v="21964236193"/>
    <s v=""/>
    <s v="celsomsc@gmail.com"/>
    <s v=""/>
    <s v=""/>
    <s v=""/>
    <s v="RIO DE JANEIRO"/>
    <s v="RJ"/>
    <s v="Outbound"/>
    <s v=""/>
    <s v=""/>
    <s v="Guarani AFV;Guarani B2B;Guarani ERP;Guarani PDV;MORNO;SDRPaulo"/>
    <s v="Pipeline de Vendas"/>
    <s v="Em negociação (75%)"/>
    <s v=""/>
    <m/>
    <n v="0"/>
    <n v="0"/>
    <n v="61"/>
    <s v="Paulo Souza"/>
    <d v="2024-11-28T00:00:00"/>
    <d v="1899-12-30T08:47:53"/>
    <s v=""/>
    <s v="Perdido"/>
    <d v="2025-01-28T00:00:00"/>
    <d v="1899-12-30T16:47:21"/>
    <s v="Projeto adiado / sem prazo definido"/>
    <s v="cliente não tem mais interesse."/>
    <s v=""/>
    <x v="0"/>
    <s v="Paulo Souza"/>
    <x v="0"/>
    <s v=""/>
    <m/>
    <m/>
    <s v=""/>
    <s v=""/>
    <s v=""/>
    <s v=""/>
    <n v="1"/>
  </r>
  <r>
    <x v="1"/>
    <n v="94"/>
    <m/>
    <n v="378"/>
    <s v=""/>
    <s v="GA CERAMICA ARTISTICA"/>
    <x v="7"/>
    <n v="11650898000160"/>
    <s v=""/>
    <s v="GA CERAMICA"/>
    <s v="1935815351"/>
    <s v=""/>
    <s v="atendimento@gaceramica.com.br"/>
    <s v=""/>
    <s v="GA CERAMICA;GA CERAMICA, Jorge"/>
    <s v=""/>
    <s v=""/>
    <s v=""/>
    <s v="Outbound"/>
    <s v=""/>
    <s v=""/>
    <s v="Guarani AFV;Importado a partir de lista;SDRFernanda"/>
    <s v="Pipeline de Vendas"/>
    <s v="Apresentar Solução (35%)"/>
    <s v=""/>
    <m/>
    <n v="0"/>
    <n v="0"/>
    <n v="61"/>
    <s v="Fernanda Santiago"/>
    <d v="2024-11-28T00:00:00"/>
    <d v="1899-12-30T15:01:56"/>
    <s v=""/>
    <s v="Perdido"/>
    <d v="2025-01-28T00:00:00"/>
    <d v="1899-12-30T13:56:56"/>
    <s v="Não quer mudar a solução atual"/>
    <s v="Falei com o Jorge, ele disse que esta acontecendo umas mudanças administrativas um dos socios esta saindo, então toda previsao de alterar sistemas ficou em stand by, disse para falarmos em fevereiro. Até a feira ele falou que pode ser que ja tenha resolvido entao falamos depois."/>
    <s v="02/12/2024 10:00"/>
    <x v="0"/>
    <s v="Fernanda Santiago"/>
    <x v="0"/>
    <s v=""/>
    <m/>
    <m/>
    <s v=""/>
    <s v=""/>
    <s v=""/>
    <s v=""/>
    <n v="1"/>
  </r>
  <r>
    <x v="0"/>
    <n v="95"/>
    <m/>
    <n v="778"/>
    <s v="Resumo de envio do Formulário Web_x000a_Produtos:_x000a_Guarani ERP_x000a_Nome_x000a_Viviane Gomes_x000a_E-mail_x000a_fiscal@aloebaf.com.br_x000a_Telefone / Whatsapp_x000a_38 99127-5338_x000a_Nome da Empresa_x000a_ALOEBAF COMERCIO DE COSMETICOS_x000a_Segmento_x000a_Distribuidor_x000a_Descrição da necessidade_x000a_Precisamos do Força de vendas"/>
    <s v=""/>
    <x v="8"/>
    <n v="15211327000180"/>
    <s v=""/>
    <s v="Viviane Gomes"/>
    <s v="38991275338"/>
    <s v=""/>
    <s v="fiscal@aloebaf.com.br"/>
    <s v=""/>
    <s v=""/>
    <s v=""/>
    <s v=""/>
    <s v=""/>
    <s v="Outbound"/>
    <s v=""/>
    <s v=""/>
    <s v="Adicionais ERP;Guarani AFV;Guarani ERP;Pausado;SDRDébora"/>
    <s v="Pipeline de Vendas"/>
    <s v="Apresentar Proposta (50%)"/>
    <s v=""/>
    <m/>
    <m/>
    <m/>
    <n v="39"/>
    <s v="Paulo Souza"/>
    <d v="2024-11-29T00:00:00"/>
    <d v="1899-12-30T14:07:35"/>
    <s v=""/>
    <s v="Perdido"/>
    <d v="2025-01-07T00:00:00"/>
    <d v="1899-12-30T17:01:29"/>
    <s v="Preço muito alto - fora do budget de investimento"/>
    <s v=""/>
    <s v=""/>
    <x v="0"/>
    <s v="Débora Duarte"/>
    <x v="4"/>
    <s v=""/>
    <m/>
    <m/>
    <s v=""/>
    <s v=""/>
    <s v=""/>
    <s v=""/>
    <n v="1"/>
  </r>
  <r>
    <x v="1"/>
    <n v="96"/>
    <n v="155"/>
    <n v="812"/>
    <s v=""/>
    <s v=""/>
    <x v="9"/>
    <n v="13609763000186"/>
    <s v="BAAG (Bahia Artes Gráficas)"/>
    <s v="BAAG (Bahia Artes Gráficas)"/>
    <s v="7532217777"/>
    <s v=""/>
    <s v="cleber@bahiagrafica.com.br"/>
    <s v=""/>
    <s v=""/>
    <s v=""/>
    <s v="Feira de Santana"/>
    <s v="BA"/>
    <s v="Outbound"/>
    <s v=""/>
    <s v=""/>
    <s v="Guarani AFV;Guarani ERP;QUENTE"/>
    <s v="Pipeline de Vendas"/>
    <s v="Em Fechamento (100%)"/>
    <s v="6x sem juros (0/30/60/90/120/150...)"/>
    <d v="2025-01-31T00:00:00"/>
    <n v="8479884"/>
    <n v="630984"/>
    <n v="62"/>
    <s v="Paulo Souza"/>
    <d v="2024-12-01T00:00:00"/>
    <d v="1899-12-30T20:30:36"/>
    <s v=""/>
    <s v="Ganho"/>
    <d v="2025-02-01T00:00:00"/>
    <d v="1899-12-30T01:40:07"/>
    <s v=""/>
    <s v=""/>
    <s v=""/>
    <x v="5"/>
    <s v="Junior Lopes"/>
    <x v="5"/>
    <s v=""/>
    <m/>
    <m/>
    <s v=""/>
    <s v=""/>
    <s v=""/>
    <s v=""/>
    <n v="1"/>
  </r>
  <r>
    <x v="1"/>
    <n v="97"/>
    <n v="155"/>
    <n v="813"/>
    <s v=""/>
    <s v=""/>
    <x v="10"/>
    <n v="13609763000186"/>
    <s v="BAAG (Bahia Artes Gráficas)"/>
    <s v="Cleber Chagas"/>
    <s v="75981337574"/>
    <s v=""/>
    <s v="cleber@bahiagrafica.com.br"/>
    <s v=""/>
    <s v=""/>
    <s v=""/>
    <s v="Feira de Santana"/>
    <s v="BA"/>
    <s v=""/>
    <s v=""/>
    <s v=""/>
    <s v="Guarani CLOUD;QUENTE"/>
    <s v="Pipeline de Vendas"/>
    <s v="Em negociação (75%)"/>
    <s v=""/>
    <m/>
    <m/>
    <m/>
    <n v="82"/>
    <s v="Paulo Souza"/>
    <d v="2024-12-01T00:00:00"/>
    <d v="1899-12-30T20:30:37"/>
    <s v=""/>
    <s v="Perdido"/>
    <d v="2025-02-21T00:00:00"/>
    <d v="1899-12-30T12:13:20"/>
    <s v="Não quer mudar a solução atual"/>
    <s v="servidor local"/>
    <s v=""/>
    <x v="5"/>
    <s v=""/>
    <x v="5"/>
    <s v=""/>
    <m/>
    <m/>
    <s v=""/>
    <s v=""/>
    <s v=""/>
    <s v=""/>
    <n v="1"/>
  </r>
  <r>
    <x v="1"/>
    <n v="98"/>
    <n v="156"/>
    <n v="816"/>
    <s v=""/>
    <s v=""/>
    <x v="11"/>
    <n v="3921447000272"/>
    <s v="Vaso Forte"/>
    <s v="Clovis &amp; Heli"/>
    <s v="11912422620"/>
    <s v=""/>
    <s v="heli@vasoforte.com.br"/>
    <s v=""/>
    <s v=""/>
    <s v=""/>
    <s v="Vargem Grande Paulista"/>
    <s v="SP"/>
    <s v=""/>
    <s v=""/>
    <s v=""/>
    <s v="Guarani ERP"/>
    <s v="Pipeline de Vendas"/>
    <s v="Em Fechamento (100%)"/>
    <s v=""/>
    <m/>
    <n v="532332"/>
    <n v="292918"/>
    <n v="110"/>
    <s v="Paulo Souza"/>
    <d v="2024-12-01T00:00:00"/>
    <d v="1899-12-30T20:30:37"/>
    <s v=""/>
    <s v="Ganho"/>
    <d v="2025-03-21T00:00:00"/>
    <d v="1899-12-30T10:49:38"/>
    <s v=""/>
    <s v=""/>
    <s v=""/>
    <x v="6"/>
    <s v=""/>
    <x v="6"/>
    <s v="24/01/2025"/>
    <m/>
    <m/>
    <s v=""/>
    <s v=""/>
    <s v=""/>
    <s v=""/>
    <n v="1"/>
  </r>
  <r>
    <x v="1"/>
    <n v="99"/>
    <n v="157"/>
    <n v="818"/>
    <s v=""/>
    <s v=""/>
    <x v="12"/>
    <n v="55773964000164"/>
    <s v="Plásticos Santana Ltda"/>
    <s v="Celso"/>
    <s v="19974093075"/>
    <s v=""/>
    <s v="comercial1@plasticossantana.com.br"/>
    <s v=""/>
    <s v=""/>
    <s v=""/>
    <s v="Artur Nogueira"/>
    <s v="SP"/>
    <s v=""/>
    <s v=""/>
    <s v=""/>
    <s v="Guarani AFV;Guarani ERP"/>
    <s v="Pipeline de Vendas"/>
    <s v="Qualificação de Vendas (SQL) (25%)"/>
    <s v=""/>
    <m/>
    <m/>
    <m/>
    <n v="11"/>
    <s v="Paulo Souza"/>
    <d v="2024-12-01T00:00:00"/>
    <d v="1899-12-30T20:30:37"/>
    <s v=""/>
    <s v="Perdido"/>
    <d v="2024-12-12T00:00:00"/>
    <d v="1899-12-30T10:02:11"/>
    <s v="Não informou motivo da desistência"/>
    <s v="retornar contato em 2025"/>
    <s v=""/>
    <x v="0"/>
    <s v=""/>
    <x v="0"/>
    <s v=""/>
    <m/>
    <m/>
    <s v=""/>
    <s v=""/>
    <s v=""/>
    <s v=""/>
    <n v="1"/>
  </r>
  <r>
    <x v="1"/>
    <n v="100"/>
    <n v="156"/>
    <n v="816"/>
    <s v=""/>
    <s v=""/>
    <x v="13"/>
    <n v="3921447000272"/>
    <s v="Vaso Forte"/>
    <s v="Clovis &amp; Heli"/>
    <s v="11912422620"/>
    <s v=""/>
    <s v="heli@vasoforte.com.br"/>
    <s v=""/>
    <s v=""/>
    <s v=""/>
    <s v="Vargem Grande Paulista"/>
    <s v="SP"/>
    <s v=""/>
    <s v=""/>
    <s v=""/>
    <s v="Guarani CLOUD"/>
    <s v="Pipeline de Vendas"/>
    <s v="Em Fechamento (100%)"/>
    <s v=""/>
    <m/>
    <n v="1600"/>
    <n v="256119"/>
    <n v="110"/>
    <s v="Paulo Souza"/>
    <d v="2024-12-01T00:00:00"/>
    <d v="1899-12-30T20:30:37"/>
    <s v=""/>
    <s v="Perdido"/>
    <d v="2025-03-21T00:00:00"/>
    <d v="1899-12-30T10:21:47"/>
    <s v="Projeto adiado / sem prazo definido"/>
    <s v="atualmente tem muita instabilidade de internet"/>
    <s v=""/>
    <x v="6"/>
    <s v=""/>
    <x v="7"/>
    <s v="24/01/2025"/>
    <m/>
    <m/>
    <s v=""/>
    <s v=""/>
    <s v=""/>
    <s v=""/>
    <n v="1"/>
  </r>
  <r>
    <x v="1"/>
    <n v="101"/>
    <n v="158"/>
    <n v="821"/>
    <s v=""/>
    <s v=""/>
    <x v="14"/>
    <n v="4207648000194"/>
    <s v="EDITORA ONLINE"/>
    <s v="João Carlos Gomes Brasil"/>
    <s v="11993739551"/>
    <s v=""/>
    <s v="joao@editoraonline.com.br"/>
    <s v=""/>
    <s v=""/>
    <s v=""/>
    <s v="Barueri"/>
    <s v="SP"/>
    <s v=""/>
    <s v=""/>
    <s v=""/>
    <s v="Guarani AFV;SDRDébora"/>
    <s v="Pipeline de Vendas"/>
    <s v="Em negociação (75%)"/>
    <s v=""/>
    <d v="2025-01-31T00:00:00"/>
    <n v="3928"/>
    <m/>
    <n v="51"/>
    <s v="Paulo Souza"/>
    <d v="2024-12-01T00:00:00"/>
    <d v="1899-12-30T20:30:37"/>
    <s v=""/>
    <s v="Perdido"/>
    <d v="2025-01-21T00:00:00"/>
    <d v="1899-12-30T11:56:46"/>
    <s v="Projeto adiado / sem prazo definido"/>
    <s v="sem retorno do cliente"/>
    <s v="14/10/2024"/>
    <x v="7"/>
    <s v="Débora Duarte"/>
    <x v="8"/>
    <s v=""/>
    <m/>
    <m/>
    <s v=""/>
    <s v=""/>
    <s v=""/>
    <s v=""/>
    <n v="1"/>
  </r>
  <r>
    <x v="1"/>
    <n v="102"/>
    <n v="159"/>
    <n v="823"/>
    <s v=""/>
    <s v=""/>
    <x v="15"/>
    <n v="43526090000161"/>
    <s v="Precisa Import"/>
    <s v="Carlos"/>
    <s v="11972961489"/>
    <s v=""/>
    <s v="comercial@prorepresentacao.com.nr"/>
    <s v=""/>
    <s v=""/>
    <s v=""/>
    <s v="Barueri"/>
    <s v="SP"/>
    <s v=""/>
    <s v=""/>
    <s v=""/>
    <s v="Guarani AFV;Guarani ERP"/>
    <s v="Pipeline de Vendas"/>
    <s v="Em Fechamento (100%)"/>
    <s v=""/>
    <d v="2024-12-06T00:00:00"/>
    <n v="49012"/>
    <m/>
    <n v="18"/>
    <s v="Paulo Souza"/>
    <d v="2024-12-01T00:00:00"/>
    <d v="1899-12-30T20:30:37"/>
    <s v=""/>
    <s v="Ganho"/>
    <d v="2024-12-19T00:00:00"/>
    <d v="1899-12-30T14:38:30"/>
    <s v=""/>
    <s v=""/>
    <s v=""/>
    <x v="8"/>
    <s v=""/>
    <x v="9"/>
    <s v=""/>
    <m/>
    <m/>
    <s v=""/>
    <s v=""/>
    <s v=""/>
    <s v=""/>
    <n v="1"/>
  </r>
  <r>
    <x v="1"/>
    <n v="103"/>
    <n v="160"/>
    <n v="825"/>
    <s v=""/>
    <s v=""/>
    <x v="16"/>
    <n v="4949701000122"/>
    <s v="Polimax"/>
    <s v="Valen Lesinelli"/>
    <s v="11998367755"/>
    <s v=""/>
    <s v="comercial@polimaxpolimeros.com.br"/>
    <s v=""/>
    <s v=""/>
    <s v=""/>
    <s v="São Paulo"/>
    <s v="SP"/>
    <s v=""/>
    <s v=""/>
    <s v=""/>
    <s v="Guarani AFV;Guarani ERP;QUENTE"/>
    <s v="Pipeline de Vendas"/>
    <s v="Em Fechamento (100%)"/>
    <s v="6x sem juros (0/30/60/90/120/150...)"/>
    <d v="2025-01-31T00:00:00"/>
    <n v="46854"/>
    <n v="348312"/>
    <n v="54"/>
    <s v="Paulo Souza"/>
    <d v="2024-12-01T00:00:00"/>
    <d v="1899-12-30T20:30:37"/>
    <s v=""/>
    <s v="Ganho"/>
    <d v="2025-01-24T00:00:00"/>
    <d v="1899-12-30T12:08:20"/>
    <s v=""/>
    <s v=""/>
    <s v=""/>
    <x v="9"/>
    <s v=""/>
    <x v="10"/>
    <s v="15/01/2025"/>
    <m/>
    <m/>
    <s v=""/>
    <s v=""/>
    <s v=""/>
    <s v=""/>
    <n v="1"/>
  </r>
  <r>
    <x v="1"/>
    <n v="104"/>
    <n v="161"/>
    <n v="843"/>
    <s v=""/>
    <s v=""/>
    <x v="17"/>
    <n v="2609426000172"/>
    <s v="MD Importação"/>
    <s v="Juliana"/>
    <s v="47991450725"/>
    <s v=""/>
    <s v="mdimposrtacao@gmail.com"/>
    <s v=""/>
    <s v=""/>
    <s v=""/>
    <s v="Rio do Sul"/>
    <s v="SC"/>
    <s v="Indicação"/>
    <s v=""/>
    <s v=""/>
    <s v="Guarani AFV;Guarani ERP"/>
    <s v="Pipeline de Vendas"/>
    <s v="Em negociação (75%)"/>
    <s v=""/>
    <m/>
    <m/>
    <m/>
    <n v="120"/>
    <s v="Paulo Souza"/>
    <d v="2024-12-01T00:00:00"/>
    <d v="1899-12-30T20:30:37"/>
    <s v=""/>
    <s v="Perdido"/>
    <d v="2025-03-31T00:00:00"/>
    <d v="1899-12-30T15:45:45"/>
    <s v="Não houve aprovação financeira"/>
    <s v="cliente esfriou após proposta comercial"/>
    <s v=""/>
    <x v="10"/>
    <s v=""/>
    <x v="11"/>
    <s v=""/>
    <m/>
    <m/>
    <s v=""/>
    <s v=""/>
    <s v=""/>
    <s v=""/>
    <n v="1"/>
  </r>
  <r>
    <x v="1"/>
    <n v="105"/>
    <n v="162"/>
    <n v="829"/>
    <s v=""/>
    <s v=""/>
    <x v="18"/>
    <n v="17545517000169"/>
    <s v="DPOT PLASTICOS"/>
    <s v="Michel Stracci"/>
    <s v="19997264646"/>
    <s v=""/>
    <s v="dpot.plasticos@gmail.com"/>
    <s v=""/>
    <s v=""/>
    <s v=""/>
    <s v="Pedreira"/>
    <s v="SP"/>
    <s v=""/>
    <s v=""/>
    <s v=""/>
    <s v="Guarani AFV;Guarani ERP;SDRDébora"/>
    <s v="Pipeline de Vendas"/>
    <s v="Em negociação (75%)"/>
    <s v=""/>
    <m/>
    <m/>
    <m/>
    <n v="58"/>
    <s v="Paulo Souza"/>
    <d v="2024-12-01T00:00:00"/>
    <d v="1899-12-30T20:30:37"/>
    <s v=""/>
    <s v="Perdido"/>
    <d v="2025-01-28T00:00:00"/>
    <d v="1899-12-30T15:31:14"/>
    <s v="Projeto adiado / sem prazo definido"/>
    <s v="sem retorno do cliente"/>
    <s v="04/11/2024"/>
    <x v="11"/>
    <s v="Débora Duarte"/>
    <x v="12"/>
    <s v=""/>
    <m/>
    <m/>
    <s v=""/>
    <s v=""/>
    <s v=""/>
    <s v=""/>
    <n v="1"/>
  </r>
  <r>
    <x v="1"/>
    <n v="106"/>
    <n v="162"/>
    <n v="829"/>
    <s v=""/>
    <s v=""/>
    <x v="19"/>
    <n v="17545517000169"/>
    <s v="DPOT PLASTICOS"/>
    <s v="Michel Stracci"/>
    <s v="19997264646"/>
    <s v=""/>
    <s v="dpot.plasticos@gmail.com"/>
    <s v=""/>
    <s v=""/>
    <s v=""/>
    <s v="Pedreira"/>
    <s v="SP"/>
    <s v=""/>
    <s v=""/>
    <s v=""/>
    <s v="Guarani CLOUD;SDRDébora"/>
    <s v="Pipeline de Vendas"/>
    <s v="Em negociação (75%)"/>
    <s v=""/>
    <m/>
    <m/>
    <m/>
    <n v="58"/>
    <s v="Paulo Souza"/>
    <d v="2024-12-01T00:00:00"/>
    <d v="1899-12-30T20:30:37"/>
    <s v=""/>
    <s v="Perdido"/>
    <d v="2025-01-28T00:00:00"/>
    <d v="1899-12-30T15:31:50"/>
    <s v="Projeto adiado / sem prazo definido"/>
    <s v="sem retorno do cliente"/>
    <s v="04/11/2024"/>
    <x v="11"/>
    <s v="Débora Duarte"/>
    <x v="12"/>
    <s v=""/>
    <m/>
    <m/>
    <s v=""/>
    <s v=""/>
    <s v=""/>
    <s v=""/>
    <n v="1"/>
  </r>
  <r>
    <x v="1"/>
    <n v="107"/>
    <n v="163"/>
    <n v="832"/>
    <s v=""/>
    <s v=""/>
    <x v="20"/>
    <n v="5861238000125"/>
    <s v="GRUPO GALA"/>
    <s v="Diego"/>
    <s v="6735659555"/>
    <s v=""/>
    <s v="diego@gala.com.br"/>
    <s v=""/>
    <s v=""/>
    <s v=""/>
    <s v="Aparecida do Taboado"/>
    <s v="MS"/>
    <s v=""/>
    <s v=""/>
    <s v=""/>
    <s v="Guarani B2B"/>
    <s v="Pipeline de Vendas"/>
    <s v="Em negociação (75%)"/>
    <s v=""/>
    <m/>
    <m/>
    <m/>
    <n v="58"/>
    <s v="Paulo Souza"/>
    <d v="2024-12-01T00:00:00"/>
    <d v="1899-12-30T20:30:37"/>
    <s v=""/>
    <s v="Perdido"/>
    <d v="2025-01-28T00:00:00"/>
    <d v="1899-12-30T15:32:41"/>
    <s v="Não houve aprovação financeira"/>
    <s v=""/>
    <s v=""/>
    <x v="12"/>
    <s v=""/>
    <x v="13"/>
    <s v=""/>
    <m/>
    <m/>
    <s v=""/>
    <s v=""/>
    <s v=""/>
    <s v=""/>
    <n v="1"/>
  </r>
  <r>
    <x v="1"/>
    <n v="108"/>
    <n v="160"/>
    <n v="825"/>
    <s v=""/>
    <s v=""/>
    <x v="21"/>
    <n v="4949701000122"/>
    <s v="Polimax"/>
    <s v="Valen Lesinelli"/>
    <s v="11998367755"/>
    <s v=""/>
    <s v="comercial@polimaxpolimeros.com.br"/>
    <s v=""/>
    <s v=""/>
    <s v=""/>
    <s v="São Paulo"/>
    <s v="SP"/>
    <s v=""/>
    <s v=""/>
    <s v=""/>
    <s v="Guarani CLOUD;QUENTE"/>
    <s v="Pipeline de Vendas"/>
    <s v="Em Fechamento (100%)"/>
    <s v="8x sem juros (0/30/60/90/120/150...)"/>
    <d v="2025-01-31T00:00:00"/>
    <n v="1600"/>
    <n v="224819"/>
    <n v="60"/>
    <s v="Paulo Souza"/>
    <d v="2024-12-01T00:00:00"/>
    <d v="1899-12-30T20:30:37"/>
    <s v=""/>
    <s v="Ganho"/>
    <d v="2025-01-30T00:00:00"/>
    <d v="1899-12-30T09:31:52"/>
    <s v=""/>
    <s v=""/>
    <s v=""/>
    <x v="13"/>
    <s v=""/>
    <x v="14"/>
    <s v="15/01/2025"/>
    <m/>
    <m/>
    <s v=""/>
    <s v=""/>
    <s v=""/>
    <s v=""/>
    <n v="1"/>
  </r>
  <r>
    <x v="1"/>
    <n v="109"/>
    <n v="164"/>
    <n v="835"/>
    <s v=""/>
    <s v=""/>
    <x v="22"/>
    <n v="2531826000102"/>
    <s v="Fosboi da Bahia"/>
    <s v="Marcelo Luz"/>
    <s v="75991975073"/>
    <s v=""/>
    <s v="marceloluizlimafilho@outlook.com"/>
    <s v=""/>
    <s v=""/>
    <s v=""/>
    <s v="Feira de Santana"/>
    <s v="BA"/>
    <s v=""/>
    <s v=""/>
    <s v=""/>
    <s v="Guarani AFV;Guarani ERP"/>
    <s v="Pipeline de Vendas"/>
    <s v="Apresentar Solução (35%)"/>
    <s v=""/>
    <m/>
    <m/>
    <m/>
    <n v="18"/>
    <s v="Paulo Souza"/>
    <d v="2024-12-01T00:00:00"/>
    <d v="1899-12-30T20:30:37"/>
    <s v=""/>
    <s v="Perdido"/>
    <d v="2024-12-19T00:00:00"/>
    <d v="1899-12-30T15:08:41"/>
    <s v="Não informou motivo da desistência"/>
    <s v="sem retorno"/>
    <s v=""/>
    <x v="1"/>
    <s v=""/>
    <x v="1"/>
    <s v=""/>
    <m/>
    <m/>
    <s v=""/>
    <s v=""/>
    <s v=""/>
    <s v=""/>
    <n v="1"/>
  </r>
  <r>
    <x v="1"/>
    <n v="110"/>
    <n v="165"/>
    <n v="836"/>
    <s v=""/>
    <s v=""/>
    <x v="23"/>
    <n v="29341068000116"/>
    <s v="TEK MIX DISTRIBUICAO"/>
    <s v="TEK MIX DISTRIBUICAO"/>
    <s v="62991561717"/>
    <s v=""/>
    <s v="Wolneyaraujolino@gmail.com"/>
    <s v=""/>
    <s v=""/>
    <s v=""/>
    <s v="Anapólis"/>
    <s v="GO"/>
    <s v=""/>
    <s v=""/>
    <s v=""/>
    <s v="Guarani AFV;Guarani ERP"/>
    <s v="Pipeline de Vendas"/>
    <s v="Apresentar Proposta (50%)"/>
    <s v=""/>
    <m/>
    <m/>
    <m/>
    <n v="57"/>
    <s v="Paulo Souza"/>
    <d v="2024-12-01T00:00:00"/>
    <d v="1899-12-30T20:30:37"/>
    <s v=""/>
    <s v="Perdido"/>
    <d v="2025-01-27T00:00:00"/>
    <d v="1899-12-30T11:52:01"/>
    <s v="Fechou com o concorrente - preço"/>
    <s v="Devido a localização e proposta do concorrente (Target) perdemos a concorrência"/>
    <s v=""/>
    <x v="1"/>
    <s v=""/>
    <x v="1"/>
    <s v=""/>
    <m/>
    <m/>
    <s v=""/>
    <s v=""/>
    <s v=""/>
    <s v=""/>
    <n v="1"/>
  </r>
  <r>
    <x v="1"/>
    <n v="111"/>
    <n v="165"/>
    <n v="837"/>
    <s v=""/>
    <s v=""/>
    <x v="24"/>
    <n v="29341068000116"/>
    <s v="TEK MIX DISTRIBUICAO"/>
    <s v="Wolden"/>
    <s v="62991561717"/>
    <s v=""/>
    <s v="Wolneyaraujolino@gmail.com"/>
    <s v=""/>
    <s v=""/>
    <s v=""/>
    <s v="Anapólis"/>
    <s v="GO"/>
    <s v=""/>
    <s v=""/>
    <s v=""/>
    <s v="Guarani CLOUD"/>
    <s v="Pipeline de Vendas"/>
    <s v="Apresentar Proposta (50%)"/>
    <s v=""/>
    <m/>
    <m/>
    <m/>
    <n v="57"/>
    <s v="Paulo Souza"/>
    <d v="2024-12-01T00:00:00"/>
    <d v="1899-12-30T20:30:37"/>
    <s v=""/>
    <s v="Perdido"/>
    <d v="2025-01-27T00:00:00"/>
    <d v="1899-12-30T11:52:59"/>
    <s v="Fechou com o concorrente - preço"/>
    <s v="Devido a localização e proposta do concorrente (Target) perdemos a concorrência"/>
    <s v=""/>
    <x v="1"/>
    <s v=""/>
    <x v="1"/>
    <s v=""/>
    <m/>
    <m/>
    <s v=""/>
    <s v=""/>
    <s v=""/>
    <s v=""/>
    <n v="1"/>
  </r>
  <r>
    <x v="1"/>
    <n v="113"/>
    <n v="167"/>
    <n v="842"/>
    <s v=""/>
    <s v=""/>
    <x v="25"/>
    <n v="7973104000121"/>
    <s v="ELMO ATACADO"/>
    <s v="João Carlos Tasca"/>
    <s v="47999949301"/>
    <s v=""/>
    <s v="joao@atacadoelmo.com.br"/>
    <s v=""/>
    <s v=""/>
    <s v=""/>
    <s v="Joinville"/>
    <s v="SC"/>
    <s v=""/>
    <s v=""/>
    <s v=""/>
    <s v="Adicionais ERP"/>
    <s v="Pipeline de Vendas"/>
    <s v="Em negociação (75%)"/>
    <s v=""/>
    <m/>
    <m/>
    <m/>
    <n v="81"/>
    <s v="Paulo Souza"/>
    <d v="2024-12-01T00:00:00"/>
    <d v="1899-12-30T20:30:38"/>
    <s v=""/>
    <s v="Perdido"/>
    <d v="2025-02-20T00:00:00"/>
    <d v="1899-12-30T11:26:46"/>
    <s v="Projeto adiado / sem prazo definido"/>
    <s v="cliente ainda não decidiu"/>
    <s v=""/>
    <x v="14"/>
    <s v=""/>
    <x v="0"/>
    <s v=""/>
    <m/>
    <m/>
    <s v=""/>
    <s v=""/>
    <s v=""/>
    <s v=""/>
    <n v="1"/>
  </r>
  <r>
    <x v="1"/>
    <n v="114"/>
    <n v="161"/>
    <n v="827"/>
    <s v=""/>
    <s v=""/>
    <x v="26"/>
    <n v="2609426000172"/>
    <s v="MD Importação"/>
    <s v="Juliana"/>
    <s v="47991450725"/>
    <s v=""/>
    <s v="mdimposrtacao@gmail.com"/>
    <s v=""/>
    <s v=""/>
    <s v=""/>
    <s v="Rio do Sul"/>
    <s v="SC"/>
    <s v="Indicação"/>
    <s v=""/>
    <s v=""/>
    <s v="Guarani CLOUD"/>
    <s v="Pipeline de Vendas"/>
    <s v="Em negociação (75%)"/>
    <s v=""/>
    <m/>
    <m/>
    <m/>
    <n v="120"/>
    <s v="Paulo Souza"/>
    <d v="2024-12-01T00:00:00"/>
    <d v="1899-12-30T20:30:38"/>
    <s v=""/>
    <s v="Perdido"/>
    <d v="2025-03-31T00:00:00"/>
    <d v="1899-12-30T15:46:33"/>
    <s v="Não houve aprovação financeira"/>
    <s v="cliente esfriou após envio da proposta comercial"/>
    <s v=""/>
    <x v="10"/>
    <s v=""/>
    <x v="11"/>
    <s v=""/>
    <m/>
    <m/>
    <s v=""/>
    <s v=""/>
    <s v=""/>
    <s v=""/>
    <n v="1"/>
  </r>
  <r>
    <x v="1"/>
    <n v="116"/>
    <m/>
    <n v="847"/>
    <s v=""/>
    <s v=""/>
    <x v="27"/>
    <n v="58151616000143"/>
    <s v=""/>
    <s v="Pedro"/>
    <s v="19993040768"/>
    <s v=""/>
    <s v="pehpbroglio@gmail.com"/>
    <s v=""/>
    <s v=""/>
    <s v=""/>
    <s v="ITAJAI"/>
    <s v="SC"/>
    <s v=""/>
    <s v=""/>
    <s v=""/>
    <s v="QUENTE"/>
    <s v="Pipeline de Vendas"/>
    <s v="Em Fechamento (100%)"/>
    <s v="10x sem juros (0/30/60/90/120/150...)"/>
    <d v="2025-01-31T00:00:00"/>
    <n v="4736912"/>
    <n v="98326"/>
    <n v="53"/>
    <s v="Junior Lopes"/>
    <d v="2024-12-02T00:00:00"/>
    <d v="1899-12-30T09:35:49"/>
    <s v=""/>
    <s v="Ganho"/>
    <d v="2025-01-24T00:00:00"/>
    <d v="1899-12-30T11:23:35"/>
    <s v=""/>
    <s v=""/>
    <s v=""/>
    <x v="15"/>
    <s v="Junior Lopes"/>
    <x v="15"/>
    <s v=""/>
    <m/>
    <m/>
    <s v=""/>
    <s v=""/>
    <s v=""/>
    <s v=""/>
    <n v="1"/>
  </r>
  <r>
    <x v="1"/>
    <n v="118"/>
    <m/>
    <n v="851"/>
    <s v=""/>
    <s v=""/>
    <x v="28"/>
    <n v="64582232000188"/>
    <s v=""/>
    <s v="Edi"/>
    <s v="11981337574"/>
    <s v=""/>
    <s v="ggealdo@injeplastec.com.br"/>
    <s v=""/>
    <s v=""/>
    <s v=""/>
    <s v=""/>
    <s v=""/>
    <s v=""/>
    <s v=""/>
    <s v=""/>
    <s v=""/>
    <s v="Pipeline de Vendas"/>
    <s v="Em negociação (75%)"/>
    <s v=""/>
    <d v="2025-01-31T00:00:00"/>
    <n v="202945"/>
    <m/>
    <n v="64"/>
    <s v="Junior Lopes"/>
    <d v="2024-12-04T00:00:00"/>
    <d v="1899-12-30T11:49:15"/>
    <s v=""/>
    <s v="Perdido"/>
    <d v="2025-02-06T00:00:00"/>
    <d v="1899-12-30T15:53:07"/>
    <s v="Não quer mudar a solução atual"/>
    <s v="cliente não decidiu seguir"/>
    <s v="02/12/2024"/>
    <x v="16"/>
    <s v="Junior Lopes"/>
    <x v="16"/>
    <s v=""/>
    <m/>
    <m/>
    <s v=""/>
    <s v=""/>
    <s v=""/>
    <s v=""/>
    <n v="1"/>
  </r>
  <r>
    <x v="1"/>
    <n v="122"/>
    <m/>
    <n v="855"/>
    <s v="Após a visita realizada em 10/12/2025, foi agendada uma nova reunião para tratar de assuntos técnicos em 12/12/2025 às 14h._x000a_13:47, 27/01/2026 Fabio Porto Brasil: Boa tarde Junior_x000a_13:47, 27/01/2026 Fabio Porto Brasil: tudo certo ?_x000a_13:47, 27/01/2026 Junior Lopes: Olá ! Sou Junior Lopes, consultor comercial Guarani sistemas _x000a_Como posso te ajudar ?_x000a_13:47, 27/01/2026 Fabio Porto Brasil: Antes de mais nada (e ainda em tempo kkkk), obrigado pela mensagem. Desejo um ótimo 2026_x000a_13:47, 27/01/2026 Fabio Porto Brasil: somente alinhado o status, a PBC deve iniciar em março/26, porém vou revisitar o cronograma de aprovação com eles para podermos nos alinhar._x000a_13:53, 27/01/2026 Junior Lopes: Olá Fábio, boa tarde ! Obrigado pelo retorno _x000a_Ficamos no aguardo então ! Caso necessário pode me chamar _x000a_Abraços"/>
    <s v=""/>
    <x v="29"/>
    <n v="8520654000158"/>
    <s v=""/>
    <s v="Marina"/>
    <s v="19999128074"/>
    <s v=""/>
    <s v="marina@portobrasilceramica.com.br"/>
    <s v=""/>
    <s v=""/>
    <s v=""/>
    <s v=""/>
    <s v=""/>
    <s v="Outbound"/>
    <s v=""/>
    <s v=""/>
    <s v="80%;Fabio Indica;Guarani AFV"/>
    <s v="Pipeline de Vendas"/>
    <s v="Em Fechamento (100%)"/>
    <s v="6x sem juros (0/30/60/90/120/150...)"/>
    <d v="2026-03-31T00:00:00"/>
    <n v="4519984"/>
    <n v="522464"/>
    <n v="512"/>
    <s v="Débora Duarte"/>
    <d v="2024-12-04T00:00:00"/>
    <d v="1899-12-30T14:40:54"/>
    <s v=""/>
    <s v="Ganho"/>
    <d v="2026-04-30T00:00:00"/>
    <d v="1899-12-30T14:25:28"/>
    <s v=""/>
    <s v=""/>
    <s v="04/12/2024 00:00"/>
    <x v="17"/>
    <s v="Junior Lopes"/>
    <x v="17"/>
    <s v="30/01/2025"/>
    <d v="2026-01-27T00:00:00"/>
    <n v="80"/>
    <s v=""/>
    <s v=""/>
    <s v=""/>
    <s v=""/>
    <n v="1"/>
  </r>
  <r>
    <x v="1"/>
    <n v="125"/>
    <m/>
    <n v="860"/>
    <s v=""/>
    <s v=""/>
    <x v="30"/>
    <m/>
    <s v=""/>
    <s v="GB Importadora - Clou"/>
    <s v="19993040768"/>
    <s v=""/>
    <s v="pehpbroglio@gmail.com"/>
    <s v=""/>
    <s v=""/>
    <s v=""/>
    <s v=""/>
    <s v=""/>
    <s v=""/>
    <s v=""/>
    <s v=""/>
    <s v="QUENTE"/>
    <s v="Pipeline de Vendas"/>
    <s v="Em Fechamento (100%)"/>
    <s v=""/>
    <d v="2025-01-31T00:00:00"/>
    <n v="1600"/>
    <n v="157626"/>
    <n v="49"/>
    <s v="Junior Lopes"/>
    <d v="2024-12-06T00:00:00"/>
    <d v="1899-12-30T16:28:22"/>
    <s v=""/>
    <s v="Ganho"/>
    <d v="2025-01-24T00:00:00"/>
    <d v="1899-12-30T11:42:08"/>
    <s v=""/>
    <s v=""/>
    <s v=""/>
    <x v="15"/>
    <s v=""/>
    <x v="18"/>
    <s v=""/>
    <m/>
    <m/>
    <s v=""/>
    <s v=""/>
    <s v=""/>
    <s v=""/>
    <n v="1"/>
  </r>
  <r>
    <x v="1"/>
    <n v="127"/>
    <m/>
    <n v="981"/>
    <s v=""/>
    <s v=""/>
    <x v="31"/>
    <n v="48885921000105"/>
    <s v=""/>
    <s v="Helder"/>
    <s v="(11) 3098-7840"/>
    <s v=""/>
    <s v="helder@ssdistribuidora.com.br"/>
    <s v=""/>
    <s v=""/>
    <s v=""/>
    <s v=""/>
    <s v=""/>
    <s v="Outbound"/>
    <s v=""/>
    <s v=""/>
    <s v=""/>
    <s v="Pipeline de Vendas"/>
    <s v="Em Fechamento (100%)"/>
    <s v=""/>
    <d v="2024-12-31T00:00:00"/>
    <n v="450"/>
    <m/>
    <n v="2"/>
    <s v="Junior Lopes"/>
    <d v="2024-12-10T00:00:00"/>
    <d v="1899-12-30T10:37:47"/>
    <s v=""/>
    <s v="Ganho"/>
    <d v="2024-12-12T00:00:00"/>
    <d v="1899-12-30T16:15:01"/>
    <s v=""/>
    <s v=""/>
    <s v="03/12/2024"/>
    <x v="18"/>
    <s v="Junior Lopes"/>
    <x v="16"/>
    <s v="11/12/2024"/>
    <m/>
    <m/>
    <s v=""/>
    <s v=""/>
    <s v=""/>
    <s v=""/>
    <n v="1"/>
  </r>
  <r>
    <x v="1"/>
    <n v="130"/>
    <m/>
    <n v="987"/>
    <s v=""/>
    <s v=""/>
    <x v="32"/>
    <n v="5691820000190"/>
    <s v=""/>
    <s v="Culturama"/>
    <s v="54996596274"/>
    <s v=""/>
    <s v="vinicius.mathyas@culturama.com.br"/>
    <s v=""/>
    <s v=""/>
    <s v=""/>
    <s v="CAXIAS DO SUL"/>
    <s v="RS"/>
    <s v=""/>
    <s v=""/>
    <s v=""/>
    <s v="QUENTE"/>
    <s v="Pipeline de Vendas"/>
    <s v="Em Fechamento (100%)"/>
    <s v=""/>
    <d v="2025-01-31T00:00:00"/>
    <n v="0"/>
    <n v="3564"/>
    <n v="43"/>
    <s v="Junior Lopes"/>
    <d v="2024-12-12T00:00:00"/>
    <d v="1899-12-30T09:14:28"/>
    <s v=""/>
    <s v="Ganho"/>
    <d v="2025-01-24T00:00:00"/>
    <d v="1899-12-30T11:07:30"/>
    <s v=""/>
    <s v=""/>
    <s v="05/12/2024"/>
    <x v="19"/>
    <s v="Junior Lopes"/>
    <x v="2"/>
    <s v=""/>
    <m/>
    <m/>
    <s v=""/>
    <s v=""/>
    <s v=""/>
    <s v=""/>
    <n v="1"/>
  </r>
  <r>
    <x v="1"/>
    <n v="131"/>
    <m/>
    <n v="990"/>
    <s v=""/>
    <s v=""/>
    <x v="33"/>
    <m/>
    <s v=""/>
    <s v="Rigomal"/>
    <s v="16997486376"/>
    <s v=""/>
    <s v="junior@rigomel.com.br"/>
    <s v=""/>
    <s v=""/>
    <s v=""/>
    <s v=""/>
    <s v=""/>
    <s v=""/>
    <s v=""/>
    <s v=""/>
    <s v=""/>
    <s v="Pipeline de Vendas"/>
    <s v="Apresentar Solução (35%)"/>
    <s v=""/>
    <m/>
    <n v="37964"/>
    <m/>
    <n v="7"/>
    <s v="Junior Lopes"/>
    <d v="2024-12-12T00:00:00"/>
    <d v="1899-12-30T10:50:50"/>
    <s v=""/>
    <s v="Perdido"/>
    <d v="2024-12-19T00:00:00"/>
    <d v="1899-12-30T09:39:21"/>
    <s v="Fechou com o concorrente - preço"/>
    <s v="junior informou que vai seguir com Mercus ! indicaçãom do seu atual ERP Triplus"/>
    <s v=""/>
    <x v="20"/>
    <s v=""/>
    <x v="19"/>
    <s v="16/12/2024"/>
    <m/>
    <m/>
    <s v=""/>
    <s v=""/>
    <s v=""/>
    <s v=""/>
    <n v="1"/>
  </r>
  <r>
    <x v="1"/>
    <n v="135"/>
    <m/>
    <n v="996"/>
    <s v=""/>
    <s v=""/>
    <x v="34"/>
    <m/>
    <s v=""/>
    <s v="Viva Vidros"/>
    <s v="11988839646"/>
    <s v=""/>
    <s v="comercial@vivavidros.com.br"/>
    <s v=""/>
    <s v=""/>
    <s v=""/>
    <s v=""/>
    <s v=""/>
    <s v=""/>
    <s v=""/>
    <s v=""/>
    <s v="QUENTE"/>
    <s v="Pipeline de Vendas"/>
    <s v="Em Fechamento (100%)"/>
    <s v=""/>
    <m/>
    <n v="28832"/>
    <n v="110248"/>
    <n v="83"/>
    <s v="Junior Lopes"/>
    <d v="2024-12-12T00:00:00"/>
    <d v="1899-12-30T17:20:55"/>
    <s v=""/>
    <s v="Perdido"/>
    <d v="2025-03-05T00:00:00"/>
    <d v="1899-12-30T11:12:51"/>
    <s v="Projeto adiado / sem prazo definido"/>
    <s v="cliente com situação de pendencias financeiras"/>
    <s v=""/>
    <x v="21"/>
    <s v=""/>
    <x v="0"/>
    <s v=""/>
    <m/>
    <m/>
    <s v=""/>
    <s v=""/>
    <s v=""/>
    <s v=""/>
    <n v="1"/>
  </r>
  <r>
    <x v="1"/>
    <n v="138"/>
    <m/>
    <n v="1103"/>
    <s v=""/>
    <s v=""/>
    <x v="35"/>
    <n v="54734384000103"/>
    <s v=""/>
    <s v="Star Distribuidora"/>
    <s v="17997793113"/>
    <s v=""/>
    <s v="comercial@distribuidorastar.com.br"/>
    <s v=""/>
    <s v=""/>
    <s v=""/>
    <s v=""/>
    <s v=""/>
    <s v=""/>
    <s v=""/>
    <s v=""/>
    <s v="QUENTE"/>
    <s v="Pipeline de Vendas"/>
    <s v="Em negociação (75%)"/>
    <s v=""/>
    <m/>
    <n v="49588"/>
    <m/>
    <n v="23"/>
    <s v="Junior Lopes"/>
    <d v="2024-12-17T00:00:00"/>
    <d v="1899-12-30T12:22:38"/>
    <s v=""/>
    <s v="Perdido"/>
    <d v="2025-01-09T00:00:00"/>
    <d v="1899-12-30T15:57:21"/>
    <s v="Projeto adiado / sem prazo definido"/>
    <s v="estamos fechando solução completa"/>
    <s v=""/>
    <x v="22"/>
    <s v=""/>
    <x v="20"/>
    <s v=""/>
    <m/>
    <m/>
    <s v=""/>
    <s v=""/>
    <s v=""/>
    <s v=""/>
    <n v="1"/>
  </r>
  <r>
    <x v="1"/>
    <n v="139"/>
    <m/>
    <n v="1113"/>
    <s v=""/>
    <s v=""/>
    <x v="36"/>
    <m/>
    <s v=""/>
    <s v="DCL Editora"/>
    <s v="11991297401"/>
    <s v=""/>
    <s v="administrativo@editoradcl.com.br"/>
    <s v=""/>
    <s v=""/>
    <s v=""/>
    <s v=""/>
    <s v=""/>
    <s v=""/>
    <s v=""/>
    <s v=""/>
    <s v=""/>
    <s v="Pipeline de Vendas"/>
    <s v="Apresentar Proposta (50%)"/>
    <s v=""/>
    <d v="2025-01-31T00:00:00"/>
    <n v="168592"/>
    <n v="6426"/>
    <n v="40"/>
    <s v="Junior Lopes"/>
    <d v="2024-12-19T00:00:00"/>
    <d v="1899-12-30T09:42:19"/>
    <s v=""/>
    <s v="Perdido"/>
    <d v="2025-01-28T00:00:00"/>
    <d v="1899-12-30T14:28:25"/>
    <s v="Não houve aprovação financeira"/>
    <s v="cliente não deu sequencia em nossa negociação"/>
    <s v="12/12/2024"/>
    <x v="16"/>
    <s v=""/>
    <x v="21"/>
    <s v=""/>
    <m/>
    <m/>
    <s v=""/>
    <s v=""/>
    <s v=""/>
    <s v=""/>
    <n v="1"/>
  </r>
  <r>
    <x v="1"/>
    <n v="140"/>
    <m/>
    <n v="1114"/>
    <s v=""/>
    <s v=""/>
    <x v="37"/>
    <m/>
    <s v=""/>
    <s v="Everson"/>
    <s v="17997793113"/>
    <s v=""/>
    <s v="comercial@distribuidorastar.com.br"/>
    <s v=""/>
    <s v=""/>
    <s v=""/>
    <s v=""/>
    <s v=""/>
    <s v=""/>
    <s v=""/>
    <s v=""/>
    <s v=""/>
    <s v="Pipeline de Vendas"/>
    <s v="Em Fechamento (100%)"/>
    <s v="10x sem juros (0/30/60/90/120/150...)"/>
    <d v="2025-01-31T00:00:00"/>
    <n v="4587892"/>
    <n v="628168"/>
    <n v="36"/>
    <s v="Junior Lopes"/>
    <d v="2024-12-19T00:00:00"/>
    <d v="1899-12-30T10:01:34"/>
    <s v=""/>
    <s v="Ganho"/>
    <d v="2025-01-24T00:00:00"/>
    <d v="1899-12-30T12:26:37"/>
    <s v=""/>
    <s v=""/>
    <s v=""/>
    <x v="23"/>
    <s v=""/>
    <x v="22"/>
    <s v="09/01/2025"/>
    <m/>
    <m/>
    <s v=""/>
    <s v=""/>
    <s v=""/>
    <s v=""/>
    <n v="1"/>
  </r>
  <r>
    <x v="1"/>
    <n v="141"/>
    <n v="159"/>
    <n v="1115"/>
    <s v=""/>
    <s v=""/>
    <x v="38"/>
    <n v="43526090000161"/>
    <s v="Precisa Import"/>
    <s v="Tony"/>
    <s v="11972961489"/>
    <s v=""/>
    <s v="comercial@prorepresentacao.com.nr"/>
    <s v=""/>
    <s v=""/>
    <s v=""/>
    <s v="Barueri"/>
    <s v="SP"/>
    <s v=""/>
    <s v=""/>
    <s v=""/>
    <s v=""/>
    <s v="Pipeline de Vendas"/>
    <s v="Em Fechamento (100%)"/>
    <s v="8x sem juros (0/30/60/90/120/150...)"/>
    <d v="2025-01-31T00:00:00"/>
    <n v="1600"/>
    <n v="2500"/>
    <n v="42"/>
    <s v="Junior Lopes"/>
    <d v="2024-12-19T00:00:00"/>
    <d v="1899-12-30T14:40:15"/>
    <s v=""/>
    <s v="Ganho"/>
    <d v="2025-01-28T00:00:00"/>
    <d v="1899-12-30T16:21:11"/>
    <s v=""/>
    <s v="0"/>
    <s v="20/01/2025"/>
    <x v="24"/>
    <s v=""/>
    <x v="0"/>
    <s v=""/>
    <m/>
    <m/>
    <s v=""/>
    <s v=""/>
    <s v=""/>
    <s v=""/>
    <n v="1"/>
  </r>
  <r>
    <x v="1"/>
    <n v="142"/>
    <m/>
    <n v="1117"/>
    <s v=""/>
    <s v=""/>
    <x v="39"/>
    <m/>
    <s v=""/>
    <s v="Everson"/>
    <s v="17997793113"/>
    <s v=""/>
    <s v="comercial@distribuidorastar.com.br"/>
    <s v=""/>
    <s v=""/>
    <s v=""/>
    <s v=""/>
    <s v=""/>
    <s v=""/>
    <s v=""/>
    <s v=""/>
    <s v=""/>
    <s v="Pipeline de Vendas"/>
    <s v="Em Fechamento (100%)"/>
    <s v=""/>
    <d v="2025-01-31T00:00:00"/>
    <n v="1600"/>
    <n v="243721"/>
    <n v="35"/>
    <s v="Junior Lopes"/>
    <d v="2024-12-20T00:00:00"/>
    <d v="1899-12-30T14:30:10"/>
    <s v=""/>
    <s v="Ganho"/>
    <d v="2025-01-24T00:00:00"/>
    <d v="1899-12-30T14:02:50"/>
    <s v=""/>
    <s v=""/>
    <s v=""/>
    <x v="23"/>
    <s v=""/>
    <x v="22"/>
    <s v="09/01/2025"/>
    <m/>
    <m/>
    <s v=""/>
    <s v=""/>
    <s v=""/>
    <s v=""/>
    <n v="1"/>
  </r>
  <r>
    <x v="0"/>
    <n v="144"/>
    <m/>
    <n v="181"/>
    <s v="Me chamou no whatsapp, possível indicação."/>
    <s v=""/>
    <x v="40"/>
    <n v="27805256000122"/>
    <s v=""/>
    <s v="Jefeerson"/>
    <s v="(83) 3441-1738 / (83) 9882-5004"/>
    <s v=""/>
    <s v=""/>
    <s v=""/>
    <s v=""/>
    <s v=""/>
    <s v="CATOLE DO ROCHA"/>
    <s v="PB"/>
    <s v="Feiras"/>
    <s v=""/>
    <s v=""/>
    <s v="Abup2025Fevereiro;GELADO"/>
    <s v="Pipeline de Vendas"/>
    <s v="Em Fechamento (100%)"/>
    <s v="6x sem juros (0/30/60/90/120/150...)"/>
    <m/>
    <n v="146772"/>
    <n v="1102804"/>
    <n v="154"/>
    <s v="Paulo Souza"/>
    <d v="2025-01-07T00:00:00"/>
    <d v="1899-12-30T16:58:48"/>
    <s v=""/>
    <s v="Ganho"/>
    <d v="2025-01-29T00:00:00"/>
    <d v="1899-12-30T01:04:49"/>
    <s v=""/>
    <s v="0"/>
    <s v=""/>
    <x v="25"/>
    <s v="Paulo Souza"/>
    <x v="23"/>
    <s v=""/>
    <m/>
    <m/>
    <s v=""/>
    <s v=""/>
    <s v=""/>
    <s v=""/>
    <n v="1"/>
  </r>
  <r>
    <x v="0"/>
    <n v="145"/>
    <m/>
    <n v="12"/>
    <s v="Indústria de alumínio atualmente utiliza um ERP local, junto com o EPR do mesmo fornecedor. Porém a principal dificuldade esta no processo produtivo, que ainda não foi implantado. Por este motivo a empresa necessita de um módulo de PCP (Planejamento e controle da produção) e o AFV atual não atende as necessidades comerciais._x000a_MBA Alumínios_x000a_Com mais de 38 anos de atuação no setor de alumínios, a MBA Alumínios é uma fábrica consolidada que abrange toda a cadeia produtiva de panelas de alumínio, desde a compra de sucata, produção de discos, estamparia, pintura, montagem, até embalagem e armazenamento._x000a_A empresa adotará os seguintes produtos:_x000a_ERP + PCP: 10 usuários_x000a_Checkout (ERP): 4 usuários_x000a_AFV: 14 usuários_x000a_MDe_x000a_MDFe_x000a_Possui dois CNPJs enquadrados no Simples Nacional e está localizada na cidade de Itaúna - MG."/>
    <s v="MBA ALUMINIOS LTDA."/>
    <x v="41"/>
    <n v="22752240000185"/>
    <s v=""/>
    <s v="Selmo Fernandes"/>
    <s v="(37) 99856-9457"/>
    <s v=""/>
    <s v="selmofilho@mbaluminios.com.br"/>
    <s v=""/>
    <s v=""/>
    <s v=""/>
    <s v="ITAUNA"/>
    <s v=""/>
    <s v="Outbound"/>
    <s v=""/>
    <s v=""/>
    <s v="SDRDébora"/>
    <s v="Pipeline de Vendas"/>
    <s v="Em negociação (75%)"/>
    <s v=""/>
    <m/>
    <m/>
    <m/>
    <n v="38"/>
    <s v="Paulo Souza"/>
    <d v="2025-01-07T00:00:00"/>
    <d v="1899-12-30T17:36:41"/>
    <s v=""/>
    <s v="Perdido"/>
    <d v="2025-02-14T00:00:00"/>
    <d v="1899-12-30T15:35:32"/>
    <s v="Projeto adiado / sem prazo definido"/>
    <s v=""/>
    <s v=""/>
    <x v="0"/>
    <s v=""/>
    <x v="24"/>
    <s v=""/>
    <m/>
    <m/>
    <s v=""/>
    <s v=""/>
    <s v=""/>
    <s v=""/>
    <n v="1"/>
  </r>
  <r>
    <x v="1"/>
    <n v="148"/>
    <m/>
    <n v="270"/>
    <s v="Carlos informou que possui hoje 50 RCA, e utilizam o ERP Solides."/>
    <s v="ETRURIA INDUSTRIA DE FIBRAS E FIOS SINTETICOS LTDA"/>
    <x v="42"/>
    <n v="45723541000186"/>
    <s v=""/>
    <s v="ETRURIA"/>
    <s v="1147188700"/>
    <s v=""/>
    <s v="etruria@etruria.com.br"/>
    <s v=""/>
    <s v="ETRURIA;Carlos"/>
    <s v=""/>
    <s v="Mairinque - SP"/>
    <s v="SP"/>
    <s v="Outbound"/>
    <s v=""/>
    <s v=""/>
    <s v="Importado a partir de lista;SDRFernanda"/>
    <s v="Pipeline de Vendas"/>
    <s v="Em negociação (75%)"/>
    <s v=""/>
    <m/>
    <n v="16960"/>
    <n v="4714"/>
    <n v="72"/>
    <s v="Fernanda Santiago"/>
    <d v="2025-01-08T00:00:00"/>
    <d v="1899-12-30T11:08:30"/>
    <s v=""/>
    <s v="Perdido"/>
    <d v="2025-03-21T00:00:00"/>
    <d v="1899-12-30T10:20:05"/>
    <s v="Não quer mudar a solução atual"/>
    <s v="decidiu não mudar força de vendas nesse momento"/>
    <s v=""/>
    <x v="26"/>
    <s v="Fernanda Santiago"/>
    <x v="25"/>
    <s v="21/01/2025"/>
    <m/>
    <m/>
    <s v=""/>
    <s v=""/>
    <s v=""/>
    <s v=""/>
    <n v="1"/>
  </r>
  <r>
    <x v="1"/>
    <n v="151"/>
    <m/>
    <n v="1540"/>
    <s v=""/>
    <s v=""/>
    <x v="43"/>
    <n v="21733807000103"/>
    <s v=""/>
    <s v="News aviamentos"/>
    <s v="(11) 3229-6911"/>
    <s v=""/>
    <s v="caiotls@hotmail.com"/>
    <s v=""/>
    <s v=""/>
    <s v=""/>
    <s v="SAO PAULO"/>
    <s v="SP"/>
    <s v=""/>
    <s v=""/>
    <s v=""/>
    <s v=""/>
    <s v="Pipeline de Vendas"/>
    <s v="Em negociação (75%)"/>
    <s v=""/>
    <m/>
    <n v="4830624"/>
    <n v="384549"/>
    <n v="43"/>
    <s v="Junior Lopes"/>
    <d v="2025-01-09T00:00:00"/>
    <d v="1899-12-30T16:01:24"/>
    <s v=""/>
    <s v="Perdido"/>
    <d v="2025-02-21T00:00:00"/>
    <d v="1899-12-30T14:27:38"/>
    <s v="Não houve aprovação financeira"/>
    <s v="achou investimento fora para o momento"/>
    <s v=""/>
    <x v="26"/>
    <s v=""/>
    <x v="26"/>
    <s v="20/01/2025"/>
    <m/>
    <m/>
    <s v=""/>
    <s v=""/>
    <s v=""/>
    <s v=""/>
    <n v="1"/>
  </r>
  <r>
    <x v="0"/>
    <n v="154"/>
    <n v="177"/>
    <n v="1546"/>
    <s v=""/>
    <s v=""/>
    <x v="44"/>
    <n v="58636773000149"/>
    <s v="GLOBAL MIX ATACADISTA LTDA."/>
    <s v="Juan Charles Brandão Bastos"/>
    <s v="(32) 98458-5164"/>
    <s v=""/>
    <s v="afonso@assecon.net.br"/>
    <s v="Matriz"/>
    <s v=""/>
    <s v="R DOM LUIZ ORIONE 577"/>
    <s v="Juiz de Fora"/>
    <s v="MG"/>
    <s v="Site"/>
    <s v="Site"/>
    <s v=""/>
    <s v="GELADO;Pausado;Solicita demo"/>
    <s v="Pipeline de Vendas"/>
    <s v="Em negociação (75%)"/>
    <s v="6x sem juros (0/30/60/90/120/150...)"/>
    <m/>
    <n v="5689656"/>
    <n v="259936"/>
    <n v="151"/>
    <s v="Fernanda Santiago"/>
    <d v="2025-01-10T00:00:00"/>
    <d v="1899-12-30T12:12:42"/>
    <s v=""/>
    <s v="Perdido"/>
    <d v="2025-06-10T00:00:00"/>
    <d v="1899-12-30T14:40:29"/>
    <s v="Não quer mudar a solução atual"/>
    <s v=""/>
    <s v="10/01/2025 16:00"/>
    <x v="13"/>
    <s v="Paulo Souza"/>
    <x v="27"/>
    <s v=""/>
    <m/>
    <m/>
    <s v=""/>
    <s v=""/>
    <s v=""/>
    <s v=""/>
    <n v="1"/>
  </r>
  <r>
    <x v="0"/>
    <n v="155"/>
    <m/>
    <n v="1547"/>
    <s v=""/>
    <s v=""/>
    <x v="45"/>
    <m/>
    <s v=""/>
    <s v="Bruce"/>
    <s v="21995977179"/>
    <s v=""/>
    <s v="null"/>
    <s v=""/>
    <s v=""/>
    <s v=""/>
    <s v=""/>
    <s v=""/>
    <s v=""/>
    <s v=""/>
    <s v=""/>
    <s v=""/>
    <s v="Pipeline de Vendas"/>
    <s v="Apresentar Solução (35%)"/>
    <s v=""/>
    <m/>
    <m/>
    <m/>
    <n v="18"/>
    <s v="Paulo Souza"/>
    <d v="2025-01-10T00:00:00"/>
    <d v="1899-12-30T14:48:28"/>
    <s v=""/>
    <s v="Perdido"/>
    <d v="2025-01-28T00:00:00"/>
    <d v="1899-12-30T16:53:34"/>
    <s v="Projeto adiado / sem prazo definido"/>
    <s v="Rayssa, está tratando no funil de pós-venda"/>
    <s v=""/>
    <x v="27"/>
    <s v="Paulo Souza"/>
    <x v="28"/>
    <s v=""/>
    <m/>
    <m/>
    <s v=""/>
    <s v=""/>
    <s v=""/>
    <s v=""/>
    <n v="1"/>
  </r>
  <r>
    <x v="0"/>
    <n v="164"/>
    <m/>
    <n v="1582"/>
    <s v=""/>
    <s v=""/>
    <x v="46"/>
    <n v="2675142000184"/>
    <s v=""/>
    <s v="Thiago"/>
    <s v="(11) 98534-8231"/>
    <s v=""/>
    <s v="thiago.ramos@sltexpress.com.br"/>
    <s v=""/>
    <s v=""/>
    <s v=""/>
    <s v="São Paulo"/>
    <s v=""/>
    <s v="Site"/>
    <s v=""/>
    <s v=""/>
    <s v="Contato;QUENTE"/>
    <s v="Pipeline de Vendas"/>
    <s v="Em negociação (75%)"/>
    <s v=""/>
    <m/>
    <m/>
    <m/>
    <n v="65"/>
    <s v="Fernanda Santiago"/>
    <d v="2025-01-15T00:00:00"/>
    <d v="1899-12-30T17:35:14"/>
    <s v=""/>
    <s v="Perdido"/>
    <d v="2025-03-21T00:00:00"/>
    <d v="1899-12-30T14:37:57"/>
    <s v="Fora do segmento atendido"/>
    <s v=""/>
    <s v="15/01/2025 17:00"/>
    <x v="13"/>
    <s v="Fernanda Santiago"/>
    <x v="29"/>
    <s v=""/>
    <m/>
    <m/>
    <s v=""/>
    <s v=""/>
    <s v=""/>
    <s v=""/>
    <n v="1"/>
  </r>
  <r>
    <x v="1"/>
    <n v="166"/>
    <m/>
    <n v="745"/>
    <s v=""/>
    <s v="VERSIVA COMERCIAL VERSIVA DISTRIBUIDORA"/>
    <x v="47"/>
    <n v="48314771000180"/>
    <s v=""/>
    <s v="Gilberto"/>
    <s v="11984587496"/>
    <s v=""/>
    <s v="gilberto.brito@quantiva.com.br"/>
    <s v=""/>
    <s v="Gilberto;null"/>
    <s v=""/>
    <s v=""/>
    <s v=""/>
    <s v=""/>
    <s v=""/>
    <s v=""/>
    <s v="SDRFernanda;TAG1SEM"/>
    <s v="Pipeline de Vendas"/>
    <s v="Apresentar Solução (35%)"/>
    <s v=""/>
    <m/>
    <m/>
    <m/>
    <n v="36"/>
    <s v="Fernanda Santiago"/>
    <d v="2025-01-16T00:00:00"/>
    <d v="1899-12-30T11:04:39"/>
    <s v=""/>
    <s v="Perdido"/>
    <d v="2025-02-21T00:00:00"/>
    <d v="1899-12-30T12:11:57"/>
    <s v="Projeto adiado / sem prazo definido"/>
    <s v="cliente não tem tempo para apresentação"/>
    <s v="16/01/2025 11:00"/>
    <x v="0"/>
    <s v="Fernanda Santiago"/>
    <x v="30"/>
    <s v=""/>
    <m/>
    <m/>
    <s v=""/>
    <s v=""/>
    <s v=""/>
    <s v=""/>
    <n v="1"/>
  </r>
  <r>
    <x v="0"/>
    <n v="167"/>
    <m/>
    <n v="1599"/>
    <s v=""/>
    <s v=""/>
    <x v="48"/>
    <m/>
    <s v=""/>
    <s v="Felipe"/>
    <s v="11975126999"/>
    <s v=""/>
    <s v="null"/>
    <s v=""/>
    <s v=""/>
    <s v=""/>
    <s v=""/>
    <s v=""/>
    <s v="Indicação"/>
    <s v=""/>
    <s v=""/>
    <s v="GELADO"/>
    <s v="Pipeline de Vendas"/>
    <s v="Em negociação (75%)"/>
    <s v="6x sem juros (0/30/60/90/120/150...)"/>
    <d v="2025-05-31T00:00:00"/>
    <n v="46000"/>
    <n v="308546"/>
    <n v="82"/>
    <s v="Paulo Souza"/>
    <d v="2025-01-16T00:00:00"/>
    <d v="1899-12-30T14:02:22"/>
    <s v=""/>
    <s v="Perdido"/>
    <d v="2025-04-08T00:00:00"/>
    <d v="1899-12-30T09:30:31"/>
    <s v="Não quer mudar a solução atual"/>
    <s v=""/>
    <s v=""/>
    <x v="28"/>
    <s v="Paulo Souza"/>
    <x v="31"/>
    <s v=""/>
    <m/>
    <m/>
    <s v=""/>
    <s v=""/>
    <s v=""/>
    <s v=""/>
    <n v="1"/>
  </r>
  <r>
    <x v="1"/>
    <n v="169"/>
    <m/>
    <n v="735"/>
    <s v=""/>
    <s v="ECOLIMP DISTRIBUIDORA ATACADISTA DE PRODUTOS DE HIGIENE - EIRELI"/>
    <x v="49"/>
    <n v="16941656000149"/>
    <s v=""/>
    <s v="Ecolimp Distribuidora"/>
    <s v="11956368569"/>
    <s v=""/>
    <s v="adrianarosa@ecolimpatacadista.com.br"/>
    <s v=""/>
    <s v="Ecolimp Distribuidora;null, Adriana"/>
    <s v=""/>
    <s v=""/>
    <s v=""/>
    <s v=""/>
    <s v=""/>
    <s v=""/>
    <s v=""/>
    <s v="Pipeline de Vendas"/>
    <s v="Apresentar Proposta (50%)"/>
    <s v=""/>
    <m/>
    <n v="16700"/>
    <n v="18186"/>
    <n v="6"/>
    <s v="Fernanda Santiago"/>
    <d v="2025-01-16T00:00:00"/>
    <d v="1899-12-30T17:13:16"/>
    <s v=""/>
    <s v="Perdido"/>
    <d v="2025-01-22T00:00:00"/>
    <d v="1899-12-30T12:12:09"/>
    <s v="Projeto adiado / sem prazo definido"/>
    <s v="pediu para retornar no futuro"/>
    <s v="16/01/2025 17:00"/>
    <x v="29"/>
    <s v="Fernanda Santiago"/>
    <x v="32"/>
    <s v=""/>
    <m/>
    <m/>
    <s v=""/>
    <s v=""/>
    <s v=""/>
    <s v=""/>
    <n v="1"/>
  </r>
  <r>
    <x v="1"/>
    <n v="174"/>
    <m/>
    <n v="734"/>
    <s v=""/>
    <s v="DISTRIBUIDORA CHAMPION LIMITADA"/>
    <x v="50"/>
    <n v="66559436000123"/>
    <s v=""/>
    <s v="Distribuidora Champion"/>
    <s v="1155237947"/>
    <s v=""/>
    <s v="andre@distribuidorachampion.com.br"/>
    <s v=""/>
    <s v="Distribuidora Champion;null"/>
    <s v=""/>
    <s v=""/>
    <s v=""/>
    <s v=""/>
    <s v=""/>
    <s v=""/>
    <s v=""/>
    <s v="Pipeline de Vendas"/>
    <s v="Agendamento (0%)"/>
    <s v=""/>
    <m/>
    <m/>
    <m/>
    <n v="31"/>
    <s v="Fernanda Santiago"/>
    <d v="2025-01-21T00:00:00"/>
    <d v="1899-12-30T10:39:04"/>
    <s v=""/>
    <s v="Perdido"/>
    <d v="2025-02-21T00:00:00"/>
    <d v="1899-12-30T10:55:19"/>
    <s v="Projeto adiado / sem prazo definido"/>
    <s v="sem resposta do cliente"/>
    <s v="21/01/2025 10:37"/>
    <x v="0"/>
    <s v="Fernanda Santiago"/>
    <x v="33"/>
    <s v=""/>
    <m/>
    <m/>
    <s v=""/>
    <s v=""/>
    <s v=""/>
    <s v=""/>
    <n v="1"/>
  </r>
  <r>
    <x v="1"/>
    <n v="178"/>
    <m/>
    <n v="1619"/>
    <s v=""/>
    <s v=""/>
    <x v="51"/>
    <n v="2306559000331"/>
    <s v=""/>
    <s v="Royal Toys"/>
    <s v="44999065000"/>
    <s v=""/>
    <s v="ney@royaltoys.com.br"/>
    <s v=""/>
    <s v=""/>
    <s v=""/>
    <s v=""/>
    <s v=""/>
    <s v=""/>
    <s v=""/>
    <s v=""/>
    <s v=""/>
    <s v="Pipeline de Vendas"/>
    <s v="Em negociação (75%)"/>
    <s v="6x sem juros (0/30/60/90/120/150...)"/>
    <m/>
    <n v="11520"/>
    <n v="14114"/>
    <n v="30"/>
    <s v="Junior Lopes"/>
    <d v="2025-01-22T00:00:00"/>
    <d v="1899-12-30T12:15:34"/>
    <s v=""/>
    <s v="Perdido"/>
    <d v="2025-02-21T00:00:00"/>
    <d v="1899-12-30T12:14:01"/>
    <s v="Fechou com o concorrente - preço"/>
    <s v="fechou com Mercus"/>
    <s v=""/>
    <x v="29"/>
    <s v=""/>
    <x v="34"/>
    <s v=""/>
    <m/>
    <m/>
    <s v=""/>
    <s v=""/>
    <s v=""/>
    <s v=""/>
    <n v="1"/>
  </r>
  <r>
    <x v="1"/>
    <n v="179"/>
    <m/>
    <n v="1621"/>
    <s v=""/>
    <s v=""/>
    <x v="52"/>
    <m/>
    <s v=""/>
    <s v="Atacado Junior"/>
    <s v="65984636358"/>
    <s v=""/>
    <s v="atacadojunior@uol.com.br"/>
    <s v=""/>
    <s v=""/>
    <s v=""/>
    <s v=""/>
    <s v=""/>
    <s v=""/>
    <s v=""/>
    <s v=""/>
    <s v=""/>
    <s v="Pipeline de Vendas"/>
    <s v="Apresentar Proposta (50%)"/>
    <s v="6x sem juros (0/30/60/90/120/150...)"/>
    <m/>
    <n v="61056"/>
    <n v="625045"/>
    <n v="14"/>
    <s v="Junior Lopes"/>
    <d v="2025-01-23T00:00:00"/>
    <d v="1899-12-30T09:32:50"/>
    <s v=""/>
    <s v="Perdido"/>
    <d v="2025-02-06T00:00:00"/>
    <d v="1899-12-30T16:03:00"/>
    <s v="Preço muito alto - fora do budget de investimento"/>
    <s v="valor alto para investimento"/>
    <s v=""/>
    <x v="30"/>
    <s v=""/>
    <x v="35"/>
    <s v="27/01/2025"/>
    <m/>
    <m/>
    <s v=""/>
    <s v=""/>
    <s v=""/>
    <s v=""/>
    <n v="1"/>
  </r>
  <r>
    <x v="1"/>
    <n v="183"/>
    <m/>
    <n v="1631"/>
    <s v=""/>
    <s v=""/>
    <x v="53"/>
    <m/>
    <s v=""/>
    <s v="Multiflon"/>
    <s v="54981117994"/>
    <s v=""/>
    <s v="cesar@multiflon.com.br"/>
    <s v=""/>
    <s v=""/>
    <s v=""/>
    <s v=""/>
    <s v=""/>
    <s v="Feiras"/>
    <s v=""/>
    <s v=""/>
    <s v=""/>
    <s v="Pipeline de Vendas"/>
    <s v="Em Fechamento (100%)"/>
    <s v="6x sem juros (0/30/60/90/120/150...)"/>
    <m/>
    <n v="16960"/>
    <n v="863104"/>
    <n v="103"/>
    <s v="Junior Lopes"/>
    <d v="2025-01-24T00:00:00"/>
    <d v="1899-12-30T10:40:09"/>
    <s v=""/>
    <s v="Ganho"/>
    <d v="2025-05-07T00:00:00"/>
    <d v="1899-12-30T08:53:35"/>
    <s v=""/>
    <s v=""/>
    <s v=""/>
    <x v="31"/>
    <s v=""/>
    <x v="35"/>
    <s v=""/>
    <m/>
    <m/>
    <s v=""/>
    <s v=""/>
    <s v=""/>
    <s v=""/>
    <n v="1"/>
  </r>
  <r>
    <x v="1"/>
    <n v="187"/>
    <m/>
    <n v="1642"/>
    <s v=""/>
    <s v=""/>
    <x v="54"/>
    <m/>
    <s v=""/>
    <s v="Metalmix tanque"/>
    <s v="16997631389"/>
    <s v=""/>
    <s v="metalmix.ibate@hotmail.com"/>
    <s v=""/>
    <s v=""/>
    <s v=""/>
    <s v=""/>
    <s v=""/>
    <s v=""/>
    <s v=""/>
    <s v=""/>
    <s v=""/>
    <s v="Pipeline de Vendas"/>
    <s v="Apresentar Solução (35%)"/>
    <s v=""/>
    <m/>
    <m/>
    <m/>
    <n v="49"/>
    <s v="Junior Lopes"/>
    <d v="2025-01-27T00:00:00"/>
    <d v="1899-12-30T14:53:37"/>
    <s v=""/>
    <s v="Perdido"/>
    <d v="2025-03-17T00:00:00"/>
    <d v="1899-12-30T09:55:20"/>
    <s v="Projeto adiado / sem prazo definido"/>
    <s v="Cliente fora do segmento"/>
    <s v=""/>
    <x v="0"/>
    <s v=""/>
    <x v="36"/>
    <s v=""/>
    <m/>
    <m/>
    <s v=""/>
    <s v=""/>
    <s v=""/>
    <s v=""/>
    <n v="1"/>
  </r>
  <r>
    <x v="1"/>
    <n v="188"/>
    <m/>
    <n v="1643"/>
    <s v=""/>
    <s v=""/>
    <x v="55"/>
    <m/>
    <s v=""/>
    <s v="C.a Teles Armarinhos E Papelaria Ltda"/>
    <s v="11999279928"/>
    <s v=""/>
    <s v="caiotls@hotmail.com"/>
    <s v=""/>
    <s v=""/>
    <s v=""/>
    <s v=""/>
    <s v=""/>
    <s v=""/>
    <s v=""/>
    <s v=""/>
    <s v=""/>
    <s v="Pipeline de Vendas"/>
    <s v="Em negociação (75%)"/>
    <s v=""/>
    <m/>
    <n v="1600"/>
    <n v="314528"/>
    <n v="25"/>
    <s v="Junior Lopes"/>
    <d v="2025-01-27T00:00:00"/>
    <d v="1899-12-30T15:48:35"/>
    <s v=""/>
    <s v="Perdido"/>
    <d v="2025-02-21T00:00:00"/>
    <d v="1899-12-30T14:28:44"/>
    <s v="Não houve aprovação financeira"/>
    <s v=""/>
    <s v=""/>
    <x v="29"/>
    <s v=""/>
    <x v="26"/>
    <s v=""/>
    <m/>
    <m/>
    <s v=""/>
    <s v=""/>
    <s v=""/>
    <s v=""/>
    <n v="1"/>
  </r>
  <r>
    <x v="1"/>
    <n v="191"/>
    <m/>
    <n v="1651"/>
    <s v=""/>
    <s v=""/>
    <x v="56"/>
    <m/>
    <s v=""/>
    <s v="Atacado Junior"/>
    <s v="65984636358"/>
    <s v=""/>
    <s v="atacadojunior@uol.com.br"/>
    <s v=""/>
    <s v=""/>
    <s v=""/>
    <s v=""/>
    <s v=""/>
    <s v=""/>
    <s v=""/>
    <s v=""/>
    <s v=""/>
    <s v="Pipeline de Vendas"/>
    <s v="Apresentar Proposta (50%)"/>
    <s v=""/>
    <m/>
    <n v="1600"/>
    <n v="4063"/>
    <n v="9"/>
    <s v="Junior Lopes"/>
    <d v="2025-01-28T00:00:00"/>
    <d v="1899-12-30T15:02:42"/>
    <s v=""/>
    <s v="Perdido"/>
    <d v="2025-02-06T00:00:00"/>
    <d v="1899-12-30T16:04:47"/>
    <s v="Preço muito alto - fora do budget de investimento"/>
    <s v="valor alto para investimento"/>
    <s v=""/>
    <x v="0"/>
    <s v=""/>
    <x v="0"/>
    <s v=""/>
    <m/>
    <m/>
    <s v=""/>
    <s v=""/>
    <s v=""/>
    <s v=""/>
    <n v="1"/>
  </r>
  <r>
    <x v="0"/>
    <n v="193"/>
    <m/>
    <n v="1608"/>
    <s v=""/>
    <s v=""/>
    <x v="57"/>
    <n v="2142286000175"/>
    <s v=""/>
    <s v="giovanna sesso"/>
    <s v="(11) 3777-2416"/>
    <s v=""/>
    <s v="giovanna@bolplast.com.br"/>
    <s v=""/>
    <s v=""/>
    <s v=""/>
    <s v="São Paulo"/>
    <s v=""/>
    <s v="Site"/>
    <s v=""/>
    <s v=""/>
    <s v="Solicita demo"/>
    <s v="Pipeline de Vendas"/>
    <s v="Em negociação (75%)"/>
    <s v=""/>
    <m/>
    <m/>
    <m/>
    <n v="9"/>
    <s v="Paulo Souza"/>
    <d v="2025-01-28T00:00:00"/>
    <d v="1899-12-30T16:45:54"/>
    <s v=""/>
    <s v="Perdido"/>
    <d v="2025-02-06T00:00:00"/>
    <d v="1899-12-30T17:27:05"/>
    <s v="Preço muito alto - fora do budget de investimento"/>
    <s v=""/>
    <s v=""/>
    <x v="32"/>
    <s v=""/>
    <x v="37"/>
    <s v=""/>
    <m/>
    <m/>
    <s v=""/>
    <s v=""/>
    <s v=""/>
    <s v=""/>
    <n v="1"/>
  </r>
  <r>
    <x v="0"/>
    <n v="195"/>
    <m/>
    <n v="1603"/>
    <s v=""/>
    <s v=""/>
    <x v="58"/>
    <m/>
    <s v=""/>
    <s v="Stanley Neves"/>
    <s v="(16) 99788-8387"/>
    <s v=""/>
    <s v="null"/>
    <s v=""/>
    <s v=""/>
    <s v=""/>
    <s v=""/>
    <s v=""/>
    <s v="Inbound"/>
    <s v=""/>
    <s v=""/>
    <s v=""/>
    <s v="Pipeline de Vendas"/>
    <s v="Em negociação (75%)"/>
    <s v=""/>
    <m/>
    <m/>
    <m/>
    <n v="9"/>
    <s v="Paulo Souza"/>
    <d v="2025-01-28T00:00:00"/>
    <d v="1899-12-30T17:10:34"/>
    <s v=""/>
    <s v="Perdido"/>
    <d v="2025-02-06T00:00:00"/>
    <d v="1899-12-30T17:32:16"/>
    <s v="Não quer mudar a solução atual"/>
    <s v=""/>
    <s v=""/>
    <x v="32"/>
    <s v=""/>
    <x v="37"/>
    <s v=""/>
    <m/>
    <m/>
    <s v=""/>
    <s v=""/>
    <s v=""/>
    <s v=""/>
    <n v="1"/>
  </r>
  <r>
    <x v="0"/>
    <n v="196"/>
    <m/>
    <n v="1596"/>
    <s v=""/>
    <s v="Vigi Ltda"/>
    <x v="59"/>
    <n v="56884678000139"/>
    <s v=""/>
    <s v="Vinicius Oliveira"/>
    <s v="(19) 98275-0709"/>
    <s v=""/>
    <s v="societario@gmcontabil.com.br"/>
    <s v=""/>
    <s v=""/>
    <s v=""/>
    <s v="CAMPINAS"/>
    <s v="SP"/>
    <s v="Inbound"/>
    <s v=""/>
    <s v=""/>
    <s v="Contato"/>
    <s v="Pipeline de Vendas"/>
    <s v="Em negociação (75%)"/>
    <s v=""/>
    <m/>
    <m/>
    <m/>
    <n v="1"/>
    <s v="Paulo Souza"/>
    <d v="2025-01-28T00:00:00"/>
    <d v="1899-12-30T17:12:05"/>
    <s v=""/>
    <s v="Perdido"/>
    <d v="2025-01-29T00:00:00"/>
    <d v="1899-12-30T01:00:16"/>
    <s v="Preço muito alto - fora do budget de investimento"/>
    <s v=""/>
    <s v=""/>
    <x v="32"/>
    <s v="Paulo Souza"/>
    <x v="37"/>
    <s v=""/>
    <m/>
    <m/>
    <s v=""/>
    <s v=""/>
    <s v=""/>
    <s v=""/>
    <n v="1"/>
  </r>
  <r>
    <x v="0"/>
    <n v="197"/>
    <m/>
    <n v="1598"/>
    <s v=""/>
    <s v=""/>
    <x v="60"/>
    <m/>
    <s v=""/>
    <s v="Isaias"/>
    <s v="(15) 99747-1187"/>
    <s v=""/>
    <s v="null"/>
    <s v=""/>
    <s v=""/>
    <s v=""/>
    <s v=""/>
    <s v=""/>
    <s v="Inbound"/>
    <s v=""/>
    <s v=""/>
    <s v="Contato"/>
    <s v="Pipeline de Vendas"/>
    <s v="Em negociação (75%)"/>
    <s v=""/>
    <m/>
    <m/>
    <m/>
    <n v="1"/>
    <s v="Paulo Souza"/>
    <d v="2025-01-28T00:00:00"/>
    <d v="1899-12-30T17:12:39"/>
    <s v=""/>
    <s v="Perdido"/>
    <d v="2025-01-29T00:00:00"/>
    <d v="1899-12-30T01:02:09"/>
    <s v="Preço muito alto - fora do budget de investimento"/>
    <s v=""/>
    <s v=""/>
    <x v="32"/>
    <s v=""/>
    <x v="37"/>
    <s v=""/>
    <m/>
    <m/>
    <s v=""/>
    <s v=""/>
    <s v=""/>
    <s v=""/>
    <n v="1"/>
  </r>
  <r>
    <x v="0"/>
    <n v="198"/>
    <m/>
    <n v="1600"/>
    <s v=""/>
    <s v=""/>
    <x v="61"/>
    <m/>
    <s v=""/>
    <s v="pz presentes"/>
    <s v="(31) 99735-8058"/>
    <s v=""/>
    <s v="administrativo@tempori.com.br"/>
    <s v=""/>
    <s v=""/>
    <s v=""/>
    <s v="Belo Horizonte"/>
    <s v=""/>
    <s v="Site"/>
    <s v=""/>
    <s v=""/>
    <s v="Contato"/>
    <s v="Pipeline de Vendas"/>
    <s v="Em negociação (75%)"/>
    <s v=""/>
    <m/>
    <m/>
    <m/>
    <n v="1"/>
    <s v="Paulo Souza"/>
    <d v="2025-01-28T00:00:00"/>
    <d v="1899-12-30T17:13:17"/>
    <s v=""/>
    <s v="Perdido"/>
    <d v="2025-01-29T00:00:00"/>
    <d v="1899-12-30T01:05:46"/>
    <s v="Preço muito alto - fora do budget de investimento"/>
    <s v=""/>
    <s v=""/>
    <x v="32"/>
    <s v=""/>
    <x v="37"/>
    <s v=""/>
    <m/>
    <m/>
    <s v=""/>
    <s v=""/>
    <s v=""/>
    <s v=""/>
    <n v="1"/>
  </r>
  <r>
    <x v="0"/>
    <n v="199"/>
    <m/>
    <n v="1623"/>
    <s v="Todos os dados preenchidos:_x000a_name: Eliedson Alves _x000a_phone: 81988636626 _x000a_email: eliedsonrepresentante@gmail.com _x000a_referrer: https://www.guaranisistemas.com.br/"/>
    <s v=""/>
    <x v="62"/>
    <m/>
    <s v=""/>
    <s v="Eliedson Alves"/>
    <s v="81988636626"/>
    <s v=""/>
    <s v="eliedsonrepresentante@gmail.com"/>
    <s v=""/>
    <s v=""/>
    <s v=""/>
    <s v="Recife"/>
    <s v=""/>
    <s v="Feiras"/>
    <s v=""/>
    <s v=""/>
    <s v="Feiras"/>
    <s v="Pipeline de Vendas"/>
    <s v="Em negociação (75%)"/>
    <s v=""/>
    <m/>
    <m/>
    <m/>
    <n v="9"/>
    <s v="Paulo Souza"/>
    <d v="2025-01-28T00:00:00"/>
    <d v="1899-12-30T17:14:04"/>
    <s v=""/>
    <s v="Perdido"/>
    <d v="2025-02-06T00:00:00"/>
    <d v="1899-12-30T17:40:07"/>
    <s v="Preço muito alto - fora do budget de investimento"/>
    <s v=""/>
    <s v=""/>
    <x v="32"/>
    <s v=""/>
    <x v="0"/>
    <s v="28/01/2025 00:00"/>
    <m/>
    <m/>
    <s v=""/>
    <s v=""/>
    <s v=""/>
    <s v=""/>
    <n v="1"/>
  </r>
  <r>
    <x v="1"/>
    <n v="200"/>
    <m/>
    <n v="1660"/>
    <s v=""/>
    <s v=""/>
    <x v="63"/>
    <m/>
    <s v=""/>
    <s v="Alumínio Higsberg"/>
    <s v="1935513873"/>
    <s v=""/>
    <s v="adm@aluminiohigsberg.com.br"/>
    <s v=""/>
    <s v=""/>
    <s v=""/>
    <s v=""/>
    <s v=""/>
    <s v=""/>
    <s v=""/>
    <s v=""/>
    <s v=""/>
    <s v="Pipeline de Vendas"/>
    <s v="Qualificação de Vendas (SQL) (25%)"/>
    <s v=""/>
    <m/>
    <m/>
    <m/>
    <n v="51"/>
    <s v="Junior Lopes"/>
    <d v="2025-01-29T00:00:00"/>
    <d v="1899-12-30T09:30:56"/>
    <s v=""/>
    <s v="Perdido"/>
    <d v="2025-03-21T00:00:00"/>
    <d v="1899-12-30T14:43:11"/>
    <s v="Não quer mudar a solução atual"/>
    <s v="cliente não respondeu mais aos contatos"/>
    <s v=""/>
    <x v="0"/>
    <s v=""/>
    <x v="38"/>
    <s v=""/>
    <m/>
    <m/>
    <s v=""/>
    <s v=""/>
    <s v=""/>
    <s v=""/>
    <n v="1"/>
  </r>
  <r>
    <x v="0"/>
    <n v="201"/>
    <m/>
    <n v="198"/>
    <s v=""/>
    <s v="REGIS PECLAT BASTOS"/>
    <x v="64"/>
    <n v="13474916000125"/>
    <s v=""/>
    <s v="REGIS"/>
    <s v="13997252966"/>
    <s v=""/>
    <s v="VR_DISTRIBUIDORA@YAHOO.COM.BR"/>
    <s v=""/>
    <s v="REGIS;REGIS, Roni"/>
    <s v=""/>
    <s v="JACUPIRANGA"/>
    <s v="SP"/>
    <s v="Outbound"/>
    <s v=""/>
    <s v=""/>
    <s v="Importado a partir de lista;TAG1SEM"/>
    <s v="Pipeline de Vendas"/>
    <s v="Apresentar Solução (35%)"/>
    <s v=""/>
    <m/>
    <m/>
    <m/>
    <n v="8"/>
    <s v="Fernanda Santiago"/>
    <d v="2025-01-29T00:00:00"/>
    <d v="1899-12-30T11:59:53"/>
    <s v=""/>
    <s v="Perdido"/>
    <d v="2025-02-06T00:00:00"/>
    <d v="1899-12-30T13:53:38"/>
    <s v="Fora do porte mínimo (sem fit estrutural)"/>
    <s v=""/>
    <s v="29/01/2025 11:58"/>
    <x v="0"/>
    <s v="Fernanda Santiago"/>
    <x v="39"/>
    <s v=""/>
    <m/>
    <m/>
    <s v=""/>
    <s v=""/>
    <s v=""/>
    <s v=""/>
    <n v="1"/>
  </r>
  <r>
    <x v="1"/>
    <n v="202"/>
    <m/>
    <n v="1665"/>
    <s v=""/>
    <s v=""/>
    <x v="65"/>
    <m/>
    <s v=""/>
    <s v="Viva Vidros"/>
    <s v="11988839646"/>
    <s v=""/>
    <s v="comercial@vivavidros.com.br"/>
    <s v=""/>
    <s v=""/>
    <s v=""/>
    <s v=""/>
    <s v=""/>
    <s v=""/>
    <s v=""/>
    <s v=""/>
    <s v=""/>
    <s v="Pipeline de Vendas"/>
    <s v="Em Fechamento (100%)"/>
    <s v=""/>
    <m/>
    <n v="1600"/>
    <n v="1824"/>
    <n v="34"/>
    <s v="Junior Lopes"/>
    <d v="2025-01-30T00:00:00"/>
    <d v="1899-12-30T09:58:14"/>
    <s v=""/>
    <s v="Perdido"/>
    <d v="2025-03-05T00:00:00"/>
    <d v="1899-12-30T11:11:54"/>
    <s v="Projeto adiado / sem prazo definido"/>
    <s v="cliente com situação de pendencias financeiras"/>
    <s v=""/>
    <x v="21"/>
    <s v=""/>
    <x v="0"/>
    <s v=""/>
    <m/>
    <m/>
    <s v=""/>
    <s v=""/>
    <s v=""/>
    <s v=""/>
    <n v="1"/>
  </r>
  <r>
    <x v="1"/>
    <n v="203"/>
    <m/>
    <n v="1666"/>
    <s v=""/>
    <s v=""/>
    <x v="66"/>
    <m/>
    <s v=""/>
    <s v="Stamaco"/>
    <s v="11967327458"/>
    <s v=""/>
    <s v="felipe@stamaco.com.br"/>
    <s v=""/>
    <s v=""/>
    <s v=""/>
    <s v=""/>
    <s v=""/>
    <s v=""/>
    <s v=""/>
    <s v=""/>
    <s v=""/>
    <s v="Pipeline de Vendas"/>
    <s v="Apresentar Solução (35%)"/>
    <s v=""/>
    <m/>
    <m/>
    <m/>
    <n v="22"/>
    <s v="Junior Lopes"/>
    <d v="2025-01-30T00:00:00"/>
    <d v="1899-12-30T10:59:59"/>
    <s v=""/>
    <s v="Perdido"/>
    <d v="2025-02-21T00:00:00"/>
    <d v="1899-12-30T12:09:49"/>
    <s v="Não quer mudar a solução atual"/>
    <s v="Aguardará Retaguarda Web"/>
    <s v=""/>
    <x v="0"/>
    <s v=""/>
    <x v="40"/>
    <s v=""/>
    <m/>
    <m/>
    <s v=""/>
    <s v=""/>
    <s v=""/>
    <s v=""/>
    <n v="1"/>
  </r>
  <r>
    <x v="1"/>
    <n v="204"/>
    <m/>
    <n v="1669"/>
    <s v=""/>
    <s v=""/>
    <x v="67"/>
    <m/>
    <s v=""/>
    <s v="Fabio"/>
    <s v="47988469270"/>
    <s v=""/>
    <s v="Fabio@atacadoelmo.com.br"/>
    <s v=""/>
    <s v=""/>
    <s v=""/>
    <s v=""/>
    <s v=""/>
    <s v=""/>
    <s v=""/>
    <s v=""/>
    <s v=""/>
    <s v="Pipeline de Vendas"/>
    <s v="Agendamento (0%)"/>
    <s v=""/>
    <m/>
    <n v="837998"/>
    <n v="516364"/>
    <n v="0"/>
    <s v="Paulo Souza"/>
    <d v="2025-02-01T00:00:00"/>
    <d v="1899-12-30T01:46:53"/>
    <s v=""/>
    <s v="Ganho"/>
    <d v="2025-02-01T00:00:00"/>
    <d v="1899-12-30T03:23:37"/>
    <s v=""/>
    <s v=""/>
    <s v=""/>
    <x v="0"/>
    <s v=""/>
    <x v="0"/>
    <s v=""/>
    <m/>
    <m/>
    <s v=""/>
    <s v=""/>
    <s v=""/>
    <s v=""/>
    <n v="1"/>
  </r>
  <r>
    <x v="0"/>
    <n v="205"/>
    <m/>
    <n v="1670"/>
    <s v=""/>
    <s v=""/>
    <x v="68"/>
    <m/>
    <s v=""/>
    <s v="Alexandre"/>
    <s v="75999540838"/>
    <s v=""/>
    <s v="terraboaespeciarias@hotmail.com"/>
    <s v=""/>
    <s v=""/>
    <s v=""/>
    <s v=""/>
    <s v=""/>
    <s v=""/>
    <s v=""/>
    <s v=""/>
    <s v=""/>
    <s v="Pipeline de Vendas"/>
    <s v="Em Fechamento (100%)"/>
    <s v=""/>
    <m/>
    <n v="299984"/>
    <n v="0"/>
    <n v="0"/>
    <s v="Paulo Souza"/>
    <d v="2025-02-01T00:00:00"/>
    <d v="1899-12-30T02:11:10"/>
    <s v=""/>
    <s v="Ganho"/>
    <d v="2025-02-01T00:00:00"/>
    <d v="1899-12-30T02:22:51"/>
    <s v=""/>
    <s v=""/>
    <s v=""/>
    <x v="6"/>
    <s v="Paulo Souza"/>
    <x v="41"/>
    <s v=""/>
    <m/>
    <m/>
    <s v=""/>
    <s v=""/>
    <s v=""/>
    <s v=""/>
    <n v="1"/>
  </r>
  <r>
    <x v="0"/>
    <n v="206"/>
    <m/>
    <n v="1671"/>
    <s v=""/>
    <s v=""/>
    <x v="69"/>
    <m/>
    <s v=""/>
    <s v="Helvecio"/>
    <s v="55479993859"/>
    <s v=""/>
    <s v="Helvecio.Deitos@newellco.com"/>
    <s v=""/>
    <s v=""/>
    <s v=""/>
    <s v=""/>
    <s v=""/>
    <s v=""/>
    <s v=""/>
    <s v=""/>
    <s v=""/>
    <s v="Pipeline de Vendas"/>
    <s v="Em Fechamento (100%)"/>
    <s v=""/>
    <m/>
    <n v="1936"/>
    <n v="0"/>
    <n v="0"/>
    <s v="Paulo Souza"/>
    <d v="2025-02-01T00:00:00"/>
    <d v="1899-12-30T02:12:42"/>
    <s v=""/>
    <s v="Ganho"/>
    <d v="2025-02-01T00:00:00"/>
    <d v="1899-12-30T02:19:45"/>
    <s v=""/>
    <s v=""/>
    <s v=""/>
    <x v="33"/>
    <s v="Paulo Souza"/>
    <x v="42"/>
    <s v=""/>
    <m/>
    <m/>
    <s v=""/>
    <s v=""/>
    <s v=""/>
    <s v=""/>
    <n v="1"/>
  </r>
  <r>
    <x v="0"/>
    <n v="207"/>
    <m/>
    <n v="1672"/>
    <s v=""/>
    <s v=""/>
    <x v="70"/>
    <m/>
    <s v=""/>
    <s v="Marcelha"/>
    <s v=""/>
    <s v=""/>
    <s v="marcelha@paramountplasticos.com.br"/>
    <s v=""/>
    <s v=""/>
    <s v=""/>
    <s v=""/>
    <s v=""/>
    <s v=""/>
    <s v=""/>
    <s v=""/>
    <s v=""/>
    <s v="Pipeline de Vendas"/>
    <s v="Em Fechamento (100%)"/>
    <s v=""/>
    <m/>
    <n v="6160"/>
    <n v="0"/>
    <n v="0"/>
    <s v="Paulo Souza"/>
    <d v="2025-02-01T00:00:00"/>
    <d v="1899-12-30T02:13:12"/>
    <s v=""/>
    <s v="Ganho"/>
    <d v="2025-02-01T00:00:00"/>
    <d v="1899-12-30T02:20:51"/>
    <s v=""/>
    <s v=""/>
    <s v=""/>
    <x v="34"/>
    <s v="Paulo Souza"/>
    <x v="43"/>
    <s v=""/>
    <m/>
    <m/>
    <s v=""/>
    <s v=""/>
    <s v=""/>
    <s v=""/>
    <n v="1"/>
  </r>
  <r>
    <x v="0"/>
    <n v="208"/>
    <m/>
    <n v="1673"/>
    <s v=""/>
    <s v=""/>
    <x v="71"/>
    <m/>
    <s v=""/>
    <s v="Giftutil"/>
    <s v=""/>
    <s v=""/>
    <s v="eduardapaivapaula@hotmail.com"/>
    <s v=""/>
    <s v=""/>
    <s v=""/>
    <s v=""/>
    <s v=""/>
    <s v=""/>
    <s v=""/>
    <s v=""/>
    <s v=""/>
    <s v="Pipeline de Vendas"/>
    <s v="Em Fechamento (100%)"/>
    <s v=""/>
    <m/>
    <n v="486308"/>
    <n v="3564"/>
    <n v="0"/>
    <s v="Paulo Souza"/>
    <d v="2025-02-01T00:00:00"/>
    <d v="1899-12-30T02:14:22"/>
    <s v=""/>
    <s v="Ganho"/>
    <d v="2025-02-01T00:00:00"/>
    <d v="1899-12-30T02:18:18"/>
    <s v=""/>
    <s v=""/>
    <s v=""/>
    <x v="25"/>
    <s v="Paulo Souza"/>
    <x v="23"/>
    <s v=""/>
    <m/>
    <m/>
    <s v=""/>
    <s v=""/>
    <s v=""/>
    <s v=""/>
    <n v="1"/>
  </r>
  <r>
    <x v="1"/>
    <n v="209"/>
    <m/>
    <n v="1710"/>
    <s v=""/>
    <s v=""/>
    <x v="72"/>
    <m/>
    <s v=""/>
    <s v="Maxximo Utilidades"/>
    <s v="11999804489"/>
    <s v=""/>
    <s v="flavio@maxximo.com.br"/>
    <s v=""/>
    <s v=""/>
    <s v=""/>
    <s v=""/>
    <s v=""/>
    <s v="Feiras"/>
    <s v=""/>
    <s v=""/>
    <s v=""/>
    <s v="Pipeline de Vendas"/>
    <s v="Apresentar Solução (35%)"/>
    <s v="6x sem juros (0/30/60/90/120/150...)"/>
    <m/>
    <m/>
    <m/>
    <n v="68"/>
    <s v="Junior Lopes"/>
    <d v="2025-02-06T00:00:00"/>
    <d v="1899-12-30T10:24:33"/>
    <s v=""/>
    <s v="Perdido"/>
    <d v="2025-04-15T00:00:00"/>
    <d v="1899-12-30T16:38:15"/>
    <s v="Projeto adiado / sem prazo definido"/>
    <s v="cliente não responde as mensagens, continuarei a prospectar em paralelo"/>
    <s v=""/>
    <x v="0"/>
    <s v=""/>
    <x v="44"/>
    <s v=""/>
    <m/>
    <m/>
    <s v=""/>
    <s v=""/>
    <s v=""/>
    <s v=""/>
    <n v="1"/>
  </r>
  <r>
    <x v="1"/>
    <n v="210"/>
    <m/>
    <n v="1711"/>
    <s v=""/>
    <s v=""/>
    <x v="73"/>
    <n v="12792269000137"/>
    <s v=""/>
    <s v="Plastutti"/>
    <s v="11983334304"/>
    <s v=""/>
    <s v="Thiago@plastutti.com.br"/>
    <s v=""/>
    <s v=""/>
    <s v=""/>
    <s v=""/>
    <s v=""/>
    <s v=""/>
    <s v=""/>
    <s v=""/>
    <s v="Abup2025Fevereiro"/>
    <s v="Pipeline de Vendas"/>
    <s v="Em Fechamento (100%)"/>
    <s v="10x sem juros (0/30/60/90/120/150...)"/>
    <m/>
    <n v="65920"/>
    <n v="481924"/>
    <n v="25"/>
    <s v="Junior Lopes"/>
    <d v="2025-02-06T00:00:00"/>
    <d v="1899-12-30T10:53:24"/>
    <s v=""/>
    <s v="Ganho"/>
    <d v="2025-03-03T00:00:00"/>
    <d v="1899-12-30T11:32:48"/>
    <s v=""/>
    <s v=""/>
    <s v=""/>
    <x v="35"/>
    <s v=""/>
    <x v="44"/>
    <s v="18/02/2025"/>
    <m/>
    <m/>
    <s v=""/>
    <s v=""/>
    <s v=""/>
    <s v=""/>
    <n v="1"/>
  </r>
  <r>
    <x v="1"/>
    <n v="211"/>
    <m/>
    <n v="1712"/>
    <s v=""/>
    <s v=""/>
    <x v="74"/>
    <m/>
    <s v=""/>
    <s v="Plastutti - Clou"/>
    <s v="11983334304"/>
    <s v=""/>
    <s v="Thiago@plastutti.com.br"/>
    <s v=""/>
    <s v=""/>
    <s v=""/>
    <s v=""/>
    <s v=""/>
    <s v=""/>
    <s v=""/>
    <s v=""/>
    <s v="Abup2025Fevereiro"/>
    <s v="Pipeline de Vendas"/>
    <s v="Em Fechamento (100%)"/>
    <s v=""/>
    <m/>
    <n v="1600"/>
    <n v="25908"/>
    <n v="14"/>
    <s v="Junior Lopes"/>
    <d v="2025-02-06T00:00:00"/>
    <d v="1899-12-30T11:39:54"/>
    <s v=""/>
    <s v="Perdido"/>
    <d v="2025-02-20T00:00:00"/>
    <d v="1899-12-30T15:57:59"/>
    <s v="Não quer mudar a solução atual"/>
    <s v="atualmente tem servidor local"/>
    <s v=""/>
    <x v="35"/>
    <s v=""/>
    <x v="44"/>
    <s v="18/02/2025"/>
    <m/>
    <m/>
    <s v=""/>
    <s v=""/>
    <s v=""/>
    <s v=""/>
    <n v="1"/>
  </r>
  <r>
    <x v="1"/>
    <n v="212"/>
    <m/>
    <n v="1713"/>
    <s v=""/>
    <s v=""/>
    <x v="75"/>
    <m/>
    <s v=""/>
    <s v="Cozzillar"/>
    <s v="1935479372"/>
    <s v=""/>
    <s v="gilberto@cozzillar.com.br"/>
    <s v=""/>
    <s v=""/>
    <s v=""/>
    <s v=""/>
    <s v=""/>
    <s v="Feiras"/>
    <s v=""/>
    <s v=""/>
    <s v=""/>
    <s v="Pipeline de Vendas"/>
    <s v="Apresentar Solução (35%)"/>
    <s v="6x sem juros (0/30/60/90/120/150...)"/>
    <m/>
    <m/>
    <m/>
    <n v="60"/>
    <s v="Junior Lopes"/>
    <d v="2025-02-06T00:00:00"/>
    <d v="1899-12-30T12:23:29"/>
    <s v=""/>
    <s v="Perdido"/>
    <d v="2025-04-07T00:00:00"/>
    <d v="1899-12-30T11:50:11"/>
    <s v="Projeto adiado / sem prazo definido"/>
    <s v="10:07, 02/04/2025 Junior Lopes: Olá Gilberto, Junior da Guarani sistemas por aqui _x000a_Espero que esteja bem _x000a_Ficamos de organizar uma visita com vocês para apresentação da solução Guarani sistemas_x000a_10:07, 02/04/2025 Junior Lopes: Vamos avançar?_x000a_09:21, 07/04/2025 Junior Lopes: Olá Gilberto! Infelizmente não consigo seu retorno _x000a_Entendo que deve estar bem corrido para você _x000a_De qualquer forma fico a disposição no momento que vc puder _x000a_Forte abraço e ótimos negócios _x000a_Jr Guarani sistemas"/>
    <s v=""/>
    <x v="0"/>
    <s v=""/>
    <x v="44"/>
    <s v=""/>
    <m/>
    <m/>
    <s v=""/>
    <s v=""/>
    <s v=""/>
    <s v=""/>
    <n v="1"/>
  </r>
  <r>
    <x v="1"/>
    <n v="213"/>
    <m/>
    <n v="1714"/>
    <s v=""/>
    <s v=""/>
    <x v="76"/>
    <m/>
    <s v=""/>
    <s v="Marca Textil"/>
    <s v="1168296999"/>
    <s v=""/>
    <s v="atendimento@markatextil.com.br"/>
    <s v=""/>
    <s v=""/>
    <s v=""/>
    <s v=""/>
    <s v=""/>
    <s v=""/>
    <s v=""/>
    <s v=""/>
    <s v=""/>
    <s v="Pipeline de Vendas"/>
    <s v="Qualificação de Vendas (SQL) (25%)"/>
    <s v=""/>
    <m/>
    <n v="14400"/>
    <n v="18034"/>
    <n v="43"/>
    <s v="Junior Lopes"/>
    <d v="2025-02-06T00:00:00"/>
    <d v="1899-12-30T12:36:48"/>
    <s v=""/>
    <s v="Perdido"/>
    <d v="2025-03-21T00:00:00"/>
    <d v="1899-12-30T14:36:30"/>
    <s v="Não quer mudar a solução atual"/>
    <s v="não seguirá no momento"/>
    <s v=""/>
    <x v="36"/>
    <s v=""/>
    <x v="44"/>
    <s v=""/>
    <m/>
    <m/>
    <s v=""/>
    <s v=""/>
    <s v=""/>
    <s v=""/>
    <n v="1"/>
  </r>
  <r>
    <x v="0"/>
    <n v="214"/>
    <m/>
    <n v="1661"/>
    <s v=""/>
    <s v=""/>
    <x v="77"/>
    <m/>
    <s v=""/>
    <s v="Carlos"/>
    <s v="(13) 99770-3018"/>
    <s v=""/>
    <s v="opa.eskinao.compras@gmail.com"/>
    <s v=""/>
    <s v=""/>
    <s v=""/>
    <s v="São Vicente"/>
    <s v=""/>
    <s v="Site"/>
    <s v=""/>
    <s v=""/>
    <s v=""/>
    <s v="Pipeline de Vendas"/>
    <s v="Em negociação (75%)"/>
    <s v=""/>
    <m/>
    <m/>
    <m/>
    <n v="0"/>
    <s v="Paulo Souza"/>
    <d v="2025-02-06T00:00:00"/>
    <d v="1899-12-30T13:55:00"/>
    <s v=""/>
    <s v="Perdido"/>
    <d v="2025-02-06T00:00:00"/>
    <d v="1899-12-30T17:30:59"/>
    <s v="Preço muito alto - fora do budget de investimento"/>
    <s v=""/>
    <s v=""/>
    <x v="37"/>
    <s v=""/>
    <x v="45"/>
    <s v=""/>
    <m/>
    <m/>
    <s v=""/>
    <s v=""/>
    <s v=""/>
    <s v=""/>
    <n v="1"/>
  </r>
  <r>
    <x v="0"/>
    <n v="215"/>
    <m/>
    <n v="1715"/>
    <s v=""/>
    <s v=""/>
    <x v="78"/>
    <m/>
    <s v=""/>
    <s v="João"/>
    <s v="(11) 94793-3497"/>
    <s v=""/>
    <s v="jvprocacino@gmail.com"/>
    <s v=""/>
    <s v=""/>
    <s v=""/>
    <s v=""/>
    <s v=""/>
    <s v="Site"/>
    <s v=""/>
    <s v=""/>
    <s v="Abcasa2025fevereiro;Solicita demo"/>
    <s v="Pipeline de Vendas"/>
    <s v="Em negociação (75%)"/>
    <s v=""/>
    <m/>
    <n v="43740"/>
    <n v="158239"/>
    <n v="13"/>
    <s v="Paulo Souza"/>
    <d v="2025-02-06T00:00:00"/>
    <d v="1899-12-30T13:55:44"/>
    <s v=""/>
    <s v="Perdido"/>
    <d v="2025-02-19T00:00:00"/>
    <d v="1899-12-30T09:18:02"/>
    <s v="Preço muito alto - fora do budget de investimento"/>
    <s v=""/>
    <s v=""/>
    <x v="38"/>
    <s v=""/>
    <x v="46"/>
    <s v=""/>
    <m/>
    <m/>
    <s v=""/>
    <s v=""/>
    <s v=""/>
    <s v=""/>
    <n v="1"/>
  </r>
  <r>
    <x v="0"/>
    <n v="219"/>
    <m/>
    <n v="1720"/>
    <s v=""/>
    <s v=""/>
    <x v="79"/>
    <m/>
    <s v=""/>
    <s v="Nassib Saleh"/>
    <s v="11951945790"/>
    <s v=""/>
    <s v="nassib.saleh58@gmail.com"/>
    <s v=""/>
    <s v=""/>
    <s v=""/>
    <s v=""/>
    <s v=""/>
    <s v=""/>
    <s v=""/>
    <s v=""/>
    <s v=""/>
    <s v="Pipeline de Vendas"/>
    <s v="Em Fechamento (100%)"/>
    <s v=""/>
    <m/>
    <n v="14400"/>
    <n v="122984"/>
    <n v="8"/>
    <s v="Paulo Souza"/>
    <d v="2025-02-06T00:00:00"/>
    <d v="1899-12-30T17:42:46"/>
    <s v=""/>
    <s v="Ganho"/>
    <d v="2025-02-14T00:00:00"/>
    <d v="1899-12-30T11:16:20"/>
    <s v=""/>
    <s v=""/>
    <s v=""/>
    <x v="39"/>
    <s v="Paulo Souza"/>
    <x v="46"/>
    <s v=""/>
    <m/>
    <m/>
    <s v=""/>
    <s v=""/>
    <s v=""/>
    <s v=""/>
    <n v="1"/>
  </r>
  <r>
    <x v="1"/>
    <n v="230"/>
    <m/>
    <n v="1734"/>
    <s v=""/>
    <s v=""/>
    <x v="80"/>
    <m/>
    <s v=""/>
    <s v="Oikos"/>
    <s v="21968201725"/>
    <s v=""/>
    <s v="michele.pepalia@grupoecoa.com.br"/>
    <s v=""/>
    <s v=""/>
    <s v=""/>
    <s v=""/>
    <s v=""/>
    <s v="Feiras"/>
    <s v=""/>
    <s v=""/>
    <s v="90%;Abcasa2025fevereiro"/>
    <s v="Pipeline de Vendas"/>
    <s v="Em Fechamento (100%)"/>
    <s v="6x sem juros (0/30/60/90/120/150...)"/>
    <m/>
    <n v="56000"/>
    <n v="2101739"/>
    <n v="161"/>
    <s v="Junior Lopes"/>
    <d v="2025-02-10T00:00:00"/>
    <d v="1899-12-30T07:54:34"/>
    <s v=""/>
    <s v="Perdido"/>
    <d v="2025-07-21T00:00:00"/>
    <d v="1899-12-30T09:46:56"/>
    <s v="Projeto adiado / sem prazo definido"/>
    <s v="cliente não responde sobre a continuidade"/>
    <s v=""/>
    <x v="40"/>
    <s v=""/>
    <x v="47"/>
    <s v=""/>
    <m/>
    <m/>
    <s v=""/>
    <s v=""/>
    <s v=""/>
    <s v=""/>
    <n v="1"/>
  </r>
  <r>
    <x v="0"/>
    <n v="231"/>
    <m/>
    <n v="1733"/>
    <s v="Todos os dados preenchidos:_x000a_name: Ana Beatriz Costa dos Santos  _x000a_phone: 12997420947 _x000a_email: administrativo@camposdiaromas.com"/>
    <s v="Stefanie Forsterling"/>
    <x v="81"/>
    <n v="14936505000258"/>
    <s v=""/>
    <s v="Ana Beatriz Costa dos Santos"/>
    <s v="(12) 3662-5043"/>
    <s v=""/>
    <s v="administrativo@camposdiaromas.com"/>
    <s v=""/>
    <s v=""/>
    <s v=""/>
    <s v="CAMPOS DO JORDAO"/>
    <s v="SP"/>
    <s v="Feiras"/>
    <s v=""/>
    <s v=""/>
    <s v="Feiras"/>
    <s v="Pipeline de Vendas"/>
    <s v="Qualificação de Vendas (SQL) (25%)"/>
    <s v=""/>
    <m/>
    <m/>
    <m/>
    <n v="38"/>
    <s v="Fernanda Santiago"/>
    <d v="2025-02-11T00:00:00"/>
    <d v="1899-12-30T15:36:50"/>
    <s v=""/>
    <s v="Perdido"/>
    <d v="2025-03-21T00:00:00"/>
    <d v="1899-12-30T15:15:41"/>
    <s v="Fora do porte mínimo (sem fite estrutural)"/>
    <s v="Lojas muitos pequenas"/>
    <s v="11/02/2025 15:30"/>
    <x v="0"/>
    <s v="Fernanda Santiago"/>
    <x v="48"/>
    <s v=""/>
    <m/>
    <m/>
    <s v=""/>
    <s v=""/>
    <s v=""/>
    <s v=""/>
    <n v="1"/>
  </r>
  <r>
    <x v="0"/>
    <n v="232"/>
    <m/>
    <n v="1704"/>
    <s v=""/>
    <s v=""/>
    <x v="82"/>
    <n v="29432229000187"/>
    <s v=""/>
    <s v="Adriana"/>
    <s v="(41) 99861-1071"/>
    <s v=""/>
    <s v="contato@euromats.com.br"/>
    <s v=""/>
    <s v=""/>
    <s v=""/>
    <s v=""/>
    <s v=""/>
    <s v="Base de empresas Leads2b"/>
    <s v=""/>
    <s v=""/>
    <s v="msgabupfevereiro2025;REP+"/>
    <s v="Pipeline de Vendas"/>
    <s v="Qualificação de Vendas (SQL) (25%)"/>
    <s v=""/>
    <m/>
    <m/>
    <m/>
    <n v="42"/>
    <s v="Fernanda Santiago"/>
    <d v="2025-02-12T00:00:00"/>
    <d v="1899-12-30T10:51:17"/>
    <s v=""/>
    <s v="Perdido"/>
    <d v="2025-03-26T00:00:00"/>
    <d v="1899-12-30T17:34:58"/>
    <s v="Preço muito alto - fora do budget de investimento"/>
    <s v=""/>
    <s v="12/02/2025 08:00"/>
    <x v="0"/>
    <s v="Fernanda Santiago"/>
    <x v="49"/>
    <s v=""/>
    <m/>
    <m/>
    <s v=""/>
    <s v=""/>
    <s v=""/>
    <s v=""/>
    <n v="1"/>
  </r>
  <r>
    <x v="1"/>
    <n v="233"/>
    <m/>
    <n v="1747"/>
    <s v=""/>
    <s v=""/>
    <x v="83"/>
    <m/>
    <s v=""/>
    <s v="Ad &amp; Ad Comercio de Importacao"/>
    <s v="14996930353"/>
    <s v=""/>
    <s v="daniel@adimportacao.com.br"/>
    <s v=""/>
    <s v=""/>
    <s v=""/>
    <s v=""/>
    <s v=""/>
    <s v=""/>
    <s v=""/>
    <s v=""/>
    <s v="Abcasa2025fevereiro"/>
    <s v="Pipeline de Vendas"/>
    <s v="Em Fechamento (100%)"/>
    <s v=""/>
    <m/>
    <n v="60534"/>
    <n v="27562"/>
    <n v="18"/>
    <s v="Junior Lopes"/>
    <d v="2025-02-13T00:00:00"/>
    <d v="1899-12-30T10:18:19"/>
    <s v=""/>
    <s v="Ganho"/>
    <d v="2025-03-03T00:00:00"/>
    <d v="1899-12-30T11:33:34"/>
    <s v=""/>
    <s v=""/>
    <s v=""/>
    <x v="41"/>
    <s v=""/>
    <x v="47"/>
    <s v=""/>
    <m/>
    <m/>
    <s v=""/>
    <s v=""/>
    <s v=""/>
    <s v=""/>
    <n v="1"/>
  </r>
  <r>
    <x v="1"/>
    <n v="234"/>
    <m/>
    <n v="1748"/>
    <s v=""/>
    <s v=""/>
    <x v="84"/>
    <n v="26981837000152"/>
    <s v=""/>
    <s v="Chamma Festas (PDV)"/>
    <s v="(61) 9145-0480"/>
    <s v=""/>
    <s v="chammasuprimentos@hotmail.com"/>
    <s v=""/>
    <s v=""/>
    <s v=""/>
    <s v="BRASILIA"/>
    <s v="DF"/>
    <s v=""/>
    <s v=""/>
    <s v=""/>
    <s v="Abcasa2025fevereiro"/>
    <s v="Pipeline de Vendas"/>
    <s v="Apresentar Proposta (50%)"/>
    <s v=""/>
    <m/>
    <n v="40440"/>
    <n v="340574"/>
    <n v="11"/>
    <s v="Junior Lopes"/>
    <d v="2025-02-13T00:00:00"/>
    <d v="1899-12-30T10:49:31"/>
    <s v=""/>
    <s v="Perdido"/>
    <d v="2025-02-24T00:00:00"/>
    <d v="1899-12-30T16:44:24"/>
    <s v="Preço muito alto - fora do budget de investimento"/>
    <s v="14:59, 14/02/2025 Robson Chamma Festa: Obrigado júnior_x000a_14:59, 17/02/2025 Robson Chamma Festa: Oi Junior, ficou bem fora do nosso orçamento. No momento não vamos levar adiante. Fico grato pela sua atenção."/>
    <s v=""/>
    <x v="41"/>
    <s v=""/>
    <x v="50"/>
    <s v=""/>
    <m/>
    <m/>
    <s v=""/>
    <s v=""/>
    <s v=""/>
    <s v=""/>
    <n v="1"/>
  </r>
  <r>
    <x v="1"/>
    <n v="235"/>
    <m/>
    <n v="1750"/>
    <s v=""/>
    <s v=""/>
    <x v="85"/>
    <n v="43530585000164"/>
    <s v=""/>
    <s v="P10 Importadora"/>
    <s v="(49) 8817-6299"/>
    <s v=""/>
    <s v="prioridade10e20financeiro@hotmail.com"/>
    <s v=""/>
    <s v=""/>
    <s v=""/>
    <s v="CUNHA PORA"/>
    <s v="SC"/>
    <s v=""/>
    <s v=""/>
    <s v=""/>
    <s v="Abcasa2025fevereiro"/>
    <s v="Pipeline de Vendas"/>
    <s v="Apresentar Proposta (50%)"/>
    <s v=""/>
    <m/>
    <n v="4663152"/>
    <n v="15528"/>
    <n v="11"/>
    <s v="Junior Lopes"/>
    <d v="2025-02-13T00:00:00"/>
    <d v="1899-12-30T11:07:42"/>
    <s v=""/>
    <s v="Perdido"/>
    <d v="2025-02-24T00:00:00"/>
    <d v="1899-12-30T17:13:56"/>
    <s v="Preço muito alto - fora do budget de investimento"/>
    <s v="Bom dia_x000a_Junior, achei o sistema completo, não foge do que outras empresas proporcionam no mercado… no entanto, achei o valor de implantação muito elevado, da próximo de 80 mil reais pra fazer a implantação de um sistema"/>
    <s v=""/>
    <x v="42"/>
    <s v=""/>
    <x v="50"/>
    <s v=""/>
    <m/>
    <m/>
    <s v=""/>
    <s v=""/>
    <s v=""/>
    <s v=""/>
    <n v="1"/>
  </r>
  <r>
    <x v="1"/>
    <n v="236"/>
    <m/>
    <n v="1754"/>
    <s v=""/>
    <s v=""/>
    <x v="86"/>
    <n v="43530585000164"/>
    <s v=""/>
    <s v="P10 IMPORTADORA"/>
    <s v="(49) 8817-6299"/>
    <s v=""/>
    <s v="prioridade10e20financeiro@hotmail.com"/>
    <s v=""/>
    <s v=""/>
    <s v=""/>
    <s v="CUNHA PORA"/>
    <s v="SC"/>
    <s v=""/>
    <s v=""/>
    <s v=""/>
    <s v="Abcasa2025fevereiro"/>
    <s v="Pipeline de Vendas"/>
    <s v="Apresentar Proposta (50%)"/>
    <s v=""/>
    <m/>
    <n v="23580"/>
    <n v="3060"/>
    <n v="11"/>
    <s v="Junior Lopes"/>
    <d v="2025-02-13T00:00:00"/>
    <d v="1899-12-30T11:14:38"/>
    <s v=""/>
    <s v="Perdido"/>
    <d v="2025-02-24T00:00:00"/>
    <d v="1899-12-30T17:14:25"/>
    <s v="Preço muito alto - fora do budget de investimento"/>
    <s v="Bom dia_x000a_Junior, achei o sistema completo, não foge do que outras empresas proporcionam no mercado… no entanto, achei o valor de implantação muito elevado, da próximo de 80 mil reais pra fazer a implantação de um sistema"/>
    <s v=""/>
    <x v="42"/>
    <s v=""/>
    <x v="50"/>
    <s v=""/>
    <m/>
    <m/>
    <s v=""/>
    <s v=""/>
    <s v=""/>
    <s v=""/>
    <n v="1"/>
  </r>
  <r>
    <x v="1"/>
    <n v="237"/>
    <m/>
    <n v="1758"/>
    <s v=""/>
    <s v=""/>
    <x v="87"/>
    <n v="12182313000197"/>
    <s v=""/>
    <s v="PLASBERG INDUSTRIA E COMERCIO"/>
    <s v="(75) 2102-2102 / (75) 2101-2101"/>
    <s v=""/>
    <s v="cadastro@asseplan.cnt.br"/>
    <s v=""/>
    <s v=""/>
    <s v=""/>
    <s v="Feira de Santana"/>
    <s v="BA"/>
    <s v="Feiras"/>
    <s v=""/>
    <s v=""/>
    <s v="Abcasa2025fevereiro"/>
    <s v="Pipeline de Vendas"/>
    <s v="Apresentar Proposta (50%)"/>
    <s v="6x sem juros (0/30/60/90/120/150...)"/>
    <m/>
    <n v="85500"/>
    <n v="769354"/>
    <n v="62"/>
    <s v="Junior Lopes"/>
    <d v="2025-02-13T00:00:00"/>
    <d v="1899-12-30T11:27:23"/>
    <s v=""/>
    <s v="Perdido"/>
    <d v="2025-04-16T00:00:00"/>
    <d v="1899-12-30T09:27:55"/>
    <s v="Projeto adiado / sem prazo definido"/>
    <s v="Breno não responde as mensagens ! estou fechando oportunidade mas continuo em busca da oportunidade"/>
    <s v=""/>
    <x v="43"/>
    <s v=""/>
    <x v="47"/>
    <s v=""/>
    <m/>
    <m/>
    <s v=""/>
    <s v=""/>
    <s v=""/>
    <s v=""/>
    <n v="1"/>
  </r>
  <r>
    <x v="0"/>
    <n v="242"/>
    <m/>
    <n v="1746"/>
    <s v=""/>
    <s v=""/>
    <x v="88"/>
    <n v="865166000170"/>
    <s v=""/>
    <s v="Renor Preto"/>
    <s v="(19) 99188-1436"/>
    <s v=""/>
    <s v="renor.preto@adere.com"/>
    <s v=""/>
    <s v=""/>
    <s v=""/>
    <s v="Juiz de Fora"/>
    <s v=""/>
    <s v="Site"/>
    <s v=""/>
    <s v=""/>
    <s v="MORNO;Solicita demo"/>
    <s v="Pipeline de Vendas"/>
    <s v="Em negociação (75%)"/>
    <s v=""/>
    <m/>
    <m/>
    <m/>
    <n v="25"/>
    <s v="Paulo Souza"/>
    <d v="2025-02-13T00:00:00"/>
    <d v="1899-12-30T17:39:49"/>
    <s v=""/>
    <s v="Perdido"/>
    <d v="2025-03-10T00:00:00"/>
    <d v="1899-12-30T17:37:28"/>
    <s v="Nossa solução não atende - falta funcionalidade"/>
    <s v=""/>
    <s v=""/>
    <x v="0"/>
    <s v="Paulo Souza"/>
    <x v="51"/>
    <s v=""/>
    <m/>
    <m/>
    <s v=""/>
    <s v=""/>
    <s v=""/>
    <s v=""/>
    <n v="1"/>
  </r>
  <r>
    <x v="0"/>
    <n v="245"/>
    <m/>
    <n v="1763"/>
    <s v=""/>
    <s v=""/>
    <x v="89"/>
    <n v="30164963000191"/>
    <s v=""/>
    <s v="FERNANDA ALVES"/>
    <s v="(11) 99763-3759"/>
    <s v=""/>
    <s v="fernanda@jlkplasticos.com.br"/>
    <s v=""/>
    <s v=""/>
    <s v=""/>
    <s v="São Paulo"/>
    <s v=""/>
    <s v="Site"/>
    <s v=""/>
    <s v=""/>
    <s v="Abcasa2025fevereiro;Solicita demo"/>
    <s v="Pipeline de Vendas"/>
    <s v="Em Fechamento (100%)"/>
    <s v=""/>
    <m/>
    <n v="46332"/>
    <n v="257546"/>
    <n v="35"/>
    <s v="Paulo Souza"/>
    <d v="2025-02-14T00:00:00"/>
    <d v="1899-12-30T11:03:12"/>
    <s v=""/>
    <s v="Ganho"/>
    <d v="2025-03-21T00:00:00"/>
    <d v="1899-12-30T14:50:46"/>
    <s v=""/>
    <s v=""/>
    <s v=""/>
    <x v="44"/>
    <s v="Paulo Souza"/>
    <x v="51"/>
    <s v=""/>
    <m/>
    <m/>
    <s v=""/>
    <s v=""/>
    <s v=""/>
    <s v=""/>
    <n v="1"/>
  </r>
  <r>
    <x v="0"/>
    <n v="246"/>
    <m/>
    <n v="1768"/>
    <s v=""/>
    <s v=""/>
    <x v="90"/>
    <m/>
    <s v=""/>
    <s v="Nacib"/>
    <s v="11951945790"/>
    <s v=""/>
    <s v="nassib.saleh58@gmail.com"/>
    <s v=""/>
    <s v=""/>
    <s v=""/>
    <s v=""/>
    <s v=""/>
    <s v=""/>
    <s v=""/>
    <s v=""/>
    <s v=""/>
    <s v="Pipeline de Vendas"/>
    <s v="Em Fechamento (100%)"/>
    <s v=""/>
    <m/>
    <n v="0"/>
    <n v="3062"/>
    <n v="0"/>
    <s v="Paulo Souza"/>
    <d v="2025-02-14T00:00:00"/>
    <d v="1899-12-30T11:22:59"/>
    <s v=""/>
    <s v="Ganho"/>
    <d v="2025-02-14T00:00:00"/>
    <d v="1899-12-30T11:27:19"/>
    <s v=""/>
    <s v=""/>
    <s v=""/>
    <x v="41"/>
    <s v="Paulo Souza"/>
    <x v="52"/>
    <s v=""/>
    <m/>
    <m/>
    <s v=""/>
    <s v=""/>
    <s v=""/>
    <s v=""/>
    <n v="1"/>
  </r>
  <r>
    <x v="0"/>
    <n v="248"/>
    <m/>
    <n v="1770"/>
    <s v=""/>
    <s v=""/>
    <x v="91"/>
    <m/>
    <s v=""/>
    <s v="Caetano"/>
    <s v="11941743784"/>
    <s v=""/>
    <s v="aflordk@gmail.com"/>
    <s v=""/>
    <s v=""/>
    <s v=""/>
    <s v=""/>
    <s v=""/>
    <s v="Feiras"/>
    <s v=""/>
    <s v=""/>
    <s v="Abcasa2025fevereiro"/>
    <s v="Pipeline de Vendas"/>
    <s v="Em negociação (75%)"/>
    <s v="6x sem juros (0/30/60/90/120/150...)"/>
    <m/>
    <n v="64600"/>
    <n v="199064"/>
    <n v="53"/>
    <s v="Paulo Souza"/>
    <d v="2025-02-14T00:00:00"/>
    <d v="1899-12-30T16:18:04"/>
    <s v=""/>
    <s v="Perdido"/>
    <d v="2025-04-08T00:00:00"/>
    <d v="1899-12-30T09:04:24"/>
    <s v="Não quer mudar a solução atual"/>
    <s v=""/>
    <s v=""/>
    <x v="42"/>
    <s v=""/>
    <x v="52"/>
    <s v=""/>
    <m/>
    <m/>
    <s v=""/>
    <s v=""/>
    <s v=""/>
    <s v=""/>
    <n v="1"/>
  </r>
  <r>
    <x v="0"/>
    <n v="249"/>
    <m/>
    <n v="1771"/>
    <s v=""/>
    <s v=""/>
    <x v="92"/>
    <m/>
    <s v=""/>
    <s v="Keila"/>
    <s v="11996600206"/>
    <s v=""/>
    <s v="null"/>
    <s v=""/>
    <s v=""/>
    <s v=""/>
    <s v=""/>
    <s v=""/>
    <s v="Indicação"/>
    <s v=""/>
    <s v=""/>
    <s v="Abcasa2025fevereiro"/>
    <s v="Pipeline de Vendas"/>
    <s v="Em negociação (75%)"/>
    <s v="6x sem juros (0/30/60/90/120/150...)"/>
    <m/>
    <n v="16000"/>
    <n v="3724"/>
    <n v="116"/>
    <s v="Paulo Souza"/>
    <d v="2025-02-14T00:00:00"/>
    <d v="1899-12-30T16:24:00"/>
    <s v=""/>
    <s v="Perdido"/>
    <d v="2025-06-10T00:00:00"/>
    <d v="1899-12-30T14:49:46"/>
    <s v="Não quer mudar a solução atual"/>
    <s v=""/>
    <s v=""/>
    <x v="45"/>
    <s v="Paulo Souza"/>
    <x v="53"/>
    <s v=""/>
    <m/>
    <m/>
    <s v=""/>
    <s v=""/>
    <s v=""/>
    <s v=""/>
    <n v="1"/>
  </r>
  <r>
    <x v="0"/>
    <n v="250"/>
    <m/>
    <n v="1772"/>
    <s v=""/>
    <s v=""/>
    <x v="93"/>
    <m/>
    <s v=""/>
    <s v="Fabio"/>
    <s v="11981721166"/>
    <s v=""/>
    <s v="null"/>
    <s v=""/>
    <s v=""/>
    <s v=""/>
    <s v=""/>
    <s v=""/>
    <s v="Feiras"/>
    <s v=""/>
    <s v=""/>
    <s v="30%;Abcasa2025fevereiro;Pausado"/>
    <s v="Pipeline de Vendas"/>
    <s v="Apresentar Solução (35%)"/>
    <s v="6x sem juros (0/30/60/90/120/150...)"/>
    <d v="2028-07-01T00:00:00"/>
    <m/>
    <m/>
    <n v="208"/>
    <s v="Paulo Souza"/>
    <d v="2025-02-14T00:00:00"/>
    <d v="1899-12-30T16:27:14"/>
    <s v=""/>
    <s v="Perdido"/>
    <d v="2025-09-10T00:00:00"/>
    <d v="1899-12-30T16:11:00"/>
    <s v="Projeto adiado / sem prazo definido"/>
    <s v=""/>
    <s v=""/>
    <x v="0"/>
    <s v="Paulo Souza"/>
    <x v="54"/>
    <s v=""/>
    <m/>
    <m/>
    <s v=""/>
    <s v=""/>
    <s v=""/>
    <s v=""/>
    <n v="1"/>
  </r>
  <r>
    <x v="0"/>
    <n v="253"/>
    <m/>
    <n v="1776"/>
    <s v=""/>
    <s v=""/>
    <x v="94"/>
    <m/>
    <s v=""/>
    <s v="Guga"/>
    <s v="31984513164"/>
    <s v=""/>
    <s v="null"/>
    <s v=""/>
    <s v=""/>
    <s v=""/>
    <s v=""/>
    <s v=""/>
    <s v="Feiras"/>
    <s v=""/>
    <s v=""/>
    <s v="Abcasa2025fevereiro;Pausado"/>
    <s v="Pipeline de Vendas"/>
    <s v="Em negociação (75%)"/>
    <s v="6x sem juros (0/30/60/90/120/150...)"/>
    <d v="2026-01-15T00:00:00"/>
    <n v="48000"/>
    <n v="1690959"/>
    <n v="299"/>
    <s v="Paulo Souza"/>
    <d v="2025-02-14T00:00:00"/>
    <d v="1899-12-30T17:28:04"/>
    <s v=""/>
    <s v="Perdido"/>
    <d v="2025-12-10T00:00:00"/>
    <d v="1899-12-30T17:09:31"/>
    <s v="Não quer mudar a solução atual"/>
    <s v=""/>
    <s v=""/>
    <x v="46"/>
    <s v="Paulo Souza"/>
    <x v="51"/>
    <s v=""/>
    <m/>
    <m/>
    <s v=""/>
    <s v=""/>
    <s v=""/>
    <s v=""/>
    <n v="1"/>
  </r>
  <r>
    <x v="0"/>
    <n v="254"/>
    <m/>
    <n v="1777"/>
    <s v=""/>
    <s v=""/>
    <x v="95"/>
    <m/>
    <s v=""/>
    <s v="Emilio"/>
    <s v="11947392525"/>
    <s v=""/>
    <s v="null"/>
    <s v=""/>
    <s v=""/>
    <s v=""/>
    <s v=""/>
    <s v=""/>
    <s v="Feiras"/>
    <s v=""/>
    <s v=""/>
    <s v="Abcasa2025fevereiro"/>
    <s v="Pipeline de Vendas"/>
    <s v="Qualificação de Vendas (SQL) (25%)"/>
    <s v="6x sem juros (0/30/60/90/120/150...)"/>
    <m/>
    <m/>
    <m/>
    <n v="40"/>
    <s v="Paulo Souza"/>
    <d v="2025-02-14T00:00:00"/>
    <d v="1899-12-30T17:35:16"/>
    <s v=""/>
    <s v="Perdido"/>
    <d v="2025-03-26T00:00:00"/>
    <d v="1899-12-30T17:30:46"/>
    <s v="Fora do porte mínimo (sem fit estrutural)"/>
    <s v=""/>
    <s v=""/>
    <x v="0"/>
    <s v=""/>
    <x v="51"/>
    <s v=""/>
    <m/>
    <m/>
    <s v=""/>
    <s v=""/>
    <s v=""/>
    <s v=""/>
    <n v="1"/>
  </r>
  <r>
    <x v="0"/>
    <n v="255"/>
    <m/>
    <n v="1778"/>
    <s v=""/>
    <s v=""/>
    <x v="96"/>
    <m/>
    <s v=""/>
    <s v="Tiago - Diretor da Empresa"/>
    <s v="54981340574"/>
    <s v=""/>
    <s v="null"/>
    <s v=""/>
    <s v=""/>
    <s v=""/>
    <s v=""/>
    <s v=""/>
    <s v="Feiras"/>
    <s v=""/>
    <s v=""/>
    <s v="Abcasa2025fevereiro"/>
    <s v="Pipeline de Vendas"/>
    <s v="Qualificação de Vendas (SQL) (25%)"/>
    <s v="6x sem juros (0/30/60/90/120/150...)"/>
    <m/>
    <m/>
    <m/>
    <n v="116"/>
    <s v="Paulo Souza"/>
    <d v="2025-02-14T00:00:00"/>
    <d v="1899-12-30T17:37:06"/>
    <s v=""/>
    <s v="Perdido"/>
    <d v="2025-06-10T00:00:00"/>
    <d v="1899-12-30T14:50:38"/>
    <s v="Projeto adiado / sem prazo definido"/>
    <s v=""/>
    <s v=""/>
    <x v="0"/>
    <s v=""/>
    <x v="54"/>
    <s v=""/>
    <m/>
    <m/>
    <s v=""/>
    <s v=""/>
    <s v=""/>
    <s v=""/>
    <n v="1"/>
  </r>
  <r>
    <x v="0"/>
    <n v="256"/>
    <m/>
    <n v="1781"/>
    <s v=""/>
    <s v=""/>
    <x v="97"/>
    <m/>
    <s v=""/>
    <s v="Wanessa"/>
    <s v="38998346343"/>
    <s v=""/>
    <s v="rh@xododeminasmoc.com.br"/>
    <s v=""/>
    <s v=""/>
    <s v=""/>
    <s v=""/>
    <s v=""/>
    <s v="Indicação"/>
    <s v=""/>
    <s v=""/>
    <s v=""/>
    <s v="Pipeline de Vendas"/>
    <s v="Apresentar Solução (35%)"/>
    <s v="6x sem juros (0/30/60/90/120/150...)"/>
    <m/>
    <m/>
    <m/>
    <n v="37"/>
    <s v="Paulo Souza"/>
    <d v="2025-02-17T00:00:00"/>
    <d v="1899-12-30T12:20:30"/>
    <s v=""/>
    <s v="Perdido"/>
    <d v="2025-03-26T00:00:00"/>
    <d v="1899-12-30T17:36:27"/>
    <s v="Não quer mudar a solução atual"/>
    <s v=""/>
    <s v=""/>
    <x v="47"/>
    <s v="Paulo Souza"/>
    <x v="54"/>
    <s v=""/>
    <m/>
    <m/>
    <s v=""/>
    <s v=""/>
    <s v=""/>
    <s v=""/>
    <n v="1"/>
  </r>
  <r>
    <x v="0"/>
    <n v="257"/>
    <m/>
    <n v="1780"/>
    <s v=""/>
    <s v=""/>
    <x v="98"/>
    <m/>
    <s v=""/>
    <s v="Waldemar"/>
    <s v="(43) 99141-6611"/>
    <s v=""/>
    <s v="ti@gelonisorvetes.com.br"/>
    <s v=""/>
    <s v=""/>
    <s v=""/>
    <s v="Flórida"/>
    <s v=""/>
    <s v="Site"/>
    <s v=""/>
    <s v=""/>
    <s v="Abcasa2025fevereiro;Contato;GELADO"/>
    <s v="Pipeline de Vendas"/>
    <s v="Em negociação (75%)"/>
    <s v="6x sem juros (0/30/60/90/120/150...)"/>
    <m/>
    <n v="1234935"/>
    <n v="833725"/>
    <n v="113"/>
    <s v="Paulo Souza"/>
    <d v="2025-02-17T00:00:00"/>
    <d v="1899-12-30T12:55:36"/>
    <s v=""/>
    <s v="Perdido"/>
    <d v="2025-06-10T00:00:00"/>
    <d v="1899-12-30T14:38:18"/>
    <s v="Fechou com o concorrente - preço"/>
    <s v=""/>
    <s v=""/>
    <x v="47"/>
    <s v="Paulo Souza"/>
    <x v="54"/>
    <s v=""/>
    <m/>
    <m/>
    <s v=""/>
    <s v=""/>
    <s v=""/>
    <s v=""/>
    <n v="1"/>
  </r>
  <r>
    <x v="0"/>
    <n v="258"/>
    <m/>
    <n v="1782"/>
    <s v=""/>
    <s v=""/>
    <x v="99"/>
    <m/>
    <s v=""/>
    <s v="Elton"/>
    <s v="73999081706"/>
    <s v=""/>
    <s v="frutyba.rh@hotmail.com"/>
    <s v=""/>
    <s v=""/>
    <s v=""/>
    <s v=""/>
    <s v=""/>
    <s v=""/>
    <s v=""/>
    <s v=""/>
    <s v="Abcasa2025fevereiro"/>
    <s v="Pipeline de Vendas"/>
    <s v="Em negociação (75%)"/>
    <s v=""/>
    <m/>
    <m/>
    <m/>
    <n v="21"/>
    <s v="Paulo Souza"/>
    <d v="2025-02-17T00:00:00"/>
    <d v="1899-12-30T12:57:36"/>
    <s v=""/>
    <s v="Perdido"/>
    <d v="2025-03-10T00:00:00"/>
    <d v="1899-12-30T17:40:22"/>
    <s v="Preço muito alto - fora do budget de investimento"/>
    <s v=""/>
    <s v=""/>
    <x v="47"/>
    <s v="Paulo Souza"/>
    <x v="54"/>
    <s v=""/>
    <m/>
    <m/>
    <s v=""/>
    <s v=""/>
    <s v=""/>
    <s v=""/>
    <n v="1"/>
  </r>
  <r>
    <x v="0"/>
    <n v="259"/>
    <m/>
    <n v="1783"/>
    <s v=""/>
    <s v=""/>
    <x v="100"/>
    <m/>
    <s v=""/>
    <s v="Jose e Felipe"/>
    <s v="11997681796"/>
    <s v=""/>
    <s v="null"/>
    <s v=""/>
    <s v=""/>
    <s v=""/>
    <s v=""/>
    <s v=""/>
    <s v="Feiras"/>
    <s v=""/>
    <s v=""/>
    <s v="Abup2025Fevereiro;Pausado"/>
    <s v="Pipeline de Vendas"/>
    <s v="Qualificação de Vendas (SQL) (25%)"/>
    <s v="6x sem juros (0/30/60/90/120/150...)"/>
    <m/>
    <m/>
    <m/>
    <n v="75"/>
    <s v="Paulo Souza"/>
    <d v="2025-02-17T00:00:00"/>
    <d v="1899-12-30T13:19:01"/>
    <s v=""/>
    <s v="Perdido"/>
    <d v="2025-05-03T00:00:00"/>
    <d v="1899-12-30T11:01:03"/>
    <s v="Projeto adiado / sem prazo definido"/>
    <s v=""/>
    <s v=""/>
    <x v="0"/>
    <s v="Paulo Souza"/>
    <x v="55"/>
    <s v=""/>
    <m/>
    <m/>
    <s v=""/>
    <s v=""/>
    <s v=""/>
    <s v=""/>
    <n v="1"/>
  </r>
  <r>
    <x v="0"/>
    <n v="260"/>
    <m/>
    <n v="1785"/>
    <s v=""/>
    <s v=""/>
    <x v="101"/>
    <m/>
    <s v=""/>
    <s v="Luis Felips"/>
    <s v="11964237222"/>
    <s v=""/>
    <s v="null"/>
    <s v=""/>
    <s v=""/>
    <s v=""/>
    <s v=""/>
    <s v=""/>
    <s v="Feiras"/>
    <s v=""/>
    <s v=""/>
    <s v="Abup2025Fevereiro"/>
    <s v="Pipeline de Vendas"/>
    <s v="Qualificação de Vendas (SQL) (25%)"/>
    <s v="6x sem juros (0/30/60/90/120/150...)"/>
    <m/>
    <m/>
    <m/>
    <n v="37"/>
    <s v="Paulo Souza"/>
    <d v="2025-02-17T00:00:00"/>
    <d v="1899-12-30T13:24:02"/>
    <s v=""/>
    <s v="Perdido"/>
    <d v="2025-03-26T00:00:00"/>
    <d v="1899-12-30T17:33:35"/>
    <s v="Preço muito alto - fora do budget de investimento"/>
    <s v=""/>
    <s v=""/>
    <x v="0"/>
    <s v="Paulo Souza"/>
    <x v="55"/>
    <s v=""/>
    <m/>
    <m/>
    <s v=""/>
    <s v=""/>
    <s v=""/>
    <s v=""/>
    <n v="1"/>
  </r>
  <r>
    <x v="1"/>
    <n v="261"/>
    <m/>
    <n v="1786"/>
    <s v=""/>
    <s v=""/>
    <x v="102"/>
    <m/>
    <s v=""/>
    <s v="Prioridade 10"/>
    <s v="49991999161"/>
    <s v=""/>
    <s v="prioridade10e20financeiro@hotmail.com"/>
    <s v=""/>
    <s v=""/>
    <s v=""/>
    <s v=""/>
    <s v=""/>
    <s v=""/>
    <s v=""/>
    <s v=""/>
    <s v="Abcasa2025fevereiro"/>
    <s v="Pipeline de Vendas"/>
    <s v="Apresentar Proposta (50%)"/>
    <s v=""/>
    <m/>
    <n v="1600"/>
    <n v="2101"/>
    <n v="7"/>
    <s v="Junior Lopes"/>
    <d v="2025-02-17T00:00:00"/>
    <d v="1899-12-30T14:58:43"/>
    <s v=""/>
    <s v="Perdido"/>
    <d v="2025-02-24T00:00:00"/>
    <d v="1899-12-30T17:14:55"/>
    <s v="Preço muito alto - fora do budget de investimento"/>
    <s v="Bom dia_x000a_Junior, achei o sistema completo, não foge do que outras empresas proporcionam no mercado… no entanto, achei o valor de implantação muito elevado, da próximo de 80 mil reais pra fazer a implantação de um sistema"/>
    <s v=""/>
    <x v="42"/>
    <s v=""/>
    <x v="50"/>
    <s v=""/>
    <m/>
    <m/>
    <s v=""/>
    <s v=""/>
    <s v=""/>
    <s v=""/>
    <n v="1"/>
  </r>
  <r>
    <x v="0"/>
    <n v="263"/>
    <m/>
    <n v="1790"/>
    <s v="Falei com a Suzana sobre a sequencia do projeto. Ela esta de férias e retorna na semana do dia 12/01e vamos retomar. _x000a_Ligar para Susana no dia 14/01._x000a_23/01 Fiz FUP com a Susana que estava de férias e retornou hoje. Combinamos de eu Enviar para ela o form para ela preencher e após fazer a proposta ._x000a_17/02 Por falta de interação e interesse, estou declinando o lead."/>
    <s v=""/>
    <x v="103"/>
    <m/>
    <s v=""/>
    <s v="Suzana"/>
    <s v="11914779683"/>
    <s v=""/>
    <s v="null"/>
    <s v=""/>
    <s v=""/>
    <s v=""/>
    <s v=""/>
    <s v=""/>
    <s v="Outbound"/>
    <s v=""/>
    <s v=""/>
    <s v="50%"/>
    <s v="Pipeline de Vendas"/>
    <s v="Apresentar Proposta (50%)"/>
    <s v="6x sem juros (0/30/60/90/120/150...)"/>
    <d v="2026-01-31T00:00:00"/>
    <m/>
    <m/>
    <n v="364"/>
    <s v="Paulo Souza"/>
    <d v="2025-02-18T00:00:00"/>
    <d v="1899-12-30T10:00:38"/>
    <s v=""/>
    <s v="Perdido"/>
    <d v="2026-02-17T00:00:00"/>
    <d v="1899-12-30T14:29:08"/>
    <s v="Projeto adiado / sem prazo definido"/>
    <s v="17/02 Por falta de interação e interesse, estou declinando o lead."/>
    <s v=""/>
    <x v="48"/>
    <s v="Paulo Souza"/>
    <x v="56"/>
    <s v="21/11/2025"/>
    <d v="2026-01-23T00:00:00"/>
    <n v="50"/>
    <s v=""/>
    <s v=""/>
    <s v=""/>
    <s v=""/>
    <n v="1"/>
  </r>
  <r>
    <x v="1"/>
    <n v="266"/>
    <m/>
    <n v="1866"/>
    <s v=""/>
    <s v=""/>
    <x v="104"/>
    <n v="8652421000109"/>
    <s v=""/>
    <s v="Berenardi &amp; Bernardi"/>
    <s v="(55) 3744-6412 / (55) 3744-3600"/>
    <s v=""/>
    <s v="pedidos@suifarma.com.br"/>
    <s v=""/>
    <s v=""/>
    <s v=""/>
    <s v="FREDERICO WESTPHALEN"/>
    <s v="RS"/>
    <s v=""/>
    <s v=""/>
    <s v=""/>
    <s v=""/>
    <s v="Pipeline de Vendas"/>
    <s v="Qualificação de Vendas (SQL) (25%)"/>
    <s v=""/>
    <m/>
    <n v="14400"/>
    <n v="18034"/>
    <n v="30"/>
    <s v="Junior Lopes"/>
    <d v="2025-02-19T00:00:00"/>
    <d v="1899-12-30T17:02:21"/>
    <s v=""/>
    <s v="Perdido"/>
    <d v="2025-03-21T00:00:00"/>
    <d v="1899-12-30T14:43:49"/>
    <s v="Não quer mudar a solução atual"/>
    <s v="cliente esfriou após envio da proposta"/>
    <s v=""/>
    <x v="49"/>
    <s v=""/>
    <x v="57"/>
    <s v=""/>
    <m/>
    <m/>
    <s v=""/>
    <s v=""/>
    <s v=""/>
    <s v=""/>
    <n v="1"/>
  </r>
  <r>
    <x v="1"/>
    <n v="267"/>
    <m/>
    <n v="1871"/>
    <s v=""/>
    <s v=""/>
    <x v="105"/>
    <n v="21969045000149"/>
    <s v=""/>
    <s v="Açomix"/>
    <s v="(18) 3638-8000"/>
    <s v=""/>
    <s v="paulo@acomix.net"/>
    <s v=""/>
    <s v=""/>
    <s v=""/>
    <s v="COROADOS"/>
    <s v="SP"/>
    <s v="Feiras"/>
    <s v=""/>
    <s v=""/>
    <s v="Abup2025Fevereiro"/>
    <s v="Pipeline de Vendas"/>
    <s v="Em Fechamento (100%)"/>
    <s v="6x sem juros (0/30/60/90/120/150...)"/>
    <m/>
    <n v="88000"/>
    <n v="450432"/>
    <n v="64"/>
    <s v="Junior Lopes"/>
    <d v="2025-02-19T00:00:00"/>
    <d v="1899-12-30T17:06:03"/>
    <s v=""/>
    <s v="Ganho"/>
    <d v="2025-04-24T00:00:00"/>
    <d v="1899-12-30T12:10:45"/>
    <s v=""/>
    <s v=""/>
    <s v=""/>
    <x v="50"/>
    <s v=""/>
    <x v="0"/>
    <s v=""/>
    <m/>
    <m/>
    <s v=""/>
    <s v=""/>
    <s v=""/>
    <s v=""/>
    <n v="1"/>
  </r>
  <r>
    <x v="1"/>
    <n v="268"/>
    <m/>
    <n v="1874"/>
    <s v=""/>
    <s v=""/>
    <x v="106"/>
    <n v="52556578000122"/>
    <s v=""/>
    <s v="Elgin S/A"/>
    <s v="(11) 3411-2010"/>
    <s v=""/>
    <s v="rogerio.machado@elgin.com.br"/>
    <s v=""/>
    <s v=""/>
    <s v=""/>
    <s v="MOGI DAS CRUZES"/>
    <s v="SP"/>
    <s v="Feiras"/>
    <s v=""/>
    <s v=""/>
    <s v="Abup2025Fevereiro"/>
    <s v="Pipeline de Vendas"/>
    <s v="Qualificação de Vendas (SQL) (25%)"/>
    <s v="6x sem juros (0/30/60/90/120/150...)"/>
    <m/>
    <m/>
    <m/>
    <n v="54"/>
    <s v="Junior Lopes"/>
    <d v="2025-02-20T00:00:00"/>
    <d v="1899-12-30T10:37:30"/>
    <s v=""/>
    <s v="Perdido"/>
    <d v="2025-04-15T00:00:00"/>
    <d v="1899-12-30T16:39:42"/>
    <s v="Projeto adiado / sem prazo definido"/>
    <s v="cliente não responde as mensagens continuarei a prospectar em paralelo"/>
    <s v=""/>
    <x v="0"/>
    <s v=""/>
    <x v="0"/>
    <s v=""/>
    <m/>
    <m/>
    <s v=""/>
    <s v=""/>
    <s v=""/>
    <s v=""/>
    <n v="1"/>
  </r>
  <r>
    <x v="1"/>
    <n v="270"/>
    <n v="167"/>
    <n v="1880"/>
    <s v=""/>
    <s v=""/>
    <x v="107"/>
    <n v="7973104000121"/>
    <s v="ELMO ATACADO"/>
    <s v="Fabio"/>
    <s v="47999949301"/>
    <s v=""/>
    <s v="joao@atacadoelmo.com.br"/>
    <s v=""/>
    <s v=""/>
    <s v=""/>
    <s v="Joinville"/>
    <s v="SC"/>
    <s v=""/>
    <s v=""/>
    <s v=""/>
    <s v=""/>
    <s v="Pipeline de Vendas"/>
    <s v="Em Fechamento (100%)"/>
    <s v=""/>
    <m/>
    <n v="0"/>
    <n v="49896"/>
    <n v="11"/>
    <s v="Junior Lopes"/>
    <d v="2025-02-20T00:00:00"/>
    <d v="1899-12-30T11:43:19"/>
    <s v=""/>
    <s v="Ganho"/>
    <d v="2025-03-03T00:00:00"/>
    <d v="1899-12-30T11:34:05"/>
    <s v=""/>
    <s v=""/>
    <s v=""/>
    <x v="50"/>
    <s v=""/>
    <x v="0"/>
    <s v=""/>
    <m/>
    <m/>
    <s v=""/>
    <s v=""/>
    <s v=""/>
    <s v=""/>
    <n v="1"/>
  </r>
  <r>
    <x v="1"/>
    <n v="272"/>
    <m/>
    <n v="1882"/>
    <s v=""/>
    <s v=""/>
    <x v="108"/>
    <m/>
    <s v=""/>
    <s v="123 util"/>
    <s v="31987570994"/>
    <s v=""/>
    <s v="123util@maxximusimportadora.com.br"/>
    <s v=""/>
    <s v=""/>
    <s v=""/>
    <s v=""/>
    <s v=""/>
    <s v="Feiras"/>
    <s v=""/>
    <s v=""/>
    <s v="Abcasa2025fevereiro"/>
    <s v="Pipeline de Vendas"/>
    <s v="Qualificação de Vendas (SQL) (25%)"/>
    <s v="6x sem juros (0/30/60/90/120/150...)"/>
    <m/>
    <m/>
    <m/>
    <n v="50"/>
    <s v="Junior Lopes"/>
    <d v="2025-02-24T00:00:00"/>
    <d v="1899-12-30T09:24:09"/>
    <s v=""/>
    <s v="Perdido"/>
    <d v="2025-04-15T00:00:00"/>
    <d v="1899-12-30T16:37:27"/>
    <s v="Projeto adiado / sem prazo definido"/>
    <s v="cliente não responde as mensagens , continuarei a prospectar em paralelo"/>
    <s v=""/>
    <x v="0"/>
    <s v=""/>
    <x v="44"/>
    <s v=""/>
    <m/>
    <m/>
    <s v=""/>
    <s v=""/>
    <s v=""/>
    <s v=""/>
    <n v="1"/>
  </r>
  <r>
    <x v="2"/>
    <n v="273"/>
    <m/>
    <n v="1883"/>
    <s v=""/>
    <s v=""/>
    <x v="109"/>
    <m/>
    <s v=""/>
    <s v="Ilan Couselo"/>
    <s v="11991554630"/>
    <s v=""/>
    <s v="ilan@couselo.com.br"/>
    <s v=""/>
    <s v=""/>
    <s v=""/>
    <s v=""/>
    <s v=""/>
    <s v="Feiras"/>
    <s v=""/>
    <s v=""/>
    <s v=""/>
    <s v="Pipeline de Vendas"/>
    <s v="Em Fechamento (100%)"/>
    <s v="6x sem juros (0/30/60/90/120/150...)"/>
    <m/>
    <n v="55440"/>
    <n v="560465"/>
    <n v="39"/>
    <s v="Rayssa Karapeticov"/>
    <d v="2025-02-24T00:00:00"/>
    <d v="1899-12-30T15:53:45"/>
    <s v=""/>
    <s v="Perdido"/>
    <d v="2025-04-04T00:00:00"/>
    <d v="1899-12-30T15:28:34"/>
    <s v="Preço muito alto - fora do budget de investimento"/>
    <s v=""/>
    <s v=""/>
    <x v="51"/>
    <s v="Rayssa Karapeticov"/>
    <x v="58"/>
    <s v="24/02/2025 00:00"/>
    <m/>
    <m/>
    <s v=""/>
    <s v=""/>
    <s v=""/>
    <s v=""/>
    <n v="1"/>
  </r>
  <r>
    <x v="1"/>
    <n v="277"/>
    <m/>
    <n v="1887"/>
    <s v=""/>
    <s v=""/>
    <x v="110"/>
    <m/>
    <s v=""/>
    <s v="Erca Aluminio"/>
    <s v="19997023116"/>
    <s v=""/>
    <s v="rafael@ercaaluminio.com.br"/>
    <s v=""/>
    <s v=""/>
    <s v=""/>
    <s v=""/>
    <s v=""/>
    <s v=""/>
    <s v=""/>
    <s v=""/>
    <s v=""/>
    <s v="Pipeline de Vendas"/>
    <s v="Em Fechamento (100%)"/>
    <s v=""/>
    <m/>
    <n v="0"/>
    <n v="3564"/>
    <n v="5"/>
    <s v="Junior Lopes"/>
    <d v="2025-02-26T00:00:00"/>
    <d v="1899-12-30T09:12:09"/>
    <s v=""/>
    <s v="Ganho"/>
    <d v="2025-03-03T00:00:00"/>
    <d v="1899-12-30T11:34:23"/>
    <s v=""/>
    <s v=""/>
    <s v=""/>
    <x v="52"/>
    <s v=""/>
    <x v="0"/>
    <s v=""/>
    <m/>
    <m/>
    <s v=""/>
    <s v=""/>
    <s v=""/>
    <s v=""/>
    <n v="1"/>
  </r>
  <r>
    <x v="1"/>
    <n v="279"/>
    <m/>
    <n v="1890"/>
    <s v=""/>
    <s v=""/>
    <x v="111"/>
    <m/>
    <s v=""/>
    <s v="Claudio"/>
    <s v="14997530243"/>
    <s v=""/>
    <s v="null"/>
    <s v=""/>
    <s v=""/>
    <s v=""/>
    <s v=""/>
    <s v=""/>
    <s v=""/>
    <s v=""/>
    <s v=""/>
    <s v=""/>
    <s v="Pipeline de Vendas"/>
    <s v="Qualificação de Vendas (SQL) (25%)"/>
    <s v=""/>
    <m/>
    <m/>
    <m/>
    <n v="2"/>
    <s v="Paulo Souza"/>
    <d v="2025-02-26T00:00:00"/>
    <d v="1899-12-30T17:34:49"/>
    <s v=""/>
    <s v="Perdido"/>
    <d v="2025-02-28T00:00:00"/>
    <d v="1899-12-30T17:04:22"/>
    <s v="Fora do porte mínimo (sem fit estrutural)"/>
    <s v="Representante"/>
    <s v=""/>
    <x v="0"/>
    <s v="Junior Lopes"/>
    <x v="0"/>
    <s v=""/>
    <m/>
    <m/>
    <s v=""/>
    <s v=""/>
    <s v=""/>
    <s v=""/>
    <n v="1"/>
  </r>
  <r>
    <x v="1"/>
    <n v="281"/>
    <m/>
    <n v="1892"/>
    <s v=""/>
    <s v=""/>
    <x v="112"/>
    <m/>
    <s v=""/>
    <s v="açomix soluções para o lar"/>
    <s v="17996266839"/>
    <s v=""/>
    <s v="fernando@acomix.net"/>
    <s v=""/>
    <s v=""/>
    <s v=""/>
    <s v=""/>
    <s v=""/>
    <s v="Feiras"/>
    <s v=""/>
    <s v=""/>
    <s v=""/>
    <s v="Pipeline de Vendas"/>
    <s v="Em Fechamento (100%)"/>
    <s v="6x sem juros (0/30/60/90/120/150...)"/>
    <m/>
    <n v="0"/>
    <n v="449635"/>
    <n v="55"/>
    <s v="Junior Lopes"/>
    <d v="2025-02-28T00:00:00"/>
    <d v="1899-12-30T10:13:32"/>
    <s v=""/>
    <s v="Ganho"/>
    <d v="2025-04-24T00:00:00"/>
    <d v="1899-12-30T12:11:29"/>
    <s v=""/>
    <s v=""/>
    <s v=""/>
    <x v="46"/>
    <s v=""/>
    <x v="59"/>
    <s v=""/>
    <m/>
    <m/>
    <s v=""/>
    <s v=""/>
    <s v=""/>
    <s v=""/>
    <n v="1"/>
  </r>
  <r>
    <x v="1"/>
    <n v="282"/>
    <m/>
    <n v="1894"/>
    <s v=""/>
    <s v=""/>
    <x v="113"/>
    <m/>
    <s v=""/>
    <s v="Plasberg"/>
    <s v="75981412000"/>
    <s v=""/>
    <s v="breno@plasberg.com.br"/>
    <s v=""/>
    <s v=""/>
    <s v=""/>
    <s v=""/>
    <s v=""/>
    <s v="Feiras"/>
    <s v=""/>
    <s v=""/>
    <s v=""/>
    <s v="Pipeline de Vendas"/>
    <s v="Apresentar Proposta (50%)"/>
    <s v="6x sem juros (0/30/60/90/120/150...)"/>
    <m/>
    <n v="1600"/>
    <n v="5"/>
    <n v="47"/>
    <s v="Junior Lopes"/>
    <d v="2025-02-28T00:00:00"/>
    <d v="1899-12-30T16:52:57"/>
    <s v=""/>
    <s v="Perdido"/>
    <d v="2025-04-16T00:00:00"/>
    <d v="1899-12-30T09:28:18"/>
    <s v="Projeto adiado / sem prazo definido"/>
    <s v="Breno não responde as mensagens ! estou fechando oportunidade mas continuo em busca da oportunidade"/>
    <s v=""/>
    <x v="43"/>
    <s v=""/>
    <x v="47"/>
    <s v=""/>
    <m/>
    <m/>
    <s v=""/>
    <s v=""/>
    <s v=""/>
    <s v=""/>
    <n v="1"/>
  </r>
  <r>
    <x v="2"/>
    <n v="283"/>
    <m/>
    <n v="1895"/>
    <s v=""/>
    <s v=""/>
    <x v="114"/>
    <n v="37075503000136"/>
    <s v=""/>
    <s v="Rafael"/>
    <s v="(48) 3380-3374"/>
    <s v=""/>
    <s v="pupiimports@gmail.com"/>
    <s v=""/>
    <s v=""/>
    <s v=""/>
    <s v="TIJUCAS"/>
    <s v="SC"/>
    <s v=""/>
    <s v=""/>
    <s v=""/>
    <s v=""/>
    <s v="Pipeline de Vendas"/>
    <s v="Em Fechamento (100%)"/>
    <s v=""/>
    <m/>
    <n v="63000"/>
    <n v="211328"/>
    <n v="20"/>
    <s v="Rayssa Karapeticov"/>
    <d v="2025-03-04T00:00:00"/>
    <d v="1899-12-30T09:43:38"/>
    <s v=""/>
    <s v="Ganho"/>
    <d v="2025-03-24T00:00:00"/>
    <d v="1899-12-30T19:14:21"/>
    <s v=""/>
    <s v=""/>
    <s v=""/>
    <x v="53"/>
    <s v="Rayssa Karapeticov"/>
    <x v="0"/>
    <s v=""/>
    <m/>
    <m/>
    <s v=""/>
    <s v=""/>
    <s v=""/>
    <s v=""/>
    <n v="1"/>
  </r>
  <r>
    <x v="2"/>
    <n v="284"/>
    <m/>
    <n v="1897"/>
    <s v=""/>
    <s v=""/>
    <x v="115"/>
    <n v="37075503000136"/>
    <s v=""/>
    <s v="Rafael"/>
    <s v="(48) 3380-3374"/>
    <s v=""/>
    <s v="pupiimports@gmail.com"/>
    <s v=""/>
    <s v=""/>
    <s v=""/>
    <s v="TIJUCAS"/>
    <s v="SC"/>
    <s v="Feiras"/>
    <s v=""/>
    <s v=""/>
    <s v=""/>
    <s v="Pipeline de Vendas"/>
    <s v="Em Fechamento (100%)"/>
    <s v=""/>
    <m/>
    <n v="1600"/>
    <n v="287073"/>
    <n v="22"/>
    <s v="Rayssa Karapeticov"/>
    <d v="2025-03-04T00:00:00"/>
    <d v="1899-12-30T15:18:52"/>
    <s v=""/>
    <s v="Ganho"/>
    <d v="2025-03-26T00:00:00"/>
    <d v="1899-12-30T10:41:15"/>
    <s v=""/>
    <s v=""/>
    <s v=""/>
    <x v="53"/>
    <s v="Rayssa Karapeticov"/>
    <x v="60"/>
    <s v=""/>
    <m/>
    <m/>
    <s v=""/>
    <s v=""/>
    <s v=""/>
    <s v=""/>
    <n v="1"/>
  </r>
  <r>
    <x v="2"/>
    <n v="286"/>
    <m/>
    <n v="1900"/>
    <s v=""/>
    <s v=""/>
    <x v="116"/>
    <n v="37075503000136"/>
    <s v=""/>
    <s v="Rafael"/>
    <s v="5196199231"/>
    <s v=""/>
    <s v="pupiimports@gmail.com"/>
    <s v=""/>
    <s v=""/>
    <s v=""/>
    <s v="TIJUCAS"/>
    <s v="SC"/>
    <s v="Outbound"/>
    <s v=""/>
    <s v=""/>
    <s v=""/>
    <s v="Pipeline de Vendas"/>
    <s v="Em negociação (75%)"/>
    <s v="6x sem juros (0/30/60/90/120/150...)"/>
    <m/>
    <n v="23580"/>
    <n v="1800"/>
    <n v="65"/>
    <s v="Rayssa Karapeticov"/>
    <d v="2025-03-10T00:00:00"/>
    <d v="1899-12-30T15:20:29"/>
    <s v=""/>
    <s v="Perdido"/>
    <d v="2025-05-14T00:00:00"/>
    <d v="1899-12-30T11:32:41"/>
    <s v="Não houve aprovação financeira"/>
    <s v=""/>
    <s v=""/>
    <x v="54"/>
    <s v="Rayssa Karapeticov"/>
    <x v="61"/>
    <s v=""/>
    <m/>
    <m/>
    <s v=""/>
    <s v=""/>
    <s v=""/>
    <s v=""/>
    <n v="1"/>
  </r>
  <r>
    <x v="0"/>
    <n v="287"/>
    <m/>
    <n v="1902"/>
    <s v=""/>
    <s v=""/>
    <x v="117"/>
    <n v="7764744000202"/>
    <s v=""/>
    <s v="Xeryus"/>
    <s v="11997802621"/>
    <s v=""/>
    <s v="jesica@xeryus.com.br"/>
    <s v=""/>
    <s v=""/>
    <s v=""/>
    <s v=""/>
    <s v=""/>
    <s v="Outbound"/>
    <s v=""/>
    <s v=""/>
    <s v="MORNO"/>
    <s v="Pipeline de Vendas"/>
    <s v="Em negociação (75%)"/>
    <s v="6x sem juros (0/30/60/90/120/150...)"/>
    <m/>
    <n v="16000"/>
    <n v="68607"/>
    <n v="54"/>
    <s v="Paulo Souza"/>
    <d v="2025-03-10T00:00:00"/>
    <d v="1899-12-30T16:44:02"/>
    <s v=""/>
    <s v="Perdido"/>
    <d v="2025-05-03T00:00:00"/>
    <d v="1899-12-30T10:37:26"/>
    <s v="Fechou com o concorrente - preço"/>
    <s v=""/>
    <s v=""/>
    <x v="55"/>
    <s v="Paulo Souza"/>
    <x v="62"/>
    <s v="11/03/2025 00:00"/>
    <m/>
    <m/>
    <s v=""/>
    <s v=""/>
    <s v=""/>
    <s v=""/>
    <n v="1"/>
  </r>
  <r>
    <x v="1"/>
    <n v="291"/>
    <m/>
    <n v="1904"/>
    <s v=""/>
    <s v=""/>
    <x v="118"/>
    <m/>
    <s v=""/>
    <s v="Ponto 10"/>
    <s v="7199841895"/>
    <s v=""/>
    <s v="gabriel@grupoponto10.com.br"/>
    <s v=""/>
    <s v=""/>
    <s v=""/>
    <s v=""/>
    <s v=""/>
    <s v="Parceiros"/>
    <s v=""/>
    <s v=""/>
    <s v=""/>
    <s v="Pipeline de Vendas"/>
    <s v="Em Fechamento (100%)"/>
    <s v="6x sem juros (0/30/60/90/120/150...)"/>
    <m/>
    <n v="12720"/>
    <n v="1764"/>
    <n v="47"/>
    <s v="Junior Lopes"/>
    <d v="2025-03-13T00:00:00"/>
    <d v="1899-12-30T14:19:18"/>
    <s v=""/>
    <s v="Ganho"/>
    <d v="2025-04-29T00:00:00"/>
    <d v="1899-12-30T14:35:30"/>
    <s v=""/>
    <s v=""/>
    <s v=""/>
    <x v="56"/>
    <s v=""/>
    <x v="63"/>
    <s v=""/>
    <m/>
    <m/>
    <s v=""/>
    <s v=""/>
    <s v=""/>
    <s v=""/>
    <n v="1"/>
  </r>
  <r>
    <x v="0"/>
    <n v="293"/>
    <m/>
    <n v="1907"/>
    <s v=""/>
    <s v=""/>
    <x v="119"/>
    <m/>
    <s v=""/>
    <s v="Rodrigo"/>
    <s v="(17) 99734-7687"/>
    <s v=""/>
    <s v="rodrigovaquerosilva@gmail.com"/>
    <s v=""/>
    <s v=""/>
    <s v=""/>
    <s v="Jales"/>
    <s v=""/>
    <s v="Site"/>
    <s v=""/>
    <s v=""/>
    <s v="Contato"/>
    <s v="Pipeline de Vendas"/>
    <s v="Apresentar Solução (35%)"/>
    <s v="6x sem juros (0/30/60/90/120/150...)"/>
    <m/>
    <m/>
    <m/>
    <n v="21"/>
    <s v="Paulo Souza"/>
    <d v="2025-03-17T00:00:00"/>
    <d v="1899-12-30T08:53:12"/>
    <s v=""/>
    <s v="Perdido"/>
    <d v="2025-04-07T00:00:00"/>
    <d v="1899-12-30T14:00:24"/>
    <s v="Não quer mudar a solução atual"/>
    <s v=""/>
    <s v=""/>
    <x v="57"/>
    <s v=""/>
    <x v="64"/>
    <s v=""/>
    <m/>
    <m/>
    <s v=""/>
    <s v=""/>
    <s v=""/>
    <s v=""/>
    <n v="1"/>
  </r>
  <r>
    <x v="0"/>
    <n v="294"/>
    <m/>
    <n v="1908"/>
    <s v=""/>
    <s v=""/>
    <x v="120"/>
    <m/>
    <s v=""/>
    <s v="Anne"/>
    <s v="31995069963"/>
    <s v=""/>
    <s v="null"/>
    <s v=""/>
    <s v=""/>
    <s v=""/>
    <s v=""/>
    <s v=""/>
    <s v="Inbound"/>
    <s v=""/>
    <s v=""/>
    <s v=""/>
    <s v="Pipeline de Vendas"/>
    <s v="Apresentar Solução (35%)"/>
    <s v="6x sem juros (0/30/60/90/120/150...)"/>
    <m/>
    <m/>
    <m/>
    <n v="21"/>
    <s v="Paulo Souza"/>
    <d v="2025-03-17T00:00:00"/>
    <d v="1899-12-30T08:58:27"/>
    <s v=""/>
    <s v="Perdido"/>
    <d v="2025-04-07T00:00:00"/>
    <d v="1899-12-30T11:48:49"/>
    <s v="Não quer mudar a solução atual"/>
    <s v=""/>
    <s v=""/>
    <x v="57"/>
    <s v="Paulo Souza"/>
    <x v="64"/>
    <s v=""/>
    <m/>
    <m/>
    <s v=""/>
    <s v=""/>
    <s v=""/>
    <s v=""/>
    <n v="1"/>
  </r>
  <r>
    <x v="1"/>
    <n v="295"/>
    <m/>
    <n v="1909"/>
    <s v=""/>
    <s v=""/>
    <x v="121"/>
    <m/>
    <s v=""/>
    <s v="GBL Import"/>
    <s v="21996127685"/>
    <s v=""/>
    <s v="gilberto@gblimport.com.br"/>
    <s v=""/>
    <s v=""/>
    <s v=""/>
    <s v=""/>
    <s v=""/>
    <s v="Indicação"/>
    <s v=""/>
    <s v=""/>
    <s v=""/>
    <s v="Pipeline de Vendas"/>
    <s v="Em negociação (75%)"/>
    <s v="6x sem juros (0/30/60/90/120/150...)"/>
    <m/>
    <n v="79920"/>
    <n v="33813"/>
    <n v="59"/>
    <s v="Junior Lopes"/>
    <d v="2025-03-17T00:00:00"/>
    <d v="1899-12-30T12:35:35"/>
    <s v=""/>
    <s v="Perdido"/>
    <d v="2025-05-15T00:00:00"/>
    <d v="1899-12-30T16:21:33"/>
    <s v="Projeto adiado / sem prazo definido"/>
    <s v="sem retorno do cliente"/>
    <s v=""/>
    <x v="58"/>
    <s v=""/>
    <x v="65"/>
    <s v=""/>
    <m/>
    <m/>
    <s v=""/>
    <s v=""/>
    <s v=""/>
    <s v=""/>
    <n v="1"/>
  </r>
  <r>
    <x v="1"/>
    <n v="298"/>
    <m/>
    <n v="1913"/>
    <s v=""/>
    <s v=""/>
    <x v="122"/>
    <m/>
    <s v=""/>
    <s v="GBL Import - Cloud"/>
    <s v="21996127685"/>
    <s v=""/>
    <s v="geraldolima@gblimport.com.br"/>
    <s v=""/>
    <s v=""/>
    <s v=""/>
    <s v=""/>
    <s v=""/>
    <s v="Indicação"/>
    <s v=""/>
    <s v=""/>
    <s v=""/>
    <s v="Pipeline de Vendas"/>
    <s v="Em negociação (75%)"/>
    <s v="6x sem juros (0/30/60/90/120/150...)"/>
    <m/>
    <n v="1600"/>
    <n v="3196"/>
    <n v="58"/>
    <s v="Junior Lopes"/>
    <d v="2025-03-18T00:00:00"/>
    <d v="1899-12-30T15:00:29"/>
    <s v=""/>
    <s v="Perdido"/>
    <d v="2025-05-15T00:00:00"/>
    <d v="1899-12-30T16:22:10"/>
    <s v="Projeto adiado / sem prazo definido"/>
    <s v="sem retorno do cliente"/>
    <s v=""/>
    <x v="58"/>
    <s v=""/>
    <x v="65"/>
    <s v=""/>
    <m/>
    <m/>
    <s v=""/>
    <s v=""/>
    <s v=""/>
    <s v=""/>
    <n v="1"/>
  </r>
  <r>
    <x v="1"/>
    <n v="301"/>
    <m/>
    <n v="1916"/>
    <s v=""/>
    <s v=""/>
    <x v="123"/>
    <m/>
    <s v=""/>
    <s v="Erca alumínio"/>
    <s v="19997023116"/>
    <s v=""/>
    <s v="rafael@ercaaluminio.com.br"/>
    <s v=""/>
    <s v=""/>
    <s v=""/>
    <s v=""/>
    <s v=""/>
    <s v="Outbound"/>
    <s v=""/>
    <s v=""/>
    <s v=""/>
    <s v="Pipeline de Vendas"/>
    <s v="Em Fechamento (100%)"/>
    <s v=""/>
    <m/>
    <n v="2339208"/>
    <n v="0"/>
    <n v="13"/>
    <s v="Junior Lopes"/>
    <d v="2025-03-20T00:00:00"/>
    <d v="1899-12-30T14:50:12"/>
    <s v=""/>
    <s v="Ganho"/>
    <d v="2025-04-02T00:00:00"/>
    <d v="1899-12-30T10:04:50"/>
    <s v=""/>
    <s v=""/>
    <s v=""/>
    <x v="59"/>
    <s v=""/>
    <x v="0"/>
    <s v=""/>
    <m/>
    <m/>
    <s v=""/>
    <s v=""/>
    <s v=""/>
    <s v=""/>
    <n v="1"/>
  </r>
  <r>
    <x v="1"/>
    <n v="303"/>
    <m/>
    <n v="1919"/>
    <s v=""/>
    <s v=""/>
    <x v="124"/>
    <m/>
    <s v=""/>
    <s v="Dayane"/>
    <s v="(62) 99360-9476"/>
    <s v=""/>
    <s v="dayane.tecelagemcastilho@gmail.com"/>
    <s v=""/>
    <s v=""/>
    <s v=""/>
    <s v="Goiânia"/>
    <s v=""/>
    <s v="Site"/>
    <s v=""/>
    <s v=""/>
    <s v="Solicita demo"/>
    <s v="Pipeline de Vendas"/>
    <s v="Em Fechamento (100%)"/>
    <s v="6x sem juros (0/30/60/90/120/150...)"/>
    <m/>
    <n v="583848"/>
    <n v="229112"/>
    <n v="57"/>
    <s v="Paulo Souza"/>
    <d v="2025-03-25T00:00:00"/>
    <d v="1899-12-30T09:13:21"/>
    <s v=""/>
    <s v="Ganho"/>
    <d v="2025-05-21T00:00:00"/>
    <d v="1899-12-30T09:01:18"/>
    <s v=""/>
    <s v=""/>
    <s v=""/>
    <x v="60"/>
    <s v=""/>
    <x v="66"/>
    <s v="28/03/2025"/>
    <m/>
    <m/>
    <s v=""/>
    <s v=""/>
    <s v=""/>
    <s v=""/>
    <n v="1"/>
  </r>
  <r>
    <x v="1"/>
    <n v="304"/>
    <m/>
    <n v="1922"/>
    <s v=""/>
    <s v=""/>
    <x v="125"/>
    <m/>
    <s v=""/>
    <s v="Erca Alumínio"/>
    <s v="19997023116"/>
    <s v=""/>
    <s v="rafael@ercaaluminio.com.br"/>
    <s v=""/>
    <s v=""/>
    <s v=""/>
    <s v=""/>
    <s v=""/>
    <s v=""/>
    <s v=""/>
    <s v=""/>
    <s v=""/>
    <s v="Pipeline de Vendas"/>
    <s v="Em Fechamento (100%)"/>
    <s v=""/>
    <m/>
    <n v="0"/>
    <n v="14256"/>
    <n v="0"/>
    <s v="Junior Lopes"/>
    <d v="2025-03-26T00:00:00"/>
    <d v="1899-12-30T12:26:05"/>
    <s v=""/>
    <s v="Ganho"/>
    <d v="2025-03-26T00:00:00"/>
    <d v="1899-12-30T12:28:36"/>
    <s v=""/>
    <s v=""/>
    <s v=""/>
    <x v="61"/>
    <s v=""/>
    <x v="0"/>
    <s v=""/>
    <m/>
    <m/>
    <s v=""/>
    <s v=""/>
    <s v=""/>
    <s v=""/>
    <n v="1"/>
  </r>
  <r>
    <x v="1"/>
    <n v="305"/>
    <m/>
    <n v="1923"/>
    <s v=""/>
    <s v=""/>
    <x v="126"/>
    <n v="49695060000165"/>
    <s v=""/>
    <s v="Sk Importacao e Exportacao"/>
    <s v="(11) 2171-0800"/>
    <s v=""/>
    <s v="legal@vrscontabil.com.br"/>
    <s v=""/>
    <s v=""/>
    <s v=""/>
    <s v="SAO PAULO"/>
    <s v="SP"/>
    <s v="Inbound"/>
    <s v=""/>
    <s v=""/>
    <s v=""/>
    <s v="Pipeline de Vendas"/>
    <s v="Apresentar Proposta (50%)"/>
    <s v="6x sem juros (0/30/60/90/120/150...)"/>
    <m/>
    <n v="64448"/>
    <n v="159326"/>
    <n v="50"/>
    <s v="Junior Lopes"/>
    <d v="2025-03-26T00:00:00"/>
    <d v="1899-12-30T12:54:52"/>
    <s v=""/>
    <s v="Perdido"/>
    <d v="2025-05-15T00:00:00"/>
    <d v="1899-12-30T15:25:04"/>
    <s v="Projeto adiado / sem prazo definido"/>
    <s v="14:31, 06/05/2025 Jamal: Tudo bem_x000a_14:34, 06/05/2025 Junior Lopes: por aqui td bem Jamal_x000a_14:35, 06/05/2025 Junior Lopes: sobre o Software Guarani, vamos dar sequencia ?_x000a_15:02, 06/05/2025 Jamal: Meu amigo pra ser sincero estou em mudanças e esta muita correria por aqui_x000a_15:02, 06/05/2025 Jamal: Mas depois vou estudar melhor sobre"/>
    <s v=""/>
    <x v="62"/>
    <s v=""/>
    <x v="67"/>
    <s v=""/>
    <m/>
    <m/>
    <s v=""/>
    <s v=""/>
    <s v=""/>
    <s v=""/>
    <n v="1"/>
  </r>
  <r>
    <x v="1"/>
    <n v="311"/>
    <m/>
    <n v="1942"/>
    <s v=""/>
    <s v=""/>
    <x v="127"/>
    <m/>
    <s v=""/>
    <s v="Tritec"/>
    <s v="47991900625"/>
    <s v=""/>
    <s v="gisele.ehlert@tritec.ind.com"/>
    <s v=""/>
    <s v=""/>
    <s v=""/>
    <s v=""/>
    <s v=""/>
    <s v=""/>
    <s v=""/>
    <s v=""/>
    <s v=""/>
    <s v="Pipeline de Vendas"/>
    <s v="Em Fechamento (100%)"/>
    <s v="4x sem juros (0/30/60/90)"/>
    <m/>
    <n v="16960"/>
    <n v="10810"/>
    <n v="43"/>
    <s v="Junior Lopes"/>
    <d v="2025-03-27T00:00:00"/>
    <d v="1899-12-30T12:48:43"/>
    <s v=""/>
    <s v="Ganho"/>
    <d v="2025-05-09T00:00:00"/>
    <d v="1899-12-30T12:02:54"/>
    <s v=""/>
    <s v=""/>
    <s v=""/>
    <x v="60"/>
    <s v=""/>
    <x v="66"/>
    <s v="24/04/2025"/>
    <m/>
    <m/>
    <s v=""/>
    <s v=""/>
    <s v=""/>
    <s v=""/>
    <n v="1"/>
  </r>
  <r>
    <x v="0"/>
    <n v="313"/>
    <m/>
    <n v="1944"/>
    <s v=""/>
    <s v=""/>
    <x v="128"/>
    <n v="1787082000129"/>
    <s v=""/>
    <s v="Marcos"/>
    <s v="(11) 99755-7094"/>
    <s v=""/>
    <s v="contato@styroform.com.br"/>
    <s v=""/>
    <s v=""/>
    <s v=""/>
    <s v=""/>
    <s v=""/>
    <s v="Indicação"/>
    <s v=""/>
    <s v=""/>
    <s v="MORNO"/>
    <s v="Pipeline de Vendas"/>
    <s v="Em Fechamento (100%)"/>
    <s v="6x sem juros (0/30/60/90/120/150...)"/>
    <d v="2028-05-31T00:00:00"/>
    <n v="51200"/>
    <n v="42262"/>
    <n v="75"/>
    <s v="Paulo Souza"/>
    <d v="2025-03-27T00:00:00"/>
    <d v="1899-12-30T15:59:16"/>
    <s v=""/>
    <s v="Perdido"/>
    <d v="2025-06-10T00:00:00"/>
    <d v="1899-12-30T12:16:08"/>
    <s v="Preço muito alto - fora do budget de investimento"/>
    <s v=""/>
    <s v=""/>
    <x v="45"/>
    <s v="Paulo Souza"/>
    <x v="68"/>
    <s v=""/>
    <m/>
    <m/>
    <s v=""/>
    <s v=""/>
    <s v=""/>
    <s v=""/>
    <n v="1"/>
  </r>
  <r>
    <x v="0"/>
    <n v="314"/>
    <m/>
    <n v="1948"/>
    <s v=""/>
    <s v=""/>
    <x v="129"/>
    <m/>
    <s v=""/>
    <s v="Claudio"/>
    <s v="12991051939"/>
    <s v=""/>
    <s v="null"/>
    <s v=""/>
    <s v=""/>
    <s v=""/>
    <s v=""/>
    <s v=""/>
    <s v=""/>
    <s v=""/>
    <s v=""/>
    <s v=""/>
    <s v="Pipeline de Vendas"/>
    <s v="Qualificação de Vendas (SQL) (25%)"/>
    <s v=""/>
    <m/>
    <m/>
    <m/>
    <n v="10"/>
    <s v="Paulo Souza"/>
    <d v="2025-03-28T00:00:00"/>
    <d v="1899-12-30T11:11:42"/>
    <s v=""/>
    <s v="Perdido"/>
    <d v="2025-04-07T00:00:00"/>
    <d v="1899-12-30T14:36:03"/>
    <s v="Fora do porte mínimo (sem fit estrutural)"/>
    <s v=""/>
    <s v=""/>
    <x v="0"/>
    <s v="Paulo Souza"/>
    <x v="69"/>
    <s v=""/>
    <m/>
    <m/>
    <s v=""/>
    <s v=""/>
    <s v=""/>
    <s v=""/>
    <n v="1"/>
  </r>
  <r>
    <x v="1"/>
    <n v="315"/>
    <m/>
    <n v="1949"/>
    <s v=""/>
    <s v=""/>
    <x v="130"/>
    <m/>
    <s v=""/>
    <s v="Tecelagem Castitho - Cloud"/>
    <s v="62993609476"/>
    <s v=""/>
    <s v="dayane.tecelagemcastilho@gmail.com"/>
    <s v=""/>
    <s v=""/>
    <s v=""/>
    <s v=""/>
    <s v=""/>
    <s v=""/>
    <s v=""/>
    <s v=""/>
    <s v=""/>
    <s v="Pipeline de Vendas"/>
    <s v="Em Fechamento (100%)"/>
    <s v="10x sem juros (0/30/60/90/120/150...)"/>
    <m/>
    <n v="1600"/>
    <n v="180443"/>
    <n v="54"/>
    <s v="Junior Lopes"/>
    <d v="2025-03-28T00:00:00"/>
    <d v="1899-12-30T11:49:45"/>
    <s v=""/>
    <s v="Ganho"/>
    <d v="2025-05-21T00:00:00"/>
    <d v="1899-12-30T09:02:37"/>
    <s v=""/>
    <s v=""/>
    <s v=""/>
    <x v="60"/>
    <s v=""/>
    <x v="66"/>
    <s v=""/>
    <m/>
    <m/>
    <s v=""/>
    <s v=""/>
    <s v=""/>
    <s v=""/>
    <n v="1"/>
  </r>
  <r>
    <x v="1"/>
    <n v="316"/>
    <m/>
    <n v="1950"/>
    <s v=""/>
    <s v=""/>
    <x v="131"/>
    <n v="49695060000165"/>
    <s v=""/>
    <s v="SK Importação - Cloud"/>
    <s v="(11) 2171-0800"/>
    <s v=""/>
    <s v="legal@vrscontabil.com.br"/>
    <s v=""/>
    <s v=""/>
    <s v=""/>
    <s v="SAO PAULO"/>
    <s v="SP"/>
    <s v=""/>
    <s v=""/>
    <s v=""/>
    <s v=""/>
    <s v="Pipeline de Vendas"/>
    <s v="Apresentar Proposta (50%)"/>
    <s v=""/>
    <m/>
    <n v="1600"/>
    <n v="2178"/>
    <n v="48"/>
    <s v="Junior Lopes"/>
    <d v="2025-03-28T00:00:00"/>
    <d v="1899-12-30T15:06:00"/>
    <s v=""/>
    <s v="Perdido"/>
    <d v="2025-05-15T00:00:00"/>
    <d v="1899-12-30T15:26:40"/>
    <s v="Projeto adiado / sem prazo definido"/>
    <s v="14:31, 06/05/2025 Jamal: Tudo bem_x000a_14:34, 06/05/2025 Junior Lopes: por aqui td bem Jamal_x000a_14:35, 06/05/2025 Junior Lopes: sobre o Software Guarani, vamos dar sequencia ?_x000a_15:02, 06/05/2025 Jamal: Meu amigo pra ser sincero estou em mudanças e esta muita correria por aqui_x000a_15:02, 06/05/2025 Jamal: Mas depois vou estudar melhor sobre"/>
    <s v="26/03/2025"/>
    <x v="61"/>
    <s v=""/>
    <x v="67"/>
    <s v=""/>
    <m/>
    <m/>
    <s v=""/>
    <s v=""/>
    <s v=""/>
    <s v=""/>
    <n v="1"/>
  </r>
  <r>
    <x v="1"/>
    <n v="317"/>
    <m/>
    <n v="1952"/>
    <s v=""/>
    <s v=""/>
    <x v="132"/>
    <n v="8652421000109"/>
    <s v=""/>
    <s v="Comércio de prod. vet. bernardi e bernardi"/>
    <s v="(55) 3744-6412"/>
    <s v=""/>
    <s v="pedidos@suifarma.com.br"/>
    <s v=""/>
    <s v=""/>
    <s v=""/>
    <s v="FREDERICO WESTPHALEN"/>
    <s v="RS"/>
    <s v=""/>
    <s v=""/>
    <s v=""/>
    <s v=""/>
    <s v="Pipeline de Vendas"/>
    <s v="Em negociação (75%)"/>
    <s v=""/>
    <m/>
    <n v="74860"/>
    <n v="641932"/>
    <n v="48"/>
    <s v="Junior Lopes"/>
    <d v="2025-03-28T00:00:00"/>
    <d v="1899-12-30T15:37:47"/>
    <s v=""/>
    <s v="Perdido"/>
    <d v="2025-05-15T00:00:00"/>
    <d v="1899-12-30T11:35:21"/>
    <s v="Projeto adiado / sem prazo definido"/>
    <s v="cliente ainda não definiu _x000a_estou baixando oportunidade mas manterei contato via WhatsApp"/>
    <s v=""/>
    <x v="60"/>
    <s v=""/>
    <x v="70"/>
    <s v=""/>
    <m/>
    <m/>
    <s v=""/>
    <s v=""/>
    <s v=""/>
    <s v=""/>
    <n v="1"/>
  </r>
  <r>
    <x v="1"/>
    <n v="318"/>
    <m/>
    <n v="1957"/>
    <s v=""/>
    <s v=""/>
    <x v="133"/>
    <n v="8652421000109"/>
    <s v=""/>
    <s v="Comércio Bernardi e Bernardi - Cloud"/>
    <s v="43991395000"/>
    <s v=""/>
    <s v="pedidos@suifarma.com.br"/>
    <s v=""/>
    <s v=""/>
    <s v=""/>
    <s v=""/>
    <s v=""/>
    <s v=""/>
    <s v=""/>
    <s v=""/>
    <s v=""/>
    <s v="Pipeline de Vendas"/>
    <s v="Apresentar Proposta (50%)"/>
    <s v=""/>
    <m/>
    <m/>
    <m/>
    <n v="19"/>
    <s v="Junior Lopes"/>
    <d v="2025-03-28T00:00:00"/>
    <d v="1899-12-30T15:40:43"/>
    <s v=""/>
    <s v="Perdido"/>
    <d v="2025-04-16T00:00:00"/>
    <d v="1899-12-30T09:39:03"/>
    <s v="Projeto adiado / sem prazo definido"/>
    <s v="cadastro em duplicidade"/>
    <s v=""/>
    <x v="60"/>
    <s v=""/>
    <x v="70"/>
    <s v=""/>
    <m/>
    <m/>
    <s v=""/>
    <s v=""/>
    <s v=""/>
    <s v=""/>
    <n v="1"/>
  </r>
  <r>
    <x v="1"/>
    <n v="319"/>
    <m/>
    <n v="1958"/>
    <s v=""/>
    <s v=""/>
    <x v="134"/>
    <m/>
    <s v=""/>
    <s v="culturama - Horas"/>
    <s v="54996596274"/>
    <s v=""/>
    <s v="vinicius.mathyas@culturama.com.br"/>
    <s v=""/>
    <s v=""/>
    <s v=""/>
    <s v=""/>
    <s v=""/>
    <s v=""/>
    <s v=""/>
    <s v=""/>
    <s v=""/>
    <s v="Pipeline de Vendas"/>
    <s v="Em Fechamento (100%)"/>
    <s v=""/>
    <m/>
    <n v="1760013"/>
    <n v="0"/>
    <n v="0"/>
    <s v="Junior Lopes"/>
    <d v="2025-03-31T00:00:00"/>
    <d v="1899-12-30T11:20:59"/>
    <s v=""/>
    <s v="Ganho"/>
    <d v="2025-03-31T00:00:00"/>
    <d v="1899-12-30T11:36:21"/>
    <s v=""/>
    <s v=""/>
    <s v=""/>
    <x v="56"/>
    <s v=""/>
    <x v="0"/>
    <s v=""/>
    <m/>
    <m/>
    <s v=""/>
    <s v=""/>
    <s v=""/>
    <s v=""/>
    <n v="1"/>
  </r>
  <r>
    <x v="1"/>
    <n v="321"/>
    <m/>
    <n v="1961"/>
    <s v=""/>
    <s v=""/>
    <x v="133"/>
    <m/>
    <s v=""/>
    <s v="Comércio Bernardi e Bernardi - Cloud"/>
    <s v="5537446412"/>
    <s v=""/>
    <s v="pedidos@suifarma.com.br"/>
    <s v=""/>
    <s v=""/>
    <s v=""/>
    <s v=""/>
    <s v=""/>
    <s v=""/>
    <s v=""/>
    <s v=""/>
    <s v=""/>
    <s v="Pipeline de Vendas"/>
    <s v="Em negociação (75%)"/>
    <s v=""/>
    <m/>
    <n v="1600"/>
    <n v="462522"/>
    <n v="45"/>
    <s v="Junior Lopes"/>
    <d v="2025-03-31T00:00:00"/>
    <d v="1899-12-30T15:10:22"/>
    <s v=""/>
    <s v="Perdido"/>
    <d v="2025-05-15T00:00:00"/>
    <d v="1899-12-30T11:36:48"/>
    <s v="Projeto adiado / sem prazo definido"/>
    <s v="cliente ainda não definiu _x000a_estou baixando oportunidade mas manterei contato via WhatsApp"/>
    <s v=""/>
    <x v="60"/>
    <s v=""/>
    <x v="70"/>
    <s v=""/>
    <m/>
    <m/>
    <s v=""/>
    <s v=""/>
    <s v=""/>
    <s v=""/>
    <n v="1"/>
  </r>
  <r>
    <x v="1"/>
    <n v="322"/>
    <m/>
    <n v="1962"/>
    <s v=""/>
    <s v=""/>
    <x v="135"/>
    <m/>
    <s v=""/>
    <s v="GB . Importadora - XML"/>
    <s v="19993040768"/>
    <s v=""/>
    <s v="pehpbroglio@gmail.com"/>
    <s v=""/>
    <s v=""/>
    <s v=""/>
    <s v=""/>
    <s v=""/>
    <s v=""/>
    <s v=""/>
    <s v=""/>
    <s v=""/>
    <s v="Pipeline de Vendas"/>
    <s v="Em Fechamento (100%)"/>
    <s v=""/>
    <m/>
    <n v="0"/>
    <n v="30002"/>
    <n v="24"/>
    <s v="Junior Lopes"/>
    <d v="2025-03-31T00:00:00"/>
    <d v="1899-12-30T16:37:55"/>
    <s v=""/>
    <s v="Ganho"/>
    <d v="2025-04-24T00:00:00"/>
    <d v="1899-12-30T12:03:46"/>
    <s v=""/>
    <s v=""/>
    <s v=""/>
    <x v="60"/>
    <s v=""/>
    <x v="0"/>
    <s v=""/>
    <m/>
    <m/>
    <s v=""/>
    <s v=""/>
    <s v=""/>
    <s v=""/>
    <n v="1"/>
  </r>
  <r>
    <x v="1"/>
    <n v="323"/>
    <m/>
    <n v="1963"/>
    <s v=""/>
    <s v=""/>
    <x v="136"/>
    <m/>
    <s v=""/>
    <s v="ARK Brasil"/>
    <s v="21964397621"/>
    <s v=""/>
    <s v="luana.dale@arkbrasil.com.br"/>
    <s v=""/>
    <s v=""/>
    <s v=""/>
    <s v=""/>
    <s v=""/>
    <s v=""/>
    <s v=""/>
    <s v=""/>
    <s v=""/>
    <s v="Pipeline de Vendas"/>
    <s v="Apresentar Proposta (50%)"/>
    <s v=""/>
    <m/>
    <n v="16960"/>
    <n v="1980"/>
    <n v="64"/>
    <s v="Junior Lopes"/>
    <d v="2025-03-31T00:00:00"/>
    <d v="1899-12-30T16:49:47"/>
    <s v=""/>
    <s v="Perdido"/>
    <d v="2025-06-03T00:00:00"/>
    <d v="1899-12-30T11:06:14"/>
    <s v="Não quer mudar a solução atual"/>
    <s v="estou mantendo contato para força de vendas"/>
    <s v=""/>
    <x v="60"/>
    <s v=""/>
    <x v="71"/>
    <s v=""/>
    <m/>
    <m/>
    <s v=""/>
    <s v=""/>
    <s v=""/>
    <s v=""/>
    <n v="1"/>
  </r>
  <r>
    <x v="1"/>
    <n v="328"/>
    <m/>
    <n v="1970"/>
    <s v=""/>
    <s v=""/>
    <x v="137"/>
    <m/>
    <s v=""/>
    <s v="Casa Ambiente"/>
    <s v="11983264135"/>
    <s v=""/>
    <s v="contato@casaambienteud.com.br"/>
    <s v=""/>
    <s v=""/>
    <s v=""/>
    <s v=""/>
    <s v=""/>
    <s v=""/>
    <s v=""/>
    <s v=""/>
    <s v=""/>
    <s v="Pipeline de Vendas"/>
    <s v="Qualificação de Vendas (SQL) (25%)"/>
    <s v=""/>
    <m/>
    <m/>
    <m/>
    <n v="71"/>
    <s v="Junior Lopes"/>
    <d v="2025-04-01T00:00:00"/>
    <d v="1899-12-30T15:57:21"/>
    <s v=""/>
    <s v="Perdido"/>
    <d v="2025-06-11T00:00:00"/>
    <d v="1899-12-30T14:35:24"/>
    <s v="Projeto adiado / sem prazo definido"/>
    <s v="sem resposta ao contato"/>
    <s v="09/04/2025"/>
    <x v="0"/>
    <s v=""/>
    <x v="0"/>
    <s v=""/>
    <m/>
    <m/>
    <s v=""/>
    <s v=""/>
    <s v=""/>
    <s v=""/>
    <n v="1"/>
  </r>
  <r>
    <x v="1"/>
    <n v="333"/>
    <m/>
    <n v="1977"/>
    <s v=""/>
    <s v=""/>
    <x v="138"/>
    <n v="32921219000110"/>
    <s v=""/>
    <s v="MDL Import"/>
    <s v="11910695515"/>
    <s v=""/>
    <s v="janaina@mdlimport.com.br"/>
    <s v=""/>
    <s v=""/>
    <s v=""/>
    <s v=""/>
    <s v=""/>
    <s v=""/>
    <s v=""/>
    <s v=""/>
    <s v="80%"/>
    <s v="Pipeline de Vendas"/>
    <s v="Em negociação (75%)"/>
    <s v=""/>
    <m/>
    <n v="69112"/>
    <n v="318388"/>
    <n v="88"/>
    <s v="Junior Lopes"/>
    <d v="2025-04-03T00:00:00"/>
    <d v="1899-12-30T15:52:15"/>
    <s v=""/>
    <s v="Perdido"/>
    <d v="2025-06-30T00:00:00"/>
    <d v="1899-12-30T15:11:40"/>
    <s v="Não houve aprovação financeira"/>
    <s v="integração com WMS inviabilizou o projeto"/>
    <s v=""/>
    <x v="63"/>
    <s v="Junior Lopes"/>
    <x v="72"/>
    <s v="15/04/2025"/>
    <m/>
    <m/>
    <s v=""/>
    <s v=""/>
    <s v=""/>
    <s v=""/>
    <n v="1"/>
  </r>
  <r>
    <x v="2"/>
    <n v="334"/>
    <m/>
    <n v="1978"/>
    <s v=""/>
    <s v=""/>
    <x v="139"/>
    <n v="55940574000131"/>
    <s v=""/>
    <s v="Herbert Felipe Monteiro"/>
    <s v="16994380062"/>
    <s v=""/>
    <s v="felipe.monteiro@pimpinella.com.br"/>
    <s v=""/>
    <s v=""/>
    <s v=""/>
    <s v=""/>
    <s v=""/>
    <s v="Indicação"/>
    <s v=""/>
    <s v=""/>
    <s v="80%"/>
    <s v="Pipeline de Vendas"/>
    <s v="Em negociação (75%)"/>
    <s v="10x sem juros (0/30/60/90/120/150...)"/>
    <d v="2026-01-31T00:00:00"/>
    <m/>
    <m/>
    <n v="228"/>
    <s v="Rayssa Karapeticov"/>
    <d v="2025-04-04T00:00:00"/>
    <d v="1899-12-30T15:30:02"/>
    <s v=""/>
    <s v="Perdido"/>
    <d v="2025-11-18T00:00:00"/>
    <d v="1899-12-30T09:22:52"/>
    <s v="Projeto adiado / sem prazo definido"/>
    <s v=""/>
    <s v=""/>
    <x v="64"/>
    <s v="Rayssa Karapeticov"/>
    <x v="73"/>
    <s v="16/04/2025"/>
    <m/>
    <m/>
    <s v=""/>
    <s v=""/>
    <s v=""/>
    <s v=""/>
    <n v="1"/>
  </r>
  <r>
    <x v="1"/>
    <n v="336"/>
    <m/>
    <n v="1980"/>
    <s v=""/>
    <s v=""/>
    <x v="140"/>
    <n v="56262451000151"/>
    <s v=""/>
    <s v="Mais Barato Brinquedos"/>
    <s v="(11) 2492-2763"/>
    <s v=""/>
    <s v="fbastosauditores@terra.com.br"/>
    <s v=""/>
    <s v=""/>
    <s v=""/>
    <s v="GUARULHOS"/>
    <s v="SP"/>
    <s v=""/>
    <s v=""/>
    <s v=""/>
    <s v=""/>
    <s v="Pipeline de Vendas"/>
    <s v="Em negociação (75%)"/>
    <s v=""/>
    <m/>
    <n v="110486"/>
    <n v="704412"/>
    <n v="16"/>
    <s v="Junior Lopes"/>
    <d v="2025-04-07T00:00:00"/>
    <d v="1899-12-30T10:11:44"/>
    <s v=""/>
    <s v="Perdido"/>
    <d v="2025-04-23T00:00:00"/>
    <d v="1899-12-30T15:03:14"/>
    <s v="Não houve aprovação financeira"/>
    <s v="Após envio da proposta comercial, não obtive mais retorno do Kaique, estou declinando a oportunidade mas continuarei tentando contato"/>
    <s v="10/04/2025"/>
    <x v="65"/>
    <s v=""/>
    <x v="0"/>
    <s v=""/>
    <m/>
    <m/>
    <s v=""/>
    <s v=""/>
    <s v=""/>
    <s v=""/>
    <n v="1"/>
  </r>
  <r>
    <x v="0"/>
    <n v="338"/>
    <m/>
    <n v="1983"/>
    <s v=""/>
    <s v=""/>
    <x v="141"/>
    <n v="750764000102"/>
    <s v=""/>
    <s v="Adavilson"/>
    <s v="4834332503"/>
    <s v=""/>
    <s v="adavilson@bruver.com.br"/>
    <s v=""/>
    <s v=""/>
    <s v=""/>
    <s v=""/>
    <s v=""/>
    <s v=""/>
    <s v=""/>
    <s v=""/>
    <s v=""/>
    <s v="Pipeline de Vendas"/>
    <s v="Em negociação (75%)"/>
    <s v=""/>
    <m/>
    <n v="50000"/>
    <n v="30502"/>
    <n v="26"/>
    <s v="Paulo Souza"/>
    <d v="2025-04-07T00:00:00"/>
    <d v="1899-12-30T14:24:21"/>
    <s v=""/>
    <s v="Perdido"/>
    <d v="2025-05-03T00:00:00"/>
    <d v="1899-12-30T10:41:00"/>
    <s v="Preço muito alto - fora do budget de investimento"/>
    <s v=""/>
    <s v=""/>
    <x v="66"/>
    <s v="Paulo Souza"/>
    <x v="74"/>
    <s v=""/>
    <m/>
    <m/>
    <s v=""/>
    <s v=""/>
    <s v=""/>
    <s v=""/>
    <n v="1"/>
  </r>
  <r>
    <x v="1"/>
    <n v="343"/>
    <m/>
    <n v="1988"/>
    <s v=""/>
    <s v=""/>
    <x v="142"/>
    <m/>
    <s v=""/>
    <s v="ALMAPY"/>
    <s v="11940062281"/>
    <s v=""/>
    <s v="projetos@almapy.com.br"/>
    <s v=""/>
    <s v=""/>
    <s v=""/>
    <s v=""/>
    <s v=""/>
    <s v=""/>
    <s v=""/>
    <s v=""/>
    <s v=""/>
    <s v="Pipeline de Vendas"/>
    <s v="Apresentar Proposta (50%)"/>
    <s v=""/>
    <m/>
    <n v="32400"/>
    <n v="104544"/>
    <n v="34"/>
    <s v="Junior Lopes"/>
    <d v="2025-04-11T00:00:00"/>
    <d v="1899-12-30T11:56:04"/>
    <s v=""/>
    <s v="Perdido"/>
    <d v="2025-05-15T00:00:00"/>
    <d v="1899-12-30T11:17:15"/>
    <s v="Projeto adiado / sem prazo definido"/>
    <s v="Não vai dar sequencia no momento"/>
    <s v=""/>
    <x v="67"/>
    <s v=""/>
    <x v="75"/>
    <s v=""/>
    <m/>
    <m/>
    <s v=""/>
    <s v=""/>
    <s v=""/>
    <s v=""/>
    <n v="1"/>
  </r>
  <r>
    <x v="1"/>
    <n v="346"/>
    <m/>
    <n v="1991"/>
    <s v=""/>
    <s v=""/>
    <x v="143"/>
    <m/>
    <s v=""/>
    <s v="Renovação Porcelanas"/>
    <s v="11965745182"/>
    <s v=""/>
    <s v="camila@rnporcelanas.com.br"/>
    <s v=""/>
    <s v=""/>
    <s v=""/>
    <s v=""/>
    <s v=""/>
    <s v=""/>
    <s v=""/>
    <s v=""/>
    <s v="30%;90%;Fabio Indica"/>
    <s v="Pipeline de Vendas"/>
    <s v="Em Fechamento (100%)"/>
    <s v=""/>
    <d v="2026-01-31T00:00:00"/>
    <n v="51306"/>
    <n v="2700"/>
    <n v="296"/>
    <s v="Junior Lopes"/>
    <d v="2025-04-15T00:00:00"/>
    <d v="1899-12-30T14:58:16"/>
    <s v=""/>
    <s v="Ganho"/>
    <d v="2025-05-06T00:00:00"/>
    <d v="1899-12-30T11:39:55"/>
    <s v=""/>
    <s v="0"/>
    <s v=""/>
    <x v="6"/>
    <s v=""/>
    <x v="41"/>
    <s v=""/>
    <d v="2026-01-06T00:00:00"/>
    <m/>
    <s v=""/>
    <s v=""/>
    <s v=""/>
    <s v=""/>
    <n v="1"/>
  </r>
  <r>
    <x v="1"/>
    <n v="347"/>
    <m/>
    <n v="1992"/>
    <s v=""/>
    <s v=""/>
    <x v="144"/>
    <m/>
    <s v=""/>
    <s v="Renovação Porcelanas - AFV"/>
    <s v="11965745182"/>
    <s v=""/>
    <s v="camila@rnporcelanas.com.br"/>
    <s v=""/>
    <s v=""/>
    <s v=""/>
    <s v=""/>
    <s v=""/>
    <s v=""/>
    <s v=""/>
    <s v=""/>
    <s v=""/>
    <s v="Pipeline de Vendas"/>
    <s v="Em negociação (75%)"/>
    <s v=""/>
    <m/>
    <n v="15216"/>
    <n v="37684"/>
    <n v="21"/>
    <s v="Junior Lopes"/>
    <d v="2025-04-15T00:00:00"/>
    <d v="1899-12-30T14:59:35"/>
    <s v=""/>
    <s v="Perdido"/>
    <d v="2025-05-06T00:00:00"/>
    <d v="1899-12-30T11:41:13"/>
    <s v="Preço muito alto - fora do budget de investimento"/>
    <s v="Camila ! Sobre o projeto, acredita que vamos dar sequência?_x000a_,_x000a_Camila ? Boa tarde ! Espero que esteja bem ._x000a_Acredita que vamos seguir !_x000a_Oi boa tarde_x000a_Olá Camila ! Bom dia _x000a_Sobre o software? Tem interesse em dar continuidade?_x000a_Oi Camila, acredito que não tenham interesse nesse momento e tudo bem ! fico a disposição caso queira voltar sobre o projeto em breve_x000a_Junior bom dia_x000a_estou te devendo um retorno_x000a_esse valor de investimento no momento não faz sentido pra nós_x000a_voces querem fazer uma contra proposta ? posso verificar com minha diretoria"/>
    <s v=""/>
    <x v="68"/>
    <s v=""/>
    <x v="76"/>
    <s v=""/>
    <m/>
    <m/>
    <s v=""/>
    <s v=""/>
    <s v=""/>
    <s v=""/>
    <n v="1"/>
  </r>
  <r>
    <x v="1"/>
    <n v="348"/>
    <m/>
    <n v="1993"/>
    <s v=""/>
    <s v=""/>
    <x v="145"/>
    <m/>
    <s v=""/>
    <s v="Unik"/>
    <s v="11997371774"/>
    <s v=""/>
    <s v="leonardo@unik.com.br"/>
    <s v=""/>
    <s v=""/>
    <s v=""/>
    <s v=""/>
    <s v=""/>
    <s v=""/>
    <s v=""/>
    <s v=""/>
    <s v=""/>
    <s v="Pipeline de Vendas"/>
    <s v="Em Fechamento (100%)"/>
    <s v="10x sem juros (0/30/60/90/120/150...)"/>
    <m/>
    <n v="15264"/>
    <n v="8210"/>
    <n v="22"/>
    <s v="Junior Lopes"/>
    <d v="2025-04-15T00:00:00"/>
    <d v="1899-12-30T17:21:27"/>
    <s v=""/>
    <s v="Ganho"/>
    <d v="2025-05-07T00:00:00"/>
    <d v="1899-12-30T08:54:54"/>
    <s v=""/>
    <s v=""/>
    <s v=""/>
    <x v="69"/>
    <s v=""/>
    <x v="0"/>
    <s v=""/>
    <m/>
    <m/>
    <s v=""/>
    <s v=""/>
    <s v=""/>
    <s v=""/>
    <n v="1"/>
  </r>
  <r>
    <x v="1"/>
    <n v="351"/>
    <m/>
    <n v="1997"/>
    <s v=""/>
    <s v=""/>
    <x v="146"/>
    <n v="56262451000151"/>
    <s v=""/>
    <s v="XieXie Com. de brinquedos - B2B"/>
    <s v="(11) 2492-2763"/>
    <s v=""/>
    <s v="fbastosauditores@terra.com.br"/>
    <s v=""/>
    <s v=""/>
    <s v=""/>
    <s v="GUARULHOS"/>
    <s v="SP"/>
    <s v=""/>
    <s v=""/>
    <s v=""/>
    <s v=""/>
    <s v="Pipeline de Vendas"/>
    <s v="Em negociação (75%)"/>
    <s v=""/>
    <m/>
    <n v="1620001"/>
    <n v="3400"/>
    <n v="6"/>
    <s v="Junior Lopes"/>
    <d v="2025-04-17T00:00:00"/>
    <d v="1899-12-30T10:20:26"/>
    <s v=""/>
    <s v="Perdido"/>
    <d v="2025-04-23T00:00:00"/>
    <d v="1899-12-30T15:04:23"/>
    <s v="Não houve aprovação financeira"/>
    <s v="Após envio da proposta comercial, não obtive mais retorno do Kaique, estou declinando a oportunidade mas continuarei tentando contato"/>
    <s v=""/>
    <x v="70"/>
    <s v=""/>
    <x v="77"/>
    <s v=""/>
    <m/>
    <m/>
    <s v=""/>
    <s v=""/>
    <s v=""/>
    <s v=""/>
    <n v="1"/>
  </r>
  <r>
    <x v="1"/>
    <n v="352"/>
    <m/>
    <n v="1999"/>
    <s v=""/>
    <s v=""/>
    <x v="147"/>
    <m/>
    <s v=""/>
    <s v="XieXie Com. de brinquedos - BI"/>
    <s v="11949590732"/>
    <s v=""/>
    <s v="fbastosauditores@terra.com.br"/>
    <s v=""/>
    <s v=""/>
    <s v=""/>
    <s v=""/>
    <s v=""/>
    <s v=""/>
    <s v=""/>
    <s v=""/>
    <s v=""/>
    <s v="Pipeline de Vendas"/>
    <s v="Em negociação (75%)"/>
    <s v=""/>
    <m/>
    <n v="16200"/>
    <n v="2160"/>
    <n v="6"/>
    <s v="Junior Lopes"/>
    <d v="2025-04-17T00:00:00"/>
    <d v="1899-12-30T11:11:07"/>
    <s v=""/>
    <s v="Perdido"/>
    <d v="2025-04-23T00:00:00"/>
    <d v="1899-12-30T15:05:19"/>
    <s v="Não houve aprovação financeira"/>
    <s v="Após envio da proposta comercial, não obtive mais retorno do Kaique, estou declinando a oportunidade mas continuarei tentando contato"/>
    <s v=""/>
    <x v="70"/>
    <s v=""/>
    <x v="77"/>
    <s v=""/>
    <m/>
    <m/>
    <s v=""/>
    <s v=""/>
    <s v=""/>
    <s v=""/>
    <n v="1"/>
  </r>
  <r>
    <x v="1"/>
    <n v="353"/>
    <m/>
    <n v="2000"/>
    <s v=""/>
    <s v=""/>
    <x v="148"/>
    <n v="8678467000105"/>
    <s v=""/>
    <s v="Y-888 - ERP"/>
    <s v="(21) 2784-2650"/>
    <s v=""/>
    <s v=""/>
    <s v=""/>
    <s v=""/>
    <s v=""/>
    <s v="DUQUE DE CAXIAS"/>
    <s v="RJ"/>
    <s v=""/>
    <s v=""/>
    <s v=""/>
    <s v="50%"/>
    <s v="Pipeline de Vendas"/>
    <s v="Em negociação (75%)"/>
    <s v=""/>
    <m/>
    <n v="5667184"/>
    <n v="539533"/>
    <n v="68"/>
    <s v="Junior Lopes"/>
    <d v="2025-04-17T00:00:00"/>
    <d v="1899-12-30T12:16:07"/>
    <s v=""/>
    <s v="Perdido"/>
    <d v="2025-06-24T00:00:00"/>
    <d v="1899-12-30T11:54:52"/>
    <s v="Não houve aprovação financeira"/>
    <s v="estou fechando oportunidade porem manterei contato com Victor"/>
    <s v=""/>
    <x v="63"/>
    <s v=""/>
    <x v="72"/>
    <s v=""/>
    <m/>
    <m/>
    <s v=""/>
    <s v=""/>
    <s v=""/>
    <s v=""/>
    <n v="1"/>
  </r>
  <r>
    <x v="1"/>
    <n v="354"/>
    <m/>
    <n v="2002"/>
    <s v=""/>
    <s v=""/>
    <x v="149"/>
    <n v="8678467000105"/>
    <s v=""/>
    <s v="Y 888 importação - AFV"/>
    <s v="(21) 2784-2650"/>
    <s v=""/>
    <s v=""/>
    <s v=""/>
    <s v=""/>
    <s v=""/>
    <s v="DUQUE DE CAXIAS"/>
    <s v="RJ"/>
    <s v=""/>
    <s v=""/>
    <s v=""/>
    <s v="50%"/>
    <s v="Pipeline de Vendas"/>
    <s v="Em negociação (75%)"/>
    <s v=""/>
    <m/>
    <n v="1600"/>
    <n v="28747"/>
    <n v="68"/>
    <s v="Junior Lopes"/>
    <d v="2025-04-17T00:00:00"/>
    <d v="1899-12-30T14:20:48"/>
    <s v=""/>
    <s v="Perdido"/>
    <d v="2025-06-24T00:00:00"/>
    <d v="1899-12-30T11:56:26"/>
    <s v="Não houve aprovação financeira"/>
    <s v="estou descartando oportunidade porem vou manter contato com Victor"/>
    <s v=""/>
    <x v="63"/>
    <s v=""/>
    <x v="72"/>
    <s v=""/>
    <m/>
    <m/>
    <s v=""/>
    <s v=""/>
    <s v=""/>
    <s v=""/>
    <n v="1"/>
  </r>
  <r>
    <x v="1"/>
    <n v="355"/>
    <m/>
    <n v="2004"/>
    <s v=""/>
    <s v=""/>
    <x v="150"/>
    <m/>
    <s v=""/>
    <s v="MDL Import - Cloud"/>
    <s v="11910695515"/>
    <s v=""/>
    <s v="janaina@mdlimpoort.com.br"/>
    <s v=""/>
    <s v=""/>
    <s v=""/>
    <s v=""/>
    <s v=""/>
    <s v=""/>
    <s v=""/>
    <s v=""/>
    <s v="80%"/>
    <s v="Pipeline de Vendas"/>
    <s v="Em negociação (75%)"/>
    <s v=""/>
    <m/>
    <n v="1600"/>
    <n v="32107"/>
    <n v="74"/>
    <s v="Junior Lopes"/>
    <d v="2025-04-17T00:00:00"/>
    <d v="1899-12-30T15:26:06"/>
    <s v=""/>
    <s v="Perdido"/>
    <d v="2025-06-30T00:00:00"/>
    <d v="1899-12-30T15:13:09"/>
    <s v="Não houve aprovação financeira"/>
    <s v="integração com WMS inviabilizou projeto"/>
    <s v=""/>
    <x v="63"/>
    <s v=""/>
    <x v="72"/>
    <s v="15/04/2025"/>
    <m/>
    <m/>
    <s v=""/>
    <s v=""/>
    <s v=""/>
    <s v=""/>
    <n v="1"/>
  </r>
  <r>
    <x v="1"/>
    <n v="358"/>
    <m/>
    <n v="2008"/>
    <s v=""/>
    <s v=""/>
    <x v="151"/>
    <m/>
    <s v=""/>
    <s v="Cassio"/>
    <s v="(22) 99967-1888"/>
    <s v=""/>
    <s v="ngcassio@gmail.com"/>
    <s v=""/>
    <s v=""/>
    <s v=""/>
    <s v="Nova Friburgo"/>
    <s v=""/>
    <s v="Site"/>
    <s v=""/>
    <s v=""/>
    <s v="Solicita demo"/>
    <s v="Pipeline de Vendas"/>
    <s v="Apresentar Proposta (50%)"/>
    <s v=""/>
    <m/>
    <n v="58088"/>
    <n v="112089"/>
    <n v="17"/>
    <s v="Paulo Souza"/>
    <d v="2025-04-28T00:00:00"/>
    <d v="1899-12-30T16:40:49"/>
    <s v=""/>
    <s v="Perdido"/>
    <d v="2025-05-15T00:00:00"/>
    <d v="1899-12-30T15:31:10"/>
    <s v="Projeto adiado / sem prazo definido"/>
    <s v="empresa ainda esta no zero ! cliente mentaliza algo fora da realidade !"/>
    <s v=""/>
    <x v="64"/>
    <s v="Junior Lopes"/>
    <x v="78"/>
    <s v=""/>
    <m/>
    <m/>
    <s v=""/>
    <s v=""/>
    <s v=""/>
    <s v=""/>
    <n v="1"/>
  </r>
  <r>
    <x v="0"/>
    <n v="359"/>
    <m/>
    <n v="2019"/>
    <s v=""/>
    <s v=""/>
    <x v="152"/>
    <m/>
    <s v=""/>
    <s v="Vagner"/>
    <s v="(16) 99126-8825"/>
    <s v=""/>
    <s v="flordesedaimportadora@outlook.com"/>
    <s v=""/>
    <s v=""/>
    <s v=""/>
    <s v=""/>
    <s v=""/>
    <s v=""/>
    <s v=""/>
    <s v=""/>
    <s v=""/>
    <s v="Pipeline de Vendas"/>
    <s v="Em Fechamento (100%)"/>
    <s v=""/>
    <m/>
    <n v="40000"/>
    <n v="23581"/>
    <n v="43"/>
    <s v="Paulo Souza"/>
    <d v="2025-04-28T00:00:00"/>
    <d v="1899-12-30T16:44:09"/>
    <s v=""/>
    <s v="Ganho"/>
    <d v="2025-06-10T00:00:00"/>
    <d v="1899-12-30T12:15:46"/>
    <s v=""/>
    <s v=""/>
    <s v=""/>
    <x v="71"/>
    <s v="Paulo Souza"/>
    <x v="79"/>
    <s v=""/>
    <m/>
    <m/>
    <s v=""/>
    <s v=""/>
    <s v=""/>
    <s v=""/>
    <n v="1"/>
  </r>
  <r>
    <x v="0"/>
    <n v="360"/>
    <m/>
    <n v="1986"/>
    <s v=""/>
    <s v=""/>
    <x v="153"/>
    <m/>
    <s v=""/>
    <s v="Gabrielle"/>
    <s v="(11) 93449-7333"/>
    <s v=""/>
    <s v="gabi.bertoni@outlook.com"/>
    <s v=""/>
    <s v=""/>
    <s v=""/>
    <s v="São Paulo"/>
    <s v=""/>
    <s v="Site"/>
    <s v=""/>
    <s v=""/>
    <s v="Solicita demo"/>
    <s v="Pipeline de Vendas"/>
    <s v="Em negociação (75%)"/>
    <s v=""/>
    <m/>
    <n v="68400"/>
    <n v="302046"/>
    <n v="43"/>
    <s v="Paulo Souza"/>
    <d v="2025-04-28T00:00:00"/>
    <d v="1899-12-30T16:51:09"/>
    <s v=""/>
    <s v="Perdido"/>
    <d v="2025-06-10T00:00:00"/>
    <d v="1899-12-30T14:43:33"/>
    <s v="Não quer mudar a solução atual"/>
    <s v=""/>
    <s v=""/>
    <x v="71"/>
    <s v="Paulo Souza"/>
    <x v="79"/>
    <s v=""/>
    <m/>
    <m/>
    <s v=""/>
    <s v=""/>
    <s v=""/>
    <s v=""/>
    <n v="1"/>
  </r>
  <r>
    <x v="1"/>
    <n v="361"/>
    <m/>
    <n v="2010"/>
    <s v=""/>
    <s v=""/>
    <x v="154"/>
    <m/>
    <s v=""/>
    <s v="Importadora Cassio - Cloud"/>
    <s v="22999671888"/>
    <s v=""/>
    <s v="ngcassio@gmail.com"/>
    <s v=""/>
    <s v=""/>
    <s v=""/>
    <s v=""/>
    <s v=""/>
    <s v=""/>
    <s v=""/>
    <s v=""/>
    <s v=""/>
    <s v="Pipeline de Vendas"/>
    <s v="Apresentar Proposta (50%)"/>
    <s v=""/>
    <m/>
    <n v="26200"/>
    <n v="3400"/>
    <n v="16"/>
    <s v="Junior Lopes"/>
    <d v="2025-04-29T00:00:00"/>
    <d v="1899-12-30T14:49:37"/>
    <s v=""/>
    <s v="Perdido"/>
    <d v="2025-05-15T00:00:00"/>
    <d v="1899-12-30T15:31:35"/>
    <s v="Projeto adiado / sem prazo definido"/>
    <s v="empresa ainda esta no zero ! cliente mentaliza algo fora da realidade !"/>
    <s v=""/>
    <x v="64"/>
    <s v=""/>
    <x v="78"/>
    <s v=""/>
    <m/>
    <m/>
    <s v=""/>
    <s v=""/>
    <s v=""/>
    <s v=""/>
    <n v="1"/>
  </r>
  <r>
    <x v="1"/>
    <n v="362"/>
    <m/>
    <n v="2011"/>
    <s v=""/>
    <s v=""/>
    <x v="155"/>
    <m/>
    <s v=""/>
    <s v="Renovação porcelanas - Cloud"/>
    <s v="11965745182"/>
    <s v=""/>
    <s v="camila@rnporcelanas.com.br"/>
    <s v=""/>
    <s v=""/>
    <s v=""/>
    <s v=""/>
    <s v=""/>
    <s v=""/>
    <s v=""/>
    <s v=""/>
    <s v=""/>
    <s v="Pipeline de Vendas"/>
    <s v="Em negociação (75%)"/>
    <s v=""/>
    <m/>
    <n v="1600"/>
    <n v="1026"/>
    <n v="7"/>
    <s v="Junior Lopes"/>
    <d v="2025-04-29T00:00:00"/>
    <d v="1899-12-30T16:51:32"/>
    <s v=""/>
    <s v="Perdido"/>
    <d v="2025-05-06T00:00:00"/>
    <d v="1899-12-30T15:02:15"/>
    <s v="Preço muito alto - fora do budget de investimento"/>
    <s v=""/>
    <s v=""/>
    <x v="68"/>
    <s v=""/>
    <x v="76"/>
    <s v=""/>
    <m/>
    <m/>
    <s v=""/>
    <s v=""/>
    <s v=""/>
    <s v=""/>
    <n v="1"/>
  </r>
  <r>
    <x v="2"/>
    <n v="366"/>
    <m/>
    <n v="2015"/>
    <s v=""/>
    <s v=""/>
    <x v="156"/>
    <m/>
    <s v=""/>
    <s v="Jose Roberto"/>
    <s v=""/>
    <s v=""/>
    <s v="diretoria@grupobeline.com.br"/>
    <s v=""/>
    <s v=""/>
    <s v=""/>
    <s v=""/>
    <s v=""/>
    <s v=""/>
    <s v=""/>
    <s v=""/>
    <s v=""/>
    <s v="Pipeline de Vendas"/>
    <s v="Em Fechamento (100%)"/>
    <s v=""/>
    <m/>
    <n v="3360"/>
    <n v="165372"/>
    <n v="19"/>
    <s v="Rayssa Karapeticov"/>
    <d v="2025-04-30T00:00:00"/>
    <d v="1899-12-30T15:10:38"/>
    <s v=""/>
    <s v="Ganho"/>
    <d v="2025-05-19T00:00:00"/>
    <d v="1899-12-30T09:02:32"/>
    <s v=""/>
    <s v=""/>
    <s v=""/>
    <x v="72"/>
    <s v=""/>
    <x v="80"/>
    <s v=""/>
    <m/>
    <m/>
    <s v=""/>
    <s v=""/>
    <s v=""/>
    <s v=""/>
    <n v="1"/>
  </r>
  <r>
    <x v="1"/>
    <n v="367"/>
    <m/>
    <n v="2016"/>
    <s v=""/>
    <s v=""/>
    <x v="157"/>
    <m/>
    <s v=""/>
    <s v="Cassio importadora - Cloud"/>
    <s v="22999671888"/>
    <s v=""/>
    <s v="ngcassio@gmail.com"/>
    <s v=""/>
    <s v=""/>
    <s v=""/>
    <s v=""/>
    <s v=""/>
    <s v=""/>
    <s v=""/>
    <s v=""/>
    <s v=""/>
    <s v="Pipeline de Vendas"/>
    <s v="Apresentar Proposta (50%)"/>
    <s v=""/>
    <m/>
    <n v="1600"/>
    <n v="210169"/>
    <n v="15"/>
    <s v="Junior Lopes"/>
    <d v="2025-04-30T00:00:00"/>
    <d v="1899-12-30T15:30:14"/>
    <s v=""/>
    <s v="Perdido"/>
    <d v="2025-05-15T00:00:00"/>
    <d v="1899-12-30T15:31:57"/>
    <s v="Projeto adiado / sem prazo definido"/>
    <s v="empresa ainda esta no zero ! cliente mentaliza algo fora da realidade !"/>
    <s v=""/>
    <x v="64"/>
    <s v=""/>
    <x v="78"/>
    <s v=""/>
    <m/>
    <m/>
    <s v=""/>
    <s v=""/>
    <s v=""/>
    <s v=""/>
    <n v="1"/>
  </r>
  <r>
    <x v="0"/>
    <n v="368"/>
    <m/>
    <n v="2017"/>
    <s v=""/>
    <s v=""/>
    <x v="158"/>
    <n v="18677964000134"/>
    <s v=""/>
    <s v="L&amp;T Importadora"/>
    <s v="1127696004"/>
    <s v=""/>
    <s v="financeiro@ltimportadora.com.br"/>
    <s v=""/>
    <s v=""/>
    <s v=""/>
    <s v=""/>
    <s v=""/>
    <s v=""/>
    <s v=""/>
    <s v=""/>
    <s v=""/>
    <s v="Pipeline de Vendas"/>
    <s v="Em Fechamento (100%)"/>
    <s v=""/>
    <m/>
    <n v="14000"/>
    <n v="886"/>
    <n v="0"/>
    <s v="Paulo Souza"/>
    <d v="2025-05-02T00:00:00"/>
    <d v="1899-12-30T13:58:07"/>
    <s v=""/>
    <s v="Ganho"/>
    <d v="2025-05-02T00:00:00"/>
    <d v="1899-12-30T14:04:33"/>
    <s v=""/>
    <s v=""/>
    <s v=""/>
    <x v="73"/>
    <s v="Paulo Souza"/>
    <x v="81"/>
    <s v=""/>
    <m/>
    <m/>
    <s v=""/>
    <s v=""/>
    <s v=""/>
    <s v=""/>
    <n v="1"/>
  </r>
  <r>
    <x v="0"/>
    <n v="369"/>
    <m/>
    <n v="2018"/>
    <s v=""/>
    <s v=""/>
    <x v="159"/>
    <n v="10906096000105"/>
    <s v=""/>
    <s v="Sakes"/>
    <s v="1133133243"/>
    <s v=""/>
    <s v="MARCIA@SAKES.COM.BR"/>
    <s v=""/>
    <s v=""/>
    <s v=""/>
    <s v=""/>
    <s v=""/>
    <s v=""/>
    <s v=""/>
    <s v=""/>
    <s v=""/>
    <s v="Pipeline de Vendas"/>
    <s v="Agendamento (0%)"/>
    <s v=""/>
    <m/>
    <n v="13600"/>
    <n v="886"/>
    <n v="0"/>
    <s v="Paulo Souza"/>
    <d v="2025-05-02T00:00:00"/>
    <d v="1899-12-30T14:06:04"/>
    <s v=""/>
    <s v="Ganho"/>
    <d v="2025-05-02T00:00:00"/>
    <d v="1899-12-30T14:08:29"/>
    <s v=""/>
    <s v=""/>
    <s v=""/>
    <x v="73"/>
    <s v="Paulo Souza"/>
    <x v="81"/>
    <s v=""/>
    <m/>
    <m/>
    <s v=""/>
    <s v=""/>
    <s v=""/>
    <s v=""/>
    <n v="1"/>
  </r>
  <r>
    <x v="0"/>
    <n v="370"/>
    <m/>
    <n v="2020"/>
    <s v=""/>
    <s v=""/>
    <x v="160"/>
    <m/>
    <s v=""/>
    <s v="Nathan"/>
    <s v="15998182143"/>
    <s v=""/>
    <s v="null"/>
    <s v=""/>
    <s v=""/>
    <s v=""/>
    <s v=""/>
    <s v=""/>
    <s v=""/>
    <s v=""/>
    <s v=""/>
    <s v="50%"/>
    <s v="Pipeline de Vendas"/>
    <s v="Em negociação (75%)"/>
    <s v=""/>
    <m/>
    <n v="51250"/>
    <n v="33381"/>
    <n v="114"/>
    <s v="Paulo Souza"/>
    <d v="2025-05-03T00:00:00"/>
    <d v="1899-12-30T11:03:22"/>
    <s v=""/>
    <s v="Perdido"/>
    <d v="2025-08-25T00:00:00"/>
    <d v="1899-12-30T14:34:31"/>
    <s v="Projeto adiado / sem prazo definido"/>
    <s v=""/>
    <s v=""/>
    <x v="0"/>
    <s v="Paulo Souza"/>
    <x v="82"/>
    <s v=""/>
    <m/>
    <m/>
    <s v=""/>
    <s v=""/>
    <s v=""/>
    <s v=""/>
    <n v="1"/>
  </r>
  <r>
    <x v="1"/>
    <n v="375"/>
    <m/>
    <n v="2024"/>
    <s v=""/>
    <s v=""/>
    <x v="161"/>
    <m/>
    <s v=""/>
    <s v="Mundial Log"/>
    <s v="11947482090"/>
    <s v=""/>
    <s v="rafael@mundiallog.com.br"/>
    <s v=""/>
    <s v=""/>
    <s v=""/>
    <s v=""/>
    <s v=""/>
    <s v=""/>
    <s v=""/>
    <s v=""/>
    <s v=""/>
    <s v="Pipeline de Vendas"/>
    <s v="Apresentar Proposta (50%)"/>
    <s v=""/>
    <m/>
    <n v="69112"/>
    <n v="508112"/>
    <n v="7"/>
    <s v="Junior Lopes"/>
    <d v="2025-05-08T00:00:00"/>
    <d v="1899-12-30T16:11:25"/>
    <s v=""/>
    <s v="Perdido"/>
    <d v="2025-05-15T00:00:00"/>
    <d v="1899-12-30T16:22:48"/>
    <s v="Não houve aprovação financeira"/>
    <s v=""/>
    <s v=""/>
    <x v="74"/>
    <s v=""/>
    <x v="83"/>
    <s v=""/>
    <m/>
    <m/>
    <s v=""/>
    <s v=""/>
    <s v=""/>
    <s v=""/>
    <n v="1"/>
  </r>
  <r>
    <x v="1"/>
    <n v="376"/>
    <m/>
    <n v="2025"/>
    <s v=""/>
    <s v=""/>
    <x v="162"/>
    <m/>
    <s v=""/>
    <s v="Mundial Log - Cloud"/>
    <s v="11947482090"/>
    <s v=""/>
    <s v="rafael@mundiallog.com.br"/>
    <s v=""/>
    <s v=""/>
    <s v=""/>
    <s v=""/>
    <s v=""/>
    <s v=""/>
    <s v=""/>
    <s v=""/>
    <s v=""/>
    <s v="Pipeline de Vendas"/>
    <s v="Apresentar Proposta (50%)"/>
    <s v=""/>
    <m/>
    <n v="1600"/>
    <n v="32107"/>
    <n v="7"/>
    <s v="Junior Lopes"/>
    <d v="2025-05-08T00:00:00"/>
    <d v="1899-12-30T16:29:40"/>
    <s v=""/>
    <s v="Perdido"/>
    <d v="2025-05-15T00:00:00"/>
    <d v="1899-12-30T16:23:14"/>
    <s v="Não houve aprovação financeira"/>
    <s v=""/>
    <s v=""/>
    <x v="74"/>
    <s v=""/>
    <x v="83"/>
    <s v=""/>
    <m/>
    <m/>
    <s v=""/>
    <s v=""/>
    <s v=""/>
    <s v=""/>
    <n v="1"/>
  </r>
  <r>
    <x v="0"/>
    <n v="379"/>
    <m/>
    <n v="2199"/>
    <s v=""/>
    <s v=""/>
    <x v="163"/>
    <m/>
    <s v=""/>
    <s v="Anderson"/>
    <s v="(16) 99707-0733"/>
    <s v=""/>
    <s v=""/>
    <s v=""/>
    <s v=""/>
    <s v=""/>
    <s v=""/>
    <s v=""/>
    <s v="Indicação"/>
    <s v=""/>
    <s v=""/>
    <s v="50%"/>
    <s v="Pipeline de Vendas"/>
    <s v="Em negociação (75%)"/>
    <s v=""/>
    <m/>
    <n v="68400"/>
    <n v="17345"/>
    <n v="108"/>
    <s v="Paulo Souza"/>
    <d v="2025-05-09T00:00:00"/>
    <d v="1899-12-30T16:01:00"/>
    <s v=""/>
    <s v="Perdido"/>
    <d v="2025-08-25T00:00:00"/>
    <d v="1899-12-30T14:28:20"/>
    <s v="Fechou com o concorrente - preço"/>
    <s v=""/>
    <s v=""/>
    <x v="0"/>
    <s v=""/>
    <x v="0"/>
    <s v=""/>
    <m/>
    <m/>
    <s v=""/>
    <s v=""/>
    <s v=""/>
    <s v=""/>
    <n v="1"/>
  </r>
  <r>
    <x v="1"/>
    <n v="382"/>
    <m/>
    <n v="2031"/>
    <s v=""/>
    <s v=""/>
    <x v="164"/>
    <n v="27173648000116"/>
    <s v=""/>
    <s v="Fest Buuble"/>
    <s v="(11) 9342-9915"/>
    <s v=""/>
    <s v="amandfast@gmail.com"/>
    <s v=""/>
    <s v=""/>
    <s v=""/>
    <s v="SAO PAULO"/>
    <s v="SP"/>
    <s v=""/>
    <s v=""/>
    <s v=""/>
    <s v=""/>
    <s v="Pipeline de Vendas"/>
    <s v="Agendamento (0%)"/>
    <s v=""/>
    <m/>
    <m/>
    <m/>
    <n v="50"/>
    <s v="Junior Lopes"/>
    <d v="2025-05-12T00:00:00"/>
    <d v="1899-12-30T15:21:57"/>
    <s v=""/>
    <s v="Perdido"/>
    <d v="2025-07-01T00:00:00"/>
    <d v="1899-12-30T09:46:00"/>
    <s v="Projeto adiado / sem prazo definido"/>
    <s v="Aguardar Rep Mais"/>
    <s v=""/>
    <x v="0"/>
    <s v=""/>
    <x v="84"/>
    <s v=""/>
    <m/>
    <m/>
    <s v=""/>
    <s v=""/>
    <s v=""/>
    <s v=""/>
    <n v="1"/>
  </r>
  <r>
    <x v="1"/>
    <n v="383"/>
    <m/>
    <n v="2033"/>
    <s v=""/>
    <s v=""/>
    <x v="165"/>
    <n v="86890639000105"/>
    <s v=""/>
    <s v="Arrtef Brasil - RMS"/>
    <s v=""/>
    <s v=""/>
    <s v=""/>
    <s v=""/>
    <s v=""/>
    <s v=""/>
    <s v="CURITIBA"/>
    <s v="PR"/>
    <s v=""/>
    <s v=""/>
    <s v=""/>
    <s v=""/>
    <s v="Pipeline de Vendas"/>
    <s v="Agendamento (0%)"/>
    <s v=""/>
    <m/>
    <m/>
    <m/>
    <n v="50"/>
    <s v="Junior Lopes"/>
    <d v="2025-05-12T00:00:00"/>
    <d v="1899-12-30T15:34:32"/>
    <s v=""/>
    <s v="Perdido"/>
    <d v="2025-07-01T00:00:00"/>
    <d v="1899-12-30T09:46:34"/>
    <s v="Projeto adiado / sem prazo definido"/>
    <s v="Aguardar Rep Mais"/>
    <s v=""/>
    <x v="0"/>
    <s v=""/>
    <x v="0"/>
    <s v=""/>
    <m/>
    <m/>
    <s v=""/>
    <s v=""/>
    <s v=""/>
    <s v=""/>
    <n v="1"/>
  </r>
  <r>
    <x v="1"/>
    <n v="384"/>
    <m/>
    <n v="2036"/>
    <s v=""/>
    <s v=""/>
    <x v="166"/>
    <m/>
    <s v=""/>
    <s v="Fa fa Import"/>
    <s v="21989290057"/>
    <s v=""/>
    <s v="lucianadsmoura@gmail.com"/>
    <s v=""/>
    <s v=""/>
    <s v=""/>
    <s v=""/>
    <s v=""/>
    <s v=""/>
    <s v=""/>
    <s v=""/>
    <s v="90%"/>
    <s v="Pipeline de Vendas"/>
    <s v="Em Fechamento (100%)"/>
    <s v=""/>
    <m/>
    <n v="3230634"/>
    <n v="17706"/>
    <n v="35"/>
    <s v="Junior Lopes"/>
    <d v="2025-05-13T00:00:00"/>
    <d v="1899-12-30T17:15:52"/>
    <s v=""/>
    <s v="Ganho"/>
    <d v="2025-06-17T00:00:00"/>
    <d v="1899-12-30T16:19:34"/>
    <s v=""/>
    <s v=""/>
    <s v=""/>
    <x v="75"/>
    <s v=""/>
    <x v="85"/>
    <s v=""/>
    <m/>
    <m/>
    <s v=""/>
    <s v=""/>
    <s v=""/>
    <s v=""/>
    <n v="1"/>
  </r>
  <r>
    <x v="1"/>
    <n v="385"/>
    <m/>
    <n v="2037"/>
    <s v=""/>
    <s v=""/>
    <x v="167"/>
    <m/>
    <s v=""/>
    <s v="Fa Fa Import - Cloud"/>
    <s v="21989290058"/>
    <s v=""/>
    <s v="lucianadsmoura@gmail.com"/>
    <s v=""/>
    <s v=""/>
    <s v=""/>
    <s v=""/>
    <s v=""/>
    <s v=""/>
    <s v=""/>
    <s v=""/>
    <s v="90%"/>
    <s v="Pipeline de Vendas"/>
    <s v="Em Fechamento (100%)"/>
    <s v=""/>
    <m/>
    <n v="0"/>
    <n v="208313"/>
    <n v="35"/>
    <s v="Junior Lopes"/>
    <d v="2025-05-13T00:00:00"/>
    <d v="1899-12-30T17:16:59"/>
    <s v=""/>
    <s v="Ganho"/>
    <d v="2025-06-17T00:00:00"/>
    <d v="1899-12-30T16:20:18"/>
    <s v=""/>
    <s v=""/>
    <s v=""/>
    <x v="75"/>
    <s v=""/>
    <x v="85"/>
    <s v=""/>
    <m/>
    <m/>
    <s v=""/>
    <s v=""/>
    <s v=""/>
    <s v=""/>
    <n v="1"/>
  </r>
  <r>
    <x v="1"/>
    <n v="405"/>
    <m/>
    <n v="2061"/>
    <s v=""/>
    <s v=""/>
    <x v="168"/>
    <m/>
    <s v=""/>
    <s v="Amazonia aromas"/>
    <s v="11991266405"/>
    <s v=""/>
    <s v="atendimento@amazoniaaromas.com.br"/>
    <s v=""/>
    <s v=""/>
    <s v=""/>
    <s v=""/>
    <s v=""/>
    <s v=""/>
    <s v=""/>
    <s v=""/>
    <s v="50%"/>
    <s v="Pipeline de Vendas"/>
    <s v="Em negociação (75%)"/>
    <s v=""/>
    <m/>
    <m/>
    <m/>
    <n v="20"/>
    <s v="Junior Lopes"/>
    <d v="2025-05-28T00:00:00"/>
    <d v="1899-12-30T09:32:20"/>
    <s v=""/>
    <s v="Perdido"/>
    <d v="2025-06-17T00:00:00"/>
    <d v="1899-12-30T16:21:42"/>
    <s v="Nossa solução não atende - falta funcionalidade"/>
    <s v="15:18, 3/6/2025 André Oliveira (Amazonia Aromas): Quanto?_x000a_15:21, 3/6/2025 Junior Lopes: acredito que uns 90 dias ! estamos em homologação em um cliente da nossa base_x000a_15:31, 3/6/2025 André Oliveira (Amazonia Aromas): Mobile Android e ios normal_x000a_15:34, 3/6/2025 Junior Lopes: Mobile Android Off-line _x000a_iOS e Windows on-line_x000a_15:37, 3/6/2025 André Oliveira (Amazonia Aromas): Hum ios ferra um pouco"/>
    <s v=""/>
    <x v="76"/>
    <s v=""/>
    <x v="86"/>
    <s v=""/>
    <m/>
    <m/>
    <s v=""/>
    <s v=""/>
    <s v=""/>
    <s v=""/>
    <n v="1"/>
  </r>
  <r>
    <x v="1"/>
    <n v="406"/>
    <m/>
    <n v="2062"/>
    <s v=""/>
    <s v=""/>
    <x v="169"/>
    <n v="5215210000110"/>
    <s v=""/>
    <s v="AZPR"/>
    <s v="(41) 3376-2439"/>
    <s v=""/>
    <s v=""/>
    <s v=""/>
    <s v=""/>
    <s v=""/>
    <s v="CURITIBA"/>
    <s v="PR"/>
    <s v=""/>
    <s v=""/>
    <s v=""/>
    <s v="30%"/>
    <s v="Pipeline de Vendas"/>
    <s v="Apresentar Solução (35%)"/>
    <s v=""/>
    <m/>
    <n v="622008"/>
    <n v="23661"/>
    <n v="26"/>
    <s v="Junior Lopes"/>
    <d v="2025-05-28T00:00:00"/>
    <d v="1899-12-30T09:50:40"/>
    <s v=""/>
    <s v="Perdido"/>
    <d v="2025-06-23T00:00:00"/>
    <d v="1899-12-30T08:51:59"/>
    <s v="Projeto adiado / sem prazo definido"/>
    <s v="voltar contato quando RepMais"/>
    <s v=""/>
    <x v="77"/>
    <s v=""/>
    <x v="87"/>
    <s v=""/>
    <m/>
    <m/>
    <s v=""/>
    <s v=""/>
    <s v=""/>
    <s v=""/>
    <n v="1"/>
  </r>
  <r>
    <x v="1"/>
    <n v="407"/>
    <m/>
    <n v="2065"/>
    <s v=""/>
    <s v=""/>
    <x v="170"/>
    <n v="5215210000110"/>
    <s v=""/>
    <s v="AZPR"/>
    <s v="(41) 3376-2439"/>
    <s v=""/>
    <s v=""/>
    <s v=""/>
    <s v=""/>
    <s v=""/>
    <s v="CURITIBA"/>
    <s v="PR"/>
    <s v=""/>
    <s v=""/>
    <s v=""/>
    <s v="30%"/>
    <s v="Pipeline de Vendas"/>
    <s v="Apresentar Solução (35%)"/>
    <s v=""/>
    <m/>
    <n v="1600"/>
    <n v="26507"/>
    <n v="26"/>
    <s v="Junior Lopes"/>
    <d v="2025-05-28T00:00:00"/>
    <d v="1899-12-30T09:54:27"/>
    <s v=""/>
    <s v="Perdido"/>
    <d v="2025-06-23T00:00:00"/>
    <d v="1899-12-30T08:53:19"/>
    <s v="Projeto adiado / sem prazo definido"/>
    <s v="Procurar quando RepMais"/>
    <s v=""/>
    <x v="77"/>
    <s v=""/>
    <x v="87"/>
    <s v=""/>
    <m/>
    <m/>
    <s v=""/>
    <s v=""/>
    <s v=""/>
    <s v=""/>
    <n v="1"/>
  </r>
  <r>
    <x v="1"/>
    <n v="408"/>
    <m/>
    <n v="2068"/>
    <s v=""/>
    <s v=""/>
    <x v="171"/>
    <m/>
    <s v=""/>
    <s v="Erca alumínio"/>
    <s v="19997023116"/>
    <s v=""/>
    <s v="rafael@ercaaluminio.com.br"/>
    <s v=""/>
    <s v=""/>
    <s v=""/>
    <s v=""/>
    <s v=""/>
    <s v=""/>
    <s v=""/>
    <s v=""/>
    <s v=""/>
    <s v="Pipeline de Vendas"/>
    <s v="Em Fechamento (100%)"/>
    <s v="10x sem juros (0/30/60/90/120/150...)"/>
    <m/>
    <n v="123066"/>
    <n v="0"/>
    <n v="0"/>
    <s v="Junior Lopes"/>
    <d v="2025-05-28T00:00:00"/>
    <d v="1899-12-30T10:09:38"/>
    <s v=""/>
    <s v="Ganho"/>
    <d v="2025-05-28T00:00:00"/>
    <d v="1899-12-30T10:22:07"/>
    <s v=""/>
    <s v=""/>
    <s v=""/>
    <x v="78"/>
    <s v=""/>
    <x v="0"/>
    <s v=""/>
    <m/>
    <m/>
    <s v=""/>
    <s v=""/>
    <s v=""/>
    <s v=""/>
    <n v="1"/>
  </r>
  <r>
    <x v="1"/>
    <n v="409"/>
    <m/>
    <n v="2069"/>
    <s v=""/>
    <s v=""/>
    <x v="172"/>
    <n v="56262451000151"/>
    <s v=""/>
    <s v="XieXie Mais barato"/>
    <s v="(11) 2492-2763"/>
    <s v=""/>
    <s v="fbastosauditores@terra.com.br"/>
    <s v=""/>
    <s v=""/>
    <s v=""/>
    <s v="GUARULHOS"/>
    <s v="SP"/>
    <s v=""/>
    <s v=""/>
    <s v=""/>
    <s v=""/>
    <s v="Pipeline de Vendas"/>
    <s v="Em negociação (75%)"/>
    <s v=""/>
    <m/>
    <n v="52258"/>
    <n v="606364"/>
    <n v="6"/>
    <s v="Junior Lopes"/>
    <d v="2025-05-28T00:00:00"/>
    <d v="1899-12-30T10:32:07"/>
    <s v=""/>
    <s v="Perdido"/>
    <d v="2025-06-03T00:00:00"/>
    <d v="1899-12-30T10:00:29"/>
    <s v="Preço muito alto - fora do budget de investimento"/>
    <s v="PROPOSTA RENOVCADA POREM CLIENTE NÃO DEU SEQUENCIA"/>
    <s v=""/>
    <x v="79"/>
    <s v=""/>
    <x v="0"/>
    <s v=""/>
    <m/>
    <m/>
    <s v=""/>
    <s v=""/>
    <s v=""/>
    <s v=""/>
    <n v="1"/>
  </r>
  <r>
    <x v="1"/>
    <n v="410"/>
    <m/>
    <n v="2071"/>
    <s v=""/>
    <s v=""/>
    <x v="173"/>
    <n v="56262451000151"/>
    <s v=""/>
    <s v="XieXie Mais Barato - BI B2B"/>
    <s v="(11) 2492-2763"/>
    <s v=""/>
    <s v="fbastosauditores@terra.com.br"/>
    <s v=""/>
    <s v=""/>
    <s v=""/>
    <s v="GUARULHOS"/>
    <s v="SP"/>
    <s v=""/>
    <s v=""/>
    <s v=""/>
    <s v=""/>
    <s v="Pipeline de Vendas"/>
    <s v="Em negociação (75%)"/>
    <s v=""/>
    <m/>
    <n v="42400"/>
    <n v="5560"/>
    <n v="6"/>
    <s v="Junior Lopes"/>
    <d v="2025-05-28T00:00:00"/>
    <d v="1899-12-30T10:38:48"/>
    <s v=""/>
    <s v="Perdido"/>
    <d v="2025-06-03T00:00:00"/>
    <d v="1899-12-30T10:01:26"/>
    <s v="Preço muito alto - fora do budget de investimento"/>
    <s v="PROPOSTA RENOVADA POREM CÇIENTE NÃO DEU SEQUENCIA"/>
    <s v=""/>
    <x v="79"/>
    <s v=""/>
    <x v="0"/>
    <s v=""/>
    <m/>
    <m/>
    <s v=""/>
    <s v=""/>
    <s v=""/>
    <s v=""/>
    <n v="1"/>
  </r>
  <r>
    <x v="1"/>
    <n v="412"/>
    <m/>
    <n v="2075"/>
    <s v=""/>
    <s v=""/>
    <x v="174"/>
    <m/>
    <s v=""/>
    <s v="Gala - B2B"/>
    <s v="67981004151"/>
    <s v=""/>
    <s v="diego@grupogala.com.br"/>
    <s v=""/>
    <s v=""/>
    <s v=""/>
    <s v=""/>
    <s v=""/>
    <s v=""/>
    <s v=""/>
    <s v=""/>
    <s v="50%"/>
    <s v="Pipeline de Vendas"/>
    <s v="Em negociação (75%)"/>
    <s v=""/>
    <m/>
    <n v="26200"/>
    <n v="3400"/>
    <n v="92"/>
    <s v="Junior Lopes"/>
    <d v="2025-05-28T00:00:00"/>
    <d v="1899-12-30T10:50:13"/>
    <s v=""/>
    <s v="Perdido"/>
    <d v="2025-08-28T00:00:00"/>
    <d v="1899-12-30T15:33:20"/>
    <s v="Não houve aprovação financeira"/>
    <s v=""/>
    <s v=""/>
    <x v="80"/>
    <s v=""/>
    <x v="87"/>
    <s v=""/>
    <m/>
    <m/>
    <s v=""/>
    <s v=""/>
    <s v=""/>
    <s v=""/>
    <n v="1"/>
  </r>
  <r>
    <x v="1"/>
    <n v="413"/>
    <m/>
    <n v="2076"/>
    <s v=""/>
    <s v=""/>
    <x v="175"/>
    <m/>
    <s v=""/>
    <s v="Flora Nectar - AFV"/>
    <s v="19971332893"/>
    <s v=""/>
    <s v="marina.dopekevicuz@v4company.com"/>
    <s v=""/>
    <s v=""/>
    <s v=""/>
    <s v=""/>
    <s v=""/>
    <s v=""/>
    <s v=""/>
    <s v=""/>
    <s v=""/>
    <s v="Pipeline de Vendas"/>
    <s v="Apresentar Solução (35%)"/>
    <s v=""/>
    <m/>
    <m/>
    <m/>
    <n v="12"/>
    <s v="Junior Lopes"/>
    <d v="2025-05-28T00:00:00"/>
    <d v="1899-12-30T11:12:16"/>
    <s v=""/>
    <s v="Perdido"/>
    <d v="2025-06-09T00:00:00"/>
    <d v="1899-12-30T15:53:56"/>
    <s v="Projeto adiado / sem prazo definido"/>
    <s v="Rayssa esta mantendo contato"/>
    <s v=""/>
    <x v="0"/>
    <s v=""/>
    <x v="88"/>
    <s v=""/>
    <m/>
    <m/>
    <s v=""/>
    <s v=""/>
    <s v=""/>
    <s v=""/>
    <n v="1"/>
  </r>
  <r>
    <x v="1"/>
    <n v="415"/>
    <m/>
    <n v="2127"/>
    <s v=""/>
    <s v=""/>
    <x v="176"/>
    <m/>
    <s v=""/>
    <s v="Xpert - ERP"/>
    <s v="11996219888"/>
    <s v=""/>
    <s v="manuela.xpert@gmail.com"/>
    <s v=""/>
    <s v=""/>
    <s v=""/>
    <s v=""/>
    <s v=""/>
    <s v=""/>
    <s v=""/>
    <s v=""/>
    <s v=""/>
    <s v="Pipeline de Vendas"/>
    <s v="Apresentar Solução (35%)"/>
    <s v=""/>
    <m/>
    <n v="622008"/>
    <n v="28481"/>
    <n v="12"/>
    <s v="Junior Lopes"/>
    <d v="2025-05-30T00:00:00"/>
    <d v="1899-12-30T09:10:03"/>
    <s v=""/>
    <s v="Perdido"/>
    <d v="2025-06-11T00:00:00"/>
    <d v="1899-12-30T14:24:50"/>
    <s v="Não houve aprovação financeira"/>
    <s v="informou que não tem verba de investimento"/>
    <s v=""/>
    <x v="76"/>
    <s v=""/>
    <x v="89"/>
    <s v=""/>
    <m/>
    <m/>
    <s v=""/>
    <s v=""/>
    <s v=""/>
    <s v=""/>
    <n v="1"/>
  </r>
  <r>
    <x v="1"/>
    <n v="416"/>
    <m/>
    <n v="2132"/>
    <s v=""/>
    <s v=""/>
    <x v="177"/>
    <m/>
    <s v=""/>
    <s v="Xpert - Cloud"/>
    <s v="11996219888"/>
    <s v=""/>
    <s v="manuela.xpert@gmail.com"/>
    <s v=""/>
    <s v=""/>
    <s v=""/>
    <s v=""/>
    <s v=""/>
    <s v=""/>
    <s v=""/>
    <s v=""/>
    <s v=""/>
    <s v="Pipeline de Vendas"/>
    <s v="Apresentar Proposta (50%)"/>
    <s v=""/>
    <m/>
    <n v="1600"/>
    <n v="28747"/>
    <n v="12"/>
    <s v="Junior Lopes"/>
    <d v="2025-05-30T00:00:00"/>
    <d v="1899-12-30T10:11:13"/>
    <s v=""/>
    <s v="Perdido"/>
    <d v="2025-06-11T00:00:00"/>
    <d v="1899-12-30T14:25:29"/>
    <s v="Não houve aprovação financeira"/>
    <s v="informou que não tem verba para investimento"/>
    <s v=""/>
    <x v="76"/>
    <s v=""/>
    <x v="89"/>
    <s v=""/>
    <m/>
    <m/>
    <s v=""/>
    <s v=""/>
    <s v=""/>
    <s v=""/>
    <n v="1"/>
  </r>
  <r>
    <x v="1"/>
    <n v="417"/>
    <m/>
    <n v="2133"/>
    <s v=""/>
    <s v=""/>
    <x v="178"/>
    <m/>
    <s v=""/>
    <s v="Ponto das festas"/>
    <s v="43988505997"/>
    <s v=""/>
    <s v="gerencia@pontodasfestas.com.br"/>
    <s v=""/>
    <s v=""/>
    <s v=""/>
    <s v=""/>
    <s v=""/>
    <s v=""/>
    <s v=""/>
    <s v=""/>
    <s v="30%"/>
    <s v="Pipeline de Vendas"/>
    <s v="Apresentar Proposta (50%)"/>
    <s v=""/>
    <m/>
    <n v="16960"/>
    <n v="40572"/>
    <n v="52"/>
    <s v="Junior Lopes"/>
    <d v="2025-05-30T00:00:00"/>
    <d v="1899-12-30T10:33:15"/>
    <s v=""/>
    <s v="Perdido"/>
    <d v="2025-07-21T00:00:00"/>
    <d v="1899-12-30T09:14:38"/>
    <s v="Projeto adiado / sem prazo definido"/>
    <s v="varias tentativas de contato sem retorno"/>
    <s v=""/>
    <x v="76"/>
    <s v=""/>
    <x v="89"/>
    <s v=""/>
    <m/>
    <m/>
    <s v=""/>
    <s v=""/>
    <s v=""/>
    <s v=""/>
    <n v="1"/>
  </r>
  <r>
    <x v="1"/>
    <n v="419"/>
    <m/>
    <n v="2144"/>
    <s v=""/>
    <s v=""/>
    <x v="179"/>
    <m/>
    <s v=""/>
    <s v="Oikos - Cloud"/>
    <s v="11987154112"/>
    <s v=""/>
    <s v="pedro@grupoecoa.com.br"/>
    <s v=""/>
    <s v=""/>
    <s v=""/>
    <s v=""/>
    <s v=""/>
    <s v=""/>
    <s v=""/>
    <s v=""/>
    <s v="90%"/>
    <s v="Pipeline de Vendas"/>
    <s v="Em Fechamento (100%)"/>
    <s v=""/>
    <m/>
    <n v="1600"/>
    <n v="1833334"/>
    <n v="52"/>
    <s v="Junior Lopes"/>
    <d v="2025-05-30T00:00:00"/>
    <d v="1899-12-30T14:05:15"/>
    <s v=""/>
    <s v="Perdido"/>
    <d v="2025-07-21T00:00:00"/>
    <d v="1899-12-30T09:47:38"/>
    <s v="Projeto adiado / sem prazo definido"/>
    <s v="cliente não responde sobre a continuidade"/>
    <s v=""/>
    <x v="80"/>
    <s v=""/>
    <x v="0"/>
    <s v=""/>
    <m/>
    <m/>
    <s v=""/>
    <s v=""/>
    <s v=""/>
    <s v=""/>
    <n v="1"/>
  </r>
  <r>
    <x v="1"/>
    <n v="422"/>
    <m/>
    <n v="2141"/>
    <s v=""/>
    <s v=""/>
    <x v="180"/>
    <n v="27898532000144"/>
    <s v=""/>
    <s v="Tainã"/>
    <s v="(14) 99811-7753"/>
    <s v=""/>
    <s v="atacadaodastripasfinanceiro@hotmail.com"/>
    <s v=""/>
    <s v=""/>
    <s v=""/>
    <s v="Tupã"/>
    <s v="SP"/>
    <s v="Inbound Opens"/>
    <s v=""/>
    <s v=""/>
    <s v=""/>
    <s v="Pipeline de Vendas"/>
    <s v="Apresentar Solução (35%)"/>
    <s v=""/>
    <m/>
    <n v="69592"/>
    <n v="23661"/>
    <n v="42"/>
    <s v="Débora Duarte"/>
    <d v="2025-06-02T00:00:00"/>
    <d v="1899-12-30T10:51:39"/>
    <s v=""/>
    <s v="Perdido"/>
    <d v="2025-07-14T00:00:00"/>
    <d v="1899-12-30T10:33:15"/>
    <s v="Projeto adiado / sem prazo definido"/>
    <s v="Descartando ! cliente não encontra tempo para seguir"/>
    <s v="30/05/2025 11:00"/>
    <x v="81"/>
    <s v="Débora Duarte"/>
    <x v="90"/>
    <s v="13/06/2025"/>
    <m/>
    <m/>
    <s v=""/>
    <s v=""/>
    <s v=""/>
    <s v=""/>
    <n v="1"/>
  </r>
  <r>
    <x v="2"/>
    <n v="423"/>
    <m/>
    <n v="2179"/>
    <s v=""/>
    <s v=""/>
    <x v="181"/>
    <n v="62182753000112"/>
    <s v=""/>
    <s v="Felipe"/>
    <s v="16994380062"/>
    <s v=""/>
    <s v="felipe.monteiro@pimpinella.com.br"/>
    <s v=""/>
    <s v=""/>
    <s v=""/>
    <s v=""/>
    <s v=""/>
    <s v="Indicação"/>
    <s v=""/>
    <s v=""/>
    <s v="80%"/>
    <s v="Pipeline de Vendas"/>
    <s v="Em negociação (75%)"/>
    <s v=""/>
    <m/>
    <n v="14280"/>
    <n v="127673"/>
    <n v="168"/>
    <s v="Rayssa Karapeticov"/>
    <d v="2025-06-03T00:00:00"/>
    <d v="1899-12-30T11:32:35"/>
    <s v=""/>
    <s v="Perdido"/>
    <d v="2025-11-18T00:00:00"/>
    <d v="1899-12-30T09:34:53"/>
    <s v="Projeto adiado / sem prazo definido"/>
    <s v=""/>
    <s v=""/>
    <x v="82"/>
    <s v="Rayssa Karapeticov"/>
    <x v="91"/>
    <s v=""/>
    <m/>
    <m/>
    <s v=""/>
    <s v=""/>
    <s v=""/>
    <s v=""/>
    <n v="1"/>
  </r>
  <r>
    <x v="1"/>
    <n v="425"/>
    <m/>
    <n v="2181"/>
    <s v=""/>
    <s v=""/>
    <x v="182"/>
    <n v="3971592000187"/>
    <s v=""/>
    <s v="Brinquedos Afv (RMS_AFV)"/>
    <s v="(51) 99840-3160"/>
    <s v=""/>
    <s v=""/>
    <s v=""/>
    <s v=""/>
    <s v=""/>
    <s v="PORTAO"/>
    <s v="RS"/>
    <s v=""/>
    <s v=""/>
    <s v=""/>
    <s v="30%"/>
    <s v="Pipeline de Vendas"/>
    <s v="Apresentar Solução (35%)"/>
    <s v=""/>
    <m/>
    <m/>
    <m/>
    <n v="26"/>
    <s v="Junior Lopes"/>
    <d v="2025-06-05T00:00:00"/>
    <d v="1899-12-30T10:52:19"/>
    <s v=""/>
    <s v="Perdido"/>
    <d v="2025-07-01T00:00:00"/>
    <d v="1899-12-30T09:56:25"/>
    <s v="Projeto adiado / sem prazo definido"/>
    <s v="Aguardar Rep Mais"/>
    <s v=""/>
    <x v="0"/>
    <s v=""/>
    <x v="0"/>
    <s v=""/>
    <m/>
    <m/>
    <s v=""/>
    <s v=""/>
    <s v=""/>
    <s v=""/>
    <n v="1"/>
  </r>
  <r>
    <x v="1"/>
    <n v="426"/>
    <m/>
    <n v="2186"/>
    <s v=""/>
    <s v=""/>
    <x v="183"/>
    <n v="480542000290"/>
    <s v=""/>
    <s v="Anjo brinquedos (RMS - AFV)"/>
    <s v="15997651713"/>
    <s v=""/>
    <s v="fat@brinquedosanjo.com.br"/>
    <s v=""/>
    <s v=""/>
    <s v=""/>
    <s v="LARANJAL PAULISTA"/>
    <s v="SP"/>
    <s v=""/>
    <s v=""/>
    <s v=""/>
    <s v=""/>
    <s v="Pipeline de Vendas"/>
    <s v="Agendamento (0%)"/>
    <s v=""/>
    <m/>
    <m/>
    <m/>
    <n v="26"/>
    <s v="Junior Lopes"/>
    <d v="2025-06-05T00:00:00"/>
    <d v="1899-12-30T11:03:34"/>
    <s v=""/>
    <s v="Perdido"/>
    <d v="2025-07-01T00:00:00"/>
    <d v="1899-12-30T09:47:14"/>
    <s v="Projeto adiado / sem prazo definido"/>
    <s v="Aguardar Rep Mais"/>
    <s v=""/>
    <x v="0"/>
    <s v=""/>
    <x v="0"/>
    <s v=""/>
    <m/>
    <m/>
    <s v=""/>
    <s v=""/>
    <s v=""/>
    <s v=""/>
    <n v="1"/>
  </r>
  <r>
    <x v="1"/>
    <n v="428"/>
    <m/>
    <n v="2189"/>
    <s v=""/>
    <s v=""/>
    <x v="184"/>
    <n v="10509268000107"/>
    <s v=""/>
    <s v="meio atacado"/>
    <s v="19997556622"/>
    <s v=""/>
    <s v="camila@meioatacado.com.br"/>
    <s v=""/>
    <s v=""/>
    <s v=""/>
    <s v="PIRACICABA"/>
    <s v="SP"/>
    <s v=""/>
    <s v=""/>
    <s v=""/>
    <s v="30%"/>
    <s v="Pipeline de Vendas"/>
    <s v="Apresentar Solução (35%)"/>
    <s v=""/>
    <m/>
    <n v="73430"/>
    <n v="37382"/>
    <n v="24"/>
    <s v="Junior Lopes"/>
    <d v="2025-06-06T00:00:00"/>
    <d v="1899-12-30T10:17:02"/>
    <s v=""/>
    <s v="Perdido"/>
    <d v="2025-06-30T00:00:00"/>
    <d v="1899-12-30T15:06:25"/>
    <s v="Projeto adiado / sem prazo definido"/>
    <s v="não responde mais aos contatos"/>
    <s v=""/>
    <x v="83"/>
    <s v=""/>
    <x v="92"/>
    <s v="16/06/2025"/>
    <m/>
    <m/>
    <s v=""/>
    <s v=""/>
    <s v=""/>
    <s v=""/>
    <n v="1"/>
  </r>
  <r>
    <x v="1"/>
    <n v="431"/>
    <m/>
    <n v="2194"/>
    <s v=""/>
    <s v=""/>
    <x v="185"/>
    <n v="28646036000166"/>
    <s v=""/>
    <s v="Goal comercial"/>
    <s v="11938010304"/>
    <s v=""/>
    <s v="juraci@goalcomercial.com.br"/>
    <s v=""/>
    <s v=""/>
    <s v=""/>
    <s v="SAO CAETANO DO SUL"/>
    <s v="SP"/>
    <s v=""/>
    <s v=""/>
    <s v=""/>
    <s v="30%"/>
    <s v="Pipeline de Vendas"/>
    <s v="Em negociação (75%)"/>
    <s v=""/>
    <m/>
    <n v="16960"/>
    <n v="70432"/>
    <n v="80"/>
    <s v="Junior Lopes"/>
    <d v="2025-06-09T00:00:00"/>
    <d v="1899-12-30T11:25:17"/>
    <s v=""/>
    <s v="Perdido"/>
    <d v="2025-08-28T00:00:00"/>
    <d v="1899-12-30T15:35:05"/>
    <s v="Projeto adiado / sem prazo definido"/>
    <s v="sem retorno do cliente"/>
    <s v=""/>
    <x v="84"/>
    <s v=""/>
    <x v="93"/>
    <s v="13/03/2026"/>
    <m/>
    <m/>
    <s v=""/>
    <s v=""/>
    <s v=""/>
    <s v=""/>
    <n v="1"/>
  </r>
  <r>
    <x v="1"/>
    <n v="433"/>
    <m/>
    <n v="2197"/>
    <s v=""/>
    <s v=""/>
    <x v="186"/>
    <m/>
    <s v=""/>
    <s v="Galpão importadora"/>
    <s v="81992522279"/>
    <s v=""/>
    <s v="null"/>
    <s v=""/>
    <s v=""/>
    <s v=""/>
    <s v=""/>
    <s v=""/>
    <s v=""/>
    <s v=""/>
    <s v=""/>
    <s v=""/>
    <s v="Pipeline de Vendas"/>
    <s v="Apresentar Solução (35%)"/>
    <s v=""/>
    <m/>
    <n v="16960"/>
    <n v="998"/>
    <n v="20"/>
    <s v="Junior Lopes"/>
    <d v="2025-06-11T00:00:00"/>
    <d v="1899-12-30T09:05:28"/>
    <s v=""/>
    <s v="Perdido"/>
    <d v="2025-07-01T00:00:00"/>
    <d v="1899-12-30T09:59:28"/>
    <s v="Projeto adiado / sem prazo definido"/>
    <s v="cliente não encontra tempo para apresentação"/>
    <s v=""/>
    <x v="85"/>
    <s v=""/>
    <x v="94"/>
    <s v=""/>
    <m/>
    <m/>
    <s v=""/>
    <s v=""/>
    <s v=""/>
    <s v=""/>
    <n v="1"/>
  </r>
  <r>
    <x v="0"/>
    <n v="434"/>
    <m/>
    <n v="2198"/>
    <s v=""/>
    <s v=""/>
    <x v="187"/>
    <m/>
    <s v=""/>
    <s v="Alexandre"/>
    <s v="11976806556"/>
    <s v=""/>
    <s v="vendas@finaideia.com.br"/>
    <s v=""/>
    <s v=""/>
    <s v=""/>
    <s v=""/>
    <s v=""/>
    <s v="Indicação"/>
    <s v=""/>
    <s v=""/>
    <s v="30%"/>
    <s v="Pipeline de Vendas"/>
    <s v="Apresentar Solução (35%)"/>
    <s v="6x sem juros (0/30/60/90/120/150...)"/>
    <m/>
    <m/>
    <m/>
    <n v="90"/>
    <s v="Paulo Souza"/>
    <d v="2025-06-12T00:00:00"/>
    <d v="1899-12-30T15:13:20"/>
    <s v=""/>
    <s v="Perdido"/>
    <d v="2025-09-10T00:00:00"/>
    <d v="1899-12-30T16:13:03"/>
    <s v="Projeto adiado / sem prazo definido"/>
    <s v=""/>
    <s v=""/>
    <x v="0"/>
    <s v="Paulo Souza"/>
    <x v="0"/>
    <s v=""/>
    <m/>
    <m/>
    <s v=""/>
    <s v=""/>
    <s v=""/>
    <s v=""/>
    <n v="1"/>
  </r>
  <r>
    <x v="0"/>
    <n v="435"/>
    <m/>
    <n v="2200"/>
    <s v=""/>
    <s v=""/>
    <x v="188"/>
    <m/>
    <s v=""/>
    <s v="Gustavo"/>
    <s v="16996352359"/>
    <s v=""/>
    <s v="null"/>
    <s v=""/>
    <s v=""/>
    <s v=""/>
    <s v=""/>
    <s v=""/>
    <s v="Indicação"/>
    <s v=""/>
    <s v=""/>
    <s v="50%"/>
    <s v="Pipeline de Vendas"/>
    <s v="Em Fechamento (100%)"/>
    <s v=""/>
    <m/>
    <n v="28800"/>
    <n v="201012"/>
    <n v="56"/>
    <s v="Paulo Souza"/>
    <d v="2025-06-12T00:00:00"/>
    <d v="1899-12-30T16:24:50"/>
    <s v=""/>
    <s v="Ganho"/>
    <d v="2025-08-07T00:00:00"/>
    <d v="1899-12-30T12:06:18"/>
    <s v=""/>
    <s v=""/>
    <s v=""/>
    <x v="0"/>
    <s v="Paulo Souza"/>
    <x v="0"/>
    <s v=""/>
    <m/>
    <m/>
    <s v=""/>
    <s v=""/>
    <s v=""/>
    <s v=""/>
    <n v="1"/>
  </r>
  <r>
    <x v="1"/>
    <n v="447"/>
    <m/>
    <n v="2213"/>
    <s v=""/>
    <s v=""/>
    <x v="189"/>
    <m/>
    <s v=""/>
    <s v="Vitoria cortinas"/>
    <s v="53999594657"/>
    <s v=""/>
    <s v="compras@vitoriacortinasdecoracoes.com.br"/>
    <s v=""/>
    <s v=""/>
    <s v=""/>
    <s v=""/>
    <s v=""/>
    <s v=""/>
    <s v=""/>
    <s v=""/>
    <s v=""/>
    <s v="Pipeline de Vendas"/>
    <s v="Em Fechamento (100%)"/>
    <s v=""/>
    <m/>
    <n v="1782"/>
    <n v="3564"/>
    <n v="2"/>
    <s v="Junior Lopes"/>
    <d v="2025-06-16T00:00:00"/>
    <d v="1899-12-30T15:57:47"/>
    <s v=""/>
    <s v="Ganho"/>
    <d v="2025-06-18T00:00:00"/>
    <d v="1899-12-30T14:49:21"/>
    <s v=""/>
    <s v=""/>
    <s v=""/>
    <x v="86"/>
    <s v=""/>
    <x v="93"/>
    <s v=""/>
    <m/>
    <m/>
    <s v=""/>
    <s v=""/>
    <s v=""/>
    <s v=""/>
    <n v="1"/>
  </r>
  <r>
    <x v="1"/>
    <n v="451"/>
    <m/>
    <n v="2217"/>
    <s v=""/>
    <s v=""/>
    <x v="190"/>
    <n v="27898532000144"/>
    <s v=""/>
    <s v="Atacadão das Tripas (cloud)"/>
    <s v="14998117753"/>
    <s v=""/>
    <s v="atacadaodastripasfinanceiro@hotmail.com"/>
    <s v=""/>
    <s v=""/>
    <s v=""/>
    <s v="TUPA"/>
    <s v="SP"/>
    <s v=""/>
    <s v=""/>
    <s v=""/>
    <s v=""/>
    <s v="Pipeline de Vendas"/>
    <s v="Apresentar Solução (35%)"/>
    <s v=""/>
    <m/>
    <n v="1600"/>
    <n v="26507"/>
    <n v="26"/>
    <s v="Junior Lopes"/>
    <d v="2025-06-18T00:00:00"/>
    <d v="1899-12-30T14:31:48"/>
    <s v=""/>
    <s v="Perdido"/>
    <d v="2025-07-14T00:00:00"/>
    <d v="1899-12-30T10:34:04"/>
    <s v="Projeto adiado / sem prazo definido"/>
    <s v="Descartando ! cliente não encontra tempo para seguir"/>
    <s v=""/>
    <x v="81"/>
    <s v=""/>
    <x v="93"/>
    <s v=""/>
    <m/>
    <m/>
    <s v=""/>
    <s v=""/>
    <s v=""/>
    <s v=""/>
    <n v="1"/>
  </r>
  <r>
    <x v="1"/>
    <n v="453"/>
    <m/>
    <n v="2219"/>
    <s v=""/>
    <s v=""/>
    <x v="191"/>
    <m/>
    <s v=""/>
    <s v="MDL Import - int.WMS"/>
    <s v="11910695515"/>
    <s v=""/>
    <s v="janaina@mdlimport.com.br"/>
    <s v=""/>
    <s v=""/>
    <s v=""/>
    <s v=""/>
    <s v=""/>
    <s v=""/>
    <s v=""/>
    <s v=""/>
    <s v="30%"/>
    <s v="Pipeline de Vendas"/>
    <s v="Em negociação (75%)"/>
    <s v=""/>
    <m/>
    <n v="29680"/>
    <n v="0"/>
    <n v="7"/>
    <s v="Junior Lopes"/>
    <d v="2025-06-23T00:00:00"/>
    <d v="1899-12-30T09:14:24"/>
    <s v=""/>
    <s v="Perdido"/>
    <d v="2025-06-30T00:00:00"/>
    <d v="1899-12-30T15:12:28"/>
    <s v="Não houve aprovação financeira"/>
    <s v="orçamento não foi aprovado"/>
    <s v=""/>
    <x v="83"/>
    <s v=""/>
    <x v="95"/>
    <s v=""/>
    <m/>
    <m/>
    <s v=""/>
    <s v=""/>
    <s v=""/>
    <s v=""/>
    <n v="1"/>
  </r>
  <r>
    <x v="1"/>
    <n v="455"/>
    <m/>
    <n v="2221"/>
    <s v=""/>
    <s v=""/>
    <x v="192"/>
    <n v="1537246000160"/>
    <s v=""/>
    <s v="BS Toys (RMS)"/>
    <s v="15997551770"/>
    <s v=""/>
    <s v="atendimento@bstoys.com.br"/>
    <s v=""/>
    <s v=""/>
    <s v=""/>
    <s v="BOITUVA"/>
    <s v="SP"/>
    <s v=""/>
    <s v=""/>
    <s v=""/>
    <s v=""/>
    <s v="Pipeline de Vendas"/>
    <s v="Agendamento (0%)"/>
    <s v=""/>
    <m/>
    <m/>
    <m/>
    <n v="7"/>
    <s v="Junior Lopes"/>
    <d v="2025-06-24T00:00:00"/>
    <d v="1899-12-30T11:14:18"/>
    <s v=""/>
    <s v="Perdido"/>
    <d v="2025-07-01T00:00:00"/>
    <d v="1899-12-30T09:49:52"/>
    <s v="Projeto adiado / sem prazo definido"/>
    <s v="Aguardar Rep Mais"/>
    <s v=""/>
    <x v="0"/>
    <s v=""/>
    <x v="0"/>
    <s v=""/>
    <m/>
    <m/>
    <s v=""/>
    <s v=""/>
    <s v=""/>
    <s v=""/>
    <n v="1"/>
  </r>
  <r>
    <x v="1"/>
    <n v="456"/>
    <m/>
    <n v="2226"/>
    <s v=""/>
    <s v=""/>
    <x v="193"/>
    <n v="1684187000152"/>
    <s v=""/>
    <s v="Dielu"/>
    <s v="11947837975"/>
    <s v=""/>
    <s v=""/>
    <s v=""/>
    <s v=""/>
    <s v=""/>
    <s v="SAO PAULO"/>
    <s v="SP"/>
    <s v=""/>
    <s v=""/>
    <s v=""/>
    <s v=""/>
    <s v="Pipeline de Vendas"/>
    <s v="Agendamento (0%)"/>
    <s v=""/>
    <m/>
    <m/>
    <m/>
    <n v="7"/>
    <s v="Junior Lopes"/>
    <d v="2025-06-24T00:00:00"/>
    <d v="1899-12-30T11:20:52"/>
    <s v=""/>
    <s v="Perdido"/>
    <d v="2025-07-01T00:00:00"/>
    <d v="1899-12-30T09:50:21"/>
    <s v="Projeto adiado / sem prazo definido"/>
    <s v="Aguardar Rep Mais"/>
    <s v=""/>
    <x v="0"/>
    <s v=""/>
    <x v="0"/>
    <s v=""/>
    <m/>
    <m/>
    <s v=""/>
    <s v=""/>
    <s v=""/>
    <s v=""/>
    <n v="1"/>
  </r>
  <r>
    <x v="1"/>
    <n v="457"/>
    <m/>
    <n v="2230"/>
    <s v=""/>
    <s v=""/>
    <x v="194"/>
    <n v="28895260000191"/>
    <s v=""/>
    <s v="ceramica salute"/>
    <s v="19999094519"/>
    <s v=""/>
    <s v="comercial@ceramicasalute.com.br"/>
    <s v=""/>
    <s v=""/>
    <s v=""/>
    <s v="JABOTICABAL"/>
    <s v="SP"/>
    <s v=""/>
    <s v=""/>
    <s v=""/>
    <s v=""/>
    <s v="Pipeline de Vendas"/>
    <s v="Agendamento (0%)"/>
    <s v=""/>
    <m/>
    <m/>
    <m/>
    <n v="7"/>
    <s v="Junior Lopes"/>
    <d v="2025-06-24T00:00:00"/>
    <d v="1899-12-30T11:28:08"/>
    <s v=""/>
    <s v="Perdido"/>
    <d v="2025-07-01T00:00:00"/>
    <d v="1899-12-30T09:50:51"/>
    <s v="Projeto adiado / sem prazo definido"/>
    <s v="Aguardar Rep Mais"/>
    <s v=""/>
    <x v="0"/>
    <s v=""/>
    <x v="0"/>
    <s v=""/>
    <m/>
    <m/>
    <s v=""/>
    <s v=""/>
    <s v=""/>
    <s v=""/>
    <n v="1"/>
  </r>
  <r>
    <x v="1"/>
    <n v="462"/>
    <m/>
    <n v="2237"/>
    <s v=""/>
    <s v=""/>
    <x v="195"/>
    <n v="61630786000115"/>
    <s v=""/>
    <s v="Palete Chiari"/>
    <s v="16993303692"/>
    <s v=""/>
    <s v=""/>
    <s v=""/>
    <s v=""/>
    <s v=""/>
    <s v="SAO CARLOS"/>
    <s v="SP"/>
    <s v=""/>
    <s v=""/>
    <s v=""/>
    <s v=""/>
    <s v="Pipeline de Vendas"/>
    <s v="Apresentar Solução (35%)"/>
    <s v=""/>
    <m/>
    <n v="80560"/>
    <n v="249008"/>
    <n v="1"/>
    <s v="Junior Lopes"/>
    <d v="2025-06-25T00:00:00"/>
    <d v="1899-12-30T10:30:51"/>
    <s v=""/>
    <s v="Perdido"/>
    <d v="2025-06-26T00:00:00"/>
    <d v="1899-12-30T10:45:55"/>
    <s v="Projeto adiado / sem prazo definido"/>
    <s v="cliente não respondeu mais aos contatos ! estou decertando e manterei contato"/>
    <s v=""/>
    <x v="86"/>
    <s v=""/>
    <x v="96"/>
    <s v=""/>
    <m/>
    <m/>
    <s v=""/>
    <s v=""/>
    <s v=""/>
    <s v=""/>
    <n v="1"/>
  </r>
  <r>
    <x v="1"/>
    <n v="463"/>
    <m/>
    <n v="2239"/>
    <s v=""/>
    <s v=""/>
    <x v="196"/>
    <n v="61630786000115"/>
    <s v=""/>
    <s v="Chiare Palete - Cloud"/>
    <s v="16993303692"/>
    <s v=""/>
    <s v=""/>
    <s v=""/>
    <s v=""/>
    <s v=""/>
    <s v="SAO CARLOS"/>
    <s v="SP"/>
    <s v=""/>
    <s v=""/>
    <s v=""/>
    <s v=""/>
    <s v="Pipeline de Vendas"/>
    <s v="Apresentar Solução (35%)"/>
    <s v=""/>
    <m/>
    <n v="1600"/>
    <n v="278556"/>
    <n v="1"/>
    <s v="Junior Lopes"/>
    <d v="2025-06-25T00:00:00"/>
    <d v="1899-12-30T10:37:01"/>
    <s v=""/>
    <s v="Perdido"/>
    <d v="2025-06-26T00:00:00"/>
    <d v="1899-12-30T10:46:25"/>
    <s v="Projeto adiado / sem prazo definido"/>
    <s v="cliente não respondeu mais aos contatos ! estou decertando e manterei contato"/>
    <s v=""/>
    <x v="86"/>
    <s v=""/>
    <x v="96"/>
    <s v=""/>
    <m/>
    <m/>
    <s v=""/>
    <s v=""/>
    <s v=""/>
    <s v=""/>
    <n v="1"/>
  </r>
  <r>
    <x v="1"/>
    <n v="466"/>
    <m/>
    <n v="2243"/>
    <s v=""/>
    <s v=""/>
    <x v="197"/>
    <m/>
    <s v=""/>
    <s v="vitoria cortinas - User AFV"/>
    <s v="3599959465"/>
    <s v=""/>
    <s v="comercial@vitoriacortninasdecoracoes.com.br"/>
    <s v=""/>
    <s v=""/>
    <s v=""/>
    <s v=""/>
    <s v=""/>
    <s v=""/>
    <s v=""/>
    <s v=""/>
    <s v=""/>
    <s v="Pipeline de Vendas"/>
    <s v="Em Fechamento (100%)"/>
    <s v=""/>
    <m/>
    <n v="0"/>
    <n v="54887"/>
    <n v="5"/>
    <s v="Junior Lopes"/>
    <d v="2025-06-25T00:00:00"/>
    <d v="1899-12-30T14:32:40"/>
    <s v=""/>
    <s v="Ganho"/>
    <d v="2025-06-30T00:00:00"/>
    <d v="1899-12-30T08:34:12"/>
    <s v=""/>
    <s v=""/>
    <s v=""/>
    <x v="87"/>
    <s v=""/>
    <x v="97"/>
    <s v=""/>
    <m/>
    <m/>
    <s v=""/>
    <s v=""/>
    <s v=""/>
    <s v=""/>
    <n v="1"/>
  </r>
  <r>
    <x v="1"/>
    <n v="467"/>
    <m/>
    <n v="2244"/>
    <s v=""/>
    <s v=""/>
    <x v="198"/>
    <m/>
    <s v=""/>
    <s v="Meio atacado - Cloud"/>
    <s v="19997556622"/>
    <s v=""/>
    <s v="camila@meioatacado.com.br"/>
    <s v=""/>
    <s v=""/>
    <s v=""/>
    <s v=""/>
    <s v=""/>
    <s v=""/>
    <s v=""/>
    <s v=""/>
    <s v=""/>
    <s v="Pipeline de Vendas"/>
    <s v="Apresentar Solução (35%)"/>
    <s v=""/>
    <m/>
    <n v="1600"/>
    <n v="309656"/>
    <n v="5"/>
    <s v="Junior Lopes"/>
    <d v="2025-06-25T00:00:00"/>
    <d v="1899-12-30T15:54:02"/>
    <s v=""/>
    <s v="Perdido"/>
    <d v="2025-06-30T00:00:00"/>
    <d v="1899-12-30T15:06:57"/>
    <s v="Projeto adiado / sem prazo definido"/>
    <s v="não responde mais aos contatos"/>
    <s v=""/>
    <x v="83"/>
    <s v=""/>
    <x v="98"/>
    <s v=""/>
    <m/>
    <m/>
    <s v=""/>
    <s v=""/>
    <s v=""/>
    <s v=""/>
    <n v="1"/>
  </r>
  <r>
    <x v="1"/>
    <n v="468"/>
    <m/>
    <n v="2245"/>
    <s v=""/>
    <s v=""/>
    <x v="199"/>
    <n v="9509581000166"/>
    <s v=""/>
    <s v="Emporio Villamarin"/>
    <s v="11999265872"/>
    <s v=""/>
    <s v="alfonso@emporiovillamarin.com.br"/>
    <s v=""/>
    <s v=""/>
    <s v=""/>
    <s v="SAO PAULO"/>
    <s v="SP"/>
    <s v=""/>
    <s v=""/>
    <s v=""/>
    <s v=""/>
    <s v="Pipeline de Vendas"/>
    <s v="Apresentar Proposta (50%)"/>
    <s v=""/>
    <m/>
    <n v="10800"/>
    <n v="450"/>
    <n v="5"/>
    <s v="Junior Lopes"/>
    <d v="2025-06-25T00:00:00"/>
    <d v="1899-12-30T16:08:55"/>
    <s v=""/>
    <s v="Perdido"/>
    <d v="2025-06-30T00:00:00"/>
    <d v="1899-12-30T15:05:29"/>
    <s v="Projeto adiado / sem prazo definido"/>
    <s v="não ira dar continuidade no momento"/>
    <s v=""/>
    <x v="88"/>
    <s v=""/>
    <x v="92"/>
    <s v=""/>
    <m/>
    <m/>
    <s v=""/>
    <s v=""/>
    <s v=""/>
    <s v=""/>
    <n v="1"/>
  </r>
  <r>
    <x v="1"/>
    <n v="469"/>
    <m/>
    <n v="2250"/>
    <s v=""/>
    <s v=""/>
    <x v="200"/>
    <m/>
    <s v=""/>
    <s v="Elmo atacado (horas exc)"/>
    <s v="47984366161"/>
    <s v=""/>
    <s v="fabio@elmoatacado.com.br"/>
    <s v=""/>
    <s v=""/>
    <s v=""/>
    <s v=""/>
    <s v=""/>
    <s v=""/>
    <s v=""/>
    <s v=""/>
    <s v=""/>
    <s v="Pipeline de Vendas"/>
    <s v="Em Fechamento (100%)"/>
    <s v=""/>
    <m/>
    <n v="607121"/>
    <n v="0"/>
    <n v="25"/>
    <s v="Junior Lopes"/>
    <d v="2025-06-26T00:00:00"/>
    <d v="1899-12-30T11:58:43"/>
    <s v=""/>
    <s v="Ganho"/>
    <d v="2025-07-21T00:00:00"/>
    <d v="1899-12-30T09:16:58"/>
    <s v=""/>
    <s v=""/>
    <s v=""/>
    <x v="89"/>
    <s v=""/>
    <x v="99"/>
    <s v=""/>
    <m/>
    <m/>
    <s v=""/>
    <s v=""/>
    <s v=""/>
    <s v=""/>
    <n v="1"/>
  </r>
  <r>
    <x v="1"/>
    <n v="470"/>
    <m/>
    <n v="2272"/>
    <s v=""/>
    <s v=""/>
    <x v="201"/>
    <n v="912882000161"/>
    <s v=""/>
    <s v="Grupo K1"/>
    <s v="51980225006"/>
    <s v=""/>
    <s v="angela@kappersberg.com.br"/>
    <s v=""/>
    <s v=""/>
    <s v=""/>
    <s v="TUPANDI"/>
    <s v="RS"/>
    <s v=""/>
    <s v=""/>
    <s v=""/>
    <s v="30%"/>
    <s v="Pipeline de Vendas"/>
    <s v="Em negociação (75%)"/>
    <s v=""/>
    <m/>
    <n v="16960"/>
    <n v="14034"/>
    <n v="84"/>
    <s v="Junior Lopes"/>
    <d v="2025-06-30T00:00:00"/>
    <d v="1899-12-30T11:52:50"/>
    <s v=""/>
    <s v="Perdido"/>
    <d v="2025-09-22T00:00:00"/>
    <d v="1899-12-30T11:28:00"/>
    <s v="Projeto adiado / sem prazo definido"/>
    <s v="em contato com Ângela, nao esta descartado porem não seguirá nesse momento"/>
    <s v=""/>
    <x v="90"/>
    <s v=""/>
    <x v="100"/>
    <s v=""/>
    <m/>
    <m/>
    <s v=""/>
    <s v=""/>
    <s v=""/>
    <s v=""/>
    <n v="1"/>
  </r>
  <r>
    <x v="2"/>
    <n v="475"/>
    <m/>
    <n v="2299"/>
    <s v=""/>
    <s v=""/>
    <x v="202"/>
    <n v="3436772000169"/>
    <s v=""/>
    <s v="Julia Soares"/>
    <s v="11983386298"/>
    <s v=""/>
    <s v="vendas@trilharty.com.br"/>
    <s v=""/>
    <s v=""/>
    <s v=""/>
    <s v="SAO PAULO"/>
    <s v="SP"/>
    <s v=""/>
    <s v=""/>
    <s v=""/>
    <s v=""/>
    <s v="Pipeline de Vendas"/>
    <s v="Apresentar Proposta (50%)"/>
    <s v=""/>
    <m/>
    <m/>
    <m/>
    <n v="60"/>
    <s v="Rayssa Karapeticov"/>
    <d v="2025-07-04T00:00:00"/>
    <d v="1899-12-30T09:23:22"/>
    <s v=""/>
    <s v="Perdido"/>
    <d v="2025-09-02T00:00:00"/>
    <d v="1899-12-30T09:58:39"/>
    <s v="Projeto adiado / sem prazo definido"/>
    <s v=""/>
    <s v=""/>
    <x v="91"/>
    <s v=""/>
    <x v="101"/>
    <s v=""/>
    <m/>
    <m/>
    <s v=""/>
    <s v=""/>
    <s v=""/>
    <s v=""/>
    <n v="1"/>
  </r>
  <r>
    <x v="1"/>
    <n v="485"/>
    <m/>
    <n v="2341"/>
    <s v=""/>
    <s v=""/>
    <x v="203"/>
    <n v="20750928000109"/>
    <s v=""/>
    <s v="Tiago eletrodomésticos"/>
    <s v="(48) 9960-6091"/>
    <s v=""/>
    <s v="financeiro@saeletronicos.com.br"/>
    <s v=""/>
    <s v=""/>
    <s v=""/>
    <s v="ICARA"/>
    <s v="SC"/>
    <s v=""/>
    <s v=""/>
    <s v=""/>
    <s v="50%"/>
    <s v="Pipeline de Vendas"/>
    <s v="Em Fechamento (100%)"/>
    <s v=""/>
    <m/>
    <n v="6429976"/>
    <n v="399322"/>
    <n v="73"/>
    <s v="Junior Lopes"/>
    <d v="2025-07-14T00:00:00"/>
    <d v="1899-12-30T10:10:19"/>
    <s v=""/>
    <s v="Ganho"/>
    <d v="2025-09-25T00:00:00"/>
    <d v="1899-12-30T15:08:43"/>
    <s v=""/>
    <s v=""/>
    <s v=""/>
    <x v="92"/>
    <s v=""/>
    <x v="102"/>
    <s v=""/>
    <m/>
    <m/>
    <s v=""/>
    <s v=""/>
    <s v=""/>
    <s v=""/>
    <n v="1"/>
  </r>
  <r>
    <x v="1"/>
    <n v="486"/>
    <m/>
    <n v="2343"/>
    <s v=""/>
    <s v=""/>
    <x v="204"/>
    <n v="20750928000109"/>
    <s v=""/>
    <s v="Tiago eleytonicos"/>
    <s v="(48) 9960-6091"/>
    <s v=""/>
    <s v="financeiro@saeletronicos.com.br"/>
    <s v=""/>
    <s v=""/>
    <s v=""/>
    <s v="ICARA"/>
    <s v="SC"/>
    <s v=""/>
    <s v=""/>
    <s v=""/>
    <s v=""/>
    <s v="Pipeline de Vendas"/>
    <s v="Em Fechamento (100%)"/>
    <s v=""/>
    <m/>
    <n v="1600"/>
    <n v="2325"/>
    <n v="73"/>
    <s v="Junior Lopes"/>
    <d v="2025-07-14T00:00:00"/>
    <d v="1899-12-30T10:59:03"/>
    <s v=""/>
    <s v="Perdido"/>
    <d v="2025-09-25T00:00:00"/>
    <d v="1899-12-30T14:59:17"/>
    <s v="Não quer mudar a solução atual"/>
    <s v="cliente decidiu manter o servidor local"/>
    <s v=""/>
    <x v="92"/>
    <s v=""/>
    <x v="102"/>
    <s v=""/>
    <m/>
    <m/>
    <s v=""/>
    <s v=""/>
    <s v=""/>
    <s v=""/>
    <n v="1"/>
  </r>
  <r>
    <x v="1"/>
    <n v="487"/>
    <m/>
    <n v="2345"/>
    <s v=""/>
    <s v=""/>
    <x v="205"/>
    <m/>
    <s v=""/>
    <s v="Star distribuidora - Expede"/>
    <s v="17997793113"/>
    <s v=""/>
    <s v="comercial@distribuidorastar.com.br"/>
    <s v=""/>
    <s v=""/>
    <s v=""/>
    <s v=""/>
    <s v=""/>
    <s v=""/>
    <s v=""/>
    <s v=""/>
    <s v=""/>
    <s v="Pipeline de Vendas"/>
    <s v="Em Fechamento (100%)"/>
    <s v=""/>
    <m/>
    <n v="0"/>
    <n v="14256"/>
    <n v="7"/>
    <s v="Junior Lopes"/>
    <d v="2025-07-14T00:00:00"/>
    <d v="1899-12-30T14:38:51"/>
    <s v=""/>
    <s v="Ganho"/>
    <d v="2025-07-21T00:00:00"/>
    <d v="1899-12-30T09:23:38"/>
    <s v=""/>
    <s v=""/>
    <s v=""/>
    <x v="93"/>
    <s v=""/>
    <x v="103"/>
    <s v=""/>
    <m/>
    <m/>
    <s v=""/>
    <s v=""/>
    <s v=""/>
    <s v=""/>
    <n v="1"/>
  </r>
  <r>
    <x v="1"/>
    <n v="488"/>
    <m/>
    <n v="2346"/>
    <s v="O projeto B2B já está fechado, porém a continuidade dependerá da finalização da carga de dados na implantação do ERP. Assim que essa etapa for concluída, Junior Lopes deve retomar o contato com o cliente, verificar pendências e alinhar os próximos passos com data definida."/>
    <s v=""/>
    <x v="206"/>
    <n v="20750928000109"/>
    <s v=""/>
    <s v="Tiago eletrônicos - B2B"/>
    <s v="4899606091"/>
    <s v=""/>
    <s v="financeiro@saeletronicos.com.br"/>
    <s v=""/>
    <s v=""/>
    <s v=""/>
    <s v=""/>
    <s v=""/>
    <s v=""/>
    <s v=""/>
    <s v=""/>
    <s v="90%"/>
    <s v="Pipeline de Vendas"/>
    <s v="Em Fechamento (100%)"/>
    <s v=""/>
    <d v="2026-02-02T00:00:00"/>
    <n v="26200"/>
    <n v="3400"/>
    <n v="206"/>
    <s v="Junior Lopes"/>
    <d v="2025-07-15T00:00:00"/>
    <d v="1899-12-30T17:26:45"/>
    <s v=""/>
    <s v="Ganho"/>
    <d v="2026-02-06T00:00:00"/>
    <d v="1899-12-30T12:10:05"/>
    <s v=""/>
    <s v=""/>
    <s v=""/>
    <x v="92"/>
    <s v="Junior Lopes"/>
    <x v="102"/>
    <s v=""/>
    <d v="2025-12-10T00:00:00"/>
    <m/>
    <s v=""/>
    <s v=""/>
    <s v=""/>
    <s v=""/>
    <n v="1"/>
  </r>
  <r>
    <x v="1"/>
    <n v="493"/>
    <m/>
    <n v="2352"/>
    <s v=""/>
    <s v=""/>
    <x v="207"/>
    <n v="39750889000160"/>
    <s v=""/>
    <s v="MDL Comércio importação (ERP+AFV"/>
    <s v="(11) 91069-5515"/>
    <s v=""/>
    <s v="janaina@mdlimport.com.br"/>
    <s v=""/>
    <s v=""/>
    <s v=""/>
    <s v="SAO CAETANO DO SUL"/>
    <s v="SP"/>
    <s v=""/>
    <s v=""/>
    <s v=""/>
    <s v=""/>
    <s v="Pipeline de Vendas"/>
    <s v="Em Fechamento (100%)"/>
    <s v="10x sem juros (0/30/60/90/120/150...)"/>
    <m/>
    <n v="4327344"/>
    <n v="37442"/>
    <n v="42"/>
    <s v="Junior Lopes"/>
    <d v="2025-07-17T00:00:00"/>
    <d v="1899-12-30T14:23:39"/>
    <s v=""/>
    <s v="Ganho"/>
    <d v="2025-08-28T00:00:00"/>
    <d v="1899-12-30T15:08:55"/>
    <s v=""/>
    <s v=""/>
    <s v=""/>
    <x v="94"/>
    <s v=""/>
    <x v="104"/>
    <s v=""/>
    <m/>
    <m/>
    <s v=""/>
    <s v=""/>
    <s v=""/>
    <s v=""/>
    <n v="1"/>
  </r>
  <r>
    <x v="1"/>
    <n v="494"/>
    <m/>
    <n v="2354"/>
    <s v=""/>
    <s v=""/>
    <x v="208"/>
    <m/>
    <s v=""/>
    <s v="MDL comércio de importação (Int.WMS)"/>
    <s v="11910695515"/>
    <s v=""/>
    <s v="janaina@mdlimport.com.br"/>
    <s v=""/>
    <s v=""/>
    <s v=""/>
    <s v=""/>
    <s v=""/>
    <s v=""/>
    <s v=""/>
    <s v=""/>
    <s v=""/>
    <s v="Pipeline de Vendas"/>
    <s v="Em Fechamento (100%)"/>
    <s v="10x sem juros (0/30/60/90/120/150...)"/>
    <m/>
    <n v="1167696"/>
    <n v="0"/>
    <n v="42"/>
    <s v="Junior Lopes"/>
    <d v="2025-07-17T00:00:00"/>
    <d v="1899-12-30T14:38:09"/>
    <s v=""/>
    <s v="Ganho"/>
    <d v="2025-08-28T00:00:00"/>
    <d v="1899-12-30T15:11:27"/>
    <s v=""/>
    <s v=""/>
    <s v=""/>
    <x v="94"/>
    <s v=""/>
    <x v="104"/>
    <s v=""/>
    <m/>
    <m/>
    <s v=""/>
    <s v=""/>
    <s v=""/>
    <s v=""/>
    <n v="1"/>
  </r>
  <r>
    <x v="1"/>
    <n v="495"/>
    <m/>
    <n v="2356"/>
    <s v=""/>
    <s v=""/>
    <x v="209"/>
    <m/>
    <s v=""/>
    <s v="Germer porcenalas"/>
    <s v="41984816685"/>
    <s v=""/>
    <s v="ti@germerporcelanas.com.br"/>
    <s v=""/>
    <s v=""/>
    <s v=""/>
    <s v=""/>
    <s v=""/>
    <s v=""/>
    <s v=""/>
    <s v=""/>
    <s v="30%"/>
    <s v="Pipeline de Vendas"/>
    <s v="Em negociação (75%)"/>
    <s v=""/>
    <m/>
    <n v="16960"/>
    <n v="10748"/>
    <n v="67"/>
    <s v="Junior Lopes"/>
    <d v="2025-07-17T00:00:00"/>
    <d v="1899-12-30T16:01:44"/>
    <s v=""/>
    <s v="Perdido"/>
    <d v="2025-09-22T00:00:00"/>
    <d v="1899-12-30T11:35:25"/>
    <s v="Não quer mudar a solução atual"/>
    <s v="em contato com Claudinei projeto está estagnado"/>
    <s v=""/>
    <x v="93"/>
    <s v=""/>
    <x v="103"/>
    <s v="10/07/2025"/>
    <m/>
    <m/>
    <s v=""/>
    <s v=""/>
    <s v=""/>
    <s v=""/>
    <n v="1"/>
  </r>
  <r>
    <x v="1"/>
    <n v="496"/>
    <m/>
    <n v="2361"/>
    <s v="O próximo passo é Junior Lopes alinhar com o cliente o objetivo final da oportunidade, considerando que o cliente ainda está negociando o desenvolvimento da integração técnica que o ERP deles precisa construir. Somente após essa definição e após os ajustes técnicos com a Marília será possível retomar as conversas em janeiro de 2026 e avançar para o fechamento, previsto para 31/01/2026."/>
    <s v="Editora Dcl - Difusao Cultural Do Livro Ltda"/>
    <x v="210"/>
    <n v="60444098000521"/>
    <s v=""/>
    <s v="Editora Dcl - Difusao Cultural Do Livro Ltda"/>
    <s v="(11) 3932-5222"/>
    <s v=""/>
    <s v="welington@editoradcl.com.br"/>
    <s v=""/>
    <s v=""/>
    <s v=""/>
    <s v="ITUPEVA"/>
    <s v="SP"/>
    <s v="Base de empresas Leads2b"/>
    <s v=""/>
    <s v=""/>
    <s v="80%"/>
    <s v="Pipeline de Vendas"/>
    <s v="Em Fechamento (100%)"/>
    <s v="4x sem juros (0/30/60/90)"/>
    <d v="2026-01-30T00:00:00"/>
    <n v="16960"/>
    <n v="37395"/>
    <n v="166"/>
    <s v="Junior Lopes"/>
    <d v="2025-07-23T00:00:00"/>
    <d v="1899-12-30T11:53:55"/>
    <s v=""/>
    <s v="Ganho"/>
    <d v="2026-01-05T00:00:00"/>
    <d v="1899-12-30T14:50:49"/>
    <s v=""/>
    <s v=""/>
    <s v=""/>
    <x v="93"/>
    <s v="Junior Lopes"/>
    <x v="105"/>
    <s v="11/07/2025"/>
    <d v="2025-12-12T00:00:00"/>
    <m/>
    <s v=""/>
    <s v=""/>
    <s v=""/>
    <s v=""/>
    <n v="1"/>
  </r>
  <r>
    <x v="1"/>
    <n v="497"/>
    <m/>
    <n v="2363"/>
    <s v=""/>
    <s v="Associacao Medianeira Fuzipar"/>
    <x v="211"/>
    <n v="8306975000154"/>
    <s v=""/>
    <s v="Associacao Medianeira Fuzipar"/>
    <s v="(54) 3321-5456"/>
    <s v=""/>
    <s v=""/>
    <s v=""/>
    <s v=""/>
    <s v=""/>
    <s v="ERECHIM"/>
    <s v="RS"/>
    <s v="Base de empresas Leads2b"/>
    <s v=""/>
    <s v=""/>
    <s v=""/>
    <s v="Pipeline de Vendas"/>
    <s v="Em Fechamento (100%)"/>
    <s v=""/>
    <m/>
    <n v="16960"/>
    <n v="2455"/>
    <n v="64"/>
    <s v="Junior Lopes"/>
    <d v="2025-07-23T00:00:00"/>
    <d v="1899-12-30T12:05:00"/>
    <s v=""/>
    <s v="Ganho"/>
    <d v="2025-09-25T00:00:00"/>
    <d v="1899-12-30T14:58:22"/>
    <s v=""/>
    <s v=""/>
    <s v=""/>
    <x v="95"/>
    <s v=""/>
    <x v="105"/>
    <s v="18/08/2025"/>
    <m/>
    <m/>
    <s v=""/>
    <s v=""/>
    <s v=""/>
    <s v=""/>
    <n v="1"/>
  </r>
  <r>
    <x v="1"/>
    <n v="503"/>
    <m/>
    <n v="2433"/>
    <s v=""/>
    <s v=""/>
    <x v="212"/>
    <n v="46083438000181"/>
    <s v=""/>
    <s v="Adelmo Jeronimo"/>
    <s v="(81) 99252-2279"/>
    <s v=""/>
    <s v="adelmoo.jeronimo@gmail.com"/>
    <s v=""/>
    <s v=""/>
    <s v=""/>
    <s v=""/>
    <s v=""/>
    <s v="Base de empresas Leads2b"/>
    <s v=""/>
    <s v=""/>
    <s v=""/>
    <s v="Pipeline de Vendas"/>
    <s v="Apresentar Solução (35%)"/>
    <s v=""/>
    <m/>
    <n v="16960"/>
    <n v="998"/>
    <n v="29"/>
    <s v="Junior Lopes"/>
    <d v="2025-07-30T00:00:00"/>
    <d v="1899-12-30T11:50:21"/>
    <s v=""/>
    <s v="Perdido"/>
    <d v="2025-08-28T00:00:00"/>
    <d v="1899-12-30T16:43:54"/>
    <s v="Projeto adiado / sem prazo definido"/>
    <s v="após vários contatos não obtivemos retorno"/>
    <s v=""/>
    <x v="96"/>
    <s v=""/>
    <x v="106"/>
    <s v=""/>
    <m/>
    <m/>
    <s v=""/>
    <s v=""/>
    <s v=""/>
    <s v=""/>
    <n v="1"/>
  </r>
  <r>
    <x v="1"/>
    <n v="504"/>
    <m/>
    <n v="2434"/>
    <s v=""/>
    <s v=""/>
    <x v="213"/>
    <n v="8306975000154"/>
    <s v=""/>
    <s v="Fuzipar (ERP)"/>
    <s v="5499823395"/>
    <s v=""/>
    <s v=""/>
    <s v=""/>
    <s v=""/>
    <s v=""/>
    <s v="ERECHIM"/>
    <s v="RS"/>
    <s v=""/>
    <s v=""/>
    <s v=""/>
    <s v="50%"/>
    <s v="Pipeline de Vendas"/>
    <s v="Em negociação (75%)"/>
    <s v=""/>
    <m/>
    <n v="87344"/>
    <n v="514788"/>
    <n v="41"/>
    <s v="Junior Lopes"/>
    <d v="2025-07-30T00:00:00"/>
    <d v="1899-12-30T15:13:04"/>
    <s v=""/>
    <s v="Perdido"/>
    <d v="2025-09-09T00:00:00"/>
    <d v="1899-12-30T15:35:44"/>
    <s v="Não quer mudar a solução atual"/>
    <s v="cliente vai seguir somente com força de vendas"/>
    <s v=""/>
    <x v="97"/>
    <s v=""/>
    <x v="0"/>
    <s v=""/>
    <m/>
    <m/>
    <s v=""/>
    <s v=""/>
    <s v=""/>
    <s v=""/>
    <n v="1"/>
  </r>
  <r>
    <x v="1"/>
    <n v="505"/>
    <m/>
    <n v="2436"/>
    <s v=""/>
    <s v=""/>
    <x v="214"/>
    <n v="8306975000154"/>
    <s v=""/>
    <s v="Fuzipar (Cloud)"/>
    <s v="5499823395"/>
    <s v=""/>
    <s v=""/>
    <s v=""/>
    <s v=""/>
    <s v=""/>
    <s v="ERECHIM"/>
    <s v="RS"/>
    <s v=""/>
    <s v=""/>
    <s v=""/>
    <s v=""/>
    <s v="Pipeline de Vendas"/>
    <s v="Apresentar Solução (35%)"/>
    <s v=""/>
    <m/>
    <n v="1600"/>
    <n v="334556"/>
    <n v="30"/>
    <s v="Junior Lopes"/>
    <d v="2025-07-30T00:00:00"/>
    <d v="1899-12-30T16:07:10"/>
    <s v=""/>
    <s v="Perdido"/>
    <d v="2025-08-29T00:00:00"/>
    <d v="1899-12-30T15:49:29"/>
    <s v="Não quer mudar a solução atual"/>
    <s v="vai seguir somente com força de vendas"/>
    <s v=""/>
    <x v="96"/>
    <s v=""/>
    <x v="0"/>
    <s v=""/>
    <m/>
    <m/>
    <s v=""/>
    <s v=""/>
    <s v=""/>
    <s v=""/>
    <n v="1"/>
  </r>
  <r>
    <x v="1"/>
    <n v="506"/>
    <m/>
    <n v="2439"/>
    <s v=""/>
    <s v=""/>
    <x v="215"/>
    <n v="30924882000142"/>
    <s v=""/>
    <s v="PEDRO DE ROZENDO PACO DA SILVEIRA"/>
    <s v=""/>
    <s v=""/>
    <s v="pedro@grupoecoa.com.br"/>
    <s v=""/>
    <s v=""/>
    <s v=""/>
    <s v=""/>
    <s v=""/>
    <s v="Base de empresas Leads2b"/>
    <s v=""/>
    <s v=""/>
    <s v="90%"/>
    <s v="Pipeline de Vendas"/>
    <s v="Em Fechamento (100%)"/>
    <s v=""/>
    <m/>
    <n v="72240"/>
    <n v="2167539"/>
    <n v="56"/>
    <s v="Junior Lopes"/>
    <d v="2025-07-30T00:00:00"/>
    <d v="1899-12-30T16:26:43"/>
    <s v=""/>
    <s v="Perdido"/>
    <d v="2025-09-24T00:00:00"/>
    <d v="1899-12-30T09:34:51"/>
    <s v="Não quer mudar a solução atual"/>
    <s v="Pedro não responde mais aos contatos"/>
    <s v=""/>
    <x v="96"/>
    <s v=""/>
    <x v="0"/>
    <s v=""/>
    <m/>
    <m/>
    <s v=""/>
    <s v=""/>
    <s v=""/>
    <s v=""/>
    <n v="1"/>
  </r>
  <r>
    <x v="1"/>
    <n v="507"/>
    <m/>
    <n v="2440"/>
    <s v=""/>
    <s v=""/>
    <x v="216"/>
    <n v="30924882000142"/>
    <s v=""/>
    <s v="Grupo Ecoa"/>
    <s v="11987154112"/>
    <s v=""/>
    <s v="pedro@grupoecoa.com"/>
    <s v=""/>
    <s v=""/>
    <s v=""/>
    <s v="DUQUE DE CAXIAS"/>
    <s v="RJ"/>
    <s v=""/>
    <s v=""/>
    <s v=""/>
    <s v="80%"/>
    <s v="Pipeline de Vendas"/>
    <s v="Em Fechamento (100%)"/>
    <s v=""/>
    <m/>
    <n v="1620001"/>
    <n v="2900"/>
    <n v="56"/>
    <s v="Junior Lopes"/>
    <d v="2025-07-30T00:00:00"/>
    <d v="1899-12-30T17:20:05"/>
    <s v=""/>
    <s v="Perdido"/>
    <d v="2025-09-24T00:00:00"/>
    <d v="1899-12-30T09:17:39"/>
    <s v="Não quer mudar a solução atual"/>
    <s v="Pedro não responde mais os contatos"/>
    <s v=""/>
    <x v="96"/>
    <s v=""/>
    <x v="0"/>
    <s v=""/>
    <m/>
    <m/>
    <s v=""/>
    <s v=""/>
    <s v=""/>
    <s v=""/>
    <n v="1"/>
  </r>
  <r>
    <x v="1"/>
    <n v="508"/>
    <m/>
    <n v="2442"/>
    <s v=""/>
    <s v=""/>
    <x v="217"/>
    <m/>
    <s v=""/>
    <s v="Vitoria cortinas"/>
    <s v="35993445286"/>
    <s v=""/>
    <s v="compras@vitoriacortinasdecoracoes.com.br"/>
    <s v=""/>
    <s v=""/>
    <s v=""/>
    <s v=""/>
    <s v=""/>
    <s v=""/>
    <s v=""/>
    <s v=""/>
    <s v=""/>
    <s v="Pipeline de Vendas"/>
    <s v="Em Fechamento (100%)"/>
    <s v=""/>
    <m/>
    <n v="62169"/>
    <n v="0"/>
    <n v="53"/>
    <s v="Junior Lopes"/>
    <d v="2025-07-31T00:00:00"/>
    <d v="1899-12-30T09:07:55"/>
    <s v=""/>
    <s v="Ganho"/>
    <d v="2025-09-22T00:00:00"/>
    <d v="1899-12-30T10:43:58"/>
    <s v=""/>
    <s v=""/>
    <s v=""/>
    <x v="98"/>
    <s v=""/>
    <x v="107"/>
    <s v=""/>
    <m/>
    <m/>
    <s v=""/>
    <s v=""/>
    <s v=""/>
    <s v=""/>
    <n v="1"/>
  </r>
  <r>
    <x v="1"/>
    <n v="509"/>
    <m/>
    <n v="2443"/>
    <s v=""/>
    <s v="Maxsoy Alimentos Ltda"/>
    <x v="218"/>
    <n v="6346005000157"/>
    <s v=""/>
    <s v="Maxsoy Alimentos Ltda"/>
    <s v="(19) 3809-5454"/>
    <s v=""/>
    <s v="vendas@maxsoy.com.br"/>
    <s v=""/>
    <s v=""/>
    <s v=""/>
    <s v="HORTOLANDIA"/>
    <s v="SP"/>
    <s v="Base de empresas Leads2b"/>
    <s v=""/>
    <s v=""/>
    <s v=""/>
    <s v="Pipeline de Vendas"/>
    <s v="Apresentar Solução (35%)"/>
    <s v=""/>
    <m/>
    <n v="16960"/>
    <n v="67275"/>
    <n v="28"/>
    <s v="Junior Lopes"/>
    <d v="2025-07-31T00:00:00"/>
    <d v="1899-12-30T11:57:17"/>
    <s v=""/>
    <s v="Perdido"/>
    <d v="2025-08-28T00:00:00"/>
    <d v="1899-12-30T16:25:26"/>
    <s v="Preço muito alto - fora do budget de investimento"/>
    <s v="cliente não quer dar sequencia no momento por conta do valor"/>
    <s v=""/>
    <x v="99"/>
    <s v=""/>
    <x v="108"/>
    <s v="01/08/2025"/>
    <m/>
    <m/>
    <s v=""/>
    <s v=""/>
    <s v=""/>
    <s v=""/>
    <n v="1"/>
  </r>
  <r>
    <x v="1"/>
    <n v="510"/>
    <m/>
    <n v="2446"/>
    <s v=""/>
    <s v="Brinquemix Industria E Comercio Ltda"/>
    <x v="219"/>
    <n v="60315995000101"/>
    <s v=""/>
    <s v="Brinquemix Industria E Comercio Ltda"/>
    <s v="(11) 4116-5272"/>
    <s v=""/>
    <s v="fiscal@codepcontabilidade.com.br"/>
    <s v=""/>
    <s v=""/>
    <s v=""/>
    <s v="ITAQUAQUECETUBA"/>
    <s v="SP"/>
    <s v="Base de empresas Leads2b"/>
    <s v=""/>
    <s v=""/>
    <s v=""/>
    <s v="Pipeline de Vendas"/>
    <s v="Apresentar Solução (35%)"/>
    <s v=""/>
    <m/>
    <n v="94976"/>
    <n v="566152"/>
    <n v="29"/>
    <s v="Junior Lopes"/>
    <d v="2025-07-31T00:00:00"/>
    <d v="1899-12-30T17:09:31"/>
    <s v=""/>
    <s v="Perdido"/>
    <d v="2025-08-29T00:00:00"/>
    <d v="1899-12-30T11:05:45"/>
    <s v="Projeto adiado / sem prazo definido"/>
    <s v="16:26, 28/8/2025 Junior Lopes: Olá Simone, boa tarde_x000a_17:06, 28/8/2025 Simone Brinquemix : Olá Dra_x000a_17:06, 28/8/2025 Simone Brinquemix : Olá_x000a_11:03, 29/8/2025 Junior Lopes: Olá Simone ! Como não tive retorno de sua parte, vou encerrar este atendimento! _x000a_Caso mude de ideia ou precise de algo no futuro pode me chamar por aqui _x000a_Estimo sucesso para vocês 🤝"/>
    <s v=""/>
    <x v="100"/>
    <s v=""/>
    <x v="109"/>
    <s v="05/08/2025"/>
    <m/>
    <m/>
    <s v=""/>
    <s v=""/>
    <s v=""/>
    <s v=""/>
    <n v="1"/>
  </r>
  <r>
    <x v="0"/>
    <n v="516"/>
    <m/>
    <n v="2454"/>
    <s v=""/>
    <s v=""/>
    <x v="220"/>
    <n v="72677693000162"/>
    <s v=""/>
    <s v="Milene Fonseca"/>
    <s v="(11) 2431-1432"/>
    <s v=""/>
    <s v="compras@tapetesoasis.com.br"/>
    <s v=""/>
    <s v=""/>
    <s v=""/>
    <s v="Campinas"/>
    <s v=""/>
    <s v="Site"/>
    <s v=""/>
    <s v=""/>
    <s v="Solicita demo"/>
    <s v="Pipeline de Vendas"/>
    <s v="Em negociação (75%)"/>
    <s v=""/>
    <m/>
    <m/>
    <m/>
    <n v="53"/>
    <s v="Paulo Souza"/>
    <d v="2025-08-07T00:00:00"/>
    <d v="1899-12-30T12:08:11"/>
    <s v=""/>
    <s v="Perdido"/>
    <d v="2025-09-29T00:00:00"/>
    <d v="1899-12-30T16:35:41"/>
    <s v="Projeto adiado / sem prazo definido"/>
    <s v=""/>
    <s v=""/>
    <x v="0"/>
    <s v="Paulo Souza"/>
    <x v="110"/>
    <s v=""/>
    <m/>
    <m/>
    <s v=""/>
    <s v=""/>
    <s v=""/>
    <s v=""/>
    <n v="1"/>
  </r>
  <r>
    <x v="0"/>
    <n v="517"/>
    <m/>
    <n v="2453"/>
    <s v=""/>
    <s v=""/>
    <x v="221"/>
    <n v="38470026000176"/>
    <s v=""/>
    <s v="Matheus Ambrosi"/>
    <s v="(51) 99658-9275"/>
    <s v=""/>
    <s v="matheus.ambrosi@sanremo.com.br"/>
    <s v=""/>
    <s v=""/>
    <s v=""/>
    <s v="São Paulo"/>
    <s v=""/>
    <s v="Site"/>
    <s v=""/>
    <s v=""/>
    <s v=""/>
    <s v="Pipeline de Vendas"/>
    <s v="Qualificação de Vendas (SQL) (25%)"/>
    <s v=""/>
    <m/>
    <m/>
    <m/>
    <n v="53"/>
    <s v="Paulo Souza"/>
    <d v="2025-08-07T00:00:00"/>
    <d v="1899-12-30T12:08:57"/>
    <s v=""/>
    <s v="Perdido"/>
    <d v="2025-09-29T00:00:00"/>
    <d v="1899-12-30T16:37:57"/>
    <s v="Projeto adiado / sem prazo definido"/>
    <s v=""/>
    <s v=""/>
    <x v="0"/>
    <s v="Paulo Souza"/>
    <x v="0"/>
    <s v=""/>
    <m/>
    <m/>
    <s v=""/>
    <s v=""/>
    <s v=""/>
    <s v=""/>
    <n v="1"/>
  </r>
  <r>
    <x v="0"/>
    <n v="518"/>
    <m/>
    <n v="2456"/>
    <s v="Falei hoje com o Gomes consultor Totvs da empresa Oyshi e o mesmo que agendar uma reunião técnica de alinhamento para integrar o AFV com Protheus._x000a_19-01; Após nossa reunião na sexta-feira para alinhar sobre a integração, o Gomes ficou de providências uma agenda com o Rodrigo para fechar a negociação._x000a_22/01 - Cobrei novamente o Evandro para ele me posicionar se conseguiu falar com o Rodrigo para avançar com o contrato e fechamento e assim dar sequencias no projeto. Ele falou que estava envolvido em tarefas adicionais e isso atrasou a conversa que vai ocorrer na próxima semana._x000a_26/02 Fiz FUP com o Evandro hoje perguntando uma posição, no aguardo. Já falei com a Isabella diretor comercial, e até agora nada de retorno._x000a_12/03 Fiz FUP com o Evandro e ele falou que a decisão para seguir ou não vai ser tomada na próxima sexta-feira 13/03._x000a_23/03 Falei com a Isabella a mesma me avisou que semana que vem vai"/>
    <s v=""/>
    <x v="222"/>
    <n v="30340720000167"/>
    <s v=""/>
    <s v="Rodrigo"/>
    <s v="4491813443"/>
    <s v=""/>
    <s v="rodrigo.fongari@oyshi.com.br"/>
    <s v=""/>
    <s v=""/>
    <s v=""/>
    <s v=""/>
    <s v=""/>
    <s v="Outbound"/>
    <s v=""/>
    <s v=""/>
    <s v="80%"/>
    <s v="Pipeline de Vendas"/>
    <s v="Em Fechamento (100%)"/>
    <s v=""/>
    <d v="2026-03-31T00:00:00"/>
    <n v="27340"/>
    <n v="32992"/>
    <n v="246"/>
    <s v="Paulo Souza"/>
    <d v="2025-08-07T00:00:00"/>
    <d v="1899-12-30T13:57:39"/>
    <s v=""/>
    <s v="Perdido"/>
    <d v="2026-04-10T00:00:00"/>
    <d v="1899-12-30T16:56:59"/>
    <s v="Projeto adiado / sem prazo definido"/>
    <s v=""/>
    <s v=""/>
    <x v="101"/>
    <s v="Paulo Souza"/>
    <x v="111"/>
    <s v=""/>
    <d v="2026-04-10T00:00:00"/>
    <n v="90"/>
    <s v="80"/>
    <s v="AFV, BI"/>
    <s v="R$ 16.000"/>
    <s v="R$ 1.558"/>
    <n v="1"/>
  </r>
  <r>
    <x v="0"/>
    <n v="519"/>
    <m/>
    <n v="2457"/>
    <s v=""/>
    <s v=""/>
    <x v="223"/>
    <m/>
    <s v=""/>
    <s v="Fernanda"/>
    <s v="11997633759"/>
    <s v=""/>
    <s v="fernanda@jlkplasticos.com"/>
    <s v=""/>
    <s v=""/>
    <s v=""/>
    <s v=""/>
    <s v=""/>
    <s v=""/>
    <s v=""/>
    <s v=""/>
    <s v=""/>
    <s v="Pipeline de Vendas"/>
    <s v="Em negociação (75%)"/>
    <s v=""/>
    <m/>
    <m/>
    <m/>
    <n v="34"/>
    <s v="Paulo Souza"/>
    <d v="2025-08-07T00:00:00"/>
    <d v="1899-12-30T14:05:56"/>
    <s v=""/>
    <s v="Perdido"/>
    <d v="2025-09-10T00:00:00"/>
    <d v="1899-12-30T16:14:07"/>
    <s v="Preço muito alto - fora do budget de investimento"/>
    <s v=""/>
    <s v=""/>
    <x v="99"/>
    <s v="Paulo Souza"/>
    <x v="110"/>
    <s v=""/>
    <m/>
    <m/>
    <s v=""/>
    <s v=""/>
    <s v=""/>
    <s v=""/>
    <n v="1"/>
  </r>
  <r>
    <x v="0"/>
    <n v="521"/>
    <m/>
    <n v="2459"/>
    <s v=""/>
    <s v=""/>
    <x v="224"/>
    <n v="7380599000428"/>
    <s v=""/>
    <s v="Raymond"/>
    <s v="11982685555"/>
    <s v=""/>
    <s v="raymond@deltaimport.com.br"/>
    <s v=""/>
    <s v=""/>
    <s v=""/>
    <s v=""/>
    <s v=""/>
    <s v=""/>
    <s v=""/>
    <s v=""/>
    <s v=""/>
    <s v="Pipeline de Vendas"/>
    <s v="Em Fechamento (100%)"/>
    <s v=""/>
    <m/>
    <n v="55500"/>
    <n v="53662"/>
    <n v="17"/>
    <s v="Paulo Souza"/>
    <d v="2025-08-08T00:00:00"/>
    <d v="1899-12-30T11:45:56"/>
    <s v=""/>
    <s v="Ganho"/>
    <d v="2025-08-25T00:00:00"/>
    <d v="1899-12-30T14:26:43"/>
    <s v=""/>
    <s v=""/>
    <s v=""/>
    <x v="102"/>
    <s v="Paulo Souza"/>
    <x v="112"/>
    <s v=""/>
    <m/>
    <m/>
    <s v=""/>
    <s v=""/>
    <s v=""/>
    <s v=""/>
    <n v="1"/>
  </r>
  <r>
    <x v="2"/>
    <n v="531"/>
    <m/>
    <n v="2475"/>
    <s v=""/>
    <s v=""/>
    <x v="225"/>
    <n v="19733550000148"/>
    <s v=""/>
    <s v="Naiara"/>
    <s v="(19) 3496-7474 / (19) 3885-1725"/>
    <s v=""/>
    <s v="renatapalace@impal.ind.br"/>
    <s v=""/>
    <s v=""/>
    <s v=""/>
    <s v="RAFARD"/>
    <s v="SP"/>
    <s v=""/>
    <s v=""/>
    <s v=""/>
    <s v=""/>
    <s v="Pipeline de Vendas"/>
    <s v="Em negociação (75%)"/>
    <s v=""/>
    <m/>
    <n v="84420"/>
    <n v="4137"/>
    <n v="34"/>
    <s v="Rayssa Karapeticov"/>
    <d v="2025-08-20T00:00:00"/>
    <d v="1899-12-30T09:16:59"/>
    <s v=""/>
    <s v="Perdido"/>
    <d v="2025-09-23T00:00:00"/>
    <d v="1899-12-30T11:10:15"/>
    <s v="Preço muito alto - fora do budget de investimento"/>
    <s v=""/>
    <s v=""/>
    <x v="103"/>
    <s v=""/>
    <x v="113"/>
    <s v=""/>
    <m/>
    <m/>
    <s v=""/>
    <s v=""/>
    <s v=""/>
    <s v=""/>
    <n v="1"/>
  </r>
  <r>
    <x v="1"/>
    <n v="532"/>
    <m/>
    <n v="2478"/>
    <s v=""/>
    <s v="Distribuidora Tropical Aromas Ltda"/>
    <x v="226"/>
    <n v="12902777000120"/>
    <s v=""/>
    <s v="Distribuidora Tropical Aromas Ltda"/>
    <s v="(13) 3329-5855"/>
    <s v=""/>
    <s v="contato@keurequimica.com.br"/>
    <s v=""/>
    <s v=""/>
    <s v=""/>
    <s v="ITAQUAQUECETUBA"/>
    <s v="SP"/>
    <s v="Base de empresas Leads2b"/>
    <s v=""/>
    <s v=""/>
    <s v=""/>
    <s v="Pipeline de Vendas"/>
    <s v="Apresentar Solução (35%)"/>
    <s v=""/>
    <m/>
    <n v="16960"/>
    <n v="4910"/>
    <n v="69"/>
    <s v="Junior Lopes"/>
    <d v="2025-08-20T00:00:00"/>
    <d v="1899-12-30T09:53:51"/>
    <s v=""/>
    <s v="Perdido"/>
    <d v="2025-10-28T00:00:00"/>
    <d v="1899-12-30T10:23:56"/>
    <s v="Projeto adiado / sem prazo definido"/>
    <s v="Voltar contato em Janeiro 2026"/>
    <s v=""/>
    <x v="95"/>
    <s v=""/>
    <x v="114"/>
    <s v=""/>
    <m/>
    <m/>
    <s v=""/>
    <s v=""/>
    <s v=""/>
    <s v=""/>
    <n v="1"/>
  </r>
  <r>
    <x v="1"/>
    <n v="534"/>
    <m/>
    <n v="2481"/>
    <s v=""/>
    <s v="Usual Plastic - Utilidade Domestica E Comercio Ltda"/>
    <x v="227"/>
    <n v="12589391000291"/>
    <s v=""/>
    <s v="Usual Plastic - Utilidade Domestica E Comercio Ltda"/>
    <s v="(15) 3283-3659"/>
    <s v=""/>
    <s v="adm@usualutilidades.com.br"/>
    <s v=""/>
    <s v=""/>
    <s v=""/>
    <s v="CESARIO LANGE"/>
    <s v="SP"/>
    <s v="Base de empresas Leads2b"/>
    <s v=""/>
    <s v=""/>
    <s v="30%;50%"/>
    <s v="Pipeline de Vendas"/>
    <s v="Apresentar Solução (35%)"/>
    <s v=""/>
    <m/>
    <n v="16960"/>
    <n v="56568"/>
    <n v="20"/>
    <s v="Junior Lopes"/>
    <d v="2025-08-20T00:00:00"/>
    <d v="1899-12-30T09:59:57"/>
    <s v=""/>
    <s v="Perdido"/>
    <d v="2025-09-09T00:00:00"/>
    <d v="1899-12-30T15:34:30"/>
    <s v="Não quer mudar a solução atual"/>
    <s v="Gustavo conversou com os sócios e decidiu por não trocar de software no momento"/>
    <s v=""/>
    <x v="104"/>
    <s v=""/>
    <x v="115"/>
    <s v=""/>
    <m/>
    <m/>
    <s v=""/>
    <s v=""/>
    <s v=""/>
    <s v=""/>
    <n v="1"/>
  </r>
  <r>
    <x v="1"/>
    <n v="537"/>
    <m/>
    <n v="2486"/>
    <s v="O projeto já está fechado; porém, devido ao fim de ano e à alta demanda interna do cliente, a assinatura do contrato foi adiada. O cliente preferiu formalizar tudo na primeira semana de janeiro, com assinatura prevista para 05/01/2026."/>
    <s v=""/>
    <x v="228"/>
    <n v="4049280000183"/>
    <s v=""/>
    <s v="AmilPlast indústria"/>
    <s v="11973107041"/>
    <s v=""/>
    <s v="amilplast@amilplastt.com.br"/>
    <s v=""/>
    <s v=""/>
    <s v=""/>
    <s v="GUARULHOS"/>
    <s v="SP"/>
    <s v=""/>
    <s v=""/>
    <s v=""/>
    <s v="90%"/>
    <s v="Pipeline de Vendas"/>
    <s v="Em Fechamento (100%)"/>
    <s v=""/>
    <d v="2026-01-16T00:00:00"/>
    <n v="51300"/>
    <n v="17345"/>
    <n v="160"/>
    <s v="Junior Lopes"/>
    <d v="2025-08-20T00:00:00"/>
    <d v="1899-12-30T10:42:44"/>
    <s v=""/>
    <s v="Ganho"/>
    <d v="2026-01-27T00:00:00"/>
    <d v="1899-12-30T17:02:07"/>
    <s v=""/>
    <s v=""/>
    <s v="21/10/2025"/>
    <x v="105"/>
    <s v="Junior Lopes"/>
    <x v="116"/>
    <s v=""/>
    <d v="2026-01-06T00:00:00"/>
    <m/>
    <s v=""/>
    <s v=""/>
    <s v=""/>
    <s v=""/>
    <n v="1"/>
  </r>
  <r>
    <x v="1"/>
    <n v="539"/>
    <m/>
    <n v="2490"/>
    <s v=""/>
    <s v="Pracaza Decor Comercio Importacao E Exportacao De Artigos Para Decoracao Ltda."/>
    <x v="229"/>
    <n v="39679781000128"/>
    <s v=""/>
    <s v="Pracaza Decor Comercio Importacao E Exportacao De Artigos Para Decoracao Ltda."/>
    <s v="(11) 4395-7650"/>
    <s v=""/>
    <s v="contato@acrosscontabil.com.br"/>
    <s v=""/>
    <s v=""/>
    <s v=""/>
    <s v="SAO PAULO"/>
    <s v="SP"/>
    <s v="Base de empresas Leads2b"/>
    <s v=""/>
    <s v=""/>
    <s v=""/>
    <s v="Pipeline de Vendas"/>
    <s v="Apresentar Solução (35%)"/>
    <s v=""/>
    <m/>
    <n v="67840"/>
    <n v="13781"/>
    <n v="69"/>
    <s v="Junior Lopes"/>
    <d v="2025-08-20T00:00:00"/>
    <d v="1899-12-30T11:16:16"/>
    <s v=""/>
    <s v="Perdido"/>
    <d v="2025-10-28T00:00:00"/>
    <d v="1899-12-30T10:24:21"/>
    <s v="Não quer mudar a solução atual"/>
    <s v="sem retorno"/>
    <s v=""/>
    <x v="106"/>
    <s v=""/>
    <x v="0"/>
    <s v=""/>
    <m/>
    <m/>
    <s v=""/>
    <s v=""/>
    <s v=""/>
    <s v=""/>
    <n v="1"/>
  </r>
  <r>
    <x v="1"/>
    <n v="540"/>
    <m/>
    <n v="2493"/>
    <s v=""/>
    <s v="Aluminio Marcolar Ltda"/>
    <x v="230"/>
    <n v="43066372000204"/>
    <s v=""/>
    <s v="Aluminio Marcolar Ltda"/>
    <s v="(11) 2067-1299"/>
    <s v=""/>
    <s v="sac@marcolar.com.br"/>
    <s v=""/>
    <s v=""/>
    <s v=""/>
    <s v="RIBEIRAO PIRES"/>
    <s v="SP"/>
    <s v="Base de empresas Leads2b"/>
    <s v=""/>
    <s v=""/>
    <s v=""/>
    <s v="Pipeline de Vendas"/>
    <s v="Apresentar Solução (35%)"/>
    <s v=""/>
    <m/>
    <n v="16960"/>
    <n v="37712"/>
    <n v="71"/>
    <s v="Junior Lopes"/>
    <d v="2025-08-20T00:00:00"/>
    <d v="1899-12-30T11:29:31"/>
    <s v=""/>
    <s v="Perdido"/>
    <d v="2025-10-30T00:00:00"/>
    <d v="1899-12-30T10:08:50"/>
    <s v="Projeto adiado / sem prazo definido"/>
    <s v="Rogerio pediu para aguardar um pouco mais"/>
    <s v=""/>
    <x v="107"/>
    <s v=""/>
    <x v="117"/>
    <s v=""/>
    <m/>
    <m/>
    <s v=""/>
    <s v=""/>
    <s v=""/>
    <s v=""/>
    <n v="1"/>
  </r>
  <r>
    <x v="1"/>
    <n v="542"/>
    <m/>
    <n v="2496"/>
    <s v=""/>
    <s v=""/>
    <x v="231"/>
    <n v="1715468000125"/>
    <s v=""/>
    <s v="Off Paper"/>
    <s v="35984074473"/>
    <s v=""/>
    <s v="jessica@papeisoffpaper.com.br"/>
    <s v=""/>
    <s v=""/>
    <s v=""/>
    <s v="LAMBARI"/>
    <s v="MG"/>
    <s v=""/>
    <s v=""/>
    <s v=""/>
    <s v="30%"/>
    <s v="Pipeline de Vendas"/>
    <s v="Apresentar Proposta (50%)"/>
    <s v=""/>
    <m/>
    <n v="212"/>
    <n v="69045"/>
    <n v="41"/>
    <s v="Junior Lopes"/>
    <d v="2025-08-21T00:00:00"/>
    <d v="1899-12-30T09:33:37"/>
    <s v=""/>
    <s v="Perdido"/>
    <d v="2025-10-01T00:00:00"/>
    <d v="1899-12-30T15:59:20"/>
    <s v="Fechou com o concorrente - preço"/>
    <s v="fechou sem mesmo falar com Guarani"/>
    <s v=""/>
    <x v="106"/>
    <s v=""/>
    <x v="115"/>
    <s v="22/08/2025"/>
    <m/>
    <m/>
    <s v=""/>
    <s v=""/>
    <s v=""/>
    <s v=""/>
    <n v="1"/>
  </r>
  <r>
    <x v="0"/>
    <n v="545"/>
    <m/>
    <n v="2464"/>
    <s v=""/>
    <s v=""/>
    <x v="232"/>
    <m/>
    <s v=""/>
    <s v="Carlos"/>
    <s v="(11) 91852-0852"/>
    <s v=""/>
    <s v="cpedro@shinyt.com.br"/>
    <s v=""/>
    <s v=""/>
    <s v=""/>
    <s v="São Paulo"/>
    <s v=""/>
    <s v="Site"/>
    <s v=""/>
    <s v=""/>
    <s v=""/>
    <s v="Pipeline de Vendas"/>
    <s v="Apresentar Proposta (50%)"/>
    <s v=""/>
    <m/>
    <n v="47500"/>
    <n v="28571"/>
    <n v="3"/>
    <s v="Paulo Souza"/>
    <d v="2025-08-22T00:00:00"/>
    <d v="1899-12-30T16:30:14"/>
    <s v=""/>
    <s v="Perdido"/>
    <d v="2025-08-25T00:00:00"/>
    <d v="1899-12-30T14:44:29"/>
    <s v="Preço muito alto - fora do budget de investimento"/>
    <s v=""/>
    <s v=""/>
    <x v="99"/>
    <s v="Paulo Souza"/>
    <x v="113"/>
    <s v=""/>
    <m/>
    <m/>
    <s v=""/>
    <s v=""/>
    <s v=""/>
    <s v=""/>
    <n v="1"/>
  </r>
  <r>
    <x v="0"/>
    <n v="546"/>
    <m/>
    <n v="2463"/>
    <s v=""/>
    <s v=""/>
    <x v="233"/>
    <n v="27616615000101"/>
    <s v=""/>
    <s v="Raquel"/>
    <s v="(47) 99227-7535"/>
    <s v=""/>
    <s v="comercial@dgbcomex.com.br"/>
    <s v=""/>
    <s v=""/>
    <s v=""/>
    <s v="Santa Bárbara d'Oeste"/>
    <s v=""/>
    <s v="Site"/>
    <s v=""/>
    <s v=""/>
    <s v="Contato"/>
    <s v="Pipeline de Vendas"/>
    <s v="Em negociação (75%)"/>
    <s v=""/>
    <m/>
    <n v="56000"/>
    <n v="340834"/>
    <n v="38"/>
    <s v="Paulo Souza"/>
    <d v="2025-08-22T00:00:00"/>
    <d v="1899-12-30T16:30:46"/>
    <s v=""/>
    <s v="Perdido"/>
    <d v="2025-09-29T00:00:00"/>
    <d v="1899-12-30T16:42:31"/>
    <s v="Projeto adiado / sem prazo definido"/>
    <s v=""/>
    <s v=""/>
    <x v="108"/>
    <s v="Paulo Souza"/>
    <x v="118"/>
    <s v=""/>
    <m/>
    <m/>
    <s v=""/>
    <s v=""/>
    <s v=""/>
    <s v=""/>
    <n v="1"/>
  </r>
  <r>
    <x v="0"/>
    <n v="550"/>
    <m/>
    <n v="2506"/>
    <s v=""/>
    <s v=""/>
    <x v="234"/>
    <n v="7225431000103"/>
    <s v=""/>
    <s v="Ezequiel"/>
    <s v="49999523158"/>
    <s v=""/>
    <s v="adm@duarteestofaria.com.br"/>
    <s v=""/>
    <s v=""/>
    <s v=""/>
    <s v=""/>
    <s v=""/>
    <s v=""/>
    <s v=""/>
    <s v=""/>
    <s v=""/>
    <s v="Pipeline de Vendas"/>
    <s v="Em negociação (75%)"/>
    <s v=""/>
    <m/>
    <n v="519984"/>
    <n v="15378"/>
    <n v="0"/>
    <s v="Paulo Souza"/>
    <d v="2025-08-25T00:00:00"/>
    <d v="1899-12-30T14:30:34"/>
    <s v=""/>
    <s v="Perdido"/>
    <d v="2025-08-25T00:00:00"/>
    <d v="1899-12-30T14:33:38"/>
    <s v="Preço muito alto - fora do budget de investimento"/>
    <s v=""/>
    <s v=""/>
    <x v="109"/>
    <s v="Paulo Souza"/>
    <x v="119"/>
    <s v=""/>
    <m/>
    <m/>
    <s v=""/>
    <s v=""/>
    <s v=""/>
    <s v=""/>
    <n v="1"/>
  </r>
  <r>
    <x v="0"/>
    <n v="552"/>
    <m/>
    <n v="2508"/>
    <s v="Falei hoje 09/01/2026 com Helton e questionei ele sobre a sequência ou não do projeto sistema._x000a_Esta oportunidade encontra-se pausado durante 2026._x000a_22/01 - Retorno do Helton:  Paulo, bom dia! Peço desculpas pelo atraso na resposta. Desejo um ótimo 2026 para você também! _x000a_Analisamos as opções para uma possível troca, mas infelizmente não obtivemos a adesão esperada. Portanto, por enquanto, vamos manter o ERP atual."/>
    <s v=""/>
    <x v="235"/>
    <n v="17739326000138"/>
    <s v=""/>
    <s v="Helton"/>
    <s v="1633347333"/>
    <s v=""/>
    <s v="helton@ramos.com.br"/>
    <s v=""/>
    <s v=""/>
    <s v=""/>
    <s v=""/>
    <s v=""/>
    <s v=""/>
    <s v=""/>
    <s v=""/>
    <s v="30%"/>
    <s v="Pipeline de Vendas"/>
    <s v="Em negociação (75%)"/>
    <s v=""/>
    <d v="2026-01-22T00:00:00"/>
    <n v="15359994"/>
    <n v="924744"/>
    <n v="151"/>
    <s v="Paulo Souza"/>
    <d v="2025-08-25T00:00:00"/>
    <d v="1899-12-30T14:49:40"/>
    <s v=""/>
    <s v="Perdido"/>
    <d v="2026-01-23T00:00:00"/>
    <d v="1899-12-30T11:11:59"/>
    <s v="Não quer mudar a solução atual"/>
    <s v=""/>
    <s v=""/>
    <x v="110"/>
    <s v="Paulo Souza"/>
    <x v="120"/>
    <s v=""/>
    <d v="2026-01-22T00:00:00"/>
    <m/>
    <s v=""/>
    <s v=""/>
    <s v=""/>
    <s v=""/>
    <n v="1"/>
  </r>
  <r>
    <x v="0"/>
    <n v="553"/>
    <m/>
    <n v="2509"/>
    <s v=""/>
    <s v=""/>
    <x v="236"/>
    <m/>
    <s v=""/>
    <s v="Fabiana e Gilson"/>
    <s v="11950946784"/>
    <s v=""/>
    <s v="null"/>
    <s v=""/>
    <s v=""/>
    <s v=""/>
    <s v=""/>
    <s v=""/>
    <s v=""/>
    <s v=""/>
    <s v=""/>
    <s v=""/>
    <s v="Pipeline de Vendas"/>
    <s v="Em Fechamento (100%)"/>
    <s v=""/>
    <m/>
    <n v="9600"/>
    <n v="412064"/>
    <n v="84"/>
    <s v="Paulo Souza"/>
    <d v="2025-08-25T00:00:00"/>
    <d v="1899-12-30T14:58:26"/>
    <s v=""/>
    <s v="Ganho"/>
    <d v="2025-11-17T00:00:00"/>
    <d v="1899-12-30T15:27:00"/>
    <s v=""/>
    <s v=""/>
    <s v=""/>
    <x v="110"/>
    <s v="Paulo Souza"/>
    <x v="120"/>
    <s v=""/>
    <m/>
    <m/>
    <s v=""/>
    <s v=""/>
    <s v=""/>
    <s v=""/>
    <n v="1"/>
  </r>
  <r>
    <x v="1"/>
    <n v="557"/>
    <m/>
    <n v="2516"/>
    <s v=""/>
    <s v=""/>
    <x v="237"/>
    <n v="59716480000134"/>
    <s v=""/>
    <s v="Plastutti - Cloud"/>
    <s v="1146311986"/>
    <s v=""/>
    <s v="thiago@plasstutti.com.br"/>
    <s v=""/>
    <s v=""/>
    <s v=""/>
    <s v="DIADEMA"/>
    <s v="SP"/>
    <s v=""/>
    <s v=""/>
    <s v=""/>
    <s v=""/>
    <s v="Pipeline de Vendas"/>
    <s v="Apresentar Proposta (50%)"/>
    <s v=""/>
    <m/>
    <m/>
    <m/>
    <n v="0"/>
    <s v="Junior Lopes"/>
    <d v="2025-08-28T00:00:00"/>
    <d v="1899-12-30T16:54:42"/>
    <s v=""/>
    <s v="Perdido"/>
    <d v="2025-08-28T00:00:00"/>
    <d v="1899-12-30T17:00:14"/>
    <s v="Preço muito alto - fora do budget de investimento"/>
    <s v="achou valores acima"/>
    <s v=""/>
    <x v="111"/>
    <s v=""/>
    <x v="121"/>
    <s v=""/>
    <m/>
    <m/>
    <s v=""/>
    <s v=""/>
    <s v=""/>
    <s v=""/>
    <n v="1"/>
  </r>
  <r>
    <x v="1"/>
    <n v="558"/>
    <m/>
    <n v="2518"/>
    <s v=""/>
    <s v=""/>
    <x v="238"/>
    <n v="60315995000101"/>
    <s v=""/>
    <s v="Brinquemix - Cloud"/>
    <s v="11996823494"/>
    <s v=""/>
    <s v="simonee@brinquemix.com.br"/>
    <s v=""/>
    <s v=""/>
    <s v=""/>
    <s v="ITAQUAQUECETUBA"/>
    <s v="SP"/>
    <s v=""/>
    <s v=""/>
    <s v=""/>
    <s v=""/>
    <s v="Pipeline de Vendas"/>
    <s v="Apresentar Solução (35%)"/>
    <s v=""/>
    <m/>
    <n v="1600"/>
    <n v="323356"/>
    <n v="0"/>
    <s v="Junior Lopes"/>
    <d v="2025-08-29T00:00:00"/>
    <d v="1899-12-30T10:43:20"/>
    <s v=""/>
    <s v="Perdido"/>
    <d v="2025-08-29T00:00:00"/>
    <d v="1899-12-30T11:06:35"/>
    <s v="Projeto adiado / sem prazo definido"/>
    <s v="16:26, 28/8/2025 Junior Lopes: Olá Simone, boa tarde_x000a_17:06, 28/8/2025 Simone Brinquemix : Olá Dra_x000a_17:06, 28/8/2025 Simone Brinquemix : Olá_x000a_11:03, 29/8/2025 Junior Lopes: Olá Simone ! Como não tive retorno de sua parte, vou encerrar este atendimento! _x000a_Caso mude de ideia ou precise de algo no futuro pode me chamar por aqui _x000a_Estimo sucesso para vocês 🤝"/>
    <s v=""/>
    <x v="112"/>
    <s v=""/>
    <x v="109"/>
    <s v=""/>
    <m/>
    <m/>
    <s v=""/>
    <s v=""/>
    <s v=""/>
    <s v=""/>
    <n v="1"/>
  </r>
  <r>
    <x v="1"/>
    <n v="559"/>
    <n v="155"/>
    <m/>
    <s v=""/>
    <s v=""/>
    <x v="239"/>
    <n v="13609763000186"/>
    <s v="BAAG (Bahia Artes Gráficas)"/>
    <s v=""/>
    <s v=""/>
    <s v=""/>
    <s v="cleber@bahiagrafica.com.br"/>
    <s v=""/>
    <s v=""/>
    <s v=""/>
    <s v="Feira de Santana"/>
    <s v="BA"/>
    <s v=""/>
    <s v=""/>
    <s v=""/>
    <s v=""/>
    <s v="Pipeline de Vendas"/>
    <s v="Apresentar Solução (35%)"/>
    <s v=""/>
    <m/>
    <n v="16960"/>
    <n v="14256"/>
    <n v="32"/>
    <s v="Junior Lopes"/>
    <d v="2025-08-29T00:00:00"/>
    <d v="1899-12-30T15:55:01"/>
    <s v=""/>
    <s v="Perdido"/>
    <d v="2025-09-30T00:00:00"/>
    <d v="1899-12-30T16:26:43"/>
    <s v="Projeto adiado / sem prazo definido"/>
    <s v="em analise do consultor Munhoz, cliente não esta no momento  certo"/>
    <s v=""/>
    <x v="113"/>
    <s v=""/>
    <x v="0"/>
    <s v=""/>
    <m/>
    <m/>
    <s v=""/>
    <s v=""/>
    <s v=""/>
    <s v=""/>
    <n v="1"/>
  </r>
  <r>
    <x v="1"/>
    <n v="561"/>
    <m/>
    <n v="2523"/>
    <s v=""/>
    <s v=""/>
    <x v="240"/>
    <n v="4049280000183"/>
    <s v=""/>
    <s v="Amilplast - Cloud"/>
    <s v="11973107041"/>
    <s v=""/>
    <s v="amilplast@amilplastt.com.br"/>
    <s v=""/>
    <s v=""/>
    <s v=""/>
    <s v="GUARULHOS"/>
    <s v="SP"/>
    <s v=""/>
    <s v=""/>
    <s v=""/>
    <s v=""/>
    <s v="Pipeline de Vendas"/>
    <s v="Em Fechamento (100%)"/>
    <s v=""/>
    <m/>
    <n v="1600"/>
    <n v="390556"/>
    <n v="61"/>
    <s v="Junior Lopes"/>
    <d v="2025-08-29T00:00:00"/>
    <d v="1899-12-30T16:40:34"/>
    <s v=""/>
    <s v="Perdido"/>
    <d v="2025-10-29T00:00:00"/>
    <d v="1899-12-30T10:37:03"/>
    <s v="Não quer mudar a solução atual"/>
    <s v="Amilplast continuará com servidor físico"/>
    <s v="21/10/2025"/>
    <x v="105"/>
    <s v=""/>
    <x v="116"/>
    <s v=""/>
    <m/>
    <m/>
    <s v=""/>
    <s v=""/>
    <s v=""/>
    <s v=""/>
    <n v="1"/>
  </r>
  <r>
    <x v="1"/>
    <n v="562"/>
    <m/>
    <n v="2526"/>
    <s v=""/>
    <s v=""/>
    <x v="241"/>
    <n v="1715468000125"/>
    <s v=""/>
    <s v="Off Paper (ERP)"/>
    <s v="35984074473"/>
    <s v=""/>
    <s v="jessica@papeisoffpaper.com.br"/>
    <s v=""/>
    <s v=""/>
    <s v=""/>
    <s v="LAMBARI"/>
    <s v="MG"/>
    <s v=""/>
    <s v=""/>
    <s v=""/>
    <s v=""/>
    <s v="Pipeline de Vendas"/>
    <s v="Apresentar Solução (35%)"/>
    <s v=""/>
    <m/>
    <n v="1600"/>
    <n v="480156"/>
    <n v="33"/>
    <s v="Junior Lopes"/>
    <d v="2025-08-29T00:00:00"/>
    <d v="1899-12-30T16:52:44"/>
    <s v=""/>
    <s v="Perdido"/>
    <d v="2025-10-01T00:00:00"/>
    <d v="1899-12-30T15:58:53"/>
    <s v="Fechou com o concorrente - preço"/>
    <s v="fechou sem mesmo falar com Guarani"/>
    <s v=""/>
    <x v="106"/>
    <s v=""/>
    <x v="0"/>
    <s v=""/>
    <m/>
    <m/>
    <s v=""/>
    <s v=""/>
    <s v=""/>
    <s v=""/>
    <n v="1"/>
  </r>
  <r>
    <x v="1"/>
    <n v="563"/>
    <m/>
    <n v="2530"/>
    <s v=""/>
    <s v=""/>
    <x v="242"/>
    <n v="1715468000125"/>
    <s v=""/>
    <s v="Off Paper (Cloud)"/>
    <s v="35984074473"/>
    <s v=""/>
    <s v="jessica@papeisoffpaper.com.br"/>
    <s v=""/>
    <s v=""/>
    <s v=""/>
    <s v="LAMBARI"/>
    <s v="MG"/>
    <s v=""/>
    <s v=""/>
    <s v=""/>
    <s v=""/>
    <s v="Pipeline de Vendas"/>
    <s v="Apresentar Solução (35%)"/>
    <s v=""/>
    <m/>
    <n v="93280"/>
    <n v="1163416"/>
    <n v="33"/>
    <s v="Junior Lopes"/>
    <d v="2025-08-29T00:00:00"/>
    <d v="1899-12-30T16:55:00"/>
    <s v=""/>
    <s v="Perdido"/>
    <d v="2025-10-01T00:00:00"/>
    <d v="1899-12-30T15:58:22"/>
    <s v="Fechou com o concorrente - preço"/>
    <s v="fechou sem mesmo falar com Guarani"/>
    <s v=""/>
    <x v="106"/>
    <s v=""/>
    <x v="0"/>
    <s v=""/>
    <m/>
    <m/>
    <s v=""/>
    <s v=""/>
    <s v=""/>
    <s v=""/>
    <n v="1"/>
  </r>
  <r>
    <x v="1"/>
    <n v="564"/>
    <m/>
    <n v="2534"/>
    <s v=""/>
    <s v=""/>
    <x v="243"/>
    <m/>
    <s v=""/>
    <s v="Usual plastic (BI)"/>
    <s v="1532833659"/>
    <s v=""/>
    <s v="adm@usualutilidades.com.br"/>
    <s v=""/>
    <s v=""/>
    <s v=""/>
    <s v=""/>
    <s v=""/>
    <s v=""/>
    <s v=""/>
    <s v=""/>
    <s v=""/>
    <s v="Pipeline de Vendas"/>
    <s v="Apresentar Solução (35%)"/>
    <s v=""/>
    <m/>
    <n v="16200"/>
    <n v="2160"/>
    <n v="11"/>
    <s v="Junior Lopes"/>
    <d v="2025-08-29T00:00:00"/>
    <d v="1899-12-30T17:43:06"/>
    <s v=""/>
    <s v="Perdido"/>
    <d v="2025-09-09T00:00:00"/>
    <d v="1899-12-30T15:32:46"/>
    <s v="Não quer mudar a solução atual"/>
    <s v="Gustavo conversou com os sócios e decidiu por não trocar de software no momento"/>
    <s v=""/>
    <x v="104"/>
    <s v=""/>
    <x v="0"/>
    <s v=""/>
    <m/>
    <m/>
    <s v=""/>
    <s v=""/>
    <s v=""/>
    <s v=""/>
    <n v="1"/>
  </r>
  <r>
    <x v="2"/>
    <n v="566"/>
    <m/>
    <n v="2538"/>
    <s v=""/>
    <s v="Jr Comercio De Motos E Pecas Ltda"/>
    <x v="244"/>
    <n v="46964028000140"/>
    <s v=""/>
    <s v="Jr Comercio De Motos E Pecas Ltda"/>
    <s v="(67) 9121-3638"/>
    <s v=""/>
    <s v="custodiojadi@gmail.com"/>
    <s v=""/>
    <s v=""/>
    <s v=""/>
    <s v="CAMPO GRANDE"/>
    <s v="MS"/>
    <s v="Base de empresas Leads2b"/>
    <s v=""/>
    <s v=""/>
    <s v=""/>
    <s v="Pipeline de Vendas"/>
    <s v="Apresentar Solução (35%)"/>
    <s v=""/>
    <m/>
    <m/>
    <m/>
    <n v="28"/>
    <s v="Rayssa Karapeticov"/>
    <d v="2025-09-02T00:00:00"/>
    <d v="1899-12-30T09:34:13"/>
    <s v=""/>
    <s v="Perdido"/>
    <d v="2025-09-30T00:00:00"/>
    <d v="1899-12-30T09:44:47"/>
    <s v="Preço muito alto - fora do budget de investimento"/>
    <s v=""/>
    <s v=""/>
    <x v="0"/>
    <s v=""/>
    <x v="0"/>
    <s v=""/>
    <m/>
    <m/>
    <s v=""/>
    <s v=""/>
    <s v=""/>
    <s v=""/>
    <n v="1"/>
  </r>
  <r>
    <x v="2"/>
    <n v="567"/>
    <m/>
    <n v="2541"/>
    <s v=""/>
    <s v="Jomafe Brasil - Comercio De Utensilios Domesticos E Cutelarias Ltda."/>
    <x v="245"/>
    <n v="13039863000203"/>
    <s v=""/>
    <s v="Jomafe Brasil - Comercio De Utensilios Domesticos E Cutelarias Ltda."/>
    <s v="(11) 3283-3767"/>
    <s v=""/>
    <s v="vendas.br@jomafe.pt"/>
    <s v=""/>
    <s v=""/>
    <s v=""/>
    <s v="SAO PAULO"/>
    <s v="SP"/>
    <s v="Base de empresas Leads2b"/>
    <s v=""/>
    <s v=""/>
    <s v="WhatsappRayssa"/>
    <s v="Pipeline de Vendas"/>
    <s v="Agendamento (0%)"/>
    <s v=""/>
    <m/>
    <m/>
    <m/>
    <n v="98"/>
    <s v="Rayssa Karapeticov"/>
    <d v="2025-09-02T00:00:00"/>
    <d v="1899-12-30T10:57:13"/>
    <s v=""/>
    <s v="Perdido"/>
    <d v="2025-12-09T00:00:00"/>
    <d v="1899-12-30T11:48:37"/>
    <s v="Projeto adiado / sem prazo definido"/>
    <s v=""/>
    <s v=""/>
    <x v="0"/>
    <s v=""/>
    <x v="0"/>
    <s v=""/>
    <m/>
    <m/>
    <s v=""/>
    <s v=""/>
    <s v=""/>
    <s v=""/>
    <n v="1"/>
  </r>
  <r>
    <x v="0"/>
    <n v="575"/>
    <m/>
    <n v="2547"/>
    <s v=""/>
    <s v=""/>
    <x v="246"/>
    <m/>
    <s v=""/>
    <s v="NATALIA GABRIELA DAMACENO MOTA"/>
    <s v="(11) 9667-2094"/>
    <s v=""/>
    <s v="naty-gabriela@hotmail.com"/>
    <s v=""/>
    <s v=""/>
    <s v=""/>
    <s v="São Paulo"/>
    <s v=""/>
    <s v="Site"/>
    <s v=""/>
    <s v=""/>
    <s v="Contato"/>
    <s v="Pipeline de Vendas"/>
    <s v="Apresentar Proposta (50%)"/>
    <s v=""/>
    <m/>
    <m/>
    <m/>
    <n v="19"/>
    <s v="Paulo Souza"/>
    <d v="2025-09-10T00:00:00"/>
    <d v="1899-12-30T15:39:28"/>
    <s v=""/>
    <s v="Perdido"/>
    <d v="2025-09-29T00:00:00"/>
    <d v="1899-12-30T16:41:35"/>
    <s v="Fora do porte mínimo (sem fit estrutural)"/>
    <s v=""/>
    <s v=""/>
    <x v="108"/>
    <s v="Paulo Souza"/>
    <x v="118"/>
    <s v=""/>
    <m/>
    <m/>
    <s v=""/>
    <s v=""/>
    <s v=""/>
    <s v=""/>
    <n v="1"/>
  </r>
  <r>
    <x v="1"/>
    <n v="576"/>
    <m/>
    <n v="2551"/>
    <s v=""/>
    <s v="Natalia Gabriela Damaceno Mota"/>
    <x v="247"/>
    <n v="36621794000158"/>
    <s v=""/>
    <s v="Natalia Gabriela Damaceno Mota"/>
    <s v="(11) 4292-3358"/>
    <s v=""/>
    <s v="catocontabilidade@gmail.com"/>
    <s v=""/>
    <s v=""/>
    <s v=""/>
    <s v="SUZANO"/>
    <s v="SP"/>
    <s v="Base de empresas Leads2b"/>
    <s v=""/>
    <s v=""/>
    <s v=""/>
    <s v="Pipeline de Vendas"/>
    <s v="Apresentar Solução (35%)"/>
    <s v=""/>
    <m/>
    <n v="10176"/>
    <n v="2060"/>
    <n v="23"/>
    <s v="Junior Lopes"/>
    <d v="2025-09-10T00:00:00"/>
    <d v="1899-12-30T15:53:14"/>
    <s v=""/>
    <s v="Perdido"/>
    <d v="2025-10-03T00:00:00"/>
    <d v="1899-12-30T09:59:47"/>
    <s v="Não houve aprovação financeira"/>
    <s v="Após proposta cliente não respondeu mais"/>
    <s v=""/>
    <x v="114"/>
    <s v=""/>
    <x v="122"/>
    <s v=""/>
    <m/>
    <m/>
    <s v=""/>
    <s v=""/>
    <s v=""/>
    <s v=""/>
    <n v="1"/>
  </r>
  <r>
    <x v="0"/>
    <n v="577"/>
    <m/>
    <n v="2502"/>
    <s v=""/>
    <s v=""/>
    <x v="248"/>
    <m/>
    <s v=""/>
    <s v="Lara"/>
    <s v="(19) 99985-2953"/>
    <s v=""/>
    <s v="lfabian.pereira@gmail.com"/>
    <s v=""/>
    <s v=""/>
    <s v=""/>
    <s v="Pedreira"/>
    <s v=""/>
    <s v="Site"/>
    <s v=""/>
    <s v=""/>
    <s v="Contato"/>
    <s v="Pipeline de Vendas"/>
    <s v="Em negociação (75%)"/>
    <s v=""/>
    <m/>
    <m/>
    <m/>
    <n v="0"/>
    <s v="Paulo Souza"/>
    <d v="2025-09-10T00:00:00"/>
    <d v="1899-12-30T15:54:51"/>
    <s v=""/>
    <s v="Perdido"/>
    <d v="2025-09-10T00:00:00"/>
    <d v="1899-12-30T15:56:27"/>
    <s v="Preço muito alto - fora do budget de investimento"/>
    <s v=""/>
    <s v=""/>
    <x v="115"/>
    <s v="Paulo Souza"/>
    <x v="123"/>
    <s v=""/>
    <m/>
    <m/>
    <s v=""/>
    <s v=""/>
    <s v=""/>
    <s v=""/>
    <n v="1"/>
  </r>
  <r>
    <x v="0"/>
    <n v="578"/>
    <m/>
    <n v="2515"/>
    <s v=""/>
    <s v=""/>
    <x v="249"/>
    <m/>
    <s v=""/>
    <s v="Sidney Stabile"/>
    <s v="(11) 98122-0797"/>
    <s v=""/>
    <s v="sidneysmr1@gmail.com"/>
    <s v=""/>
    <s v=""/>
    <s v=""/>
    <s v="São Paulo"/>
    <s v=""/>
    <s v="Site"/>
    <s v=""/>
    <s v=""/>
    <s v="Solicita demo"/>
    <s v="Pipeline de Vendas"/>
    <s v="Apresentar Proposta (50%)"/>
    <s v=""/>
    <m/>
    <m/>
    <m/>
    <n v="0"/>
    <s v="Paulo Souza"/>
    <d v="2025-09-11T00:00:00"/>
    <d v="1899-12-30T08:35:20"/>
    <s v=""/>
    <s v="Perdido"/>
    <d v="2025-09-11T00:00:00"/>
    <d v="1899-12-30T08:38:05"/>
    <s v="Preço muito alto - fora do budget de investimento"/>
    <s v=""/>
    <s v=""/>
    <x v="116"/>
    <s v=""/>
    <x v="124"/>
    <s v=""/>
    <m/>
    <m/>
    <s v=""/>
    <s v=""/>
    <s v=""/>
    <s v=""/>
    <n v="1"/>
  </r>
  <r>
    <x v="1"/>
    <n v="582"/>
    <m/>
    <n v="2555"/>
    <s v="O projeto só avançará após o ERP entrar em produção. É necessário alinhar com o Mário e o Fernando para confirmar a data exata de go-live, pois o projeto permanece aguardando essa etapa da implantação para seguir com as próximas fases."/>
    <s v=""/>
    <x v="150"/>
    <n v="32921219000110"/>
    <s v=""/>
    <s v="MDL Import - Cloud"/>
    <s v="1190695515"/>
    <s v=""/>
    <s v="janaina@mdlimport.com.br"/>
    <s v=""/>
    <s v=""/>
    <s v=""/>
    <s v=""/>
    <s v=""/>
    <s v=""/>
    <s v=""/>
    <s v=""/>
    <s v="80%"/>
    <s v="Pipeline de Vendas"/>
    <s v="Em Fechamento (100%)"/>
    <s v=""/>
    <d v="2026-02-02T00:00:00"/>
    <n v="1600"/>
    <n v="256856"/>
    <n v="231"/>
    <s v="Junior Lopes"/>
    <d v="2025-09-11T00:00:00"/>
    <d v="1899-12-30T13:00:08"/>
    <s v=""/>
    <s v="Perdido"/>
    <d v="2026-04-30T00:00:00"/>
    <d v="1899-12-30T14:30:32"/>
    <s v="Não quer mudar a solução atual"/>
    <s v="esta em uso de servidor próprio"/>
    <s v=""/>
    <x v="117"/>
    <s v="Junior Lopes"/>
    <x v="125"/>
    <s v=""/>
    <d v="2025-12-12T00:00:00"/>
    <n v="80"/>
    <s v=""/>
    <s v=""/>
    <s v=""/>
    <s v=""/>
    <n v="1"/>
  </r>
  <r>
    <x v="0"/>
    <n v="583"/>
    <m/>
    <n v="578"/>
    <s v="A empresa está enfrentando uma situação delicada com a Receita Federal e, por isso, decidiu aguardar antes de assinar o contrato, já que não sabe se manterá a operação de atacado. O plano é retomar o contato na primeira semana de janeiro de 2026._x000a_06/02 A Michele me ligou retomando o projeto, agora estamos na fase de negociação."/>
    <s v="Futuro Brasil Importacao E Exportacao Ltda"/>
    <x v="250"/>
    <n v="7664689000289"/>
    <s v=""/>
    <s v="Futuro Brasil Importacao E Exportacao Ltda"/>
    <s v="(11) 3312-3990"/>
    <s v=""/>
    <s v="financeiro.michele@futurobrasil.com"/>
    <s v=""/>
    <s v=""/>
    <s v=""/>
    <s v="EXTREMA"/>
    <s v="MG"/>
    <s v="Base de empresas Leads2b"/>
    <s v=""/>
    <s v=""/>
    <s v="30%;Pausado"/>
    <s v="Pipeline de Vendas"/>
    <s v="Em negociação (75%)"/>
    <s v=""/>
    <d v="2026-04-30T00:00:00"/>
    <n v="100800"/>
    <n v="5484"/>
    <n v="249"/>
    <s v="Paulo Souza"/>
    <d v="2025-09-11T00:00:00"/>
    <d v="1899-12-30T15:56:45"/>
    <s v=""/>
    <s v="Perdido"/>
    <d v="2026-05-18T00:00:00"/>
    <d v="1899-12-30T16:49:23"/>
    <s v="Projeto adiado / sem prazo definido"/>
    <s v=""/>
    <s v=""/>
    <x v="118"/>
    <s v="Paulo Souza"/>
    <x v="126"/>
    <s v=""/>
    <d v="2026-03-31T00:00:00"/>
    <n v="30"/>
    <s v="504"/>
    <s v="ERP, AFV, ADICIONAIS, CLOUD, WMS"/>
    <s v="R$ 100.800"/>
    <s v="R$ 5.484"/>
    <n v="1"/>
  </r>
  <r>
    <x v="1"/>
    <n v="585"/>
    <m/>
    <n v="2557"/>
    <s v=""/>
    <s v=""/>
    <x v="251"/>
    <m/>
    <s v=""/>
    <s v="Fantoys comércio de brinquedos ltda"/>
    <s v="44999841977"/>
    <s v=""/>
    <s v="Fantoyscomercial@gmail.com"/>
    <s v=""/>
    <s v=""/>
    <s v=""/>
    <s v=""/>
    <s v=""/>
    <s v=""/>
    <s v=""/>
    <s v=""/>
    <s v=""/>
    <s v="Pipeline de Vendas"/>
    <s v="Apresentar Proposta (50%)"/>
    <s v=""/>
    <m/>
    <n v="58088"/>
    <n v="645602"/>
    <n v="13"/>
    <s v="Junior Lopes"/>
    <d v="2025-09-12T00:00:00"/>
    <d v="1899-12-30T14:48:47"/>
    <s v=""/>
    <s v="Perdido"/>
    <d v="2025-09-25T00:00:00"/>
    <d v="1899-12-30T16:14:01"/>
    <s v="Não houve aprovação financeira"/>
    <s v="cliente achou investimento muito alto"/>
    <s v=""/>
    <x v="119"/>
    <s v=""/>
    <x v="127"/>
    <s v=""/>
    <m/>
    <m/>
    <s v=""/>
    <s v=""/>
    <s v=""/>
    <s v=""/>
    <n v="1"/>
  </r>
  <r>
    <x v="2"/>
    <n v="587"/>
    <m/>
    <n v="2559"/>
    <s v=""/>
    <s v=""/>
    <x v="252"/>
    <m/>
    <s v=""/>
    <s v="Junior"/>
    <s v="19987126669"/>
    <s v=""/>
    <s v="null"/>
    <s v=""/>
    <s v=""/>
    <s v=""/>
    <s v=""/>
    <s v=""/>
    <s v=""/>
    <s v=""/>
    <s v=""/>
    <s v=""/>
    <s v="Pipeline de Vendas"/>
    <s v="Em Fechamento (100%)"/>
    <s v=""/>
    <m/>
    <n v="64200"/>
    <n v="254344"/>
    <n v="78"/>
    <s v="Rayssa Karapeticov"/>
    <d v="2025-09-15T00:00:00"/>
    <d v="1899-12-30T10:48:08"/>
    <s v=""/>
    <s v="Ganho"/>
    <d v="2025-12-02T00:00:00"/>
    <d v="1899-12-30T11:19:47"/>
    <s v=""/>
    <s v=""/>
    <s v=""/>
    <x v="120"/>
    <s v=""/>
    <x v="128"/>
    <s v="17/09/2025 00:00"/>
    <m/>
    <m/>
    <s v=""/>
    <s v=""/>
    <s v=""/>
    <s v=""/>
    <n v="1"/>
  </r>
  <r>
    <x v="1"/>
    <n v="589"/>
    <m/>
    <n v="2561"/>
    <s v=""/>
    <s v=""/>
    <x v="253"/>
    <n v="7548592000120"/>
    <s v=""/>
    <s v="KAIQUE ARAUJO"/>
    <s v="(67) 99250-3056"/>
    <s v=""/>
    <s v="comercial.centralracoes@hotmail.com"/>
    <s v=""/>
    <s v=""/>
    <s v=""/>
    <s v="CAMPO GRANDE"/>
    <s v="MS"/>
    <s v="Site"/>
    <s v=""/>
    <s v=""/>
    <s v="Solicita demo"/>
    <s v="Pipeline de Vendas"/>
    <s v="Apresentar Proposta (50%)"/>
    <s v=""/>
    <m/>
    <n v="103032"/>
    <n v="696032"/>
    <n v="30"/>
    <s v="Paulo Souza"/>
    <d v="2025-09-16T00:00:00"/>
    <d v="1899-12-30T09:41:24"/>
    <s v=""/>
    <s v="Perdido"/>
    <d v="2025-10-16T00:00:00"/>
    <d v="1899-12-30T12:01:25"/>
    <s v="Projeto adiado / sem prazo definido"/>
    <s v="informações salvo em notas"/>
    <s v=""/>
    <x v="121"/>
    <s v="Junior Lopes"/>
    <x v="129"/>
    <s v="30/09/2025"/>
    <m/>
    <m/>
    <s v=""/>
    <s v=""/>
    <s v=""/>
    <s v=""/>
    <n v="1"/>
  </r>
  <r>
    <x v="1"/>
    <n v="590"/>
    <m/>
    <n v="2561"/>
    <s v=""/>
    <s v=""/>
    <x v="254"/>
    <n v="7548592000120"/>
    <s v=""/>
    <s v="KAIQUE ARAUJO"/>
    <s v="(67) 99250-3056"/>
    <s v=""/>
    <s v="comercial.centralracoes@hotmail.com"/>
    <s v=""/>
    <s v=""/>
    <s v=""/>
    <s v="CAMPO GRANDE"/>
    <s v="MS"/>
    <s v="Site"/>
    <s v=""/>
    <s v=""/>
    <s v="Solicita demo"/>
    <s v="Pipeline de Vendas"/>
    <s v="Agendamento (0%)"/>
    <s v=""/>
    <m/>
    <m/>
    <m/>
    <n v="0"/>
    <s v="Junior Lopes"/>
    <d v="2025-09-16T00:00:00"/>
    <d v="1899-12-30T09:45:26"/>
    <s v=""/>
    <s v="Perdido"/>
    <d v="2025-09-16T00:00:00"/>
    <d v="1899-12-30T09:58:11"/>
    <s v="Fora do porte mínimo (sem fit estrutural)"/>
    <s v="cadastro duplicado"/>
    <s v=""/>
    <x v="0"/>
    <s v=""/>
    <x v="0"/>
    <s v=""/>
    <m/>
    <m/>
    <s v=""/>
    <s v=""/>
    <s v=""/>
    <s v=""/>
    <n v="1"/>
  </r>
  <r>
    <x v="1"/>
    <n v="597"/>
    <m/>
    <n v="2571"/>
    <s v=""/>
    <s v="Ilumac Industria Comercio E Servicos Ltda"/>
    <x v="255"/>
    <n v="49872306000127"/>
    <s v=""/>
    <s v="Ilumac Industria Comercio E Servicos Ltda"/>
    <s v="(14) 3213-1100"/>
    <s v=""/>
    <s v="direcao@safeway.ind.br"/>
    <s v=""/>
    <s v=""/>
    <s v=""/>
    <s v="BAURU"/>
    <s v="SP"/>
    <s v="Base de empresas Leads2b"/>
    <s v=""/>
    <s v=""/>
    <s v=""/>
    <s v="Pipeline de Vendas"/>
    <s v="Apresentar Proposta (50%)"/>
    <s v=""/>
    <m/>
    <n v="7021439"/>
    <n v="37362"/>
    <n v="14"/>
    <s v="Junior Lopes"/>
    <d v="2025-09-19T00:00:00"/>
    <d v="1899-12-30T15:49:06"/>
    <s v=""/>
    <s v="Perdido"/>
    <d v="2025-10-03T00:00:00"/>
    <d v="1899-12-30T09:41:38"/>
    <s v="Não quer mudar a solução atual"/>
    <s v="cliente não responde as mensagens e ligações"/>
    <s v=""/>
    <x v="114"/>
    <s v=""/>
    <x v="130"/>
    <s v=""/>
    <m/>
    <m/>
    <s v=""/>
    <s v=""/>
    <s v=""/>
    <s v=""/>
    <n v="1"/>
  </r>
  <r>
    <x v="0"/>
    <n v="600"/>
    <m/>
    <n v="2477"/>
    <s v=""/>
    <s v=""/>
    <x v="256"/>
    <m/>
    <s v=""/>
    <s v="Lucas"/>
    <s v="(11) 98527-7256"/>
    <s v=""/>
    <s v="marketing@mewoof.com.br"/>
    <s v=""/>
    <s v=""/>
    <s v=""/>
    <s v="São Paulo"/>
    <s v=""/>
    <s v="Site"/>
    <s v=""/>
    <s v=""/>
    <s v="Solicita demo"/>
    <s v="Pipeline de Vendas"/>
    <s v="Em negociação (75%)"/>
    <s v=""/>
    <m/>
    <m/>
    <m/>
    <n v="43"/>
    <s v="Paulo Souza"/>
    <d v="2025-09-23T00:00:00"/>
    <d v="1899-12-30T16:50:25"/>
    <s v=""/>
    <s v="Perdido"/>
    <d v="2025-11-05T00:00:00"/>
    <d v="1899-12-30T09:56:42"/>
    <s v="Fora do porte mínimo (sem fit estrutural)"/>
    <s v=""/>
    <s v=""/>
    <x v="108"/>
    <s v="Paulo Souza"/>
    <x v="131"/>
    <s v=""/>
    <m/>
    <m/>
    <s v=""/>
    <s v=""/>
    <s v=""/>
    <s v=""/>
    <n v="1"/>
  </r>
  <r>
    <x v="1"/>
    <n v="601"/>
    <m/>
    <n v="2579"/>
    <s v=""/>
    <s v=""/>
    <x v="257"/>
    <m/>
    <s v=""/>
    <s v="Fantoys Brinquedos - Cloud"/>
    <s v="44999841977"/>
    <s v=""/>
    <s v="Fantoyscomercial@gmail.com"/>
    <s v=""/>
    <s v=""/>
    <s v=""/>
    <s v=""/>
    <s v=""/>
    <s v=""/>
    <s v=""/>
    <s v=""/>
    <s v=""/>
    <s v="Pipeline de Vendas"/>
    <s v="Apresentar Proposta (50%)"/>
    <s v=""/>
    <m/>
    <n v="1600"/>
    <n v="2396"/>
    <n v="1"/>
    <s v="Junior Lopes"/>
    <d v="2025-09-24T00:00:00"/>
    <d v="1899-12-30T09:48:02"/>
    <s v=""/>
    <s v="Perdido"/>
    <d v="2025-09-25T00:00:00"/>
    <d v="1899-12-30T16:14:54"/>
    <s v="Não houve aprovação financeira"/>
    <s v="cliente achou investimento muito  alto"/>
    <s v=""/>
    <x v="119"/>
    <s v=""/>
    <x v="127"/>
    <s v=""/>
    <m/>
    <m/>
    <s v=""/>
    <s v=""/>
    <s v=""/>
    <s v=""/>
    <n v="1"/>
  </r>
  <r>
    <x v="1"/>
    <n v="602"/>
    <m/>
    <n v="2582"/>
    <s v=""/>
    <s v="Principios Representacoes De Artigos De Uso Domestico Ltda"/>
    <x v="258"/>
    <n v="11392803000155"/>
    <s v=""/>
    <s v="Principios Representacoes De Artigos De Uso Domestico Ltda"/>
    <s v="(48) 9123-3777"/>
    <s v=""/>
    <s v="fabiane.principios@gmail.com"/>
    <s v=""/>
    <s v=""/>
    <s v=""/>
    <s v="ARARANGUA"/>
    <s v="SC"/>
    <s v="Base de empresas Leads2b"/>
    <s v=""/>
    <s v=""/>
    <s v=""/>
    <s v="Pipeline de Vendas"/>
    <s v="Apresentar Proposta (50%)"/>
    <s v=""/>
    <m/>
    <m/>
    <m/>
    <n v="42"/>
    <s v="Junior Lopes"/>
    <d v="2025-09-24T00:00:00"/>
    <d v="1899-12-30T14:10:49"/>
    <s v=""/>
    <s v="Perdido"/>
    <d v="2025-11-05T00:00:00"/>
    <d v="1899-12-30T09:29:11"/>
    <s v="Projeto adiado / sem prazo definido"/>
    <s v="cliente Rep Mais"/>
    <s v=""/>
    <x v="0"/>
    <s v=""/>
    <x v="118"/>
    <s v=""/>
    <m/>
    <m/>
    <s v=""/>
    <s v=""/>
    <s v=""/>
    <s v=""/>
    <n v="1"/>
  </r>
  <r>
    <x v="1"/>
    <n v="603"/>
    <m/>
    <n v="2581"/>
    <s v=""/>
    <s v=""/>
    <x v="259"/>
    <n v="8019257000105"/>
    <s v=""/>
    <s v="Ramão"/>
    <s v=""/>
    <s v=""/>
    <s v="diego.barcelli@guaranisistemas.com.br"/>
    <s v=""/>
    <s v=""/>
    <s v=""/>
    <s v="Brumadinho"/>
    <s v=""/>
    <s v="Indicação"/>
    <s v=""/>
    <s v=""/>
    <s v=""/>
    <s v="Pipeline de Vendas"/>
    <s v="Agendamento (0%)"/>
    <s v=""/>
    <m/>
    <m/>
    <m/>
    <n v="13"/>
    <s v="Paulo Souza"/>
    <d v="2025-09-24T00:00:00"/>
    <d v="1899-12-30T16:01:16"/>
    <s v=""/>
    <s v="Perdido"/>
    <d v="2025-10-07T00:00:00"/>
    <d v="1899-12-30T14:43:39"/>
    <s v="Não quer mudar a solução atual"/>
    <s v="Sem retorno dos contatos"/>
    <s v=""/>
    <x v="0"/>
    <s v="Junior Lopes"/>
    <x v="132"/>
    <s v=""/>
    <m/>
    <m/>
    <s v=""/>
    <s v=""/>
    <s v=""/>
    <s v=""/>
    <n v="1"/>
  </r>
  <r>
    <x v="1"/>
    <n v="604"/>
    <m/>
    <n v="2580"/>
    <s v="Todos os dados preenchidos:_x000a_name: Ramão _x000a_phone: 67 9 9169-7702 _x000a_email: ramaodlara@gmail.com _x000a_nome_da_empresa_indicada: LUZIA LARA GUILHEN- MEI _x000a_field_6: Guarani ERP, PDV _x000a_nome_de_quem_indica: Diego Luis Barcelli _x000a_e_mail_de_quem_indica: diego.barcelli@guaranisistemas.com.br _x000a_telefone_de_quem_indica: 16 9 9265-3506 _x000a_Quais_produtos_Guarani_você_indica_para_essa_empresa?: Guarani ERP, PDV _x000a_0: Guarani ERP, PDV"/>
    <s v=""/>
    <x v="260"/>
    <m/>
    <s v=""/>
    <s v="Ramão"/>
    <s v="67 9 9169-7702"/>
    <s v=""/>
    <s v="ramaodlara@gmail.com"/>
    <s v=""/>
    <s v=""/>
    <s v=""/>
    <s v=""/>
    <s v=""/>
    <s v="Indicação"/>
    <s v=""/>
    <s v=""/>
    <s v=""/>
    <s v="Pipeline de Vendas"/>
    <s v="Agendamento (0%)"/>
    <s v=""/>
    <m/>
    <m/>
    <m/>
    <n v="13"/>
    <s v="Paulo Souza"/>
    <d v="2025-09-24T00:00:00"/>
    <d v="1899-12-30T16:02:08"/>
    <s v=""/>
    <s v="Perdido"/>
    <d v="2025-10-07T00:00:00"/>
    <d v="1899-12-30T09:36:27"/>
    <s v="Não quer mudar a solução atual"/>
    <s v="não responde ao contato"/>
    <s v=""/>
    <x v="0"/>
    <s v="Junior Lopes"/>
    <x v="132"/>
    <s v=""/>
    <m/>
    <m/>
    <s v=""/>
    <s v=""/>
    <s v=""/>
    <s v=""/>
    <n v="1"/>
  </r>
  <r>
    <x v="1"/>
    <n v="607"/>
    <m/>
    <n v="2590"/>
    <s v=""/>
    <s v=""/>
    <x v="261"/>
    <n v="1099426000107"/>
    <s v=""/>
    <s v="Chame Rio (Cloud)"/>
    <s v="21996087296"/>
    <s v=""/>
    <s v="leon@chamerio.com.br"/>
    <s v=""/>
    <s v=""/>
    <s v=""/>
    <s v=""/>
    <s v=""/>
    <s v=""/>
    <s v=""/>
    <s v=""/>
    <s v=""/>
    <s v="Pipeline de Vendas"/>
    <s v="Em negociação (75%)"/>
    <s v=""/>
    <m/>
    <n v="1600"/>
    <n v="3360"/>
    <n v="62"/>
    <s v="Junior Lopes"/>
    <d v="2025-09-25T00:00:00"/>
    <d v="1899-12-30T15:54:00"/>
    <s v=""/>
    <s v="Perdido"/>
    <d v="2025-11-26T00:00:00"/>
    <d v="1899-12-30T14:16:02"/>
    <s v="Projeto adiado / sem prazo definido"/>
    <s v="Aguardar ativação das lojas"/>
    <s v=""/>
    <x v="122"/>
    <s v=""/>
    <x v="133"/>
    <s v=""/>
    <m/>
    <m/>
    <s v=""/>
    <s v=""/>
    <s v=""/>
    <s v=""/>
    <n v="1"/>
  </r>
  <r>
    <x v="1"/>
    <n v="608"/>
    <m/>
    <n v="2591"/>
    <s v=""/>
    <s v=""/>
    <x v="262"/>
    <n v="6302372000159"/>
    <s v=""/>
    <s v="DVidros (CNPJ)"/>
    <s v="31992324071"/>
    <s v=""/>
    <s v="comercial@dvidros.com.br"/>
    <s v=""/>
    <s v=""/>
    <s v=""/>
    <s v=""/>
    <s v=""/>
    <s v=""/>
    <s v=""/>
    <s v=""/>
    <s v=""/>
    <s v="Pipeline de Vendas"/>
    <s v="Em Fechamento (100%)"/>
    <s v=""/>
    <m/>
    <n v="260148"/>
    <n v="0"/>
    <n v="0"/>
    <s v="Junior Lopes"/>
    <d v="2025-09-25T00:00:00"/>
    <d v="1899-12-30T16:03:28"/>
    <s v=""/>
    <s v="Ganho"/>
    <d v="2025-09-25T00:00:00"/>
    <d v="1899-12-30T16:12:47"/>
    <s v=""/>
    <s v=""/>
    <s v=""/>
    <x v="115"/>
    <s v=""/>
    <x v="123"/>
    <s v=""/>
    <m/>
    <m/>
    <s v=""/>
    <s v=""/>
    <s v=""/>
    <s v=""/>
    <n v="1"/>
  </r>
  <r>
    <x v="1"/>
    <n v="609"/>
    <m/>
    <n v="2592"/>
    <s v=""/>
    <s v=""/>
    <x v="263"/>
    <n v="7548592000120"/>
    <s v=""/>
    <s v="Central Rações - BI"/>
    <s v="67992503056"/>
    <s v=""/>
    <s v="comercial.centralracoes@hotmail.com"/>
    <s v=""/>
    <s v=""/>
    <s v=""/>
    <s v="CAMPO GRANDE"/>
    <s v="MS"/>
    <s v=""/>
    <s v=""/>
    <s v=""/>
    <s v=""/>
    <s v="Pipeline de Vendas"/>
    <s v="Apresentar Proposta (50%)"/>
    <s v=""/>
    <m/>
    <n v="16200"/>
    <n v="2160"/>
    <n v="21"/>
    <s v="Junior Lopes"/>
    <d v="2025-09-25T00:00:00"/>
    <d v="1899-12-30T16:39:10"/>
    <s v=""/>
    <s v="Perdido"/>
    <d v="2025-10-16T00:00:00"/>
    <d v="1899-12-30T12:02:57"/>
    <s v="Projeto adiado / sem prazo definido"/>
    <s v="informações salvo em notas"/>
    <s v=""/>
    <x v="121"/>
    <s v=""/>
    <x v="134"/>
    <s v=""/>
    <m/>
    <m/>
    <s v=""/>
    <s v=""/>
    <s v=""/>
    <s v=""/>
    <n v="1"/>
  </r>
  <r>
    <x v="1"/>
    <n v="610"/>
    <m/>
    <n v="2595"/>
    <s v=""/>
    <s v=""/>
    <x v="264"/>
    <n v="7548592000120"/>
    <s v=""/>
    <s v="Central Rações - Cloud"/>
    <s v="67992503056"/>
    <s v=""/>
    <s v="comercial.centralracoes@hotmail.com"/>
    <s v=""/>
    <s v=""/>
    <s v=""/>
    <s v="CAMPO GRANDE"/>
    <s v="MS"/>
    <s v=""/>
    <s v=""/>
    <s v=""/>
    <s v=""/>
    <s v="Pipeline de Vendas"/>
    <s v="Apresentar Proposta (50%)"/>
    <s v=""/>
    <m/>
    <n v="1600"/>
    <n v="405552"/>
    <n v="21"/>
    <s v="Junior Lopes"/>
    <d v="2025-09-25T00:00:00"/>
    <d v="1899-12-30T16:41:53"/>
    <s v=""/>
    <s v="Perdido"/>
    <d v="2025-10-16T00:00:00"/>
    <d v="1899-12-30T12:02:06"/>
    <s v="Projeto adiado / sem prazo definido"/>
    <s v="informações salvo em notas"/>
    <s v=""/>
    <x v="121"/>
    <s v=""/>
    <x v="134"/>
    <s v=""/>
    <m/>
    <m/>
    <s v=""/>
    <s v=""/>
    <s v=""/>
    <s v=""/>
    <n v="1"/>
  </r>
  <r>
    <x v="2"/>
    <n v="611"/>
    <m/>
    <n v="2598"/>
    <s v=""/>
    <s v=""/>
    <x v="265"/>
    <n v="11861121000306"/>
    <s v=""/>
    <s v="Emerson Silva"/>
    <s v="(55) 11941-3524"/>
    <s v=""/>
    <s v="operacional@facinato.com.br"/>
    <s v=""/>
    <s v=""/>
    <s v=""/>
    <s v="São Paulo"/>
    <s v=""/>
    <s v="Site"/>
    <s v=""/>
    <s v=""/>
    <s v="Solicita demo"/>
    <s v="Pipeline de Vendas"/>
    <s v="Apresentar Proposta (50%)"/>
    <s v=""/>
    <m/>
    <m/>
    <m/>
    <n v="28"/>
    <s v="Paulo Souza"/>
    <d v="2025-09-26T00:00:00"/>
    <d v="1899-12-30T10:12:27"/>
    <s v=""/>
    <s v="Perdido"/>
    <d v="2025-10-24T00:00:00"/>
    <d v="1899-12-30T12:02:58"/>
    <s v="Preço muito alto - fora do budget de investimento"/>
    <s v=""/>
    <s v=""/>
    <x v="0"/>
    <s v="Rayssa Karapeticov"/>
    <x v="135"/>
    <s v=""/>
    <m/>
    <m/>
    <s v=""/>
    <s v=""/>
    <s v=""/>
    <s v=""/>
    <n v="1"/>
  </r>
  <r>
    <x v="1"/>
    <n v="613"/>
    <m/>
    <n v="2600"/>
    <s v="11:51, 06/01/2026 Junior Lopes: lá Wilkerson, bom dia_x000a_11:51, 06/01/2026 Junior Lopes: Um Feliz 2026 para vc e toda equipe 🙏🙏_x000a_11:51, 06/01/2026 Junior Lopes: Me recebe aí para discutirmos sobre a proposta comercial?_x000a_15:32, 23/01/2026 Junior Lopes: Olá Wilkerson, boa tarde_x000a_13:34, 27/01/2026 Wilkerson Plasbrin: Ola_x000a_13:34, 27/01/2026 Wilkerson Plasbrin: Estou analisando a proposta sina_x000a_13:34, 27/01/2026 Wilkerson Plasbrin: Ainda_x000a_13:35, 27/01/2026 Wilkerson Plasbrin: Creio que em fevereiro te contato sobre uma negociação_x000a_13:36, 27/01/2026 Junior Lopes: Olá meu amigo! Ótimo _x000a_Veja o que precisa para fecharmos! Nossa solução vai ajudar muito em seus processos _x000a_Te aguardo 👊_x000a_14:25, 27/01/2026 Wilkerson Plasbrin: Pode deixar_x000a_14:25, 27/01/2026 Wilkerson Plasbrin: Vamos avaliar_x000a_08:53, 24/02/2026 Junior Lopes: Olá Wilkerson, bom dia , Td bem ?_x000a_08:54, 24/02/2026 Junior Lopes: Vamos agendar um bate papo para próxima semana ? _x000a_Se sim vou até você !"/>
    <s v=""/>
    <x v="266"/>
    <n v="221294000181"/>
    <s v=""/>
    <s v="PlasBink"/>
    <s v="11997580006"/>
    <s v=""/>
    <s v="falgat@terra.com.br"/>
    <s v=""/>
    <s v=""/>
    <s v=""/>
    <s v="CABREUVA"/>
    <s v="SP"/>
    <s v=""/>
    <s v=""/>
    <s v=""/>
    <s v="50%"/>
    <s v="Pipeline de Vendas"/>
    <s v="Em negociação (75%)"/>
    <s v=""/>
    <d v="2026-03-31T00:00:00"/>
    <n v="81786"/>
    <n v="79654"/>
    <n v="233"/>
    <s v="Junior Lopes"/>
    <d v="2025-09-29T00:00:00"/>
    <d v="1899-12-30T11:41:56"/>
    <s v=""/>
    <s v="Ativo"/>
    <m/>
    <m/>
    <s v=""/>
    <s v=""/>
    <s v="08/10/2025"/>
    <x v="123"/>
    <s v="Junior Lopes"/>
    <x v="118"/>
    <s v=""/>
    <d v="2026-02-24T00:00:00"/>
    <n v="50"/>
    <s v=""/>
    <s v=""/>
    <s v=""/>
    <s v=""/>
    <n v="1"/>
  </r>
  <r>
    <x v="0"/>
    <n v="614"/>
    <m/>
    <n v="2603"/>
    <s v="Indefinido se vamos ou não seguir . O Wellington esta em analise se vamos evoluir!_x000a_Esta oportunidade encontra-se pausado durante 2026._x000a_07/02 Por motivo de gerenciamento do meu CRM, estou declinando a proposta e futuramente quando o cliente demonstrar interesse novamente retornamos com a proposta."/>
    <s v=""/>
    <x v="267"/>
    <n v="9517464000144"/>
    <s v=""/>
    <s v="Wellington"/>
    <s v=""/>
    <s v=""/>
    <s v="well@wellmix.com.br"/>
    <s v=""/>
    <s v=""/>
    <s v=""/>
    <s v=""/>
    <s v=""/>
    <s v=""/>
    <s v=""/>
    <s v=""/>
    <s v="30%;Pausado"/>
    <s v="Pipeline de Vendas"/>
    <s v="Em negociação (75%)"/>
    <s v=""/>
    <d v="2026-03-31T00:00:00"/>
    <n v="254760"/>
    <n v="1578632"/>
    <n v="131"/>
    <s v="Paulo Souza"/>
    <d v="2025-09-29T00:00:00"/>
    <d v="1899-12-30T17:19:09"/>
    <s v=""/>
    <s v="Perdido"/>
    <d v="2026-02-07T00:00:00"/>
    <d v="1899-12-30T08:47:53"/>
    <s v="Não quer mudar a solução atual"/>
    <s v="07/02 Por motivo de gerenciamento do meu CRM, estou declinando a proposta e futuramente quando o cliente demonstrar interesse novamente retornamos com a proposta."/>
    <s v=""/>
    <x v="124"/>
    <s v="Paulo Souza"/>
    <x v="136"/>
    <s v=""/>
    <d v="2026-02-07T00:00:00"/>
    <n v="30"/>
    <s v=""/>
    <s v=""/>
    <s v=""/>
    <s v=""/>
    <n v="1"/>
  </r>
  <r>
    <x v="0"/>
    <n v="615"/>
    <m/>
    <n v="2604"/>
    <s v=""/>
    <s v=""/>
    <x v="268"/>
    <n v="73114894000114"/>
    <s v=""/>
    <s v="Sidney"/>
    <s v=""/>
    <s v=""/>
    <s v="sidney@unikhome.com.br"/>
    <s v=""/>
    <s v=""/>
    <s v=""/>
    <s v=""/>
    <s v=""/>
    <s v=""/>
    <s v=""/>
    <s v=""/>
    <s v=""/>
    <s v="Pipeline de Vendas"/>
    <s v="Em negociação (75%)"/>
    <s v=""/>
    <m/>
    <m/>
    <m/>
    <n v="0"/>
    <s v="Paulo Souza"/>
    <d v="2025-09-29T00:00:00"/>
    <d v="1899-12-30T17:22:41"/>
    <s v=""/>
    <s v="Perdido"/>
    <d v="2025-09-29T00:00:00"/>
    <d v="1899-12-30T17:22:55"/>
    <s v="Preço muito alto - fora do budget de investimento"/>
    <s v=""/>
    <s v=""/>
    <x v="125"/>
    <s v="Paulo Souza"/>
    <x v="137"/>
    <s v=""/>
    <m/>
    <m/>
    <s v=""/>
    <s v=""/>
    <s v=""/>
    <s v=""/>
    <n v="1"/>
  </r>
  <r>
    <x v="0"/>
    <n v="616"/>
    <m/>
    <n v="2605"/>
    <s v=""/>
    <s v=""/>
    <x v="269"/>
    <n v="18628799000120"/>
    <s v=""/>
    <s v="Gabeirl"/>
    <s v="(11) 3567-5470"/>
    <s v=""/>
    <s v="atendimento@dolcehome.com.br"/>
    <s v=""/>
    <s v=""/>
    <s v=""/>
    <s v="SAO PAULO"/>
    <s v="SP"/>
    <s v=""/>
    <s v=""/>
    <s v=""/>
    <s v=""/>
    <s v="Pipeline de Vendas"/>
    <s v="Em negociação (75%)"/>
    <s v=""/>
    <m/>
    <m/>
    <m/>
    <n v="37"/>
    <s v="Paulo Souza"/>
    <d v="2025-09-29T00:00:00"/>
    <d v="1899-12-30T17:28:50"/>
    <s v=""/>
    <s v="Perdido"/>
    <d v="2025-11-05T00:00:00"/>
    <d v="1899-12-30T09:54:48"/>
    <s v="Fora do porte mínimo (sem fit estrutural)"/>
    <s v=""/>
    <s v=""/>
    <x v="126"/>
    <s v="Paulo Souza"/>
    <x v="136"/>
    <s v=""/>
    <m/>
    <m/>
    <s v=""/>
    <s v=""/>
    <s v=""/>
    <s v=""/>
    <n v="1"/>
  </r>
  <r>
    <x v="1"/>
    <n v="618"/>
    <m/>
    <n v="2609"/>
    <s v=""/>
    <s v=""/>
    <x v="270"/>
    <n v="49872306000127"/>
    <s v=""/>
    <s v="Illumac Industria - Cloud"/>
    <s v="1432131100"/>
    <s v=""/>
    <s v="direcao@safeway.ind.br"/>
    <s v=""/>
    <s v=""/>
    <s v=""/>
    <s v="BAURU"/>
    <s v="SP"/>
    <s v=""/>
    <s v=""/>
    <s v=""/>
    <s v=""/>
    <s v="Pipeline de Vendas"/>
    <s v="Apresentar Proposta (50%)"/>
    <s v=""/>
    <m/>
    <n v="1600"/>
    <n v="2468"/>
    <n v="3"/>
    <s v="Junior Lopes"/>
    <d v="2025-09-30T00:00:00"/>
    <d v="1899-12-30T14:38:16"/>
    <s v=""/>
    <s v="Perdido"/>
    <d v="2025-10-03T00:00:00"/>
    <d v="1899-12-30T09:42:31"/>
    <s v="Não quer mudar a solução atual"/>
    <s v="cliente não responde as mensagens e ligações"/>
    <s v=""/>
    <x v="114"/>
    <s v=""/>
    <x v="130"/>
    <s v=""/>
    <m/>
    <m/>
    <s v=""/>
    <s v=""/>
    <s v=""/>
    <s v=""/>
    <n v="1"/>
  </r>
  <r>
    <x v="1"/>
    <n v="619"/>
    <m/>
    <n v="2614"/>
    <s v=""/>
    <s v=""/>
    <x v="271"/>
    <n v="1099426000107"/>
    <s v=""/>
    <s v="Chame Rio - Horas"/>
    <s v="21996087296"/>
    <s v=""/>
    <s v="leon@chamerio.com.br"/>
    <s v=""/>
    <s v=""/>
    <s v=""/>
    <s v=""/>
    <s v=""/>
    <s v=""/>
    <s v=""/>
    <s v=""/>
    <s v=""/>
    <s v="Pipeline de Vendas"/>
    <s v="Em Fechamento (100%)"/>
    <s v=""/>
    <m/>
    <n v="2527318"/>
    <n v="0"/>
    <n v="29"/>
    <s v="Junior Lopes"/>
    <d v="2025-09-30T00:00:00"/>
    <d v="1899-12-30T15:58:34"/>
    <s v=""/>
    <s v="Ganho"/>
    <d v="2025-10-29T00:00:00"/>
    <d v="1899-12-30T10:50:59"/>
    <s v=""/>
    <s v=""/>
    <s v=""/>
    <x v="127"/>
    <s v=""/>
    <x v="0"/>
    <s v=""/>
    <m/>
    <m/>
    <s v=""/>
    <s v=""/>
    <s v=""/>
    <s v=""/>
    <n v="1"/>
  </r>
  <r>
    <x v="0"/>
    <n v="620"/>
    <m/>
    <n v="2615"/>
    <s v=""/>
    <s v=""/>
    <x v="272"/>
    <n v="5856090000130"/>
    <s v=""/>
    <s v="José Luiz Gomes Junior"/>
    <s v=""/>
    <s v=""/>
    <s v="controladoria@bionov.com.br"/>
    <s v=""/>
    <s v=""/>
    <s v=""/>
    <s v=""/>
    <s v=""/>
    <s v=""/>
    <s v=""/>
    <s v=""/>
    <s v=""/>
    <s v="Pipeline de Vendas"/>
    <s v="Em negociação (75%)"/>
    <s v=""/>
    <m/>
    <m/>
    <m/>
    <n v="36"/>
    <s v="Paulo Souza"/>
    <d v="2025-09-30T00:00:00"/>
    <d v="1899-12-30T16:04:40"/>
    <s v=""/>
    <s v="Perdido"/>
    <d v="2025-11-05T00:00:00"/>
    <d v="1899-12-30T09:53:42"/>
    <s v="Preço muito alto - fora do budget de investimento"/>
    <s v=""/>
    <s v=""/>
    <x v="128"/>
    <s v="Paulo Souza"/>
    <x v="138"/>
    <s v=""/>
    <m/>
    <m/>
    <s v=""/>
    <s v=""/>
    <s v=""/>
    <s v=""/>
    <n v="1"/>
  </r>
  <r>
    <x v="1"/>
    <n v="621"/>
    <m/>
    <n v="2616"/>
    <s v=""/>
    <s v=""/>
    <x v="273"/>
    <m/>
    <s v=""/>
    <s v="Vitoria cortinas - Horas"/>
    <s v="35999594857"/>
    <s v=""/>
    <s v="financeiro@vitoriacortinas.com.br"/>
    <s v=""/>
    <s v=""/>
    <s v=""/>
    <s v=""/>
    <s v=""/>
    <s v=""/>
    <s v=""/>
    <s v=""/>
    <s v=""/>
    <s v="Pipeline de Vendas"/>
    <s v="Em Fechamento (100%)"/>
    <s v=""/>
    <m/>
    <n v="5406"/>
    <n v="0"/>
    <n v="0"/>
    <s v="Junior Lopes"/>
    <d v="2025-09-30T00:00:00"/>
    <d v="1899-12-30T16:31:01"/>
    <s v=""/>
    <s v="Ganho"/>
    <d v="2025-09-30T00:00:00"/>
    <d v="1899-12-30T16:32:13"/>
    <s v=""/>
    <s v=""/>
    <s v=""/>
    <x v="121"/>
    <s v=""/>
    <x v="0"/>
    <s v=""/>
    <m/>
    <m/>
    <s v=""/>
    <s v=""/>
    <s v=""/>
    <s v=""/>
    <n v="1"/>
  </r>
  <r>
    <x v="1"/>
    <n v="622"/>
    <m/>
    <n v="2617"/>
    <s v=""/>
    <s v=""/>
    <x v="274"/>
    <m/>
    <s v=""/>
    <s v="Casa Bonitta - Cloud"/>
    <s v="1142923358"/>
    <s v=""/>
    <s v="catocontabilidade@gmail.com"/>
    <s v=""/>
    <s v=""/>
    <s v=""/>
    <s v=""/>
    <s v=""/>
    <s v=""/>
    <s v=""/>
    <s v=""/>
    <s v=""/>
    <s v="Pipeline de Vendas"/>
    <s v="Apresentar Solução (35%)"/>
    <s v=""/>
    <m/>
    <n v="1600"/>
    <n v="2468"/>
    <n v="3"/>
    <s v="Junior Lopes"/>
    <d v="2025-09-30T00:00:00"/>
    <d v="1899-12-30T16:35:41"/>
    <s v=""/>
    <s v="Perdido"/>
    <d v="2025-10-03T00:00:00"/>
    <d v="1899-12-30T09:59:20"/>
    <s v="Não houve aprovação financeira"/>
    <s v="Após proposta cliente não respondeu mais"/>
    <s v=""/>
    <x v="114"/>
    <s v=""/>
    <x v="122"/>
    <s v=""/>
    <m/>
    <m/>
    <s v=""/>
    <s v=""/>
    <s v=""/>
    <s v=""/>
    <n v="1"/>
  </r>
  <r>
    <x v="1"/>
    <n v="623"/>
    <m/>
    <n v="2618"/>
    <s v=""/>
    <s v=""/>
    <x v="275"/>
    <m/>
    <s v=""/>
    <s v="Casa Bonitta - PDV"/>
    <s v="1142923358"/>
    <s v=""/>
    <s v="catocontabilidade@gmail.com"/>
    <s v=""/>
    <s v=""/>
    <s v=""/>
    <s v=""/>
    <s v=""/>
    <s v=""/>
    <s v=""/>
    <s v=""/>
    <s v=""/>
    <s v="Pipeline de Vendas"/>
    <s v="Apresentar Solução (35%)"/>
    <s v=""/>
    <m/>
    <n v="59360"/>
    <n v="27562"/>
    <n v="3"/>
    <s v="Junior Lopes"/>
    <d v="2025-09-30T00:00:00"/>
    <d v="1899-12-30T16:38:47"/>
    <s v=""/>
    <s v="Perdido"/>
    <d v="2025-10-03T00:00:00"/>
    <d v="1899-12-30T09:58:51"/>
    <s v="Não houve aprovação financeira"/>
    <s v="Após proposta cliente não respondeu mais"/>
    <s v=""/>
    <x v="114"/>
    <s v=""/>
    <x v="122"/>
    <s v=""/>
    <m/>
    <m/>
    <s v=""/>
    <s v=""/>
    <s v=""/>
    <s v=""/>
    <n v="1"/>
  </r>
  <r>
    <x v="0"/>
    <n v="624"/>
    <m/>
    <n v="2619"/>
    <s v=""/>
    <s v=""/>
    <x v="276"/>
    <m/>
    <s v=""/>
    <s v="Hussein"/>
    <s v="96170057610"/>
    <s v=""/>
    <s v="null"/>
    <s v=""/>
    <s v=""/>
    <s v=""/>
    <s v=""/>
    <s v=""/>
    <s v=""/>
    <s v=""/>
    <s v=""/>
    <s v=""/>
    <s v="Pipeline de Vendas"/>
    <s v="Em negociação (75%)"/>
    <s v=""/>
    <m/>
    <m/>
    <m/>
    <n v="36"/>
    <s v="Paulo Souza"/>
    <d v="2025-09-30T00:00:00"/>
    <d v="1899-12-30T17:35:39"/>
    <s v=""/>
    <s v="Perdido"/>
    <d v="2025-11-05T00:00:00"/>
    <d v="1899-12-30T09:51:43"/>
    <s v="Projeto adiado / sem prazo definido"/>
    <s v=""/>
    <s v=""/>
    <x v="128"/>
    <s v="Paulo Souza"/>
    <x v="138"/>
    <s v=""/>
    <m/>
    <m/>
    <s v=""/>
    <s v=""/>
    <s v=""/>
    <s v=""/>
    <n v="1"/>
  </r>
  <r>
    <x v="1"/>
    <n v="628"/>
    <m/>
    <n v="2622"/>
    <s v=""/>
    <s v=""/>
    <x v="277"/>
    <m/>
    <s v=""/>
    <s v="Leandro carlos gonçalves"/>
    <s v="(16) 99270-3152"/>
    <s v=""/>
    <s v="solpratae@gmail.com"/>
    <s v=""/>
    <s v=""/>
    <s v=""/>
    <s v="São Carlos"/>
    <s v=""/>
    <s v="Site"/>
    <s v=""/>
    <s v=""/>
    <s v="Solicita demo"/>
    <s v="Pipeline de Vendas"/>
    <s v="Qualificação de Vendas (SQL) (25%)"/>
    <s v=""/>
    <m/>
    <m/>
    <m/>
    <n v="4"/>
    <s v="Paulo Souza"/>
    <d v="2025-10-03T00:00:00"/>
    <d v="1899-12-30T11:10:44"/>
    <s v=""/>
    <s v="Perdido"/>
    <d v="2025-10-07T00:00:00"/>
    <d v="1899-12-30T09:34:17"/>
    <s v="Nossa solução não atende - falta funcionalidade"/>
    <s v="cliente fora do perfil"/>
    <s v=""/>
    <x v="0"/>
    <s v="Junior Lopes"/>
    <x v="0"/>
    <s v=""/>
    <m/>
    <m/>
    <s v=""/>
    <s v=""/>
    <s v=""/>
    <s v=""/>
    <n v="1"/>
  </r>
  <r>
    <x v="1"/>
    <n v="634"/>
    <m/>
    <n v="2631"/>
    <s v=""/>
    <s v="Artesanato Uni-art Industria E Comercio Ltda"/>
    <x v="278"/>
    <n v="43400571000126"/>
    <s v=""/>
    <s v="Artesanato Uni-art Industria E Comercio Ltda"/>
    <s v="(19) 3876-4260"/>
    <s v=""/>
    <s v="thiago@uniartrelogios.com.br"/>
    <s v=""/>
    <s v=""/>
    <s v=""/>
    <s v="VINHEDO"/>
    <s v="SP"/>
    <s v="Base de empresas Leads2b"/>
    <s v=""/>
    <s v=""/>
    <s v=""/>
    <s v="Pipeline de Vendas"/>
    <s v="Apresentar Proposta (50%)"/>
    <s v=""/>
    <m/>
    <n v="7021439"/>
    <n v="417338"/>
    <n v="20"/>
    <s v="Junior Lopes"/>
    <d v="2025-10-09T00:00:00"/>
    <d v="1899-12-30T15:47:08"/>
    <s v=""/>
    <s v="Perdido"/>
    <d v="2025-10-29T00:00:00"/>
    <d v="1899-12-30T10:23:53"/>
    <s v="Projeto adiado / sem prazo definido"/>
    <s v="sem retorno do cliente"/>
    <s v=""/>
    <x v="129"/>
    <s v=""/>
    <x v="139"/>
    <s v=""/>
    <m/>
    <m/>
    <s v=""/>
    <s v=""/>
    <s v=""/>
    <s v=""/>
    <n v="1"/>
  </r>
  <r>
    <x v="1"/>
    <n v="638"/>
    <m/>
    <n v="2640"/>
    <s v=""/>
    <s v=""/>
    <x v="279"/>
    <m/>
    <s v=""/>
    <s v="Star Distribuidora (WMS)"/>
    <s v="17996266970"/>
    <s v=""/>
    <s v="null"/>
    <s v=""/>
    <s v=""/>
    <s v=""/>
    <s v=""/>
    <s v=""/>
    <s v=""/>
    <s v=""/>
    <s v=""/>
    <s v=""/>
    <s v="Pipeline de Vendas"/>
    <s v="Em negociação (75%)"/>
    <s v=""/>
    <m/>
    <m/>
    <m/>
    <n v="62"/>
    <s v="Junior Lopes"/>
    <d v="2025-10-10T00:00:00"/>
    <d v="1899-12-30T15:25:31"/>
    <s v=""/>
    <s v="Perdido"/>
    <d v="2025-12-11T00:00:00"/>
    <d v="1899-12-30T15:22:39"/>
    <s v="Projeto adiado / sem prazo definido"/>
    <s v=""/>
    <s v=""/>
    <x v="0"/>
    <s v=""/>
    <x v="139"/>
    <s v=""/>
    <m/>
    <m/>
    <s v=""/>
    <s v=""/>
    <s v=""/>
    <s v=""/>
    <n v="1"/>
  </r>
  <r>
    <x v="0"/>
    <n v="639"/>
    <m/>
    <n v="2644"/>
    <s v=""/>
    <s v=""/>
    <x v="280"/>
    <m/>
    <s v=""/>
    <s v="Alexsandro"/>
    <s v="75988472625"/>
    <s v=""/>
    <s v="null"/>
    <s v=""/>
    <s v=""/>
    <s v=""/>
    <s v=""/>
    <s v=""/>
    <s v=""/>
    <s v=""/>
    <s v=""/>
    <s v=""/>
    <s v="Pipeline de Vendas"/>
    <s v="Em negociação (75%)"/>
    <s v=""/>
    <m/>
    <m/>
    <m/>
    <n v="33"/>
    <s v="Paulo Souza"/>
    <d v="2025-10-15T00:00:00"/>
    <d v="1899-12-30T17:33:19"/>
    <s v=""/>
    <s v="Perdido"/>
    <d v="2025-11-17T00:00:00"/>
    <d v="1899-12-30T15:27:20"/>
    <s v="Não houve aprovação financeira"/>
    <s v=""/>
    <s v=""/>
    <x v="130"/>
    <s v="Paulo Souza"/>
    <x v="140"/>
    <s v=""/>
    <m/>
    <m/>
    <s v=""/>
    <s v=""/>
    <s v=""/>
    <s v=""/>
    <n v="1"/>
  </r>
  <r>
    <x v="1"/>
    <n v="640"/>
    <m/>
    <n v="2646"/>
    <s v=""/>
    <s v=""/>
    <x v="281"/>
    <m/>
    <s v=""/>
    <s v="Preciza Import"/>
    <s v="11947600755"/>
    <s v=""/>
    <s v="financeiro@precizaimports.com.br"/>
    <s v=""/>
    <s v=""/>
    <s v=""/>
    <s v=""/>
    <s v=""/>
    <s v=""/>
    <s v=""/>
    <s v=""/>
    <s v=""/>
    <s v="Pipeline de Vendas"/>
    <s v="Em Fechamento (100%)"/>
    <s v=""/>
    <m/>
    <n v="1380825"/>
    <n v="0"/>
    <n v="0"/>
    <s v="Junior Lopes"/>
    <d v="2025-10-16T00:00:00"/>
    <d v="1899-12-30T14:48:50"/>
    <s v=""/>
    <s v="Ganho"/>
    <d v="2025-10-16T00:00:00"/>
    <d v="1899-12-30T14:51:47"/>
    <s v=""/>
    <s v=""/>
    <s v=""/>
    <x v="131"/>
    <s v=""/>
    <x v="0"/>
    <s v=""/>
    <m/>
    <m/>
    <s v=""/>
    <s v=""/>
    <s v=""/>
    <s v=""/>
    <n v="1"/>
  </r>
  <r>
    <x v="1"/>
    <n v="641"/>
    <m/>
    <n v="2647"/>
    <s v=""/>
    <s v=""/>
    <x v="282"/>
    <m/>
    <s v=""/>
    <s v="Artesanato Uni-art Ind.- Cloud"/>
    <s v="1938764260"/>
    <s v=""/>
    <s v="thiago@uniartrelogios.com.br"/>
    <s v=""/>
    <s v=""/>
    <s v=""/>
    <s v=""/>
    <s v=""/>
    <s v=""/>
    <s v=""/>
    <s v=""/>
    <s v=""/>
    <s v="Pipeline de Vendas"/>
    <s v="Apresentar Proposta (50%)"/>
    <s v=""/>
    <m/>
    <n v="1600"/>
    <n v="3695"/>
    <n v="13"/>
    <s v="Junior Lopes"/>
    <d v="2025-10-16T00:00:00"/>
    <d v="1899-12-30T16:42:09"/>
    <s v=""/>
    <s v="Perdido"/>
    <d v="2025-10-29T00:00:00"/>
    <d v="1899-12-30T10:25:19"/>
    <s v="Projeto adiado / sem prazo definido"/>
    <s v="cliente não atende aos contatos"/>
    <s v=""/>
    <x v="129"/>
    <s v=""/>
    <x v="139"/>
    <s v=""/>
    <m/>
    <m/>
    <s v=""/>
    <s v=""/>
    <s v=""/>
    <s v=""/>
    <n v="1"/>
  </r>
  <r>
    <x v="1"/>
    <n v="642"/>
    <m/>
    <n v="2648"/>
    <s v="11:51, 06/01/2026 Junior Lopes: lá Wilkerson, bom dia_x000a_11:51, 06/01/2026 Junior Lopes: Um Feliz 2026 para vc e toda equipe 🙏🙏_x000a_11:51, 06/01/2026 Junior Lopes: Me recebe aí para discutirmos sobre a proposta comercial?_x000a_15:32, 23/01/2026 Junior Lopes: Olá Wilkerson, boa tarde_x000a_13:34, 27/01/2026 Wilkerson Plasbrin: Ola_x000a_13:34, 27/01/2026 Wilkerson Plasbrin: Estou analisando a proposta sina_x000a_13:34, 27/01/2026 Wilkerson Plasbrin: Ainda_x000a_13:35, 27/01/2026 Wilkerson Plasbrin: Creio que em fevereiro te contato sobre uma negociação_x000a_13:36, 27/01/2026 Junior Lopes: Olá meu amigo! Ótimo _x000a_Veja o que precisa para fecharmos! Nossa solução vai ajudar muito em seus processos _x000a_Te aguardo 👊_x000a_14:25, 27/01/2026 Wilkerson Plasbrin: Pode deixar_x000a_14:25, 27/01/2026 Wilkerson Plasbrin: Vamos avaliar_x000a_08:53, 24/02/2026 Junior Lopes: Olá Wilkerson, bom dia , Td bem ?_x000a_08:54, 24/02/2026 Junior Lopes: Vamos agendar um bate papo para próxima semana ? _x000a_Se sim vou até você !"/>
    <s v=""/>
    <x v="283"/>
    <m/>
    <s v=""/>
    <s v="Plasbrink Embalagens Plasticas Ltda - Cloud"/>
    <s v="11997580006"/>
    <s v=""/>
    <s v="falgat@terra.com.br"/>
    <s v=""/>
    <s v=""/>
    <s v=""/>
    <s v=""/>
    <s v=""/>
    <s v=""/>
    <s v=""/>
    <s v=""/>
    <s v="50%"/>
    <s v="Pipeline de Vendas"/>
    <s v="Em negociação (75%)"/>
    <s v=""/>
    <d v="2026-03-31T00:00:00"/>
    <n v="1600"/>
    <n v="335607"/>
    <n v="215"/>
    <s v="Junior Lopes"/>
    <d v="2025-10-17T00:00:00"/>
    <d v="1899-12-30T09:45:53"/>
    <s v=""/>
    <s v="Ativo"/>
    <m/>
    <m/>
    <s v=""/>
    <s v=""/>
    <s v=""/>
    <x v="123"/>
    <s v="Junior Lopes"/>
    <x v="141"/>
    <s v=""/>
    <d v="2026-02-24T00:00:00"/>
    <n v="50"/>
    <s v=""/>
    <s v=""/>
    <s v=""/>
    <s v=""/>
    <n v="1"/>
  </r>
  <r>
    <x v="1"/>
    <n v="643"/>
    <m/>
    <n v="2649"/>
    <s v="O cliente está utilizando o módulo em período de degustação de 7 dias, com término em 16/12/2025. Após essa data, ele deverá decidir se seguirá com a contratação ou se irá declinar."/>
    <s v=""/>
    <x v="284"/>
    <n v="43028557000143"/>
    <s v=""/>
    <s v="Preciza Import - Boleto WhatsApp"/>
    <s v="11947600755"/>
    <s v=""/>
    <s v="financeiro@precizaimports.com.br"/>
    <s v=""/>
    <s v=""/>
    <s v=""/>
    <s v=""/>
    <s v=""/>
    <s v=""/>
    <s v=""/>
    <s v=""/>
    <s v="80%"/>
    <s v="Pipeline de Vendas"/>
    <s v="Em Fechamento (100%)"/>
    <s v=""/>
    <d v="2025-11-28T00:00:00"/>
    <n v="0"/>
    <n v="3564"/>
    <n v="129"/>
    <s v="Junior Lopes"/>
    <d v="2025-10-17T00:00:00"/>
    <d v="1899-12-30T09:48:43"/>
    <s v=""/>
    <s v="Perdido"/>
    <d v="2026-02-23T00:00:00"/>
    <d v="1899-12-30T10:22:57"/>
    <s v="Projeto adiado / sem prazo definido"/>
    <s v="cliente não assinou contrato"/>
    <s v=""/>
    <x v="132"/>
    <s v="Junior Lopes"/>
    <x v="142"/>
    <s v=""/>
    <d v="2025-12-12T00:00:00"/>
    <n v="80"/>
    <s v=""/>
    <s v=""/>
    <s v=""/>
    <s v=""/>
    <n v="1"/>
  </r>
  <r>
    <x v="1"/>
    <n v="644"/>
    <m/>
    <n v="2650"/>
    <s v="Após a apresentação de 10/12/2025, ficou definido que a equipe da Marka Têxtil se reunirá para decidir sobre a continuidade do projeto. Farei um follow-up em 15/12/2025 para obter a definição._x000a_16:22, 27/01/2026 Junior Lopes: Olá Regina ! Boa tarde_x000a_16:22, 27/01/2026 Regina Chagas: Boa tarde_x000a_16:27, 27/01/2026 Junior Lopes: Como está a evolução do projeto?_x000a_16:29, 27/01/2026 Junior Lopes: Sei que vcs estão em contato com outras ferramentas! E que está tudo bem _x000a_Porém fico preocupado com valor que já negociamos! A proposta é do ano passado ! Viramos a nossa tabela _x000a_Estou segurando os valores aqui ! Mas preciso de um feedback_x000a_16:49, 27/01/2026 Regina Chagas: Entendo, acredito que até sexta feira eu te dou um retorno final_x000a_(03/02/2026) em contato com a Bruna na feira Abup informou que decidiu seguir com ERP que apresentou uma proposta mais atrativa em questão de valores ! abaixo mensagem da Regina com mesmo contexto : _x000a_07:57, 09/02/2026 Regina Chagas: Bom dia Junior, desculpe a demora no retorno._x000a_Fechamos com outra empresa, em reunião foi decidido que seria mais vantajoso além do custo/beneficio._x000a_Muito obrigada pelo seu ótimo atendimento_x000a_08:59, 09/02/2026 Junior Lopes: Olá Regina bom dia ! Falei com a Bruna na feira _x000a_Desejo sucesso para vocês"/>
    <s v=""/>
    <x v="285"/>
    <n v="62499934000177"/>
    <s v=""/>
    <s v="Marka Textil"/>
    <s v="11975444564"/>
    <s v=""/>
    <s v="brunaantonelli@markatextil.com.br"/>
    <s v=""/>
    <s v=""/>
    <s v=""/>
    <s v="GUARAREMA"/>
    <s v="SP"/>
    <s v=""/>
    <s v=""/>
    <s v=""/>
    <s v="80%"/>
    <s v="Pipeline de Vendas"/>
    <s v="Em negociação (75%)"/>
    <s v=""/>
    <d v="2026-02-28T00:00:00"/>
    <n v="118908"/>
    <n v="1304844"/>
    <n v="117"/>
    <s v="Junior Lopes"/>
    <d v="2025-10-17T00:00:00"/>
    <d v="1899-12-30T10:09:46"/>
    <s v=""/>
    <s v="Perdido"/>
    <d v="2026-02-11T00:00:00"/>
    <d v="1899-12-30T17:32:54"/>
    <s v="Fechou com o concorrente - preço"/>
    <s v="fechou por preço"/>
    <s v=""/>
    <x v="133"/>
    <s v="Junior Lopes"/>
    <x v="142"/>
    <s v="05/11/2025"/>
    <d v="2026-02-03T00:00:00"/>
    <n v="80"/>
    <s v=""/>
    <s v=""/>
    <s v=""/>
    <s v=""/>
    <n v="1"/>
  </r>
  <r>
    <x v="1"/>
    <n v="645"/>
    <m/>
    <n v="2654"/>
    <s v="Após a apresentação de 10/12/2025, ficou definido que a equipe da Marka Têxtil se reunirá para decidir sobre a continuidade do projeto. Farei um follow-up em 15/12/2025 para obter a definição._x000a_16:22, 27/01/2026 Junior Lopes: Olá Regina ! Boa tarde_x000a_16:22, 27/01/2026 Regina Chagas: Boa tarde_x000a_16:27, 27/01/2026 Junior Lopes: Como está a evolução do projeto?_x000a_16:29, 27/01/2026 Junior Lopes: Sei que vcs estão em contato com outras ferramentas! E que está tudo bem _x000a_Porém fico preocupado com valor que já negociamos! A proposta é do ano passado ! Viramos a nossa tabela _x000a_Estou segurando os valores aqui ! Mas preciso de um feedback_x000a_16:49, 27/01/2026 Regina Chagas: Entendo, acredito que até sexta feira eu te dou um retorno final_x000a_(03/02/2026) em contato com a Bruna na feira Abup informou que decidiu seguir com ERP que apresentou uma proposta mais atrativa em questão de valores ! abaixo mensagem da Regina com mesmo contexto : _x000a_07:57, 09/02/2026 Regina Chagas: Bom dia Junior, desculpe a demora no retorno._x000a_Fechamos com outra empresa, em reunião foi decidido que seria mais vantajoso além do custo/beneficio._x000a_Muito obrigada pelo seu ótimo atendimento_x000a_08:59, 09/02/2026 Junior Lopes: Olá Regina bom dia ! Falei com a Bruna na feira _x000a_Desejo sucesso para vocês"/>
    <s v=""/>
    <x v="286"/>
    <n v="62499934000177"/>
    <s v=""/>
    <s v="Marka Textil - Cloud"/>
    <s v="11975444564"/>
    <s v=""/>
    <s v="brunaantonelli@markatextil.com.br"/>
    <s v=""/>
    <s v=""/>
    <s v=""/>
    <s v="GUARAREMA"/>
    <s v="SP"/>
    <s v=""/>
    <s v=""/>
    <s v=""/>
    <s v="80%"/>
    <s v="Pipeline de Vendas"/>
    <s v="Em negociação (75%)"/>
    <s v=""/>
    <d v="2026-02-28T00:00:00"/>
    <n v="1600"/>
    <n v="68466"/>
    <n v="117"/>
    <s v="Junior Lopes"/>
    <d v="2025-10-17T00:00:00"/>
    <d v="1899-12-30T10:12:49"/>
    <s v=""/>
    <s v="Perdido"/>
    <d v="2026-02-11T00:00:00"/>
    <d v="1899-12-30T17:34:29"/>
    <s v="Fechou com o concorrente - preço"/>
    <s v="fechou por preço"/>
    <s v=""/>
    <x v="134"/>
    <s v="Junior Lopes"/>
    <x v="143"/>
    <s v=""/>
    <d v="2026-02-03T00:00:00"/>
    <n v="80"/>
    <s v=""/>
    <s v=""/>
    <s v=""/>
    <s v=""/>
    <n v="1"/>
  </r>
  <r>
    <x v="1"/>
    <n v="656"/>
    <m/>
    <n v="2261"/>
    <s v=""/>
    <s v="Imprime Industria E Comercio De Plasticos Ltda"/>
    <x v="287"/>
    <n v="37905383000157"/>
    <s v=""/>
    <s v="Imprime Industria E Comercio De Plasticos Ltda"/>
    <s v="(11) 4552-8400"/>
    <s v=""/>
    <s v="sac@ascampoli.com.br"/>
    <s v=""/>
    <s v=""/>
    <s v=""/>
    <s v="SAO PAULO"/>
    <s v="SP"/>
    <s v="Base de empresas Leads2b"/>
    <s v=""/>
    <s v=""/>
    <s v=""/>
    <s v="Pipeline de Vendas"/>
    <s v="Apresentar Solução (35%)"/>
    <s v=""/>
    <m/>
    <m/>
    <m/>
    <n v="34"/>
    <s v="Junior Lopes"/>
    <d v="2025-10-22T00:00:00"/>
    <d v="1899-12-30T17:04:38"/>
    <s v=""/>
    <s v="Perdido"/>
    <d v="2025-11-25T00:00:00"/>
    <d v="1899-12-30T16:56:11"/>
    <s v="Não quer mudar a solução atual"/>
    <s v=""/>
    <s v=""/>
    <x v="0"/>
    <s v=""/>
    <x v="0"/>
    <s v=""/>
    <m/>
    <m/>
    <s v=""/>
    <s v=""/>
    <s v=""/>
    <s v=""/>
    <n v="1"/>
  </r>
  <r>
    <x v="1"/>
    <n v="657"/>
    <m/>
    <n v="2659"/>
    <s v=""/>
    <s v=""/>
    <x v="288"/>
    <m/>
    <s v=""/>
    <s v="Jones da Costa Grance"/>
    <s v="(67) 99147-9660"/>
    <s v=""/>
    <s v="distribuidoraprime067@gmail.com"/>
    <s v=""/>
    <s v=""/>
    <s v=""/>
    <s v="Campo Grande"/>
    <s v=""/>
    <s v="Site"/>
    <s v=""/>
    <s v=""/>
    <s v="Solicita demo"/>
    <s v="Pipeline de Vendas"/>
    <s v="Apresentar Solução (35%)"/>
    <s v=""/>
    <m/>
    <n v="38380"/>
    <n v="107526"/>
    <n v="32"/>
    <s v="Paulo Souza"/>
    <d v="2025-10-23T00:00:00"/>
    <d v="1899-12-30T15:08:08"/>
    <s v=""/>
    <s v="Perdido"/>
    <d v="2025-11-24T00:00:00"/>
    <d v="1899-12-30T16:49:44"/>
    <s v="Preço muito alto - fora do budget de investimento"/>
    <s v="cliente não esta no tempo certo, achou investimento muito alto"/>
    <s v=""/>
    <x v="123"/>
    <s v="Junior Lopes"/>
    <x v="144"/>
    <s v=""/>
    <m/>
    <m/>
    <s v=""/>
    <s v=""/>
    <s v=""/>
    <s v=""/>
    <n v="1"/>
  </r>
  <r>
    <x v="1"/>
    <n v="659"/>
    <m/>
    <n v="2680"/>
    <s v=""/>
    <s v=""/>
    <x v="289"/>
    <m/>
    <s v=""/>
    <s v="Karam kaiss"/>
    <s v="(11) 98348-6116"/>
    <s v=""/>
    <s v="mbcontatokaram@gmail.com"/>
    <s v=""/>
    <s v=""/>
    <s v=""/>
    <s v="São Paulo"/>
    <s v=""/>
    <s v="Site"/>
    <s v=""/>
    <s v=""/>
    <s v="Solicita demo"/>
    <s v="Pipeline de Vendas"/>
    <s v="Qualificação de Vendas (SQL) (25%)"/>
    <s v=""/>
    <m/>
    <m/>
    <m/>
    <n v="9"/>
    <s v="Paulo Souza"/>
    <d v="2025-10-27T00:00:00"/>
    <d v="1899-12-30T15:37:34"/>
    <s v=""/>
    <s v="Perdido"/>
    <d v="2025-11-05T00:00:00"/>
    <d v="1899-12-30T09:12:53"/>
    <s v="Nossa solução não atende - falta funcionalidade"/>
    <s v="cliente busca apenas módulo de compras"/>
    <s v=""/>
    <x v="0"/>
    <s v="Junior Lopes"/>
    <x v="0"/>
    <s v=""/>
    <m/>
    <m/>
    <s v=""/>
    <s v=""/>
    <s v=""/>
    <s v=""/>
    <n v="1"/>
  </r>
  <r>
    <x v="1"/>
    <n v="662"/>
    <m/>
    <n v="2684"/>
    <s v="(16/01/2026) Bruno decidiu por não fazer o investimento nesse momento ! esta estruturando a equipe de vendas"/>
    <s v="Sevilha Comercio Internacional Ltda"/>
    <x v="290"/>
    <n v="44628219000105"/>
    <s v=""/>
    <s v="Sevilha Comercio Internacional Ltda"/>
    <s v="(11) 4115-0797"/>
    <s v=""/>
    <s v="diego@gruposevilha.com"/>
    <s v=""/>
    <s v=""/>
    <s v=""/>
    <s v="NAVEGANTES"/>
    <s v="SC"/>
    <s v="Base de empresas Leads2b"/>
    <s v=""/>
    <s v=""/>
    <s v="30%"/>
    <s v="Pipeline de Vendas"/>
    <s v="Em negociação (75%)"/>
    <s v=""/>
    <d v="2026-01-30T00:00:00"/>
    <n v="38380"/>
    <n v="107526"/>
    <n v="80"/>
    <s v="Junior Lopes"/>
    <d v="2025-10-28T00:00:00"/>
    <d v="1899-12-30T10:15:43"/>
    <s v=""/>
    <s v="Perdido"/>
    <d v="2026-01-16T00:00:00"/>
    <d v="1899-12-30T15:59:13"/>
    <s v="Não houve aprovação financeira"/>
    <s v="(16/01/2026) Bruno decidiu por não fazer o investimento nesse momento ! esta estruturando a equipe de vendas"/>
    <s v=""/>
    <x v="135"/>
    <s v=""/>
    <x v="145"/>
    <s v=""/>
    <d v="2026-01-16T00:00:00"/>
    <m/>
    <s v=""/>
    <s v=""/>
    <s v=""/>
    <s v=""/>
    <n v="1"/>
  </r>
  <r>
    <x v="1"/>
    <n v="665"/>
    <m/>
    <n v="2692"/>
    <s v="(16/01/2026) Bruno decidiu por não fazer o investimento nesse momento ! esta estruturando a equipe de vendas"/>
    <s v=""/>
    <x v="291"/>
    <m/>
    <s v=""/>
    <s v="Sevilha Trade - Cloud"/>
    <s v="1141150797"/>
    <s v=""/>
    <s v="diego@gruposevilha.com"/>
    <s v=""/>
    <s v=""/>
    <s v=""/>
    <s v=""/>
    <s v=""/>
    <s v=""/>
    <s v=""/>
    <s v=""/>
    <s v="30%"/>
    <s v="Pipeline de Vendas"/>
    <s v="Em negociação (75%)"/>
    <s v=""/>
    <d v="2026-01-30T00:00:00"/>
    <n v="1600"/>
    <n v="2174"/>
    <n v="79"/>
    <s v="Junior Lopes"/>
    <d v="2025-10-29T00:00:00"/>
    <d v="1899-12-30T17:01:18"/>
    <s v=""/>
    <s v="Perdido"/>
    <d v="2026-01-16T00:00:00"/>
    <d v="1899-12-30T16:00:32"/>
    <s v="Não houve aprovação financeira"/>
    <s v="(16/01/2026) Bruno decidiu por não fazer o investimento nesse momento ! esta estruturando a equipe de vendas"/>
    <s v=""/>
    <x v="135"/>
    <s v=""/>
    <x v="145"/>
    <s v=""/>
    <d v="2026-01-16T00:00:00"/>
    <m/>
    <s v=""/>
    <s v=""/>
    <s v=""/>
    <s v=""/>
    <n v="1"/>
  </r>
  <r>
    <x v="1"/>
    <n v="667"/>
    <m/>
    <n v="2698"/>
    <s v=""/>
    <s v=""/>
    <x v="292"/>
    <m/>
    <s v=""/>
    <s v="Distribuidora Prime - Cloud"/>
    <s v="67991479660"/>
    <s v=""/>
    <s v="distribuidoraprime067@gmail.com"/>
    <s v=""/>
    <s v=""/>
    <s v=""/>
    <s v=""/>
    <s v=""/>
    <s v=""/>
    <s v=""/>
    <s v=""/>
    <s v=""/>
    <s v="Pipeline de Vendas"/>
    <s v="Apresentar Solução (35%)"/>
    <s v=""/>
    <m/>
    <n v="1600"/>
    <n v="21746"/>
    <n v="25"/>
    <s v="Junior Lopes"/>
    <d v="2025-10-30T00:00:00"/>
    <d v="1899-12-30T10:55:07"/>
    <s v=""/>
    <s v="Perdido"/>
    <d v="2025-11-24T00:00:00"/>
    <d v="1899-12-30T16:50:34"/>
    <s v="Preço muito alto - fora do budget de investimento"/>
    <s v="cliente não esta no tempo certo, achou investimento muito alto"/>
    <s v=""/>
    <x v="123"/>
    <s v=""/>
    <x v="144"/>
    <s v=""/>
    <m/>
    <m/>
    <s v=""/>
    <s v=""/>
    <s v=""/>
    <s v=""/>
    <n v="1"/>
  </r>
  <r>
    <x v="1"/>
    <n v="669"/>
    <m/>
    <n v="2718"/>
    <s v=""/>
    <s v=""/>
    <x v="293"/>
    <m/>
    <s v=""/>
    <s v="Tritec - Proposta Web"/>
    <s v="4791025652"/>
    <s v=""/>
    <s v="null"/>
    <s v=""/>
    <s v=""/>
    <s v=""/>
    <s v=""/>
    <s v=""/>
    <s v=""/>
    <s v=""/>
    <s v=""/>
    <s v=""/>
    <s v="Pipeline de Vendas"/>
    <s v="Apresentar Proposta (50%)"/>
    <s v=""/>
    <m/>
    <n v="0"/>
    <n v="2185"/>
    <n v="26"/>
    <s v="Junior Lopes"/>
    <d v="2025-10-31T00:00:00"/>
    <d v="1899-12-30T11:46:34"/>
    <s v=""/>
    <s v="Perdido"/>
    <d v="2025-11-26T00:00:00"/>
    <d v="1899-12-30T14:03:26"/>
    <s v="Projeto adiado / sem prazo definido"/>
    <s v="por enquanto nao vai adicionar proposta web"/>
    <s v=""/>
    <x v="133"/>
    <s v=""/>
    <x v="146"/>
    <s v=""/>
    <m/>
    <m/>
    <s v=""/>
    <s v=""/>
    <s v=""/>
    <s v=""/>
    <n v="1"/>
  </r>
  <r>
    <x v="2"/>
    <n v="672"/>
    <m/>
    <n v="2729"/>
    <s v="Realizei hoje, 12/12/2025, a apresentação do AFV para os gerentes comerciais e atualizei a proposta com os valores de licença do APP. O próximo passo será negociar a proposta, o que deve ocorrer somente na primeira quinzena de janeiro._x000a_05.02 Iniciaram a importação agora,previsão permace para março_x000a_18.03 tinham previsão para iniciar as importações, mas ainda não deu certo, retomar o contato daqui 3 meses"/>
    <s v=""/>
    <x v="294"/>
    <m/>
    <s v=""/>
    <s v="Lucas Pivetta"/>
    <s v="15996012600"/>
    <s v=""/>
    <s v="null"/>
    <s v=""/>
    <s v=""/>
    <s v=""/>
    <s v=""/>
    <s v=""/>
    <s v="Indicação"/>
    <s v=""/>
    <s v=""/>
    <s v="50%"/>
    <s v="Pipeline de Vendas"/>
    <s v="Em negociação (75%)"/>
    <s v=""/>
    <d v="2026-06-30T00:00:00"/>
    <n v="46200"/>
    <n v="146047"/>
    <n v="191"/>
    <s v="Rayssa Karapeticov"/>
    <d v="2025-11-03T00:00:00"/>
    <d v="1899-12-30T15:43:05"/>
    <s v=""/>
    <s v="Perdido"/>
    <d v="2026-05-13T00:00:00"/>
    <d v="1899-12-30T09:39:49"/>
    <s v="Projeto adiado / sem prazo definido"/>
    <s v=""/>
    <s v=""/>
    <x v="136"/>
    <s v="Rayssa Karapeticov"/>
    <x v="147"/>
    <s v="12/12/2025"/>
    <d v="2026-03-16T00:00:00"/>
    <n v="50"/>
    <s v=""/>
    <s v=""/>
    <s v=""/>
    <s v=""/>
    <n v="1"/>
  </r>
  <r>
    <x v="0"/>
    <n v="673"/>
    <m/>
    <n v="2730"/>
    <s v="Feito vários contatos com o cliente sem sucesso. _x000a_12/01/2026_x000a_23-01 Fiz Fups com o Jairo hoje para saber se ele vai seguir ou não com o projeto. Caso não me responda vou encerrar a oportunidade , prazo 31/01._x000a_06/02 Fiz FUP com  o Jairo e por falta de interesse estou declinando a proposta._x000a_07/02 Jairo me respondeu e avisou que vai implantar o Totvs lá. E futuramente retorna a falar comigo sobre Força de Venda."/>
    <s v=""/>
    <x v="295"/>
    <n v="22949063000121"/>
    <s v=""/>
    <s v="MEDIHOSP"/>
    <s v="(11) 2506-6323/ (11) 2506-6589"/>
    <s v=""/>
    <s v="medihosp@medihosp.com.br"/>
    <s v=""/>
    <s v=""/>
    <s v=""/>
    <s v="SAO PAULO"/>
    <s v="SP"/>
    <s v="Outbound"/>
    <s v=""/>
    <s v=""/>
    <s v="30%"/>
    <s v="Pipeline de Vendas"/>
    <s v="Em negociação (75%)"/>
    <s v=""/>
    <d v="2026-01-31T00:00:00"/>
    <n v="20000"/>
    <n v="5880"/>
    <n v="94"/>
    <s v="Paulo Souza"/>
    <d v="2025-11-05T00:00:00"/>
    <d v="1899-12-30T10:49:02"/>
    <s v=""/>
    <s v="Perdido"/>
    <d v="2026-02-07T00:00:00"/>
    <d v="1899-12-30T08:42:30"/>
    <s v="Fechou com o concorrente - preço"/>
    <s v="07/02 Jairo me respondeu e avisou que vai implantar o Totvs lá. E futuramente retorna a falar comigo sobre Força de Venda."/>
    <s v=""/>
    <x v="137"/>
    <s v="Paulo Souza"/>
    <x v="148"/>
    <s v=""/>
    <d v="2026-01-23T00:00:00"/>
    <n v="30"/>
    <s v=""/>
    <s v=""/>
    <s v=""/>
    <s v=""/>
    <n v="1"/>
  </r>
  <r>
    <x v="1"/>
    <n v="674"/>
    <m/>
    <n v="2733"/>
    <s v=""/>
    <s v="Salopet Embalagens Plasticas Ltda"/>
    <x v="296"/>
    <n v="4911908000370"/>
    <s v=""/>
    <s v="Salopet Embalagens Plasticas Ltda"/>
    <s v="(11) 2575-1800"/>
    <s v=""/>
    <s v="paralegal10@mgcontecnica.com.br"/>
    <s v=""/>
    <s v=""/>
    <s v=""/>
    <s v="EMBU DAS ARTES"/>
    <s v="SP"/>
    <s v="Base de empresas Leads2b"/>
    <s v=""/>
    <s v=""/>
    <s v=""/>
    <s v="Pipeline de Vendas"/>
    <s v="Apresentar Proposta (50%)"/>
    <s v=""/>
    <m/>
    <n v="81786"/>
    <n v="914979"/>
    <n v="21"/>
    <s v="Junior Lopes"/>
    <d v="2025-11-05T00:00:00"/>
    <d v="1899-12-30T15:31:21"/>
    <s v=""/>
    <s v="Perdido"/>
    <d v="2025-11-26T00:00:00"/>
    <d v="1899-12-30T12:30:08"/>
    <s v="Não quer mudar a solução atual"/>
    <s v="estou descartando por falta de atividades do André, já agendou varias vezes e não aparece nas reuniões _x000a_Fala chefe, boa tarde _x000a_Está uma loucura esse final de ano_x000a_Mais vamos lá_x000a_Hoje uso o sistema Areco ele é gigante e tem tudo o que precisamos mais está em falta com o suporte e o preço está ficando alto_x000a_Vou tentar finalizar algumas coisa e na sexta-feira na parte da manhã estarei mais tranquilo ai chamo pra que possamos conversar"/>
    <s v=""/>
    <x v="134"/>
    <s v=""/>
    <x v="149"/>
    <s v=""/>
    <m/>
    <m/>
    <s v=""/>
    <s v=""/>
    <s v=""/>
    <s v=""/>
    <n v="1"/>
  </r>
  <r>
    <x v="1"/>
    <n v="680"/>
    <m/>
    <n v="2755"/>
    <s v=""/>
    <s v=""/>
    <x v="297"/>
    <m/>
    <s v=""/>
    <s v="Tecelegam Castilho - MDFe"/>
    <s v="62993609476"/>
    <s v=""/>
    <s v="dayane.tecelagemcastilho@gmail.com"/>
    <s v=""/>
    <s v=""/>
    <s v=""/>
    <s v=""/>
    <s v=""/>
    <s v=""/>
    <s v=""/>
    <s v=""/>
    <s v=""/>
    <s v="Pipeline de Vendas"/>
    <s v="Em Fechamento (100%)"/>
    <s v=""/>
    <m/>
    <n v="0"/>
    <n v="3564"/>
    <n v="13"/>
    <s v="Junior Lopes"/>
    <d v="2025-11-12T00:00:00"/>
    <d v="1899-12-30T10:20:21"/>
    <s v=""/>
    <s v="Ganho"/>
    <d v="2025-11-25T00:00:00"/>
    <d v="1899-12-30T15:23:44"/>
    <s v=""/>
    <s v=""/>
    <s v=""/>
    <x v="138"/>
    <s v=""/>
    <x v="149"/>
    <s v=""/>
    <m/>
    <m/>
    <s v=""/>
    <s v=""/>
    <s v=""/>
    <s v=""/>
    <n v="1"/>
  </r>
  <r>
    <x v="1"/>
    <n v="681"/>
    <m/>
    <n v="2756"/>
    <s v="O projeto já está fechado e o contrato está com o cliente aguardando assinatura. O follow-up está sendo feito diariamente e a previsão de fechamento é até 19/12/2025."/>
    <s v=""/>
    <x v="298"/>
    <n v="43252675000130"/>
    <s v=""/>
    <s v="Atacadão MOntebello"/>
    <s v="(19) 3377-2746 / (19) 3426-1450"/>
    <s v=""/>
    <s v="administracao@atacadaoamontebello.com.br"/>
    <s v=""/>
    <s v=""/>
    <s v=""/>
    <s v="PIRACICABA"/>
    <s v="SP"/>
    <s v=""/>
    <s v=""/>
    <s v=""/>
    <s v="80%"/>
    <s v="Pipeline de Vendas"/>
    <s v="Em Fechamento (100%)"/>
    <s v=""/>
    <d v="2025-12-31T00:00:00"/>
    <n v="22000"/>
    <n v="1800"/>
    <n v="54"/>
    <s v="Junior Lopes"/>
    <d v="2025-11-12T00:00:00"/>
    <d v="1899-12-30T14:32:23"/>
    <s v=""/>
    <s v="Ganho"/>
    <d v="2026-01-05T00:00:00"/>
    <d v="1899-12-30T14:51:32"/>
    <s v=""/>
    <s v=""/>
    <s v=""/>
    <x v="138"/>
    <s v="Junior Lopes"/>
    <x v="149"/>
    <s v="28/11/2025"/>
    <d v="2025-12-12T00:00:00"/>
    <m/>
    <s v=""/>
    <s v=""/>
    <s v=""/>
    <s v=""/>
    <n v="1"/>
  </r>
  <r>
    <x v="1"/>
    <n v="684"/>
    <m/>
    <n v="2760"/>
    <s v=""/>
    <s v=""/>
    <x v="299"/>
    <m/>
    <s v=""/>
    <s v="NewBaby - ERP"/>
    <s v="11979734057"/>
    <s v=""/>
    <s v="dani@3lrepresentacoes.com.br"/>
    <s v=""/>
    <s v=""/>
    <s v=""/>
    <s v=""/>
    <s v=""/>
    <s v=""/>
    <s v=""/>
    <s v=""/>
    <s v="30%"/>
    <s v="Pipeline de Vendas"/>
    <s v="Apresentar Proposta (50%)"/>
    <s v=""/>
    <m/>
    <n v="106400"/>
    <n v="1419164"/>
    <n v="13"/>
    <s v="Junior Lopes"/>
    <d v="2025-11-13T00:00:00"/>
    <d v="1899-12-30T12:09:17"/>
    <s v=""/>
    <s v="Perdido"/>
    <d v="2025-11-26T00:00:00"/>
    <d v="1899-12-30T12:48:22"/>
    <s v="Projeto adiado / sem prazo definido"/>
    <s v="Em contato com Dani ! _x000a_eles só queriam a priori uma estimativa de investimento nas soluções Guarani ! a ideia é aos poucos convencer a Giselia na troca do sistema"/>
    <s v=""/>
    <x v="139"/>
    <s v=""/>
    <x v="150"/>
    <s v=""/>
    <m/>
    <m/>
    <s v=""/>
    <s v=""/>
    <s v=""/>
    <s v=""/>
    <n v="1"/>
  </r>
  <r>
    <x v="2"/>
    <n v="685"/>
    <m/>
    <n v="2761"/>
    <s v=""/>
    <s v="Kitay Industria E Comercio De Alimentos Ltda"/>
    <x v="300"/>
    <n v="42517186000109"/>
    <s v=""/>
    <s v="Kitay Industria E Comercio De Alimentos Ltda"/>
    <s v="(11) 4018-3764"/>
    <s v=""/>
    <s v="claudiorcsalles@gmail.com"/>
    <s v=""/>
    <s v=""/>
    <s v=""/>
    <s v="VARGEM GRANDE PAULISTA"/>
    <s v="SP"/>
    <s v="Base de empresas Leads2b"/>
    <s v=""/>
    <s v=""/>
    <s v=""/>
    <s v="Pipeline de Vendas"/>
    <s v="Agendamento (0%)"/>
    <s v=""/>
    <m/>
    <m/>
    <m/>
    <n v="0"/>
    <s v="Rayssa Karapeticov"/>
    <d v="2025-11-13T00:00:00"/>
    <d v="1899-12-30T16:09:55"/>
    <s v=""/>
    <s v="Perdido"/>
    <d v="2025-11-13T00:00:00"/>
    <d v="1899-12-30T16:12:25"/>
    <s v="Preço muito alto - fora do budget de investimento"/>
    <s v=""/>
    <s v=""/>
    <x v="0"/>
    <s v="Rayssa Karapeticov"/>
    <x v="0"/>
    <s v=""/>
    <m/>
    <m/>
    <s v=""/>
    <s v=""/>
    <s v=""/>
    <s v=""/>
    <n v="1"/>
  </r>
  <r>
    <x v="1"/>
    <n v="690"/>
    <m/>
    <n v="2872"/>
    <s v=""/>
    <s v=""/>
    <x v="301"/>
    <m/>
    <s v=""/>
    <s v="MDL - WMS"/>
    <s v="11910695515"/>
    <s v=""/>
    <s v="null"/>
    <s v=""/>
    <s v=""/>
    <s v=""/>
    <s v=""/>
    <s v=""/>
    <s v=""/>
    <s v=""/>
    <s v=""/>
    <s v="90%"/>
    <s v="Pipeline de Vendas"/>
    <s v="Em Fechamento (100%)"/>
    <s v=""/>
    <d v="2025-11-26T00:00:00"/>
    <n v="0"/>
    <n v="114048"/>
    <n v="16"/>
    <s v="Junior Lopes"/>
    <d v="2025-11-24T00:00:00"/>
    <d v="1899-12-30T16:53:16"/>
    <s v=""/>
    <s v="Ganho"/>
    <d v="2025-12-10T00:00:00"/>
    <d v="1899-12-30T10:14:04"/>
    <s v=""/>
    <s v=""/>
    <s v=""/>
    <x v="140"/>
    <s v=""/>
    <x v="151"/>
    <s v=""/>
    <m/>
    <m/>
    <s v=""/>
    <s v=""/>
    <s v=""/>
    <s v=""/>
    <n v="1"/>
  </r>
  <r>
    <x v="1"/>
    <n v="692"/>
    <m/>
    <n v="2880"/>
    <s v=""/>
    <s v=""/>
    <x v="302"/>
    <m/>
    <s v=""/>
    <s v="NewBaby - Cloud"/>
    <s v="11979734057"/>
    <s v=""/>
    <s v="dani@3lrepresentacoes.com.br"/>
    <s v=""/>
    <s v=""/>
    <s v=""/>
    <s v=""/>
    <s v=""/>
    <s v=""/>
    <s v=""/>
    <s v=""/>
    <s v="30%"/>
    <s v="Pipeline de Vendas"/>
    <s v="Apresentar Proposta (50%)"/>
    <s v=""/>
    <m/>
    <n v="1600"/>
    <n v="860304"/>
    <n v="1"/>
    <s v="Junior Lopes"/>
    <d v="2025-11-25T00:00:00"/>
    <d v="1899-12-30T15:03:40"/>
    <s v=""/>
    <s v="Perdido"/>
    <d v="2025-11-26T00:00:00"/>
    <d v="1899-12-30T12:49:30"/>
    <s v="Projeto adiado / sem prazo definido"/>
    <s v="Em contato com Dani ! _x000a_eles só queriam a priori uma estimativa de investimento nas soluções Guarani ! a ideia é aos poucos convencer a Giselia na troca do sistema"/>
    <s v=""/>
    <x v="139"/>
    <s v=""/>
    <x v="150"/>
    <s v=""/>
    <m/>
    <m/>
    <s v=""/>
    <s v=""/>
    <s v=""/>
    <s v=""/>
    <n v="1"/>
  </r>
  <r>
    <x v="1"/>
    <n v="693"/>
    <m/>
    <n v="2881"/>
    <s v=""/>
    <s v=""/>
    <x v="303"/>
    <m/>
    <s v=""/>
    <s v="Baag - Incl.CNPJ"/>
    <s v="7530217768"/>
    <s v=""/>
    <s v="null"/>
    <s v=""/>
    <s v=""/>
    <s v=""/>
    <s v=""/>
    <s v=""/>
    <s v=""/>
    <s v=""/>
    <s v=""/>
    <s v=""/>
    <s v="Pipeline de Vendas"/>
    <s v="Agendamento (0%)"/>
    <s v=""/>
    <m/>
    <n v="330714"/>
    <n v="0"/>
    <n v="0"/>
    <s v="Junior Lopes"/>
    <d v="2025-11-25T00:00:00"/>
    <d v="1899-12-30T15:44:44"/>
    <s v=""/>
    <s v="Ganho"/>
    <d v="2025-11-25T00:00:00"/>
    <d v="1899-12-30T15:47:26"/>
    <s v=""/>
    <s v=""/>
    <s v=""/>
    <x v="141"/>
    <s v=""/>
    <x v="152"/>
    <s v=""/>
    <m/>
    <m/>
    <s v=""/>
    <s v=""/>
    <s v=""/>
    <s v=""/>
    <n v="1"/>
  </r>
  <r>
    <x v="1"/>
    <n v="694"/>
    <m/>
    <n v="2882"/>
    <s v=""/>
    <s v=""/>
    <x v="304"/>
    <m/>
    <s v=""/>
    <s v="E.S Maia"/>
    <s v="11969325678"/>
    <s v=""/>
    <s v="null"/>
    <s v=""/>
    <s v=""/>
    <s v=""/>
    <s v=""/>
    <s v=""/>
    <s v=""/>
    <s v=""/>
    <s v=""/>
    <s v="30%"/>
    <s v="Pipeline de Vendas"/>
    <s v="Apresentar Proposta (50%)"/>
    <s v=""/>
    <d v="2026-01-01T00:00:00"/>
    <n v="16960"/>
    <n v="450"/>
    <n v="15"/>
    <s v="Junior Lopes"/>
    <d v="2025-11-25T00:00:00"/>
    <d v="1899-12-30T15:59:24"/>
    <s v=""/>
    <s v="Perdido"/>
    <d v="2025-12-10T00:00:00"/>
    <d v="1899-12-30T09:26:00"/>
    <s v="Projeto adiado / sem prazo definido"/>
    <s v="nao esta no momento certo"/>
    <s v=""/>
    <x v="134"/>
    <s v=""/>
    <x v="143"/>
    <s v=""/>
    <m/>
    <m/>
    <s v=""/>
    <s v=""/>
    <s v=""/>
    <s v=""/>
    <n v="1"/>
  </r>
  <r>
    <x v="1"/>
    <n v="695"/>
    <m/>
    <n v="2883"/>
    <s v=""/>
    <s v=""/>
    <x v="305"/>
    <n v="57524096000104"/>
    <s v=""/>
    <s v="Phabllo Parambu Atacado - ERP"/>
    <s v="88996365702"/>
    <s v=""/>
    <s v="phabllo2022@gmail.com"/>
    <s v=""/>
    <s v=""/>
    <s v=""/>
    <s v="COCAL"/>
    <s v="PI"/>
    <s v=""/>
    <s v=""/>
    <s v=""/>
    <s v="30%"/>
    <s v="Pipeline de Vendas"/>
    <s v="Apresentar Solução (35%)"/>
    <s v=""/>
    <m/>
    <m/>
    <m/>
    <n v="8"/>
    <s v="Junior Lopes"/>
    <d v="2025-11-25T00:00:00"/>
    <d v="1899-12-30T16:25:17"/>
    <s v=""/>
    <s v="Perdido"/>
    <d v="2025-12-03T00:00:00"/>
    <d v="1899-12-30T15:53:51"/>
    <s v="Projeto adiado / sem prazo definido"/>
    <s v="Cliente não tem tempo para fazermos apresentação"/>
    <s v=""/>
    <x v="142"/>
    <s v=""/>
    <x v="153"/>
    <s v=""/>
    <m/>
    <m/>
    <s v=""/>
    <s v=""/>
    <s v=""/>
    <s v=""/>
    <n v="1"/>
  </r>
  <r>
    <x v="1"/>
    <n v="696"/>
    <m/>
    <n v="2885"/>
    <s v=""/>
    <s v=""/>
    <x v="306"/>
    <n v="57524096000104"/>
    <s v=""/>
    <s v="Phabllo Parambu Atacado - Cloud"/>
    <s v="88996365702"/>
    <s v=""/>
    <s v="phabllo2022@gmail.com"/>
    <s v=""/>
    <s v=""/>
    <s v=""/>
    <s v=""/>
    <s v=""/>
    <s v=""/>
    <s v=""/>
    <s v=""/>
    <s v="30%"/>
    <s v="Pipeline de Vendas"/>
    <s v="Apresentar Solução (35%)"/>
    <s v=""/>
    <m/>
    <m/>
    <m/>
    <n v="8"/>
    <s v="Junior Lopes"/>
    <d v="2025-11-25T00:00:00"/>
    <d v="1899-12-30T16:48:26"/>
    <s v=""/>
    <s v="Perdido"/>
    <d v="2025-12-03T00:00:00"/>
    <d v="1899-12-30T15:53:19"/>
    <s v="Projeto adiado / sem prazo definido"/>
    <s v="Cliente não tem tempo para fazermos apresentação"/>
    <s v=""/>
    <x v="142"/>
    <s v=""/>
    <x v="153"/>
    <s v=""/>
    <m/>
    <m/>
    <s v=""/>
    <s v=""/>
    <s v=""/>
    <s v=""/>
    <n v="1"/>
  </r>
  <r>
    <x v="1"/>
    <n v="697"/>
    <m/>
    <n v="2887"/>
    <s v=""/>
    <s v=""/>
    <x v="307"/>
    <m/>
    <s v=""/>
    <s v="Salopet Embalagens Plasticas - Cloud"/>
    <s v="1125751800"/>
    <s v=""/>
    <s v="paralegal10@mgcontecnica.com.br"/>
    <s v=""/>
    <s v=""/>
    <s v=""/>
    <s v=""/>
    <s v=""/>
    <s v=""/>
    <s v=""/>
    <s v=""/>
    <s v=""/>
    <s v="Pipeline de Vendas"/>
    <s v="Apresentar Solução (35%)"/>
    <s v=""/>
    <m/>
    <n v="1600"/>
    <n v="335607"/>
    <n v="1"/>
    <s v="Junior Lopes"/>
    <d v="2025-11-25T00:00:00"/>
    <d v="1899-12-30T17:07:06"/>
    <s v=""/>
    <s v="Perdido"/>
    <d v="2025-11-26T00:00:00"/>
    <d v="1899-12-30T12:32:26"/>
    <s v="Não quer mudar a solução atual"/>
    <s v="estou descartando por falta de atividades do André, já agendou varias vezes e não aparece nas reuniões _x000a_Fala chefe, boa tarde _x000a_Está uma loucura esse final de ano_x000a_Mais vamos lá_x000a_Hoje uso o sistema Areco ele é gigante e tem tudo o que precisamos mais está em falta com o suporte e o preço está ficando alto_x000a_Vou tentar finalizar algumas coisa e na sexta-feira na parte da manhã estarei mais tranquilo ai chamo pra que possamos conversar"/>
    <s v=""/>
    <x v="134"/>
    <s v=""/>
    <x v="149"/>
    <s v=""/>
    <m/>
    <m/>
    <s v=""/>
    <s v=""/>
    <s v=""/>
    <s v=""/>
    <n v="1"/>
  </r>
  <r>
    <x v="0"/>
    <n v="700"/>
    <m/>
    <n v="2874"/>
    <s v=""/>
    <s v=""/>
    <x v="308"/>
    <m/>
    <s v=""/>
    <s v="Samuel Ferreira"/>
    <s v="(38) 99741-8594"/>
    <s v=""/>
    <s v="lojastem.financeiro@gmail.com"/>
    <s v=""/>
    <s v=""/>
    <s v=""/>
    <s v="Montes Claros"/>
    <s v=""/>
    <s v="Site"/>
    <s v=""/>
    <s v=""/>
    <s v="30%;Solicita demo"/>
    <s v="Pipeline de Vendas"/>
    <s v="Apresentar Proposta (50%)"/>
    <s v=""/>
    <d v="2026-01-31T00:00:00"/>
    <m/>
    <m/>
    <n v="14"/>
    <s v="Paulo Souza"/>
    <d v="2025-11-26T00:00:00"/>
    <d v="1899-12-30T11:24:38"/>
    <s v=""/>
    <s v="Perdido"/>
    <d v="2025-12-10T00:00:00"/>
    <d v="1899-12-30T23:13:47"/>
    <s v="Não houve aprovação financeira"/>
    <s v=""/>
    <s v=""/>
    <x v="143"/>
    <s v="Paulo Souza"/>
    <x v="154"/>
    <s v=""/>
    <m/>
    <m/>
    <s v=""/>
    <s v=""/>
    <s v=""/>
    <s v=""/>
    <n v="1"/>
  </r>
  <r>
    <x v="0"/>
    <n v="701"/>
    <m/>
    <n v="2829"/>
    <s v="Cobrei a Luciana sobre a sequência do projeto ou não (09/01/2026)_x000a_23/01 - Fiz FUPs hoje com a Lucimeire, chamando ela para retomar as negociações, aguardar ele responder para saber se vamos seguir ou não? R: Ela retornou avisando que a negociação está pausada por enquanto."/>
    <s v=""/>
    <x v="309"/>
    <n v="5825017000100"/>
    <s v=""/>
    <s v="Lucimeire Jardim"/>
    <s v="(17) 99270-5941"/>
    <s v=""/>
    <s v="gerencia.adm@belaflor.com.br"/>
    <s v=""/>
    <s v=""/>
    <s v=""/>
    <s v="São José do Rio Preto"/>
    <s v=""/>
    <s v="Site"/>
    <s v=""/>
    <s v=""/>
    <s v="30%;Pausado;Solicita demo"/>
    <s v="Pipeline de Vendas"/>
    <s v="Em negociação (75%)"/>
    <s v=""/>
    <d v="2026-03-31T00:00:00"/>
    <n v="130600"/>
    <n v="1680982"/>
    <n v="173"/>
    <s v="Paulo Souza"/>
    <d v="2025-11-26T00:00:00"/>
    <d v="1899-12-30T11:25:27"/>
    <s v=""/>
    <s v="Perdido"/>
    <d v="2026-05-18T00:00:00"/>
    <d v="1899-12-30T16:51:17"/>
    <s v="Projeto adiado / sem prazo definido"/>
    <s v=""/>
    <s v=""/>
    <x v="143"/>
    <s v="Paulo Souza"/>
    <x v="154"/>
    <s v=""/>
    <d v="2026-03-31T00:00:00"/>
    <n v="30"/>
    <s v="653"/>
    <s v="ERP, AFV, BI, WMS"/>
    <s v="R$ 130.600"/>
    <s v="R$ 16.809,82"/>
    <n v="1"/>
  </r>
  <r>
    <x v="0"/>
    <n v="702"/>
    <m/>
    <n v="2890"/>
    <s v="Falei com Rodrigo CFO, e vamos negociar a proposta na semana do dia 12/01/2025._x000a_Falei hoje 12/01 com Rodrigo cobrando um aposição dele._x000a_14/01 - Hoje o Jeferson TI me ligou avisando que a diretoria reprovou o valor mensal. Porém a equipe interna gostou muito do sistema e esta batalhando para seguir. Com isso ele apresentou um valor base de R$60,00 por usuário estou estudando uma estratégia para responder. Acionei o Fábio._x000a_19/01: No dia 15/01 foi resolvido a questão da proposta. A pendência agora é em relação a integração com Sênior, ou seja, Jeferson esta fazendo orçamento com pessoal da Sênior, só após daremos andamento. Previsto uma conversa para sexta-feira próxima, dia 23/01."/>
    <s v=""/>
    <x v="310"/>
    <m/>
    <s v=""/>
    <s v="Wellington"/>
    <s v="43996624014"/>
    <s v=""/>
    <s v="null"/>
    <s v=""/>
    <s v=""/>
    <s v=""/>
    <s v=""/>
    <s v=""/>
    <s v=""/>
    <s v=""/>
    <s v=""/>
    <s v="90%;Fabio Indica"/>
    <s v="Pipeline de Vendas"/>
    <s v="Em Fechamento (100%)"/>
    <s v=""/>
    <d v="2026-01-31T00:00:00"/>
    <n v="16000"/>
    <n v="5880"/>
    <n v="57"/>
    <s v="Paulo Souza"/>
    <d v="2025-11-26T00:00:00"/>
    <d v="1899-12-30T11:28:10"/>
    <s v=""/>
    <s v="Perdido"/>
    <d v="2026-01-22T00:00:00"/>
    <d v="1899-12-30T16:27:10"/>
    <s v="Não houve aprovação financeira"/>
    <s v="A diretoria não aprovou o projeto devido o total da implantação ficar na casa dos 32k. Somando o projeto do Sênior 15-20k e Guarani 16k"/>
    <s v=""/>
    <x v="144"/>
    <s v="Paulo Souza"/>
    <x v="155"/>
    <s v=""/>
    <d v="2026-01-09T00:00:00"/>
    <m/>
    <s v=""/>
    <s v=""/>
    <s v=""/>
    <s v=""/>
    <n v="1"/>
  </r>
  <r>
    <x v="0"/>
    <n v="703"/>
    <m/>
    <n v="2891"/>
    <s v="Falei hoje com o Abdallah, o mesmo esta fora do Brasil. Combinamos de falar na sua volta que é em 15/01/2026!_x000a_23/01 - Após conversa com o Abdallah, o mesmo ainda continua fora do brasil e em nossa conversa falou que não tem resposta se vai ou não mudar. Com base no histórico das conversa ele não tem interesse de mudança no curto prazo. Sendo assim, estou declinando a proposta e futuramente voltamos a falar."/>
    <s v=""/>
    <x v="311"/>
    <n v="7728812000105"/>
    <s v=""/>
    <s v="Abdallah"/>
    <s v="(11) 3228-9751"/>
    <s v=""/>
    <s v="aihfinanceiro@gmail.com"/>
    <s v=""/>
    <s v=""/>
    <s v=""/>
    <s v="SAO PAULO"/>
    <s v="SP"/>
    <s v=""/>
    <s v=""/>
    <s v=""/>
    <s v="30%"/>
    <s v="Pipeline de Vendas"/>
    <s v="Em negociação (75%)"/>
    <s v=""/>
    <d v="2026-01-23T00:00:00"/>
    <n v="72000"/>
    <n v="8045"/>
    <n v="58"/>
    <s v="Paulo Souza"/>
    <d v="2025-11-26T00:00:00"/>
    <d v="1899-12-30T11:30:14"/>
    <s v=""/>
    <s v="Perdido"/>
    <d v="2026-01-23T00:00:00"/>
    <d v="1899-12-30T11:38:34"/>
    <s v="Projeto adiado / sem prazo definido"/>
    <s v=""/>
    <s v=""/>
    <x v="48"/>
    <s v="Paulo Souza"/>
    <x v="156"/>
    <s v=""/>
    <d v="2026-01-23T00:00:00"/>
    <m/>
    <s v=""/>
    <s v=""/>
    <s v=""/>
    <s v=""/>
    <n v="1"/>
  </r>
  <r>
    <x v="0"/>
    <n v="704"/>
    <m/>
    <n v="2894"/>
    <s v="Hoje foi realizada a apresentação do PDV do ERP ao cliente. O fechamento está previsto para ocorrer até 19/12/2025."/>
    <s v=""/>
    <x v="312"/>
    <n v="3761404000196"/>
    <s v=""/>
    <s v="Jose Eduardo"/>
    <s v="(19) 3492-9944"/>
    <s v=""/>
    <s v="adm@plastcap.com.br"/>
    <s v=""/>
    <s v=""/>
    <s v=""/>
    <s v="CAPIVARI"/>
    <s v="SP"/>
    <s v=""/>
    <s v=""/>
    <s v=""/>
    <s v="90%"/>
    <s v="Pipeline de Vendas"/>
    <s v="Em Fechamento (100%)"/>
    <s v=""/>
    <d v="2026-01-15T00:00:00"/>
    <n v="17829"/>
    <n v="83997"/>
    <n v="44"/>
    <s v="Paulo Souza"/>
    <d v="2025-11-26T00:00:00"/>
    <d v="1899-12-30T11:36:11"/>
    <s v=""/>
    <s v="Ganho"/>
    <d v="2026-01-09T00:00:00"/>
    <d v="1899-12-30T14:02:37"/>
    <s v=""/>
    <s v=""/>
    <s v=""/>
    <x v="145"/>
    <s v="Paulo Souza"/>
    <x v="154"/>
    <s v=""/>
    <d v="2025-12-12T00:00:00"/>
    <m/>
    <s v=""/>
    <s v=""/>
    <s v=""/>
    <s v=""/>
    <n v="1"/>
  </r>
  <r>
    <x v="0"/>
    <n v="705"/>
    <m/>
    <n v="2896"/>
    <s v="Não vai seguir com esse projeto no momento! Primeiro vai fazer a reciclagem e no meio do ano de 2026, voltamos a falar."/>
    <s v=""/>
    <x v="313"/>
    <n v="3761404000196"/>
    <s v=""/>
    <s v="Jose Eduardo"/>
    <s v="(19) 3492-9944"/>
    <s v=""/>
    <s v="adm@plastcap.com.br"/>
    <s v=""/>
    <s v=""/>
    <s v=""/>
    <s v="CAPIVARI"/>
    <s v="SP"/>
    <s v=""/>
    <s v=""/>
    <s v=""/>
    <s v="30%"/>
    <s v="Pipeline de Vendas"/>
    <s v="Em negociação (75%)"/>
    <s v=""/>
    <d v="2025-12-31T00:00:00"/>
    <n v="1600"/>
    <n v="384454"/>
    <n v="44"/>
    <s v="Paulo Souza"/>
    <d v="2025-11-26T00:00:00"/>
    <d v="1899-12-30T11:54:10"/>
    <s v=""/>
    <s v="Perdido"/>
    <d v="2026-01-09T00:00:00"/>
    <d v="1899-12-30T14:22:58"/>
    <s v="Projeto adiado / sem prazo definido"/>
    <s v=""/>
    <s v=""/>
    <x v="143"/>
    <s v="Paulo Souza"/>
    <x v="154"/>
    <s v=""/>
    <d v="2026-01-09T00:00:00"/>
    <m/>
    <s v=""/>
    <s v=""/>
    <s v=""/>
    <s v=""/>
    <n v="1"/>
  </r>
  <r>
    <x v="0"/>
    <n v="706"/>
    <m/>
    <n v="2897"/>
    <s v=""/>
    <s v=""/>
    <x v="314"/>
    <m/>
    <s v=""/>
    <s v="Kaue Prado"/>
    <s v="49998169464"/>
    <s v=""/>
    <s v="null"/>
    <s v=""/>
    <s v=""/>
    <s v=""/>
    <s v=""/>
    <s v=""/>
    <s v=""/>
    <s v=""/>
    <s v=""/>
    <s v=""/>
    <s v="Pipeline de Vendas"/>
    <s v="Em negociação (75%)"/>
    <s v=""/>
    <d v="2026-01-15T00:00:00"/>
    <n v="50000"/>
    <n v="2355"/>
    <n v="14"/>
    <s v="Paulo Souza"/>
    <d v="2025-11-26T00:00:00"/>
    <d v="1899-12-30T11:57:13"/>
    <s v=""/>
    <s v="Perdido"/>
    <d v="2025-12-10T00:00:00"/>
    <d v="1899-12-30T17:18:17"/>
    <s v="Não houve aprovação financeira"/>
    <s v=""/>
    <s v=""/>
    <x v="146"/>
    <s v="Paulo Souza"/>
    <x v="157"/>
    <s v=""/>
    <m/>
    <m/>
    <s v=""/>
    <s v=""/>
    <s v=""/>
    <s v=""/>
    <n v="1"/>
  </r>
  <r>
    <x v="0"/>
    <n v="707"/>
    <m/>
    <n v="2898"/>
    <s v="Após retorno do Jeferson fui informado que ele não vai seguir com o projeto no momento."/>
    <s v=""/>
    <x v="315"/>
    <m/>
    <s v=""/>
    <s v="Jeferson"/>
    <s v="83998878069"/>
    <s v=""/>
    <s v="null"/>
    <s v=""/>
    <s v=""/>
    <s v=""/>
    <s v=""/>
    <s v=""/>
    <s v="Outbound"/>
    <s v=""/>
    <s v=""/>
    <s v="90%"/>
    <s v="Pipeline de Vendas"/>
    <s v="Em negociação (75%)"/>
    <s v=""/>
    <d v="2026-01-31T00:00:00"/>
    <n v="14400"/>
    <n v="185328"/>
    <n v="47"/>
    <s v="Paulo Souza"/>
    <d v="2025-11-26T00:00:00"/>
    <d v="1899-12-30T11:59:12"/>
    <s v=""/>
    <s v="Perdido"/>
    <d v="2026-01-12T00:00:00"/>
    <d v="1899-12-30T22:24:16"/>
    <s v="Projeto adiado / sem prazo definido"/>
    <s v=""/>
    <s v=""/>
    <x v="147"/>
    <s v="Paulo Souza"/>
    <x v="158"/>
    <s v=""/>
    <d v="2026-01-12T00:00:00"/>
    <m/>
    <s v=""/>
    <s v=""/>
    <s v=""/>
    <s v=""/>
    <n v="1"/>
  </r>
  <r>
    <x v="0"/>
    <n v="708"/>
    <m/>
    <n v="2899"/>
    <s v=""/>
    <s v=""/>
    <x v="236"/>
    <m/>
    <s v=""/>
    <s v="Fabiana"/>
    <s v="16996352359"/>
    <s v=""/>
    <s v="null"/>
    <s v=""/>
    <s v=""/>
    <s v=""/>
    <s v=""/>
    <s v=""/>
    <s v=""/>
    <s v=""/>
    <s v=""/>
    <s v=""/>
    <s v="Pipeline de Vendas"/>
    <s v="Em Fechamento (100%)"/>
    <s v=""/>
    <m/>
    <m/>
    <m/>
    <n v="12"/>
    <s v="Paulo Souza"/>
    <d v="2025-11-26T00:00:00"/>
    <d v="1899-12-30T12:01:20"/>
    <s v=""/>
    <s v="Ganho"/>
    <d v="2025-12-08T00:00:00"/>
    <d v="1899-12-30T13:53:33"/>
    <s v=""/>
    <s v=""/>
    <s v=""/>
    <x v="148"/>
    <s v="Paulo Souza"/>
    <x v="159"/>
    <s v=""/>
    <m/>
    <m/>
    <s v=""/>
    <s v=""/>
    <s v=""/>
    <s v=""/>
    <n v="1"/>
  </r>
  <r>
    <x v="0"/>
    <n v="709"/>
    <m/>
    <n v="2900"/>
    <s v=""/>
    <s v=""/>
    <x v="316"/>
    <m/>
    <s v=""/>
    <s v="Gustavo"/>
    <s v="16996352359"/>
    <s v=""/>
    <s v="null"/>
    <s v=""/>
    <s v=""/>
    <s v=""/>
    <s v=""/>
    <s v=""/>
    <s v=""/>
    <s v=""/>
    <s v=""/>
    <s v=""/>
    <s v="Pipeline de Vendas"/>
    <s v="Em Fechamento (100%)"/>
    <s v=""/>
    <m/>
    <m/>
    <m/>
    <n v="12"/>
    <s v="Paulo Souza"/>
    <d v="2025-11-26T00:00:00"/>
    <d v="1899-12-30T12:02:41"/>
    <s v=""/>
    <s v="Ganho"/>
    <d v="2025-12-08T00:00:00"/>
    <d v="1899-12-30T14:21:05"/>
    <s v=""/>
    <s v=""/>
    <s v=""/>
    <x v="149"/>
    <s v="Paulo Souza"/>
    <x v="160"/>
    <s v=""/>
    <m/>
    <m/>
    <s v=""/>
    <s v=""/>
    <s v=""/>
    <s v=""/>
    <n v="1"/>
  </r>
  <r>
    <x v="1"/>
    <n v="711"/>
    <m/>
    <n v="2902"/>
    <s v="O próximo passo é Junior Lopes contatar a Tânia para confirmar o envio do vídeo do armazém e obter uma data definida para isso. Ele também deve atualizar no sistema o campo “O que falta para atingir o objetivo” com os requisitos pendentes e registrar um próximo passo com data, como analisar o vídeo ou agendar uma reunião para discutir sua avaliação."/>
    <s v=""/>
    <x v="317"/>
    <m/>
    <s v=""/>
    <s v="FaFa Import - WMS"/>
    <s v="86188758539"/>
    <s v=""/>
    <s v="null"/>
    <s v=""/>
    <s v=""/>
    <s v=""/>
    <s v=""/>
    <s v=""/>
    <s v=""/>
    <s v=""/>
    <s v=""/>
    <s v="50%"/>
    <s v="Pipeline de Vendas"/>
    <s v="Em Fechamento (100%)"/>
    <s v=""/>
    <d v="2026-02-09T00:00:00"/>
    <n v="235848"/>
    <n v="14256"/>
    <n v="65"/>
    <s v="Junior Lopes"/>
    <d v="2025-11-26T00:00:00"/>
    <d v="1899-12-30T15:05:11"/>
    <s v=""/>
    <s v="Perdido"/>
    <d v="2026-01-30T00:00:00"/>
    <d v="1899-12-30T15:36:59"/>
    <s v="Projeto adiado / sem prazo definido"/>
    <s v="sem retorno"/>
    <s v=""/>
    <x v="132"/>
    <s v="Junior Lopes"/>
    <x v="153"/>
    <s v=""/>
    <d v="2025-12-12T00:00:00"/>
    <m/>
    <s v=""/>
    <s v=""/>
    <s v=""/>
    <s v=""/>
    <n v="1"/>
  </r>
  <r>
    <x v="1"/>
    <n v="714"/>
    <m/>
    <n v="2910"/>
    <s v=""/>
    <s v=""/>
    <x v="318"/>
    <m/>
    <s v=""/>
    <s v="Tecelagem Castilho - Proposta Web"/>
    <s v="6293622662"/>
    <s v=""/>
    <s v="null"/>
    <s v=""/>
    <s v=""/>
    <s v=""/>
    <s v=""/>
    <s v=""/>
    <s v=""/>
    <s v=""/>
    <s v=""/>
    <s v=""/>
    <s v="Pipeline de Vendas"/>
    <s v="Em negociação (75%)"/>
    <s v=""/>
    <m/>
    <n v="0"/>
    <n v="209"/>
    <n v="12"/>
    <s v="Junior Lopes"/>
    <d v="2025-11-28T00:00:00"/>
    <d v="1899-12-30T14:27:28"/>
    <s v=""/>
    <s v="Perdido"/>
    <d v="2025-12-10T00:00:00"/>
    <d v="1899-12-30T10:00:03"/>
    <s v="Não quer mudar a solução atual"/>
    <s v="por enquanto vai fazer as aprovações via ERP"/>
    <s v=""/>
    <x v="142"/>
    <s v=""/>
    <x v="161"/>
    <s v=""/>
    <m/>
    <m/>
    <s v=""/>
    <s v=""/>
    <s v=""/>
    <s v=""/>
    <n v="1"/>
  </r>
  <r>
    <x v="0"/>
    <n v="717"/>
    <m/>
    <n v="2945"/>
    <s v="Falei hoje 09/01/2026 com o Mario para saber se seguiremos. Ele está fora do brasil retomar contato em 15/01._x000a_23/01 fazer proposta e enviar ao mario._x000a_06/02 Fiz FUP e não evoluiu a conversa pois o Mario está estruturando a empresa e nesse momento vai aguardar."/>
    <s v=""/>
    <x v="319"/>
    <m/>
    <s v=""/>
    <s v="Mario Perez"/>
    <s v="(11) 99471-3332"/>
    <s v=""/>
    <s v="mariovperez@hotmail.com"/>
    <s v=""/>
    <s v=""/>
    <s v=""/>
    <s v="São Paulo"/>
    <s v=""/>
    <s v="Site"/>
    <s v=""/>
    <s v=""/>
    <s v="30%"/>
    <s v="Pipeline de Vendas"/>
    <s v="Apresentar Proposta (50%)"/>
    <s v=""/>
    <d v="2026-01-31T00:00:00"/>
    <m/>
    <m/>
    <n v="68"/>
    <s v="Paulo Souza"/>
    <d v="2025-12-01T00:00:00"/>
    <d v="1899-12-30T15:50:11"/>
    <s v=""/>
    <s v="Perdido"/>
    <d v="2026-02-07T00:00:00"/>
    <d v="1899-12-30T08:22:44"/>
    <s v="Não quer mudar a solução atual"/>
    <s v=""/>
    <s v=""/>
    <x v="150"/>
    <s v="Paulo Souza"/>
    <x v="162"/>
    <s v=""/>
    <d v="2026-01-23T00:00:00"/>
    <n v="30"/>
    <s v=""/>
    <s v=""/>
    <s v=""/>
    <s v=""/>
    <n v="1"/>
  </r>
  <r>
    <x v="0"/>
    <n v="718"/>
    <m/>
    <n v="2913"/>
    <s v="Falei com a Valeria hoje 09/01/26 para saber sobre a retomada do projeto._x000a_23/01 Fiz FUP hoje com a Valeria cobrando se seguiremos ou não com o projeto, prazo para declinar 31/01."/>
    <s v=""/>
    <x v="320"/>
    <m/>
    <s v=""/>
    <s v="Valéria Honorato da Silva"/>
    <s v="(45) 99903-2312"/>
    <s v=""/>
    <s v="valeriahonoratomkt@gmail.com"/>
    <s v=""/>
    <s v=""/>
    <s v=""/>
    <s v="Santa Tereza do Oeste"/>
    <s v=""/>
    <s v="Site"/>
    <s v=""/>
    <s v=""/>
    <s v="30%;Pausado;Solicita demo"/>
    <s v="Pipeline de Vendas"/>
    <s v="Qualificação de Vendas (SQL) (25%)"/>
    <s v=""/>
    <d v="2026-04-30T00:00:00"/>
    <m/>
    <m/>
    <n v="161"/>
    <s v="Paulo Souza"/>
    <d v="2025-12-01T00:00:00"/>
    <d v="1899-12-30T16:23:02"/>
    <s v=""/>
    <s v="Perdido"/>
    <d v="2026-05-11T00:00:00"/>
    <d v="1899-12-30T11:55:42"/>
    <s v="Projeto adiado / sem prazo definido"/>
    <s v=""/>
    <s v=""/>
    <x v="151"/>
    <s v="Paulo Souza"/>
    <x v="162"/>
    <s v=""/>
    <d v="2026-04-10T00:00:00"/>
    <n v="30"/>
    <s v=""/>
    <s v=""/>
    <s v=""/>
    <s v=""/>
    <n v="1"/>
  </r>
  <r>
    <x v="0"/>
    <n v="719"/>
    <m/>
    <n v="2904"/>
    <s v="Falei com a Kelly hoje que me passou as informações que faltava para formular a proposta. Agora e falar com o Fernando e montar a proposta e apresentar._x000a_23/01 Falei com a Kelly em 19/01, e ela avisou que estava de férias e que retorno essa semana , e que só vai conseguir analisar a proposta na semana do dia 26/01, quando retornarei o contato._x000a_07/02 Fiz FUP com a Kelly e perguntei se ela vai ou não seguir com o projeto, não retornou ainda._x000a_12/03 12/03 Fiz FUP com a Kelly e a mesma esta analisando a proposta. Como esta semana ela tá fazendo compra de natal, vai conseguir parar e ver a proposta amanhã 13/03._x000a_20/03 Cobrando a Kelly para ir para o fechamento."/>
    <s v=""/>
    <x v="321"/>
    <n v="3674537000125"/>
    <s v=""/>
    <s v="kelly"/>
    <s v="(12) 97403-0134"/>
    <s v=""/>
    <s v="mkt@valport.com.br"/>
    <s v=""/>
    <s v=""/>
    <s v=""/>
    <s v="São Paulo"/>
    <s v=""/>
    <s v="Site"/>
    <s v=""/>
    <s v=""/>
    <s v="50%;Solicita demo"/>
    <s v="Pipeline de Vendas"/>
    <s v="Em negociação (75%)"/>
    <s v=""/>
    <d v="2026-03-31T00:00:00"/>
    <n v="104490"/>
    <n v="111957"/>
    <n v="130"/>
    <s v="Paulo Souza"/>
    <d v="2025-12-01T00:00:00"/>
    <d v="1899-12-30T16:37:54"/>
    <s v=""/>
    <s v="Perdido"/>
    <d v="2026-04-10T00:00:00"/>
    <d v="1899-12-30T15:54:49"/>
    <s v="Projeto adiado / sem prazo definido"/>
    <s v=""/>
    <s v=""/>
    <x v="151"/>
    <s v="Paulo Souza"/>
    <x v="163"/>
    <s v=""/>
    <d v="2026-03-20T00:00:00"/>
    <n v="30"/>
    <s v="416"/>
    <s v="ERP, AFV, BI, PDV, ADICIONAIS"/>
    <s v="R$ 104.490"/>
    <s v="R$ 11.195,70"/>
    <n v="1"/>
  </r>
  <r>
    <x v="0"/>
    <n v="725"/>
    <m/>
    <n v="2970"/>
    <s v="Cobrei hoje 09/01 o Alex, para saber sobre a evolução do projeto em 2026._x000a_14/01 - O Alex me ligou hoje avisando que a empresa optou pelo mais barato e fechou com a RioSoft."/>
    <s v=""/>
    <x v="322"/>
    <m/>
    <s v=""/>
    <s v="Alex"/>
    <s v="1799137617"/>
    <s v=""/>
    <s v="null"/>
    <s v=""/>
    <s v=""/>
    <s v=""/>
    <s v=""/>
    <s v=""/>
    <s v=""/>
    <s v=""/>
    <s v=""/>
    <s v="30%;Pausado"/>
    <s v="Pipeline de Vendas"/>
    <s v="Em negociação (75%)"/>
    <s v=""/>
    <d v="2026-03-31T00:00:00"/>
    <n v="315000"/>
    <n v="32575"/>
    <n v="37"/>
    <s v="Paulo Souza"/>
    <d v="2025-12-08T00:00:00"/>
    <d v="1899-12-30T13:58:57"/>
    <s v=""/>
    <s v="Perdido"/>
    <d v="2026-01-14T00:00:00"/>
    <d v="1899-12-30T18:52:38"/>
    <s v="Fechou com o concorrente - preço"/>
    <s v="O Alex me ligou hoje avisando que a empresa optou pelo mais barato e fechou com a RioSoft."/>
    <s v=""/>
    <x v="151"/>
    <s v="Paulo Souza"/>
    <x v="164"/>
    <s v=""/>
    <d v="2026-01-09T00:00:00"/>
    <m/>
    <s v=""/>
    <s v=""/>
    <s v=""/>
    <s v=""/>
    <n v="1"/>
  </r>
  <r>
    <x v="0"/>
    <n v="726"/>
    <m/>
    <n v="2971"/>
    <s v=""/>
    <s v=""/>
    <x v="323"/>
    <m/>
    <s v=""/>
    <s v="Raymond"/>
    <s v="11982685555"/>
    <s v=""/>
    <s v="null"/>
    <s v=""/>
    <s v=""/>
    <s v=""/>
    <s v=""/>
    <s v=""/>
    <s v=""/>
    <s v=""/>
    <s v=""/>
    <s v=""/>
    <s v="Pipeline de Vendas"/>
    <s v="Em Fechamento (100%)"/>
    <s v=""/>
    <m/>
    <n v="0"/>
    <n v="57024"/>
    <n v="0"/>
    <s v="Paulo Souza"/>
    <d v="2025-12-08T00:00:00"/>
    <d v="1899-12-30T14:06:46"/>
    <s v=""/>
    <s v="Ganho"/>
    <d v="2025-12-08T00:00:00"/>
    <d v="1899-12-30T14:09:01"/>
    <s v=""/>
    <s v=""/>
    <s v=""/>
    <x v="152"/>
    <s v="Paulo Souza"/>
    <x v="162"/>
    <s v=""/>
    <m/>
    <m/>
    <s v=""/>
    <s v=""/>
    <s v=""/>
    <s v=""/>
    <n v="1"/>
  </r>
  <r>
    <x v="0"/>
    <n v="727"/>
    <m/>
    <n v="2969"/>
    <s v="Hoje 09/01/26 cobrei a Michelli para saber se ela vai seguir ou não com o projeto._x000a_23/01 - Fiz FUp com a Michelle hoje para saber se vamos ou não seguir com o projeto. _x000a_R: Falou que a proposta esta sobe analise da diretoria e que para a próxima semana já terá um retorno. _x000a_07/02 Fiz FUP com a Michelle e ela me posicionou que não vai trocar de sistema por enquanto."/>
    <s v=""/>
    <x v="324"/>
    <m/>
    <s v=""/>
    <s v="MICHELE"/>
    <s v="(12) 99635-6502"/>
    <s v=""/>
    <s v="flavia.honorato@hotmail.com"/>
    <s v=""/>
    <s v=""/>
    <s v=""/>
    <s v="Guaratinguetá"/>
    <s v=""/>
    <s v="Site"/>
    <s v=""/>
    <s v=""/>
    <s v="30%;Solicita demo"/>
    <s v="Pipeline de Vendas"/>
    <s v="Em negociação (75%)"/>
    <s v=""/>
    <d v="2026-01-31T00:00:00"/>
    <n v="47200"/>
    <n v="22981"/>
    <n v="60"/>
    <s v="Paulo Souza"/>
    <d v="2025-12-09T00:00:00"/>
    <d v="1899-12-30T14:14:17"/>
    <s v=""/>
    <s v="Perdido"/>
    <d v="2026-02-07T00:00:00"/>
    <d v="1899-12-30T08:55:56"/>
    <s v="Não quer mudar a solução atual"/>
    <s v="07/02 Fiz FUP com a Michelle e ela me posicionou que não vai trocar de sistema por enquanto."/>
    <s v=""/>
    <x v="153"/>
    <s v="Paulo Souza"/>
    <x v="165"/>
    <s v=""/>
    <d v="2026-02-07T00:00:00"/>
    <n v="30"/>
    <s v=""/>
    <s v=""/>
    <s v=""/>
    <s v=""/>
    <n v="1"/>
  </r>
  <r>
    <x v="0"/>
    <n v="728"/>
    <m/>
    <n v="2973"/>
    <s v="Falei com a Kelly hoje que me passou as informações que faltava para formular a proposta. Agora e falar com o Fernando e montar a proposta e apresentar._x000a_13/01/2026 - Apresentar proposta_x000a_23/01 Falei com a Kelly em 19/01, e ela avisou que estava de férias e que retorno essa semana , e que só vai conseguir analisar a proposta na semana do dia 26/01, quando retornarei o contato._x000a_07/02 Fiz FUP com a Kelly e perguntei se ela vai ou não seguir com o projeto, não retornou ainda._x000a_12/03 12/03 Fiz FUP com a Kelly e a mesma esta analisando a proposta. Como esta semana ela tá fazendo compra de natal, vai conseguir parar e ver a proposta amanhã 13/03._x000a_20/03 Cobrando a Kelly para ir para o fechamento."/>
    <s v=""/>
    <x v="325"/>
    <n v="3674537000125"/>
    <s v=""/>
    <s v="Kelly"/>
    <s v="(12) 3204-5200"/>
    <s v=""/>
    <s v="financeiro@valport.com.br"/>
    <s v=""/>
    <s v=""/>
    <s v=""/>
    <s v="SAO JOSE DOS CAMPOS"/>
    <s v="SP"/>
    <s v="Outbound"/>
    <s v=""/>
    <s v=""/>
    <s v="50%"/>
    <s v="Pipeline de Vendas"/>
    <s v="Em negociação (75%)"/>
    <s v=""/>
    <d v="2026-03-31T00:00:00"/>
    <n v="1700"/>
    <n v="13100"/>
    <n v="121"/>
    <s v="Paulo Souza"/>
    <d v="2025-12-10T00:00:00"/>
    <d v="1899-12-30T17:33:41"/>
    <s v=""/>
    <s v="Perdido"/>
    <d v="2026-04-10T00:00:00"/>
    <d v="1899-12-30T15:55:20"/>
    <s v="Projeto adiado / sem prazo definido"/>
    <s v=""/>
    <s v=""/>
    <x v="153"/>
    <s v="Paulo Souza"/>
    <x v="165"/>
    <s v=""/>
    <d v="2026-03-20T00:00:00"/>
    <n v="30"/>
    <s v="80"/>
    <s v="B2B"/>
    <s v="R$ 13.100"/>
    <s v="R$ 1.700"/>
    <n v="1"/>
  </r>
  <r>
    <x v="0"/>
    <n v="729"/>
    <m/>
    <n v="2972"/>
    <s v="Falei com o Dalvan que esta devendo os dados para fazer a proposta. Segundo ele até o dia 09/01/26 ele termina de preencher. Após receber fazer proposta junto ao Fernando._x000a_23/01 Fiz FUP hoje com o DALVAN, o bicho é enrolado não responde os questionamentos que preciso para fazer a proposta._x000a_06/02 Estou declinando a proposta por falta de interação. o Dalvan, não me responde."/>
    <s v=""/>
    <x v="326"/>
    <m/>
    <s v=""/>
    <s v="Dalvan barros"/>
    <s v="(99) 98265-8209"/>
    <s v=""/>
    <s v="atualmiix@gmail.com"/>
    <s v=""/>
    <s v=""/>
    <s v=""/>
    <s v="Porto Franco"/>
    <s v=""/>
    <s v="Site"/>
    <s v=""/>
    <s v=""/>
    <s v="30%;Solicita demo"/>
    <s v="Pipeline de Vendas"/>
    <s v="Apresentar Proposta (50%)"/>
    <s v=""/>
    <d v="2026-01-31T00:00:00"/>
    <m/>
    <m/>
    <n v="59"/>
    <s v="Paulo Souza"/>
    <d v="2025-12-10T00:00:00"/>
    <d v="1899-12-30T22:55:29"/>
    <s v=""/>
    <s v="Perdido"/>
    <d v="2026-02-07T00:00:00"/>
    <d v="1899-12-30T08:20:54"/>
    <s v="Projeto adiado / sem prazo definido"/>
    <s v="06/02 Estou declinando a proposta por falta de interação. o Dalvan, não me responde."/>
    <s v=""/>
    <x v="154"/>
    <s v="Paulo Souza"/>
    <x v="166"/>
    <s v=""/>
    <d v="2026-02-06T00:00:00"/>
    <n v="30"/>
    <s v=""/>
    <s v=""/>
    <s v=""/>
    <s v=""/>
    <n v="1"/>
  </r>
  <r>
    <x v="1"/>
    <n v="730"/>
    <m/>
    <n v="2977"/>
    <s v="(07/01/2026) visita comercial _x000a_(14/01/2026) Visita apresentação com Max _x000a_(29/01/2026) cliente esta ligando para nossos clientes  _x000a_(24/04/2026) Bassel não responde , não esta no momento certo"/>
    <s v="Vic Import, Comercio, Importacao E Exportacao De Brinquedos E Utilidades Em Geral Ltda"/>
    <x v="327"/>
    <n v="50828915000168"/>
    <s v=""/>
    <s v="Vic Import, Comercio, Importacao E Exportacao De Brinquedos E Utilidades Em Geral Ltda"/>
    <s v="(11) 2171-0800"/>
    <s v=""/>
    <s v="legal@vrscontabil.com.br"/>
    <s v=""/>
    <s v=""/>
    <s v=""/>
    <s v="SAO PAULO"/>
    <s v="SP"/>
    <s v="Base de empresas Leads2b"/>
    <s v=""/>
    <s v=""/>
    <s v="50%;Fabio Indica"/>
    <s v="Pipeline de Vendas"/>
    <s v="Em negociação (75%)"/>
    <s v=""/>
    <d v="2026-02-28T00:00:00"/>
    <n v="44000"/>
    <n v="13781"/>
    <n v="134"/>
    <s v="Junior Lopes"/>
    <d v="2025-12-11T00:00:00"/>
    <d v="1899-12-30T10:06:06"/>
    <s v=""/>
    <s v="Perdido"/>
    <d v="2026-04-24T00:00:00"/>
    <d v="1899-12-30T09:24:13"/>
    <s v="Projeto adiado / sem prazo definido"/>
    <s v="(24/04/2026) Bassel não responde , não esta no momento certo"/>
    <s v=""/>
    <x v="155"/>
    <s v="Junior Lopes"/>
    <x v="167"/>
    <s v="14/01/2026"/>
    <d v="2026-04-24T00:00:00"/>
    <n v="50"/>
    <s v=""/>
    <s v=""/>
    <s v=""/>
    <s v=""/>
    <n v="1"/>
  </r>
  <r>
    <x v="1"/>
    <n v="731"/>
    <m/>
    <n v="2980"/>
    <s v=""/>
    <s v=""/>
    <x v="328"/>
    <m/>
    <s v=""/>
    <s v="Vic Import - AFV"/>
    <s v="1121710800"/>
    <s v=""/>
    <s v="legal@vrscontabil.com.br"/>
    <s v=""/>
    <s v=""/>
    <s v=""/>
    <s v=""/>
    <s v=""/>
    <s v=""/>
    <s v=""/>
    <s v=""/>
    <s v="50%"/>
    <s v="Pipeline de Vendas"/>
    <s v="Em negociação (75%)"/>
    <s v=""/>
    <d v="2026-01-31T00:00:00"/>
    <n v="8000"/>
    <n v="19642"/>
    <n v="49"/>
    <s v="Junior Lopes"/>
    <d v="2025-12-11T00:00:00"/>
    <d v="1899-12-30T10:21:27"/>
    <s v=""/>
    <s v="Perdido"/>
    <d v="2026-01-29T00:00:00"/>
    <d v="1899-12-30T15:51:08"/>
    <s v="Não quer mudar a solução atual"/>
    <s v="seguindo com ERP"/>
    <s v=""/>
    <x v="156"/>
    <s v=""/>
    <x v="168"/>
    <s v=""/>
    <d v="2026-01-09T00:00:00"/>
    <m/>
    <s v=""/>
    <s v=""/>
    <s v=""/>
    <s v=""/>
    <n v="1"/>
  </r>
  <r>
    <x v="1"/>
    <n v="732"/>
    <m/>
    <n v="2981"/>
    <s v="(07/01/2026) visita comercial _x000a_(14/01/2026) Visita apresentação com Max _x000a_(29/01/2026) cliente esta ligando para nossos clientes"/>
    <s v=""/>
    <x v="329"/>
    <m/>
    <s v=""/>
    <s v="Vic Import - Cloud"/>
    <s v="1121710800"/>
    <s v=""/>
    <s v="legal@vrscontabil.com.br"/>
    <s v=""/>
    <s v=""/>
    <s v=""/>
    <s v=""/>
    <s v=""/>
    <s v=""/>
    <s v=""/>
    <s v=""/>
    <s v="50%"/>
    <s v="Pipeline de Vendas"/>
    <s v="Em negociação (75%)"/>
    <s v=""/>
    <d v="2026-02-28T00:00:00"/>
    <n v="1600"/>
    <n v="34428"/>
    <n v="134"/>
    <s v="Junior Lopes"/>
    <d v="2025-12-11T00:00:00"/>
    <d v="1899-12-30T10:23:08"/>
    <s v=""/>
    <s v="Perdido"/>
    <d v="2026-04-24T00:00:00"/>
    <d v="1899-12-30T09:35:19"/>
    <s v="Projeto adiado / sem prazo definido"/>
    <s v="(24/04/2026) Bassel não responde , não esta no momento certo"/>
    <s v=""/>
    <x v="155"/>
    <s v="Junior Lopes"/>
    <x v="167"/>
    <s v="14/01/2026"/>
    <d v="2026-04-24T00:00:00"/>
    <n v="50"/>
    <s v=""/>
    <s v=""/>
    <s v=""/>
    <s v=""/>
    <n v="1"/>
  </r>
  <r>
    <x v="1"/>
    <n v="733"/>
    <m/>
    <n v="2982"/>
    <s v=""/>
    <s v="Conthey Presentes E Decoracoes Ltda"/>
    <x v="330"/>
    <n v="96280292000809"/>
    <s v=""/>
    <s v="Conthey Presentes E Decoracoes Ltda"/>
    <s v="(11) 2081-7750"/>
    <s v=""/>
    <s v="sc@conthey.com.br"/>
    <s v=""/>
    <s v=""/>
    <s v=""/>
    <s v="PALHOCA"/>
    <s v="SC"/>
    <s v="Base de empresas Leads2b"/>
    <s v=""/>
    <s v=""/>
    <s v="90%;Fabio Indica"/>
    <s v="Pipeline de Vendas"/>
    <s v="Em Fechamento (100%)"/>
    <s v=""/>
    <d v="2026-02-28T00:00:00"/>
    <n v="580005"/>
    <n v="7230"/>
    <n v="62"/>
    <s v="Junior Lopes"/>
    <d v="2025-12-11T00:00:00"/>
    <d v="1899-12-30T11:21:41"/>
    <s v=""/>
    <s v="Ganho"/>
    <d v="2026-02-11T00:00:00"/>
    <d v="1899-12-30T17:49:12"/>
    <s v=""/>
    <s v=""/>
    <s v=""/>
    <x v="157"/>
    <s v="Junior Lopes"/>
    <x v="169"/>
    <s v=""/>
    <d v="2026-01-16T00:00:00"/>
    <n v="90"/>
    <s v=""/>
    <s v=""/>
    <s v=""/>
    <s v=""/>
    <n v="1"/>
  </r>
  <r>
    <x v="1"/>
    <n v="734"/>
    <m/>
    <n v="2985"/>
    <s v="fechamos ERP , estou descartando essa oportunidade"/>
    <s v=""/>
    <x v="331"/>
    <m/>
    <s v=""/>
    <s v="Conthey - AFV"/>
    <s v="11982163176"/>
    <s v=""/>
    <s v="sc@conthey.com.br"/>
    <s v=""/>
    <s v=""/>
    <s v=""/>
    <s v=""/>
    <s v=""/>
    <s v=""/>
    <s v=""/>
    <s v=""/>
    <s v="50%"/>
    <s v="Pipeline de Vendas"/>
    <s v="Em negociação (75%)"/>
    <s v=""/>
    <d v="2026-01-16T00:00:00"/>
    <n v="0"/>
    <n v="19642"/>
    <n v="47"/>
    <s v="Junior Lopes"/>
    <d v="2025-12-11T00:00:00"/>
    <d v="1899-12-30T11:31:04"/>
    <s v=""/>
    <s v="Perdido"/>
    <d v="2026-01-27T00:00:00"/>
    <d v="1899-12-30T16:32:05"/>
    <s v="Cliente não quer contato LGPD"/>
    <s v="fechamos ERP , estou descartando essa oportunidade"/>
    <s v=""/>
    <x v="157"/>
    <s v=""/>
    <x v="169"/>
    <s v=""/>
    <d v="2026-01-27T00:00:00"/>
    <m/>
    <s v=""/>
    <s v=""/>
    <s v=""/>
    <s v=""/>
    <n v="1"/>
  </r>
  <r>
    <x v="1"/>
    <n v="735"/>
    <m/>
    <n v="2986"/>
    <s v="(24/04/2026) Conthey vai manter o servidor local , em breve caso necessário irá migrar para cloud"/>
    <s v=""/>
    <x v="332"/>
    <m/>
    <s v=""/>
    <s v="Conthey - Cloud"/>
    <s v="11982163176"/>
    <s v=""/>
    <s v="sc@conthey.com.br"/>
    <s v=""/>
    <s v=""/>
    <s v=""/>
    <s v=""/>
    <s v=""/>
    <s v=""/>
    <s v=""/>
    <s v=""/>
    <s v="80%"/>
    <s v="Pipeline de Vendas"/>
    <s v="Em Fechamento (100%)"/>
    <s v=""/>
    <d v="2026-01-16T00:00:00"/>
    <n v="1600"/>
    <n v="524246"/>
    <n v="134"/>
    <s v="Junior Lopes"/>
    <d v="2025-12-11T00:00:00"/>
    <d v="1899-12-30T11:33:08"/>
    <s v=""/>
    <s v="Perdido"/>
    <d v="2026-04-24T00:00:00"/>
    <d v="1899-12-30T09:04:14"/>
    <s v="Não quer mudar a solução atual"/>
    <s v="(24/04/2026) Conthey vai manter o servidor local , em breve caso necessário irá migrar para cloud"/>
    <s v=""/>
    <x v="157"/>
    <s v="Junior Lopes"/>
    <x v="169"/>
    <s v=""/>
    <d v="2026-04-24T00:00:00"/>
    <n v="80"/>
    <s v=""/>
    <s v=""/>
    <s v=""/>
    <s v=""/>
    <n v="1"/>
  </r>
  <r>
    <x v="1"/>
    <n v="736"/>
    <m/>
    <n v="2988"/>
    <s v=""/>
    <s v=""/>
    <x v="333"/>
    <m/>
    <s v=""/>
    <s v="Star - B2B"/>
    <s v="17997793113"/>
    <s v=""/>
    <s v="comercial@distribuidorastar.com.br"/>
    <s v=""/>
    <s v=""/>
    <s v=""/>
    <s v=""/>
    <s v=""/>
    <s v=""/>
    <s v=""/>
    <s v=""/>
    <s v="30%"/>
    <s v="Pipeline de Vendas"/>
    <s v="Em negociação (75%)"/>
    <s v=""/>
    <d v="2025-12-17T00:00:00"/>
    <n v="26200"/>
    <n v="3400"/>
    <n v="50"/>
    <s v="Junior Lopes"/>
    <d v="2025-12-11T00:00:00"/>
    <d v="1899-12-30T15:26:26"/>
    <s v=""/>
    <s v="Perdido"/>
    <d v="2026-01-30T00:00:00"/>
    <d v="1899-12-30T15:36:18"/>
    <s v="Projeto adiado / sem prazo definido"/>
    <s v="sem retorno"/>
    <s v=""/>
    <x v="158"/>
    <s v=""/>
    <x v="170"/>
    <s v="15/12/2025"/>
    <d v="2026-01-09T00:00:00"/>
    <m/>
    <s v=""/>
    <s v=""/>
    <s v=""/>
    <s v=""/>
    <n v="1"/>
  </r>
  <r>
    <x v="1"/>
    <n v="737"/>
    <m/>
    <n v="2989"/>
    <s v=""/>
    <s v=""/>
    <x v="334"/>
    <m/>
    <s v=""/>
    <s v="Tecelagem Castilho - Contábil"/>
    <s v="62993609476"/>
    <s v=""/>
    <s v="null"/>
    <s v=""/>
    <s v=""/>
    <s v=""/>
    <s v=""/>
    <s v=""/>
    <s v=""/>
    <s v=""/>
    <s v=""/>
    <s v="30%"/>
    <s v="Pipeline de Vendas"/>
    <s v="Em negociação (75%)"/>
    <s v=""/>
    <d v="2025-12-17T00:00:00"/>
    <n v="22824"/>
    <n v="68904"/>
    <n v="1"/>
    <s v="Junior Lopes"/>
    <d v="2025-12-11T00:00:00"/>
    <d v="1899-12-30T15:56:07"/>
    <s v=""/>
    <s v="Perdido"/>
    <d v="2025-12-12T00:00:00"/>
    <d v="1899-12-30T16:41:43"/>
    <s v="Projeto adiado / sem prazo definido"/>
    <s v="rto, obrigada_x000a_Dayane ! O módulo contábil faz sentido para vocês  ?_x000a_No momento não_x000a_Olá Dayane ! perfeito , ficamos a disposição ! um ótimo final de semana"/>
    <s v=""/>
    <x v="157"/>
    <s v=""/>
    <x v="171"/>
    <s v=""/>
    <d v="2025-12-12T00:00:00"/>
    <m/>
    <s v=""/>
    <s v=""/>
    <s v=""/>
    <s v=""/>
    <n v="1"/>
  </r>
  <r>
    <x v="1"/>
    <n v="739"/>
    <m/>
    <n v="2991"/>
    <s v=""/>
    <s v=""/>
    <x v="335"/>
    <m/>
    <s v=""/>
    <s v="Erca Alumínio - Imp.XML"/>
    <s v="19999989392"/>
    <s v=""/>
    <s v="null"/>
    <s v=""/>
    <s v=""/>
    <s v=""/>
    <s v=""/>
    <s v=""/>
    <s v=""/>
    <s v=""/>
    <s v=""/>
    <s v="30%"/>
    <s v="Pipeline de Vendas"/>
    <s v="Apresentar Proposta (50%)"/>
    <s v=""/>
    <d v="2025-12-31T00:00:00"/>
    <n v="3392"/>
    <n v="3564"/>
    <n v="76"/>
    <s v="Junior Lopes"/>
    <d v="2025-12-12T00:00:00"/>
    <d v="1899-12-30T12:21:40"/>
    <s v=""/>
    <s v="Perdido"/>
    <d v="2026-02-26T00:00:00"/>
    <d v="1899-12-30T09:21:39"/>
    <s v="Projeto adiado / sem prazo definido"/>
    <s v="sem retorno do cliente"/>
    <s v=""/>
    <x v="159"/>
    <s v="Junior Lopes"/>
    <x v="172"/>
    <s v=""/>
    <d v="2025-12-12T00:00:00"/>
    <n v="30"/>
    <s v=""/>
    <s v=""/>
    <s v=""/>
    <s v=""/>
    <n v="1"/>
  </r>
  <r>
    <x v="0"/>
    <n v="740"/>
    <m/>
    <n v="2994"/>
    <s v="Em conversa com o Valter ficou combinado de falar no dia 19/01, pois ele esta em viagem._x000a_23/01 Fiz contato com o Walter hoje para cobrar ele nossa agenda para a próxima semana._x000a_11/03 Fiz FUP com Valter, ele tem resistência em aceitar a proposta devido aos valores._x000a_20/03 Após tentativas de negociar não evoluiu porque o preço ficou fora do que o cliente gostaria de investir."/>
    <s v=""/>
    <x v="336"/>
    <m/>
    <s v=""/>
    <s v="Valter"/>
    <s v="11996577830"/>
    <s v=""/>
    <s v="vppeliciari@gmail.com"/>
    <s v=""/>
    <s v=""/>
    <s v=""/>
    <s v=""/>
    <s v=""/>
    <s v="Campanha"/>
    <s v=""/>
    <s v=""/>
    <s v="30%;Dentro Perfil;Instagram"/>
    <s v="Pipeline de Vendas"/>
    <s v="Em negociação (75%)"/>
    <s v=""/>
    <d v="2026-03-31T00:00:00"/>
    <n v="115520"/>
    <n v="65721"/>
    <n v="94"/>
    <s v="Paulo Souza"/>
    <d v="2025-12-16T00:00:00"/>
    <d v="1899-12-30T12:13:29"/>
    <s v=""/>
    <s v="Perdido"/>
    <d v="2026-03-20T00:00:00"/>
    <d v="1899-12-30T16:59:02"/>
    <s v="Preço muito alto - fora do budget de investimento"/>
    <s v=""/>
    <s v=""/>
    <x v="160"/>
    <s v="Paulo Souza"/>
    <x v="173"/>
    <s v=""/>
    <d v="2026-03-20T00:00:00"/>
    <n v="30"/>
    <s v=""/>
    <s v="ERP, PCP"/>
    <s v=""/>
    <s v=""/>
    <n v="1"/>
  </r>
  <r>
    <x v="1"/>
    <n v="741"/>
    <m/>
    <n v="2995"/>
    <s v="(16/01/2026) Entrei em contato com Allan ! segundo ele esta verificando com a diretoria sobre a sequencia no projeto ! informei que nossa proposta está vencida e que preciso de uma decisão urgente para nao  perdemos o valor _x000a_16/01/2026 em contato com Allan ! decidiu por nao dar sequencia nesse momento ! o motivo é por conta do investimento"/>
    <s v=""/>
    <x v="337"/>
    <m/>
    <s v=""/>
    <s v="Allan Kaynã Vargas"/>
    <s v="(49) 99929-0242"/>
    <s v=""/>
    <s v="comercial2@topten.net.br"/>
    <s v=""/>
    <s v=""/>
    <s v=""/>
    <s v="Guarujá do Sul"/>
    <s v=""/>
    <s v="Site"/>
    <s v=""/>
    <s v=""/>
    <s v="30%;Solicita demo"/>
    <s v="Pipeline de Vendas"/>
    <s v="Em negociação (75%)"/>
    <s v=""/>
    <d v="2026-01-31T00:00:00"/>
    <n v="44000"/>
    <n v="110248"/>
    <n v="31"/>
    <s v="Junior Lopes"/>
    <d v="2025-12-16T00:00:00"/>
    <d v="1899-12-30T17:29:27"/>
    <s v=""/>
    <s v="Perdido"/>
    <d v="2026-01-16T00:00:00"/>
    <d v="1899-12-30T15:55:46"/>
    <s v="Não houve aprovação financeira"/>
    <s v="16/01/2026 em contato com Allan ! decidiu por nao dar sequencia nesse momento ! o motivo é por conta do investimento"/>
    <s v=""/>
    <x v="161"/>
    <s v=""/>
    <x v="174"/>
    <s v="19/12/2025"/>
    <d v="2026-01-16T00:00:00"/>
    <m/>
    <s v=""/>
    <s v=""/>
    <s v=""/>
    <s v=""/>
    <n v="1"/>
  </r>
  <r>
    <x v="1"/>
    <n v="742"/>
    <m/>
    <n v="2996"/>
    <s v="(16/01/2026) Entrei em contato com Allan ! segundo ele esta verificando com a diretoria sobre a sequencia no projeto ! informei que nossa proposta está vencida e que preciso de uma decisão urgente para nao  perdemos o valor _x000a_16/01/2026 em contato com Allan ! decidiu por nao dar sequencia nesse momento ! o motivo é por conta do investimento"/>
    <s v=""/>
    <x v="338"/>
    <m/>
    <s v=""/>
    <s v="TopTem - AFV"/>
    <s v="49999290242"/>
    <s v=""/>
    <s v="comercial2@topten.net.br"/>
    <s v=""/>
    <s v=""/>
    <s v=""/>
    <s v=""/>
    <s v=""/>
    <s v=""/>
    <s v=""/>
    <s v=""/>
    <s v="30%"/>
    <s v="Pipeline de Vendas"/>
    <s v="Em negociação (75%)"/>
    <s v=""/>
    <d v="2026-01-31T00:00:00"/>
    <n v="8000"/>
    <n v="186599"/>
    <n v="31"/>
    <s v="Junior Lopes"/>
    <d v="2025-12-16T00:00:00"/>
    <d v="1899-12-30T17:31:43"/>
    <s v=""/>
    <s v="Perdido"/>
    <d v="2026-01-16T00:00:00"/>
    <d v="1899-12-30T15:56:44"/>
    <s v="Não houve aprovação financeira"/>
    <s v="16/01/2026 em contato com Allan ! decidiu por nao dar sequencia nesse momento ! o motivo é por conta do investimento"/>
    <s v=""/>
    <x v="161"/>
    <s v=""/>
    <x v="174"/>
    <s v="19/12/2025"/>
    <d v="2026-01-16T00:00:00"/>
    <m/>
    <s v=""/>
    <s v=""/>
    <s v=""/>
    <s v=""/>
    <n v="1"/>
  </r>
  <r>
    <x v="1"/>
    <n v="746"/>
    <m/>
    <n v="3004"/>
    <s v=""/>
    <s v=""/>
    <x v="339"/>
    <m/>
    <s v=""/>
    <s v="Atacado Sibras 1.99"/>
    <s v="4191190775"/>
    <s v=""/>
    <s v="andrearnpauli@hotmail.com"/>
    <s v=""/>
    <s v=""/>
    <s v=""/>
    <s v=""/>
    <s v=""/>
    <s v="Campanha"/>
    <s v=""/>
    <s v=""/>
    <s v="Fora Perfil;Instagram"/>
    <s v="Pipeline de Vendas"/>
    <s v="Agendamento (0%)"/>
    <s v=""/>
    <m/>
    <m/>
    <m/>
    <n v="135"/>
    <s v="Junior Lopes"/>
    <d v="2025-12-22T00:00:00"/>
    <d v="1899-12-30T08:30:48"/>
    <s v=""/>
    <s v="Perdido"/>
    <d v="2026-05-06T00:00:00"/>
    <d v="1899-12-30T16:31:41"/>
    <s v="Fora do porte mínimo (sem fit estrutural)"/>
    <s v="lojista"/>
    <s v=""/>
    <x v="0"/>
    <s v=""/>
    <x v="0"/>
    <s v=""/>
    <m/>
    <m/>
    <s v=""/>
    <s v=""/>
    <s v=""/>
    <s v=""/>
    <n v="1"/>
  </r>
  <r>
    <x v="1"/>
    <n v="747"/>
    <m/>
    <n v="3003"/>
    <s v=""/>
    <s v=""/>
    <x v="340"/>
    <m/>
    <s v=""/>
    <s v="BJ Engenharia"/>
    <s v="6195770926"/>
    <s v=""/>
    <s v="eduaniceto@engenhariabomjesus.com.br"/>
    <s v=""/>
    <s v=""/>
    <s v=""/>
    <s v=""/>
    <s v=""/>
    <s v="Campanha"/>
    <s v=""/>
    <s v=""/>
    <s v="Fora Perfil;Instagram"/>
    <s v="Pipeline de Vendas"/>
    <s v="Agendamento (0%)"/>
    <s v=""/>
    <m/>
    <m/>
    <m/>
    <n v="138"/>
    <s v="Junior Lopes"/>
    <d v="2025-12-22T00:00:00"/>
    <d v="1899-12-30T08:35:32"/>
    <s v=""/>
    <s v="Perdido"/>
    <d v="2026-05-09T00:00:00"/>
    <d v="1899-12-30T08:04:32"/>
    <s v="Fora do segmento atendido"/>
    <s v=""/>
    <s v=""/>
    <x v="0"/>
    <s v=""/>
    <x v="0"/>
    <s v=""/>
    <m/>
    <m/>
    <s v=""/>
    <s v=""/>
    <s v=""/>
    <s v=""/>
    <n v="1"/>
  </r>
  <r>
    <x v="1"/>
    <n v="748"/>
    <m/>
    <n v="3011"/>
    <s v="Lead entrou em contato no Whatsapp Business do Damián._x000a_(21/01/2026) 09:14, 21/01/2026 Junior Lopes: Olá Dário ! Bom dia , Td bem ?_x000a_09:30, 21/01/2026 Chavetas: Bom dia Júnior, td bem ? Estou a analisar as diversas empresas que tive contato, os prós e contras, porém com calma, para fazer algo que realmente atenda a necessidades._x000a_(21/01/2026) além do material que enviei para Dário , sugeri a ele uma visita comercial para apresentar nossas soluções _x000a_(29/01/2026) Estou alinhando com Dário mais uma rodada de apresentação ! ele esta indeciso em algumas opções concorrentes _x000a_(02/03/2026) em contato com Dário _x000a_Esta em analise com alguns ERPs, porem nada com previsão imediata devido a outras prioridades ! estou descartando e manterei contato via WhatsApp"/>
    <s v=""/>
    <x v="341"/>
    <n v="9260618000165"/>
    <s v=""/>
    <s v="Chavetas Comércio de Peças e Ferramentas Ltda."/>
    <s v="(11) 98183-5003"/>
    <s v=""/>
    <s v="dario@chavetasecia.com.br"/>
    <s v=""/>
    <s v=""/>
    <s v=""/>
    <s v=""/>
    <s v=""/>
    <s v="Campanha"/>
    <s v=""/>
    <s v=""/>
    <s v="30%;Dentro Perfil;Instagram"/>
    <s v="Pipeline de Vendas"/>
    <s v="Apresentar Solução (35%)"/>
    <s v=""/>
    <d v="2026-01-31T00:00:00"/>
    <m/>
    <m/>
    <n v="62"/>
    <s v="Junior Lopes"/>
    <d v="2025-12-30T00:00:00"/>
    <d v="1899-12-30T11:08:44"/>
    <s v=""/>
    <s v="Perdido"/>
    <d v="2026-03-02T00:00:00"/>
    <d v="1899-12-30T11:31:09"/>
    <s v="Não quer mudar a solução atual"/>
    <s v="(02/03/2026) em contato com Dário _x000a_Esta em analise com alguns ERPs, porem nada com previsão imediata devido a outras prioridades ! estou descartando e manterei contato via WhatsApp"/>
    <s v=""/>
    <x v="0"/>
    <s v="Junior Lopes"/>
    <x v="167"/>
    <s v=""/>
    <d v="2026-03-02T00:00:00"/>
    <n v="30"/>
    <s v=""/>
    <s v=""/>
    <s v=""/>
    <s v=""/>
    <n v="1"/>
  </r>
  <r>
    <x v="1"/>
    <n v="749"/>
    <m/>
    <n v="3006"/>
    <s v="(21/01/2026) em contato com Edilson _x000a_pediu para retornar contato no dia 26/01 pois esta bem corrido devido a um feriado na cidade ! ele pediu para enviar material sobre nossas soluções _x000a_(29/01/2026) Cliente esta analisando demais ferramentas ! estamos organizando apresentação do AFV _x000a_(18/02/2026) Edilson declinou por conta do valor acima da expectativa de investimento ! não ofertou contra proposta pq valor estava bem acima do esperado"/>
    <s v=""/>
    <x v="342"/>
    <n v="34667612000154"/>
    <s v=""/>
    <s v="ColorUnhas"/>
    <s v="(44) 9706-9580"/>
    <s v=""/>
    <s v="colorunhas@uol.com.br"/>
    <s v=""/>
    <s v=""/>
    <s v=""/>
    <s v="TELEMACO BORBA"/>
    <s v="PR"/>
    <s v="Campanha"/>
    <s v=""/>
    <s v=""/>
    <s v="30%;Dentro Perfil;Instagram"/>
    <s v="Pipeline de Vendas"/>
    <s v="Apresentar Proposta (50%)"/>
    <s v=""/>
    <d v="2026-02-28T00:00:00"/>
    <n v="1117015"/>
    <n v="468739"/>
    <n v="50"/>
    <s v="Junior Lopes"/>
    <d v="2025-12-30T00:00:00"/>
    <d v="1899-12-30T11:28:58"/>
    <s v=""/>
    <s v="Perdido"/>
    <d v="2026-02-18T00:00:00"/>
    <d v="1899-12-30T08:52:33"/>
    <s v="Não houve aprovação financeira"/>
    <s v="(18/02/2026) Edilson declinou por conta do valor acima da expectativa de investimento ! não ofertou contra proposta pq valor estava bem acima do esperado"/>
    <s v=""/>
    <x v="162"/>
    <s v="Junior Lopes"/>
    <x v="175"/>
    <s v="05/02/2026"/>
    <d v="2026-02-18T00:00:00"/>
    <n v="30"/>
    <s v=""/>
    <s v=""/>
    <s v=""/>
    <s v=""/>
    <n v="1"/>
  </r>
  <r>
    <x v="2"/>
    <n v="750"/>
    <m/>
    <n v="3016"/>
    <s v="Reunião agendada para o dia 23/01 _x000a_17-02 Cliente deu negativa no avanço do projeto,pois o valor ficou fora do que estão planejando _x000a_E receberam uma proposta comercial de 30mil de implantação e 4mil de mensalidade do sistema webmais_x000a_https://webmaissistemas.com.br/"/>
    <s v=""/>
    <x v="343"/>
    <n v="1574467000108"/>
    <s v=""/>
    <s v="Doce festa"/>
    <s v="17981152060"/>
    <s v=""/>
    <s v="paulopedroso@produtosdocefesta.com.br"/>
    <s v=""/>
    <s v=""/>
    <s v=""/>
    <s v=""/>
    <s v=""/>
    <s v="Campanha"/>
    <s v=""/>
    <s v=""/>
    <s v="50%;Dentro Perfil;Instagram"/>
    <s v="Pipeline de Vendas"/>
    <s v="Em negociação (75%)"/>
    <s v=""/>
    <d v="2026-03-31T00:00:00"/>
    <n v="12996348"/>
    <n v="860884"/>
    <n v="43"/>
    <s v="Rayssa Karapeticov"/>
    <d v="2026-01-05T00:00:00"/>
    <d v="1899-12-30T11:50:01"/>
    <s v=""/>
    <s v="Perdido"/>
    <d v="2026-02-17T00:00:00"/>
    <d v="1899-12-30T16:19:52"/>
    <s v="Preço muito alto - fora do budget de investimento"/>
    <s v=""/>
    <s v=""/>
    <x v="0"/>
    <s v="Rayssa Karapeticov"/>
    <x v="167"/>
    <s v="05/02/2026"/>
    <d v="2026-02-05T00:00:00"/>
    <n v="50"/>
    <s v=""/>
    <s v=""/>
    <s v=""/>
    <s v=""/>
    <n v="1"/>
  </r>
  <r>
    <x v="2"/>
    <n v="754"/>
    <m/>
    <n v="3017"/>
    <s v="Proposta feita,aguardando agenda do cliente para apresentar_x000a_Oi, Rayssa, tudo bem?_x000a_Estamos em processo de mudança de local e, por isso, essa semana está bem corrida por aqui. Acabei ficando sem tempo para conseguir conversar com calma agora."/>
    <s v="Irriga House Irrigacao Comercial Agricola Ltda"/>
    <x v="344"/>
    <n v="61516270000144"/>
    <s v=""/>
    <s v="Irriga house"/>
    <s v="11973112176"/>
    <s v=""/>
    <s v="vendas@irrigahouse.com.br"/>
    <s v=""/>
    <s v=""/>
    <s v=""/>
    <s v="JUNDIAI"/>
    <s v="SP"/>
    <s v="Campanha"/>
    <s v=""/>
    <s v=""/>
    <s v="30%;Dentro Perfil;Instagram"/>
    <s v="Pipeline de Vendas"/>
    <s v="Apresentar Proposta (50%)"/>
    <s v=""/>
    <d v="2026-04-30T00:00:00"/>
    <m/>
    <m/>
    <n v="13"/>
    <s v="Rayssa Karapeticov"/>
    <d v="2026-01-07T00:00:00"/>
    <d v="1899-12-30T10:16:04"/>
    <s v=""/>
    <s v="Perdido"/>
    <d v="2026-01-20T00:00:00"/>
    <d v="1899-12-30T17:15:42"/>
    <s v="Não quer mudar a solução atual"/>
    <s v=""/>
    <s v=""/>
    <x v="163"/>
    <s v="Rayssa Karapeticov"/>
    <x v="176"/>
    <s v=""/>
    <d v="2026-01-19T00:00:00"/>
    <m/>
    <s v=""/>
    <s v=""/>
    <s v=""/>
    <s v=""/>
    <n v="1"/>
  </r>
  <r>
    <x v="0"/>
    <n v="757"/>
    <m/>
    <n v="3046"/>
    <s v="Hoje (12/01/26) cobrei o Allan se ele tem interesse nas soluções da Guarani Sim ou Não. Por ele não atende minhas ligações. (13/01 - Chamei e liguei para o Allan, sem retorno._x000a_12/01 Fiz FUP, com Allan, fechou com uma empresa de menor e falou que se não se adaptar volta a fazer contato."/>
    <s v=""/>
    <x v="345"/>
    <m/>
    <s v=""/>
    <s v="Allan"/>
    <s v="12982018157"/>
    <s v=""/>
    <s v="e.mazala@hotmail.com"/>
    <s v=""/>
    <s v=""/>
    <s v=""/>
    <s v=""/>
    <s v=""/>
    <s v="Campanha"/>
    <s v=""/>
    <s v=""/>
    <s v="30%;Dentro Perfil;Instagram"/>
    <s v="Pipeline de Vendas"/>
    <s v="Qualificação de Vendas (SQL) (25%)"/>
    <s v=""/>
    <d v="2026-01-12T00:00:00"/>
    <m/>
    <m/>
    <n v="15"/>
    <s v="Paulo Souza"/>
    <d v="2026-01-08T00:00:00"/>
    <d v="1899-12-30T15:56:57"/>
    <s v=""/>
    <s v="Perdido"/>
    <d v="2026-01-23T00:00:00"/>
    <d v="1899-12-30T17:53:36"/>
    <s v="Fechou com o concorrente - preço"/>
    <s v="optou por uma empresa menor neste momento."/>
    <s v=""/>
    <x v="0"/>
    <s v="Paulo Souza"/>
    <x v="0"/>
    <s v=""/>
    <d v="2026-01-12T00:00:00"/>
    <m/>
    <s v=""/>
    <s v=""/>
    <s v=""/>
    <s v=""/>
    <n v="1"/>
  </r>
  <r>
    <x v="0"/>
    <n v="758"/>
    <m/>
    <n v="3048"/>
    <s v="Liberado em degustação por 7 dias e depois efetivar vendas ._x000a_Liberado a degustação em 12/01._x000a_19/01: Cobrei o Mario pra saber se esta tudo ok. E se iremos seguir ou não com a contratação._x000a_23/01 - Em conversa com o Mario, o suporte ainda esta configurando e após vai treinar e assim vou conseguir contabilizar os 7 dias de degustação e fechar o negocio._x000a_26/02 Não avançou."/>
    <s v=""/>
    <x v="346"/>
    <m/>
    <s v=""/>
    <s v="Mario"/>
    <s v="11982243773"/>
    <s v=""/>
    <s v="vendas1.jpdistribuidora@gmail.com"/>
    <s v=""/>
    <s v=""/>
    <s v=""/>
    <s v=""/>
    <s v=""/>
    <s v=""/>
    <s v=""/>
    <s v=""/>
    <s v="50%"/>
    <s v="Pipeline de Vendas"/>
    <s v="Em negociação (75%)"/>
    <s v=""/>
    <d v="2026-02-26T00:00:00"/>
    <n v="0"/>
    <n v="66"/>
    <n v="49"/>
    <s v="Paulo Souza"/>
    <d v="2026-01-08T00:00:00"/>
    <d v="1899-12-30T16:54:28"/>
    <s v=""/>
    <s v="Perdido"/>
    <d v="2026-02-26T00:00:00"/>
    <d v="1899-12-30T22:15:54"/>
    <s v="Não houve aprovação financeira"/>
    <s v=""/>
    <s v=""/>
    <x v="164"/>
    <s v="Paulo Souza"/>
    <x v="177"/>
    <s v=""/>
    <d v="2026-02-26T00:00:00"/>
    <n v="50"/>
    <s v="2"/>
    <s v="ADICIONAIS"/>
    <s v="R$ 0"/>
    <s v="R$ 66"/>
    <n v="1"/>
  </r>
  <r>
    <x v="0"/>
    <n v="759"/>
    <m/>
    <n v="3049"/>
    <s v="Fechado."/>
    <s v=""/>
    <x v="347"/>
    <n v="10345472000130"/>
    <s v=""/>
    <s v="Walter"/>
    <s v="19983040748"/>
    <s v=""/>
    <s v="walter@akitembembarato.com"/>
    <s v=""/>
    <s v=""/>
    <s v=""/>
    <s v=""/>
    <s v=""/>
    <s v=""/>
    <s v=""/>
    <s v=""/>
    <s v="90%"/>
    <s v="Pipeline de Vendas"/>
    <s v="Em Fechamento (100%)"/>
    <s v=""/>
    <d v="2026-01-31T00:00:00"/>
    <n v="1505387"/>
    <n v="27562"/>
    <n v="4"/>
    <s v="Paulo Souza"/>
    <d v="2026-01-08T00:00:00"/>
    <d v="1899-12-30T17:14:43"/>
    <s v=""/>
    <s v="Ganho"/>
    <d v="2026-01-12T00:00:00"/>
    <d v="1899-12-30T14:36:45"/>
    <s v=""/>
    <s v=""/>
    <s v=""/>
    <x v="164"/>
    <s v="Paulo Souza"/>
    <x v="177"/>
    <s v=""/>
    <m/>
    <m/>
    <s v=""/>
    <s v=""/>
    <s v=""/>
    <s v=""/>
    <n v="1"/>
  </r>
  <r>
    <x v="0"/>
    <n v="760"/>
    <m/>
    <n v="3050"/>
    <s v="Falei com o Robson hoje , questionando sobre a proposta e se tem alguma dúvida._x000a_23/01 - Fiz FUPs hoje com o Robson :_x000a_R: Bom dia Paulo, fiz umas considerações na proposta e farei uma reunia com os diretores para apresentação, na sequência quero marcar uma reunião com vocês para conversarmos._x000a_Eu espero te posicionar na próxima terça-feira._x000a_26/02 Alinhar com o Fernando a sequência dos itens que será abordados. E qual item já foi entregue e horas consumidas!_x000a_12/03 O projeto já iniciou e o combinado é que vai cobrar conforme entrega de etapas._x000a_12/03 O projeto já iniciou e o combinado é que vai cobrar conforme entrega de etapas._x000a_20/03 Após alinhamento foi criado pela implantação 10 etapas no projeto, para o acompanhamento e posterior fechamento de horas."/>
    <s v=""/>
    <x v="348"/>
    <n v="3204281000192"/>
    <s v=""/>
    <s v="Robson"/>
    <s v="(11) 4677-6249/ (11) 4677-6250"/>
    <s v=""/>
    <s v="contato@aluminionacional.com.br"/>
    <s v=""/>
    <s v=""/>
    <s v=""/>
    <s v="FERRAZ DE VASCONCELOS"/>
    <s v="SP"/>
    <s v=""/>
    <s v=""/>
    <s v=""/>
    <s v="90%"/>
    <s v="Pipeline de Vendas"/>
    <s v="Em Fechamento (100%)"/>
    <s v=""/>
    <d v="2026-03-31T00:00:00"/>
    <n v="58000"/>
    <n v="0"/>
    <n v="132"/>
    <s v="Paulo Souza"/>
    <d v="2026-01-08T00:00:00"/>
    <d v="1899-12-30T17:22:05"/>
    <s v=""/>
    <s v="Ativo"/>
    <m/>
    <m/>
    <s v=""/>
    <s v=""/>
    <s v=""/>
    <x v="165"/>
    <s v="Paulo Souza"/>
    <x v="178"/>
    <s v=""/>
    <d v="2026-03-20T00:00:00"/>
    <n v="90"/>
    <s v="290"/>
    <s v="TREINAMENTO"/>
    <s v="R$ 58.000,00"/>
    <s v="R$ 0"/>
    <n v="1"/>
  </r>
  <r>
    <x v="0"/>
    <n v="761"/>
    <m/>
    <n v="3053"/>
    <s v="Falei com a Enila e cobrei uma posição se vamos avançar ou não com o projeto. Ela ficou de conversar com o Glayson e me dar um retorno até 12/01/2026."/>
    <s v=""/>
    <x v="349"/>
    <n v="12585697000199"/>
    <s v=""/>
    <s v="Enila"/>
    <s v="(16) 3412-8794"/>
    <s v=""/>
    <s v="operacao@pcp.eng.br"/>
    <s v=""/>
    <s v=""/>
    <s v=""/>
    <s v="SAO CARLOS"/>
    <s v="SP"/>
    <s v=""/>
    <s v=""/>
    <s v=""/>
    <s v=""/>
    <s v="Pipeline de Vendas"/>
    <s v="Em negociação (75%)"/>
    <s v=""/>
    <d v="2026-01-31T00:00:00"/>
    <n v="8100"/>
    <n v="1080"/>
    <n v="4"/>
    <s v="Paulo Souza"/>
    <d v="2026-01-08T00:00:00"/>
    <d v="1899-12-30T17:28:40"/>
    <s v=""/>
    <s v="Perdido"/>
    <d v="2026-01-12T00:00:00"/>
    <d v="1899-12-30T14:31:42"/>
    <s v="Não quer mudar a solução atual"/>
    <s v=""/>
    <s v=""/>
    <x v="164"/>
    <s v="Paulo Souza"/>
    <x v="177"/>
    <s v=""/>
    <d v="2026-01-09T00:00:00"/>
    <m/>
    <s v=""/>
    <s v=""/>
    <s v=""/>
    <s v=""/>
    <n v="1"/>
  </r>
  <r>
    <x v="0"/>
    <n v="762"/>
    <m/>
    <n v="3040"/>
    <s v="Falei com o Ivan hoje que não me deu atenção avisou que estava no transito e não podia atender. Falou para chamar ele no zap e combinar um horário semana que vem. 13/01 - Retomei contato com o IVan e não obtive retorno._x000a_23/01 declinei a proposta por falta de interesse por parte do cliente, não me atendeu e nem respondeu meus contatos."/>
    <s v=""/>
    <x v="350"/>
    <m/>
    <s v=""/>
    <s v="Ivan"/>
    <s v="11930305063"/>
    <s v=""/>
    <s v="liraivan2000@yahoo.com.br"/>
    <s v=""/>
    <s v=""/>
    <s v=""/>
    <s v=""/>
    <s v=""/>
    <s v="Campanha"/>
    <s v=""/>
    <s v=""/>
    <s v="30%;Fora Perfil;Instagram"/>
    <s v="Pipeline de Vendas"/>
    <s v="Qualificação de Vendas (SQL) (25%)"/>
    <s v=""/>
    <d v="2026-01-23T00:00:00"/>
    <m/>
    <m/>
    <n v="15"/>
    <s v="Paulo Souza"/>
    <d v="2026-01-08T00:00:00"/>
    <d v="1899-12-30T17:34:33"/>
    <s v=""/>
    <s v="Perdido"/>
    <d v="2026-01-23T00:00:00"/>
    <d v="1899-12-30T17:56:12"/>
    <s v="Fora do porte mínimo (sem fit estrutural)"/>
    <s v=""/>
    <s v=""/>
    <x v="0"/>
    <s v="Paulo Souza"/>
    <x v="0"/>
    <s v=""/>
    <d v="2026-01-23T00:00:00"/>
    <m/>
    <s v=""/>
    <s v=""/>
    <s v=""/>
    <s v=""/>
    <n v="1"/>
  </r>
  <r>
    <x v="1"/>
    <n v="763"/>
    <m/>
    <n v="3058"/>
    <s v="(12/01/2026) Em contato com Bruno realizamos uma apresentação do força de vendas em 12/01/2026 e falamos um pouco sobre nosso ERP ! logo pediu uma ideia de investimento para seguir _x000a_(29/01/2026) Após envio de proposta cliente não respondeu mais"/>
    <s v=""/>
    <x v="351"/>
    <n v="55042933000133"/>
    <s v=""/>
    <s v="Folha Dourada Tabacos Ltda"/>
    <s v="(32) 8408-3586"/>
    <s v=""/>
    <s v="atacabaco@gmail.com"/>
    <s v=""/>
    <s v=""/>
    <s v=""/>
    <s v="JUIZ DE FORA"/>
    <s v="MG"/>
    <s v="Campanha"/>
    <s v=""/>
    <s v=""/>
    <s v="30%;Dentro Perfil;Instagram"/>
    <s v="Pipeline de Vendas"/>
    <s v="Apresentar Solução (35%)"/>
    <s v=""/>
    <d v="2026-01-31T00:00:00"/>
    <n v="61904"/>
    <n v="13156"/>
    <n v="20"/>
    <s v="Junior Lopes"/>
    <d v="2026-01-09T00:00:00"/>
    <d v="1899-12-30T11:15:37"/>
    <s v=""/>
    <s v="Perdido"/>
    <d v="2026-01-29T00:00:00"/>
    <d v="1899-12-30T14:30:59"/>
    <s v="Projeto adiado / sem prazo definido"/>
    <s v="(29/01/2026) Após envio de proposta cliente não respondeu mais"/>
    <s v=""/>
    <x v="166"/>
    <s v=""/>
    <x v="179"/>
    <s v=""/>
    <d v="2026-01-29T00:00:00"/>
    <m/>
    <s v=""/>
    <s v=""/>
    <s v=""/>
    <s v=""/>
    <n v="1"/>
  </r>
  <r>
    <x v="2"/>
    <n v="764"/>
    <m/>
    <n v="3007"/>
    <s v="Realizamos a apresentação do ERP junto com o  Max seguindo o documento deles de chekilist d aderencia do software, tiraram duvidas dos processos e seguiemos para uma segunda apresentação do AFV e Do BI_x000a_26/01 Video do AFV encaminhado ao cliente, _x000a_Precisamos de mais uma agenda para demonstração das demais soluções_x000a_26.01 - aguardando Fernando passar horas do projeto_x000a_05.02 estou tentando falar com o cliente a algum tempo,fizemos uma reunião para discutir pontos sobre o ERP. E após isso cliente pediu uma proposta comercial, porém para seguir eu precisava levantar alguns dados que não me foram enviados e depois de várias tentativas cliente não me respondeu_x000a_Após nossa reunião sobre o ERP, preparei os pontos necessários para avançarmos com a proposta comercial. No entanto, não recebi os dados solicitados para dar continuidade e, sem eles, não conseguimos evoluir._x000a_Gostaria de reforçar que esta solução representa uma oportunidade única de crescimento e ganho de eficiência para sua empresa. Cada semana de Como não tive nenhum retorno, entendo que não há interesse em seguir neste momento e encerrarei o processo. Ainda assim, permanecerei à disposição para retomar quando considerar oportuno._x000a_Atenciosamente,"/>
    <s v=""/>
    <x v="352"/>
    <n v="51776465000170"/>
    <s v=""/>
    <s v="CLS Química"/>
    <s v="16996298460"/>
    <s v=""/>
    <s v="keila.graciele@clsquimica.com.br"/>
    <s v=""/>
    <s v=""/>
    <s v=""/>
    <s v=""/>
    <s v=""/>
    <s v="Campanha"/>
    <s v=""/>
    <s v=""/>
    <s v="30%;Dentro Perfil;Instagram"/>
    <s v="Pipeline de Vendas"/>
    <s v="Apresentar Proposta (50%)"/>
    <s v=""/>
    <d v="2026-03-31T00:00:00"/>
    <m/>
    <m/>
    <n v="120"/>
    <s v="Rayssa Karapeticov"/>
    <d v="2026-01-09T00:00:00"/>
    <d v="1899-12-30T11:44:25"/>
    <s v=""/>
    <s v="Perdido"/>
    <d v="2026-05-09T00:00:00"/>
    <d v="1899-12-30T08:32:37"/>
    <s v="Não quer mudar a solução atual"/>
    <s v=""/>
    <s v=""/>
    <x v="0"/>
    <s v="Rayssa Karapeticov"/>
    <x v="180"/>
    <s v=""/>
    <d v="2026-01-28T00:00:00"/>
    <m/>
    <s v=""/>
    <s v=""/>
    <s v=""/>
    <s v=""/>
    <n v="1"/>
  </r>
  <r>
    <x v="0"/>
    <n v="766"/>
    <m/>
    <n v="3063"/>
    <s v="Tiago, retorna apena no dia 15/01, data que retomo o contato com ele._x000a_23/01 - Fechamos negocio."/>
    <s v=""/>
    <x v="353"/>
    <m/>
    <s v=""/>
    <s v="Tiago"/>
    <s v="11971597112"/>
    <s v=""/>
    <s v="null"/>
    <s v=""/>
    <s v=""/>
    <s v=""/>
    <s v=""/>
    <s v=""/>
    <s v=""/>
    <s v=""/>
    <s v=""/>
    <s v="90%;Fabio Indica"/>
    <s v="Pipeline de Vendas"/>
    <s v="Em Fechamento (100%)"/>
    <s v=""/>
    <d v="2026-01-15T00:00:00"/>
    <n v="56100"/>
    <n v="67334"/>
    <n v="14"/>
    <s v="Paulo Souza"/>
    <d v="2026-01-09T00:00:00"/>
    <d v="1899-12-30T15:28:21"/>
    <s v=""/>
    <s v="Ganho"/>
    <d v="2026-01-23T00:00:00"/>
    <d v="1899-12-30T11:05:59"/>
    <s v=""/>
    <s v=""/>
    <s v=""/>
    <x v="164"/>
    <s v="Paulo Souza"/>
    <x v="181"/>
    <s v=""/>
    <d v="2026-01-15T00:00:00"/>
    <m/>
    <s v=""/>
    <s v=""/>
    <s v=""/>
    <s v=""/>
    <n v="1"/>
  </r>
  <r>
    <x v="0"/>
    <n v="767"/>
    <m/>
    <n v="3064"/>
    <s v="Cobrei o André hoje aguardando o retorno sobre a evolução do projeto._x000a_19/01 Fiz FUP com o Andre ele me posicionou que o presidente esta afastado por motivos de saúde e que como ele que decide, só na volta dele para avança. A previsão e que ele retorne na semana do dia 26/1._x000a_07/02 Fiz fup hoje com o André e aguardo a posição dele se a diretoria retornou e se vamos seguir ou não com o projeto._x000a_27/02 Por falta de retorno por parte do cliente, estou declinando a proposta."/>
    <s v=""/>
    <x v="354"/>
    <m/>
    <s v=""/>
    <s v="Andre"/>
    <s v="11982745856"/>
    <s v=""/>
    <s v="andrefelipone@olealimentos.com.br"/>
    <s v=""/>
    <s v=""/>
    <s v=""/>
    <s v=""/>
    <s v=""/>
    <s v=""/>
    <s v=""/>
    <s v=""/>
    <s v="30%;Fabio Indica"/>
    <s v="Pipeline de Vendas"/>
    <s v="Em negociação (75%)"/>
    <s v=""/>
    <d v="2026-01-31T00:00:00"/>
    <n v="16000"/>
    <n v="18330"/>
    <n v="49"/>
    <s v="Paulo Souza"/>
    <d v="2026-01-09T00:00:00"/>
    <d v="1899-12-30T15:38:45"/>
    <s v=""/>
    <s v="Perdido"/>
    <d v="2026-02-27T00:00:00"/>
    <d v="1899-12-30T21:22:05"/>
    <s v="Preço muito alto - fora do budget de investimento"/>
    <s v=""/>
    <s v=""/>
    <x v="167"/>
    <s v="Paulo Souza"/>
    <x v="178"/>
    <s v=""/>
    <d v="2026-01-19T00:00:00"/>
    <n v="30"/>
    <s v="80"/>
    <s v="AFV"/>
    <s v="R$ 16.000"/>
    <s v="R$ 18.330"/>
    <n v="1"/>
  </r>
  <r>
    <x v="2"/>
    <n v="768"/>
    <m/>
    <n v="2107"/>
    <s v="11:25, 1/13/2026 +55 47 8834-5510: Bom dia Rayssa. Tudo bem?_x000a_11:25, 1/13/2026 +55 47 8834-5510: Aguarde um pouco antes de continuar a RFP._x000a_11:25, 1/13/2026 Rayssa Karapeticov - Comercial - Guarani Sistemas: Tudo otimo e  você?_x000a_Blzinha_x000a_11:28, 1/13/2026 +55 47 8834-5510: Existem alguns itens que observei e conversei com as áreas envolvidas, e que são difícil de negociar, comparado com outros fabricantes que já estão também participando._x000a_11:29, 1/13/2026 +55 47 8834-5510: Vamos deixar nesse momento suspenso o processo de RFP com vcs, e caso ocorra alguma mudança muito grande com aqueles que estão participando, eu aviso a necessidade de retomar ok?_x000a_11:29, 1/13/2026 +55 47 8834-5510: Agradeço demais seu tempo até aqui, e é realmente para evitar um trabalho maior agora, que tz não seja possível avançar depois._x000a_11:30, 1/13/2026 +55 47 8834-5510: 🙏🏻🙏🏻🙏🏻🙏🏻_x000a_11:30, 1/13/2026 Rayssa Karapeticov - Comercial - Guarani Sistemas: Entendo perfeitamente, para resgistro de feedback, quais são esses pontos?_x000a_11:32, 1/13/2026 +55 47 8834-5510: Em especial itens de tecnologia, e alguns pontos das áreas de negócio já preenchidas. _x000a_Fiz um bate papo com a equipe para olharmos oq já foi preenchido, e relacionamos com os demais fabricantes que estão participando._x000a_11:33, 1/13/2026 Rayssa Karapeticov - Comercial - Guarani Sistemas: Certo, fico a disposição aqui caso queira continuar. _x000a_Qualquer duvida também pode me chamar_x000a_11:33, 1/13/2026 +55 47 8834-5510: Como o objetivo é seguir a prox fase com no máx 3 fabricantes, outros fabricantes já se enquadraram melhor no que estamos buscando._x000a_11:33, 1/13/2026 +55 47 8834-5510: Mas se algo mudar durante o processo, eu aviso. Muito obrigadoooo!!!_x000a_11:34, 1/13/2026 Rayssa Karapeticov - Comercial - Guarani Sistemas: Combinado"/>
    <s v="Maral Industria E Comercio De Brinquedos Ltda"/>
    <x v="355"/>
    <n v="10469551000152"/>
    <s v=""/>
    <s v="Carlos Alberto Kuehl"/>
    <s v="(47) 3387-5400/ (47) 3394-0982"/>
    <s v=""/>
    <s v="contato@maral.ind.br"/>
    <s v=""/>
    <s v=""/>
    <s v=""/>
    <s v="POMERODE"/>
    <s v="SC"/>
    <s v="Base de empresas Leads2b"/>
    <s v=""/>
    <s v=""/>
    <s v="30%;Dentro Perfil;Feiras"/>
    <s v="Pipeline de Vendas"/>
    <s v="Qualificação de Vendas (SQL) (25%)"/>
    <s v=""/>
    <d v="2026-04-30T00:00:00"/>
    <m/>
    <m/>
    <n v="11"/>
    <s v="Rayssa Karapeticov"/>
    <d v="2026-01-09T00:00:00"/>
    <d v="1899-12-30T16:53:32"/>
    <s v=""/>
    <s v="Perdido"/>
    <d v="2026-01-20T00:00:00"/>
    <d v="1899-12-30T17:10:21"/>
    <s v="Fechou com o concorrente - preço"/>
    <s v=""/>
    <s v=""/>
    <x v="0"/>
    <s v=""/>
    <x v="0"/>
    <s v=""/>
    <d v="2026-01-13T00:00:00"/>
    <m/>
    <s v=""/>
    <s v=""/>
    <s v=""/>
    <s v=""/>
    <n v="1"/>
  </r>
  <r>
    <x v="0"/>
    <n v="769"/>
    <m/>
    <n v="2997"/>
    <s v="Falei com o Kleber hoje novamente e estou aguardando ele me dar um retorno sobre agenda. 13/01 - Fiz contato com o Kleber para saber se tem interesse ou não em seguir,"/>
    <s v=""/>
    <x v="356"/>
    <m/>
    <s v=""/>
    <s v="Kleber"/>
    <s v="11991898161"/>
    <s v=""/>
    <s v="kleber.ppbh@gmail.com"/>
    <s v=""/>
    <s v=""/>
    <s v=""/>
    <s v=""/>
    <s v=""/>
    <s v="Campanha"/>
    <s v=""/>
    <s v=""/>
    <s v="30%;Dentro Perfil;Instagram"/>
    <s v="Pipeline de Vendas"/>
    <s v="Qualificação de Vendas (SQL) (25%)"/>
    <s v=""/>
    <d v="2026-01-31T00:00:00"/>
    <m/>
    <m/>
    <n v="1"/>
    <s v="Paulo Souza"/>
    <d v="2026-01-12T00:00:00"/>
    <d v="1899-12-30T17:30:01"/>
    <s v=""/>
    <s v="Perdido"/>
    <d v="2026-01-13T00:00:00"/>
    <d v="1899-12-30T17:30:51"/>
    <s v="Não quer mudar a solução atual"/>
    <s v=""/>
    <s v=""/>
    <x v="0"/>
    <s v="Paulo Souza"/>
    <x v="0"/>
    <s v=""/>
    <m/>
    <m/>
    <s v=""/>
    <s v=""/>
    <s v=""/>
    <s v=""/>
    <n v="1"/>
  </r>
  <r>
    <x v="0"/>
    <n v="770"/>
    <m/>
    <n v="3005"/>
    <s v="Falei Com Omar hoje 12/01 e ele falou que retorna de viagem dia 15/01 e é para procurá-lo._x000a_23/01 Fiz FUP hoje como o Omar, para avançar com uma agenda na quinta ou sexta da semana do dia 26/01. Aguardando o retorno do cleinte._x000a_09/02/26 Fiz fup e ele acabou fechando com um sistema pequeno."/>
    <s v=""/>
    <x v="357"/>
    <n v="18190972000151"/>
    <s v=""/>
    <s v="Zini home"/>
    <s v="12997937887"/>
    <s v=""/>
    <s v="omar@zinihome.com.br"/>
    <s v=""/>
    <s v=""/>
    <s v=""/>
    <s v=""/>
    <s v=""/>
    <s v="Campanha"/>
    <s v=""/>
    <s v=""/>
    <s v="30%;Dentro Perfil;Instagram"/>
    <s v="Pipeline de Vendas"/>
    <s v="Qualificação de Vendas (SQL) (25%)"/>
    <s v=""/>
    <d v="2026-01-31T00:00:00"/>
    <m/>
    <m/>
    <n v="38"/>
    <s v="Paulo Souza"/>
    <d v="2026-01-12T00:00:00"/>
    <d v="1899-12-30T17:33:46"/>
    <s v=""/>
    <s v="Perdido"/>
    <d v="2026-02-19T00:00:00"/>
    <d v="1899-12-30T17:50:16"/>
    <s v="Fechou com o concorrente - preço"/>
    <s v=""/>
    <s v=""/>
    <x v="0"/>
    <s v="Paulo Souza"/>
    <x v="0"/>
    <s v=""/>
    <d v="2026-01-23T00:00:00"/>
    <n v="30"/>
    <s v=""/>
    <s v=""/>
    <s v=""/>
    <s v=""/>
    <n v="1"/>
  </r>
  <r>
    <x v="0"/>
    <n v="771"/>
    <m/>
    <n v="3001"/>
    <s v="Fernando , esta de féria e só vamos conseguir realizar o bate-papo após o seu retorno. O previsto é no dia 16/01/2026._x000a_23/01 Fiz FUP hoje com o Fernando para agendar uma reunião na semana que vem , na quarta ou quinta._x000a_05/02 Fiz FUP hoje com o Fernando, e ele cancelou a nossa reunião das 10h. Fiz uma nova agenda para o dia 11/02 às 15h!_x000a_12/03  Fiz FUP com o Fernando afim de saber se ele vai querer continuar ou nao._x000a_12/03 Por falta de interesse estou declinando o lead. Após apresentar a solução o cliente esfriou e sumiu não dando retorno._x000a_20/03 Fiz FUP e cobrei o Fernando se seguiremos ou não com o projeto."/>
    <s v=""/>
    <x v="358"/>
    <m/>
    <s v=""/>
    <s v="Russa Diatribuidora"/>
    <s v="11991303160"/>
    <s v=""/>
    <s v="fernando@russadistribuidora.com.br"/>
    <s v=""/>
    <s v=""/>
    <s v=""/>
    <s v=""/>
    <s v=""/>
    <s v="Campanha"/>
    <s v=""/>
    <s v=""/>
    <s v="30%;Dentro Perfil;Instagram"/>
    <s v="Pipeline de Vendas"/>
    <s v="Em negociação (75%)"/>
    <s v=""/>
    <d v="2026-03-31T00:00:00"/>
    <n v="6840289"/>
    <n v="44907"/>
    <n v="126"/>
    <s v="Paulo Souza"/>
    <d v="2026-01-12T00:00:00"/>
    <d v="1899-12-30T17:38:29"/>
    <s v=""/>
    <s v="Perdido"/>
    <d v="2026-05-18T00:00:00"/>
    <d v="1899-12-30T16:52:10"/>
    <s v="Não era o decisor - sem acesso"/>
    <s v=""/>
    <s v=""/>
    <x v="168"/>
    <s v="Paulo Souza"/>
    <x v="182"/>
    <s v=""/>
    <d v="2026-04-20T00:00:00"/>
    <n v="30"/>
    <s v=""/>
    <s v="ERP, AFV"/>
    <s v=""/>
    <s v=""/>
    <n v="1"/>
  </r>
  <r>
    <x v="0"/>
    <n v="772"/>
    <m/>
    <n v="3008"/>
    <s v="Após conversa com Everaldo ele informou que el loja de varejo e não vamos atender varejo em 2026"/>
    <s v=""/>
    <x v="359"/>
    <m/>
    <s v=""/>
    <s v="Everaldo"/>
    <s v="(21) 96439-0742"/>
    <s v=""/>
    <s v="e.leonardojr@hotmail.com"/>
    <s v=""/>
    <s v=""/>
    <s v=""/>
    <s v="Rio de Janeiro"/>
    <s v=""/>
    <s v="Site"/>
    <s v=""/>
    <s v=""/>
    <s v="30%"/>
    <s v="Pipeline de Vendas"/>
    <s v="Qualificação de Vendas (SQL) (25%)"/>
    <s v=""/>
    <d v="2026-01-31T00:00:00"/>
    <m/>
    <m/>
    <n v="0"/>
    <s v="Paulo Souza"/>
    <d v="2026-01-12T00:00:00"/>
    <d v="1899-12-30T17:43:14"/>
    <s v=""/>
    <s v="Perdido"/>
    <d v="2026-01-12T00:00:00"/>
    <d v="1899-12-30T22:28:23"/>
    <s v="Fora do porte mínimo (sem fit estrutural)"/>
    <s v=""/>
    <s v=""/>
    <x v="0"/>
    <s v="Paulo Souza"/>
    <x v="0"/>
    <s v=""/>
    <m/>
    <m/>
    <s v=""/>
    <s v=""/>
    <s v=""/>
    <s v=""/>
    <n v="1"/>
  </r>
  <r>
    <x v="0"/>
    <n v="773"/>
    <m/>
    <n v="3000"/>
    <s v="Falei com o Joao hoje 12/01 e combinamos de conversa na segunda dia 15/01._x000a_23/01 Fiz FUP hoje com o João para agendar uma apresentação na próxima semana."/>
    <s v=""/>
    <x v="360"/>
    <m/>
    <s v=""/>
    <s v="João"/>
    <s v="(17) 98126-9337"/>
    <s v=""/>
    <s v="joao@stokfrios.com.br"/>
    <s v=""/>
    <s v=""/>
    <s v=""/>
    <s v="São José do Rio Preto"/>
    <s v=""/>
    <s v="Site"/>
    <s v=""/>
    <s v=""/>
    <s v="30%;Contato;Solicita demo"/>
    <s v="Inbound"/>
    <s v="Novos Leads (0%)"/>
    <s v=""/>
    <d v="2026-01-31T00:00:00"/>
    <m/>
    <m/>
    <n v="128"/>
    <s v="Paulo Souza"/>
    <d v="2026-01-12T00:00:00"/>
    <d v="1899-12-30T17:46:12"/>
    <s v=""/>
    <s v="Ativo"/>
    <m/>
    <m/>
    <s v=""/>
    <s v=""/>
    <s v=""/>
    <x v="0"/>
    <s v="Paulo Souza"/>
    <x v="0"/>
    <s v=""/>
    <d v="2026-01-23T00:00:00"/>
    <n v="30"/>
    <s v=""/>
    <s v=""/>
    <s v=""/>
    <s v=""/>
    <n v="1"/>
  </r>
  <r>
    <x v="1"/>
    <n v="774"/>
    <m/>
    <n v="3067"/>
    <s v="(14/01/2026)Em contato com Marcelo para entender mais sobre sua empresa e necessidades _x000a_(20/01/2026) em contato com André, sua confecção é de camisetas, uniformes, bonés ! existem algumas particularidades que necessitam no software como grades de cores e tamanhos e algumas particularidades para confecção ! atende cliente final B2C ! cliente de operação pequena que não esta na hora de embarcar com Guarani devido ao valor de investimento"/>
    <s v=""/>
    <x v="361"/>
    <m/>
    <s v=""/>
    <s v="Atacado Delfino"/>
    <s v="51986006121"/>
    <s v=""/>
    <s v="dhcamisetas@terra.com.br"/>
    <s v=""/>
    <s v=""/>
    <s v=""/>
    <s v=""/>
    <s v=""/>
    <s v="Campanha"/>
    <s v=""/>
    <s v=""/>
    <s v="30%;Fora Perfil;Instagram"/>
    <s v="Pipeline de Vendas"/>
    <s v="Qualificação de Vendas (SQL) (25%)"/>
    <s v=""/>
    <d v="2026-01-31T00:00:00"/>
    <m/>
    <m/>
    <n v="26"/>
    <s v="Paulo Souza"/>
    <d v="2026-01-12T00:00:00"/>
    <d v="1899-12-30T21:53:02"/>
    <s v=""/>
    <s v="Perdido"/>
    <d v="2026-02-07T00:00:00"/>
    <d v="1899-12-30T07:42:39"/>
    <s v="Fora do porte mínimo (sem fit estrutural)"/>
    <s v=""/>
    <s v=""/>
    <x v="0"/>
    <s v="Junior Lopes"/>
    <x v="0"/>
    <s v=""/>
    <d v="2026-01-20T00:00:00"/>
    <m/>
    <s v=""/>
    <s v=""/>
    <s v=""/>
    <s v=""/>
    <n v="1"/>
  </r>
  <r>
    <x v="1"/>
    <n v="775"/>
    <m/>
    <n v="3069"/>
    <s v="(14/01/2026) Após tentativa por ligação foi efetuado tentativa de contato via WhatsApp conforme mensagem abaixo : _x000a_(16/01/2026) tentei novamente contato via telefone com Nykollas porem sem retorno ! estou declinando oportunidade_x000a_16:31, 12/01/2026 Junior Lopes: Olá Nycollas , boa tarde_x000a_16:32, 12/01/2026 Junior Lopes: Sou Junior Lopes da Guarani sistemas! Td bem ?_x000a_11:56, 14/01/2026 Junior Lopes: Olá Boa tarde !  _x000a_Estamos retornando seu contato sobre nossas soluções em ERP ! Qual melhor horário para falarmos ?"/>
    <s v=""/>
    <x v="362"/>
    <m/>
    <s v=""/>
    <s v="BK COMÉRCIO LTDA"/>
    <s v="92988541804"/>
    <s v=""/>
    <s v="nykollaskelvyn86@gmail.com"/>
    <s v=""/>
    <s v=""/>
    <s v=""/>
    <s v=""/>
    <s v=""/>
    <s v="Campanha"/>
    <s v=""/>
    <s v=""/>
    <s v="30%;Fora Perfil;Instagram"/>
    <s v="Pipeline de Vendas"/>
    <s v="Qualificação de Vendas (SQL) (25%)"/>
    <s v=""/>
    <d v="2026-01-31T00:00:00"/>
    <m/>
    <m/>
    <n v="26"/>
    <s v="Paulo Souza"/>
    <d v="2026-01-12T00:00:00"/>
    <d v="1899-12-30T21:53:50"/>
    <s v=""/>
    <s v="Perdido"/>
    <d v="2026-02-07T00:00:00"/>
    <d v="1899-12-30T07:50:15"/>
    <s v="Fora do porte mínimo (sem fit estrutural)"/>
    <s v=""/>
    <s v=""/>
    <x v="0"/>
    <s v="Junior Lopes"/>
    <x v="0"/>
    <s v=""/>
    <d v="2026-01-16T00:00:00"/>
    <m/>
    <s v=""/>
    <s v=""/>
    <s v=""/>
    <s v=""/>
    <n v="1"/>
  </r>
  <r>
    <x v="2"/>
    <n v="776"/>
    <m/>
    <n v="3041"/>
    <s v="Não consegui retorno nem contato"/>
    <s v=""/>
    <x v="363"/>
    <m/>
    <s v=""/>
    <s v="Fisiohosp"/>
    <s v="6596658787"/>
    <s v=""/>
    <s v="contabilfisio2024@gmail.com"/>
    <s v=""/>
    <s v=""/>
    <s v=""/>
    <s v=""/>
    <s v=""/>
    <s v="Campanha"/>
    <s v=""/>
    <s v=""/>
    <s v="30%;Fora Perfil;Instagram"/>
    <s v="Pipeline de Vendas"/>
    <s v="Qualificação de Vendas (SQL) (25%)"/>
    <s v=""/>
    <d v="2026-01-31T00:00:00"/>
    <m/>
    <m/>
    <n v="105"/>
    <s v="Paulo Souza"/>
    <d v="2026-01-12T00:00:00"/>
    <d v="1899-12-30T21:57:54"/>
    <s v=""/>
    <s v="Perdido"/>
    <d v="2026-04-27T00:00:00"/>
    <d v="1899-12-30T16:00:34"/>
    <s v="Fora do porte mínimo (sem fit estrutural)"/>
    <s v=""/>
    <s v=""/>
    <x v="0"/>
    <s v="Junior Lopes"/>
    <x v="0"/>
    <s v=""/>
    <d v="2026-04-13T00:00:00"/>
    <n v="30"/>
    <s v=""/>
    <s v=""/>
    <s v=""/>
    <s v=""/>
    <n v="1"/>
  </r>
  <r>
    <x v="2"/>
    <n v="777"/>
    <m/>
    <n v="3047"/>
    <s v="cliente marcou uma reunião na sexta porém não entrou no link estou tentando reagendar mas não deu retorno"/>
    <s v=""/>
    <x v="364"/>
    <m/>
    <s v=""/>
    <s v="Vida Fitness"/>
    <s v="71996614629"/>
    <s v=""/>
    <s v="vidafitness@outlook.com.br"/>
    <s v=""/>
    <s v=""/>
    <s v=""/>
    <s v=""/>
    <s v=""/>
    <s v="Campanha"/>
    <s v=""/>
    <s v=""/>
    <s v="30%;Fora Perfil;Instagram"/>
    <s v="Pipeline de Vendas"/>
    <s v="Qualificação de Vendas (SQL) (25%)"/>
    <s v=""/>
    <d v="2026-01-31T00:00:00"/>
    <m/>
    <m/>
    <n v="26"/>
    <s v="Paulo Souza"/>
    <d v="2026-01-12T00:00:00"/>
    <d v="1899-12-30T21:58:55"/>
    <s v=""/>
    <s v="Perdido"/>
    <d v="2026-02-07T00:00:00"/>
    <d v="1899-12-30T07:47:45"/>
    <s v="Fora do porte mínimo (sem fit estrutural)"/>
    <s v=""/>
    <s v=""/>
    <x v="0"/>
    <s v="Rayssa Karapeticov"/>
    <x v="0"/>
    <s v=""/>
    <d v="2026-01-16T00:00:00"/>
    <m/>
    <s v=""/>
    <s v=""/>
    <s v=""/>
    <s v=""/>
    <n v="1"/>
  </r>
  <r>
    <x v="2"/>
    <n v="778"/>
    <m/>
    <n v="3059"/>
    <s v="Bom dia Luan, como vai?_x000a_Estou tentando contato com você para entender sua solicitação para conhecer nossos sistemas._x000a_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_x000a_Vou deixar uma apresentação de nossa empresa e quando tiver um tempo disponivel por retornar o contato"/>
    <s v=""/>
    <x v="365"/>
    <n v="30250062000112"/>
    <s v=""/>
    <s v="HORTODASACACIAS"/>
    <s v="21966014543"/>
    <s v=""/>
    <s v="financeiro1@hortodasacacias.com.br"/>
    <s v=""/>
    <s v=""/>
    <s v=""/>
    <s v="RIO DE JANEIRO"/>
    <s v="RJ"/>
    <s v="Campanha"/>
    <s v=""/>
    <s v=""/>
    <s v="30%;Fora Perfil;Instagram"/>
    <s v="Pipeline de Vendas"/>
    <s v="Qualificação de Vendas (SQL) (25%)"/>
    <s v=""/>
    <d v="2026-01-31T00:00:00"/>
    <m/>
    <m/>
    <n v="2"/>
    <s v="Paulo Souza"/>
    <d v="2026-01-12T00:00:00"/>
    <d v="1899-12-30T22:00:47"/>
    <s v=""/>
    <s v="Perdido"/>
    <d v="2026-01-14T00:00:00"/>
    <d v="1899-12-30T11:54:09"/>
    <s v="Fora do porte mínimo (sem fit estrutural)"/>
    <s v=""/>
    <s v=""/>
    <x v="0"/>
    <s v="Rayssa Karapeticov"/>
    <x v="0"/>
    <s v=""/>
    <d v="2026-01-13T00:00:00"/>
    <m/>
    <s v=""/>
    <s v=""/>
    <s v=""/>
    <s v=""/>
    <n v="1"/>
  </r>
  <r>
    <x v="2"/>
    <n v="779"/>
    <m/>
    <n v="3066"/>
    <s v="Empresa fora do perfil, vendem produto porta a porta e o contato é  vendedor"/>
    <s v=""/>
    <x v="366"/>
    <n v="22422233000115"/>
    <s v=""/>
    <s v="Devons Hair"/>
    <s v="(41) 9900-2255 / (41) 8428-6900 / (18) 3361-4423"/>
    <s v=""/>
    <s v="denilribeiro@gmail.com"/>
    <s v=""/>
    <s v=""/>
    <s v=""/>
    <s v="CAMPO LARGO"/>
    <s v="PR"/>
    <s v="Campanha"/>
    <s v=""/>
    <s v=""/>
    <s v="30%;Fora Perfil;Instagram"/>
    <s v="Pipeline de Vendas"/>
    <s v="Qualificação de Vendas (SQL) (25%)"/>
    <s v=""/>
    <d v="2026-01-31T00:00:00"/>
    <m/>
    <m/>
    <n v="4"/>
    <s v="Paulo Souza"/>
    <d v="2026-01-12T00:00:00"/>
    <d v="1899-12-30T22:01:35"/>
    <s v=""/>
    <s v="Perdido"/>
    <d v="2026-01-16T00:00:00"/>
    <d v="1899-12-30T09:34:44"/>
    <s v="Fora do porte mínimo (sem fit estrutural)"/>
    <s v=""/>
    <s v=""/>
    <x v="0"/>
    <s v="Rayssa Karapeticov"/>
    <x v="0"/>
    <s v=""/>
    <d v="2026-01-16T00:00:00"/>
    <m/>
    <s v=""/>
    <s v=""/>
    <s v=""/>
    <s v=""/>
    <n v="1"/>
  </r>
  <r>
    <x v="0"/>
    <n v="780"/>
    <m/>
    <n v="3068"/>
    <s v="Hoje 13/01 busquei agenda com o Ricardo sem sucesso._x000a_23/01 Fiz FUP hoje com o Ricardo para saber se ele quer ou nao seguir , pois ele não retorna os mus contatos._x000a_23/01 o numero estava errado , consegui o numero certo e retomei os contatos sem sucesso no retorno ainda. _x000a_07/02 Após diversas tentativa de contato com o Ricardo sem sucesso estou declinando a oportunidade."/>
    <s v=""/>
    <x v="367"/>
    <m/>
    <s v=""/>
    <s v="Deltamed Comércio e Servicos Ltda"/>
    <s v="51997766708"/>
    <s v=""/>
    <s v="rrnnaa@gmail.com"/>
    <s v=""/>
    <s v=""/>
    <s v=""/>
    <s v=""/>
    <s v=""/>
    <s v="Campanha"/>
    <s v=""/>
    <s v=""/>
    <s v="30%;Fora Perfil;Instagram"/>
    <s v="Pipeline de Vendas"/>
    <s v="Qualificação de Vendas (SQL) (25%)"/>
    <s v=""/>
    <d v="2026-01-31T00:00:00"/>
    <m/>
    <m/>
    <n v="26"/>
    <s v="Paulo Souza"/>
    <d v="2026-01-12T00:00:00"/>
    <d v="1899-12-30T22:02:28"/>
    <s v=""/>
    <s v="Perdido"/>
    <d v="2026-02-07T00:00:00"/>
    <d v="1899-12-30T07:27:31"/>
    <s v="Fora do porte mínimo (sem fit estrutural)"/>
    <s v="07/02 Após diversas tentativa de contato com o Ricardo sem sucesso estou declinando a oportunidade."/>
    <s v=""/>
    <x v="0"/>
    <s v="Paulo Souza"/>
    <x v="0"/>
    <s v=""/>
    <d v="2026-01-23T00:00:00"/>
    <n v="30"/>
    <s v=""/>
    <s v=""/>
    <s v=""/>
    <s v=""/>
    <n v="1"/>
  </r>
  <r>
    <x v="2"/>
    <n v="781"/>
    <m/>
    <n v="3070"/>
    <s v="Bom dia Adelita, como vai?_x000a_Estou tentando contato com você para entender sua solicitação para conhecer nossos sistemas._x000a_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_x000a_Vou deixar uma apresentação de nossa empresa e quando tiver um tempo disponivel por retornar o contato_x000a_tentie contato no celular cadastrado e no telefone fixo da empresa 35) 3067-8566"/>
    <s v=""/>
    <x v="368"/>
    <n v="29495831000163"/>
    <s v=""/>
    <s v="Alpinpro"/>
    <s v="(35) 9125-9412"/>
    <s v=""/>
    <s v="adelita@alpinpro.com.br"/>
    <s v=""/>
    <s v=""/>
    <s v=""/>
    <s v="VARGINHA"/>
    <s v="MG"/>
    <s v="Campanha"/>
    <s v=""/>
    <s v=""/>
    <s v="30%;Fora Perfil;Instagram"/>
    <s v="Pipeline de Vendas"/>
    <s v="Qualificação de Vendas (SQL) (25%)"/>
    <s v=""/>
    <d v="2026-01-31T00:00:00"/>
    <m/>
    <m/>
    <n v="101"/>
    <s v="Paulo Souza"/>
    <d v="2026-01-12T00:00:00"/>
    <d v="1899-12-30T22:03:10"/>
    <s v=""/>
    <s v="Perdido"/>
    <d v="2026-04-23T00:00:00"/>
    <d v="1899-12-30T09:18:28"/>
    <s v="Fora do porte mínimo (sem fit estrutural)"/>
    <s v=""/>
    <s v=""/>
    <x v="0"/>
    <s v="Rayssa Karapeticov"/>
    <x v="0"/>
    <s v=""/>
    <d v="2026-04-23T00:00:00"/>
    <m/>
    <s v=""/>
    <s v=""/>
    <s v=""/>
    <s v=""/>
    <n v="1"/>
  </r>
  <r>
    <x v="2"/>
    <n v="782"/>
    <m/>
    <n v="3009"/>
    <s v=""/>
    <s v=""/>
    <x v="369"/>
    <n v="10942276000142"/>
    <s v=""/>
    <s v="Suprema"/>
    <s v="4130959299"/>
    <s v=""/>
    <s v="ordelo01@jotmail.com"/>
    <s v=""/>
    <s v=""/>
    <s v=""/>
    <s v=""/>
    <s v=""/>
    <s v="Campanha"/>
    <s v=""/>
    <s v=""/>
    <s v="Fora Perfil;Instagram"/>
    <s v="Pipeline de Vendas"/>
    <s v="Agendamento (0%)"/>
    <s v=""/>
    <m/>
    <m/>
    <m/>
    <n v="0"/>
    <s v="Paulo Souza"/>
    <d v="2026-01-12T00:00:00"/>
    <d v="1899-12-30T22:36:32"/>
    <s v=""/>
    <s v="Perdido"/>
    <d v="2026-01-12T00:00:00"/>
    <d v="1899-12-30T22:36:54"/>
    <s v="Fora do porte mínimo (sem fit estrutural)"/>
    <s v=""/>
    <s v=""/>
    <x v="0"/>
    <s v="Rayssa Karapeticov"/>
    <x v="0"/>
    <s v=""/>
    <m/>
    <m/>
    <s v=""/>
    <s v=""/>
    <s v=""/>
    <s v=""/>
    <n v="1"/>
  </r>
  <r>
    <x v="0"/>
    <n v="783"/>
    <m/>
    <n v="3010"/>
    <s v=""/>
    <s v=""/>
    <x v="370"/>
    <m/>
    <s v=""/>
    <s v="Carlinhos Doces Artesanais"/>
    <s v="41997238911"/>
    <s v=""/>
    <s v="carlinhosrepresentacao24@gmail.com"/>
    <s v=""/>
    <s v=""/>
    <s v=""/>
    <s v=""/>
    <s v=""/>
    <s v="Campanha"/>
    <s v=""/>
    <s v=""/>
    <s v="Fora Perfil;Instagram"/>
    <s v="Pipeline de Vendas"/>
    <s v="Agendamento (0%)"/>
    <s v=""/>
    <m/>
    <m/>
    <m/>
    <n v="0"/>
    <s v="Paulo Souza"/>
    <d v="2026-01-12T00:00:00"/>
    <d v="1899-12-30T22:37:42"/>
    <s v=""/>
    <s v="Perdido"/>
    <d v="2026-01-12T00:00:00"/>
    <d v="1899-12-30T22:37:58"/>
    <s v="Fora do porte mínimo (sem fit estrutural)"/>
    <s v=""/>
    <s v=""/>
    <x v="0"/>
    <s v="Rayssa Karapeticov"/>
    <x v="0"/>
    <s v=""/>
    <m/>
    <m/>
    <s v=""/>
    <s v=""/>
    <s v=""/>
    <s v=""/>
    <n v="1"/>
  </r>
  <r>
    <x v="0"/>
    <n v="784"/>
    <m/>
    <n v="3015"/>
    <s v=""/>
    <s v=""/>
    <x v="371"/>
    <m/>
    <s v=""/>
    <s v="Kuff Consultoria"/>
    <s v="42998191259"/>
    <s v=""/>
    <s v="thiagokuf@hotmail.com"/>
    <s v=""/>
    <s v=""/>
    <s v=""/>
    <s v=""/>
    <s v=""/>
    <s v="Campanha"/>
    <s v=""/>
    <s v=""/>
    <s v="Fora Perfil;Instagram"/>
    <s v="Pipeline de Vendas"/>
    <s v="Agendamento (0%)"/>
    <s v=""/>
    <m/>
    <m/>
    <m/>
    <n v="0"/>
    <s v="Paulo Souza"/>
    <d v="2026-01-12T00:00:00"/>
    <d v="1899-12-30T22:38:54"/>
    <s v=""/>
    <s v="Perdido"/>
    <d v="2026-01-12T00:00:00"/>
    <d v="1899-12-30T22:39:05"/>
    <s v="Fora do porte mínimo (sem fit estrutural)"/>
    <s v=""/>
    <s v=""/>
    <x v="0"/>
    <s v="Junior Lopes"/>
    <x v="0"/>
    <s v=""/>
    <m/>
    <m/>
    <s v=""/>
    <s v=""/>
    <s v=""/>
    <s v=""/>
    <n v="1"/>
  </r>
  <r>
    <x v="0"/>
    <n v="785"/>
    <m/>
    <n v="2669"/>
    <s v=""/>
    <s v=""/>
    <x v="372"/>
    <m/>
    <s v=""/>
    <s v="RENATO DE MATTOS MALAQUIAS"/>
    <s v="(21) 99470-2428"/>
    <s v=""/>
    <s v="representacoesvendas02@gmail.com"/>
    <s v=""/>
    <s v=""/>
    <s v=""/>
    <s v="Nova Iguaçu"/>
    <s v=""/>
    <s v="Site"/>
    <s v=""/>
    <s v=""/>
    <s v="Contato;Fora Perfil;Instagram"/>
    <s v="Pipeline de Vendas"/>
    <s v="Agendamento (0%)"/>
    <s v=""/>
    <m/>
    <m/>
    <m/>
    <n v="0"/>
    <s v="Paulo Souza"/>
    <d v="2026-01-12T00:00:00"/>
    <d v="1899-12-30T22:39:38"/>
    <s v=""/>
    <s v="Perdido"/>
    <d v="2026-01-12T00:00:00"/>
    <d v="1899-12-30T22:39:50"/>
    <s v="Fora do porte mínimo (sem fit estrutural)"/>
    <s v=""/>
    <s v=""/>
    <x v="0"/>
    <s v="Junior Lopes"/>
    <x v="0"/>
    <s v=""/>
    <m/>
    <m/>
    <s v=""/>
    <s v=""/>
    <s v=""/>
    <s v=""/>
    <n v="1"/>
  </r>
  <r>
    <x v="0"/>
    <n v="786"/>
    <m/>
    <n v="3045"/>
    <s v=""/>
    <s v=""/>
    <x v="373"/>
    <m/>
    <s v=""/>
    <s v="Ana Maria Fonseca Garcia"/>
    <s v="18998215566"/>
    <s v=""/>
    <s v="garciacontabilidade15@gmail.com"/>
    <s v=""/>
    <s v=""/>
    <s v=""/>
    <s v=""/>
    <s v=""/>
    <s v="Campanha"/>
    <s v=""/>
    <s v=""/>
    <s v="Fora Perfil;Instagram"/>
    <s v="Pipeline de Vendas"/>
    <s v="Agendamento (0%)"/>
    <s v=""/>
    <m/>
    <m/>
    <m/>
    <n v="0"/>
    <s v="Paulo Souza"/>
    <d v="2026-01-12T00:00:00"/>
    <d v="1899-12-30T22:40:26"/>
    <s v=""/>
    <s v="Perdido"/>
    <d v="2026-01-12T00:00:00"/>
    <d v="1899-12-30T22:40:38"/>
    <s v="Fora do porte mínimo (sem fit estrutural)"/>
    <s v=""/>
    <s v=""/>
    <x v="0"/>
    <s v="Junior Lopes"/>
    <x v="0"/>
    <s v=""/>
    <m/>
    <m/>
    <s v=""/>
    <s v=""/>
    <s v=""/>
    <s v=""/>
    <n v="1"/>
  </r>
  <r>
    <x v="1"/>
    <n v="787"/>
    <m/>
    <n v="3057"/>
    <s v=""/>
    <s v=""/>
    <x v="374"/>
    <n v="10269690000132"/>
    <s v=""/>
    <s v="Ricieri Locacoes e Serviços"/>
    <s v="27999479659"/>
    <s v=""/>
    <s v="diego@ricieri.net.br"/>
    <s v=""/>
    <s v=""/>
    <s v=""/>
    <s v=""/>
    <s v=""/>
    <s v="Campanha"/>
    <s v=""/>
    <s v=""/>
    <s v="Fora Perfil;Instagram"/>
    <s v="Pipeline de Vendas"/>
    <s v="Agendamento (0%)"/>
    <s v=""/>
    <m/>
    <m/>
    <m/>
    <n v="117"/>
    <s v="Paulo Souza"/>
    <d v="2026-01-12T00:00:00"/>
    <d v="1899-12-30T22:41:13"/>
    <s v=""/>
    <s v="Perdido"/>
    <d v="2026-05-09T00:00:00"/>
    <d v="1899-12-30T08:08:37"/>
    <s v="Fora do segmento atendido"/>
    <s v=""/>
    <s v=""/>
    <x v="0"/>
    <s v="Junior Lopes"/>
    <x v="0"/>
    <s v=""/>
    <m/>
    <m/>
    <s v=""/>
    <s v=""/>
    <s v=""/>
    <s v=""/>
    <n v="1"/>
  </r>
  <r>
    <x v="2"/>
    <n v="788"/>
    <m/>
    <n v="3083"/>
    <s v="Cliente entrou em contato pedindo apresentação de nossas solução de AFV _x000a_Reuão agendada para segunda as 14h_x000a_26-01 proposta está em analise pela diretoria _x000a_29-01 Boa tarde, Tiago! Espero que esteja bem._x000a_No dia 19/01 encaminhamos à sua equipe a proposta comercial da Guarani Sistemas, que contempla uma condição exclusiva para evolução tecnológica e automação da força de vendas._x000a_Com o Guarani AFV, aliado à assistente virtual Iara e ao módulo de orçamento web, sua empresa terá:_x000a_Automação completa da equipe de vendas, com acompanhamento de objetivos e indicadores em tempo real;_x000a_Aumento de produtividade e faturamento, reduzindo rupturas no ponto de venda;_x000a_Dashboard inteligente para análise de desempenho e curva ABC de produtos;_x000a_Integração simplificada com o ERP, garantindo maior agilidade e menos retrabalho._x000a_Além disso, oferecemos condições comerciais diferenciadas, incluindo implantação com mentoria especializada e mensalidade ajustada ao perfil da sua operação._x000a_Diante de todos esses benefícios, gostaria de entender: o que falta para avançarmos juntos e garantir essas vantagens para sua equipe?_x000a_05.02Retornou que estão em analise pela diretoria previsão de retorno para proxima semana _x000a_18.03 - Estão tratando internamento com o ERP, porque precisam entende rse o sistema atual terá capacidade de atender a necessidade deles para integrar com o AFV_x000a_15.04 09:24, 15/04/2026 Rayssa Karapeticov - Comercial - Guarani Sistemas: Oi Tiago, como você está.?_x000a_Na última troca, você comentou que eles devem manter o sistema atual por mais tempo, e eu fiquei de marcar uma reunião presencial para detalharmos a integração e forma de trabalho._x000a_Queria entender contigo se ainda faz sentido seguirmos com esse alinhamento agora. Se sim, me indica por favor dois horários que funcionem para você"/>
    <s v="Alfa Seven Embalagens Industria E Comercio Ltda"/>
    <x v="375"/>
    <n v="14078994000254"/>
    <s v=""/>
    <s v="Alfa Seven Embalagens Industria E Comercio Ltda"/>
    <s v="(35) 3435-2255"/>
    <s v=""/>
    <s v="luizhenrique@julianicontabilidade.com.br"/>
    <s v=""/>
    <s v=""/>
    <s v=""/>
    <s v="EXTREMA"/>
    <s v="MG"/>
    <s v="Base de empresas Leads2b"/>
    <s v=""/>
    <s v=""/>
    <s v="50%;Dentro Perfil"/>
    <s v="Pipeline de Vendas"/>
    <s v="Em negociação (75%)"/>
    <s v=""/>
    <d v="2026-04-30T00:00:00"/>
    <n v="16800"/>
    <n v="73717"/>
    <n v="120"/>
    <s v="Rayssa Karapeticov"/>
    <d v="2026-01-13T00:00:00"/>
    <d v="1899-12-30T16:09:19"/>
    <s v=""/>
    <s v="Perdido"/>
    <d v="2026-05-13T00:00:00"/>
    <d v="1899-12-30T10:51:39"/>
    <s v="Não quer mudar a solução atual"/>
    <s v=""/>
    <s v=""/>
    <x v="163"/>
    <s v="Rayssa Karapeticov"/>
    <x v="183"/>
    <s v="02/03/2026"/>
    <d v="2026-05-13T00:00:00"/>
    <n v="50"/>
    <s v=""/>
    <s v="AFV"/>
    <s v=""/>
    <s v=""/>
    <n v="1"/>
  </r>
  <r>
    <x v="0"/>
    <n v="789"/>
    <m/>
    <n v="3084"/>
    <s v="Fernando, esta avaliando outros produtos e terei um retorno na próxima semana dia 15/01, que decide é a Luciana._x000a_23/01 Fiz FUP hoje com o Fernando o mesmo ainda não respondeu, perguntei o que nos impede de seguir?_x000a_26/02 Fernando me procurou essa semana , pedido atualização de informações sobre o projeto. Hoje fiz novo FUP solicitando informações se seguiremos ou não com o projeto._x000a_20/03 Fernando me passou que a proposta ainda continua na direção sem definição."/>
    <s v=""/>
    <x v="376"/>
    <n v="31507103000176"/>
    <s v=""/>
    <s v="Fernando e Luciana"/>
    <s v="18997715980"/>
    <s v=""/>
    <s v="comercial@casamiga.com.br"/>
    <s v=""/>
    <s v=""/>
    <s v=""/>
    <s v=""/>
    <s v=""/>
    <s v=""/>
    <s v=""/>
    <s v=""/>
    <s v="50%"/>
    <s v="Pipeline de Vendas"/>
    <s v="Em negociação (75%)"/>
    <s v=""/>
    <d v="2026-03-31T00:00:00"/>
    <n v="13100"/>
    <n v="1700"/>
    <n v="87"/>
    <s v="Paulo Souza"/>
    <d v="2026-01-13T00:00:00"/>
    <d v="1899-12-30T16:12:50"/>
    <s v=""/>
    <s v="Perdido"/>
    <d v="2026-04-10T00:00:00"/>
    <d v="1899-12-30T17:16:03"/>
    <s v="Nossa solução não atende - falta funcionalidade"/>
    <s v=""/>
    <s v=""/>
    <x v="169"/>
    <s v="Paulo Souza"/>
    <x v="184"/>
    <s v=""/>
    <d v="2026-03-20T00:00:00"/>
    <n v="50"/>
    <s v="80"/>
    <s v="B2B"/>
    <s v="R$ 13.100"/>
    <s v="R$ 1.700"/>
    <n v="1"/>
  </r>
  <r>
    <x v="1"/>
    <n v="790"/>
    <m/>
    <n v="3071"/>
    <s v="em contato com Sr. Barbosa !_x000a_atualmente tem 02 lojas físicas e esta fora do nosso perfil de atendimento"/>
    <s v=""/>
    <x v="377"/>
    <m/>
    <s v=""/>
    <s v="Casa bom dia bricolagem ltda"/>
    <s v="16981830404"/>
    <s v=""/>
    <s v="casabomdiabricolagem@gmail.com"/>
    <s v=""/>
    <s v=""/>
    <s v=""/>
    <s v=""/>
    <s v=""/>
    <s v="Campanha"/>
    <s v=""/>
    <s v=""/>
    <s v="Fora Perfil;Instagram"/>
    <s v="Pipeline de Vendas"/>
    <s v="Qualificação de Vendas (SQL) (25%)"/>
    <s v=""/>
    <d v="2026-01-31T00:00:00"/>
    <m/>
    <m/>
    <n v="23"/>
    <s v="Paulo Souza"/>
    <d v="2026-01-13T00:00:00"/>
    <d v="1899-12-30T16:54:22"/>
    <s v=""/>
    <s v="Perdido"/>
    <d v="2026-02-05T00:00:00"/>
    <d v="1899-12-30T14:15:34"/>
    <s v="Fora do porte mínimo (sem fit estrutural)"/>
    <s v=""/>
    <s v=""/>
    <x v="0"/>
    <s v="Junior Lopes"/>
    <x v="0"/>
    <s v=""/>
    <d v="2026-01-16T00:00:00"/>
    <m/>
    <s v=""/>
    <s v=""/>
    <s v=""/>
    <s v=""/>
    <n v="1"/>
  </r>
  <r>
    <x v="2"/>
    <n v="792"/>
    <m/>
    <n v="3072"/>
    <s v="Boa tarde Rogério, como vai? _x000a_Meu nome é Rayssa, sou do setor comercial e relacionamento da Guarani Sistemas._x000a_Recebi seu contato interessado em nossas soluções, você prefere que eu te ligue ou quer tratar por aqui?_x000a_Aguardando retorno,liguei e não atendeu_x000a_13.02 novamente disse que não podia falar que era para entrar em contato em outro momento"/>
    <s v=""/>
    <x v="378"/>
    <n v="6037707000230"/>
    <s v=""/>
    <s v="WB Engenharia"/>
    <s v="67999299440"/>
    <s v=""/>
    <s v="rogerio@wbmanutencao.com.br"/>
    <s v=""/>
    <s v=""/>
    <s v=""/>
    <s v=""/>
    <s v=""/>
    <s v="Campanha"/>
    <s v=""/>
    <s v=""/>
    <s v="Fora Perfil;Instagram"/>
    <s v="Pipeline de Vendas"/>
    <s v="Qualificação de Vendas (SQL) (25%)"/>
    <s v=""/>
    <d v="2026-01-31T00:00:00"/>
    <m/>
    <m/>
    <n v="31"/>
    <s v="Paulo Souza"/>
    <d v="2026-01-13T00:00:00"/>
    <d v="1899-12-30T16:56:09"/>
    <s v=""/>
    <s v="Perdido"/>
    <d v="2026-02-13T00:00:00"/>
    <d v="1899-12-30T11:46:12"/>
    <s v="Fora do porte mínimo (sem fit estrutural)"/>
    <s v=""/>
    <s v=""/>
    <x v="0"/>
    <s v="Rayssa Karapeticov"/>
    <x v="0"/>
    <s v=""/>
    <d v="2026-02-12T00:00:00"/>
    <n v="30"/>
    <s v=""/>
    <s v=""/>
    <s v=""/>
    <s v=""/>
    <n v="1"/>
  </r>
  <r>
    <x v="0"/>
    <n v="793"/>
    <m/>
    <n v="3082"/>
    <s v="Fiz contato hoje mais o cliente já não estava na empresa, vamos falar amanha 14/01_x000a_23/01 Fiz FUp hoje com a Jessica, para buscar agenda na proxima semana._x000a_19/02 Fiz varias tentativa sem retorno e por isso declinei a proposta."/>
    <s v=""/>
    <x v="379"/>
    <m/>
    <s v=""/>
    <s v="JESSICA"/>
    <s v="(38) 99730-0736"/>
    <s v=""/>
    <s v="centraleletricasolar@gmail.com"/>
    <s v=""/>
    <s v=""/>
    <s v=""/>
    <s v="São Paulo"/>
    <s v=""/>
    <s v="Site"/>
    <s v=""/>
    <s v=""/>
    <s v="30%;Solicita demo"/>
    <s v="Pipeline de Vendas"/>
    <s v="Qualificação de Vendas (SQL) (25%)"/>
    <s v=""/>
    <d v="2026-01-31T00:00:00"/>
    <m/>
    <m/>
    <n v="37"/>
    <s v="Paulo Souza"/>
    <d v="2026-01-13T00:00:00"/>
    <d v="1899-12-30T16:59:23"/>
    <s v=""/>
    <s v="Perdido"/>
    <d v="2026-02-19T00:00:00"/>
    <d v="1899-12-30T17:51:50"/>
    <s v="Fora do porte mínimo (sem fit estrutural)"/>
    <s v=""/>
    <s v=""/>
    <x v="0"/>
    <s v="Paulo Souza"/>
    <x v="0"/>
    <s v=""/>
    <d v="2026-01-23T00:00:00"/>
    <n v="30"/>
    <s v=""/>
    <s v=""/>
    <s v=""/>
    <s v=""/>
    <n v="1"/>
  </r>
  <r>
    <x v="2"/>
    <n v="794"/>
    <m/>
    <n v="3086"/>
    <s v="Falei com o cliente ele possui uma loja de embalagens (estilo Plasticap), levantei as informações dele e agendamos uma demonstração para amanhã as 9h_x000a_19/01- Olá Ederaldo, tudo bem?_x000a_No dia 15/01 encaminhamos a proposta de investimento para o Guarani ERP, contemplando os serviços de ERP + PDV, com foco na evolução tecnológica e no crescimento da sua empresa._x000a_Para avançarmos, gostaria de entender como foi sua análise e qual o investimento previsto para o software, assim conseguimos alinhar expectativas e próximos passos._x000a_Quando seria um bom momento para conversarmos?_x000a_26/01 - Após envio e apresentação da proposta comercial cliente não deu retorno. _x000a_Encerrando contato_x000a_Oi Ederaldo, tudo bem?_x000a_No dia 15/01 te enviei uma proposta que poderia mudar os rumos do seu negócio. Como não tivemos retorno, estou encerrando nosso contato._x000a_Quero deixar claro: essa não era apenas mais uma oferta, mas uma oportunidade única que dificilmente vai se repetir. Ao não avançar, você está deixando escapar aquilo que poderia ser o divisor de águas para sua empresa._x000a_Desejo sucesso nos seus próximos passos!"/>
    <s v=""/>
    <x v="380"/>
    <m/>
    <s v=""/>
    <s v="Marques Embalagens"/>
    <s v="16992159372"/>
    <s v=""/>
    <s v="marquesembalagens@hotmail.com"/>
    <s v=""/>
    <s v=""/>
    <s v=""/>
    <s v=""/>
    <s v=""/>
    <s v="Campanha"/>
    <s v=""/>
    <s v=""/>
    <s v="Dentro Perfil;Instagram"/>
    <s v="Pipeline de Vendas"/>
    <s v="Apresentar Proposta (50%)"/>
    <s v=""/>
    <d v="2026-01-31T00:00:00"/>
    <n v="6168744"/>
    <n v="149828"/>
    <n v="13"/>
    <s v="Paulo Souza"/>
    <d v="2026-01-13T00:00:00"/>
    <d v="1899-12-30T17:42:00"/>
    <s v=""/>
    <s v="Perdido"/>
    <d v="2026-01-26T00:00:00"/>
    <d v="1899-12-30T09:26:12"/>
    <s v="Preço muito alto - fora do budget de investimento"/>
    <s v=""/>
    <s v=""/>
    <x v="170"/>
    <s v="Rayssa Karapeticov"/>
    <x v="180"/>
    <s v=""/>
    <d v="2026-01-26T00:00:00"/>
    <m/>
    <s v=""/>
    <s v=""/>
    <s v=""/>
    <s v=""/>
    <n v="1"/>
  </r>
  <r>
    <x v="0"/>
    <n v="795"/>
    <m/>
    <n v="3088"/>
    <s v="Falei com a Kelly hoje que me passou as informações que faltava para formular a proposta. Agora e falar com o Fernando e montar a proposta e apresentar._x000a_23/01 Falei com a Kelly em 19/01, e ela avisou que estava de férias e que retorno essa semana , e que só vai conseguir analisar a proposta na semana do dia 26/01, quando retornarei o contato._x000a_07/02 Fiz FUP com a Kelly e perguntei se ela vai ou não seguir com o projeto, não retornou ainda._x000a_12/03 12/03 Fiz FUP com a Kelly e a mesma esta analisando a proposta. Como esta semana ela tá fazendo compra de natal, vai conseguir parar e ver a proposta amanhã 13/03._x000a_20/03 Cobrei a Kelly a evolução da negociação."/>
    <s v=""/>
    <x v="381"/>
    <n v="3674537000125"/>
    <s v=""/>
    <s v="Kelly"/>
    <s v="12974030134"/>
    <s v=""/>
    <s v="MKT@VALPORT.COM.BR"/>
    <s v=""/>
    <s v=""/>
    <s v=""/>
    <s v=""/>
    <s v=""/>
    <s v=""/>
    <s v=""/>
    <s v=""/>
    <s v="50%"/>
    <s v="Pipeline de Vendas"/>
    <s v="Em negociação (75%)"/>
    <s v=""/>
    <d v="2026-03-31T00:00:00"/>
    <n v="1600"/>
    <n v="384454"/>
    <n v="87"/>
    <s v="Paulo Souza"/>
    <d v="2026-01-13T00:00:00"/>
    <d v="1899-12-30T22:55:41"/>
    <s v=""/>
    <s v="Perdido"/>
    <d v="2026-04-10T00:00:00"/>
    <d v="1899-12-30T15:55:43"/>
    <s v="Projeto adiado / sem prazo definido"/>
    <s v=""/>
    <s v=""/>
    <x v="0"/>
    <s v="Paulo Souza"/>
    <x v="0"/>
    <s v=""/>
    <d v="2026-03-20T00:00:00"/>
    <n v="30"/>
    <s v="7"/>
    <s v="CLOUD"/>
    <s v="R$ 1.600"/>
    <s v="R$ 3.844,54"/>
    <n v="1"/>
  </r>
  <r>
    <x v="0"/>
    <n v="796"/>
    <m/>
    <n v="3087"/>
    <s v="Feito contato com o Vinicius afim de qualificar o LEAD._x000a_23/01 Fiz FUp hoje com o Vinicius para saber se e possível a nossa agenda na semana que vem na quinta feira._x000a_07/02 Fiz FUP com o Vinicius e avise que por falta de contato estou declinando a oportunidade e em caso de interesse retornamos o contato."/>
    <s v=""/>
    <x v="382"/>
    <m/>
    <s v=""/>
    <s v="MVF Lavadoras"/>
    <s v="35998687836"/>
    <s v=""/>
    <s v="ti@mvflavadoras.com.br"/>
    <s v=""/>
    <s v=""/>
    <s v=""/>
    <s v=""/>
    <s v=""/>
    <s v="Campanha"/>
    <s v=""/>
    <s v=""/>
    <s v="Dentro Perfil;Instagram"/>
    <s v="Pipeline de Vendas"/>
    <s v="Qualificação de Vendas (SQL) (25%)"/>
    <s v=""/>
    <d v="2026-01-31T00:00:00"/>
    <m/>
    <m/>
    <n v="24"/>
    <s v="Paulo Souza"/>
    <d v="2026-01-14T00:00:00"/>
    <d v="1899-12-30T10:15:54"/>
    <s v=""/>
    <s v="Perdido"/>
    <d v="2026-02-07T00:00:00"/>
    <d v="1899-12-30T07:35:17"/>
    <s v="Fora do porte mínimo (sem fit estrutural)"/>
    <s v="07/02 Fiz FUP com o Vinicius e avise que por falta de contato estou declinando a oportunidade e em caso de interesse retornamos o contato."/>
    <s v=""/>
    <x v="0"/>
    <s v="Paulo Souza"/>
    <x v="0"/>
    <s v=""/>
    <d v="2026-02-07T00:00:00"/>
    <n v="30"/>
    <s v=""/>
    <s v=""/>
    <s v=""/>
    <s v=""/>
    <n v="1"/>
  </r>
  <r>
    <x v="0"/>
    <n v="799"/>
    <m/>
    <n v="3091"/>
    <s v="Visita amanha em São Paulo no cliente_x000a_23/01 - fechamos negocio."/>
    <s v=""/>
    <x v="383"/>
    <m/>
    <s v=""/>
    <s v="Tiago"/>
    <s v="11971597112"/>
    <s v=""/>
    <s v="null"/>
    <s v=""/>
    <s v=""/>
    <s v=""/>
    <s v=""/>
    <s v=""/>
    <s v=""/>
    <s v=""/>
    <s v=""/>
    <s v="90%;Fabio Indica"/>
    <s v="Pipeline de Vendas"/>
    <s v="Em Fechamento (100%)"/>
    <s v=""/>
    <d v="2026-01-15T00:00:00"/>
    <n v="1600"/>
    <n v="252471"/>
    <n v="9"/>
    <s v="Paulo Souza"/>
    <d v="2026-01-14T00:00:00"/>
    <d v="1899-12-30T18:55:04"/>
    <s v=""/>
    <s v="Ganho"/>
    <d v="2026-01-23T00:00:00"/>
    <d v="1899-12-30T11:04:46"/>
    <s v=""/>
    <s v=""/>
    <s v="14/01/2026 00:00"/>
    <x v="171"/>
    <s v="Paulo Souza"/>
    <x v="185"/>
    <s v=""/>
    <d v="2026-01-15T00:00:00"/>
    <m/>
    <s v=""/>
    <s v=""/>
    <s v=""/>
    <s v=""/>
    <n v="1"/>
  </r>
  <r>
    <x v="2"/>
    <n v="800"/>
    <m/>
    <n v="3092"/>
    <s v=""/>
    <s v=""/>
    <x v="384"/>
    <n v="9205460000120"/>
    <s v=""/>
    <s v="Panveiga"/>
    <s v="(83) 3343-3391 / (83) 3343-3391"/>
    <s v=""/>
    <s v="null"/>
    <s v=""/>
    <s v=""/>
    <s v=""/>
    <s v="CAMPINA GRANDE"/>
    <s v="PB"/>
    <s v="Campanha"/>
    <s v=""/>
    <s v=""/>
    <s v="Fora Perfil;Instagram"/>
    <s v="Pipeline de Vendas"/>
    <s v="Agendamento (0%)"/>
    <s v=""/>
    <d v="2026-01-31T00:00:00"/>
    <m/>
    <m/>
    <n v="7"/>
    <s v="Paulo Souza"/>
    <d v="2026-01-16T00:00:00"/>
    <d v="1899-12-30T09:31:20"/>
    <s v=""/>
    <s v="Perdido"/>
    <d v="2026-01-23T00:00:00"/>
    <d v="1899-12-30T17:12:19"/>
    <s v="Fora do porte mínimo (sem fit estrutural)"/>
    <s v=""/>
    <s v=""/>
    <x v="0"/>
    <s v="Rayssa Karapeticov"/>
    <x v="0"/>
    <s v=""/>
    <d v="2026-01-23T00:00:00"/>
    <m/>
    <s v=""/>
    <s v=""/>
    <s v=""/>
    <s v=""/>
    <n v="1"/>
  </r>
  <r>
    <x v="1"/>
    <n v="803"/>
    <m/>
    <n v="3094"/>
    <s v="(20/01/2026) efetuei tentativa de ligação e mensagem no WhatsApp a fim de alinhar em bate papo com Ismael e entender suas necessidades , porem cliente não responde aos contatos"/>
    <s v=""/>
    <x v="385"/>
    <m/>
    <s v=""/>
    <s v="Autônomo"/>
    <s v="27999362925"/>
    <s v=""/>
    <s v="continente.of@gmail.com"/>
    <s v=""/>
    <s v=""/>
    <s v=""/>
    <s v=""/>
    <s v=""/>
    <s v="Campanha"/>
    <s v=""/>
    <s v=""/>
    <s v="Fora Perfil;Instagram"/>
    <s v="Pipeline de Vendas"/>
    <s v="Qualificação de Vendas (SQL) (25%)"/>
    <s v=""/>
    <d v="2026-01-31T00:00:00"/>
    <m/>
    <m/>
    <n v="113"/>
    <s v="Paulo Souza"/>
    <d v="2026-01-16T00:00:00"/>
    <d v="1899-12-30T16:05:09"/>
    <s v=""/>
    <s v="Perdido"/>
    <d v="2026-05-09T00:00:00"/>
    <d v="1899-12-30T07:39:04"/>
    <s v="Fora do porte mínimo (sem fit estrutural)"/>
    <s v=""/>
    <s v=""/>
    <x v="0"/>
    <s v="Junior Lopes"/>
    <x v="0"/>
    <s v=""/>
    <d v="2026-01-20T00:00:00"/>
    <m/>
    <s v=""/>
    <s v=""/>
    <s v=""/>
    <s v=""/>
    <n v="1"/>
  </r>
  <r>
    <x v="2"/>
    <n v="804"/>
    <m/>
    <n v="3099"/>
    <s v=""/>
    <s v=""/>
    <x v="386"/>
    <n v="33036815000180"/>
    <s v=""/>
    <s v="Haller Farmacêutica"/>
    <s v="21994011336"/>
    <s v=""/>
    <s v="marcelo.uchoa@haller.ind.br"/>
    <s v=""/>
    <s v=""/>
    <s v=""/>
    <s v=""/>
    <s v=""/>
    <s v="Campanha"/>
    <s v=""/>
    <s v=""/>
    <s v="Fora Perfil;Instagram"/>
    <s v="Pipeline de Vendas"/>
    <s v="Agendamento (0%)"/>
    <s v=""/>
    <d v="2026-01-31T00:00:00"/>
    <m/>
    <m/>
    <n v="5"/>
    <s v="Paulo Souza"/>
    <d v="2026-01-16T00:00:00"/>
    <d v="1899-12-30T16:06:39"/>
    <s v=""/>
    <s v="Perdido"/>
    <d v="2026-01-21T00:00:00"/>
    <d v="1899-12-30T11:42:22"/>
    <s v="Fora do porte mínimo (sem fit estrutural)"/>
    <s v=""/>
    <s v=""/>
    <x v="0"/>
    <s v="Rayssa Karapeticov"/>
    <x v="0"/>
    <s v=""/>
    <d v="2026-01-21T00:00:00"/>
    <m/>
    <s v=""/>
    <s v=""/>
    <s v=""/>
    <s v=""/>
    <n v="1"/>
  </r>
  <r>
    <x v="1"/>
    <n v="805"/>
    <m/>
    <n v="3093"/>
    <s v="(20/01/2026)  09:04, 20/01/2026 Junior Lopes: Olá Cláudio ! Bom dia_x000a_17:23, 27/01/2026 Claudio Teixeira: Boa tarde essa semana estou fora da empresa_x000a_17:23, 27/01/2026 Claudio Teixeira: Semana que vem falamos_x000a_17:32, 27/01/2026 Junior Lopes: Perfeito Claudio ! abraço _x000a_09:06, 20/01/2026 Claudio Teixeira: Bom dia_x000a_09:07, 20/01/2026 Junior Lopes: Td bem ? Vc entrou em contato com a Guarani sistemas, gostaria de marcar um horário para batermos um papo e entender melhor suas necessidades_x000a_09:08, 20/01/2026 Junior Lopes: Qual melhor horário para você?_x000a_09:08, 20/01/2026 Claudio Teixeira: Pode ser às 11:30_x000a_09:10, 20/01/2026 Junior Lopes: Ótimo, vou Estar terminando uma apresentação! Pode ser que atrase uns 15 minutos para ligar_x000a_09:11, 20/01/2026 Claudio Teixeira: Ok_x000a_Perfeito Cláudio ! Abraço_x000a_Olá Cláudio! Como vai ?_x000a_Olá Cláudio Td bem ? _x000a_Como não recebi seu retorno nos últimos dias, entendo que talvez não seja o melhor momento para seguirmos com projeto Guarani _x000a_Para nao lotar seu WhatsApp de mensagens estou encerrando o contato! _x000a_Caso suas prioridades mudem sigo a disposição _x000a_Abraço"/>
    <s v=""/>
    <x v="387"/>
    <n v="53629067000156"/>
    <s v=""/>
    <s v="Claudio Teixeira"/>
    <s v="(43) 99669-3593"/>
    <s v=""/>
    <s v="claudioteixeirasap@hotmail.com"/>
    <s v=""/>
    <s v=""/>
    <s v=""/>
    <s v="CONSELHEIRO MAIRINCK"/>
    <s v="PR"/>
    <s v="Site"/>
    <s v=""/>
    <s v=""/>
    <s v="Solicita demo"/>
    <s v="Pipeline de Vendas"/>
    <s v="Apresentar Proposta (50%)"/>
    <s v=""/>
    <d v="2026-01-31T00:00:00"/>
    <n v="72080"/>
    <n v="18676"/>
    <n v="52"/>
    <s v="Paulo Souza"/>
    <d v="2026-01-16T00:00:00"/>
    <d v="1899-12-30T16:08:11"/>
    <s v=""/>
    <s v="Perdido"/>
    <d v="2026-03-09T00:00:00"/>
    <d v="1899-12-30T11:02:30"/>
    <s v="Projeto adiado / sem prazo definido"/>
    <s v="Perfeito Cláudio ! Abraço_x000a_Olá Cláudio! Como vai ?_x000a_Olá Cláudio Td bem ? _x000a_Como não recebi seu retorno nos últimos dias, entendo que talvez não seja o melhor momento para seguirmos com projeto Guarani _x000a_Para nao lotar seu WhatsApp de mensagens estou encerrando o contato! _x000a_Caso suas prioridades mudem sigo a disposição _x000a_Abraço"/>
    <s v=""/>
    <x v="172"/>
    <s v="Junior Lopes"/>
    <x v="186"/>
    <s v=""/>
    <d v="2026-02-09T00:00:00"/>
    <m/>
    <s v=""/>
    <s v=""/>
    <s v=""/>
    <s v=""/>
    <n v="1"/>
  </r>
  <r>
    <x v="2"/>
    <n v="818"/>
    <m/>
    <n v="3101"/>
    <s v="Apresentação agendada para 27/01/2026 - 15:00 horas_x000a_26/01 - reunião agendada para amanhã, aguardand confirmação_x000a_27/01 - cliente não confirmou nem entrou na reunião_x000a_28/01 - Oi Renato, tudo bem?_x000a_No dia 27/01 tinhamos uma agenda de apresentação que poderia mudar os rumos do seu negócio. Como não tivemos retorno, estou encerrando nosso contato._x000a_Quero deixar claro: essa não era apenas mais uma oferta, mas uma oportunidade única que dificilmente vai se repetir. Ao não avançar, você está deixando escapar aquilo que poderia ser o divisor de águas para sua empresa._x000a_Desejo sucesso nos seus próximos passos!"/>
    <s v=""/>
    <x v="388"/>
    <m/>
    <s v=""/>
    <s v="Recanto Agricola"/>
    <s v="17999791171"/>
    <s v=""/>
    <s v="recantoagricola@gmail.com"/>
    <s v=""/>
    <s v=""/>
    <s v=""/>
    <s v=""/>
    <s v=""/>
    <s v="Campanha"/>
    <s v=""/>
    <s v=""/>
    <s v="Dentro Perfil;Instagram"/>
    <s v="Pipeline de Vendas"/>
    <s v="Apresentar Solução (35%)"/>
    <s v=""/>
    <d v="2026-03-31T00:00:00"/>
    <m/>
    <m/>
    <n v="9"/>
    <s v="Paulo Souza"/>
    <d v="2026-01-19T00:00:00"/>
    <d v="1899-12-30T11:30:57"/>
    <s v=""/>
    <s v="Perdido"/>
    <d v="2026-01-28T00:00:00"/>
    <d v="1899-12-30T16:29:00"/>
    <s v="Não quer mudar a solução atual"/>
    <s v=""/>
    <s v=""/>
    <x v="0"/>
    <s v="Rayssa Karapeticov"/>
    <x v="0"/>
    <s v=""/>
    <d v="2026-01-28T00:00:00"/>
    <m/>
    <s v=""/>
    <s v=""/>
    <s v=""/>
    <s v=""/>
    <n v="1"/>
  </r>
  <r>
    <x v="1"/>
    <n v="819"/>
    <m/>
    <n v="3102"/>
    <s v="(19/01/2026) reunião de apresentação agendada para 20/01/2026_x000a_(26/01/2026) _x000a_Olá Mauricio ! tudo bem ?_x000a_Como não recebi o seu retorno sobre o questionário após nossa apresentação, imagino que as prioridades tenham mudado por aí ou que este não seja o momento ideal para avançarmos com a proposta da Guarani Sistemas._x000a_Para não sobrecarregar sua caixa de entrada, estou encerrando o seu processo aqui no meu sistema por enquanto._x000a_Caso seus planos mudem no futuro, meus contatos continuam os mesmos. Desejo sucesso em seus projetos._x000a_Após mensagem enviada Mauricio compartilhou áudio dizendo que achou investimento muito alto e que no futuro vamos voltar a falar"/>
    <s v=""/>
    <x v="389"/>
    <n v="49827202000109"/>
    <s v=""/>
    <s v="Maurício Jorge lima"/>
    <s v="(93) 8406-4995"/>
    <s v=""/>
    <s v="mauriciojlatm@gmail.com"/>
    <s v=""/>
    <s v=""/>
    <s v=""/>
    <s v="ITAITUBA"/>
    <s v="PA"/>
    <s v="Site"/>
    <s v=""/>
    <s v=""/>
    <s v="Contato;Dentro Perfil"/>
    <s v="Pipeline de Vendas"/>
    <s v="Apresentar Solução (35%)"/>
    <s v=""/>
    <d v="2026-01-31T00:00:00"/>
    <n v="72080"/>
    <n v="881079"/>
    <n v="17"/>
    <s v="Paulo Souza"/>
    <d v="2026-01-19T00:00:00"/>
    <d v="1899-12-30T11:33:47"/>
    <s v=""/>
    <s v="Perdido"/>
    <d v="2026-02-05T00:00:00"/>
    <d v="1899-12-30T14:12:46"/>
    <s v="Preço muito alto - fora do budget de investimento"/>
    <s v=": Preço muito alto"/>
    <s v=""/>
    <x v="172"/>
    <s v="Junior Lopes"/>
    <x v="183"/>
    <s v=""/>
    <d v="2026-01-26T00:00:00"/>
    <m/>
    <s v=""/>
    <s v=""/>
    <s v=""/>
    <s v=""/>
    <n v="1"/>
  </r>
  <r>
    <x v="2"/>
    <n v="820"/>
    <m/>
    <n v="3103"/>
    <s v=""/>
    <s v=""/>
    <x v="390"/>
    <m/>
    <s v=""/>
    <s v="Max club"/>
    <s v="3194371833"/>
    <s v=""/>
    <s v="willian.portodasilva8@gmail.com"/>
    <s v=""/>
    <s v=""/>
    <s v=""/>
    <s v=""/>
    <s v=""/>
    <s v="Campanha"/>
    <s v=""/>
    <s v=""/>
    <s v="Fora Perfil;Instagram"/>
    <s v="Pipeline de Vendas"/>
    <s v="Agendamento (0%)"/>
    <s v=""/>
    <d v="2026-01-31T00:00:00"/>
    <m/>
    <m/>
    <n v="19"/>
    <s v="Paulo Souza"/>
    <d v="2026-01-19T00:00:00"/>
    <d v="1899-12-30T11:34:55"/>
    <s v=""/>
    <s v="Perdido"/>
    <d v="2026-02-07T00:00:00"/>
    <d v="1899-12-30T07:45:07"/>
    <s v="Fora do porte mínimo (sem fit estrutural)"/>
    <s v=""/>
    <s v=""/>
    <x v="0"/>
    <s v="Rayssa Karapeticov"/>
    <x v="0"/>
    <s v=""/>
    <d v="2026-01-27T00:00:00"/>
    <m/>
    <s v=""/>
    <s v=""/>
    <s v=""/>
    <s v=""/>
    <n v="1"/>
  </r>
  <r>
    <x v="0"/>
    <n v="821"/>
    <m/>
    <n v="3119"/>
    <s v="Liguei para o Gerson o mesmo não atendeu deixei msg no whatsapp._x000a_23/01 Foi feito apresentação para o cliente do institucional e AFV.  em resumo, a apresentação foi direcionada para a importadora DINATALE (Diego). Porém entrou na reunião a CASAART (William) e também o Mauricio cuja a empresa ainda não conheço. O Gerson (consultor0 que esta conduzindo o projeto participou e informou que são 5 empresa no total, a ideia é conseguir colocar o sistema nas 5 empresas. _x000a_O próximo passo é fazer uma nova agenda para a semana do dia 26/01, para apresentar o sistema novamente para uma equipe maior e expandido com o módulo OCMEX, ERP, REP+ E CONTABIL._x000a_13/02 Esse negócio está sendo tratado nas proposta da Iracema, Dinatale, Casart e MCFlores."/>
    <s v=""/>
    <x v="391"/>
    <n v="7658378000126"/>
    <s v=""/>
    <s v="Gerson Baesso"/>
    <s v="(49) 98872-0298"/>
    <s v=""/>
    <s v="consultor01@visionway.com.br"/>
    <s v=""/>
    <s v=""/>
    <s v=""/>
    <s v="Nova Aurora"/>
    <s v=""/>
    <s v="Site"/>
    <s v=""/>
    <s v=""/>
    <s v="30%;Solicita demo"/>
    <s v="Pipeline de Vendas"/>
    <s v="Apresentar Solução (35%)"/>
    <s v=""/>
    <d v="2026-01-31T00:00:00"/>
    <m/>
    <m/>
    <n v="24"/>
    <s v="Paulo Souza"/>
    <d v="2026-01-20T00:00:00"/>
    <d v="1899-12-30T08:41:55"/>
    <s v=""/>
    <s v="Perdido"/>
    <d v="2026-02-13T00:00:00"/>
    <d v="1899-12-30T17:34:46"/>
    <s v="Projeto adiado / sem prazo definido"/>
    <s v=""/>
    <s v=""/>
    <x v="173"/>
    <s v="Paulo Souza"/>
    <x v="187"/>
    <s v=""/>
    <d v="2026-01-23T00:00:00"/>
    <n v="30"/>
    <s v=""/>
    <s v="ERP, AFV, BI"/>
    <s v=""/>
    <s v=""/>
    <n v="1"/>
  </r>
  <r>
    <x v="2"/>
    <n v="823"/>
    <m/>
    <n v="3118"/>
    <s v="29/01 - retornar após o carnaval_x000a_18.03 - agendando um contato para negociação, sugeri hoje as 16:30_x000a_30.03 Boa tarde, Helena. Espero que esteja bem._x000a_Conversamos anteriormente sobre o software de gestão da Guarani Sistemas, empresa consolidada e referência no mercado de utilidades e abastecimento de artigos para o lar._x000a_Acreditamos que, com o potencial da sua empresa aliado à experiência da Guarani, seria possível alcançar resultados ainda mais expressivos. No entanto, após diversas tentativas de contato, não obtivemos retorno para avançar com esse projeto._x000a_Diante disso, estamos encerrando nosso contato neste momento, entendendo que não há interesse da Purai Suvinirs em seguir com essa oportunidade de crescimento. Permaneço à disposição para retomar a conversa quando fizer sentido para vocês._x000a_Atenciosamente,"/>
    <s v=""/>
    <x v="392"/>
    <n v="44530589000105"/>
    <s v=""/>
    <s v="Helena reis"/>
    <s v="(47) 3344-3239"/>
    <s v=""/>
    <s v="vendas@diceart.com.br"/>
    <s v=""/>
    <s v=""/>
    <s v=""/>
    <s v="ITAJAI"/>
    <s v="SC"/>
    <s v="Site"/>
    <s v=""/>
    <s v=""/>
    <s v="30%;Dentro Perfil"/>
    <s v="Pipeline de Vendas"/>
    <s v="Em negociação (75%)"/>
    <s v=""/>
    <d v="2026-05-31T00:00:00"/>
    <n v="579843"/>
    <n v="28845"/>
    <n v="69"/>
    <s v="Paulo Souza"/>
    <d v="2026-01-20T00:00:00"/>
    <d v="1899-12-30T08:46:51"/>
    <s v=""/>
    <s v="Perdido"/>
    <d v="2026-03-30T00:00:00"/>
    <d v="1899-12-30T15:47:48"/>
    <s v="Projeto adiado / sem prazo definido"/>
    <s v=""/>
    <s v=""/>
    <x v="174"/>
    <s v="Rayssa Karapeticov"/>
    <x v="188"/>
    <s v="12/03/2026"/>
    <d v="2026-03-30T00:00:00"/>
    <n v="30"/>
    <s v=""/>
    <s v="ERP, AFV"/>
    <s v=""/>
    <s v=""/>
    <n v="1"/>
  </r>
  <r>
    <x v="2"/>
    <n v="847"/>
    <m/>
    <n v="3129"/>
    <s v="Telefone cadastrado eé de um mercado"/>
    <s v=""/>
    <x v="393"/>
    <m/>
    <s v=""/>
    <s v="Bem bom pescados"/>
    <s v="6233899200"/>
    <s v=""/>
    <s v="edinho@grupo3ebr.com.br"/>
    <s v=""/>
    <s v=""/>
    <s v=""/>
    <s v=""/>
    <s v=""/>
    <s v="Campanha"/>
    <s v=""/>
    <s v=""/>
    <s v="Fora Perfil;Instagram"/>
    <s v="Pipeline de Vendas"/>
    <s v="Agendamento (0%)"/>
    <s v=""/>
    <d v="2026-01-31T00:00:00"/>
    <m/>
    <m/>
    <n v="0"/>
    <s v="Paulo Souza"/>
    <d v="2026-01-21T00:00:00"/>
    <d v="1899-12-30T10:51:15"/>
    <s v=""/>
    <s v="Perdido"/>
    <d v="2026-01-21T00:00:00"/>
    <d v="1899-12-30T11:14:02"/>
    <s v="Fora do porte mínimo (sem fit estrutural)"/>
    <s v=""/>
    <s v=""/>
    <x v="0"/>
    <s v="Rayssa Karapeticov"/>
    <x v="0"/>
    <s v=""/>
    <m/>
    <m/>
    <s v=""/>
    <s v=""/>
    <s v=""/>
    <s v=""/>
    <n v="1"/>
  </r>
  <r>
    <x v="1"/>
    <n v="848"/>
    <m/>
    <n v="3148"/>
    <s v="(23/01/2026) Sérgio não respondeu as minhas mensagens ! estou descartando de falta de retorno do cliente"/>
    <s v=""/>
    <x v="394"/>
    <m/>
    <s v=""/>
    <s v="Possani mix"/>
    <s v="11971375421"/>
    <s v=""/>
    <s v="possanimix@gmail.com"/>
    <s v=""/>
    <s v=""/>
    <s v=""/>
    <s v=""/>
    <s v=""/>
    <s v="Campanha"/>
    <s v=""/>
    <s v=""/>
    <s v="Fora Perfil;Instagram"/>
    <s v="Pipeline de Vendas"/>
    <s v="Agendamento (0%)"/>
    <s v=""/>
    <d v="2026-01-31T00:00:00"/>
    <m/>
    <m/>
    <n v="108"/>
    <s v="Paulo Souza"/>
    <d v="2026-01-21T00:00:00"/>
    <d v="1899-12-30T10:54:34"/>
    <s v=""/>
    <s v="Perdido"/>
    <d v="2026-05-09T00:00:00"/>
    <d v="1899-12-30T08:48:17"/>
    <s v="Fora do segmento atendido"/>
    <s v=""/>
    <s v=""/>
    <x v="0"/>
    <s v="Junior Lopes"/>
    <x v="0"/>
    <s v=""/>
    <d v="2026-01-23T00:00:00"/>
    <m/>
    <s v=""/>
    <s v=""/>
    <s v=""/>
    <s v=""/>
    <n v="1"/>
  </r>
  <r>
    <x v="2"/>
    <n v="849"/>
    <m/>
    <n v="3149"/>
    <s v=""/>
    <s v=""/>
    <x v="395"/>
    <n v="27343071000143"/>
    <s v=""/>
    <s v="Bombemi"/>
    <s v="11959925385"/>
    <s v=""/>
    <s v="adminitrativo@bombemi.com.br"/>
    <s v=""/>
    <s v=""/>
    <s v=""/>
    <s v=""/>
    <s v=""/>
    <s v="Campanha"/>
    <s v=""/>
    <s v=""/>
    <s v="Fora Perfil;Instagram"/>
    <s v="Pipeline de Vendas"/>
    <s v="Agendamento (0%)"/>
    <s v=""/>
    <d v="2026-01-31T00:00:00"/>
    <m/>
    <m/>
    <n v="17"/>
    <s v="Paulo Souza"/>
    <d v="2026-01-21T00:00:00"/>
    <d v="1899-12-30T12:23:03"/>
    <s v=""/>
    <s v="Perdido"/>
    <d v="2026-02-07T00:00:00"/>
    <d v="1899-12-30T07:43:30"/>
    <s v="Fora do porte mínimo (sem fit estrutural)"/>
    <s v=""/>
    <s v=""/>
    <x v="0"/>
    <s v="Rayssa Karapeticov"/>
    <x v="0"/>
    <s v=""/>
    <m/>
    <m/>
    <s v=""/>
    <s v=""/>
    <s v=""/>
    <s v=""/>
    <n v="1"/>
  </r>
  <r>
    <x v="2"/>
    <n v="850"/>
    <m/>
    <n v="3150"/>
    <s v=""/>
    <s v=""/>
    <x v="395"/>
    <n v="27343071000143"/>
    <s v=""/>
    <s v="MILENE DIAS"/>
    <s v="(11) 95992-5385"/>
    <s v=""/>
    <s v="administrativo@bombemi.com.br"/>
    <s v=""/>
    <s v=""/>
    <s v=""/>
    <s v="São Paulo"/>
    <s v=""/>
    <s v="Site"/>
    <s v=""/>
    <s v=""/>
    <s v="Dentro Perfil;Solicita demo"/>
    <s v="Pipeline de Vendas"/>
    <s v="Qualificação de Vendas (SQL) (25%)"/>
    <s v=""/>
    <d v="2026-01-31T00:00:00"/>
    <m/>
    <m/>
    <n v="1"/>
    <s v="Paulo Souza"/>
    <d v="2026-01-21T00:00:00"/>
    <d v="1899-12-30T12:24:02"/>
    <s v=""/>
    <s v="Perdido"/>
    <d v="2026-01-22T00:00:00"/>
    <d v="1899-12-30T10:03:56"/>
    <s v="Preço muito alto - fora do budget de investimento"/>
    <s v=""/>
    <s v=""/>
    <x v="0"/>
    <s v="Rayssa Karapeticov"/>
    <x v="0"/>
    <s v=""/>
    <m/>
    <m/>
    <s v=""/>
    <s v=""/>
    <s v=""/>
    <s v=""/>
    <n v="1"/>
  </r>
  <r>
    <x v="1"/>
    <n v="851"/>
    <m/>
    <n v="3151"/>
    <s v="14:08, 21/01/2026 Junior Lopes: Olá Edmilson, boa tarde ! Aqui é Junior da Guarani sistemas, Td bem ?_x000a_(26/01/2026) Ola Edmilson, bom dia tudo bem ? _x000a_Sobre as soluções em software ERP e Força de vendas Guarani ! Tem interesse em conhecer? _x000a_21/01/2026 - envio de Aúdio me apresentando e solicitando data para falarmos _x000a_15:30, 23/01/2026 Junior Lopes: Olá Edmilson, boa tarde_x000a_17:08, 27/01/2026 Junior Lopes: Olá, Edmilson! Como não conseguimos evoluir nossa conversa nos últimos dias, entendo que talvez este não seja o momento ideal para focarmos na Solução ERP e Força de vendas. Estou encerrando o seu processo por aqui para não lotar sua caixa de entrada. Vou deixar seu contato salvo e, assim que suas prioridades mudarem, sinta-se à vontade para me chamar_x000a_(18/05/2026) Após varias tentativas de contato , sem sucesso ! estou declinando oportunidade"/>
    <s v=""/>
    <x v="396"/>
    <m/>
    <s v=""/>
    <s v="Édy Distribuidora de Alimentos"/>
    <s v="12997313349"/>
    <s v=""/>
    <s v="edmilson.goulart1@gmail.com"/>
    <s v=""/>
    <s v=""/>
    <s v=""/>
    <s v=""/>
    <s v=""/>
    <s v="Campanha"/>
    <s v=""/>
    <s v=""/>
    <s v="Dentro Perfil;Instagram"/>
    <s v="Pipeline de Vendas"/>
    <s v="Qualificação de Vendas (SQL) (25%)"/>
    <s v=""/>
    <d v="2026-01-31T00:00:00"/>
    <m/>
    <m/>
    <n v="117"/>
    <s v="Paulo Souza"/>
    <d v="2026-01-21T00:00:00"/>
    <d v="1899-12-30T12:30:13"/>
    <s v=""/>
    <s v="Perdido"/>
    <d v="2026-05-18T00:00:00"/>
    <d v="1899-12-30T14:43:41"/>
    <s v="Sem qualificação — contato não atende ligações nem responde msg"/>
    <s v="(18/05/2026) Após varias tentativas de contato , sem sucesso ! estou declinando oportunidade"/>
    <s v=""/>
    <x v="0"/>
    <s v="Junior Lopes"/>
    <x v="0"/>
    <s v=""/>
    <d v="2026-05-18T00:00:00"/>
    <m/>
    <s v=""/>
    <s v=""/>
    <s v=""/>
    <s v=""/>
    <n v="1"/>
  </r>
  <r>
    <x v="2"/>
    <n v="853"/>
    <m/>
    <n v="3154"/>
    <s v="22/01/2026 Rayssa Karapeticov - Comercial - Guarani Sistemas: Bom dia Roberto, como vai? _x000a_29/01 Ok, entendi o objeto. Vejo que não estaremos aptos a fazer o investimento com a sua empresa._x000a_Fica agradecido._x000a_Obrigado pela franqueza e informações._x000a_É a Rayssa da Guarani Sistemas _x000a_recebi seu contato para falar de nossas soluções, você prefere que eu te ligue ou trate por aqui?_x000a_12:34, 22/01/2026 +55 62 8181-2473: Bom dia!_x000a_Pode ser por aqui..._x000a_15:40, 22/01/2026 Rayssa Karapeticov - Comercial - Guarani Sistemas: Perfeito, me passa o que esta procurando de solução de software e como posso te ajudar?_x000a_26/01/2026 Rayssa Karapeticov - Comercial - Guarani Sistemas: Bom dia Roberto como vai?_x000a_Para que possamos avançar, preciso entende um pouco da sua empresa e como as soluções da Guarani Sistemas podem potencializar seus processos e faturamento. _x000a_Podemos conversar?_x000a_27-01 Bom dia Roberto, tudo bem?_x000a_Ainda tem interesse em seguir com uma solução técnologica para sua empresa?_x000a_28/01 Somos uma empresa distribuição de secos e molhados._x000a_Faturamento médio de 350 mil mês_x000a_Trabalhamos com venda direta e pré-venda._x000a_7 vendedores externos_x000a_5 usuário do ERP interno._x000a_Certo, quantos CNPJs?_x000a_2 CNPJ_x000a_vocês precisam controlar lote e validade?_x000a_É interessante, embora não estamos fazendo. Por isso a mudança de ERP..."/>
    <s v=""/>
    <x v="397"/>
    <n v="8439142000161"/>
    <s v=""/>
    <s v="MSRAC"/>
    <s v="62981812473"/>
    <s v=""/>
    <s v="roberto@msrac.com.br"/>
    <s v=""/>
    <s v=""/>
    <s v=""/>
    <s v=""/>
    <s v=""/>
    <s v="Campanha"/>
    <s v=""/>
    <s v=""/>
    <s v="Dentro Perfil;Instagram"/>
    <s v="Pipeline de Vendas"/>
    <s v="Apresentar Proposta (50%)"/>
    <s v=""/>
    <d v="2026-03-31T00:00:00"/>
    <n v="58800"/>
    <n v="873144"/>
    <n v="8"/>
    <s v="Paulo Souza"/>
    <d v="2026-01-21T00:00:00"/>
    <d v="1899-12-30T21:58:26"/>
    <s v=""/>
    <s v="Perdido"/>
    <d v="2026-01-29T00:00:00"/>
    <d v="1899-12-30T16:08:35"/>
    <s v="Preço muito alto - fora do budget de investimento"/>
    <s v=""/>
    <s v=""/>
    <x v="175"/>
    <s v="Rayssa Karapeticov"/>
    <x v="189"/>
    <s v="29/01/2026"/>
    <d v="2026-01-28T00:00:00"/>
    <m/>
    <s v=""/>
    <s v=""/>
    <s v=""/>
    <s v=""/>
    <n v="1"/>
  </r>
  <r>
    <x v="2"/>
    <n v="854"/>
    <m/>
    <n v="3155"/>
    <s v=""/>
    <s v=""/>
    <x v="398"/>
    <m/>
    <s v=""/>
    <s v="Mundo Das Águas Turismo"/>
    <s v="4599648080"/>
    <s v=""/>
    <s v="mundodasaguasturismo@gmail.com"/>
    <s v=""/>
    <s v=""/>
    <s v=""/>
    <s v=""/>
    <s v=""/>
    <s v="Campanha"/>
    <s v=""/>
    <s v=""/>
    <s v="Fora Perfil;Instagram"/>
    <s v="Pipeline de Vendas"/>
    <s v="Agendamento (0%)"/>
    <s v=""/>
    <d v="2026-01-22T00:00:00"/>
    <m/>
    <m/>
    <n v="0"/>
    <s v="Paulo Souza"/>
    <d v="2026-01-22T00:00:00"/>
    <d v="1899-12-30T15:01:30"/>
    <s v=""/>
    <s v="Perdido"/>
    <d v="2026-01-22T00:00:00"/>
    <d v="1899-12-30T15:42:36"/>
    <s v="Fora do porte mínimo (sem fit estrutural)"/>
    <s v=""/>
    <s v=""/>
    <x v="0"/>
    <s v="Rayssa Karapeticov"/>
    <x v="0"/>
    <s v=""/>
    <m/>
    <m/>
    <s v=""/>
    <s v=""/>
    <s v=""/>
    <s v=""/>
    <n v="1"/>
  </r>
  <r>
    <x v="1"/>
    <n v="860"/>
    <m/>
    <n v="3164"/>
    <s v="23/01/2026 Enviei mensagem para Adriano me apresentando, aguardando resposta para agendar um bate papo _x000a_(26/01/2026) buscando contato, enviei áudio buscando o melhor momento para falarmos sobre as soluções _x000a_(29/01/2026) Após tentativas de contato sem sucesso estou desacatando oportunidade !_x000a_Olá Adriano ! Td bem ? _x000a_Tentei contato com você sobre nossas soluções ! Porém não tivemos sucesso no contato, acredito que você esteja com outras prioridades nesse momento _x000a_Para não ficar incomodando vou descartar nosso contato por aqui ! Vou deixar seu contato salvo se suas prioridades mudarem me chame por favor _x000a_Abraço"/>
    <s v=""/>
    <x v="399"/>
    <n v="1399482000167"/>
    <s v=""/>
    <s v="Bral-Max Ind.Com.Plasticos Ltda"/>
    <s v="24999136531"/>
    <s v=""/>
    <s v="adriano@bral-max.com.br"/>
    <s v=""/>
    <s v=""/>
    <s v=""/>
    <s v=""/>
    <s v=""/>
    <s v="Campanha"/>
    <s v=""/>
    <s v=""/>
    <s v="Dentro Perfil;Instagram"/>
    <s v="Pipeline de Vendas"/>
    <s v="Qualificação de Vendas (SQL) (25%)"/>
    <s v=""/>
    <d v="2026-01-31T00:00:00"/>
    <m/>
    <m/>
    <n v="106"/>
    <s v="Paulo Souza"/>
    <d v="2026-01-23T00:00:00"/>
    <d v="1899-12-30T10:04:40"/>
    <s v=""/>
    <s v="Perdido"/>
    <d v="2026-05-09T00:00:00"/>
    <d v="1899-12-30T07:44:36"/>
    <s v="Sem qualificação — contato não atende ligações nem responde msg"/>
    <s v=""/>
    <s v=""/>
    <x v="0"/>
    <s v="Junior Lopes"/>
    <x v="0"/>
    <s v=""/>
    <d v="2026-01-29T00:00:00"/>
    <m/>
    <s v=""/>
    <s v=""/>
    <s v=""/>
    <s v=""/>
    <n v="1"/>
  </r>
  <r>
    <x v="2"/>
    <n v="861"/>
    <m/>
    <n v="3165"/>
    <s v="tentativa de contato_x000a_26/01 - Faz venda porta a porta e tem PDV _x000a_13.02 Tentei contato por ligação e não atendeu_x000a_É um cliente que eu já havia conversado e faz venda PAP, atualmente o Guarani não atende ao que procura _x000a_Fora do perfil"/>
    <s v=""/>
    <x v="400"/>
    <m/>
    <s v=""/>
    <s v="Multiple business service"/>
    <s v="19971619676"/>
    <s v=""/>
    <s v="thomazdistribuidora@gmail.com"/>
    <s v=""/>
    <s v=""/>
    <s v=""/>
    <s v=""/>
    <s v=""/>
    <s v="Campanha"/>
    <s v=""/>
    <s v=""/>
    <s v="Fora Perfil;Instagram"/>
    <s v="Pipeline de Vendas"/>
    <s v="Agendamento (0%)"/>
    <s v=""/>
    <d v="2026-01-31T00:00:00"/>
    <m/>
    <m/>
    <n v="21"/>
    <s v="Paulo Souza"/>
    <d v="2026-01-23T00:00:00"/>
    <d v="1899-12-30T10:37:23"/>
    <s v=""/>
    <s v="Perdido"/>
    <d v="2026-02-13T00:00:00"/>
    <d v="1899-12-30T17:25:09"/>
    <s v="Fora do porte mínimo (sem fit estrutural)"/>
    <s v=""/>
    <s v=""/>
    <x v="0"/>
    <s v="Rayssa Karapeticov"/>
    <x v="0"/>
    <s v=""/>
    <d v="2026-02-13T00:00:00"/>
    <m/>
    <s v=""/>
    <s v=""/>
    <s v=""/>
    <s v=""/>
    <n v="1"/>
  </r>
  <r>
    <x v="0"/>
    <n v="862"/>
    <m/>
    <n v="3166"/>
    <s v="23/01 Apresentar o sistema ERP + AFV hoje as 14h para o Gerson (consultor)_x000a_23/01 23/01 Foi feito apresentação para o cliente do institucional e AFV.  em resumo, a apresentação foi direcionada para a importadora DINATALE (Diego). Porém entrou na reunião a CASAART (William) e também o Mauricio cuja a empresa ainda não conheço. O Gerson (consultor0 que esta conduzindo o projeto participou e informou que são 5 empresa no total, a ideia é conseguir colocar o sistema nas 5 empresas. _x000a_O próximo passo é fazer uma nova agenda para a semana do dia 26/01, para apresentar o sistema novamente para uma equipe maior e expandido com o módulo OCMEX, ERP, REP+ E CONTABIL._x000a_06/02 Fiz FUP hoje com o Gerson consultor e apresentei a proposta.  Na sequência ele vai falar com o a diretoria para agendar uma nova reunião de discursão de valores."/>
    <s v=""/>
    <x v="401"/>
    <n v="82808122000173"/>
    <s v=""/>
    <s v="Gerson"/>
    <s v="(49) 9945-2608"/>
    <s v=""/>
    <s v="contabilizar.atendimento@gmail.com"/>
    <s v=""/>
    <s v=""/>
    <s v=""/>
    <s v="FLOR DO SERTAO"/>
    <s v="SC"/>
    <s v=""/>
    <s v=""/>
    <s v=""/>
    <s v="50%"/>
    <s v="Pipeline de Vendas"/>
    <s v="Em negociação (75%)"/>
    <s v=""/>
    <d v="2026-02-28T00:00:00"/>
    <n v="987029"/>
    <n v="1811884"/>
    <n v="34"/>
    <s v="Paulo Souza"/>
    <d v="2026-01-23T00:00:00"/>
    <d v="1899-12-30T11:23:43"/>
    <s v=""/>
    <s v="Ganho"/>
    <d v="2026-02-26T00:00:00"/>
    <d v="1899-12-30T21:52:56"/>
    <s v=""/>
    <s v=""/>
    <s v=""/>
    <x v="118"/>
    <s v="Paulo Souza"/>
    <x v="126"/>
    <s v=""/>
    <d v="2026-02-27T00:00:00"/>
    <n v="50"/>
    <s v="270"/>
    <s v="ERP, AFV, BI, WMS, COMEX, ADICIONAIS"/>
    <s v="R$ 65.502,90"/>
    <s v="R$ 17.071,80"/>
    <n v="1"/>
  </r>
  <r>
    <x v="0"/>
    <n v="864"/>
    <m/>
    <n v="3169"/>
    <s v="23/01 Fiz FUP hoje com o Junior e o mesmo mencionou que a diretoria achou o valor da mensalidade alta. falou que tem contrato fechado com a GETT com mensal de R$900,00._x000a_Falar com o Fábio e negociar melhor essa questão._x000a_20/03 Hoje foi aberto um ticket para acompanhar dar apoio nas configurações do comex para que o pessoal consiga usar."/>
    <s v=""/>
    <x v="402"/>
    <m/>
    <s v=""/>
    <s v="Junior"/>
    <s v="19987126669"/>
    <s v=""/>
    <s v="junior@tiinfra.com.br"/>
    <s v=""/>
    <s v=""/>
    <s v=""/>
    <s v=""/>
    <s v=""/>
    <s v="BaseGua"/>
    <s v=""/>
    <s v=""/>
    <s v="30%"/>
    <s v="Pipeline de Vendas"/>
    <s v="Em Fechamento (100%)"/>
    <s v=""/>
    <d v="2026-01-31T00:00:00"/>
    <n v="10000"/>
    <n v="2000"/>
    <n v="117"/>
    <s v="Paulo Souza"/>
    <d v="2026-01-23T00:00:00"/>
    <d v="1899-12-30T16:24:12"/>
    <s v=""/>
    <s v="Ativo"/>
    <m/>
    <m/>
    <s v=""/>
    <s v=""/>
    <s v=""/>
    <x v="176"/>
    <s v="Paulo Souza"/>
    <x v="190"/>
    <s v=""/>
    <d v="2026-03-20T00:00:00"/>
    <n v="30"/>
    <s v="20"/>
    <s v="COMEX"/>
    <s v="R$ 10.000"/>
    <s v="R$ 2.000"/>
    <n v="1"/>
  </r>
  <r>
    <x v="0"/>
    <n v="865"/>
    <m/>
    <n v="3170"/>
    <s v="23/01 Fiz FUP com a Simone e o próximo asso e fazer a proposta._x000a_A principal dor do cliente é centralizar a operação em um único sistema, garantindo maior fluidez nos processos, redução de falhas de integração e ganho de produtividade, principalmente nas áreas comercial, faturamento e backoffice._x000a_06/02 Foi apresentado a proposta, que esta sob-analsie da diretoria._x000a_26/02 Fiz FUP com a Simone para saber se vamos seguir ou não._x000a_20/03 Estou cobrando a Simone se vamos seguir ou não."/>
    <s v=""/>
    <x v="403"/>
    <n v="13303103000172"/>
    <s v=""/>
    <s v="Simone"/>
    <s v="(49) 3322-8576 / (49) 3644-0850"/>
    <s v=""/>
    <s v="toyehome@toyehome.com.br"/>
    <s v=""/>
    <s v=""/>
    <s v=""/>
    <s v="CHAPECO"/>
    <s v="SC"/>
    <s v="Inbound"/>
    <s v=""/>
    <s v=""/>
    <s v="50%"/>
    <s v="Pipeline de Vendas"/>
    <s v="Em negociação (75%)"/>
    <s v=""/>
    <d v="2026-03-31T00:00:00"/>
    <n v="59184"/>
    <n v="488139"/>
    <n v="77"/>
    <s v="Paulo Souza"/>
    <d v="2026-01-23T00:00:00"/>
    <d v="1899-12-30T16:52:07"/>
    <s v=""/>
    <s v="Perdido"/>
    <d v="2026-04-10T00:00:00"/>
    <d v="1899-12-30T17:22:13"/>
    <s v="Projeto adiado / sem prazo definido"/>
    <s v=""/>
    <s v=""/>
    <x v="176"/>
    <s v="Paulo Souza"/>
    <x v="190"/>
    <s v=""/>
    <d v="2026-03-20T00:00:00"/>
    <n v="50"/>
    <s v="320"/>
    <s v="ERP, AFV, ADICIONAIS"/>
    <s v="R$ 79.311,16"/>
    <s v="R$ 6.145,44"/>
    <n v="1"/>
  </r>
  <r>
    <x v="2"/>
    <n v="866"/>
    <m/>
    <n v="3177"/>
    <s v="26/01 - é uma industria e esta buscando software de gestão da empresa. _x000a_Estou tentando marcar reunião mas o cliente não atende_x000a_27/01 - Bom dia Micael, tudo bem?_x000a_Ainda tem interesse em seguir com uma solução técnologica para sua empresa?"/>
    <s v=""/>
    <x v="404"/>
    <m/>
    <s v=""/>
    <s v="Lcosmeticos"/>
    <s v="11957608058"/>
    <s v=""/>
    <s v="carriaomicael@gmail.com"/>
    <s v=""/>
    <s v=""/>
    <s v=""/>
    <s v=""/>
    <s v=""/>
    <s v="Campanha"/>
    <s v=""/>
    <s v=""/>
    <s v="Dentro Perfil;Instagram"/>
    <s v="Pipeline de Vendas"/>
    <s v="Agendamento (0%)"/>
    <s v=""/>
    <d v="2026-01-31T00:00:00"/>
    <m/>
    <m/>
    <n v="3"/>
    <s v="Paulo Souza"/>
    <d v="2026-01-26T00:00:00"/>
    <d v="1899-12-30T13:12:42"/>
    <s v=""/>
    <s v="Perdido"/>
    <d v="2026-01-29T00:00:00"/>
    <d v="1899-12-30T16:04:41"/>
    <s v="Não houve aprovação financeira"/>
    <s v=""/>
    <s v=""/>
    <x v="0"/>
    <s v="Rayssa Karapeticov"/>
    <x v="0"/>
    <s v=""/>
    <d v="2026-01-27T00:00:00"/>
    <m/>
    <s v=""/>
    <s v=""/>
    <s v=""/>
    <s v=""/>
    <n v="1"/>
  </r>
  <r>
    <x v="1"/>
    <n v="867"/>
    <m/>
    <n v="3176"/>
    <s v="(27/01/2026) em contato com Thales , ficamos de falar por telefone as 11;30 horas do dia 27/01_x000a_(27/01/2026) Reunião de apresentação primeira Etapa AFV em 28/01/2026 as 14 horas _x000a_(28/01/2026) apresentação do força de vendas na integra e vídeos do força de vendas _x000a_cliente pediu para seguirmos com proposta comercial para ver se está dentro do sua previsão de investimento _x000a_(19/02/2026) Thales achou valor acima para o momento"/>
    <s v=""/>
    <x v="405"/>
    <n v="16743404000105"/>
    <s v=""/>
    <s v="MINAS MIX"/>
    <s v="3194143043"/>
    <s v=""/>
    <s v="thales_david@hotmail.com"/>
    <s v=""/>
    <s v=""/>
    <s v=""/>
    <s v="BELO HORIZONTE"/>
    <s v="MG"/>
    <s v="Campanha"/>
    <s v=""/>
    <s v=""/>
    <s v="30%;Dentro Perfil;Instagram"/>
    <s v="Pipeline de Vendas"/>
    <s v="Apresentar Proposta (50%)"/>
    <s v=""/>
    <d v="2026-02-28T00:00:00"/>
    <n v="61904"/>
    <n v="10192"/>
    <n v="24"/>
    <s v="Paulo Souza"/>
    <d v="2026-01-26T00:00:00"/>
    <d v="1899-12-30T13:15:19"/>
    <s v=""/>
    <s v="Perdido"/>
    <d v="2026-02-19T00:00:00"/>
    <d v="1899-12-30T16:36:15"/>
    <s v="Não houve aprovação financeira"/>
    <s v="(19/02/2026) Thales achou valor acima para o momento"/>
    <s v=""/>
    <x v="175"/>
    <s v="Junior Lopes"/>
    <x v="191"/>
    <s v=""/>
    <d v="2026-02-19T00:00:00"/>
    <n v="30"/>
    <s v=""/>
    <s v=""/>
    <s v=""/>
    <s v=""/>
    <n v="1"/>
  </r>
  <r>
    <x v="2"/>
    <n v="868"/>
    <m/>
    <n v="3174"/>
    <s v="Usa o sistema da Linx, é um armazem de bebida e fazvendas por Zé delivery e Ifood."/>
    <s v=""/>
    <x v="406"/>
    <m/>
    <s v=""/>
    <s v="Brasa e Malte"/>
    <s v="31997703979"/>
    <s v=""/>
    <s v="jsamaurin@gmail.com"/>
    <s v=""/>
    <s v=""/>
    <s v=""/>
    <s v=""/>
    <s v=""/>
    <s v="Campanha"/>
    <s v=""/>
    <s v=""/>
    <s v="Fora Perfil;Instagram"/>
    <s v="Pipeline de Vendas"/>
    <s v="Agendamento (0%)"/>
    <s v=""/>
    <d v="2026-01-31T00:00:00"/>
    <m/>
    <m/>
    <n v="0"/>
    <s v="Paulo Souza"/>
    <d v="2026-01-26T00:00:00"/>
    <d v="1899-12-30T13:17:49"/>
    <s v=""/>
    <s v="Perdido"/>
    <d v="2026-01-26T00:00:00"/>
    <d v="1899-12-30T14:29:56"/>
    <s v="Fora do porte mínimo (sem fit estrutural)"/>
    <s v=""/>
    <s v=""/>
    <x v="0"/>
    <s v="Rayssa Karapeticov"/>
    <x v="0"/>
    <s v=""/>
    <m/>
    <m/>
    <s v=""/>
    <s v=""/>
    <s v=""/>
    <s v=""/>
    <n v="1"/>
  </r>
  <r>
    <x v="1"/>
    <n v="869"/>
    <m/>
    <n v="3175"/>
    <s v="17:09, 26/01/2026 Junior Lopes: Olá Leonan ! Boa tarde _x000a_Sou Junior Lopes da Guarani sistemas, Td bem ?_x000a_17:11, 26/01/2026 Leonan: opa boa tarde_x000a_09:05, 27/01/2026 Junior Lopes: Olá Leonan, bom dia tudo bem ?_x000a_09:06, 27/01/2026 Junior Lopes: podemos bater um papo por telefone hoje as 14 horas ? a ideia é entender suas necessidades e te apresentar uma solução para te ajudar_x000a_17:25, 27/01/2026 Junior Lopes: Olá, Leonan! Como não conseguimos evoluir nossa conversa nos últimos dias, entendo que talvez este não seja o momento ideal para focarmos na Solução ERP e Força de vendas. Estou encerrando o seu processo por aqui para não lotar sua caixa de entrada. Vou deixar seu contato salvo e, assim que suas prioridades mudarem, sinta-se à vontade para me chamar"/>
    <s v=""/>
    <x v="407"/>
    <m/>
    <s v=""/>
    <s v="Leme"/>
    <s v="11976239673"/>
    <s v=""/>
    <s v="leonamj@gmail.com"/>
    <s v=""/>
    <s v=""/>
    <s v=""/>
    <s v=""/>
    <s v=""/>
    <s v="Campanha"/>
    <s v=""/>
    <s v=""/>
    <s v="Dentro Perfil;Instagram"/>
    <s v="Pipeline de Vendas"/>
    <s v="Agendamento (0%)"/>
    <s v=""/>
    <d v="2026-01-31T00:00:00"/>
    <m/>
    <m/>
    <n v="103"/>
    <s v="Paulo Souza"/>
    <d v="2026-01-26T00:00:00"/>
    <d v="1899-12-30T13:19:44"/>
    <s v=""/>
    <s v="Perdido"/>
    <d v="2026-05-09T00:00:00"/>
    <d v="1899-12-30T08:11:38"/>
    <s v="Sem qualificação — contato não atende ligações nem responde msg"/>
    <s v=""/>
    <s v=""/>
    <x v="0"/>
    <s v="Junior Lopes"/>
    <x v="0"/>
    <s v=""/>
    <d v="2026-01-27T00:00:00"/>
    <m/>
    <s v=""/>
    <s v=""/>
    <s v=""/>
    <s v=""/>
    <n v="1"/>
  </r>
  <r>
    <x v="2"/>
    <n v="870"/>
    <m/>
    <n v="3173"/>
    <s v="14:32, 1/26/2026 Rayssa Karapeticov - Comercial - Guarani Sistemas: Boa tarde, Adriano, como vai? _x000a_É a Rayssa da Guarani Sistemas _x000a_recebi seu contato para falar de nossas soluções, você prefere que eu te ligue ou trate por aqui?_x000a_15:53, 1/26/2026 +55 16 99614-4458: AMANHÃ ENTRO EM CONTATO_x000a_15:54, 1/26/2026 Rayssa Karapeticov - Comercial - Guarani Sistemas: Perfeito, aguardo retorno_x000a_09:53, 1/27/2026 Rayssa Karapeticov - Comercial - Guarani Sistemas: Bom dia Adriano, tudo bem? _x000a_Conseguimos falar hoje?_x000a_05.02 - Sem retorno do cliente Sem retorno do cliente _x000a_17.02Usa um  sistema do Rio grande do Sul Nova gestor e tem duas dificuldades _x000a_Não comunica com o banco C6Bank _x000a_Ordem de produção _x000a_São uma indústria química por batelada _x000a_Várias tipos de embalagem _x000a_Adesivos industriais _x000a_Minas Gerais - _x000a_8 RCA _x000a_3 pessoas _x000a_Atualmente pagar R$290,00 por mes com todos esses acessos, então fica inviavel a contratação"/>
    <s v=""/>
    <x v="408"/>
    <m/>
    <s v=""/>
    <s v="Kicollaadesivos.com.br"/>
    <s v="16996144458"/>
    <s v=""/>
    <s v="adrianosoaresm@yahoo.com.br"/>
    <s v=""/>
    <s v=""/>
    <s v=""/>
    <s v=""/>
    <s v=""/>
    <s v="Campanha"/>
    <s v=""/>
    <s v=""/>
    <s v="30%;Dentro Perfil;Instagram"/>
    <s v="Pipeline de Vendas"/>
    <s v="Qualificação de Vendas (SQL) (25%)"/>
    <s v=""/>
    <d v="2026-01-31T00:00:00"/>
    <m/>
    <m/>
    <n v="22"/>
    <s v="Paulo Souza"/>
    <d v="2026-01-26T00:00:00"/>
    <d v="1899-12-30T13:21:08"/>
    <s v=""/>
    <s v="Perdido"/>
    <d v="2026-02-17T00:00:00"/>
    <d v="1899-12-30T16:11:30"/>
    <s v="Preço muito alto - fora do budget de investimento"/>
    <s v=""/>
    <s v=""/>
    <x v="0"/>
    <s v="Rayssa Karapeticov"/>
    <x v="0"/>
    <s v=""/>
    <d v="2026-02-17T00:00:00"/>
    <n v="30"/>
    <s v=""/>
    <s v=""/>
    <s v=""/>
    <s v=""/>
    <n v="1"/>
  </r>
  <r>
    <x v="0"/>
    <n v="871"/>
    <m/>
    <n v="3172"/>
    <s v="contato realizado com o Alexanre, sem sucesso. Deixei msg no zap para faalrmos amanha!_x000a_28/01 Fiz FUP hoje com o Alexandre, sem sucesso. Deixei novamente recado no whatsapp e e-mail!_x000a_12/03 Por falta de retorno e interesse estou declinando o lead foi feita diversas tentativa de comunicação sem sucesso."/>
    <s v=""/>
    <x v="409"/>
    <n v="19933187000104"/>
    <s v=""/>
    <s v="Giacom Distribuidora Ltda"/>
    <s v="11918764203"/>
    <s v=""/>
    <s v="alexandre@giacomdistribuidora.com.br"/>
    <s v=""/>
    <s v=""/>
    <s v=""/>
    <s v=""/>
    <s v=""/>
    <s v="Campanha"/>
    <s v=""/>
    <s v=""/>
    <s v="30%;Dentro Perfil;Instagram"/>
    <s v="Pipeline de Vendas"/>
    <s v="Qualificação de Vendas (SQL) (25%)"/>
    <s v=""/>
    <d v="2026-01-31T00:00:00"/>
    <m/>
    <m/>
    <n v="45"/>
    <s v="Paulo Souza"/>
    <d v="2026-01-26T00:00:00"/>
    <d v="1899-12-30T13:21:53"/>
    <s v=""/>
    <s v="Perdido"/>
    <d v="2026-03-12T00:00:00"/>
    <d v="1899-12-30T17:29:31"/>
    <s v="Fora do porte mínimo (sem fit estrutural)"/>
    <s v=""/>
    <s v=""/>
    <x v="0"/>
    <s v="Paulo Souza"/>
    <x v="0"/>
    <s v=""/>
    <d v="2026-03-12T00:00:00"/>
    <n v="30"/>
    <s v=""/>
    <s v=""/>
    <s v=""/>
    <s v=""/>
    <n v="1"/>
  </r>
  <r>
    <x v="0"/>
    <n v="872"/>
    <m/>
    <n v="3178"/>
    <s v="Fiz o primeiro contato com a Maria e agendamos amanhã às 14h._x000a_28/01 Fiz FUP hoje com a maria sem sucesso. Liguei não atendeu , deixei recado no whats app e estou aguardando retorno._x000a_28/01 Consegui fazer a apresentação institucional para a Maria. O próximo passo é enviar a proposta !_x000a_06/02 Fiz uma reunião onde apresentei a proposta. A Maria, foi bem objetiva e falou que o valor ficou bem acima dos demais concorrentes, mesmo assim ela vai ter uma reunião com a diretoria na próxima semana e me retorna se seguiremos ou não!_x000a_26/02 Fiz FUP com a Maria cobrando uma posição se seguiremos ou não._x000a_27/02 Por falta de interação e retorno do cliente estou declinando a proposta."/>
    <s v=""/>
    <x v="410"/>
    <m/>
    <s v=""/>
    <s v="Maria"/>
    <s v="(11) 97129-2472"/>
    <s v=""/>
    <s v="financeiro@autovolth.com.br"/>
    <s v=""/>
    <s v=""/>
    <s v=""/>
    <s v="São Paulo"/>
    <s v=""/>
    <s v="Site"/>
    <s v=""/>
    <s v=""/>
    <s v="50%;Solicita demo"/>
    <s v="Pipeline de Vendas"/>
    <s v="Em negociação (75%)"/>
    <s v=""/>
    <d v="2026-02-28T00:00:00"/>
    <n v="701343"/>
    <n v="17345"/>
    <n v="32"/>
    <s v="Paulo Souza"/>
    <d v="2026-01-26T00:00:00"/>
    <d v="1899-12-30T17:09:40"/>
    <s v=""/>
    <s v="Perdido"/>
    <d v="2026-02-27T00:00:00"/>
    <d v="1899-12-30T21:20:57"/>
    <s v="Projeto adiado / sem prazo definido"/>
    <s v=""/>
    <s v=""/>
    <x v="177"/>
    <s v="Paulo Souza"/>
    <x v="192"/>
    <s v=""/>
    <d v="2026-02-26T00:00:00"/>
    <n v="50"/>
    <s v="330"/>
    <s v="ERP, PCP, ADICIONAIS"/>
    <s v="R$ 66.000"/>
    <s v="R$ 5.868,80"/>
    <n v="1"/>
  </r>
  <r>
    <x v="1"/>
    <n v="873"/>
    <m/>
    <n v="3179"/>
    <s v="(27/01/2026) Olá Fábio ! Bom dia _x000a_Sou Junior Lopes da Guarani sistemas, Td bem ?_x000a_acrescentei um áudio me apresentando e sugerindo um bate papo hoje as 14 horas _x000a_(29/01/2026) tentativa de contato sem retorno do Fabio !_x000a_Olá Fábio ! Estou tentando contato para falarmos sobre as soluções Guarani ! _x000a_Porém devido a falta de retorno acredito que você está com outras prioridades _x000a_Vou deixar seu contato salvo caso em breve queira conversar _x000a_Um grande abraço"/>
    <s v=""/>
    <x v="411"/>
    <m/>
    <s v=""/>
    <s v="FB dis"/>
    <s v="11992758370"/>
    <s v=""/>
    <s v="fabiojb80@gmail.com"/>
    <s v=""/>
    <s v=""/>
    <s v=""/>
    <s v=""/>
    <s v=""/>
    <s v="Campanha"/>
    <s v=""/>
    <s v=""/>
    <s v="Dentro Perfil;Instagram"/>
    <s v="Pipeline de Vendas"/>
    <s v="Agendamento (0%)"/>
    <s v=""/>
    <m/>
    <m/>
    <m/>
    <n v="102"/>
    <s v="Paulo Souza"/>
    <d v="2026-01-27T00:00:00"/>
    <d v="1899-12-30T08:39:12"/>
    <s v=""/>
    <s v="Perdido"/>
    <d v="2026-05-09T00:00:00"/>
    <d v="1899-12-30T08:13:07"/>
    <s v="Sem qualificação — contato não atende ligações nem responde msg"/>
    <s v=""/>
    <s v=""/>
    <x v="0"/>
    <s v="Junior Lopes"/>
    <x v="0"/>
    <s v=""/>
    <d v="2026-01-29T00:00:00"/>
    <m/>
    <s v=""/>
    <s v=""/>
    <s v=""/>
    <s v=""/>
    <n v="1"/>
  </r>
  <r>
    <x v="2"/>
    <n v="874"/>
    <m/>
    <n v="3180"/>
    <s v=""/>
    <s v=""/>
    <x v="412"/>
    <m/>
    <s v=""/>
    <s v="Scientech Ambiental"/>
    <s v="11999733410"/>
    <s v=""/>
    <s v="luissscaro@hotmail.com"/>
    <s v=""/>
    <s v=""/>
    <s v=""/>
    <s v=""/>
    <s v=""/>
    <s v="Campanha"/>
    <s v=""/>
    <s v=""/>
    <s v="Fora Perfil;Instagram"/>
    <s v="Pipeline de Vendas"/>
    <s v="Agendamento (0%)"/>
    <s v=""/>
    <d v="2026-01-31T00:00:00"/>
    <m/>
    <m/>
    <n v="2"/>
    <s v="Paulo Souza"/>
    <d v="2026-01-27T00:00:00"/>
    <d v="1899-12-30T08:40:17"/>
    <s v=""/>
    <s v="Perdido"/>
    <d v="2026-01-29T00:00:00"/>
    <d v="1899-12-30T15:59:33"/>
    <s v="Fora do porte mínimo (sem fit estrutural)"/>
    <s v=""/>
    <s v=""/>
    <x v="0"/>
    <s v="Rayssa Karapeticov"/>
    <x v="0"/>
    <s v=""/>
    <m/>
    <m/>
    <s v=""/>
    <s v=""/>
    <s v=""/>
    <s v=""/>
    <n v="1"/>
  </r>
  <r>
    <x v="1"/>
    <n v="876"/>
    <m/>
    <n v="3182"/>
    <s v=""/>
    <s v="Orbhes Espumas E Colchoes Ltda"/>
    <x v="413"/>
    <n v="5937946000100"/>
    <s v=""/>
    <s v="Orbhes Espumas E Colchoes Ltda"/>
    <s v="(47) 3376-8400"/>
    <s v=""/>
    <s v="orbhes@orbhes.com.br"/>
    <s v=""/>
    <s v=""/>
    <s v=""/>
    <s v="JARAGUA DO SUL"/>
    <s v="SC"/>
    <s v="Base de empresas Leads2b"/>
    <s v=""/>
    <s v=""/>
    <s v="80%"/>
    <s v="Pipeline de Vendas"/>
    <s v="Em Fechamento (100%)"/>
    <s v=""/>
    <d v="2026-02-28T00:00:00"/>
    <n v="16960"/>
    <n v="32775"/>
    <n v="16"/>
    <s v="Junior Lopes"/>
    <d v="2026-01-28T00:00:00"/>
    <d v="1899-12-30T09:06:40"/>
    <s v=""/>
    <s v="Ganho"/>
    <d v="2026-02-13T00:00:00"/>
    <d v="1899-12-30T12:16:48"/>
    <s v=""/>
    <s v=""/>
    <s v=""/>
    <x v="178"/>
    <s v="Junior Lopes"/>
    <x v="193"/>
    <s v=""/>
    <m/>
    <n v="80"/>
    <s v=""/>
    <s v=""/>
    <s v=""/>
    <s v=""/>
    <n v="1"/>
  </r>
  <r>
    <x v="0"/>
    <n v="877"/>
    <m/>
    <n v="3187"/>
    <s v="28/01 Apresentar o sistema B2B para Clevis o responsável de TI e Alessandro gerente de loja. _x000a_05/02/2026 Fiz apresentação do produto e da proposta, agora negociado._x000a_26/02 Fiz FUP com o CLEVIS, hoje cobrando a reunião para negociar!_x000a_10/03 Fiz reunião ontem com o Clevis e expliquei que o que e possível em relação a isenção da mensalidade é : 4 meses da assinatura ou qdo sistema em produção._x000a_12/03 Negociando o fechamento reunião técnica para o dia 17/03 as 15h._x000a_12/03 Fiz FUP hoje com o Clevis para firmar uma agenda de uma conversa técnica para terça feira dia 17/03 as 15h. Será feito nessa reunião um alinhamento de integração do nosso B2B com o JJsistema  . _x000a_A proposta ficou em 13k e a mensalidade iniciar com com 4 meses da assinatura do contrato ou sistema em produção._x000a_20/03 Esta na fase de coleta de documentação para assinar o contrato."/>
    <s v=""/>
    <x v="414"/>
    <m/>
    <s v=""/>
    <s v="Clevis"/>
    <s v="47992119052"/>
    <s v=""/>
    <s v="null"/>
    <s v=""/>
    <s v=""/>
    <s v=""/>
    <s v=""/>
    <s v=""/>
    <s v="BaseGua"/>
    <s v=""/>
    <s v=""/>
    <s v="90%"/>
    <s v="Pipeline de Vendas"/>
    <s v="Em Fechamento (100%)"/>
    <s v=""/>
    <d v="2026-03-31T00:00:00"/>
    <n v="12000"/>
    <n v="1700"/>
    <n v="110"/>
    <s v="Paulo Souza"/>
    <d v="2026-01-28T00:00:00"/>
    <d v="1899-12-30T15:54:53"/>
    <s v=""/>
    <s v="Perdido"/>
    <d v="2026-05-18T00:00:00"/>
    <d v="1899-12-30T17:08:31"/>
    <s v="Não houve aprovação financeira"/>
    <s v=""/>
    <s v=""/>
    <x v="118"/>
    <s v="Paulo Souza"/>
    <x v="194"/>
    <s v=""/>
    <d v="2026-03-20T00:00:00"/>
    <n v="80"/>
    <s v="24"/>
    <s v="B2B"/>
    <s v="R$ 0,00"/>
    <s v="R$ 0,00"/>
    <n v="1"/>
  </r>
  <r>
    <x v="1"/>
    <n v="879"/>
    <m/>
    <n v="3192"/>
    <s v="(29/01/2026) feito ligação para Marcelo para explicar valores da proposta comercial"/>
    <s v="Portal Importacao E Exportacao De Equipamentos De Informatica Ltda"/>
    <x v="415"/>
    <n v="42371959000183"/>
    <s v=""/>
    <s v="Portal Importacao E Exportacao De Equipamentos De Informatica Ltda"/>
    <s v="(11) 8444-8642"/>
    <s v=""/>
    <s v="portal@gmail.com"/>
    <s v=""/>
    <s v=""/>
    <s v=""/>
    <s v="GUARULHOS"/>
    <s v="SP"/>
    <s v="Base de empresas Leads2b"/>
    <s v=""/>
    <s v=""/>
    <s v="30%"/>
    <s v="Pipeline de Vendas"/>
    <s v="Apresentar Proposta (50%)"/>
    <s v=""/>
    <d v="2026-02-28T00:00:00"/>
    <n v="79958"/>
    <n v="45432"/>
    <n v="25"/>
    <s v="Junior Lopes"/>
    <d v="2026-01-29T00:00:00"/>
    <d v="1899-12-30T09:56:25"/>
    <s v=""/>
    <s v="Perdido"/>
    <d v="2026-02-23T00:00:00"/>
    <d v="1899-12-30T15:07:05"/>
    <s v="Não houve aprovação financeira"/>
    <s v="cliente declinou após recebimento da proposta comercial"/>
    <s v=""/>
    <x v="175"/>
    <s v="Junior Lopes"/>
    <x v="189"/>
    <s v=""/>
    <m/>
    <n v="30"/>
    <s v=""/>
    <s v=""/>
    <s v=""/>
    <s v=""/>
    <n v="1"/>
  </r>
  <r>
    <x v="1"/>
    <n v="882"/>
    <m/>
    <n v="3199"/>
    <s v="em contato na feira Abcasa , vai seguir com AFV"/>
    <s v=""/>
    <x v="416"/>
    <m/>
    <s v=""/>
    <s v="Plasberg - ERP"/>
    <s v="75981412000"/>
    <s v=""/>
    <s v="null"/>
    <s v=""/>
    <s v=""/>
    <s v=""/>
    <s v=""/>
    <s v=""/>
    <s v=""/>
    <s v=""/>
    <s v=""/>
    <s v="50%"/>
    <s v="Pipeline de Vendas"/>
    <s v="Em negociação (75%)"/>
    <s v=""/>
    <d v="2026-02-28T00:00:00"/>
    <n v="90000"/>
    <n v="921279"/>
    <n v="15"/>
    <s v="Junior Lopes"/>
    <d v="2026-01-29T00:00:00"/>
    <d v="1899-12-30T16:10:26"/>
    <s v=""/>
    <s v="Perdido"/>
    <d v="2026-02-13T00:00:00"/>
    <d v="1899-12-30T12:24:12"/>
    <s v="Não quer mudar a solução atual"/>
    <s v="em contato na feira Abcasa , vai seguir com AFV"/>
    <s v=""/>
    <x v="179"/>
    <s v="Junior Lopes"/>
    <x v="175"/>
    <s v=""/>
    <d v="2026-02-13T00:00:00"/>
    <n v="50"/>
    <s v=""/>
    <s v=""/>
    <s v=""/>
    <s v=""/>
    <n v="1"/>
  </r>
  <r>
    <x v="1"/>
    <n v="883"/>
    <m/>
    <n v="3200"/>
    <s v="em contato na feira Abcasa , vai seguir com AFV"/>
    <s v=""/>
    <x v="113"/>
    <m/>
    <s v=""/>
    <s v="Plasberg - AFV"/>
    <s v="75981412000"/>
    <s v=""/>
    <s v="null"/>
    <s v=""/>
    <s v=""/>
    <s v=""/>
    <s v=""/>
    <s v=""/>
    <s v=""/>
    <s v=""/>
    <s v=""/>
    <s v="50%"/>
    <s v="Pipeline de Vendas"/>
    <s v="Em negociação (75%)"/>
    <s v=""/>
    <d v="2026-02-28T00:00:00"/>
    <n v="1600"/>
    <n v="599515"/>
    <n v="15"/>
    <s v="Junior Lopes"/>
    <d v="2026-01-29T00:00:00"/>
    <d v="1899-12-30T16:20:50"/>
    <s v=""/>
    <s v="Perdido"/>
    <d v="2026-02-13T00:00:00"/>
    <d v="1899-12-30T12:25:47"/>
    <s v="Não quer mudar a solução atual"/>
    <s v="em contato na feira Abcasa , vai seguir com AFV"/>
    <s v=""/>
    <x v="179"/>
    <s v="Junior Lopes"/>
    <x v="175"/>
    <s v=""/>
    <d v="2026-02-13T00:00:00"/>
    <n v="50"/>
    <s v=""/>
    <s v=""/>
    <s v=""/>
    <s v=""/>
    <n v="1"/>
  </r>
  <r>
    <x v="1"/>
    <n v="884"/>
    <m/>
    <n v="3202"/>
    <s v="10:21, 09/03/2026 Junior Lopes: Olá Breno ! Como vai ?_x000a_11:06, 09/03/2026 Breno Plasberg: Bom dia_x000a_11:07, 09/03/2026 Junior Lopes: tudo bem meu amigo ! sobre a sequencia do projeto, alguma novidade ?"/>
    <s v=""/>
    <x v="417"/>
    <m/>
    <s v=""/>
    <s v="Plasberg - AFV"/>
    <s v="75981412000"/>
    <s v=""/>
    <s v="null"/>
    <s v=""/>
    <s v=""/>
    <s v=""/>
    <s v=""/>
    <s v=""/>
    <s v=""/>
    <s v=""/>
    <s v=""/>
    <s v="50%"/>
    <s v="Pipeline de Vendas"/>
    <s v="Em Fechamento (100%)"/>
    <s v=""/>
    <d v="2026-03-31T00:00:00"/>
    <n v="149248"/>
    <n v="29499"/>
    <n v="62"/>
    <s v="Junior Lopes"/>
    <d v="2026-01-29T00:00:00"/>
    <d v="1899-12-30T16:37:42"/>
    <s v=""/>
    <s v="Ganho"/>
    <d v="2026-04-01T00:00:00"/>
    <d v="1899-12-30T15:31:20"/>
    <s v=""/>
    <s v=""/>
    <s v=""/>
    <x v="175"/>
    <s v="Junior Lopes"/>
    <x v="175"/>
    <s v="11/02/2026"/>
    <d v="2026-02-09T00:00:00"/>
    <n v="50"/>
    <s v=""/>
    <s v=""/>
    <s v=""/>
    <s v=""/>
    <n v="1"/>
  </r>
  <r>
    <x v="1"/>
    <n v="885"/>
    <m/>
    <n v="3205"/>
    <s v="(29/01/2026) em contato com Artur, esta em analise interna"/>
    <s v=""/>
    <x v="418"/>
    <n v="4312818000109"/>
    <s v=""/>
    <s v="Pino lar"/>
    <s v=""/>
    <s v=""/>
    <s v=""/>
    <s v=""/>
    <s v=""/>
    <s v=""/>
    <s v="SAO PAULO"/>
    <s v="SP"/>
    <s v=""/>
    <s v=""/>
    <s v=""/>
    <s v="30%"/>
    <s v="Pipeline de Vendas"/>
    <s v="Em negociação (75%)"/>
    <s v=""/>
    <d v="2026-02-28T00:00:00"/>
    <n v="1600"/>
    <n v="384454"/>
    <n v="20"/>
    <s v="Junior Lopes"/>
    <d v="2026-01-30T00:00:00"/>
    <d v="1899-12-30T14:50:39"/>
    <s v=""/>
    <s v="Perdido"/>
    <d v="2026-02-19T00:00:00"/>
    <d v="1899-12-30T16:32:59"/>
    <s v="Não quer mudar a solução atual"/>
    <s v="11:13, 13/02/2026 Artur Pino Pino Lar: Bom dia_x000a_11:13, 13/02/2026 Artur Pino Pino Lar: Tudo bem ?_x000a_11:13, 13/02/2026 Artur Pino Pino Lar: Optei em fechar com a Penso_x000a_11:13, 13/02/2026 Artur Pino Pino Lar: Nossa empresa de TI_x000a_11:14, 13/02/2026 Artur Pino Pino Lar: O valor , pelo pacote que temos ficou muito atrativo_x000a_11:14, 13/02/2026 Artur Pino Pino Lar: Próxima semana já vamos iniciar a carga de dados_x000a_11:14, 13/02/2026 Artur Pino Pino Lar: Mas …… obrigado !_x000a_11:16, 13/02/2026 Junior Lopes: Olá Artur , perfeito!  Vou comunicar o Fernando por aqui"/>
    <s v=""/>
    <x v="172"/>
    <s v="Junior Lopes"/>
    <x v="0"/>
    <s v=""/>
    <d v="2026-02-19T00:00:00"/>
    <n v="30"/>
    <s v=""/>
    <s v=""/>
    <s v=""/>
    <s v=""/>
    <n v="1"/>
  </r>
  <r>
    <x v="1"/>
    <n v="886"/>
    <m/>
    <n v="3207"/>
    <s v="Perfeito Cláudio ! Abraço_x000a_Olá Cláudio! Como vai ?_x000a_Olá Cláudio Td bem ? _x000a_Como não recebi seu retorno nos últimos dias, entendo que talvez não seja o melhor momento para seguirmos com projeto Guarani _x000a_Para nao lotar seu WhatsApp de mensagens estou encerrando o contato! _x000a_Caso suas prioridades mudem sigo a disposição _x000a_Abraço"/>
    <s v=""/>
    <x v="419"/>
    <m/>
    <s v=""/>
    <s v="Claudio Teixeira"/>
    <s v="43996693593"/>
    <s v=""/>
    <s v="claudioteixeirasap@hotmail.com"/>
    <s v=""/>
    <s v=""/>
    <s v=""/>
    <s v=""/>
    <s v=""/>
    <s v=""/>
    <s v=""/>
    <s v=""/>
    <s v="Dentro Perfil;Instagram"/>
    <s v="Pipeline de Vendas"/>
    <s v="Apresentar Proposta (50%)"/>
    <s v=""/>
    <m/>
    <n v="1600"/>
    <n v="252471"/>
    <n v="38"/>
    <s v="Junior Lopes"/>
    <d v="2026-01-30T00:00:00"/>
    <d v="1899-12-30T15:24:23"/>
    <s v=""/>
    <s v="Perdido"/>
    <d v="2026-03-09T00:00:00"/>
    <d v="1899-12-30T11:03:54"/>
    <s v="Projeto adiado / sem prazo definido"/>
    <s v="Perfeito Cláudio ! Abraço_x000a_Olá Cláudio! Como vai ?_x000a_Olá Cláudio Td bem ? _x000a_Como não recebi seu retorno nos últimos dias, entendo que talvez não seja o melhor momento para seguirmos com projeto Guarani _x000a_Para nao lotar seu WhatsApp de mensagens estou encerrando o contato! _x000a_Caso suas prioridades mudem sigo a disposição _x000a_Abraço"/>
    <s v=""/>
    <x v="172"/>
    <s v=""/>
    <x v="0"/>
    <s v=""/>
    <d v="2026-02-09T00:00:00"/>
    <m/>
    <s v=""/>
    <s v=""/>
    <s v=""/>
    <s v=""/>
    <n v="1"/>
  </r>
  <r>
    <x v="1"/>
    <n v="887"/>
    <m/>
    <n v="3208"/>
    <s v=""/>
    <s v=""/>
    <x v="420"/>
    <m/>
    <s v=""/>
    <s v="Mauricio Jorge Lima - Cloud"/>
    <s v="9384064995"/>
    <s v=""/>
    <s v="mauriciojlatm@gmail.com"/>
    <s v=""/>
    <s v=""/>
    <s v=""/>
    <s v=""/>
    <s v=""/>
    <s v=""/>
    <s v=""/>
    <s v=""/>
    <s v="Dentro Perfil"/>
    <s v="Pipeline de Vendas"/>
    <s v="Apresentar Solução (35%)"/>
    <s v=""/>
    <m/>
    <n v="1600"/>
    <n v="254271"/>
    <n v="6"/>
    <s v="Junior Lopes"/>
    <d v="2026-01-30T00:00:00"/>
    <d v="1899-12-30T15:57:59"/>
    <s v=""/>
    <s v="Perdido"/>
    <d v="2026-02-05T00:00:00"/>
    <d v="1899-12-30T14:13:46"/>
    <s v="Preço muito alto - fora do budget de investimento"/>
    <s v=": Preço muito alto"/>
    <s v=""/>
    <x v="172"/>
    <s v=""/>
    <x v="183"/>
    <s v=""/>
    <d v="2026-01-26T00:00:00"/>
    <m/>
    <s v=""/>
    <s v=""/>
    <s v=""/>
    <s v=""/>
    <n v="1"/>
  </r>
  <r>
    <x v="1"/>
    <n v="888"/>
    <m/>
    <n v="3209"/>
    <s v=""/>
    <s v=""/>
    <x v="421"/>
    <m/>
    <s v=""/>
    <s v="Folha dourada tabacos - Cloud"/>
    <s v="3284083586"/>
    <s v=""/>
    <s v="atacabaco@gmail.com"/>
    <s v=""/>
    <s v=""/>
    <s v=""/>
    <s v=""/>
    <s v=""/>
    <s v=""/>
    <s v=""/>
    <s v=""/>
    <s v="Dentro Perfil;Instagram"/>
    <s v="Pipeline de Vendas"/>
    <s v="Apresentar Solução (35%)"/>
    <s v=""/>
    <m/>
    <n v="1600"/>
    <n v="252471"/>
    <n v="6"/>
    <s v="Junior Lopes"/>
    <d v="2026-01-30T00:00:00"/>
    <d v="1899-12-30T16:09:17"/>
    <s v=""/>
    <s v="Perdido"/>
    <d v="2026-02-05T00:00:00"/>
    <d v="1899-12-30T12:21:51"/>
    <s v="Não houve aprovação financeira"/>
    <s v="valor acima da expectativa"/>
    <s v=""/>
    <x v="166"/>
    <s v=""/>
    <x v="176"/>
    <s v=""/>
    <d v="2026-01-29T00:00:00"/>
    <m/>
    <s v=""/>
    <s v=""/>
    <s v=""/>
    <s v=""/>
    <n v="1"/>
  </r>
  <r>
    <x v="1"/>
    <n v="889"/>
    <m/>
    <n v="3210"/>
    <s v="(19/02/2026) Thales achou valor acima para o momento"/>
    <s v=""/>
    <x v="422"/>
    <m/>
    <s v=""/>
    <s v="Minas Mix - Cloud"/>
    <s v="3194143043"/>
    <s v=""/>
    <s v="thales_david@hotmail.com"/>
    <s v=""/>
    <s v=""/>
    <s v=""/>
    <s v=""/>
    <s v=""/>
    <s v=""/>
    <s v=""/>
    <s v=""/>
    <s v="30%;Dentro Perfil;Instagram"/>
    <s v="Pipeline de Vendas"/>
    <s v="Apresentar Proposta (50%)"/>
    <s v=""/>
    <m/>
    <n v="1600"/>
    <n v="252471"/>
    <n v="20"/>
    <s v="Junior Lopes"/>
    <d v="2026-01-30T00:00:00"/>
    <d v="1899-12-30T16:40:37"/>
    <s v=""/>
    <s v="Perdido"/>
    <d v="2026-02-19T00:00:00"/>
    <d v="1899-12-30T16:37:47"/>
    <s v="Não houve aprovação financeira"/>
    <s v="(19/02/2026) Thales achou valor acima para o momento"/>
    <s v=""/>
    <x v="175"/>
    <s v="Junior Lopes"/>
    <x v="191"/>
    <s v=""/>
    <d v="2026-02-19T00:00:00"/>
    <n v="30"/>
    <s v=""/>
    <s v=""/>
    <s v=""/>
    <s v=""/>
    <n v="1"/>
  </r>
  <r>
    <x v="1"/>
    <n v="890"/>
    <m/>
    <n v="3190"/>
    <s v="16:53, 30/01/2026 Junior Lopes: ani sistemas, Td bem ?_x000a_17:35, 30/01/2026 Leonardo Form: Boa tarde tudo e vc ?_x000a_16:53, 02/02/2026 Junior Lopes: Olá Leonardo, boa tarde  ! tem interesse em conhecer nossas soluções ?"/>
    <s v=""/>
    <x v="423"/>
    <n v="747901000222"/>
    <s v=""/>
    <s v="Tenneco"/>
    <s v="19995356201"/>
    <s v=""/>
    <s v="ltavares@tenneco.com"/>
    <s v=""/>
    <s v=""/>
    <s v=""/>
    <s v=""/>
    <s v=""/>
    <s v="Campanha"/>
    <s v=""/>
    <s v=""/>
    <s v="30%;Dentro Perfil;Instagram"/>
    <s v="Pipeline de Vendas"/>
    <s v="Apresentar Solução (35%)"/>
    <s v=""/>
    <d v="2026-02-28T00:00:00"/>
    <m/>
    <m/>
    <n v="99"/>
    <s v="Paulo Souza"/>
    <d v="2026-01-30T00:00:00"/>
    <d v="1899-12-30T16:49:56"/>
    <s v=""/>
    <s v="Perdido"/>
    <d v="2026-05-09T00:00:00"/>
    <d v="1899-12-30T08:34:33"/>
    <s v="Sem qualificação — contato não atende ligações nem responde msg"/>
    <s v=""/>
    <s v=""/>
    <x v="0"/>
    <s v="Junior Lopes"/>
    <x v="0"/>
    <s v=""/>
    <d v="2026-03-09T00:00:00"/>
    <n v="30"/>
    <s v=""/>
    <s v=""/>
    <s v=""/>
    <s v=""/>
    <n v="1"/>
  </r>
  <r>
    <x v="2"/>
    <n v="891"/>
    <m/>
    <n v="3191"/>
    <s v="18.02 - Tentativa de contato realizado por telefone e-mail"/>
    <s v=""/>
    <x v="424"/>
    <m/>
    <s v=""/>
    <s v="Certo"/>
    <s v="3335294949"/>
    <s v=""/>
    <s v="ti@grupocerto.com.br"/>
    <s v=""/>
    <s v=""/>
    <s v=""/>
    <s v=""/>
    <s v=""/>
    <s v="Campanha"/>
    <s v=""/>
    <s v=""/>
    <s v="30%;Dentro Perfil;Instagram"/>
    <s v="Pipeline de Vendas"/>
    <s v="Apresentar Proposta (50%)"/>
    <s v=""/>
    <d v="2026-02-28T00:00:00"/>
    <m/>
    <m/>
    <n v="26"/>
    <s v="Paulo Souza"/>
    <d v="2026-01-30T00:00:00"/>
    <d v="1899-12-30T16:51:49"/>
    <s v=""/>
    <s v="Perdido"/>
    <d v="2026-02-25T00:00:00"/>
    <d v="1899-12-30T10:30:05"/>
    <s v="Cliente não quer contato LGPD"/>
    <s v=""/>
    <s v=""/>
    <x v="0"/>
    <s v="Rayssa Karapeticov"/>
    <x v="0"/>
    <s v=""/>
    <d v="2026-02-18T00:00:00"/>
    <n v="30"/>
    <s v=""/>
    <s v=""/>
    <s v=""/>
    <s v=""/>
    <n v="1"/>
  </r>
  <r>
    <x v="1"/>
    <n v="892"/>
    <m/>
    <n v="3196"/>
    <s v="(30/01/2026) Sou Junior Lopes da Guarani sistemas_x000a_16:56, 30/01/2026 Junior Lopes: Td bem ?_x000a_17:01, 30/01/2026 Orlando: Tudo_x000a_17:08, 30/01/2026 Orlando: Descreve alguma coisa do seu sistema_x000a_17:29, 30/01/2026 Orlando: Qual o valor mensal?_x000a_Este valor mensal posso incluir quantas empresas?_x000a_16:49, 02/02/2026 Junior Lopes: Olá Orlando , tem interesse em dar continuidade no contato ?_x000a_Hj um investimento em um ERP Guarani controlando sua empresa de ponta a ponta desde a produção passando pelos módulos financeiro a pagar e receber, comercial, compras, Fiscal, logística/expedicao (WMS) e Força de vendas ! Fica dentro de uma expectativa entre (60 mil a 90 mil) de investimento em implantação e treinamentos !_x000a_A mensalidade é por usuário sendo R$ 280,00 do ERP e R$ 115,00 do AFV_x000a_Caso queira um orçamento mais preciso, podemos nos reunir para entender melhor suas necessidades_x000a_O que seria AFV?  (enviei =áudio explicando)_x000a_(11/02/2026) retornei contato com Orlando buscando continuidade no atendimento _x000a_10:07, 19/02/2026 Orlando: Falamos mais tarde_x000a_10:08, 19/02/2026 Orlando: Estou viajando, melhor poderia me chamar na segunda feira?_x000a_10:17, 19/02/2026 Junior Lopes: Estou viajando, melhor poderia me chamar na segunda feira?_x000a_Sim ! Te chamo segunda-feira_x000a_(16/03/2026) em contato com Orlando ! acredito que não esta no momento certo ! Orlando um pouco confuso"/>
    <s v=""/>
    <x v="425"/>
    <n v="54888350000165"/>
    <s v=""/>
    <s v="Plastilando Ind e Com"/>
    <s v="21999778181"/>
    <s v=""/>
    <s v="orlando@plastianna.com.br"/>
    <s v=""/>
    <s v=""/>
    <s v=""/>
    <s v=""/>
    <s v=""/>
    <s v="Campanha"/>
    <s v=""/>
    <s v=""/>
    <s v="30%;Dentro Perfil;Instagram"/>
    <s v="Pipeline de Vendas"/>
    <s v="Em negociação (75%)"/>
    <s v=""/>
    <d v="2026-03-31T00:00:00"/>
    <n v="1148572"/>
    <n v="71924"/>
    <n v="99"/>
    <s v="Paulo Souza"/>
    <d v="2026-01-30T00:00:00"/>
    <d v="1899-12-30T16:53:38"/>
    <s v=""/>
    <s v="Perdido"/>
    <d v="2026-05-09T00:00:00"/>
    <d v="1899-12-30T08:30:36"/>
    <s v="Não houve aprovação financeira"/>
    <s v=""/>
    <s v=""/>
    <x v="180"/>
    <s v="Junior Lopes"/>
    <x v="195"/>
    <s v=""/>
    <d v="2026-03-16T00:00:00"/>
    <n v="30"/>
    <s v=""/>
    <s v=""/>
    <s v=""/>
    <s v=""/>
    <n v="1"/>
  </r>
  <r>
    <x v="0"/>
    <n v="893"/>
    <m/>
    <n v="3203"/>
    <s v="17/02 Feito apresentação institucional e vídeos do ERP . _x000a_10/03 Fiz FUP com o Henrique e ele recebeu a proposta e esta sobre analise. Temos um reunião de apresentação de WMS na sexta-feira proxima para ele conhecer este módulo e seguirmos._x000a_20/03 Aguardando o Henrique se reunir com o time de ERP atual para decidir se vai trocar ou não o sistema."/>
    <s v=""/>
    <x v="426"/>
    <n v="10258712000169"/>
    <s v=""/>
    <s v="HENRIQUE CARVALHO SANTOS"/>
    <s v="(31) 99987-1034"/>
    <s v=""/>
    <s v="henrique@armandonacionais.com.br"/>
    <s v=""/>
    <s v=""/>
    <s v=""/>
    <s v="São Paulo"/>
    <s v=""/>
    <s v="Site"/>
    <s v=""/>
    <s v=""/>
    <s v="90%;Dentro Perfil;Solicita demo"/>
    <s v="Pipeline de Vendas"/>
    <s v="Em Fechamento (100%)"/>
    <s v=""/>
    <d v="2026-03-31T00:00:00"/>
    <n v="1301786"/>
    <n v="2713706"/>
    <n v="70"/>
    <s v="Paulo Souza"/>
    <d v="2026-01-30T00:00:00"/>
    <d v="1899-12-30T17:03:26"/>
    <s v=""/>
    <s v="Perdido"/>
    <d v="2026-04-10T00:00:00"/>
    <d v="1899-12-30T15:57:04"/>
    <s v="Não quer mudar a solução atual"/>
    <s v=""/>
    <s v=""/>
    <x v="168"/>
    <s v="Paulo Souza"/>
    <x v="182"/>
    <s v=""/>
    <d v="2026-03-20T00:00:00"/>
    <n v="30"/>
    <s v=""/>
    <s v="ERP, AFV, PDV, TREINAMENTO"/>
    <s v=""/>
    <s v=""/>
    <n v="1"/>
  </r>
  <r>
    <x v="0"/>
    <n v="894"/>
    <m/>
    <n v="3204"/>
    <s v="26/02 Foi feito FUP com o Wilson e ele optou pela concorrência devido a valor."/>
    <s v=""/>
    <x v="427"/>
    <m/>
    <s v=""/>
    <s v="Mobal"/>
    <s v="13997072312"/>
    <s v=""/>
    <s v="alumiglass.peruibe@gmail.com"/>
    <s v=""/>
    <s v=""/>
    <s v=""/>
    <s v=""/>
    <s v=""/>
    <s v="Campanha"/>
    <s v=""/>
    <s v=""/>
    <s v="30%;Dentro Perfil;Instagram"/>
    <s v="Pipeline de Vendas"/>
    <s v="Agendamento (0%)"/>
    <s v=""/>
    <d v="2026-02-28T00:00:00"/>
    <m/>
    <m/>
    <n v="27"/>
    <s v="Paulo Souza"/>
    <d v="2026-01-30T00:00:00"/>
    <d v="1899-12-30T17:06:43"/>
    <s v=""/>
    <s v="Perdido"/>
    <d v="2026-02-26T00:00:00"/>
    <d v="1899-12-30T18:31:38"/>
    <s v="Fechou com o concorrente - preço"/>
    <s v="26/02 Foi feito FUP com o Wilson e ele optou pela concorrência devido a valor."/>
    <s v=""/>
    <x v="0"/>
    <s v="Paulo Souza"/>
    <x v="0"/>
    <s v=""/>
    <d v="2026-02-26T00:00:00"/>
    <n v="30"/>
    <s v=""/>
    <s v="ERP"/>
    <s v=""/>
    <s v=""/>
    <n v="1"/>
  </r>
  <r>
    <x v="2"/>
    <n v="895"/>
    <m/>
    <n v="3201"/>
    <s v="07.04 cliente ainda imaturo para os processos"/>
    <s v="Fabiano Aparecido Vaine"/>
    <x v="428"/>
    <n v="28229707000193"/>
    <s v=""/>
    <s v="Fabiano Aparecido Vaine"/>
    <s v="(16) 9701-3510"/>
    <s v=""/>
    <s v="fabianovaine@terra.com.br"/>
    <s v=""/>
    <s v=""/>
    <s v=""/>
    <s v="SAO CARLOS"/>
    <s v="SP"/>
    <s v="Base de empresas Leads2b"/>
    <s v=""/>
    <s v=""/>
    <s v="30%;Dentro Perfil"/>
    <s v="Pipeline de Vendas"/>
    <s v="Apresentar Solução (35%)"/>
    <s v=""/>
    <d v="2026-04-30T00:00:00"/>
    <m/>
    <m/>
    <n v="64"/>
    <s v="Rayssa Karapeticov"/>
    <d v="2026-02-02T00:00:00"/>
    <d v="1899-12-30T09:47:17"/>
    <s v=""/>
    <s v="Perdido"/>
    <d v="2026-04-07T00:00:00"/>
    <d v="1899-12-30T10:56:50"/>
    <s v="Não quer mudar a solução atual"/>
    <s v=""/>
    <s v=""/>
    <x v="0"/>
    <s v="Rayssa Karapeticov"/>
    <x v="196"/>
    <s v=""/>
    <d v="2026-02-17T00:00:00"/>
    <n v="30"/>
    <s v=""/>
    <s v="ERP, AFV, PCP, WMS"/>
    <s v=""/>
    <s v=""/>
    <n v="1"/>
  </r>
  <r>
    <x v="2"/>
    <n v="901"/>
    <m/>
    <n v="3218"/>
    <s v="05/02 - Possui uma loja de peças de moto, onde presta serviço de conserto também. _x000a_Fora do perfil"/>
    <s v=""/>
    <x v="429"/>
    <m/>
    <s v=""/>
    <s v="RG moto peças"/>
    <s v="87988082642"/>
    <s v=""/>
    <s v="regisandes10@outlook.com"/>
    <s v=""/>
    <s v=""/>
    <s v=""/>
    <s v=""/>
    <s v=""/>
    <s v="Campanha"/>
    <s v=""/>
    <s v=""/>
    <s v="30%;Fora Perfil;Instagram"/>
    <s v="Pipeline de Vendas"/>
    <s v="Qualificação de Vendas (SQL) (25%)"/>
    <s v=""/>
    <d v="2026-02-28T00:00:00"/>
    <m/>
    <m/>
    <n v="2"/>
    <s v="Paulo Souza"/>
    <d v="2026-02-05T00:00:00"/>
    <d v="1899-12-30T08:33:37"/>
    <s v=""/>
    <s v="Perdido"/>
    <d v="2026-02-07T00:00:00"/>
    <d v="1899-12-30T21:31:00"/>
    <s v="Fora do porte mínimo (sem fit estrutural)"/>
    <s v=""/>
    <s v=""/>
    <x v="0"/>
    <s v="Rayssa Karapeticov"/>
    <x v="0"/>
    <s v=""/>
    <m/>
    <n v="30"/>
    <s v=""/>
    <s v=""/>
    <s v=""/>
    <s v=""/>
    <n v="1"/>
  </r>
  <r>
    <x v="1"/>
    <n v="902"/>
    <m/>
    <n v="3211"/>
    <s v=""/>
    <s v=""/>
    <x v="430"/>
    <n v="7324070000144"/>
    <s v=""/>
    <s v="SOLIMP"/>
    <s v="8391128022"/>
    <s v=""/>
    <s v="oliveiraeulalio@yahoo.com.br"/>
    <s v=""/>
    <s v=""/>
    <s v=""/>
    <s v="CAMPINA GRANDE"/>
    <s v="PB"/>
    <s v="Campanha"/>
    <s v=""/>
    <s v=""/>
    <s v="30%;Dentro Perfil;Instagram"/>
    <s v="Pipeline de Vendas"/>
    <s v="Qualificação de Vendas (SQL) (25%)"/>
    <s v=""/>
    <d v="2026-02-28T00:00:00"/>
    <m/>
    <m/>
    <n v="93"/>
    <s v="Paulo Souza"/>
    <d v="2026-02-05T00:00:00"/>
    <d v="1899-12-30T08:35:26"/>
    <s v=""/>
    <s v="Perdido"/>
    <d v="2026-05-09T00:00:00"/>
    <d v="1899-12-30T07:45:34"/>
    <s v="Sem qualificação — contato não atende ligações nem responde msg"/>
    <s v=""/>
    <s v=""/>
    <x v="0"/>
    <s v="Junior Lopes"/>
    <x v="0"/>
    <s v=""/>
    <d v="2026-02-19T00:00:00"/>
    <n v="30"/>
    <s v=""/>
    <s v=""/>
    <s v=""/>
    <s v=""/>
    <n v="1"/>
  </r>
  <r>
    <x v="0"/>
    <n v="903"/>
    <m/>
    <n v="3217"/>
    <s v="17/02 Após vários FUPs não obtive retorno do cliente sobre a sequência do projeto. Encerrei por falta de interesse."/>
    <s v=""/>
    <x v="431"/>
    <m/>
    <s v=""/>
    <s v="Monteiro"/>
    <s v="6184085792"/>
    <s v=""/>
    <s v="saff71@hotmail.com"/>
    <s v=""/>
    <s v=""/>
    <s v=""/>
    <s v=""/>
    <s v=""/>
    <s v="Campanha"/>
    <s v=""/>
    <s v=""/>
    <s v="30%;Dentro Perfil;Instagram"/>
    <s v="Pipeline de Vendas"/>
    <s v="Qualificação de Vendas (SQL) (25%)"/>
    <s v=""/>
    <d v="2026-02-28T00:00:00"/>
    <m/>
    <m/>
    <n v="93"/>
    <s v="Paulo Souza"/>
    <d v="2026-02-05T00:00:00"/>
    <d v="1899-12-30T08:40:25"/>
    <s v=""/>
    <s v="Perdido"/>
    <d v="2026-05-09T00:00:00"/>
    <d v="1899-12-30T07:46:56"/>
    <s v="Sem qualificação — contato não atende ligações nem responde msg"/>
    <s v=""/>
    <s v=""/>
    <x v="0"/>
    <s v="Paulo Souza"/>
    <x v="0"/>
    <s v=""/>
    <m/>
    <n v="30"/>
    <s v=""/>
    <s v=""/>
    <s v=""/>
    <s v=""/>
    <n v="1"/>
  </r>
  <r>
    <x v="0"/>
    <n v="906"/>
    <m/>
    <n v="3226"/>
    <s v="03/03 Após diversas tentativa de FUP não tive retorno e por falta de interação estou declinando o lead."/>
    <s v=""/>
    <x v="432"/>
    <m/>
    <s v=""/>
    <s v="2VO"/>
    <s v="11985858558"/>
    <s v=""/>
    <s v="wasques@uol.com.br"/>
    <s v=""/>
    <s v=""/>
    <s v=""/>
    <s v=""/>
    <s v=""/>
    <s v="Campanha"/>
    <s v=""/>
    <s v=""/>
    <s v="30%;Dentro Perfil;Instagram"/>
    <s v="Pipeline de Vendas"/>
    <s v="Apresentar Solução (35%)"/>
    <s v=""/>
    <d v="2026-02-28T00:00:00"/>
    <m/>
    <m/>
    <n v="24"/>
    <s v="Paulo Souza"/>
    <d v="2026-02-07T00:00:00"/>
    <d v="1899-12-30T07:04:06"/>
    <s v=""/>
    <s v="Perdido"/>
    <d v="2026-03-03T00:00:00"/>
    <d v="1899-12-30T21:33:22"/>
    <s v="Fora do porte mínimo (sem fit estrutural)"/>
    <s v=""/>
    <s v=""/>
    <x v="0"/>
    <s v="Paulo Souza"/>
    <x v="0"/>
    <s v=""/>
    <m/>
    <n v="30"/>
    <s v=""/>
    <s v="ERP, AFV"/>
    <s v=""/>
    <s v=""/>
    <n v="1"/>
  </r>
  <r>
    <x v="0"/>
    <n v="907"/>
    <m/>
    <n v="3222"/>
    <s v="13/02 Fiz FUP hoje com a Andressa, mas não atendeu deixei recado."/>
    <s v=""/>
    <x v="433"/>
    <m/>
    <s v=""/>
    <s v="Andresa Aparecida Carvalho"/>
    <s v="(11) 94468-8676"/>
    <s v=""/>
    <s v="andresacarvalho55@gmail.com"/>
    <s v=""/>
    <s v=""/>
    <s v=""/>
    <s v="São Paulo"/>
    <s v=""/>
    <s v="Site"/>
    <s v=""/>
    <s v=""/>
    <s v="30%;Solicita demo"/>
    <s v="Pipeline de Vendas"/>
    <s v="Apresentar Solução (35%)"/>
    <s v=""/>
    <d v="2026-02-28T00:00:00"/>
    <m/>
    <m/>
    <n v="12"/>
    <s v="Paulo Souza"/>
    <d v="2026-02-07T00:00:00"/>
    <d v="1899-12-30T07:13:56"/>
    <s v=""/>
    <s v="Perdido"/>
    <d v="2026-02-19T00:00:00"/>
    <d v="1899-12-30T17:31:05"/>
    <s v="Projeto adiado / sem prazo definido"/>
    <s v="Rayssa, atendendo"/>
    <s v=""/>
    <x v="0"/>
    <s v="Paulo Souza"/>
    <x v="187"/>
    <s v=""/>
    <m/>
    <n v="30"/>
    <s v=""/>
    <s v=""/>
    <s v=""/>
    <s v=""/>
    <n v="1"/>
  </r>
  <r>
    <x v="0"/>
    <n v="908"/>
    <m/>
    <n v="3228"/>
    <s v="06/02 Feito a apresentação da proposta em fase de negociação._x000a_13/02 Foi feito uma visita em São Paulo no Grupo Iracema, onde falamos com os sócios , e o cabeça o Mauricio. A proposta foi reformulada e ajustada e estamos na faze de negociação. Próximo passo, quarta-feira apresentar o WMS."/>
    <s v=""/>
    <x v="434"/>
    <m/>
    <s v=""/>
    <s v="Gerson"/>
    <s v="49988720298"/>
    <s v=""/>
    <s v="null"/>
    <s v=""/>
    <s v=""/>
    <s v=""/>
    <s v=""/>
    <s v=""/>
    <s v="Indicação"/>
    <s v=""/>
    <s v=""/>
    <s v="50%"/>
    <s v="Pipeline de Vendas"/>
    <s v="Em negociação (75%)"/>
    <s v=""/>
    <d v="2026-02-28T00:00:00"/>
    <n v="987029"/>
    <n v="1228454"/>
    <n v="19"/>
    <s v="Paulo Souza"/>
    <d v="2026-02-07T00:00:00"/>
    <d v="1899-12-30T09:59:21"/>
    <s v=""/>
    <s v="Ganho"/>
    <d v="2026-02-26T00:00:00"/>
    <d v="1899-12-30T21:55:21"/>
    <s v=""/>
    <s v=""/>
    <s v=""/>
    <x v="118"/>
    <s v="Paulo Souza"/>
    <x v="126"/>
    <s v=""/>
    <d v="2026-02-26T00:00:00"/>
    <n v="50"/>
    <s v="270"/>
    <s v="ERP, AFV, BI, WMS, COMEX, ADICIONAIS"/>
    <s v="R$ 89.502,90"/>
    <s v="R$ 12.883,50"/>
    <n v="1"/>
  </r>
  <r>
    <x v="0"/>
    <n v="909"/>
    <m/>
    <n v="3229"/>
    <s v="06/02 Feito a apresentação da proposta em fase de negociação._x000a_13/02 Foi feito uma visita em São Paulo no Grupo Iracema, onde falamos com os sócios , e o cabeça o Mauricio. A proposta foi reformulada e ajustada e estamos na faze de negociação. Próximo passo, quarta-feira apresentar o WMS._x000a_13/02 Foi feito uma visita em São Paulo no Grupo Iracema, onde falamos com os sócios , e o cabeça o Mauricio. A proposta foi reformulada e ajustada e estamos na faze de negociação. Próximo passo, quarta-feira apresentar o WMS."/>
    <s v=""/>
    <x v="435"/>
    <m/>
    <s v=""/>
    <s v="Willaim"/>
    <s v="49998015654"/>
    <s v=""/>
    <s v="null"/>
    <s v=""/>
    <s v=""/>
    <s v=""/>
    <s v=""/>
    <s v=""/>
    <s v=""/>
    <s v=""/>
    <s v=""/>
    <s v="50%"/>
    <s v="Pipeline de Vendas"/>
    <s v="Em Fechamento (100%)"/>
    <s v=""/>
    <d v="2026-02-28T00:00:00"/>
    <n v="7470289"/>
    <n v="1038848"/>
    <n v="19"/>
    <s v="Paulo Souza"/>
    <d v="2026-02-07T00:00:00"/>
    <d v="1899-12-30T10:00:29"/>
    <s v=""/>
    <s v="Ganho"/>
    <d v="2026-02-26T00:00:00"/>
    <d v="1899-12-30T21:48:31"/>
    <s v=""/>
    <s v=""/>
    <s v=""/>
    <x v="181"/>
    <s v="Paulo Souza"/>
    <x v="197"/>
    <s v=""/>
    <d v="2026-02-26T00:00:00"/>
    <n v="50"/>
    <s v="150"/>
    <s v="ERP, AFV, BI, WMS, COMEX, ADICIONAIS"/>
    <s v="R$ 65.502,90"/>
    <s v="R$ 11.334,84"/>
    <n v="1"/>
  </r>
  <r>
    <x v="1"/>
    <n v="912"/>
    <m/>
    <n v="3248"/>
    <s v="(11/02/2026) Contato feira ABcasa ! agendamos apresentação para sexta feira dia 20/02_x000a_10:05, 20/02/2026 Junior Lopes: Entendo ! Vamos organizar nova data_x000a_10:06, 20/02/2026 Junior Lopes: Segunda feira , é possível?_x000a_10:13, 20/02/2026 Fabio Oliveira Nina Enc: eu consigo te atender, mas vamos precisar remarcar um pouco mais para frente, eu quero muito te atender e realmente preciso, porem nesse momento ta dificil_x000a_(09/03/2026) buscando data para apresentação _x000a_(14/04/2026) em contato com Fabio a fim de agendarmos apresentação _x000a_09:58, 14/04/2026 Junior Lopes: Olá Fábio, bom dia_x000a_10:01, 14/04/2026 Fabio Oliveira Nina Enc: Bom dia meu amigo, tudo certo ?_x000a_10:02, 14/04/2026 Junior Lopes: Opa td certo 🙏_x000a_Vamos programar apresentação?_x000a_10:04, 14/04/2026 Fabio Oliveira Nina Enc: o meu amigo, esta semana nao vou ter como te atender, estamos organizando muita coisa na empresa, na quarta feira meu pai vai para china, mas acho que na outra semana a gente consegue, na quinta ou sexta da semana que vem_x000a_10:05, 14/04/2026 Junior Lopes: Perfeito Fábio ! Aí te chamo no começo da semana para alinharmos_x000a_10:05, 14/04/2026 Fabio Oliveira Nina Enc: combinado"/>
    <s v="Sebastiao Cardoso Comercio Atacadista De Ferramentas Ltda"/>
    <x v="436"/>
    <n v="12391174000101"/>
    <s v=""/>
    <s v="Sebastiao Cardoso Comercio Atacadista De Ferramentas Ltda"/>
    <s v="(47) 3368-3065"/>
    <s v=""/>
    <s v="ninaencartelados@gmail.com"/>
    <s v=""/>
    <s v=""/>
    <s v=""/>
    <s v="ITAPEMA"/>
    <s v="SC"/>
    <s v="Base de empresas Leads2b"/>
    <s v=""/>
    <s v=""/>
    <s v=""/>
    <s v="Pipeline de Vendas"/>
    <s v="Apresentar Proposta (50%)"/>
    <s v=""/>
    <d v="2026-05-31T00:00:00"/>
    <n v="748805"/>
    <n v="53071"/>
    <n v="92"/>
    <s v="Junior Lopes"/>
    <d v="2026-02-11T00:00:00"/>
    <d v="1899-12-30T09:59:48"/>
    <s v=""/>
    <s v="Perdido"/>
    <d v="2026-05-14T00:00:00"/>
    <d v="1899-12-30T14:48:33"/>
    <s v="Não houve aprovação financeira"/>
    <s v="14/05/2026 : _x000a_09:02, 13/05/2026 Fabio Oliveira Nina Enc: Consegui sim, teu sistema é maravilhoso, muito bom mesmo _x000a_porem eu passei pro pessoal aqui, e no momento, nosso faturamaento nao condiz com o investimento a ser feito_x000a_09:03, 13/05/2026 Fabio Oliveira Nina Enc: espero que logo possamos mudar isso_x000a_09:05, 13/05/2026 Junior Lopes: Entendo Fábio ! _x000a_ O que está pegando mais na proposta ? O projeto ou as mensalidades?_x000a_09:08, 13/05/2026 Fabio Oliveira Nina Enc: na verdade é um pouco dos dois, hj nosso sistema nos custa 6 mil por ano, claro que ele nao tem a mesma eficiencia do seu, mas para a quantidade de vendas nossa, no atual momento ele nos atende bem_x000a_09:21, 13/05/2026 Junior Lopes: Entendo ! Gostaria de pensar aí e nos fazer uma contra proposta ?_x000a_09:22, 13/05/2026 Fabio Oliveira Nina Enc: no momento vamos deixar em off_x000a_09:22, 13/05/2026 Fabio Oliveira Nina Enc: obrigado pela atençao_x000a_09:28, 13/05/2026 Junior Lopes: Ta joia meu amigo_x000a_09:29, 13/05/2026 Junior Lopes: Ficamos a disposição! Tenho certeza que podemos ajudar muito no crescimento da Nina encartelados _x000a_Um abraço_x000a_09:29, 13/05/2026 Fabio Oliveira Nina Enc: abraço"/>
    <s v=""/>
    <x v="182"/>
    <s v=""/>
    <x v="198"/>
    <s v="05/05/2026"/>
    <d v="2026-05-14T00:00:00"/>
    <n v="50"/>
    <s v=""/>
    <s v=""/>
    <s v=""/>
    <s v=""/>
    <n v="1"/>
  </r>
  <r>
    <x v="1"/>
    <n v="915"/>
    <m/>
    <n v="3253"/>
    <s v="(11/02/2026) Vídeo demonstrativo enviado para analise   _x000a_(11/02/2026) Proposta enviada"/>
    <s v=""/>
    <x v="437"/>
    <m/>
    <s v=""/>
    <s v="Ad &amp; Ad (Comex)"/>
    <s v="14996930353"/>
    <s v=""/>
    <s v="daniel@adimportacao.com.br"/>
    <s v=""/>
    <s v=""/>
    <s v=""/>
    <s v=""/>
    <s v=""/>
    <s v=""/>
    <s v=""/>
    <s v=""/>
    <s v="30%"/>
    <s v="Pipeline de Vendas"/>
    <s v="Apresentar Proposta (50%)"/>
    <s v=""/>
    <d v="2026-04-30T00:00:00"/>
    <n v="10240"/>
    <n v="2000"/>
    <n v="82"/>
    <s v="Junior Lopes"/>
    <d v="2026-02-11T00:00:00"/>
    <d v="1899-12-30T10:27:04"/>
    <s v=""/>
    <s v="Perdido"/>
    <d v="2026-05-04T00:00:00"/>
    <d v="1899-12-30T08:59:14"/>
    <s v="Projeto adiado / sem prazo definido"/>
    <s v="vai aguardar um pouco mais"/>
    <s v=""/>
    <x v="183"/>
    <s v=""/>
    <x v="196"/>
    <s v=""/>
    <d v="2026-05-04T00:00:00"/>
    <n v="30"/>
    <s v=""/>
    <s v=""/>
    <s v=""/>
    <s v=""/>
    <n v="1"/>
  </r>
  <r>
    <x v="0"/>
    <n v="919"/>
    <m/>
    <n v="3227"/>
    <s v="26/02 Fiz FUP com o Jader e ele tem uma ferramentaria. Entendi o processo e agora preciso falar com o Fernando, para ver se conseguirmos atender ele ou não. na sequência vou passar uma proposta. _x000a_12/03 - Encerrei o lead por falta de retorno, futuramente se ele demonstrar interesse falamos."/>
    <s v=""/>
    <x v="438"/>
    <m/>
    <s v=""/>
    <s v="Jader Silva"/>
    <s v="17996751231"/>
    <s v=""/>
    <s v="jader.reobote@outlook.com"/>
    <s v=""/>
    <s v=""/>
    <s v=""/>
    <s v=""/>
    <s v=""/>
    <s v="Campanha"/>
    <s v=""/>
    <s v=""/>
    <s v="Dentro Perfil;Instagram"/>
    <s v="Pipeline de Vendas"/>
    <s v="Apresentar Solução (35%)"/>
    <s v=""/>
    <m/>
    <m/>
    <m/>
    <n v="29"/>
    <s v="Paulo Souza"/>
    <d v="2026-02-11T00:00:00"/>
    <d v="1899-12-30T11:21:33"/>
    <s v=""/>
    <s v="Perdido"/>
    <d v="2026-03-12T00:00:00"/>
    <d v="1899-12-30T17:24:16"/>
    <s v="Fora do porte mínimo (sem fit estrutural)"/>
    <s v=""/>
    <s v=""/>
    <x v="168"/>
    <s v="Paulo Souza"/>
    <x v="182"/>
    <s v=""/>
    <d v="2026-03-31T00:00:00"/>
    <n v="30"/>
    <s v=""/>
    <s v="ERP"/>
    <s v=""/>
    <s v=""/>
    <n v="1"/>
  </r>
  <r>
    <x v="2"/>
    <n v="920"/>
    <m/>
    <n v="3230"/>
    <s v="12.02 - cliente agendou hoje as 9h não entrou na reunião, estou tentando contato para reagendar"/>
    <s v=""/>
    <x v="439"/>
    <n v="36377920000170"/>
    <s v=""/>
    <s v="RG distribuidora de bebidas ltda"/>
    <s v="(37) 3213-0306"/>
    <s v=""/>
    <s v="rgdistribuidoraltda@hotmail.com"/>
    <s v=""/>
    <s v=""/>
    <s v=""/>
    <s v="DIVINOPOLIS"/>
    <s v="MG"/>
    <s v="Campanha"/>
    <s v=""/>
    <s v=""/>
    <s v="Dentro Perfil;Instagram"/>
    <s v="Pipeline de Vendas"/>
    <s v="Apresentar Proposta (50%)"/>
    <s v=""/>
    <d v="2026-04-30T00:00:00"/>
    <n v="7784244"/>
    <n v="144748"/>
    <n v="14"/>
    <s v="Paulo Souza"/>
    <d v="2026-02-11T00:00:00"/>
    <d v="1899-12-30T11:22:26"/>
    <s v=""/>
    <s v="Perdido"/>
    <d v="2026-02-25T00:00:00"/>
    <d v="1899-12-30T10:28:11"/>
    <s v="Preço muito alto - fora do budget de investimento"/>
    <s v=""/>
    <s v=""/>
    <x v="184"/>
    <s v="Rayssa Karapeticov"/>
    <x v="199"/>
    <s v=""/>
    <d v="2026-02-24T00:00:00"/>
    <n v="30"/>
    <s v=""/>
    <s v="ERP, AFV"/>
    <s v=""/>
    <s v=""/>
    <n v="1"/>
  </r>
  <r>
    <x v="0"/>
    <n v="921"/>
    <m/>
    <n v="3231"/>
    <s v="26/02 Fiz FUP hoje com o Antônio, sem sucesso. Após minhas ligações ele não atendeu , deixei recado no Whatsapp. _x000a_27/02 Após diversas FUps sem sucesso e sem retorno do lead, estou declinando a oportunidade."/>
    <s v=""/>
    <x v="440"/>
    <m/>
    <s v=""/>
    <s v="Loja da construção"/>
    <s v="85996031544"/>
    <s v=""/>
    <s v="ajs.antoniojose@hotmail.com"/>
    <s v=""/>
    <s v=""/>
    <s v=""/>
    <s v=""/>
    <s v=""/>
    <s v="Campanha"/>
    <s v=""/>
    <s v=""/>
    <s v="Fora Perfil;Instagram"/>
    <s v="Pipeline de Vendas"/>
    <s v="Qualificação de Vendas (SQL) (25%)"/>
    <s v=""/>
    <d v="2026-02-28T00:00:00"/>
    <m/>
    <m/>
    <n v="16"/>
    <s v="Paulo Souza"/>
    <d v="2026-02-11T00:00:00"/>
    <d v="1899-12-30T11:23:49"/>
    <s v=""/>
    <s v="Perdido"/>
    <d v="2026-02-27T00:00:00"/>
    <d v="1899-12-30T21:32:33"/>
    <s v="Fora do porte mínimo (sem fit estrutural)"/>
    <s v=""/>
    <s v=""/>
    <x v="0"/>
    <s v="Paulo Souza"/>
    <x v="0"/>
    <s v=""/>
    <d v="2026-02-26T00:00:00"/>
    <n v="30"/>
    <s v=""/>
    <s v=""/>
    <s v=""/>
    <s v=""/>
    <n v="1"/>
  </r>
  <r>
    <x v="0"/>
    <n v="922"/>
    <m/>
    <n v="3232"/>
    <s v="27/02 Fiz diversos FUP sem retorno, por isso estou declinando o contato."/>
    <s v=""/>
    <x v="441"/>
    <m/>
    <s v=""/>
    <s v="Zzzz"/>
    <s v="41987097843"/>
    <s v=""/>
    <s v="gipatelini@hotmail.com"/>
    <s v=""/>
    <s v=""/>
    <s v=""/>
    <s v=""/>
    <s v=""/>
    <s v="Campanha"/>
    <s v=""/>
    <s v=""/>
    <s v="Dentro Perfil;Instagram"/>
    <s v="Pipeline de Vendas"/>
    <s v="Apresentar Solução (35%)"/>
    <s v=""/>
    <d v="2026-02-27T00:00:00"/>
    <m/>
    <m/>
    <n v="16"/>
    <s v="Paulo Souza"/>
    <d v="2026-02-11T00:00:00"/>
    <d v="1899-12-30T11:24:41"/>
    <s v=""/>
    <s v="Perdido"/>
    <d v="2026-02-27T00:00:00"/>
    <d v="1899-12-30T21:27:11"/>
    <s v="Fora do porte mínimo (sem fit estrutural)"/>
    <s v=""/>
    <s v=""/>
    <x v="0"/>
    <s v="Paulo Souza"/>
    <x v="0"/>
    <s v=""/>
    <m/>
    <n v="30"/>
    <s v=""/>
    <s v=""/>
    <s v=""/>
    <s v=""/>
    <n v="1"/>
  </r>
  <r>
    <x v="2"/>
    <n v="923"/>
    <m/>
    <n v="3236"/>
    <s v=""/>
    <s v=""/>
    <x v="442"/>
    <m/>
    <s v=""/>
    <s v="Gs atacado"/>
    <s v="61984251198"/>
    <s v=""/>
    <s v="gsatacado69@gmail.com"/>
    <s v=""/>
    <s v=""/>
    <s v=""/>
    <s v=""/>
    <s v=""/>
    <s v="Campanha"/>
    <s v=""/>
    <s v=""/>
    <s v="Dentro Perfil;Instagram"/>
    <s v="Pipeline de Vendas"/>
    <s v="Qualificação de Vendas (SQL) (25%)"/>
    <s v=""/>
    <d v="2026-04-30T00:00:00"/>
    <m/>
    <m/>
    <n v="16"/>
    <s v="Paulo Souza"/>
    <d v="2026-02-11T00:00:00"/>
    <d v="1899-12-30T11:27:12"/>
    <s v=""/>
    <s v="Perdido"/>
    <d v="2026-02-27T00:00:00"/>
    <d v="1899-12-30T17:23:25"/>
    <s v="Preço muito alto - fora do budget de investimento"/>
    <s v=""/>
    <s v=""/>
    <x v="0"/>
    <s v="Rayssa Karapeticov"/>
    <x v="200"/>
    <s v=""/>
    <d v="2026-02-25T00:00:00"/>
    <n v="30"/>
    <s v=""/>
    <s v="ERP, PDV, AFV"/>
    <s v=""/>
    <s v=""/>
    <n v="1"/>
  </r>
  <r>
    <x v="1"/>
    <n v="924"/>
    <m/>
    <n v="3238"/>
    <s v="(11/02/2026) tentativa de ligação nao atendida _x000a_17:03, 11/02/2026 Junior Lopes: Olá Gabriel , boa tarde_x000a_17:03, 11/02/2026 Junior Lopes: sou Junior Lopes da Guarani sistemas ! td bem ?_x000a_(19/02/2026) apresar de não ter resposta do cliente ! em pesquise verifiquei que LM é um deposito de bebidas que acaba fugindo do perfil"/>
    <s v=""/>
    <x v="443"/>
    <m/>
    <s v=""/>
    <s v="lm bebidas"/>
    <s v="11910369959"/>
    <s v=""/>
    <s v="gelucinaro@hotmail.com"/>
    <s v=""/>
    <s v=""/>
    <s v=""/>
    <s v=""/>
    <s v=""/>
    <s v="Campanha"/>
    <s v=""/>
    <s v=""/>
    <s v="Fora Perfil;Instagram"/>
    <s v="Pipeline de Vendas"/>
    <s v="Qualificação de Vendas (SQL) (25%)"/>
    <s v=""/>
    <m/>
    <m/>
    <m/>
    <n v="15"/>
    <s v="Paulo Souza"/>
    <d v="2026-02-11T00:00:00"/>
    <d v="1899-12-30T11:29:47"/>
    <s v=""/>
    <s v="Perdido"/>
    <d v="2026-02-26T00:00:00"/>
    <d v="1899-12-30T23:08:40"/>
    <s v="Fora do porte mínimo (sem fit estrutural)"/>
    <s v=""/>
    <s v=""/>
    <x v="0"/>
    <s v=""/>
    <x v="0"/>
    <s v=""/>
    <d v="2026-02-19T00:00:00"/>
    <n v="30"/>
    <s v=""/>
    <s v=""/>
    <s v=""/>
    <s v=""/>
    <n v="1"/>
  </r>
  <r>
    <x v="1"/>
    <n v="925"/>
    <m/>
    <n v="3244"/>
    <s v="(11/02/2026) tentativa de ligação não atendida _x000a_16:48, 11/02/2026 Junior Lopes: Olá Kariello, boa tarde !_x000a_16:48, 11/02/2026 Junior Lopes: sou Junior Lopes da Guarani sistemas, tudo bem ?_x000a_(19/02/2026) buscando data para apresentação _x000a_(23/02/2026) Vamos Agendar apresentação do força de vendas para amanhã ?_x000a_10 ou 14 horas ! O que fica melhor?_x000a_Vamos marca na primeira semana de março_x000a_Fechamento do mês é complicado_x000a_Sim ! Vamos deixar uma agenda para dia 4/03 quarta feira! Se sim já te envio um link do Meet_x000a_Ok_x000a_Apresentação Guarani (AFV) _x000a_Quarta-feira, 4 de março · 10:00 – 11:30_x000a_Fuso horário: America/Sao_Paulo_x000a_Como participar do Google Meet_x000a_Link da videochamada: https://meet.google.com/dsp-gfgz-nyv_x000a_09:54, 04/03/2026 KARIELLO COELHO: Tive um imprevisto_x000a_09:54, 04/03/2026 KARIELLO COELHO: Teremos que remarcar_x000a_09:55, 04/03/2026 Junior Lopes: Td bem meu amigo , sem problemas_x000a_12:41, 04/03/2026 KARIELLO COELHO: Até sexta agora_x000a_12:42, 04/03/2026 Junior Lopes: 10 horas é um bom horário?_x000a_12:45, 04/03/2026 KARIELLO COELHO: 11h_x000a_12:46, 04/03/2026 Junior Lopes: Joia! Vou gerar um link_x000a_12:50, 04/03/2026 Junior Lopes: Apresentação Guarani AFV - CK Hospitalar_x000a_Sexta-feira, 6 de março · 11:00 – 12:15_x000a_Fuso horário: America/Sao_Paulo_x000a_Como participar do Google Meet_x000a_Link da videochamada: https://meet.google.com/zum-xcty-mab_x000a_(09/03/2026) Após Kariello desmarcar a reunião de apresentação , não respondeu mais aos contatos"/>
    <s v=""/>
    <x v="444"/>
    <n v="32534969000139"/>
    <s v=""/>
    <s v="CK HOSPITALAR"/>
    <s v="6392247104"/>
    <s v=""/>
    <s v="diretoria@ckhospitalar.com.br"/>
    <s v=""/>
    <s v=""/>
    <s v=""/>
    <s v=""/>
    <s v="Palmas"/>
    <s v="Inbound"/>
    <s v=""/>
    <s v=""/>
    <s v="Dentro Perfil;Instagram"/>
    <s v="Pipeline de Vendas"/>
    <s v="Apresentar Proposta (50%)"/>
    <s v=""/>
    <d v="2026-04-30T00:00:00"/>
    <n v="16960"/>
    <n v="32775"/>
    <n v="41"/>
    <s v="Paulo Souza"/>
    <d v="2026-02-11T00:00:00"/>
    <d v="1899-12-30T11:30:31"/>
    <s v=""/>
    <s v="Perdido"/>
    <d v="2026-03-24T00:00:00"/>
    <d v="1899-12-30T16:03:55"/>
    <s v="Projeto adiado / sem prazo definido"/>
    <s v="(09/03/2026) Após Kariello desmarcar a reunião de apresentação , não respondeu mais aos contatos"/>
    <s v=""/>
    <x v="185"/>
    <s v=""/>
    <x v="196"/>
    <s v="04/03/2026"/>
    <d v="2026-03-09T00:00:00"/>
    <n v="30"/>
    <s v=""/>
    <s v=""/>
    <s v=""/>
    <s v=""/>
    <n v="1"/>
  </r>
  <r>
    <x v="1"/>
    <n v="926"/>
    <m/>
    <n v="3237"/>
    <s v="(11/02/2026) tentativa de ligação não atendida ! mensagem em seguida _x000a_16:43, 11/02/2026 Junior Lopes: Olá Renato ! boa tarde_x000a_16:43, 11/02/2026 Junior Lopes: sou Junior Lopes da Guarani sistemas ! tudo bem ?"/>
    <s v=""/>
    <x v="445"/>
    <m/>
    <s v=""/>
    <s v="Rp pisos"/>
    <s v="81996498759"/>
    <s v=""/>
    <s v="renatosouzarp2018@gmail.com"/>
    <s v=""/>
    <s v=""/>
    <s v=""/>
    <s v=""/>
    <s v=""/>
    <s v="Campanha"/>
    <s v=""/>
    <s v=""/>
    <s v="Fora Perfil;Instagram"/>
    <s v="Pipeline de Vendas"/>
    <s v="Qualificação de Vendas (SQL) (25%)"/>
    <s v=""/>
    <m/>
    <m/>
    <m/>
    <n v="87"/>
    <s v="Paulo Souza"/>
    <d v="2026-02-11T00:00:00"/>
    <d v="1899-12-30T11:42:17"/>
    <s v=""/>
    <s v="Perdido"/>
    <d v="2026-05-09T00:00:00"/>
    <d v="1899-12-30T07:47:47"/>
    <s v="Sem qualificação — contato não atende ligações nem responde msg"/>
    <s v=""/>
    <s v=""/>
    <x v="0"/>
    <s v=""/>
    <x v="0"/>
    <s v=""/>
    <d v="2026-02-19T00:00:00"/>
    <n v="30"/>
    <s v=""/>
    <s v=""/>
    <s v=""/>
    <s v=""/>
    <n v="1"/>
  </r>
  <r>
    <x v="2"/>
    <n v="927"/>
    <m/>
    <n v="3239"/>
    <s v="13.02 é uma loja de auto peças, prouca PDV, fora do perfil"/>
    <s v=""/>
    <x v="446"/>
    <m/>
    <s v=""/>
    <s v="Dede Acessorios"/>
    <s v="6596196462"/>
    <s v=""/>
    <s v="lu_kawakami@msn.com"/>
    <s v=""/>
    <s v=""/>
    <s v=""/>
    <s v=""/>
    <s v=""/>
    <s v="Campanha"/>
    <s v=""/>
    <s v=""/>
    <s v="Fora Perfil;Instagram"/>
    <s v="Pipeline de Vendas"/>
    <s v="Agendamento (0%)"/>
    <s v=""/>
    <m/>
    <m/>
    <m/>
    <n v="2"/>
    <s v="Paulo Souza"/>
    <d v="2026-02-11T00:00:00"/>
    <d v="1899-12-30T11:44:32"/>
    <s v=""/>
    <s v="Perdido"/>
    <d v="2026-02-13T00:00:00"/>
    <d v="1899-12-30T17:27:41"/>
    <s v="Fora do porte mínimo (sem fit estrutural)"/>
    <s v=""/>
    <s v=""/>
    <x v="0"/>
    <s v="Rayssa Karapeticov"/>
    <x v="0"/>
    <s v=""/>
    <d v="2026-02-13T00:00:00"/>
    <n v="30"/>
    <s v=""/>
    <s v=""/>
    <s v=""/>
    <s v=""/>
    <n v="1"/>
  </r>
  <r>
    <x v="1"/>
    <n v="928"/>
    <m/>
    <n v="3242"/>
    <s v="(11/02/2026) ligação efetuada - Anderson pediu para retornar ! vamos dar sequencia no whatsapp_x000a_(18/02/2026) buscando contato com Anderson ! sem resposta até o momento"/>
    <s v=""/>
    <x v="384"/>
    <n v="9205460000120"/>
    <s v=""/>
    <s v="Panveiga"/>
    <s v="(83) 3343-3391 / (83) 3343-3391"/>
    <s v=""/>
    <s v=""/>
    <s v=""/>
    <s v=""/>
    <s v=""/>
    <s v="CAMPINA GRANDE"/>
    <s v="PB"/>
    <s v="Inbound"/>
    <s v=""/>
    <s v=""/>
    <s v="Dentro Perfil;Instagram"/>
    <s v="Pipeline de Vendas"/>
    <s v="Qualificação de Vendas (SQL) (25%)"/>
    <s v=""/>
    <m/>
    <m/>
    <m/>
    <n v="8"/>
    <s v="Paulo Souza"/>
    <d v="2026-02-11T00:00:00"/>
    <d v="1899-12-30T11:51:24"/>
    <s v=""/>
    <s v="Perdido"/>
    <d v="2026-02-19T00:00:00"/>
    <d v="1899-12-30T09:53:04"/>
    <s v="Nossa solução não atende - falta funcionalidade"/>
    <s v="cliente precisa que o força de vendas atenda em pronta entrega"/>
    <s v=""/>
    <x v="0"/>
    <s v=""/>
    <x v="0"/>
    <s v=""/>
    <d v="2026-02-18T00:00:00"/>
    <n v="30"/>
    <s v=""/>
    <s v=""/>
    <s v=""/>
    <s v=""/>
    <n v="1"/>
  </r>
  <r>
    <x v="1"/>
    <n v="929"/>
    <m/>
    <n v="3235"/>
    <s v="Conversa extraida do áudio enviado em 12/03/2026_x000a_ 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
    <s v=""/>
    <x v="447"/>
    <m/>
    <s v=""/>
    <s v="kayo calil marques"/>
    <s v="(14) 99854-9863"/>
    <s v=""/>
    <s v="kayocalil@hotmail.com"/>
    <s v=""/>
    <s v=""/>
    <s v=""/>
    <s v="Tupã"/>
    <s v=""/>
    <s v="Site"/>
    <s v=""/>
    <s v=""/>
    <s v="Solicita demo"/>
    <s v="Pipeline de Vendas"/>
    <s v="Em negociação (75%)"/>
    <s v=""/>
    <m/>
    <n v="41040"/>
    <n v="384858"/>
    <n v="29"/>
    <s v="Paulo Souza"/>
    <d v="2026-02-11T00:00:00"/>
    <d v="1899-12-30T11:53:14"/>
    <s v=""/>
    <s v="Perdido"/>
    <d v="2026-03-12T00:00:00"/>
    <d v="1899-12-30T14:14:05"/>
    <s v="Não quer mudar a solução atual"/>
    <s v="Conversa extraida do áudio enviado em 12/03/2026_x000a_ 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
    <s v=""/>
    <x v="186"/>
    <s v=""/>
    <x v="201"/>
    <s v="19/02/2026"/>
    <d v="2026-03-12T00:00:00"/>
    <n v="30"/>
    <s v=""/>
    <s v=""/>
    <s v=""/>
    <s v=""/>
    <n v="1"/>
  </r>
  <r>
    <x v="2"/>
    <n v="930"/>
    <m/>
    <n v="3243"/>
    <s v="12.02 - é uma importadora de Ribeirão Preto e veio por indicação da Simone (QFestas) são do mesmo seguimento_x000a_Disse que já havia feito contato um tempo atrás mas na época achou muito caro, então não avançou_x000a_Esta retomando o contato agora e gostaria de receber uma proposta comercial antes, já que já conhece o sistema, já recebeu várias indicações de importadores, e representantes. _x000a_18.03 - estou tentando contato, mas esta em feira _x000a_30.03 Achou que não é o momento certo para avançar"/>
    <s v=""/>
    <x v="448"/>
    <n v="14590342000113"/>
    <s v=""/>
    <s v="Leandro"/>
    <s v="(16) 98237-0011"/>
    <s v=""/>
    <s v="leandro@bazarimportadora.com.br"/>
    <s v=""/>
    <s v=""/>
    <s v=""/>
    <s v="Ribeirão Preto"/>
    <s v=""/>
    <s v="Site"/>
    <s v=""/>
    <s v=""/>
    <s v="Contato;Dentro Perfil"/>
    <s v="Pipeline de Vendas"/>
    <s v="Apresentar Proposta (50%)"/>
    <s v=""/>
    <m/>
    <m/>
    <m/>
    <n v="47"/>
    <s v="Paulo Souza"/>
    <d v="2026-02-11T00:00:00"/>
    <d v="1899-12-30T11:54:00"/>
    <s v=""/>
    <s v="Perdido"/>
    <d v="2026-03-30T00:00:00"/>
    <d v="1899-12-30T15:50:03"/>
    <s v="Projeto adiado / sem prazo definido"/>
    <s v=""/>
    <s v=""/>
    <x v="0"/>
    <s v="Rayssa Karapeticov"/>
    <x v="202"/>
    <s v=""/>
    <d v="2026-03-30T00:00:00"/>
    <n v="30"/>
    <s v=""/>
    <s v="AFV, ERP"/>
    <s v=""/>
    <s v=""/>
    <n v="1"/>
  </r>
  <r>
    <x v="1"/>
    <n v="931"/>
    <m/>
    <n v="3233"/>
    <s v="11/02/2026) cliente com necessidades especificas _x000a_Rastreabilidade avançada de coletas e devoluções (fluxo de logística reversa e conferência de avarias);_x000a_Gestão flexível de Kits (desmembramento dinâmico de itens no ato da manutenção);"/>
    <s v=""/>
    <x v="449"/>
    <n v="36096287000142"/>
    <s v=""/>
    <s v="Fernando Ramalho"/>
    <s v="(21) 98655-6912"/>
    <s v=""/>
    <s v="fernando.ramalho@superzinca.com.br"/>
    <s v=""/>
    <s v=""/>
    <s v=""/>
    <s v="Ibirité"/>
    <s v=""/>
    <s v="Site"/>
    <s v=""/>
    <s v=""/>
    <s v="Fora Perfil;Solicita demo"/>
    <s v="Pipeline de Vendas"/>
    <s v="Qualificação de Vendas (SQL) (25%)"/>
    <s v=""/>
    <m/>
    <m/>
    <m/>
    <n v="0"/>
    <s v="Paulo Souza"/>
    <d v="2026-02-11T00:00:00"/>
    <d v="1899-12-30T11:55:55"/>
    <s v=""/>
    <s v="Perdido"/>
    <d v="2026-02-11T00:00:00"/>
    <d v="1899-12-30T15:28:53"/>
    <s v="Fora do porte mínimo (sem fit estrutural)"/>
    <s v="cliente fora do perfil"/>
    <s v=""/>
    <x v="0"/>
    <s v=""/>
    <x v="0"/>
    <s v=""/>
    <m/>
    <n v="30"/>
    <s v=""/>
    <s v=""/>
    <s v=""/>
    <s v=""/>
    <n v="1"/>
  </r>
  <r>
    <x v="2"/>
    <n v="932"/>
    <m/>
    <n v="3234"/>
    <s v="12.02 ligação realizada no dia 12.02 as 11:13, não atendeu. Enviei mensagem no whatsapp, para tentar um novo horario para ligação_x000a_13.02 Cliente é uma industria de copos de liquidificador estão sempre na ABUP e vieram por indicação da Arthi _x000a_Usam um sistema interno - mas futuramente querem trocar o sistema, explicou que a principio querem conhecer nosso AFV, porque foi uma indicação e o sistema atual possui esse módulo mas libera muitas informações que eles não querem disponibilizar para os RCAs, porém não podem editar ou bloquear_x000a_Não enviar estoque _x000a_Tabelas de preço - Explicou que possuem várias tabelas de preço por faixa de valor, informei que o sistema atende essa necessidade e quem podem ter uma unica tabela com uma regra comercial de desconto por faixar de valor amarrada ao pedido_x000a_Imagens de produtos - quer que o cliente tenha acesso a imagem do produto, expliquei que sim, e que pode gerar o catalogo em PDF para o cliente_x000a_Descrição - ficha técnica do produto e descrição do item_x000a_Uso de sistemas na feira - usar leitor de código de produto_x000a_Envio de orçamento - envio de cópia de orçamentos por PDF, link ou excel, e explicar funções em feira _x000a_Isis vai verificar com a gerente uma data para apresentação do AFV_x000a_18.02 - apresentação agendada para amanhã _x000a_18.03 Negociação finalizada, aguardando documentação para seguir com contrato_x000a_15.04 09:24, 15/04/2026 Rayssa Karapeticov - Comercial - Guarani Sistemas: Oi Isis, como você está.?_x000a_Na última troca, você comentou que eles devem manter o sistema atual por mais tempo, e eu fiquei de marcar uma reunião presencial para detalharmos a integração e forma de trabalho._x000a_Queria entender contigo se ainda faz sentido seguirmos com esse alinhamento agora. Se sim, me indica por favor dois horários que funcionem para você."/>
    <s v=""/>
    <x v="450"/>
    <n v="1498495000193"/>
    <s v=""/>
    <s v="Isis Miguelette"/>
    <s v="(11) 91290-8574"/>
    <s v=""/>
    <s v="isismiguelette@micromaxindustria.com.br"/>
    <s v=""/>
    <s v=""/>
    <s v=""/>
    <s v="Itatiba"/>
    <s v=""/>
    <s v="Site"/>
    <s v=""/>
    <s v=""/>
    <s v="Dentro Perfil;Solicita demo"/>
    <s v="Pipeline de Vendas"/>
    <s v="Em negociação (75%)"/>
    <s v=""/>
    <d v="2026-04-30T00:00:00"/>
    <n v="16143"/>
    <n v="690"/>
    <n v="70"/>
    <s v="Paulo Souza"/>
    <d v="2026-02-11T00:00:00"/>
    <d v="1899-12-30T11:56:36"/>
    <s v=""/>
    <s v="Perdido"/>
    <d v="2026-04-22T00:00:00"/>
    <d v="1899-12-30T17:19:39"/>
    <s v="Preço muito alto - fora do budget de investimento"/>
    <s v=""/>
    <s v=""/>
    <x v="185"/>
    <s v="Rayssa Karapeticov"/>
    <x v="203"/>
    <s v=""/>
    <d v="2026-04-15T00:00:00"/>
    <n v="30"/>
    <s v=""/>
    <s v="AFV"/>
    <s v=""/>
    <s v=""/>
    <n v="1"/>
  </r>
  <r>
    <x v="1"/>
    <n v="933"/>
    <m/>
    <n v="3262"/>
    <s v=""/>
    <s v="Startools Ferramentas, Comercio, Importacao E Exportacao Ltda"/>
    <x v="451"/>
    <n v="35754976000215"/>
    <s v=""/>
    <s v="Startools Ferramentas, Comercio, Importacao E Exportacao Ltda"/>
    <s v="(11) 8472-4282"/>
    <s v=""/>
    <s v="controladoria@startoolsferramentas.com.br"/>
    <s v=""/>
    <s v=""/>
    <s v=""/>
    <s v="ARAQUARI"/>
    <s v="SC"/>
    <s v="Base de empresas Leads2b"/>
    <s v=""/>
    <s v=""/>
    <s v=""/>
    <s v="Pipeline de Vendas"/>
    <s v="Apresentar Solução (35%)"/>
    <s v=""/>
    <m/>
    <n v="0"/>
    <n v="0"/>
    <n v="98"/>
    <s v="Junior Lopes"/>
    <d v="2026-02-11T00:00:00"/>
    <d v="1899-12-30T18:07:55"/>
    <s v=""/>
    <s v="Ativo"/>
    <m/>
    <m/>
    <s v=""/>
    <s v=""/>
    <s v=""/>
    <x v="0"/>
    <s v=""/>
    <x v="204"/>
    <s v=""/>
    <d v="2026-05-08T00:00:00"/>
    <n v="50"/>
    <s v=""/>
    <s v=""/>
    <s v=""/>
    <s v=""/>
    <n v="1"/>
  </r>
  <r>
    <x v="1"/>
    <n v="934"/>
    <m/>
    <n v="3263"/>
    <s v="(03/03/2026) Visita apresentação _x000a_(05/03/2026)  buscando fechamento"/>
    <s v="Cleantech Solucoes Industria, Distribuidora, Comercio, Importacao E Exportacao De Produtos Quimicos Ltda"/>
    <x v="452"/>
    <n v="51540058000169"/>
    <s v=""/>
    <s v="Cleantech Solucoes Industria, Distribuidora, Comercio, Importacao E Exportacao De Produtos Quimicos Ltda"/>
    <s v="(11) 91564-2482"/>
    <s v=""/>
    <s v=""/>
    <s v=""/>
    <s v=""/>
    <s v=""/>
    <s v="SAO PAULO"/>
    <s v="SP"/>
    <s v="Base de empresas Leads2b"/>
    <s v=""/>
    <s v=""/>
    <s v=""/>
    <s v="Pipeline de Vendas"/>
    <s v="Em Fechamento (100%)"/>
    <s v=""/>
    <m/>
    <n v="68400"/>
    <n v="114607"/>
    <n v="49"/>
    <s v="Junior Lopes"/>
    <d v="2026-02-11T00:00:00"/>
    <d v="1899-12-30T18:19:45"/>
    <s v=""/>
    <s v="Ganho"/>
    <d v="2026-04-01T00:00:00"/>
    <d v="1899-12-30T10:36:11"/>
    <s v=""/>
    <s v=""/>
    <s v=""/>
    <x v="183"/>
    <s v=""/>
    <x v="196"/>
    <s v="03/03/2026"/>
    <d v="2026-03-05T00:00:00"/>
    <n v="70"/>
    <s v=""/>
    <s v=""/>
    <s v=""/>
    <s v=""/>
    <n v="1"/>
  </r>
  <r>
    <x v="0"/>
    <n v="935"/>
    <m/>
    <n v="3259"/>
    <s v="13/02 Fiz FUP hoje com a Pamela e o perfil identificado é de cliente emergente para investir no momento. E por isso foi declinado."/>
    <s v=""/>
    <x v="453"/>
    <m/>
    <s v=""/>
    <s v="PAMELA CRISTINA DA FONSECA"/>
    <s v="(46) 99984-1338"/>
    <s v=""/>
    <s v="importacao.azul@hotmail.com"/>
    <s v=""/>
    <s v=""/>
    <s v=""/>
    <s v="Fazenda Rio Grande"/>
    <s v=""/>
    <s v="Site"/>
    <s v=""/>
    <s v=""/>
    <s v="Solicita demo"/>
    <s v="Pipeline de Vendas"/>
    <s v="Qualificação de Vendas (SQL) (25%)"/>
    <s v=""/>
    <d v="2026-02-28T00:00:00"/>
    <m/>
    <m/>
    <n v="1"/>
    <s v="Paulo Souza"/>
    <d v="2026-02-12T00:00:00"/>
    <d v="1899-12-30T02:29:04"/>
    <s v=""/>
    <s v="Perdido"/>
    <d v="2026-02-13T00:00:00"/>
    <d v="1899-12-30T17:22:46"/>
    <s v="Preço muito alto - fora do budget de investimento"/>
    <s v=""/>
    <s v=""/>
    <x v="0"/>
    <s v="Paulo Souza"/>
    <x v="187"/>
    <s v=""/>
    <m/>
    <n v="30"/>
    <s v=""/>
    <s v="ERP, AFV"/>
    <s v=""/>
    <s v=""/>
    <n v="1"/>
  </r>
  <r>
    <x v="1"/>
    <n v="936"/>
    <m/>
    <n v="3268"/>
    <s v="(20/02/2026) Buscando fechamento _x000a_Conversa extraida do áudio enviado em 12/03/2026_x000a_ 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
    <s v=""/>
    <x v="454"/>
    <m/>
    <s v=""/>
    <s v="Atacadão das Tripas"/>
    <s v="14998549863"/>
    <s v=""/>
    <s v="kayocalil@hotmail.com"/>
    <s v=""/>
    <s v=""/>
    <s v=""/>
    <s v=""/>
    <s v=""/>
    <s v=""/>
    <s v=""/>
    <s v=""/>
    <s v=""/>
    <s v="Pipeline de Vendas"/>
    <s v="Em negociação (75%)"/>
    <s v=""/>
    <m/>
    <m/>
    <m/>
    <n v="27"/>
    <s v="Junior Lopes"/>
    <d v="2026-02-13T00:00:00"/>
    <d v="1899-12-30T14:52:42"/>
    <s v=""/>
    <s v="Perdido"/>
    <d v="2026-03-12T00:00:00"/>
    <d v="1899-12-30T14:12:42"/>
    <s v="Não quer mudar a solução atual"/>
    <s v="Conversa extraida do áudio enviado em 12/03/2026_x000a_ 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
    <s v=""/>
    <x v="0"/>
    <s v=""/>
    <x v="187"/>
    <s v=""/>
    <d v="2026-03-12T00:00:00"/>
    <n v="50"/>
    <s v=""/>
    <s v=""/>
    <s v=""/>
    <s v=""/>
    <n v="1"/>
  </r>
  <r>
    <x v="1"/>
    <n v="937"/>
    <m/>
    <n v="3267"/>
    <s v="(19/02/2026) descartando por falta de interação _x000a_09:44, 19/02/2026 Junior Lopes: Oi, Edenilson Tentei contato algumas vezes, mas não consegui falar com você. Imagino que sua rotina esteja corrida. Vou encerrar seu atendimento por aqui para não lotar sua caixa de entrada, mas sigo à disposição caso queira retomar o assunto no futuro"/>
    <s v=""/>
    <x v="455"/>
    <n v="3318893000106"/>
    <s v=""/>
    <s v="Eletro Fort Poste Padrão"/>
    <s v="19974151604"/>
    <s v=""/>
    <s v="compras@eletrofortlimeira.com.br"/>
    <s v=""/>
    <s v=""/>
    <s v=""/>
    <s v=""/>
    <s v=""/>
    <s v="Campanha"/>
    <s v=""/>
    <s v=""/>
    <s v="Dentro Perfil;Instagram"/>
    <s v="Pipeline de Vendas"/>
    <s v="Qualificação de Vendas (SQL) (25%)"/>
    <s v=""/>
    <d v="2026-02-28T00:00:00"/>
    <m/>
    <m/>
    <n v="13"/>
    <s v="Paulo Souza"/>
    <d v="2026-02-13T00:00:00"/>
    <d v="1899-12-30T21:58:18"/>
    <s v=""/>
    <s v="Perdido"/>
    <d v="2026-02-26T00:00:00"/>
    <d v="1899-12-30T23:10:17"/>
    <s v="Fora do porte mínimo (sem fit estrutural)"/>
    <s v=""/>
    <s v=""/>
    <x v="0"/>
    <s v="Junior Lopes"/>
    <x v="0"/>
    <s v=""/>
    <d v="2026-02-19T00:00:00"/>
    <n v="30"/>
    <s v=""/>
    <s v=""/>
    <s v=""/>
    <s v=""/>
    <n v="1"/>
  </r>
  <r>
    <x v="0"/>
    <n v="938"/>
    <m/>
    <n v="3266"/>
    <s v="19/02 Fiz FUP com o cliente e liguei para o Luis e ao entender o processo dele verifique que não atendemos. Pois ele quer que o vendedor no momento do pedido já emita a NF."/>
    <s v=""/>
    <x v="456"/>
    <n v="11994847000155"/>
    <s v=""/>
    <s v="Luís Fernando"/>
    <s v="(15) 99839-1786"/>
    <s v=""/>
    <s v="luismendesjr@cafecarneiro.com.br"/>
    <s v=""/>
    <s v=""/>
    <s v=""/>
    <s v="Itapeva"/>
    <s v=""/>
    <s v="Site"/>
    <s v=""/>
    <s v=""/>
    <s v="Contato"/>
    <s v="Pipeline de Vendas"/>
    <s v="Apresentar Solução (35%)"/>
    <s v=""/>
    <d v="2026-02-28T00:00:00"/>
    <m/>
    <m/>
    <n v="6"/>
    <s v="Paulo Souza"/>
    <d v="2026-02-13T00:00:00"/>
    <d v="1899-12-30T22:00:55"/>
    <s v=""/>
    <s v="Perdido"/>
    <d v="2026-02-19T00:00:00"/>
    <d v="1899-12-30T17:25:13"/>
    <s v="Nossa solução não atende - falta funcionalidade"/>
    <s v="19/02 Fiz FUP com o cliente e liguei para o Luis e ao entender o processo dele verifique que não atendemos. Pois ele quer que o vendedor no momento do pedido já emita a NF."/>
    <s v=""/>
    <x v="0"/>
    <s v="Paulo Souza"/>
    <x v="0"/>
    <s v=""/>
    <m/>
    <n v="30"/>
    <s v=""/>
    <s v=""/>
    <s v=""/>
    <s v=""/>
    <n v="1"/>
  </r>
  <r>
    <x v="2"/>
    <n v="945"/>
    <m/>
    <n v="3271"/>
    <s v=""/>
    <s v=""/>
    <x v="457"/>
    <m/>
    <s v=""/>
    <s v="Angel"/>
    <s v="(45) 99828-7178"/>
    <s v=""/>
    <s v="lucaangel20@hotmail.com"/>
    <s v=""/>
    <s v=""/>
    <s v=""/>
    <s v="Toledo"/>
    <s v=""/>
    <s v="Site"/>
    <s v=""/>
    <s v=""/>
    <s v="Solicita demo"/>
    <s v="Pipeline de Vendas"/>
    <s v="Agendamento (0%)"/>
    <s v=""/>
    <m/>
    <m/>
    <m/>
    <n v="2"/>
    <s v="Paulo Souza"/>
    <d v="2026-02-17T00:00:00"/>
    <d v="1899-12-30T17:47:51"/>
    <s v=""/>
    <s v="Perdido"/>
    <d v="2026-02-19T00:00:00"/>
    <d v="1899-12-30T09:05:02"/>
    <s v="Cliente não quer contato LGPD"/>
    <s v=""/>
    <s v=""/>
    <x v="0"/>
    <s v="Rayssa Karapeticov"/>
    <x v="0"/>
    <s v=""/>
    <d v="2026-02-18T00:00:00"/>
    <n v="30"/>
    <s v=""/>
    <s v="ERP"/>
    <s v=""/>
    <s v=""/>
    <n v="1"/>
  </r>
  <r>
    <x v="0"/>
    <n v="946"/>
    <m/>
    <n v="3270"/>
    <s v="26/02 Fiz FUP hoje com o Diego após varias tentativas de ligação ele não atendeu, envie e-mail para ver se consigo outro canal de conversa._x000a_12/03 Diego optou por uma solução local e se não der certo retorna o contato."/>
    <s v=""/>
    <x v="458"/>
    <m/>
    <s v=""/>
    <s v="Cia atacadista"/>
    <s v="71982084451"/>
    <s v=""/>
    <s v="ailtonsrocha@hotmail.com"/>
    <s v=""/>
    <s v=""/>
    <s v=""/>
    <s v=""/>
    <s v=""/>
    <s v="Campanha"/>
    <s v=""/>
    <s v=""/>
    <s v="Dentro Perfil;Instagram"/>
    <s v="Pipeline de Vendas"/>
    <s v="Qualificação de Vendas (SQL) (25%)"/>
    <s v=""/>
    <d v="2026-03-31T00:00:00"/>
    <m/>
    <m/>
    <n v="82"/>
    <s v="Paulo Souza"/>
    <d v="2026-02-18T00:00:00"/>
    <d v="1899-12-30T08:51:33"/>
    <s v=""/>
    <s v="Perdido"/>
    <d v="2026-05-11T00:00:00"/>
    <d v="1899-12-30T11:54:40"/>
    <s v="Fechou com o concorrente - preço"/>
    <s v="optou por uma solução local, senão atende-lo volta o contato."/>
    <s v=""/>
    <x v="0"/>
    <s v="Paulo Souza"/>
    <x v="0"/>
    <s v=""/>
    <d v="2026-03-12T00:00:00"/>
    <n v="30"/>
    <s v=""/>
    <s v="ERP, AFV"/>
    <s v=""/>
    <s v=""/>
    <n v="1"/>
  </r>
  <r>
    <x v="1"/>
    <n v="948"/>
    <m/>
    <n v="3278"/>
    <s v="(19/02/2026) em contato com Andreia ! atualmente usa ERP Linx e busca ferramenta de força de vendas _x000a_estamos alinhando data de apresentação _x000a_(09/03/2026) Após envio da proposta comercial Andréa não respondeu mais ! dois pontos de atenção com relacçao ao seu ramo de atividade , por ser um fabrica de roupas e ERP Linx"/>
    <s v=""/>
    <x v="459"/>
    <m/>
    <s v=""/>
    <s v="Ama"/>
    <s v="21995112577"/>
    <s v=""/>
    <s v="andreiamattosaeb@mail.com"/>
    <s v=""/>
    <s v=""/>
    <s v=""/>
    <s v=""/>
    <s v=""/>
    <s v="Campanha"/>
    <s v=""/>
    <s v=""/>
    <s v="Dentro Perfil;Instagram"/>
    <s v="Pipeline de Vendas"/>
    <s v="Apresentar Proposta (50%)"/>
    <s v=""/>
    <d v="2026-02-28T00:00:00"/>
    <n v="16960"/>
    <n v="575"/>
    <n v="21"/>
    <s v="Paulo Souza"/>
    <d v="2026-02-19T00:00:00"/>
    <d v="1899-12-30T08:14:29"/>
    <s v=""/>
    <s v="Perdido"/>
    <d v="2026-03-12T00:00:00"/>
    <d v="1899-12-30T15:22:14"/>
    <s v="Não houve aprovação financeira"/>
    <s v="investimento alto"/>
    <s v=""/>
    <x v="184"/>
    <s v="Junior Lopes"/>
    <x v="205"/>
    <s v=""/>
    <d v="2026-03-09T00:00:00"/>
    <n v="31"/>
    <s v=""/>
    <s v=""/>
    <s v=""/>
    <s v=""/>
    <n v="1"/>
  </r>
  <r>
    <x v="2"/>
    <n v="949"/>
    <m/>
    <n v="3279"/>
    <s v=""/>
    <s v=""/>
    <x v="363"/>
    <m/>
    <s v=""/>
    <s v="Fisiohosp"/>
    <s v="06596658787"/>
    <s v=""/>
    <s v="cmag2017@gmail.com"/>
    <s v=""/>
    <s v=""/>
    <s v=""/>
    <s v=""/>
    <s v="Cuiabá mt"/>
    <s v="Inbound"/>
    <s v=""/>
    <s v=""/>
    <s v="Fora Perfil;Instagram"/>
    <s v="Pipeline de Vendas"/>
    <s v="Agendamento (0%)"/>
    <s v=""/>
    <d v="2026-02-28T00:00:00"/>
    <m/>
    <m/>
    <n v="4"/>
    <s v="Paulo Souza"/>
    <d v="2026-02-19T00:00:00"/>
    <d v="1899-12-30T08:15:39"/>
    <s v=""/>
    <s v="Perdido"/>
    <d v="2026-02-23T00:00:00"/>
    <d v="1899-12-30T16:11:43"/>
    <s v="Fora do porte mínimo (sem fit estrutural)"/>
    <s v=""/>
    <s v=""/>
    <x v="0"/>
    <s v="Rayssa Karapeticov"/>
    <x v="0"/>
    <s v=""/>
    <m/>
    <n v="30"/>
    <s v=""/>
    <s v=""/>
    <s v=""/>
    <s v=""/>
    <n v="1"/>
  </r>
  <r>
    <x v="2"/>
    <n v="950"/>
    <m/>
    <n v="3280"/>
    <s v="19.02 devido o feriado de carnaval estã retornando hoje._x000a_Combinamos de falar amanhã 20/02 as 09h"/>
    <s v=""/>
    <x v="460"/>
    <n v="3459449000100"/>
    <s v=""/>
    <s v="San marcus industrial"/>
    <s v="75998542317"/>
    <s v=""/>
    <s v="marcos@sanmarcus.com.br"/>
    <s v=""/>
    <s v=""/>
    <s v=""/>
    <s v=""/>
    <s v=""/>
    <s v="Campanha"/>
    <s v=""/>
    <s v=""/>
    <s v="Dentro Perfil;Instagram"/>
    <s v="Pipeline de Vendas"/>
    <s v="Apresentar Solução (35%)"/>
    <s v=""/>
    <d v="2026-04-30T00:00:00"/>
    <m/>
    <m/>
    <n v="22"/>
    <s v="Paulo Souza"/>
    <d v="2026-02-19T00:00:00"/>
    <d v="1899-12-30T08:17:18"/>
    <s v=""/>
    <s v="Perdido"/>
    <d v="2026-03-13T00:00:00"/>
    <d v="1899-12-30T10:35:07"/>
    <s v="Não quer mudar a solução atual"/>
    <s v=""/>
    <s v=""/>
    <x v="0"/>
    <s v="Rayssa Karapeticov"/>
    <x v="0"/>
    <s v=""/>
    <d v="2026-03-13T00:00:00"/>
    <n v="31"/>
    <s v=""/>
    <s v="ERP, PCP, AFV"/>
    <s v=""/>
    <s v=""/>
    <n v="1"/>
  </r>
  <r>
    <x v="1"/>
    <n v="951"/>
    <m/>
    <n v="3282"/>
    <s v="(19/02/2026) ligação não atendida ! na sequencia envio de mensagem _x000a_(19/02/2026) em contato com Carolla , a empresa é uma loja de doces , fora do perfil _x000a_08:56, 19/02/2026 Junior Lopes: OLá Carolla, bom dia !_x000a_08:56, 19/02/2026 Junior Lopes: sou Junior Lopes da Guarani sistemas td bem ?_x000a_08:57, 19/02/2026 Junior Lopes: estou retornando um contato que você fez conosco"/>
    <s v=""/>
    <x v="461"/>
    <m/>
    <s v=""/>
    <s v="Fa de doces"/>
    <s v="16993027000"/>
    <s v=""/>
    <s v="carollafinancas@gmail.com"/>
    <s v=""/>
    <s v=""/>
    <s v=""/>
    <s v=""/>
    <s v=""/>
    <s v="Campanha"/>
    <s v=""/>
    <s v=""/>
    <s v="Fora Perfil;Instagram"/>
    <s v="Pipeline de Vendas"/>
    <s v="Qualificação de Vendas (SQL) (25%)"/>
    <s v=""/>
    <d v="2026-02-19T00:00:00"/>
    <m/>
    <m/>
    <n v="7"/>
    <s v="Paulo Souza"/>
    <d v="2026-02-19T00:00:00"/>
    <d v="1899-12-30T08:18:43"/>
    <s v=""/>
    <s v="Perdido"/>
    <d v="2026-02-26T00:00:00"/>
    <d v="1899-12-30T23:09:28"/>
    <s v="Fora do porte mínimo (sem fit estrutural)"/>
    <s v=""/>
    <s v=""/>
    <x v="0"/>
    <s v="Junior Lopes"/>
    <x v="0"/>
    <s v=""/>
    <m/>
    <n v="30"/>
    <s v=""/>
    <s v=""/>
    <s v=""/>
    <s v=""/>
    <n v="1"/>
  </r>
  <r>
    <x v="0"/>
    <n v="952"/>
    <m/>
    <n v="3283"/>
    <s v="26/02 Fiz FUP com Alessandro e combinamos de falar na segunda-feira as 9h_x000a_12/03 Fiz FUP com o Alessandro e combinamos uma apresentação amanhã as 8h _x000a_20/03 Fiz FUP com o Alessandro para saber se ele vai seguir ou não._x000a_20/03 Cliente achou o preço muito alto para investir agora."/>
    <s v=""/>
    <x v="462"/>
    <m/>
    <s v=""/>
    <s v="Alessandro"/>
    <s v="49999890528"/>
    <s v=""/>
    <s v="ale@metaladm.com.br"/>
    <s v=""/>
    <s v=""/>
    <s v=""/>
    <s v=""/>
    <s v=""/>
    <s v="Campanha"/>
    <s v=""/>
    <s v=""/>
    <s v="Dentro Perfil;Instagram"/>
    <s v="Pipeline de Vendas"/>
    <s v="Em negociação (75%)"/>
    <s v=""/>
    <d v="2026-03-31T00:00:00"/>
    <n v="862043"/>
    <n v="34937"/>
    <n v="40"/>
    <s v="Paulo Souza"/>
    <d v="2026-02-19T00:00:00"/>
    <d v="1899-12-30T08:19:46"/>
    <s v=""/>
    <s v="Perdido"/>
    <d v="2026-03-31T00:00:00"/>
    <d v="1899-12-30T16:31:50"/>
    <s v="Preço muito alto - fora do budget de investimento"/>
    <s v=""/>
    <s v=""/>
    <x v="187"/>
    <s v="Paulo Souza"/>
    <x v="0"/>
    <s v=""/>
    <d v="2026-03-20T00:00:00"/>
    <n v="30"/>
    <s v=""/>
    <s v="ERP, AFV"/>
    <s v=""/>
    <s v=""/>
    <n v="1"/>
  </r>
  <r>
    <x v="0"/>
    <n v="953"/>
    <m/>
    <n v="3284"/>
    <s v="26/02 Fiz FUP com a Fernanda e ela não atendeu, deixei recado para falarmos._x000a_02/02 Fiz FUP e cliente falou que vai analisar"/>
    <s v=""/>
    <x v="463"/>
    <m/>
    <s v=""/>
    <s v="NEW"/>
    <s v="1140227929"/>
    <s v=""/>
    <s v="ferramentarianws@gmail.com"/>
    <s v=""/>
    <s v=""/>
    <s v=""/>
    <s v=""/>
    <s v=""/>
    <s v="Campanha"/>
    <s v=""/>
    <s v=""/>
    <s v="Fora Perfil;Instagram"/>
    <s v="Pipeline de Vendas"/>
    <s v="Qualificação de Vendas (SQL) (25%)"/>
    <s v=""/>
    <d v="2026-02-28T00:00:00"/>
    <m/>
    <m/>
    <n v="12"/>
    <s v="Paulo Souza"/>
    <d v="2026-02-19T00:00:00"/>
    <d v="1899-12-30T08:20:37"/>
    <s v=""/>
    <s v="Perdido"/>
    <d v="2026-03-03T00:00:00"/>
    <d v="1899-12-30T21:25:01"/>
    <s v="Fora do porte mínimo (sem fit estrutural)"/>
    <s v=""/>
    <s v=""/>
    <x v="0"/>
    <s v="Paulo Souza"/>
    <x v="0"/>
    <s v=""/>
    <m/>
    <n v="32"/>
    <s v=""/>
    <s v=""/>
    <s v=""/>
    <s v=""/>
    <n v="1"/>
  </r>
  <r>
    <x v="2"/>
    <n v="956"/>
    <m/>
    <n v="3286"/>
    <s v="esta atrás de parceiria para revenda do sistema"/>
    <s v=""/>
    <x v="464"/>
    <m/>
    <s v=""/>
    <s v="Grupo Alves Consultoria Empresarial"/>
    <s v="92992307944"/>
    <s v=""/>
    <s v="tayanxpmartins@hotmail.com"/>
    <s v=""/>
    <s v=""/>
    <s v=""/>
    <s v=""/>
    <s v=""/>
    <s v="Campanha"/>
    <s v=""/>
    <s v=""/>
    <s v="Fora Perfil;Instagram"/>
    <s v="Pipeline de Vendas"/>
    <s v="Agendamento (0%)"/>
    <s v=""/>
    <d v="2026-02-28T00:00:00"/>
    <m/>
    <m/>
    <n v="3"/>
    <s v="Paulo Souza"/>
    <d v="2026-02-20T00:00:00"/>
    <d v="1899-12-30T13:53:53"/>
    <s v=""/>
    <s v="Perdido"/>
    <d v="2026-02-23T00:00:00"/>
    <d v="1899-12-30T16:07:54"/>
    <s v="Fora do porte mínimo (sem fit estrutural)"/>
    <s v=""/>
    <s v=""/>
    <x v="0"/>
    <s v="Rayssa Karapeticov"/>
    <x v="0"/>
    <s v=""/>
    <d v="2026-02-23T00:00:00"/>
    <n v="30"/>
    <s v=""/>
    <s v=""/>
    <s v=""/>
    <s v=""/>
    <n v="1"/>
  </r>
  <r>
    <x v="2"/>
    <n v="959"/>
    <m/>
    <n v="3298"/>
    <s v="Cliente é um representante da Oster e outras marcas, a ideia de negociação é do AFV, mas no dia sexta-feira, 20 de fevereiro de 2026_x000a_11:00 - 12:00 (BRT) - realizamos uma apresentação do AFv, durante a reunião pediu uma proposta do ERP também para avaliar uma possivel troca. _x000a_Após a reunião fizemos uma segunda ruenião de apresentação da proposta comercial no dia 24/02_x000a_Após isso cliente ficou de me passar uma contra proposta para negociação, porém ele esta em feria no EUA, e ainda não retornoul_x000a_Falei com ele hoje 18/03 e ainda esta em feira e pediu para retornar na sexta oferecendo um login e senha. _x000a_Vou retornar o contato na sexta para entender(provavelemente é do AFV) mas dar sequencia no atendimento_x000a_24.03 Estou marcando uma reunião presencial, porém essa semana esta em SC"/>
    <s v=""/>
    <x v="465"/>
    <m/>
    <s v=""/>
    <s v="André Feldman"/>
    <s v="11988461881"/>
    <s v=""/>
    <s v="andre@homebrands.com.br"/>
    <s v=""/>
    <s v=""/>
    <s v=""/>
    <s v=""/>
    <s v=""/>
    <s v=""/>
    <s v=""/>
    <s v=""/>
    <s v=""/>
    <s v="Pipeline de Vendas"/>
    <s v="Em negociação (75%)"/>
    <s v=""/>
    <d v="2026-05-31T00:00:00"/>
    <n v="963186"/>
    <n v="62062"/>
    <n v="79"/>
    <s v="Rayssa Karapeticov"/>
    <d v="2026-02-23T00:00:00"/>
    <d v="1899-12-30T11:51:24"/>
    <s v=""/>
    <s v="Perdido"/>
    <d v="2026-05-13T00:00:00"/>
    <d v="1899-12-30T10:42:53"/>
    <s v="Projeto adiado / sem prazo definido"/>
    <s v=""/>
    <s v=""/>
    <x v="188"/>
    <s v="Rayssa Karapeticov"/>
    <x v="206"/>
    <s v=""/>
    <d v="2026-05-13T00:00:00"/>
    <n v="30"/>
    <s v=""/>
    <s v="ERP"/>
    <s v=""/>
    <s v=""/>
    <n v="1"/>
  </r>
  <r>
    <x v="2"/>
    <n v="960"/>
    <m/>
    <n v="3299"/>
    <s v="Cliente é um representante da Oster e outras marcas, a ideia de negociação é do AFV, mas no dia sexta-feira, 20 de fevereiro de 2026_x000a_11:00 - 12:00 (BRT) - realizamos uma apresentação do AFv, durante a reunião pediu uma proposta do ERP também para avaliar uma possivel troca. _x000a_Após a reunião fizemos uma segunda ruenião de apresentação da proposta comercial no dia 24/02_x000a_Após isso cliente ficou de me passar uma contra proposta para negociação, porém ele esta em feria no EUA, e ainda não retornoul_x000a_Falei com ele hoje 18/03 e ainda esta em feira e pediu para retornar na sexta oferecendo um login e senha. _x000a_Vou retornar o contato na sexta para entender(provavelemente é do AFV) mas dar sequencia no atendimento_x000a_24.03 Estou marcando uma reunião presencial, porém essa semana esta em SC."/>
    <s v=""/>
    <x v="466"/>
    <m/>
    <s v=""/>
    <s v="Andre"/>
    <s v="11988461881"/>
    <s v=""/>
    <s v="andre@homebrands.com.br"/>
    <s v=""/>
    <s v=""/>
    <s v=""/>
    <s v=""/>
    <s v=""/>
    <s v=""/>
    <s v=""/>
    <s v=""/>
    <s v=""/>
    <s v="Pipeline de Vendas"/>
    <s v="Em negociação (75%)"/>
    <s v=""/>
    <d v="2026-04-30T00:00:00"/>
    <n v="27150"/>
    <n v="3450"/>
    <n v="79"/>
    <s v="Rayssa Karapeticov"/>
    <d v="2026-02-23T00:00:00"/>
    <d v="1899-12-30T12:12:37"/>
    <s v=""/>
    <s v="Perdido"/>
    <d v="2026-05-13T00:00:00"/>
    <d v="1899-12-30T10:53:23"/>
    <s v="Não quer mudar a solução atual"/>
    <s v=""/>
    <s v=""/>
    <x v="188"/>
    <s v="Rayssa Karapeticov"/>
    <x v="206"/>
    <s v=""/>
    <d v="2026-05-13T00:00:00"/>
    <n v="30"/>
    <s v=""/>
    <s v="AFV"/>
    <s v=""/>
    <s v=""/>
    <n v="1"/>
  </r>
  <r>
    <x v="1"/>
    <n v="961"/>
    <m/>
    <n v="3287"/>
    <s v="12:26, 24/02/2026 Junior Lopes: lá Valdir, bom dia_x000a_12:26, 24/02/2026 Junior Lopes: aqui é Junior Lopes da Guarani sistemas tudo bem ?_x000a_12:39, 24/02/2026 +55 19 99218-9262: Boa tarde._x000a_Tudo bem e você?_x000a_Estou em um pregão eletrônico,  assim que acabar te chamo_x000a_13:02, 25/02/2026 +55 19 99218-9262: Preciso de um erp que controle 2 cnpj._x000a_Tenha:_x000a_Controle de O.S. com emissão de produto junto._x000a_Atualização com marketplace hoje, ML, Amazon, Shopee e Magazine Luiza._x000a_Controle de contratos _x000a_Ecomerce._x000a_Vendas por WhatsApp, Instagram, etc._x000a_Quando fazer venda na loja física, podendo colocar produtos das duas empresas e depois fazer as nfe de acordo com os produtos adequados._x000a_13:02, 25/02/2026 Junior Lopes: Olá Valdir , boa tarde_x000a_13:03, 25/02/2026 Junior Lopes: Assim que finalizar meu almoço , verifico sua mensagem e te respondo_x000a_13:03, 25/02/2026 Junior Lopes: Um abraço_x000a_13:03, 25/02/2026 +55 19 99218-9262: Estou no médico tambem agora, kkkk_x000a_13:03, 25/02/2026 +55 19 99218-9262: No aguardo_x000a_14:02, 25/02/2026 Junior Lopes: Olá Valdir, td bem ? fiz uma analise sobre as necessidades que você solicitou_x000a_14:02, 25/02/2026 Junior Lopes: Para o cenário da Compuleme, que exige uma frente de caixa (PDV) para loja física e integração direta com redes sociais e marketplaces, informamos que a Guarani não é a solução ideal._x000a_Embora sejamos fortes no controle de múltiplos CNPJs, O.S. e contratos, nosso sistema não opera com vendas de varejo físico ou integração de canais de atendimento (WhatsApp/Instagram). Preferimos ser transparentes para que vocês possam focar em uma ferramenta que já possua esse ecossistema de vendas integrado nativamente"/>
    <s v=""/>
    <x v="467"/>
    <n v="56556830000154"/>
    <s v=""/>
    <s v="Compuleme"/>
    <s v="19992189262"/>
    <s v=""/>
    <s v="valdir@compuleme.com.br"/>
    <s v=""/>
    <s v=""/>
    <s v=""/>
    <s v=""/>
    <s v=""/>
    <s v="Campanha"/>
    <s v=""/>
    <s v=""/>
    <s v="Fora Perfil;Instagram"/>
    <s v="Pipeline de Vendas"/>
    <s v="Qualificação de Vendas (SQL) (25%)"/>
    <s v=""/>
    <d v="2026-02-28T00:00:00"/>
    <m/>
    <m/>
    <n v="2"/>
    <s v="Paulo Souza"/>
    <d v="2026-02-24T00:00:00"/>
    <d v="1899-12-30T09:39:07"/>
    <s v=""/>
    <s v="Perdido"/>
    <d v="2026-02-26T00:00:00"/>
    <d v="1899-12-30T23:10:53"/>
    <s v="Fora do porte mínimo (sem fit estrutural)"/>
    <s v=""/>
    <s v=""/>
    <x v="0"/>
    <s v="Junior Lopes"/>
    <x v="0"/>
    <s v=""/>
    <d v="2026-02-25T00:00:00"/>
    <n v="30"/>
    <s v=""/>
    <s v=""/>
    <s v=""/>
    <s v=""/>
    <n v="1"/>
  </r>
  <r>
    <x v="2"/>
    <n v="962"/>
    <m/>
    <n v="3290"/>
    <s v="Perfil da Empresa_x000a_Setor: Tecnologia e segurança_x000a_Atuação: Distribuidora e empresa de tecnologia_x000a_Marcas representadas: Motorola, 3M_x000a_Produtos e Serviços_x000a_Vendas de produtos:_x000a_Via rádio de segurança_x000a_Formato de vendas para clientes recorrentes_x000a_Indicação pelo próprio representante_x000a_Equipe interna de vendas com 10 pessoas_x000a_Locação de produtos_x000a_Serviços complementares (não especificados, mas mencionados)_x000a_Estrutura Comercial_x000a_Equipe de vendas: 10 pessoas_x000a_Canais de vendas:_x000a_Representantes_x000a_Indicações_x000a_Equipe interna_x000a_Necessidade Atual_x000a_Implementar uma solução que:_x000a_Crie indicadores de desempenho para a equipe de vendas_x000a_Disponibilize um CRM para gestão de clientes e processos"/>
    <s v=""/>
    <x v="468"/>
    <m/>
    <s v=""/>
    <s v="São Paulo"/>
    <s v="11991241336"/>
    <s v=""/>
    <s v="dario@trivaletecnologia.com.br"/>
    <s v=""/>
    <s v=""/>
    <s v=""/>
    <s v=""/>
    <s v=""/>
    <s v="Campanha"/>
    <s v=""/>
    <s v=""/>
    <s v="Dentro Perfil;Instagram"/>
    <s v="Pipeline de Vendas"/>
    <s v="Agendamento (0%)"/>
    <s v=""/>
    <d v="2026-02-28T00:00:00"/>
    <m/>
    <m/>
    <n v="74"/>
    <s v="Paulo Souza"/>
    <d v="2026-02-24T00:00:00"/>
    <d v="1899-12-30T09:42:24"/>
    <s v=""/>
    <s v="Perdido"/>
    <d v="2026-05-09T00:00:00"/>
    <d v="1899-12-30T08:49:05"/>
    <s v="Fora do segmento atendido"/>
    <s v=""/>
    <s v=""/>
    <x v="0"/>
    <s v="Rayssa Karapeticov"/>
    <x v="0"/>
    <s v=""/>
    <d v="2026-02-26T00:00:00"/>
    <n v="30"/>
    <s v=""/>
    <s v=""/>
    <s v=""/>
    <s v=""/>
    <n v="1"/>
  </r>
  <r>
    <x v="0"/>
    <n v="963"/>
    <m/>
    <n v="3293"/>
    <s v="26/02 Fiz FUP com o Anderson e ele possui 3 lojas de roupa e esta fora do perfil."/>
    <s v=""/>
    <x v="469"/>
    <m/>
    <s v=""/>
    <s v="Anderson Brandão"/>
    <s v="13981286699"/>
    <s v=""/>
    <s v="anderson.melro@hotmail.com"/>
    <s v=""/>
    <s v=""/>
    <s v=""/>
    <s v=""/>
    <s v=""/>
    <s v="Campanha"/>
    <s v=""/>
    <s v=""/>
    <s v="Fora Perfil;Instagram"/>
    <s v="Pipeline de Vendas"/>
    <s v="Agendamento (0%)"/>
    <s v=""/>
    <d v="2026-02-28T00:00:00"/>
    <m/>
    <m/>
    <n v="2"/>
    <s v="Paulo Souza"/>
    <d v="2026-02-24T00:00:00"/>
    <d v="1899-12-30T09:46:02"/>
    <s v=""/>
    <s v="Perdido"/>
    <d v="2026-02-26T00:00:00"/>
    <d v="1899-12-30T17:30:38"/>
    <s v="Fora do porte mínimo (sem fit estrutural)"/>
    <s v="26/02 Fiz FUP com o Anderson e ele possui 3 lojas de roupa e esta fora do perfil."/>
    <s v=""/>
    <x v="0"/>
    <s v="Paulo Souza"/>
    <x v="0"/>
    <s v=""/>
    <m/>
    <n v="30"/>
    <s v=""/>
    <s v="PDV"/>
    <s v=""/>
    <s v=""/>
    <n v="1"/>
  </r>
  <r>
    <x v="0"/>
    <n v="964"/>
    <m/>
    <n v="3294"/>
    <s v="26/02 Fiz FUP com a Leticia ela não pode atender pois estava saindo para buscar o filho na escola, ficamos de falar amanha._x000a_12/03 Apos ligar e não ser atendido estou declinando a aliança."/>
    <s v=""/>
    <x v="470"/>
    <m/>
    <s v=""/>
    <s v="Leticia"/>
    <s v="(62) 99953-7500"/>
    <s v=""/>
    <s v="leticiarsouza1@gmail.com"/>
    <s v=""/>
    <s v=""/>
    <s v=""/>
    <s v="Goiânia"/>
    <s v=""/>
    <s v="Site"/>
    <s v=""/>
    <s v=""/>
    <s v="Dentro Perfil;Fora Perfil;Solicita demo"/>
    <s v="Pipeline de Vendas"/>
    <s v="Qualificação de Vendas (SQL) (25%)"/>
    <s v=""/>
    <d v="2026-02-28T00:00:00"/>
    <m/>
    <m/>
    <n v="16"/>
    <s v="Paulo Souza"/>
    <d v="2026-02-24T00:00:00"/>
    <d v="1899-12-30T09:48:17"/>
    <s v=""/>
    <s v="Perdido"/>
    <d v="2026-03-12T00:00:00"/>
    <d v="1899-12-30T17:30:42"/>
    <s v="Fora do porte mínimo (sem fit estrutural)"/>
    <s v=""/>
    <s v=""/>
    <x v="0"/>
    <s v="Paulo Souza"/>
    <x v="200"/>
    <s v=""/>
    <d v="2026-03-12T00:00:00"/>
    <n v="30"/>
    <s v=""/>
    <s v=""/>
    <s v=""/>
    <s v=""/>
    <n v="1"/>
  </r>
  <r>
    <x v="1"/>
    <n v="965"/>
    <m/>
    <n v="3295"/>
    <s v="(24/02/20260 Tentativa de ligação não atendia ! enviei mensagem a fim de contato com Geaze ! _x000a_em busca sobre a empresa usando IA do Google :_x000a_A Infraloc é uma empresa especializada na locação e venda de móveis corporativos e equipamentos, com forte atuação no setor de construção civil, canteiros de obras e eventos. _x000a_Informações de Contato e Localização_x000a_Endereço: R. José Miranda, 143 - Afogados, Recife - PE._x000a_WhatsApp: (81) 98297-2897._x000a_Site Oficial: infraloc.com.br. _x000a_Principais Produtos e Serviços_x000a_A empresa oferece soluções completas para canteiros, escritórios e refeitórios, incluindo:_x000a_Móveis Corporativos: Mesas de reunião, mesas e cadeiras de escritório, armários roupeiros e estações de trabalho._x000a_Equipamentos: Bebedouros industriais, cafeteiras expressas, impressoras a laser e máquinas para construção._x000a_Estruturas para Eventos: Locação de toldos, mesas e cadeiras de PVC para festas e eventos em gera_x000a_(25/02/2026) cliente trabalha com locação de equipamento , é necessário controle e contrato de locação manutenção (Fora do perfil )"/>
    <s v=""/>
    <x v="471"/>
    <m/>
    <s v=""/>
    <s v="Infraloc"/>
    <s v="81986574539"/>
    <s v=""/>
    <s v="geazemiranda@yahoo.com.br"/>
    <s v=""/>
    <s v=""/>
    <s v=""/>
    <s v=""/>
    <s v=""/>
    <s v="Campanha"/>
    <s v=""/>
    <s v=""/>
    <s v="Fora Perfil;Instagram"/>
    <s v="Pipeline de Vendas"/>
    <s v="Qualificação de Vendas (SQL) (25%)"/>
    <s v=""/>
    <d v="2026-02-28T00:00:00"/>
    <m/>
    <m/>
    <n v="1"/>
    <s v="Paulo Souza"/>
    <d v="2026-02-24T00:00:00"/>
    <d v="1899-12-30T09:49:20"/>
    <s v=""/>
    <s v="Perdido"/>
    <d v="2026-02-25T00:00:00"/>
    <d v="1899-12-30T10:58:00"/>
    <s v="Fora do porte mínimo (sem fit estrutural)"/>
    <s v="(25/02/2026) cliente trabalha com locação de equipamento , é necessário controle e contrato de locação manutenção (Fora do perfil )"/>
    <s v=""/>
    <x v="0"/>
    <s v="Junior Lopes"/>
    <x v="0"/>
    <s v=""/>
    <d v="2026-02-25T00:00:00"/>
    <n v="30"/>
    <s v=""/>
    <s v=""/>
    <s v=""/>
    <s v=""/>
    <n v="1"/>
  </r>
  <r>
    <x v="2"/>
    <n v="966"/>
    <m/>
    <n v="3296"/>
    <s v=""/>
    <s v=""/>
    <x v="472"/>
    <m/>
    <s v=""/>
    <s v="Centrolar"/>
    <s v="62992132212"/>
    <s v=""/>
    <s v="ubiratanrosania@gmail.com"/>
    <s v=""/>
    <s v=""/>
    <s v=""/>
    <s v=""/>
    <s v=""/>
    <s v="Campanha"/>
    <s v=""/>
    <s v=""/>
    <s v="Fora Perfil;Instagram"/>
    <s v="Pipeline de Vendas"/>
    <s v="Agendamento (0%)"/>
    <s v=""/>
    <d v="2026-03-31T00:00:00"/>
    <m/>
    <m/>
    <n v="74"/>
    <s v="Paulo Souza"/>
    <d v="2026-02-24T00:00:00"/>
    <d v="1899-12-30T09:50:49"/>
    <s v=""/>
    <s v="Perdido"/>
    <d v="2026-05-09T00:00:00"/>
    <d v="1899-12-30T21:11:15"/>
    <s v="Sem qualificação — contato não atende ligações nem responde msg"/>
    <s v=""/>
    <s v=""/>
    <x v="0"/>
    <s v="Rayssa Karapeticov"/>
    <x v="0"/>
    <s v=""/>
    <d v="2026-03-09T00:00:00"/>
    <n v="30"/>
    <s v=""/>
    <s v=""/>
    <s v=""/>
    <s v=""/>
    <n v="1"/>
  </r>
  <r>
    <x v="1"/>
    <n v="967"/>
    <m/>
    <n v="3300"/>
    <s v="(24/02/2026) em contato com Daniel _x000a_A empresa Vitta Estrutural está iniciando as operação, sua operação esta focada em recarga de extintores e revenda de produtos através de venda balcão e representante externo ! um ponto especifico é o controle de lote e validade dos extintores informando a data que está vencendo no ambiente do cliente _x000a_Daniel solicitou uma previsão de investimento para seguirmos _x000a_(25/02/2026) enviando previsão de investimento para analise do cliente e viabilidade  _x000a_10:50, 25/02/2026 Junior Lopes: valores na pagina 27 com resumo na pagina 28_x000a_10:53, 25/02/2026 Junior Lopes: perfeito ! ficamos a disposição para apresentação completa da solução_x000a_10:41, 09/03/2026 Junior Lopes: Olá Daniel, bom dia _x000a_Sobre o projeto ERP Guarani ! Vamos da sequência meu amigo?_x000a_10:41, 09/03/2026 Junior Lopes: Olá Daniel, bom dia _x000a_Sobre o projeto ERP Guarani ! Vamos da sequência meu amigo?_x000a_10:42, 09/03/2026 +55 67 9207-9099: Bom dia, agradeço por enquanto.,_x000a_10:45, 09/03/2026 Junior Lopes: Obrigado pelo retorno! Sucesso para vcs"/>
    <s v=""/>
    <x v="473"/>
    <m/>
    <s v=""/>
    <s v="Vitta Estrutural"/>
    <s v="67992079099"/>
    <s v=""/>
    <s v="dgruschel@hotmail.com"/>
    <s v=""/>
    <s v=""/>
    <s v=""/>
    <s v=""/>
    <s v=""/>
    <s v="Campanha"/>
    <s v=""/>
    <s v=""/>
    <s v="30%;Dentro Perfil;Instagram"/>
    <s v="Pipeline de Vendas"/>
    <s v="Apresentar Proposta (50%)"/>
    <s v=""/>
    <d v="2026-03-30T00:00:00"/>
    <n v="758068"/>
    <n v="9596"/>
    <n v="13"/>
    <s v="Paulo Souza"/>
    <d v="2026-02-24T00:00:00"/>
    <d v="1899-12-30T09:52:13"/>
    <s v=""/>
    <s v="Perdido"/>
    <d v="2026-03-09T00:00:00"/>
    <d v="1899-12-30T10:46:44"/>
    <s v="Projeto adiado / sem prazo definido"/>
    <s v="10:41, 09/03/2026 Junior Lopes: Olá Daniel, bom dia _x000a_Sobre o projeto ERP Guarani ! Vamos da sequência meu amigo?_x000a_10:42, 09/03/2026 +55 67 9207-9099: Bom dia, agradeço por enquanto.,_x000a_10:45, 09/03/2026 Junior Lopes: Obrigado pelo retorno! Sucesso para vcs"/>
    <s v=""/>
    <x v="184"/>
    <s v="Junior Lopes"/>
    <x v="199"/>
    <s v=""/>
    <d v="2026-03-09T00:00:00"/>
    <n v="30"/>
    <s v=""/>
    <s v=""/>
    <s v=""/>
    <s v=""/>
    <n v="1"/>
  </r>
  <r>
    <x v="0"/>
    <n v="968"/>
    <m/>
    <n v="3288"/>
    <s v="26/02 Fiz FUP hoje com o Fábio ele não atendeu a ligação, deixei novo recado no Whatasapp."/>
    <s v=""/>
    <x v="474"/>
    <m/>
    <s v=""/>
    <s v="Flávio Storino"/>
    <s v="(19) 99667-2002"/>
    <s v=""/>
    <s v="flaviostorino@gmail.com"/>
    <s v=""/>
    <s v=""/>
    <s v=""/>
    <s v="Porto Ferreira"/>
    <s v=""/>
    <s v="Site"/>
    <s v=""/>
    <s v=""/>
    <s v="Contato"/>
    <s v="Pipeline de Vendas"/>
    <s v="Qualificação de Vendas (SQL) (25%)"/>
    <s v=""/>
    <d v="2026-02-28T00:00:00"/>
    <m/>
    <m/>
    <n v="2"/>
    <s v="Paulo Souza"/>
    <d v="2026-02-24T00:00:00"/>
    <d v="1899-12-30T09:54:16"/>
    <s v=""/>
    <s v="Perdido"/>
    <d v="2026-02-26T00:00:00"/>
    <d v="1899-12-30T18:33:13"/>
    <s v="Fora do porte mínimo (sem fit estrutural)"/>
    <s v=""/>
    <s v=""/>
    <x v="0"/>
    <s v="Paulo Souza"/>
    <x v="0"/>
    <s v=""/>
    <m/>
    <n v="30"/>
    <s v=""/>
    <s v=""/>
    <s v=""/>
    <s v=""/>
    <n v="1"/>
  </r>
  <r>
    <x v="2"/>
    <n v="969"/>
    <m/>
    <n v="3304"/>
    <s v=""/>
    <s v=""/>
    <x v="475"/>
    <n v="64688089000103"/>
    <s v=""/>
    <s v="Lucas"/>
    <s v="(11) 1111-1111"/>
    <s v=""/>
    <s v="contato@lucassecco.com.br"/>
    <s v=""/>
    <s v=""/>
    <s v=""/>
    <s v="ITAJAI"/>
    <s v="SC"/>
    <s v=""/>
    <s v=""/>
    <s v=""/>
    <s v=""/>
    <s v="Pipeline de Vendas"/>
    <s v="Apresentar Proposta (50%)"/>
    <s v=""/>
    <d v="2026-06-30T00:00:00"/>
    <n v="5191686"/>
    <n v="50562"/>
    <n v="16"/>
    <s v="Rayssa Karapeticov"/>
    <d v="2026-02-24T00:00:00"/>
    <d v="1899-12-30T12:41:49"/>
    <s v=""/>
    <s v="Perdido"/>
    <d v="2026-03-12T00:00:00"/>
    <d v="1899-12-30T17:14:44"/>
    <s v="Preço muito alto - fora do budget de investimento"/>
    <s v=""/>
    <s v=""/>
    <x v="189"/>
    <s v="Rayssa Karapeticov"/>
    <x v="207"/>
    <s v=""/>
    <d v="2026-03-12T00:00:00"/>
    <n v="30"/>
    <s v=""/>
    <s v="ERP, AFV"/>
    <s v=""/>
    <s v=""/>
    <n v="1"/>
  </r>
  <r>
    <x v="2"/>
    <n v="971"/>
    <m/>
    <n v="3303"/>
    <s v=""/>
    <s v=""/>
    <x v="476"/>
    <n v="1397620000179"/>
    <s v=""/>
    <s v="Sunred confecções"/>
    <s v="37988006012"/>
    <s v=""/>
    <s v="atendimento@sunred.com.br"/>
    <s v=""/>
    <s v=""/>
    <s v=""/>
    <s v=""/>
    <s v=""/>
    <s v="Campanha"/>
    <s v=""/>
    <s v=""/>
    <s v="Fora Perfil;Instagram"/>
    <s v="Pipeline de Vendas"/>
    <s v="Agendamento (0%)"/>
    <s v=""/>
    <d v="2026-02-28T00:00:00"/>
    <m/>
    <m/>
    <n v="73"/>
    <s v="Paulo Souza"/>
    <d v="2026-02-25T00:00:00"/>
    <d v="1899-12-30T15:32:36"/>
    <s v=""/>
    <s v="Perdido"/>
    <d v="2026-05-09T00:00:00"/>
    <d v="1899-12-30T08:49:28"/>
    <s v="Fora do segmento atendido"/>
    <s v=""/>
    <s v=""/>
    <x v="0"/>
    <s v="Rayssa Karapeticov"/>
    <x v="0"/>
    <s v=""/>
    <m/>
    <n v="27"/>
    <s v=""/>
    <s v=""/>
    <s v=""/>
    <s v=""/>
    <n v="1"/>
  </r>
  <r>
    <x v="1"/>
    <n v="972"/>
    <m/>
    <n v="3305"/>
    <s v="25/02/2026) em contato com Rogério _x000a_aoós tentativa de ligação nos falamos via WhatsApp conforme abaixo : _x000a_15:40, 25/02/2026 Junior Lopes: Olá Rogério , boa tarde_x000a_15:40, 25/02/2026 Junior Lopes: Sou Junior Lopes da Guarani sistemas! Td bem ?_x000a_15:40, 25/02/2026 Teodoro Cosmeticos: Boa tarde Júnior_x000a_15:41, 25/02/2026 Teodoro Cosmeticos: Bem graças a Deus_x000a_15:41, 25/02/2026 Junior Lopes: Que bom_x000a_15:41, 25/02/2026 Junior Lopes: Estou retornando um contato que vc fez conosco, relacionado ao nosso software_x000a_através de um áudio pedi para me falar um pouco mais sonbre sua empresa e dores _x000a_(25/02/2026) Agenda de apresentação AFV _x000a_(12/03/2026) Rogério achou investimento alto para o momento  atual"/>
    <s v=""/>
    <x v="477"/>
    <n v="51119265000144"/>
    <s v=""/>
    <s v="Teodoro cosméticos"/>
    <s v="(14) 3541-6311"/>
    <s v=""/>
    <s v="agilassessoriacontabil@otmail.com"/>
    <s v=""/>
    <s v=""/>
    <s v=""/>
    <s v="PROMISSAO"/>
    <s v="SP"/>
    <s v="Campanha"/>
    <s v=""/>
    <s v=""/>
    <s v="Dentro Perfil;Instagram"/>
    <s v="Pipeline de Vendas"/>
    <s v="Apresentar Proposta (50%)"/>
    <s v=""/>
    <d v="2026-02-25T00:00:00"/>
    <n v="5842744"/>
    <n v="145888"/>
    <n v="15"/>
    <s v="Paulo Souza"/>
    <d v="2026-02-25T00:00:00"/>
    <d v="1899-12-30T15:33:31"/>
    <s v=""/>
    <s v="Perdido"/>
    <d v="2026-03-12T00:00:00"/>
    <d v="1899-12-30T10:52:05"/>
    <s v="Não houve aprovação financeira"/>
    <s v="(12/03/2026) Rogério achou investimento alto para o momento  atual"/>
    <s v=""/>
    <x v="190"/>
    <s v="Junior Lopes"/>
    <x v="200"/>
    <s v=""/>
    <d v="2026-03-12T00:00:00"/>
    <n v="30"/>
    <s v=""/>
    <s v=""/>
    <s v=""/>
    <s v=""/>
    <n v="1"/>
  </r>
  <r>
    <x v="1"/>
    <n v="973"/>
    <m/>
    <n v="3309"/>
    <s v="(26/02/2026) Tentativa de ligação não atendida _x000a_09:13, 26/02/2026 Junior Lopes: Olá Junior, bom dia_x000a_09:13, 26/02/2026 Junior Lopes: aqui é Junior Lopes da Guarani sistemas, tudo bem ?_x000a_09:14, 26/02/2026 Junior Lopes: estou retornando um contato que você fez relacionado ao sistema Guarani_x000a_(26/02/2026) cliente não retorna aos contatos ! em breve pesquisa sobre a Revisão autopeças identifiquei que loja balcão ficando fora do perfil _x000a_estou declinando"/>
    <s v=""/>
    <x v="478"/>
    <n v="13994329000167"/>
    <s v=""/>
    <s v="Revisao Autopeças"/>
    <s v="(31) 8705-9607"/>
    <s v=""/>
    <s v="pratesctb@gmail.com"/>
    <s v=""/>
    <s v=""/>
    <s v=""/>
    <s v="CONTAGEM"/>
    <s v="MG"/>
    <s v="Inbound"/>
    <s v=""/>
    <s v=""/>
    <s v="Fora Perfil;Instagram"/>
    <s v="Pipeline de Vendas"/>
    <s v="Qualificação de Vendas (SQL) (25%)"/>
    <s v=""/>
    <d v="2026-02-28T00:00:00"/>
    <m/>
    <m/>
    <n v="1"/>
    <s v="Paulo Souza"/>
    <d v="2026-02-25T00:00:00"/>
    <d v="1899-12-30T21:31:37"/>
    <s v=""/>
    <s v="Perdido"/>
    <d v="2026-02-26T00:00:00"/>
    <d v="1899-12-30T23:08:09"/>
    <s v="Fora do porte mínimo (sem fit estrutural)"/>
    <s v=""/>
    <s v=""/>
    <x v="0"/>
    <s v="Junior Lopes"/>
    <x v="0"/>
    <s v=""/>
    <m/>
    <n v="30"/>
    <s v=""/>
    <s v=""/>
    <s v=""/>
    <s v=""/>
    <n v="1"/>
  </r>
  <r>
    <x v="2"/>
    <n v="974"/>
    <m/>
    <n v="3312"/>
    <s v=""/>
    <s v=""/>
    <x v="479"/>
    <m/>
    <s v=""/>
    <s v="Jlj transportes e locações"/>
    <s v="3196677652"/>
    <s v=""/>
    <s v="jairocesar@jllcomserv.com.br"/>
    <s v=""/>
    <s v=""/>
    <s v=""/>
    <s v=""/>
    <s v=""/>
    <s v="Campanha"/>
    <s v=""/>
    <s v=""/>
    <s v="Fora Perfil;Instagram"/>
    <s v="Pipeline de Vendas"/>
    <s v="Agendamento (0%)"/>
    <s v=""/>
    <d v="2026-05-31T00:00:00"/>
    <m/>
    <m/>
    <n v="72"/>
    <s v="Paulo Souza"/>
    <d v="2026-02-26T00:00:00"/>
    <d v="1899-12-30T09:29:58"/>
    <s v=""/>
    <s v="Perdido"/>
    <d v="2026-05-09T00:00:00"/>
    <d v="1899-12-30T08:49:59"/>
    <s v="Fora do segmento atendido"/>
    <s v=""/>
    <s v=""/>
    <x v="0"/>
    <s v="Rayssa Karapeticov"/>
    <x v="0"/>
    <s v=""/>
    <d v="2026-03-03T00:00:00"/>
    <n v="30"/>
    <s v=""/>
    <s v=""/>
    <s v=""/>
    <s v=""/>
    <n v="1"/>
  </r>
  <r>
    <x v="0"/>
    <n v="976"/>
    <m/>
    <n v="3314"/>
    <s v="26/02 Fiz Fiz FUP hoje com o Matheus e agendamos uma apresentação para quinta-feira dia 05/03 às 15h._x000a_05/03 Fiz FUP com o Matheus e hoje temos uma apresentação as 15h par afalar de sistema. Ele tem uma distribuidora de alimentação animal. _x000a_Tem 7 vendedores. já ancorei 50k de investimento_x000a_12/03 Fiz FUP hoje com o Matheus para saber se ele tem interesse em seguir _x000a_20/03 Fiz contato com o Matues muitas vezes sem retorno e por falta de comunicação estou encerrado a oportunidade."/>
    <s v=""/>
    <x v="480"/>
    <n v="22228036000160"/>
    <s v=""/>
    <s v="Matheus"/>
    <s v="(15) 3553-1307 / (15) 3553-1308"/>
    <s v=""/>
    <s v="matheusmarmodossantoslima@gmail.com"/>
    <s v=""/>
    <s v=""/>
    <s v=""/>
    <s v="RIBEIRAO BRANCO"/>
    <s v="SP"/>
    <s v="Site"/>
    <s v=""/>
    <s v=""/>
    <s v="Dentro Perfil;Solicita demo"/>
    <s v="Pipeline de Vendas"/>
    <s v="Apresentar Proposta (50%)"/>
    <s v=""/>
    <d v="2026-03-31T00:00:00"/>
    <m/>
    <m/>
    <n v="22"/>
    <s v="Paulo Souza"/>
    <d v="2026-02-26T00:00:00"/>
    <d v="1899-12-30T15:46:38"/>
    <s v=""/>
    <s v="Perdido"/>
    <d v="2026-03-20T00:00:00"/>
    <d v="1899-12-30T17:21:26"/>
    <s v="Projeto adiado / sem prazo definido"/>
    <s v=""/>
    <s v=""/>
    <x v="168"/>
    <s v="Paulo Souza"/>
    <x v="182"/>
    <s v=""/>
    <d v="2026-03-20T00:00:00"/>
    <n v="32"/>
    <s v=""/>
    <s v="ERP, AFV"/>
    <s v=""/>
    <s v=""/>
    <n v="1"/>
  </r>
  <r>
    <x v="0"/>
    <n v="977"/>
    <m/>
    <n v="3318"/>
    <s v="10/03 uilian me retornou avisou que vai manter a Mercos , devido a urgência que precisa referente a abertura da unidade São Paulo. Após essa necessidade ser atendida voltaremos a falar!"/>
    <s v=""/>
    <x v="481"/>
    <n v="82270893000150"/>
    <s v=""/>
    <s v="uilian"/>
    <s v="(44) 3045-3700"/>
    <s v=""/>
    <s v="uilian.gurjon@prats.com.br"/>
    <s v=""/>
    <s v=""/>
    <s v=""/>
    <s v="PARANAVAI"/>
    <s v="PR"/>
    <s v=""/>
    <s v=""/>
    <s v=""/>
    <s v=""/>
    <s v="Pipeline de Vendas"/>
    <s v="Em Fechamento (100%)"/>
    <s v=""/>
    <d v="2026-02-28T00:00:00"/>
    <n v="35870"/>
    <n v="5290"/>
    <n v="12"/>
    <s v="Paulo Souza"/>
    <d v="2026-02-26T00:00:00"/>
    <d v="1899-12-30T15:48:32"/>
    <s v=""/>
    <s v="Perdido"/>
    <d v="2026-03-10T00:00:00"/>
    <d v="1899-12-30T11:44:09"/>
    <s v="Não quer mudar a solução atual"/>
    <s v=""/>
    <s v=""/>
    <x v="168"/>
    <s v="Paulo Souza"/>
    <x v="199"/>
    <s v=""/>
    <m/>
    <n v="30"/>
    <s v="100"/>
    <s v="AFV"/>
    <s v=""/>
    <s v=""/>
    <n v="1"/>
  </r>
  <r>
    <x v="1"/>
    <n v="978"/>
    <m/>
    <n v="3323"/>
    <s v="(12/03/2026) Rogério achou investimento alto para o momento  atual"/>
    <s v=""/>
    <x v="482"/>
    <m/>
    <s v=""/>
    <s v="Teodoro cosméticos - AFV"/>
    <s v="1435416311"/>
    <s v=""/>
    <s v="agilassessoriacontabil@otmail.com"/>
    <s v=""/>
    <s v=""/>
    <s v=""/>
    <s v=""/>
    <s v=""/>
    <s v=""/>
    <s v=""/>
    <s v=""/>
    <s v=""/>
    <s v="Pipeline de Vendas"/>
    <s v="Apresentar Proposta (50%)"/>
    <s v=""/>
    <m/>
    <n v="1105989"/>
    <n v="29463"/>
    <n v="14"/>
    <s v="Junior Lopes"/>
    <d v="2026-02-26T00:00:00"/>
    <d v="1899-12-30T17:20:40"/>
    <s v=""/>
    <s v="Perdido"/>
    <d v="2026-03-12T00:00:00"/>
    <d v="1899-12-30T10:53:12"/>
    <s v="Não houve aprovação financeira"/>
    <s v="(12/03/2026) Rogério achou investimento alto para o momento  atual"/>
    <s v=""/>
    <x v="190"/>
    <s v=""/>
    <x v="200"/>
    <s v=""/>
    <d v="2026-03-13T00:00:00"/>
    <n v="30"/>
    <s v=""/>
    <s v=""/>
    <s v=""/>
    <s v=""/>
    <n v="1"/>
  </r>
  <r>
    <x v="1"/>
    <n v="979"/>
    <m/>
    <n v="3324"/>
    <s v="(12/03/2026) Rogério achou investimento alto para o momento  atual"/>
    <s v=""/>
    <x v="483"/>
    <m/>
    <s v=""/>
    <s v="Teodoro cosméticos - Cloud"/>
    <s v="1435416311"/>
    <s v=""/>
    <s v="agilassessoriacontabil@otmail.com"/>
    <s v=""/>
    <s v=""/>
    <s v=""/>
    <s v=""/>
    <s v=""/>
    <s v=""/>
    <s v=""/>
    <s v=""/>
    <s v=""/>
    <s v="Pipeline de Vendas"/>
    <s v="Apresentar Proposta (50%)"/>
    <s v=""/>
    <m/>
    <n v="1600"/>
    <n v="252471"/>
    <n v="14"/>
    <s v="Junior Lopes"/>
    <d v="2026-02-26T00:00:00"/>
    <d v="1899-12-30T17:35:15"/>
    <s v=""/>
    <s v="Perdido"/>
    <d v="2026-03-12T00:00:00"/>
    <d v="1899-12-30T10:50:51"/>
    <s v="Não houve aprovação financeira"/>
    <s v="(12/03/2026) Rogério achou investimento alto para o momento  atual"/>
    <s v="12/03/2026"/>
    <x v="190"/>
    <s v=""/>
    <x v="0"/>
    <s v=""/>
    <m/>
    <n v="30"/>
    <s v=""/>
    <s v=""/>
    <s v=""/>
    <s v=""/>
    <n v="1"/>
  </r>
  <r>
    <x v="0"/>
    <n v="980"/>
    <m/>
    <n v="3325"/>
    <s v=""/>
    <s v=""/>
    <x v="484"/>
    <n v="23059521000110"/>
    <s v=""/>
    <s v="Cristiana"/>
    <s v="(49) 3665-3004"/>
    <s v=""/>
    <s v=""/>
    <s v=""/>
    <s v=""/>
    <s v=""/>
    <s v="IRACEMINHA"/>
    <s v="SC"/>
    <s v=""/>
    <s v=""/>
    <s v=""/>
    <s v=""/>
    <s v="Pipeline de Vendas"/>
    <s v="Em Fechamento (100%)"/>
    <s v=""/>
    <d v="2026-02-28T00:00:00"/>
    <n v="7470289"/>
    <n v="1221612"/>
    <n v="0"/>
    <s v="Paulo Souza"/>
    <d v="2026-02-26T00:00:00"/>
    <d v="1899-12-30T21:58:14"/>
    <s v=""/>
    <s v="Ganho"/>
    <d v="2026-02-26T00:00:00"/>
    <d v="1899-12-30T22:03:35"/>
    <s v=""/>
    <s v=""/>
    <s v=""/>
    <x v="190"/>
    <s v="Paulo Souza"/>
    <x v="208"/>
    <s v=""/>
    <m/>
    <n v="90"/>
    <s v=""/>
    <s v="ERP, AFV, ADICIONAIS, BI"/>
    <s v="R$ 74.702,90"/>
    <s v="R$ 12.216,08"/>
    <n v="1"/>
  </r>
  <r>
    <x v="1"/>
    <n v="981"/>
    <m/>
    <n v="3328"/>
    <s v=""/>
    <s v=""/>
    <x v="485"/>
    <m/>
    <s v=""/>
    <s v="Encartelados Nina - Cloud"/>
    <s v="4733683065"/>
    <s v=""/>
    <s v="ninaencartelados@gmail.com"/>
    <s v=""/>
    <s v=""/>
    <s v=""/>
    <s v=""/>
    <s v=""/>
    <s v=""/>
    <s v=""/>
    <s v=""/>
    <s v=""/>
    <s v="Pipeline de Vendas"/>
    <s v="Apresentar Proposta (50%)"/>
    <s v=""/>
    <m/>
    <n v="0"/>
    <n v="1900"/>
    <n v="76"/>
    <s v="Junior Lopes"/>
    <d v="2026-02-27T00:00:00"/>
    <d v="1899-12-30T10:58:33"/>
    <s v=""/>
    <s v="Perdido"/>
    <d v="2026-05-14T00:00:00"/>
    <d v="1899-12-30T14:49:37"/>
    <s v="Não houve aprovação financeira"/>
    <s v="14/05/2026 : _x000a_09:02, 13/05/2026 Fabio Oliveira Nina Enc: Consegui sim, teu sistema é maravilhoso, muito bom mesmo _x000a_porem eu passei pro pessoal aqui, e no momento, nosso faturamaento nao condiz com o investimento a ser feito_x000a_09:03, 13/05/2026 Fabio Oliveira Nina Enc: espero que logo possamos mudar isso_x000a_09:05, 13/05/2026 Junior Lopes: Entendo Fábio ! _x000a_ O que está pegando mais na proposta ? O projeto ou as mensalidades?_x000a_09:08, 13/05/2026 Fabio Oliveira Nina Enc: na verdade é um pouco dos dois, hj nosso sistema nos custa 6 mil por ano, claro que ele nao tem a mesma eficiencia do seu, mas para a quantidade de vendas nossa, no atual momento ele nos atende bem_x000a_09:21, 13/05/2026 Junior Lopes: Entendo ! Gostaria de pensar aí e nos fazer uma contra proposta ?_x000a_09:22, 13/05/2026 Fabio Oliveira Nina Enc: no momento vamos deixar em off_x000a_09:22, 13/05/2026 Fabio Oliveira Nina Enc: obrigado pela atençao_x000a_09:28, 13/05/2026 Junior Lopes: Ta joia meu amigo_x000a_09:29, 13/05/2026 Junior Lopes: Ficamos a disposição! Tenho certeza que podemos ajudar muito no crescimento da Nina encartelados _x000a_Um abraço_x000a_09:29, 13/05/2026 Fabio Oliveira Nina Enc: abraço"/>
    <s v=""/>
    <x v="182"/>
    <s v=""/>
    <x v="198"/>
    <s v="05/05/2026"/>
    <d v="2026-05-14T00:00:00"/>
    <n v="30"/>
    <s v=""/>
    <s v=""/>
    <s v=""/>
    <s v=""/>
    <n v="1"/>
  </r>
  <r>
    <x v="1"/>
    <n v="982"/>
    <m/>
    <n v="3329"/>
    <s v=""/>
    <s v=""/>
    <x v="486"/>
    <m/>
    <s v=""/>
    <s v="Atavadão das Tripas - Cloud"/>
    <s v="14998549863"/>
    <s v=""/>
    <s v="kayocalil@hotmail.com"/>
    <s v=""/>
    <s v=""/>
    <s v=""/>
    <s v=""/>
    <s v=""/>
    <s v=""/>
    <s v=""/>
    <s v=""/>
    <s v=""/>
    <s v="Pipeline de Vendas"/>
    <s v="Em negociação (75%)"/>
    <s v=""/>
    <m/>
    <n v="1600"/>
    <n v="252471"/>
    <n v="56"/>
    <s v="Junior Lopes"/>
    <d v="2026-02-27T00:00:00"/>
    <d v="1899-12-30T12:19:18"/>
    <s v=""/>
    <s v="Perdido"/>
    <d v="2026-04-24T00:00:00"/>
    <d v="1899-12-30T09:13:40"/>
    <s v="Não houve aprovação financeira"/>
    <s v="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
    <s v=""/>
    <x v="191"/>
    <s v=""/>
    <x v="196"/>
    <s v="19/02/2026"/>
    <m/>
    <n v="30"/>
    <s v=""/>
    <s v=""/>
    <s v=""/>
    <s v=""/>
    <n v="1"/>
  </r>
  <r>
    <x v="1"/>
    <n v="983"/>
    <m/>
    <n v="3330"/>
    <s v=""/>
    <s v=""/>
    <x v="487"/>
    <m/>
    <s v=""/>
    <s v="Clean tech - Cloud"/>
    <s v="11915642482"/>
    <s v=""/>
    <s v="null"/>
    <s v=""/>
    <s v=""/>
    <s v=""/>
    <s v=""/>
    <s v=""/>
    <s v=""/>
    <s v=""/>
    <s v=""/>
    <s v=""/>
    <s v="Pipeline de Vendas"/>
    <s v="Em Fechamento (100%)"/>
    <s v=""/>
    <m/>
    <n v="0"/>
    <n v="384454"/>
    <n v="33"/>
    <s v="Junior Lopes"/>
    <d v="2026-02-27T00:00:00"/>
    <d v="1899-12-30T13:04:33"/>
    <s v=""/>
    <s v="Ganho"/>
    <d v="2026-04-01T00:00:00"/>
    <d v="1899-12-30T10:40:31"/>
    <s v=""/>
    <s v=""/>
    <s v=""/>
    <x v="183"/>
    <s v=""/>
    <x v="0"/>
    <s v=""/>
    <m/>
    <n v="30"/>
    <s v=""/>
    <s v=""/>
    <s v=""/>
    <s v=""/>
    <n v="1"/>
  </r>
  <r>
    <x v="1"/>
    <n v="984"/>
    <m/>
    <n v="3331"/>
    <s v=""/>
    <s v=""/>
    <x v="488"/>
    <m/>
    <s v=""/>
    <s v="StarTools - Cloud"/>
    <s v="1184724282"/>
    <s v=""/>
    <s v="controladoria@startoolsferramentas.com.br"/>
    <s v=""/>
    <s v=""/>
    <s v=""/>
    <s v=""/>
    <s v=""/>
    <s v=""/>
    <s v=""/>
    <s v=""/>
    <s v=""/>
    <s v="Pipeline de Vendas"/>
    <s v="Apresentar Solução (35%)"/>
    <s v=""/>
    <m/>
    <n v="0"/>
    <n v="0"/>
    <n v="82"/>
    <s v="Junior Lopes"/>
    <d v="2026-02-27T00:00:00"/>
    <d v="1899-12-30T13:09:06"/>
    <s v=""/>
    <s v="Ativo"/>
    <m/>
    <m/>
    <s v=""/>
    <s v=""/>
    <s v=""/>
    <x v="0"/>
    <s v=""/>
    <x v="209"/>
    <s v=""/>
    <d v="2026-04-29T00:00:00"/>
    <n v="30"/>
    <s v=""/>
    <s v=""/>
    <s v=""/>
    <s v=""/>
    <n v="1"/>
  </r>
  <r>
    <x v="0"/>
    <n v="985"/>
    <m/>
    <n v="3332"/>
    <s v="27/02 Fiz apresentação do sistema e proposta para o cliente._x000a_12/03 Fiz FUP hoje com Pamela para saber se seguiremos ou não._x000a_20/03 Cobrando a Pamela para fazer o fechamento do projeto."/>
    <s v=""/>
    <x v="489"/>
    <m/>
    <s v=""/>
    <s v="Pamela"/>
    <s v="4699841338"/>
    <s v=""/>
    <s v="importacao.azul@hotmail.com"/>
    <s v=""/>
    <s v=""/>
    <s v=""/>
    <s v=""/>
    <s v=""/>
    <s v=""/>
    <s v=""/>
    <s v=""/>
    <s v=""/>
    <s v="Pipeline de Vendas"/>
    <s v="Em Fechamento (100%)"/>
    <s v=""/>
    <d v="2026-03-31T00:00:00"/>
    <n v="5007058"/>
    <n v="268966"/>
    <n v="42"/>
    <s v="Paulo Souza"/>
    <d v="2026-02-27T00:00:00"/>
    <d v="1899-12-30T14:36:39"/>
    <s v=""/>
    <s v="Perdido"/>
    <d v="2026-04-10T00:00:00"/>
    <d v="1899-12-30T16:01:47"/>
    <s v="Não quer mudar a solução atual"/>
    <s v=""/>
    <s v=""/>
    <x v="168"/>
    <s v="Paulo Souza"/>
    <x v="182"/>
    <s v=""/>
    <d v="2026-03-12T00:00:00"/>
    <n v="30"/>
    <s v="280"/>
    <s v="ERP, AFV"/>
    <s v=""/>
    <s v=""/>
    <n v="1"/>
  </r>
  <r>
    <x v="0"/>
    <n v="987"/>
    <m/>
    <n v="3334"/>
    <s v="26/02 Fiz FUP e agendei uma apresentação._x000a_20/03 Buscando nova agenda com o Alexandre para o dia 27/03."/>
    <s v=""/>
    <x v="490"/>
    <n v="7730144000142"/>
    <s v=""/>
    <s v="Breno"/>
    <s v="11994558029"/>
    <s v=""/>
    <s v="suporte.ti@kopermax.com.br"/>
    <s v=""/>
    <s v=""/>
    <s v=""/>
    <s v=""/>
    <s v=""/>
    <s v=""/>
    <s v=""/>
    <s v=""/>
    <s v=""/>
    <s v="Pipeline de Vendas"/>
    <s v="Em negociação (75%)"/>
    <s v=""/>
    <d v="2026-03-31T00:00:00"/>
    <n v="29800"/>
    <n v="4600"/>
    <n v="80"/>
    <s v="Paulo Souza"/>
    <d v="2026-02-27T00:00:00"/>
    <d v="1899-12-30T21:24:36"/>
    <s v=""/>
    <s v="Perdido"/>
    <d v="2026-05-18T00:00:00"/>
    <d v="1899-12-30T16:54:32"/>
    <s v="Projeto adiado / sem prazo definido"/>
    <s v=""/>
    <s v=""/>
    <x v="101"/>
    <s v="Paulo Souza"/>
    <x v="210"/>
    <s v=""/>
    <d v="2026-03-20T00:00:00"/>
    <n v="30"/>
    <s v=""/>
    <s v="AFV"/>
    <s v=""/>
    <s v=""/>
    <n v="1"/>
  </r>
  <r>
    <x v="2"/>
    <n v="990"/>
    <m/>
    <n v="3335"/>
    <s v="19.03 Entrei em contato com a Karen, apresentação agendada para quarta as 9:30 _x000a_31.03 não tenho consultor disponivel para seguir com uma agenda com o cliente_x000a_07.04 - não tenho consultor disponivel para seguir com uma agenda com o cliente"/>
    <s v=""/>
    <x v="491"/>
    <n v="15497764000616"/>
    <s v=""/>
    <s v="KAREN STANGE"/>
    <s v="(42) 3025-6309"/>
    <s v=""/>
    <s v="karen.stang@hotmail.com"/>
    <s v=""/>
    <s v=""/>
    <s v=""/>
    <s v="MAFRA"/>
    <s v="SC"/>
    <s v="Site"/>
    <s v=""/>
    <s v=""/>
    <s v="Dentro Perfil;Solicita demo"/>
    <s v="Pipeline de Vendas"/>
    <s v="Apresentar Solução (35%)"/>
    <s v=""/>
    <d v="2026-06-30T00:00:00"/>
    <m/>
    <m/>
    <n v="35"/>
    <s v="Paulo Souza"/>
    <d v="2026-03-03T00:00:00"/>
    <d v="1899-12-30T21:22:22"/>
    <s v=""/>
    <s v="Perdido"/>
    <d v="2026-04-07T00:00:00"/>
    <d v="1899-12-30T10:59:30"/>
    <s v="Projeto adiado / sem prazo definido"/>
    <s v=""/>
    <s v=""/>
    <x v="0"/>
    <s v="Rayssa Karapeticov"/>
    <x v="0"/>
    <s v=""/>
    <d v="2026-04-07T00:00:00"/>
    <n v="30"/>
    <s v=""/>
    <s v="ERP"/>
    <s v=""/>
    <s v=""/>
    <n v="1"/>
  </r>
  <r>
    <x v="1"/>
    <n v="991"/>
    <m/>
    <n v="3339"/>
    <s v="17:05, 04/03/2026 Junior Lopes: Olá Marcelo ! Boa tarde_x000a_17:05, 04/03/2026 Junior Lopes: Junior da Guarani sistemas por aqui , Td bem ?_x000a_17:07, 04/03/2026 Junior Lopes: Estou retornando um contato que vc fez conosco ! Qual melhor horário para falarmos ?_x000a_17:14, 04/03/2026 Marcelo Plug Lar: opa blz._x000a_17:14, 04/03/2026 Marcelo Plug Lar: joia junior_x000a_17:15, 04/03/2026 Junior Lopes: Td joia Marcelo_x000a_17:18, 04/03/2026 Marcelo Plug Lar: eu queria conhecer + sobre o sistema de vocês._x000a_17:18, 04/03/2026 Marcelo Plug Lar: eu procuro algo básico_x000a_(09/03/2026) Buscando contato com Marcelo a fim de darmos sequencia _x000a_(09/03/2026) Marcelo busca um software mais simples e com custo menor!"/>
    <s v=""/>
    <x v="492"/>
    <n v="5137778000160"/>
    <s v=""/>
    <s v="Marcelo Camargo"/>
    <s v="(19) 99623-4303"/>
    <s v=""/>
    <s v="marcelo@pluglar.com.br"/>
    <s v=""/>
    <s v=""/>
    <s v=""/>
    <s v="Rio Claro"/>
    <s v=""/>
    <s v="Site"/>
    <s v=""/>
    <s v=""/>
    <s v="Dentro Perfil;Solicita demo"/>
    <s v="Pipeline de Vendas"/>
    <s v="Apresentar Solução (35%)"/>
    <s v=""/>
    <d v="2026-03-31T00:00:00"/>
    <n v="1104172"/>
    <n v="656776"/>
    <n v="20"/>
    <s v="Paulo Souza"/>
    <d v="2026-03-04T00:00:00"/>
    <d v="1899-12-30T16:37:48"/>
    <s v=""/>
    <s v="Perdido"/>
    <d v="2026-03-24T00:00:00"/>
    <d v="1899-12-30T15:30:09"/>
    <s v="Não houve aprovação financeira"/>
    <s v="(09/03/2026) Marcelo busca um software mais simples e com custo menor!"/>
    <s v=""/>
    <x v="192"/>
    <s v="Junior Lopes"/>
    <x v="188"/>
    <s v=""/>
    <d v="2026-03-09T00:00:00"/>
    <n v="30"/>
    <s v=""/>
    <s v="B2B"/>
    <s v=""/>
    <s v=""/>
    <n v="1"/>
  </r>
  <r>
    <x v="0"/>
    <n v="993"/>
    <m/>
    <n v="3342"/>
    <s v="11/03 Foi feito a apresentação hoje do institucional e Guarani AFV._x000a_Resumo:_x000a_Produtos : ERP + AFV + Televendas + MDe _x000a_Opcionais: Comex, Cloud, CRM , B2B, HUB_x000a_Próximo passos: enviar uma proposta._x000a_20/03 Fiz contato com o Ericson para saber se vamos seguir ou não."/>
    <s v=""/>
    <x v="493"/>
    <n v="43191819000196"/>
    <s v=""/>
    <s v="Ericson"/>
    <s v="(43) 3056-3780"/>
    <s v=""/>
    <s v="escritorio@damiaoefilhos.com.br"/>
    <s v=""/>
    <s v=""/>
    <s v=""/>
    <s v="ARAPONGAS"/>
    <s v="PR"/>
    <s v=""/>
    <s v=""/>
    <s v=""/>
    <s v=""/>
    <s v="Pipeline de Vendas"/>
    <s v="Em negociação (75%)"/>
    <s v=""/>
    <d v="2026-03-31T00:00:00"/>
    <n v="895843"/>
    <n v="395308"/>
    <n v="36"/>
    <s v="Paulo Souza"/>
    <d v="2026-03-05T00:00:00"/>
    <d v="1899-12-30T08:51:53"/>
    <s v=""/>
    <s v="Perdido"/>
    <d v="2026-04-10T00:00:00"/>
    <d v="1899-12-30T17:25:45"/>
    <s v="Preço muito alto - fora do budget de investimento"/>
    <s v=""/>
    <s v=""/>
    <x v="187"/>
    <s v="Paulo Souza"/>
    <x v="211"/>
    <s v=""/>
    <d v="2026-03-20T00:00:00"/>
    <n v="30"/>
    <s v=""/>
    <s v="ERP, AFV, ADICIONAIS"/>
    <s v=""/>
    <s v=""/>
    <n v="1"/>
  </r>
  <r>
    <x v="2"/>
    <n v="994"/>
    <m/>
    <n v="3347"/>
    <s v="24.03 cliente enviou um documento de aderencia, porém a MArilia pediu uma reunião para falar sobre o documento e funcionalidades_x000a_15.04 Ficou fora da empresa esses 15 dias, acredita que hoje consegue avaliar todo material que mandei, retornar o contato na segunda"/>
    <s v="Industria E Comercio Jolitex Ltda"/>
    <x v="494"/>
    <n v="61808531000523"/>
    <s v=""/>
    <s v="Industria E Comercio Jolitex Ltda"/>
    <s v="(11) 3254-7100"/>
    <s v=""/>
    <s v="atendimento@jolitex.com"/>
    <s v=""/>
    <s v=""/>
    <s v=""/>
    <s v="SAO PAULO"/>
    <s v="SP"/>
    <s v="Base de empresas Leads2b"/>
    <s v=""/>
    <s v=""/>
    <s v=""/>
    <s v="Pipeline de Vendas"/>
    <s v="Apresentar Proposta (50%)"/>
    <s v=""/>
    <d v="2026-04-30T00:00:00"/>
    <m/>
    <m/>
    <n v="76"/>
    <s v="Rayssa Karapeticov"/>
    <d v="2026-03-05T00:00:00"/>
    <d v="1899-12-30T17:24:09"/>
    <s v=""/>
    <s v="Ativo"/>
    <m/>
    <m/>
    <s v=""/>
    <s v=""/>
    <s v=""/>
    <x v="0"/>
    <s v="Rayssa Karapeticov"/>
    <x v="195"/>
    <s v="12/03/2026"/>
    <d v="2026-04-23T00:00:00"/>
    <n v="30"/>
    <s v=""/>
    <s v="AFV"/>
    <s v=""/>
    <s v=""/>
    <n v="1"/>
  </r>
  <r>
    <x v="1"/>
    <n v="995"/>
    <m/>
    <n v="3348"/>
    <s v="16:28, 06/03/2026 Valdinei vaeso: Entendi mas esta fora do que pretendo investir_x000a_16:28, 06/03/2026 Valdinei vaeso: Te agradeço_x000a_16:46, 06/03/2026 Junior Lopes: Qual é a sua ideia de investimento?_x000a_16:47, 06/03/2026 Valdinei vaeso: Não vou nem fazer proposta porque a proposta veio com valores altos de implementação e mentoria_x000a_16:47, 06/03/2026 Valdinei vaeso: Sistema parece intuitivo_x000a_16:47, 06/03/2026 Valdinei vaeso: E vi ontem e gostei_x000a_16:47, 06/03/2026 Valdinei vaeso: Preciso de força de vendas_x000a_16:56, 06/03/2026 Valdinei vaeso: Ok"/>
    <s v="Vaeso Comercial Ltda"/>
    <x v="495"/>
    <n v="58092341000114"/>
    <s v=""/>
    <s v="Vaeso Comercial Ltda"/>
    <s v="(47) 9946-6330"/>
    <s v=""/>
    <s v="administrativo@qscontabilidade.com.br"/>
    <s v=""/>
    <s v=""/>
    <s v=""/>
    <s v="JOINVILLE"/>
    <s v="SC"/>
    <s v="Base de empresas Leads2b"/>
    <s v=""/>
    <s v=""/>
    <s v=""/>
    <s v="Pipeline de Vendas"/>
    <s v="Apresentar Proposta (50%)"/>
    <s v=""/>
    <m/>
    <n v="686343"/>
    <n v="36781"/>
    <n v="3"/>
    <s v="Junior Lopes"/>
    <d v="2026-03-06T00:00:00"/>
    <d v="1899-12-30T12:33:31"/>
    <s v=""/>
    <s v="Perdido"/>
    <d v="2026-03-09T00:00:00"/>
    <d v="1899-12-30T09:35:35"/>
    <s v="Não houve aprovação financeira"/>
    <s v="16:28, 06/03/2026 Valdinei vaeso: Entendi mas esta fora do que pretendo investir_x000a_16:28, 06/03/2026 Valdinei vaeso: Te agradeço_x000a_16:46, 06/03/2026 Junior Lopes: Qual é a sua ideia de investimento?_x000a_16:47, 06/03/2026 Valdinei vaeso: Não vou nem fazer proposta porque a proposta veio com valores altos de implementação e mentoria_x000a_16:47, 06/03/2026 Valdinei vaeso: Sistema parece intuitivo_x000a_16:47, 06/03/2026 Valdinei vaeso: E vi ontem e gostei_x000a_16:47, 06/03/2026 Valdinei vaeso: Preciso de força de vendas_x000a_16:56, 06/03/2026 Valdinei vaeso: Ok"/>
    <s v=""/>
    <x v="193"/>
    <s v=""/>
    <x v="212"/>
    <s v=""/>
    <d v="2026-03-06T00:00:00"/>
    <n v="50"/>
    <s v=""/>
    <s v=""/>
    <s v=""/>
    <s v=""/>
    <n v="1"/>
  </r>
  <r>
    <x v="1"/>
    <n v="996"/>
    <m/>
    <n v="3351"/>
    <s v="(10/03/2026) Agenda para apresentação do ERP 12/03 _x000a_10:07, 14/04/2026 Luccas Globalmix: Bom dia meu amigo, tudo bem? _x000a_Desculpe não te responder. Estou com alguns problemas de família e estive meio ausente. _x000a_Analisamos sua proposta e infelizmente ficou muito acima do que estávamos planejando nesse momento. _x000a_Desculpe a minha ignorância, mas não consegui compreender o motivo de um custo tão alto para a implementação de um ERP já existente. O custo que você me passou é basicamente o de desenvolver um novo sistema próprio. _x000a_Infelizmente nessas condições é inviável para nós nesse momento. _x000a_Agradeço pelo seu atendimento nas últimas semanas, foi extremamente atencioso. Espero que compreenda. _x000a_Obrigado_x000a_10:15, 14/04/2026 Junior Lopes: Bom dia, Luccas, tudo bem?_x000a_Primeiro, espero que as coisas com sua família se resolvam da melhor forma possível. Fica tranquilo quanto ao retorno, eu entendo perfeitamente._x000a_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_x000a_O que está incluso nesse investimento é justamente o que vai fazer o sistema “virar realidade” dentro da Globalmix:_x000a_– entendimento dos processos de vocês;_x000a_– parametrização do ERP para a realidade da empresa;_x000a_– construção/ajuste dos relatórios que vocês precisam;_x000a_– validação e homologação do funcionamento antes de ir para produção;_x000a_– integração com a Lisa Log;_x000a_– e, principalmente, treinamento da equipe e acompanhamento na virada, para que todo mundo use da forma correta e o projeto traga resultado._x000a_Sem essa etapa de consultoria, o risco é ter um sistema bom, mas mal configurado ou pouco usado, o que acaba gerando retrabalho e perda de confiança na ferramenta – e é justamente isso que queremos evitar._x000a_Dito isso, eu entendo totalmente a questão de orçamento. Se fizer sentido para você, eu posso:_x000a_1) rever o escopo para enxugar etapas e tentar adequar o investimento ao momento da Globalmix; ou_x000a_2) pensar em uma implantação por fases, começando pelo essencial (comercial + força de vendas + básico de estoque) e deixando integrações e aprofundamentos para uma segunda etapa._x000a_Você se sentiria confortável em me dizer qual faixa de investimento vocês tinham planejado, para eu ver o que é possível ajustar com transparência?"/>
    <s v="Crx Comercio, Importacao E Exportacao Ltda"/>
    <x v="496"/>
    <n v="27672869000139"/>
    <s v=""/>
    <s v="GlobalMIx"/>
    <s v="(11) 9999-9999"/>
    <s v=""/>
    <s v="contabilgrupocrx@gmail.com"/>
    <s v=""/>
    <s v=""/>
    <s v=""/>
    <s v="ITAJAI"/>
    <s v="SC"/>
    <s v=""/>
    <s v=""/>
    <s v=""/>
    <s v=""/>
    <s v="Pipeline de Vendas"/>
    <s v="Apresentar Solução (35%)"/>
    <s v=""/>
    <m/>
    <n v="7305558"/>
    <n v="143186"/>
    <n v="40"/>
    <s v="Junior Lopes"/>
    <d v="2026-03-06T00:00:00"/>
    <d v="1899-12-30T17:07:19"/>
    <s v=""/>
    <s v="Perdido"/>
    <d v="2026-04-15T00:00:00"/>
    <d v="1899-12-30T09:35:15"/>
    <s v="Não houve aprovação financeira"/>
    <s v="10:07, 14/04/2026 Luccas Globalmix: Bom dia meu amigo, tudo bem? _x000a_Desculpe não te responder. Estou com alguns problemas de família e estive meio ausente. _x000a_Analisamos sua proposta e infelizmente ficou muito acima do que estávamos planejando nesse momento. _x000a_Desculpe a minha ignorância, mas não consegui compreender o motivo de um custo tão alto para a implementação de um ERP já existente. O custo que você me passou é basicamente o de desenvolver um novo sistema próprio. _x000a_Infelizmente nessas condições é inviável para nós nesse momento. _x000a_Agradeço pelo seu atendimento nas últimas semanas, foi extremamente atencioso. Espero que compreenda. _x000a_Obrigado_x000a_10:15, 14/04/2026 Junior Lopes: Bom dia, Luccas, tudo bem?_x000a_Primeiro, espero que as coisas com sua família se resolvam da melhor forma possível. Fica tranquilo quanto ao retorno, eu entendo perfeitamente._x000a_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_x000a_O que está incluso nesse investimento é justamente o que vai fazer o sistema “virar realidade” dentro da Globalmix:_x000a_– entendimento dos processos de vocês;_x000a_– parametrização do ERP para a realidade da empresa;_x000a_– construção/ajuste dos relatórios que vocês precisam;_x000a_– validação e homologação do funcionamento antes de ir para produção;_x000a_– integração com a Lisa Log;_x000a_– e, principalmente, treinamento da equipe e acompanhamento na virada, para que todo mundo use da forma correta e o projeto traga resultado._x000a_Sem essa etapa de consultoria, o risco é ter um sistema bom, mas mal configurado ou pouco usado, o que acaba gerando retrabalho e perda de confiança na ferramenta – e é justamente isso que queremos evitar._x000a_Dito isso, eu entendo totalmente a questão de orçamento. Se fizer sentido para você, eu posso:_x000a_1) rever o escopo para enxugar etapas e tentar adequar o investimento ao momento da Globalmix; ou_x000a_2) pensar em uma implantação por fases, começando pelo essencial (comercial + força de vendas + básico de estoque) e deixando integrações e aprofundamentos para uma segunda etapa._x000a_Você se sentiria confortável em me dizer qual faixa de investimento vocês tinham planejado, para eu ver o que é possível ajustar com transparência?"/>
    <s v=""/>
    <x v="194"/>
    <s v=""/>
    <x v="195"/>
    <s v=""/>
    <d v="2026-04-15T00:00:00"/>
    <n v="30"/>
    <s v=""/>
    <s v=""/>
    <s v=""/>
    <s v=""/>
    <n v="1"/>
  </r>
  <r>
    <x v="2"/>
    <n v="997"/>
    <m/>
    <n v="3341"/>
    <s v=""/>
    <s v=""/>
    <x v="497"/>
    <m/>
    <s v=""/>
    <s v="Irmãos Capuci"/>
    <s v="67999772326"/>
    <s v=""/>
    <s v="joaoliloc@gmail.com"/>
    <s v=""/>
    <s v=""/>
    <s v=""/>
    <s v=""/>
    <s v=""/>
    <s v="Campanha"/>
    <s v=""/>
    <s v=""/>
    <s v="Fora Perfil;Instagram"/>
    <s v="Pipeline de Vendas"/>
    <s v="Agendamento (0%)"/>
    <s v=""/>
    <d v="2026-03-31T00:00:00"/>
    <m/>
    <m/>
    <n v="1"/>
    <s v="Paulo Souza"/>
    <d v="2026-03-09T00:00:00"/>
    <d v="1899-12-30T14:16:23"/>
    <s v=""/>
    <s v="Perdido"/>
    <d v="2026-03-10T00:00:00"/>
    <d v="1899-12-30T10:03:18"/>
    <s v="Fora do porte mínimo (sem fit estrutural)"/>
    <s v=""/>
    <s v=""/>
    <x v="0"/>
    <s v="Rayssa Karapeticov"/>
    <x v="0"/>
    <s v=""/>
    <m/>
    <n v="30"/>
    <s v=""/>
    <s v=""/>
    <s v=""/>
    <s v=""/>
    <n v="1"/>
  </r>
  <r>
    <x v="1"/>
    <n v="999"/>
    <m/>
    <n v="3360"/>
    <s v="(10/03/2026) em contato com Fernando _x000a_11:24, 11/03/2026 Junior Lopes: Olá Fernando! Td bem ? _x000a_Você tem interesse sem seguir com informações sobre a solução Guarani sistemas?"/>
    <s v=""/>
    <x v="498"/>
    <m/>
    <s v=""/>
    <s v="Fcabrasil"/>
    <s v="19974124080"/>
    <s v=""/>
    <s v="fernando@fcabrasil.com.br"/>
    <s v=""/>
    <s v=""/>
    <s v=""/>
    <s v=""/>
    <s v=""/>
    <s v="Campanha"/>
    <s v=""/>
    <s v=""/>
    <s v="Fora Perfil;Instagram"/>
    <s v="Pipeline de Vendas"/>
    <s v="Qualificação de Vendas (SQL) (25%)"/>
    <s v=""/>
    <d v="2026-03-31T00:00:00"/>
    <m/>
    <m/>
    <n v="29"/>
    <s v="Paulo Souza"/>
    <d v="2026-03-10T00:00:00"/>
    <d v="1899-12-30T09:07:12"/>
    <s v=""/>
    <s v="Perdido"/>
    <d v="2026-04-08T00:00:00"/>
    <d v="1899-12-30T17:25:42"/>
    <s v="Fora do porte mínimo (sem fit estrutural)"/>
    <s v=") declinando por falta de interação por parte do cliente"/>
    <s v=""/>
    <x v="0"/>
    <s v="Junior Lopes"/>
    <x v="0"/>
    <s v=""/>
    <d v="2026-03-19T00:00:00"/>
    <n v="30"/>
    <s v=""/>
    <s v=""/>
    <s v=""/>
    <s v=""/>
    <n v="1"/>
  </r>
  <r>
    <x v="0"/>
    <n v="1000"/>
    <m/>
    <n v="3358"/>
    <s v="10/03 Fiz contato e não obtive retorno deixei recado._x000a_11/03 Fiz FUP hoje com o Ridalvo Donizeti sem sucesso._x000a_12/3 Fiz varias ligações sem sucesso. Por falta de retorno encerrei o lead,."/>
    <s v=""/>
    <x v="499"/>
    <m/>
    <s v=""/>
    <s v="Ridalvo Donizeti"/>
    <s v="16991945630"/>
    <s v=""/>
    <s v="ridalvo.rossi@brdbtasil.com.br"/>
    <s v=""/>
    <s v=""/>
    <s v=""/>
    <s v=""/>
    <s v=""/>
    <s v="Campanha"/>
    <s v=""/>
    <s v=""/>
    <s v="Dentro Perfil;Instagram"/>
    <s v="Pipeline de Vendas"/>
    <s v="Qualificação de Vendas (SQL) (25%)"/>
    <s v=""/>
    <d v="2026-03-31T00:00:00"/>
    <m/>
    <m/>
    <n v="2"/>
    <s v="Paulo Souza"/>
    <d v="2026-03-10T00:00:00"/>
    <d v="1899-12-30T09:19:04"/>
    <s v=""/>
    <s v="Perdido"/>
    <d v="2026-03-12T00:00:00"/>
    <d v="1899-12-30T17:27:22"/>
    <s v="Fora do porte mínimo (sem fit estrutural)"/>
    <s v=""/>
    <s v=""/>
    <x v="0"/>
    <s v="Paulo Souza"/>
    <x v="0"/>
    <s v=""/>
    <d v="2026-03-12T00:00:00"/>
    <n v="30"/>
    <s v=""/>
    <s v=""/>
    <s v=""/>
    <s v=""/>
    <n v="1"/>
  </r>
  <r>
    <x v="2"/>
    <n v="1001"/>
    <m/>
    <n v="3357"/>
    <s v="18.03 proposta apresentada no dia de hoje _x000a_24.03 - não atendeu"/>
    <s v=""/>
    <x v="500"/>
    <m/>
    <s v=""/>
    <s v="Artur Decker"/>
    <s v="(47) 99699-9700"/>
    <s v=""/>
    <s v="artur@assessoriadecker.com"/>
    <s v=""/>
    <s v=""/>
    <s v=""/>
    <s v="Blumenau"/>
    <s v=""/>
    <s v="Site"/>
    <s v=""/>
    <s v=""/>
    <s v="Dentro Perfil;Solicita demo"/>
    <s v="Pipeline de Vendas"/>
    <s v="Em negociação (75%)"/>
    <s v=""/>
    <d v="2026-05-31T00:00:00"/>
    <n v="16800"/>
    <n v="12600"/>
    <n v="71"/>
    <s v="Paulo Souza"/>
    <d v="2026-03-10T00:00:00"/>
    <d v="1899-12-30T09:20:36"/>
    <s v=""/>
    <s v="Ativo"/>
    <m/>
    <m/>
    <s v=""/>
    <s v=""/>
    <s v=""/>
    <x v="195"/>
    <s v="Rayssa Karapeticov"/>
    <x v="213"/>
    <s v=""/>
    <d v="2026-05-13T00:00:00"/>
    <n v="30"/>
    <s v=""/>
    <s v=""/>
    <s v=""/>
    <s v=""/>
    <n v="1"/>
  </r>
  <r>
    <x v="1"/>
    <n v="1002"/>
    <m/>
    <n v="3356"/>
    <s v="(10/03/2026) Em contato com Maxwel _x000a_(27/03/2026) após analise cliente fica fora do perfil ! estamparia de camisetas, canecas e brindes em geral"/>
    <s v=""/>
    <x v="501"/>
    <m/>
    <s v=""/>
    <s v="Terra Brasil"/>
    <s v="11989296453"/>
    <s v=""/>
    <s v="max.vendas@terrabrasilbrindes.com.br"/>
    <s v=""/>
    <s v=""/>
    <s v=""/>
    <s v=""/>
    <s v=""/>
    <s v="Campanha"/>
    <s v=""/>
    <s v=""/>
    <s v="Fora Perfil;Instagram"/>
    <s v="Pipeline de Vendas"/>
    <s v="Qualificação de Vendas (SQL) (25%)"/>
    <s v=""/>
    <d v="2026-03-31T00:00:00"/>
    <m/>
    <m/>
    <n v="17"/>
    <s v="Paulo Souza"/>
    <d v="2026-03-10T00:00:00"/>
    <d v="1899-12-30T09:44:38"/>
    <s v=""/>
    <s v="Perdido"/>
    <d v="2026-03-27T00:00:00"/>
    <d v="1899-12-30T14:24:00"/>
    <s v="Fora do porte mínimo (sem fit estrutural)"/>
    <s v="(27/03/2026) após analise cliente fica fora do perfil ! estamparia de camisetas, canecas e brindes em geral"/>
    <s v=""/>
    <x v="0"/>
    <s v="Junior Lopes"/>
    <x v="0"/>
    <s v=""/>
    <d v="2026-03-27T00:00:00"/>
    <n v="30"/>
    <s v=""/>
    <s v=""/>
    <s v=""/>
    <s v=""/>
    <n v="1"/>
  </r>
  <r>
    <x v="2"/>
    <n v="1003"/>
    <m/>
    <n v="3355"/>
    <s v=""/>
    <s v=""/>
    <x v="502"/>
    <m/>
    <s v=""/>
    <s v="Farmacia Boa Sorte"/>
    <s v="74999642551"/>
    <s v=""/>
    <s v="farmaboasorte@gmail.com"/>
    <s v=""/>
    <s v=""/>
    <s v=""/>
    <s v=""/>
    <s v=""/>
    <s v="Campanha"/>
    <s v=""/>
    <s v=""/>
    <s v="Fora Perfil;Instagram"/>
    <s v="Pipeline de Vendas"/>
    <s v="Agendamento (0%)"/>
    <s v=""/>
    <d v="2026-03-31T00:00:00"/>
    <m/>
    <m/>
    <n v="0"/>
    <s v="Paulo Souza"/>
    <d v="2026-03-10T00:00:00"/>
    <d v="1899-12-30T09:46:18"/>
    <s v=""/>
    <s v="Perdido"/>
    <d v="2026-03-10T00:00:00"/>
    <d v="1899-12-30T10:23:45"/>
    <s v="Fora do porte mínimo (sem fit estrutural)"/>
    <s v=""/>
    <s v=""/>
    <x v="0"/>
    <s v="Rayssa Karapeticov"/>
    <x v="0"/>
    <s v=""/>
    <m/>
    <n v="30"/>
    <s v=""/>
    <s v=""/>
    <s v=""/>
    <s v=""/>
    <n v="1"/>
  </r>
  <r>
    <x v="0"/>
    <n v="1004"/>
    <m/>
    <n v="3353"/>
    <s v="15/03 Feio FUP da apresentação da proposta._x000a_20/03 Fiz FUP hoje com o Sergio cobrando ele sobre a proposta WMS se seguiremos._x000a_20/03 Sergio me passou que o investimento ficou alto para o momento e que nao vai seguir."/>
    <s v=""/>
    <x v="503"/>
    <n v="5291214000188"/>
    <s v=""/>
    <s v="Sergio cdp"/>
    <s v="(38) 99831-2605"/>
    <s v=""/>
    <s v="sergio.cdp00@gmail.com"/>
    <s v=""/>
    <s v=""/>
    <s v=""/>
    <s v="MONTES CLAROS"/>
    <s v="MG"/>
    <s v="Site"/>
    <s v=""/>
    <s v=""/>
    <s v="Solicita demo"/>
    <s v="Pipeline de Vendas"/>
    <s v="Em negociação (75%)"/>
    <s v=""/>
    <d v="2026-03-31T00:00:00"/>
    <n v="22800"/>
    <n v="14256"/>
    <n v="10"/>
    <s v="Paulo Souza"/>
    <d v="2026-03-10T00:00:00"/>
    <d v="1899-12-30T09:52:59"/>
    <s v=""/>
    <s v="Perdido"/>
    <d v="2026-03-20T00:00:00"/>
    <d v="1899-12-30T17:17:39"/>
    <s v="Preço muito alto - fora do budget de investimento"/>
    <s v=""/>
    <s v=""/>
    <x v="174"/>
    <s v="Paulo Souza"/>
    <x v="214"/>
    <s v=""/>
    <d v="2026-03-20T00:00:00"/>
    <n v="30"/>
    <s v=""/>
    <s v="WMS"/>
    <s v=""/>
    <s v=""/>
    <n v="1"/>
  </r>
  <r>
    <x v="2"/>
    <n v="1005"/>
    <m/>
    <n v="3354"/>
    <s v="Reunião realizada 08.04.2024 presencial no cliente_x000a_04.05 - Estou avançando a negociação com o client,e porém ele não concorda com o rejuste de no minimo 5% do contrato"/>
    <s v=""/>
    <x v="504"/>
    <n v="59578948000171"/>
    <s v=""/>
    <s v="3D"/>
    <s v="11983479931"/>
    <s v=""/>
    <s v="tufano@maquimp.com.br"/>
    <s v=""/>
    <s v=""/>
    <s v=""/>
    <s v="SAO PAULO"/>
    <s v="SP"/>
    <s v="Campanha"/>
    <s v=""/>
    <s v=""/>
    <s v="Dentro Perfil;Instagram"/>
    <s v="Pipeline de Vendas"/>
    <s v="Em negociação (75%)"/>
    <s v=""/>
    <d v="2026-06-30T00:00:00"/>
    <n v="58800"/>
    <n v="55164"/>
    <n v="71"/>
    <s v="Paulo Souza"/>
    <d v="2026-03-10T00:00:00"/>
    <d v="1899-12-30T09:55:28"/>
    <s v=""/>
    <s v="Ativo"/>
    <m/>
    <m/>
    <s v=""/>
    <s v=""/>
    <s v=""/>
    <x v="196"/>
    <s v="Rayssa Karapeticov"/>
    <x v="215"/>
    <s v="08/04/2026"/>
    <d v="2026-05-15T00:00:00"/>
    <n v="30"/>
    <s v=""/>
    <s v="ERP"/>
    <s v=""/>
    <s v=""/>
    <n v="1"/>
  </r>
  <r>
    <x v="1"/>
    <n v="1006"/>
    <m/>
    <n v="3343"/>
    <s v="(10/03/2026) em contato com Bruno _x000a_(10/03/2026) cliente informa que já fechou projeto com a Mercos"/>
    <s v=""/>
    <x v="505"/>
    <n v="36882195000198"/>
    <s v=""/>
    <s v="Bruno"/>
    <s v="(11) 94075-6696"/>
    <s v=""/>
    <s v="bruno.arouca@brotacompany.com.br"/>
    <s v=""/>
    <s v=""/>
    <s v=""/>
    <s v="São Paulo"/>
    <s v=""/>
    <s v="Site"/>
    <s v=""/>
    <s v=""/>
    <s v="Dentro Perfil;Solicita demo"/>
    <s v="Pipeline de Vendas"/>
    <s v="Qualificação de Vendas (SQL) (25%)"/>
    <s v=""/>
    <m/>
    <m/>
    <m/>
    <n v="0"/>
    <s v="Paulo Souza"/>
    <d v="2026-03-10T00:00:00"/>
    <d v="1899-12-30T09:59:38"/>
    <s v=""/>
    <s v="Perdido"/>
    <d v="2026-03-10T00:00:00"/>
    <d v="1899-12-30T16:59:56"/>
    <s v="Fechou com o concorrente - preço"/>
    <s v="(10/03/2026) cliente informa que já fechou projeto com a Mercos"/>
    <s v=""/>
    <x v="0"/>
    <s v="Junior Lopes"/>
    <x v="0"/>
    <s v=""/>
    <m/>
    <n v="30"/>
    <s v=""/>
    <s v="AFV"/>
    <s v=""/>
    <s v=""/>
    <n v="1"/>
  </r>
  <r>
    <x v="2"/>
    <n v="1007"/>
    <m/>
    <n v="3344"/>
    <s v="Falei com o Rodrigo, são umdistribuidor de autopeças de Bauru, vieram por inidicação da Ad&amp;Ad. _x000a_Atualmente as vendas são por MKPlace e mercado livre, e possuem vendas internas telemarketing_x000a_Trabalha com a parte especial, falamos sobre financeiro, fiscal, estoque. e pedidos decompras _x000a_Pediu uma estimativa de valores, porque atualmente é ele e um sócio, e precisa discutir com o Sócio para ver se vai avançar por causa do investimento, só que o sócio não esta essa semana _x000a_Então combinamos de falar na proxima semana (23/03)"/>
    <s v=""/>
    <x v="506"/>
    <m/>
    <s v=""/>
    <s v="rodrigo"/>
    <s v="(14) 99701-3009"/>
    <s v=""/>
    <s v="compras@s4distribuidora.com.br"/>
    <s v=""/>
    <s v=""/>
    <s v=""/>
    <s v="Bauru"/>
    <s v=""/>
    <s v="Site"/>
    <s v=""/>
    <s v=""/>
    <s v="Dentro Perfil;Solicita demo"/>
    <s v="Pipeline de Vendas"/>
    <s v="Apresentar Solução (35%)"/>
    <s v=""/>
    <d v="2026-08-31T00:00:00"/>
    <m/>
    <m/>
    <n v="28"/>
    <s v="Paulo Souza"/>
    <d v="2026-03-10T00:00:00"/>
    <d v="1899-12-30T10:01:14"/>
    <s v=""/>
    <s v="Perdido"/>
    <d v="2026-04-07T00:00:00"/>
    <d v="1899-12-30T10:52:27"/>
    <s v="Preço muito alto - fora do budget de investimento"/>
    <s v=""/>
    <s v=""/>
    <x v="0"/>
    <s v="Rayssa Karapeticov"/>
    <x v="0"/>
    <s v=""/>
    <d v="2026-04-07T00:00:00"/>
    <n v="30"/>
    <s v=""/>
    <s v="ERP, ADICIONAIS, CLOUD"/>
    <s v=""/>
    <s v=""/>
    <n v="1"/>
  </r>
  <r>
    <x v="0"/>
    <n v="1008"/>
    <m/>
    <n v="3346"/>
    <s v=""/>
    <s v=""/>
    <x v="507"/>
    <n v="27672869000139"/>
    <s v=""/>
    <s v="Luccas Nassif"/>
    <s v="(11) 98873-6515"/>
    <s v=""/>
    <s v="luccas.nassif@globalmix.com.br"/>
    <s v=""/>
    <s v=""/>
    <s v=""/>
    <s v="São Paulo"/>
    <s v=""/>
    <s v="Site"/>
    <s v=""/>
    <s v=""/>
    <s v="Solicita demo"/>
    <s v="Pipeline de Vendas"/>
    <s v="Agendamento (0%)"/>
    <s v=""/>
    <d v="2026-03-31T00:00:00"/>
    <m/>
    <m/>
    <n v="0"/>
    <s v="Paulo Souza"/>
    <d v="2026-03-10T00:00:00"/>
    <d v="1899-12-30T10:02:20"/>
    <s v=""/>
    <s v="Perdido"/>
    <d v="2026-03-10T00:00:00"/>
    <d v="1899-12-30T10:27:02"/>
    <s v="Fora do porte mínimo (sem fit estrutural)"/>
    <s v=""/>
    <s v=""/>
    <x v="0"/>
    <s v="Paulo Souza"/>
    <x v="0"/>
    <s v=""/>
    <m/>
    <n v="30"/>
    <s v=""/>
    <s v=""/>
    <s v=""/>
    <s v=""/>
    <n v="1"/>
  </r>
  <r>
    <x v="1"/>
    <n v="1009"/>
    <m/>
    <n v="3361"/>
    <s v="(11/03/2026) Agenda de apresentação para 17/03/2026_x000a_(30/03/2026) Alinhando visita presencial com Thiago"/>
    <s v="Banana Toys Ltda"/>
    <x v="508"/>
    <n v="8878994000155"/>
    <s v=""/>
    <s v="Banana Toys Ltda"/>
    <s v="(15) 3283-5196"/>
    <s v=""/>
    <s v="faturamento@bananatoys.com.br"/>
    <s v=""/>
    <s v=""/>
    <s v=""/>
    <s v="LARANJAL PAULISTA"/>
    <s v="SP"/>
    <s v="Base de empresas Leads2b"/>
    <s v=""/>
    <s v=""/>
    <s v=""/>
    <s v="Pipeline de Vendas"/>
    <s v="Em negociação (75%)"/>
    <s v=""/>
    <d v="2026-03-31T00:00:00"/>
    <n v="11390346"/>
    <n v="384882"/>
    <n v="71"/>
    <s v="Junior Lopes"/>
    <d v="2026-03-10T00:00:00"/>
    <d v="1899-12-30T16:23:30"/>
    <s v=""/>
    <s v="Ativo"/>
    <m/>
    <m/>
    <s v=""/>
    <s v=""/>
    <s v=""/>
    <x v="197"/>
    <s v=""/>
    <x v="214"/>
    <s v="17/03/2026"/>
    <d v="2026-03-30T00:00:00"/>
    <n v="50"/>
    <s v=""/>
    <s v=""/>
    <s v=""/>
    <s v=""/>
    <n v="1"/>
  </r>
  <r>
    <x v="0"/>
    <n v="1011"/>
    <m/>
    <n v="3365"/>
    <s v="20/03 Cobrei o Everton sobre a posição sobre a proposta comercial e se seguiremos e se existe algum impedimento."/>
    <s v=""/>
    <x v="509"/>
    <n v="7865166000110"/>
    <s v=""/>
    <s v="EVERTON MARINI GAVIAO"/>
    <s v="(17) 3342-1605"/>
    <s v=""/>
    <s v="comercialgaviao@bol.com.br"/>
    <s v=""/>
    <s v=""/>
    <s v=""/>
    <s v="BEBEDOURO"/>
    <s v="SP"/>
    <s v="Site"/>
    <s v=""/>
    <s v=""/>
    <s v="Solicita demo"/>
    <s v="Pipeline de Vendas"/>
    <s v="Em Fechamento (100%)"/>
    <s v=""/>
    <d v="2026-03-31T00:00:00"/>
    <n v="870636"/>
    <n v="434528"/>
    <n v="70"/>
    <s v="Paulo Souza"/>
    <d v="2026-03-11T00:00:00"/>
    <d v="1899-12-30T11:51:21"/>
    <s v=""/>
    <s v="Ativo"/>
    <m/>
    <m/>
    <s v=""/>
    <s v=""/>
    <s v=""/>
    <x v="187"/>
    <s v="Paulo Souza"/>
    <x v="216"/>
    <s v=""/>
    <d v="2026-05-18T00:00:00"/>
    <n v="30"/>
    <s v=""/>
    <s v="ERP, AFV"/>
    <s v=""/>
    <s v=""/>
    <n v="1"/>
  </r>
  <r>
    <x v="1"/>
    <n v="1012"/>
    <m/>
    <n v="3345"/>
    <s v="(20/03/2026) contato com  Ramos a fim de seguirmos com negociações _x000a_09:22, 06/05/2026 Junior Lopes: Olá Danilo ! Td bem meu amigo _x000a_Ficamos de fazer uma agenda de apresentação para seu sócio ! _x000a_Vamos agendar para próxima semana ?_x000a_10:07, 06/05/2026 Danilo Euroquad: Bom dia_x000a_10:08, 06/05/2026 Danilo Euroquad: Tudo bem e vc?_x000a_10:08, 06/05/2026 Danilo Euroquad: Estou na china volto no final do mês_x000a_10:08, 06/05/2026 Danilo Euroquad: Quando chegar marcamos_x000a_11:35, 06/05/2026 Junior Lopes: Perfeito Danilo, ótimos negocios por ai"/>
    <s v="Euroquadros Industria Importacao E Exportacao Ltda"/>
    <x v="510"/>
    <n v="72770225000561"/>
    <s v=""/>
    <s v="Euroquadros Industria Importacao E Exportacao Ltda"/>
    <s v="(47) 3515-3000"/>
    <s v=""/>
    <s v="contabil@fratelliinox.com.br"/>
    <s v=""/>
    <s v=""/>
    <s v=""/>
    <s v="BARRA VELHA"/>
    <s v="SC"/>
    <s v="Base de empresas Leads2b"/>
    <s v=""/>
    <s v=""/>
    <s v=""/>
    <s v="Pipeline de Vendas"/>
    <s v="Em negociação (75%)"/>
    <s v=""/>
    <m/>
    <n v="52702"/>
    <n v="17020"/>
    <n v="70"/>
    <s v="Junior Lopes"/>
    <d v="2026-03-11T00:00:00"/>
    <d v="1899-12-30T16:07:58"/>
    <s v=""/>
    <s v="Ativo"/>
    <m/>
    <m/>
    <s v=""/>
    <s v=""/>
    <s v=""/>
    <x v="195"/>
    <s v=""/>
    <x v="217"/>
    <s v="18/03/2026"/>
    <d v="2026-05-06T00:00:00"/>
    <n v="50"/>
    <s v=""/>
    <s v=""/>
    <s v=""/>
    <s v=""/>
    <n v="1"/>
  </r>
  <r>
    <x v="2"/>
    <n v="1013"/>
    <m/>
    <n v="3368"/>
    <s v="30.03 Lidi, boa tarde!_x000a_Vamos agendar quarta às 15h_x000a_Meu gerente de projetos que vai fazer, assim já consigo matar WMS, ERP, PDV, todo processo de estoque futuro e importação_x000a_07.04 2° parte da reunião ficou para sexta 10/04_x000a_13.04 apresentação realizada, proxima etapa apresentação da proposta, aguardar avaliação do Paulo quanto ao serviço de cloud"/>
    <s v="Simao Distribuidora De Embalagens Descartaveis Ltda"/>
    <x v="511"/>
    <n v="10649489000180"/>
    <s v=""/>
    <s v="Simao Distribuidora De Embalagens Descartaveis Ltda"/>
    <s v="(24) 3325-7650"/>
    <s v=""/>
    <s v="legalizacao@mastermaxcontabilidade.com.br"/>
    <s v=""/>
    <s v=""/>
    <s v=""/>
    <s v="RIO DE JANEIRO"/>
    <s v="RJ"/>
    <s v="Base de empresas Leads2b"/>
    <s v=""/>
    <s v=""/>
    <s v=""/>
    <s v="Pipeline de Vendas"/>
    <s v="Apresentar Proposta (50%)"/>
    <s v=""/>
    <d v="2026-09-30T00:00:00"/>
    <m/>
    <m/>
    <n v="69"/>
    <s v="Rayssa Karapeticov"/>
    <d v="2026-03-12T00:00:00"/>
    <d v="1899-12-30T10:07:51"/>
    <s v=""/>
    <s v="Ativo"/>
    <m/>
    <m/>
    <s v=""/>
    <s v=""/>
    <s v=""/>
    <x v="198"/>
    <s v="Rayssa Karapeticov"/>
    <x v="218"/>
    <s v="10/04/2026"/>
    <d v="2026-05-13T00:00:00"/>
    <n v="30"/>
    <s v=""/>
    <s v="ERP, AFV"/>
    <s v=""/>
    <s v=""/>
    <n v="1"/>
  </r>
  <r>
    <x v="0"/>
    <n v="1014"/>
    <m/>
    <n v="3371"/>
    <s v="12/03 Fiz FUP com o Renan e ele avisou que a Vera esta em viagem retornando vamos agendar uma apresentação._x000a_12/03 Fiz FUP com o cliente e marcamos reunião para dia 18/03 as 15h._x000a_20/03 Conversei com o Renan para saber qual a nova data para fazer a apresentação."/>
    <s v=""/>
    <x v="512"/>
    <n v="10633099000112"/>
    <s v=""/>
    <s v="Vera Lucia"/>
    <s v="(47) 3075-0552"/>
    <s v=""/>
    <s v="financeiro@mundialimpexp.com.br"/>
    <s v=""/>
    <s v=""/>
    <s v=""/>
    <s v="ITAJAI"/>
    <s v="SC"/>
    <s v=""/>
    <s v=""/>
    <s v=""/>
    <s v="Pausado"/>
    <s v="Pipeline de Vendas"/>
    <s v="Apresentar Solução (35%)"/>
    <s v=""/>
    <d v="2026-03-30T00:00:00"/>
    <m/>
    <m/>
    <n v="60"/>
    <s v="Paulo Souza"/>
    <d v="2026-03-12T00:00:00"/>
    <d v="1899-12-30T12:10:28"/>
    <s v=""/>
    <s v="Perdido"/>
    <d v="2026-05-11T00:00:00"/>
    <d v="1899-12-30T11:56:15"/>
    <s v="Projeto adiado / sem prazo definido"/>
    <s v=""/>
    <s v=""/>
    <x v="0"/>
    <s v="Paulo Souza"/>
    <x v="0"/>
    <s v=""/>
    <d v="2026-04-10T00:00:00"/>
    <n v="30"/>
    <s v=""/>
    <s v="ERP, AFV"/>
    <s v=""/>
    <s v=""/>
    <n v="1"/>
  </r>
  <r>
    <x v="1"/>
    <n v="1015"/>
    <m/>
    <n v="3375"/>
    <s v="(16/03/2026) Agenda de apresentação para dia 17/03/2026"/>
    <s v=""/>
    <x v="513"/>
    <n v="35417169000126"/>
    <s v=""/>
    <s v="Brisa Artes"/>
    <s v="11992558277"/>
    <s v=""/>
    <s v="marcos@mairinckcontabil.com.br"/>
    <s v=""/>
    <s v=""/>
    <s v=""/>
    <s v="RIBEIRAO PIRES"/>
    <s v="SP"/>
    <s v=""/>
    <s v=""/>
    <s v=""/>
    <s v=""/>
    <s v="Pipeline de Vendas"/>
    <s v="Apresentar Solução (35%)"/>
    <s v=""/>
    <m/>
    <m/>
    <m/>
    <n v="69"/>
    <s v="Junior Lopes"/>
    <d v="2026-03-12T00:00:00"/>
    <d v="1899-12-30T15:11:14"/>
    <s v=""/>
    <s v="Ativo"/>
    <m/>
    <m/>
    <s v=""/>
    <s v=""/>
    <s v=""/>
    <x v="0"/>
    <s v=""/>
    <x v="0"/>
    <s v=""/>
    <d v="2026-03-16T00:00:00"/>
    <n v="30"/>
    <s v=""/>
    <s v=""/>
    <s v=""/>
    <s v=""/>
    <n v="1"/>
  </r>
  <r>
    <x v="1"/>
    <n v="1016"/>
    <m/>
    <n v="3373"/>
    <s v="09:04, 13/03/2026 Junior Lopes: Olá Victor, bom dia_x000a_09:04, 13/03/2026 Junior Lopes: sou Junior Lopes da Guarani sistemas, td bem ?_x000a_09:05, 13/03/2026 Junior Lopes: estou retornando um contato que vc fez conosco relacionado ao nosso software de gestão Guarani sistemas_x000a_(13/03/2026) Aós tentativa de ligação e contato ! nenhuma respondida _x000a_estou descartando a oportunidade pois o nome da empresa mencionado não existe e demais informações preenchidas sem dados concretos ! por informar que tem um faturamento abaixo de 200K mensal fica fora do nosso perfil"/>
    <s v=""/>
    <x v="514"/>
    <m/>
    <s v=""/>
    <s v="Nemoaprds"/>
    <s v="38998244039"/>
    <s v=""/>
    <s v="vitorborgessilva333@gmail.com"/>
    <s v=""/>
    <s v=""/>
    <s v=""/>
    <s v=""/>
    <s v=""/>
    <s v="Campanha"/>
    <s v=""/>
    <s v=""/>
    <s v="Fora Perfil;Instagram"/>
    <s v="Pipeline de Vendas"/>
    <s v="Qualificação de Vendas (SQL) (25%)"/>
    <s v=""/>
    <d v="2026-03-31T00:00:00"/>
    <m/>
    <m/>
    <n v="58"/>
    <s v="Paulo Souza"/>
    <d v="2026-03-12T00:00:00"/>
    <d v="1899-12-30T17:35:46"/>
    <s v=""/>
    <s v="Perdido"/>
    <d v="2026-05-09T00:00:00"/>
    <d v="1899-12-30T07:56:21"/>
    <s v="Sem qualificação — contato não atende ligações nem responde msg"/>
    <s v=""/>
    <s v=""/>
    <x v="0"/>
    <s v="Junior Lopes"/>
    <x v="0"/>
    <s v=""/>
    <d v="2026-03-13T00:00:00"/>
    <n v="30"/>
    <s v=""/>
    <s v=""/>
    <s v=""/>
    <s v=""/>
    <n v="1"/>
  </r>
  <r>
    <x v="2"/>
    <n v="1017"/>
    <m/>
    <n v="3374"/>
    <s v="17/03 - Nova Maringa - Amazonia Sistemas_x000a_Empresa de vendas e locação de maquinas agricolas, procura um softaware onde possa acompanhar a svedas, criar promnoções/campanhas, realizar OS para manutenções das maquinas. _x000a_Possui PDV _x000a_Apresentação agendada para terça 24/03 as 15h_x000a_25/03 achou o valor de investimento alto"/>
    <s v=""/>
    <x v="515"/>
    <n v="33947903000133"/>
    <s v=""/>
    <s v="Giovani luiz Agrorural Ltda"/>
    <s v="(66) 8101-6884"/>
    <s v=""/>
    <s v="soberanaagrorural@hotmail.com"/>
    <s v=""/>
    <s v=""/>
    <s v=""/>
    <s v="NOVA MARINGA"/>
    <s v="MT"/>
    <s v="Campanha"/>
    <s v=""/>
    <s v=""/>
    <s v="Fora Perfil;Instagram"/>
    <s v="Pipeline de Vendas"/>
    <s v="Apresentar Solução (35%)"/>
    <s v=""/>
    <d v="2026-07-31T00:00:00"/>
    <m/>
    <m/>
    <n v="13"/>
    <s v="Paulo Souza"/>
    <d v="2026-03-12T00:00:00"/>
    <d v="1899-12-30T17:37:00"/>
    <s v=""/>
    <s v="Perdido"/>
    <d v="2026-03-25T00:00:00"/>
    <d v="1899-12-30T10:06:43"/>
    <s v="Preço muito alto - fora do budget de investimento"/>
    <s v=""/>
    <s v=""/>
    <x v="0"/>
    <s v="Rayssa Karapeticov"/>
    <x v="219"/>
    <s v=""/>
    <d v="2026-03-25T00:00:00"/>
    <n v="31"/>
    <s v=""/>
    <s v=""/>
    <s v=""/>
    <s v=""/>
    <n v="1"/>
  </r>
  <r>
    <x v="1"/>
    <n v="1018"/>
    <m/>
    <n v="3379"/>
    <s v="(13/03/2026) em contato com Juraci a fim de retomar assunto sobre força de vendas _x000a_(12/03/2026) em contato com Juraci, informou que vamos voltar a falar no final do ano ! devido a sua alta demanda de vendas nesse período inviabilizou o projeto nesse momento"/>
    <s v=""/>
    <x v="185"/>
    <n v="28646036000166"/>
    <s v=""/>
    <s v="Gola Comercial"/>
    <s v="11938010304"/>
    <s v=""/>
    <s v="juraci@goalcomercial.com.br"/>
    <s v=""/>
    <s v=""/>
    <s v=""/>
    <s v="SAO CAETANO DO SUL"/>
    <s v="SP"/>
    <s v=""/>
    <s v=""/>
    <s v=""/>
    <s v=""/>
    <s v="Pipeline de Vendas"/>
    <s v="Apresentar Solução (35%)"/>
    <s v=""/>
    <m/>
    <n v="1696"/>
    <n v="6400"/>
    <n v="17"/>
    <s v="Junior Lopes"/>
    <d v="2026-03-13T00:00:00"/>
    <d v="1899-12-30T09:34:40"/>
    <s v=""/>
    <s v="Perdido"/>
    <d v="2026-03-30T00:00:00"/>
    <d v="1899-12-30T17:12:25"/>
    <s v="Projeto adiado / sem prazo definido"/>
    <s v="cliente não tem mais tempo para mudança esse ano , ficará para final do ano 2026"/>
    <s v=""/>
    <x v="84"/>
    <s v=""/>
    <x v="213"/>
    <s v=""/>
    <d v="2026-03-12T00:00:00"/>
    <n v="30"/>
    <s v=""/>
    <s v=""/>
    <s v=""/>
    <s v=""/>
    <n v="1"/>
  </r>
  <r>
    <x v="2"/>
    <n v="1019"/>
    <m/>
    <n v="3381"/>
    <s v="18.03 apresentação agendada para segunda 24/03_x000a_30.03 - como é uma empresa pequena de 1 ano, não consegue dar andamento agora _x000a_mas vão estudar para o futuro"/>
    <s v="Verti Flores E Plantas Permanentes Ltda"/>
    <x v="516"/>
    <n v="55841149000195"/>
    <s v=""/>
    <s v="Verti Flores E Plantas Permanentes Ltda"/>
    <s v="(47) 9214-8117"/>
    <s v=""/>
    <s v="societario@rmxcontabilidade.com.br"/>
    <s v=""/>
    <s v=""/>
    <s v=""/>
    <s v="ITAPEMA"/>
    <s v="SC"/>
    <s v="Base de empresas Leads2b"/>
    <s v=""/>
    <s v=""/>
    <s v=""/>
    <s v="Pipeline de Vendas"/>
    <s v="Apresentar Solução (35%)"/>
    <s v=""/>
    <d v="2026-07-31T00:00:00"/>
    <n v="58800"/>
    <n v="2525"/>
    <n v="17"/>
    <s v="Rayssa Karapeticov"/>
    <d v="2026-03-13T00:00:00"/>
    <d v="1899-12-30T14:52:20"/>
    <s v=""/>
    <s v="Perdido"/>
    <d v="2026-03-30T00:00:00"/>
    <d v="1899-12-30T16:07:14"/>
    <s v="Preço muito alto - fora do budget de investimento"/>
    <s v=""/>
    <s v=""/>
    <x v="199"/>
    <s v="Rayssa Karapeticov"/>
    <x v="220"/>
    <s v=""/>
    <d v="2026-03-30T00:00:00"/>
    <n v="30"/>
    <s v=""/>
    <s v="ERP"/>
    <s v=""/>
    <s v=""/>
    <n v="1"/>
  </r>
  <r>
    <x v="1"/>
    <n v="1020"/>
    <m/>
    <n v="3378"/>
    <s v="(17/03/2026) em contato com Junior ! A Otmiza busca um software para gerenciamento de obras com controle de contratos e ordens de serviço"/>
    <s v=""/>
    <x v="517"/>
    <m/>
    <s v=""/>
    <s v="Otimiza"/>
    <s v="6399999235"/>
    <s v=""/>
    <s v="pelissari.otimiza@gmail.com"/>
    <s v=""/>
    <s v=""/>
    <s v=""/>
    <s v=""/>
    <s v=""/>
    <s v="Campanha"/>
    <s v=""/>
    <s v=""/>
    <s v="Fora Perfil;Instagram"/>
    <s v="Pipeline de Vendas"/>
    <s v="Qualificação de Vendas (SQL) (25%)"/>
    <s v=""/>
    <d v="2026-03-31T00:00:00"/>
    <m/>
    <m/>
    <n v="1"/>
    <s v="Paulo Souza"/>
    <d v="2026-03-16T00:00:00"/>
    <d v="1899-12-30T13:47:29"/>
    <s v=""/>
    <s v="Perdido"/>
    <d v="2026-03-17T00:00:00"/>
    <d v="1899-12-30T09:38:46"/>
    <s v="Fora do porte mínimo (sem fit estrutural)"/>
    <s v="(17/03/2026) em contato com Junior ! A Otmiza busca um software para gerenciamento de obras com controle de contratos e ordens de serviço"/>
    <s v=""/>
    <x v="0"/>
    <s v="Junior Lopes"/>
    <x v="0"/>
    <s v=""/>
    <d v="2026-03-17T00:00:00"/>
    <n v="30"/>
    <s v=""/>
    <s v=""/>
    <s v=""/>
    <s v=""/>
    <n v="1"/>
  </r>
  <r>
    <x v="2"/>
    <n v="1021"/>
    <m/>
    <n v="3384"/>
    <s v="19.03 Pediu uma estimativa de valor, e achou o investimento muito alto para o faturamento anual da empresa"/>
    <s v=""/>
    <x v="518"/>
    <m/>
    <s v=""/>
    <s v="Javeh"/>
    <s v="11947270946"/>
    <s v=""/>
    <s v="atadeu7@gmail.com"/>
    <s v=""/>
    <s v=""/>
    <s v=""/>
    <s v=""/>
    <s v=""/>
    <s v="Campanha"/>
    <s v=""/>
    <s v=""/>
    <s v="Fora Perfil;Instagram"/>
    <s v="Pipeline de Vendas"/>
    <s v="Qualificação de Vendas (SQL) (25%)"/>
    <s v=""/>
    <d v="2026-03-31T00:00:00"/>
    <m/>
    <m/>
    <n v="3"/>
    <s v="Paulo Souza"/>
    <d v="2026-03-16T00:00:00"/>
    <d v="1899-12-30T13:48:48"/>
    <s v=""/>
    <s v="Perdido"/>
    <d v="2026-03-19T00:00:00"/>
    <d v="1899-12-30T11:31:26"/>
    <s v="Preço muito alto - fora do budget de investimento"/>
    <s v=""/>
    <s v=""/>
    <x v="0"/>
    <s v="Rayssa Karapeticov"/>
    <x v="0"/>
    <s v=""/>
    <d v="2026-03-17T00:00:00"/>
    <n v="30"/>
    <s v=""/>
    <s v=""/>
    <s v=""/>
    <s v=""/>
    <n v="1"/>
  </r>
  <r>
    <x v="1"/>
    <n v="1022"/>
    <m/>
    <n v="3385"/>
    <s v="(17/03/2026) em contato com Diego ! a Biricutico é um deposito de bebidas com venda balcão para pessoa física"/>
    <s v=""/>
    <x v="519"/>
    <m/>
    <s v=""/>
    <s v="Biricutico"/>
    <s v="21964945088"/>
    <s v=""/>
    <s v="diegosart@gmail.com"/>
    <s v=""/>
    <s v=""/>
    <s v=""/>
    <s v=""/>
    <s v=""/>
    <s v="Campanha"/>
    <s v=""/>
    <s v=""/>
    <s v="Fora Perfil;Instagram"/>
    <s v="Pipeline de Vendas"/>
    <s v="Qualificação de Vendas (SQL) (25%)"/>
    <s v=""/>
    <d v="2026-03-31T00:00:00"/>
    <m/>
    <m/>
    <n v="1"/>
    <s v="Paulo Souza"/>
    <d v="2026-03-16T00:00:00"/>
    <d v="1899-12-30T13:49:55"/>
    <s v=""/>
    <s v="Perdido"/>
    <d v="2026-03-17T00:00:00"/>
    <d v="1899-12-30T09:41:15"/>
    <s v="Fora do porte mínimo (sem fit estrutural)"/>
    <s v="(17/03/2026) em contato com Diego ! a Biricutico é um deposito de bebidas com venda balcão para pessoa física"/>
    <s v=""/>
    <x v="0"/>
    <s v="Junior Lopes"/>
    <x v="0"/>
    <s v=""/>
    <d v="2026-03-17T00:00:00"/>
    <n v="30"/>
    <s v=""/>
    <s v=""/>
    <s v=""/>
    <s v=""/>
    <n v="1"/>
  </r>
  <r>
    <x v="2"/>
    <n v="1023"/>
    <m/>
    <n v="3386"/>
    <s v="Falei com o Marcelo são uma distribuidora de descartaveis e estão buscando um software. _x000a_30.03 - esta viajando, pediu retorno na proxima semana_x000a_Passei informações sobre a Guarani, e enviei nossa apresentação, hoje vão ter uma reunião interna para saber quais sistemas que vão 18/03 agendar uma apresentação _x000a_30.03 - Falou que esta em viagem, pediu para retornar_x000a_07.03 - não estou tendo nenhum retorno"/>
    <s v=""/>
    <x v="520"/>
    <n v="57769346000176"/>
    <s v=""/>
    <s v="Plus atacadista"/>
    <s v="(62) 8318-2116/ (0000) 0000-0000"/>
    <s v=""/>
    <s v="diretor@staratacadista.com.br"/>
    <s v=""/>
    <s v=""/>
    <s v=""/>
    <s v="GOIANIA"/>
    <s v="GO"/>
    <s v="Campanha"/>
    <s v=""/>
    <s v=""/>
    <s v="Dentro Perfil;Instagram"/>
    <s v="Pipeline de Vendas"/>
    <s v="Apresentar Solução (35%)"/>
    <s v=""/>
    <d v="2026-07-31T00:00:00"/>
    <m/>
    <m/>
    <n v="22"/>
    <s v="Paulo Souza"/>
    <d v="2026-03-16T00:00:00"/>
    <d v="1899-12-30T13:51:06"/>
    <s v=""/>
    <s v="Perdido"/>
    <d v="2026-04-07T00:00:00"/>
    <d v="1899-12-30T10:45:40"/>
    <s v="Fora do porte mínimo (sem fit estrutural)"/>
    <s v=""/>
    <s v=""/>
    <x v="187"/>
    <s v="Rayssa Karapeticov"/>
    <x v="215"/>
    <s v=""/>
    <d v="2026-04-07T00:00:00"/>
    <n v="30"/>
    <s v=""/>
    <s v=""/>
    <s v=""/>
    <s v=""/>
    <n v="1"/>
  </r>
  <r>
    <x v="0"/>
    <n v="1024"/>
    <m/>
    <n v="3388"/>
    <s v="18/03 Liguei para o Tiago não atendeu. Deixei recado no whatsapp !_x000a_18/03 Tiago retorno por audio e falou que essa semana está ocupado e não consegue falar. Vai me retornar ate o fim da semana._x000a_20/03 Após conversa com o Tiago ele avisou que essa semana esta inviável para falar que conversamos semana que vem."/>
    <s v=""/>
    <x v="521"/>
    <m/>
    <s v=""/>
    <s v="Tiago"/>
    <s v="62991537827"/>
    <s v=""/>
    <s v="mastervedacoesind@gmail.com"/>
    <s v=""/>
    <s v=""/>
    <s v=""/>
    <s v=""/>
    <s v=""/>
    <s v="Campanha"/>
    <s v=""/>
    <s v=""/>
    <s v="Dentro Perfil;Instagram"/>
    <s v="Pipeline de Vendas"/>
    <s v="Qualificação de Vendas (SQL) (25%)"/>
    <s v=""/>
    <d v="2026-03-31T00:00:00"/>
    <m/>
    <m/>
    <n v="54"/>
    <s v="Paulo Souza"/>
    <d v="2026-03-16T00:00:00"/>
    <d v="1899-12-30T13:52:07"/>
    <s v=""/>
    <s v="Perdido"/>
    <d v="2026-05-09T00:00:00"/>
    <d v="1899-12-30T07:58:33"/>
    <s v="Sem qualificação — contato não atende ligações nem responde msg"/>
    <s v=""/>
    <s v=""/>
    <x v="0"/>
    <s v="Paulo Souza"/>
    <x v="0"/>
    <s v=""/>
    <d v="2026-03-20T00:00:00"/>
    <n v="30"/>
    <s v=""/>
    <s v=""/>
    <s v=""/>
    <s v=""/>
    <n v="1"/>
  </r>
  <r>
    <x v="0"/>
    <n v="1025"/>
    <m/>
    <n v="3389"/>
    <s v="18/03 Liguei para o Dimitrius e ele estava viajando hoje, vai me retornar ainda esta semana._x000a_18/03 Dimitrius retornou o áudio, avisou que vai me retornar assim que terminar a viagem que faz hoje._x000a_20/03 Fiz uma conversa com Demétrius para entender o cenário dele e alinhamos que ele vai preencher o formulário e depois disso fazer uma apresentação."/>
    <s v=""/>
    <x v="522"/>
    <m/>
    <s v=""/>
    <s v="Dimitrius"/>
    <s v="73988565500"/>
    <s v=""/>
    <s v="dimigrintzos@gmail.com"/>
    <s v=""/>
    <s v=""/>
    <s v=""/>
    <s v=""/>
    <s v=""/>
    <s v="Campanha"/>
    <s v=""/>
    <s v=""/>
    <s v="Dentro Perfil;Instagram"/>
    <s v="Pipeline de Vendas"/>
    <s v="Apresentar Solução (35%)"/>
    <s v=""/>
    <d v="2026-03-31T00:00:00"/>
    <m/>
    <m/>
    <n v="25"/>
    <s v="Paulo Souza"/>
    <d v="2026-03-16T00:00:00"/>
    <d v="1899-12-30T13:53:00"/>
    <s v=""/>
    <s v="Perdido"/>
    <d v="2026-04-10T00:00:00"/>
    <d v="1899-12-30T14:40:40"/>
    <s v="Projeto adiado / sem prazo definido"/>
    <s v=""/>
    <s v=""/>
    <x v="0"/>
    <s v="Paulo Souza"/>
    <x v="0"/>
    <s v=""/>
    <d v="2026-03-20T00:00:00"/>
    <n v="30"/>
    <s v=""/>
    <s v="ERP, AFV"/>
    <s v=""/>
    <s v=""/>
    <n v="1"/>
  </r>
  <r>
    <x v="1"/>
    <n v="1026"/>
    <m/>
    <n v="3390"/>
    <s v="14:10, 16/03/2026 Junior Lopes: Olá Rogerio, boa tarde ! _x000a_(27/03/2026) após varias tentativas sem retorno do Rogério , declinando oportunidade_x000a_Sou Junior Lopes da Guarani sistemas_x000a_14:11, 16/03/2026 Junior Lopes: estou retornando um contato que vc fez conosco_x000a_12:18, 19/03/2026 Junior Lopes: OLá Rogério ! tudo Bem ?_x000a_12:19, 19/03/2026 Junior Lopes: tem interesse em dar continuidade ?_x000a_(06/04/2026) varias tentativas de contato sem retorno"/>
    <s v=""/>
    <x v="523"/>
    <n v="35511300000110"/>
    <s v=""/>
    <s v="Vivazhigienização"/>
    <s v="82993812526"/>
    <s v=""/>
    <s v="progeriogomesxavier@gmail.comp"/>
    <s v=""/>
    <s v=""/>
    <s v=""/>
    <s v=""/>
    <s v=""/>
    <s v="Campanha"/>
    <s v=""/>
    <s v=""/>
    <s v="Dentro Perfil;Instagram"/>
    <s v="Pipeline de Vendas"/>
    <s v="Qualificação de Vendas (SQL) (25%)"/>
    <s v=""/>
    <d v="2026-03-31T00:00:00"/>
    <m/>
    <m/>
    <n v="54"/>
    <s v="Paulo Souza"/>
    <d v="2026-03-16T00:00:00"/>
    <d v="1899-12-30T13:53:57"/>
    <s v=""/>
    <s v="Perdido"/>
    <d v="2026-05-09T00:00:00"/>
    <d v="1899-12-30T07:59:08"/>
    <s v="Sem qualificação — contato não atende ligações nem responde msg"/>
    <s v=""/>
    <s v=""/>
    <x v="0"/>
    <s v="Junior Lopes"/>
    <x v="0"/>
    <s v=""/>
    <d v="2026-04-06T00:00:00"/>
    <n v="30"/>
    <s v=""/>
    <s v=""/>
    <s v=""/>
    <s v=""/>
    <n v="1"/>
  </r>
  <r>
    <x v="2"/>
    <n v="1027"/>
    <m/>
    <n v="3391"/>
    <s v=""/>
    <s v=""/>
    <x v="524"/>
    <m/>
    <s v=""/>
    <s v="Master"/>
    <s v="31994220888"/>
    <s v=""/>
    <s v="anibalsmoura@gmail.com"/>
    <s v=""/>
    <s v=""/>
    <s v=""/>
    <s v=""/>
    <s v=""/>
    <s v="Campanha"/>
    <s v=""/>
    <s v=""/>
    <s v="Dentro Perfil;Instagram"/>
    <s v="Pipeline de Vendas"/>
    <s v="Agendamento (0%)"/>
    <s v=""/>
    <d v="2026-07-31T00:00:00"/>
    <m/>
    <m/>
    <n v="54"/>
    <s v="Paulo Souza"/>
    <d v="2026-03-16T00:00:00"/>
    <d v="1899-12-30T13:54:58"/>
    <s v=""/>
    <s v="Perdido"/>
    <d v="2026-05-09T00:00:00"/>
    <d v="1899-12-30T21:12:46"/>
    <s v="Sem qualificação — contato não atende ligações nem responde msg"/>
    <s v=""/>
    <s v=""/>
    <x v="0"/>
    <s v="Rayssa Karapeticov"/>
    <x v="0"/>
    <s v=""/>
    <d v="2026-03-17T00:00:00"/>
    <n v="30"/>
    <s v=""/>
    <s v=""/>
    <s v=""/>
    <s v=""/>
    <n v="1"/>
  </r>
  <r>
    <x v="2"/>
    <n v="1029"/>
    <m/>
    <n v="3395"/>
    <s v="30.03 Tinhamos agendado uma apresentação na sexta-feira (27/03) porém o Vagner consultor da Guarani Cancelou e não avisaram o setor comercial. _x000a_Ao passar a informação de ultima hora de cancelamento para o cliente, não consegui reverte o atendimento _x000a_Cliente encerrou o contato com a Guarani Sistemas"/>
    <s v=""/>
    <x v="525"/>
    <n v="6864286000130"/>
    <s v=""/>
    <s v="Bruno"/>
    <s v="(48) 99677-1211"/>
    <s v=""/>
    <s v="bruno@alquimya.com.br"/>
    <s v=""/>
    <s v=""/>
    <s v=""/>
    <s v="Florianópolis"/>
    <s v=""/>
    <s v="Site"/>
    <s v=""/>
    <s v=""/>
    <s v=""/>
    <s v="Pipeline de Vendas"/>
    <s v="Apresentar Solução (35%)"/>
    <s v=""/>
    <d v="2026-05-31T00:00:00"/>
    <m/>
    <m/>
    <n v="13"/>
    <s v="Paulo Souza"/>
    <d v="2026-03-17T00:00:00"/>
    <d v="1899-12-30T15:45:42"/>
    <s v=""/>
    <s v="Perdido"/>
    <d v="2026-03-30T00:00:00"/>
    <d v="1899-12-30T15:55:01"/>
    <s v="Fechou com o concorrente - preço"/>
    <s v=""/>
    <s v=""/>
    <x v="0"/>
    <s v="Rayssa Karapeticov"/>
    <x v="0"/>
    <s v=""/>
    <d v="2026-03-30T00:00:00"/>
    <n v="30"/>
    <s v=""/>
    <s v="ERP, AFV, PCP"/>
    <s v=""/>
    <s v=""/>
    <n v="1"/>
  </r>
  <r>
    <x v="1"/>
    <n v="1030"/>
    <m/>
    <n v="3396"/>
    <s v="(23/06/2026) em contato com Leandro , atualmente o perfil é uma padaria e uma fabrica de pequeno porte de pão de alho ! enviei uma estimativa de valores mas achou que para o momento esta muito acima"/>
    <s v=""/>
    <x v="526"/>
    <m/>
    <s v=""/>
    <s v="Pão de alho"/>
    <s v="62985336869"/>
    <s v=""/>
    <s v="therabyte_go@hotmail.com"/>
    <s v=""/>
    <s v=""/>
    <s v=""/>
    <s v=""/>
    <s v=""/>
    <s v="Campanha"/>
    <s v=""/>
    <s v=""/>
    <s v="Fora Perfil;Instagram"/>
    <s v="Pipeline de Vendas"/>
    <s v="Qualificação de Vendas (SQL) (25%)"/>
    <s v=""/>
    <d v="2026-03-31T00:00:00"/>
    <m/>
    <m/>
    <n v="22"/>
    <s v="Paulo Souza"/>
    <d v="2026-03-17T00:00:00"/>
    <d v="1899-12-30T15:47:06"/>
    <s v=""/>
    <s v="Perdido"/>
    <d v="2026-04-08T00:00:00"/>
    <d v="1899-12-30T17:21:21"/>
    <s v="Fora do porte mínimo (sem fit estrutural)"/>
    <s v="(23/06/2026) em contato com Leandro , atualmente o perfil é uma padaria e uma fabrica de pequeno porte de pão de alho ! enviei uma estimativa de valores mas achou que para o momento esta muito acima"/>
    <s v=""/>
    <x v="0"/>
    <s v="Junior Lopes"/>
    <x v="0"/>
    <s v=""/>
    <d v="2026-03-23T00:00:00"/>
    <n v="30"/>
    <s v=""/>
    <s v=""/>
    <s v=""/>
    <s v=""/>
    <n v="1"/>
  </r>
  <r>
    <x v="0"/>
    <n v="1031"/>
    <m/>
    <n v="3397"/>
    <s v="18/03 Liguei para o Celso e ele não atendeu deixei recado no zap."/>
    <s v=""/>
    <x v="527"/>
    <n v="27742655000191"/>
    <s v=""/>
    <s v="Celso"/>
    <s v="21970038782"/>
    <s v=""/>
    <s v="gerencia@inovapet.com.br"/>
    <s v=""/>
    <s v=""/>
    <s v=""/>
    <s v=""/>
    <s v=""/>
    <s v="Campanha"/>
    <s v=""/>
    <s v=""/>
    <s v="Dentro Perfil;Instagram"/>
    <s v="Pipeline de Vendas"/>
    <s v="Qualificação de Vendas (SQL) (25%)"/>
    <s v=""/>
    <d v="2026-03-31T00:00:00"/>
    <m/>
    <m/>
    <n v="3"/>
    <s v="Paulo Souza"/>
    <d v="2026-03-17T00:00:00"/>
    <d v="1899-12-30T15:49:33"/>
    <s v=""/>
    <s v="Perdido"/>
    <d v="2026-03-20T00:00:00"/>
    <d v="1899-12-30T15:43:59"/>
    <s v="Fora do porte mínimo (sem fit estrutural)"/>
    <s v=""/>
    <s v=""/>
    <x v="0"/>
    <s v="Paulo Souza"/>
    <x v="0"/>
    <s v=""/>
    <m/>
    <n v="30"/>
    <s v=""/>
    <s v=""/>
    <s v=""/>
    <s v=""/>
    <n v="1"/>
  </r>
  <r>
    <x v="2"/>
    <n v="1032"/>
    <m/>
    <n v="3402"/>
    <s v="Cliente entrou em contato pelo suporte pedindo contato comercial apra falar sobre software, tentie ligar e mandie msg mas ainda não me retornou _x000a_31.03 - não atendeu,"/>
    <s v=""/>
    <x v="528"/>
    <n v="27742655000191"/>
    <s v=""/>
    <s v="Celso"/>
    <s v="(21) 3451-9599"/>
    <s v=""/>
    <s v="inovapet.adm@gmail.com"/>
    <s v=""/>
    <s v=""/>
    <s v=""/>
    <s v="DUQUE DE CAXIAS"/>
    <s v="RJ"/>
    <s v=""/>
    <s v=""/>
    <s v=""/>
    <s v=""/>
    <s v="Pipeline de Vendas"/>
    <s v="Agendamento (0%)"/>
    <s v=""/>
    <d v="2026-07-31T00:00:00"/>
    <m/>
    <m/>
    <n v="35"/>
    <s v="Rayssa Karapeticov"/>
    <d v="2026-03-18T00:00:00"/>
    <d v="1899-12-30T11:38:25"/>
    <s v=""/>
    <s v="Perdido"/>
    <d v="2026-04-22T00:00:00"/>
    <d v="1899-12-30T17:16:19"/>
    <s v="Não era o decisor - sem acesso"/>
    <s v=""/>
    <s v=""/>
    <x v="0"/>
    <s v="Rayssa Karapeticov"/>
    <x v="0"/>
    <s v=""/>
    <d v="2026-04-22T00:00:00"/>
    <n v="30"/>
    <s v=""/>
    <s v=""/>
    <s v=""/>
    <s v=""/>
    <n v="1"/>
  </r>
  <r>
    <x v="2"/>
    <n v="1033"/>
    <m/>
    <n v="3401"/>
    <s v="19.03 - CLiente estava em reunião, retornar o contato_x000a_20.03 cliente respondeu o formulário tentando agendar uma apresentação do ERp para o dia 31/03_x000a_30/03 - Fiz vários contato com o cliente para agendar uma apresentação e não tive retorno"/>
    <s v=""/>
    <x v="529"/>
    <n v="27251864000132"/>
    <s v=""/>
    <s v="Vinicius Primo"/>
    <s v="(19) 99959-1568"/>
    <s v=""/>
    <s v="engenharia@a2industrial.com.br"/>
    <s v=""/>
    <s v=""/>
    <s v=""/>
    <s v="Rio de Janeiro"/>
    <s v=""/>
    <s v="Site"/>
    <s v=""/>
    <s v=""/>
    <s v="Solicita demo"/>
    <s v="Pipeline de Vendas"/>
    <s v="Apresentar Solução (35%)"/>
    <s v=""/>
    <d v="2026-06-30T00:00:00"/>
    <m/>
    <m/>
    <n v="12"/>
    <s v="Paulo Souza"/>
    <d v="2026-03-18T00:00:00"/>
    <d v="1899-12-30T15:25:11"/>
    <s v=""/>
    <s v="Perdido"/>
    <d v="2026-03-30T00:00:00"/>
    <d v="1899-12-30T15:53:15"/>
    <s v="Projeto adiado / sem prazo definido"/>
    <s v=""/>
    <s v=""/>
    <x v="0"/>
    <s v="Rayssa Karapeticov"/>
    <x v="0"/>
    <s v=""/>
    <d v="2026-03-30T00:00:00"/>
    <n v="30"/>
    <s v=""/>
    <s v="ERP"/>
    <s v=""/>
    <s v=""/>
    <n v="1"/>
  </r>
  <r>
    <x v="1"/>
    <n v="1034"/>
    <m/>
    <n v="3400"/>
    <s v="(27/03/2026) Flavio não responde aos contatos"/>
    <s v=""/>
    <x v="530"/>
    <m/>
    <s v=""/>
    <s v="FM Negocios"/>
    <s v="11987194488"/>
    <s v=""/>
    <s v="fmsallas@gmail.com"/>
    <s v=""/>
    <s v=""/>
    <s v=""/>
    <s v=""/>
    <s v=""/>
    <s v="Campanha"/>
    <s v=""/>
    <s v=""/>
    <s v="Fora Perfil;Instagram"/>
    <s v="Pipeline de Vendas"/>
    <s v="Qualificação de Vendas (SQL) (25%)"/>
    <s v=""/>
    <d v="2026-03-31T00:00:00"/>
    <m/>
    <m/>
    <n v="21"/>
    <s v="Paulo Souza"/>
    <d v="2026-03-18T00:00:00"/>
    <d v="1899-12-30T15:26:48"/>
    <s v=""/>
    <s v="Perdido"/>
    <d v="2026-04-08T00:00:00"/>
    <d v="1899-12-30T17:22:35"/>
    <s v="Fora do porte mínimo (sem fit estrutural)"/>
    <s v="Flavio não responde aos contatos"/>
    <s v=""/>
    <x v="0"/>
    <s v="Junior Lopes"/>
    <x v="0"/>
    <s v=""/>
    <d v="2026-03-27T00:00:00"/>
    <n v="30"/>
    <s v=""/>
    <s v=""/>
    <s v=""/>
    <s v=""/>
    <n v="1"/>
  </r>
  <r>
    <x v="0"/>
    <n v="1035"/>
    <m/>
    <n v="3399"/>
    <s v="18/03 Fiz contato com o Itamar, sem retorno ate o momento._x000a_20/03 Falei com o Itamar esta na unimed ficamos de falar na próxima semana."/>
    <s v=""/>
    <x v="531"/>
    <m/>
    <s v=""/>
    <s v="Concreps"/>
    <s v="62984060714"/>
    <s v=""/>
    <s v="itamarbuenoadv@gmail.com"/>
    <s v=""/>
    <s v=""/>
    <s v=""/>
    <s v=""/>
    <s v=""/>
    <s v="Campanha"/>
    <s v=""/>
    <s v=""/>
    <s v="Dentro Perfil;Instagram"/>
    <s v="Pipeline de Vendas"/>
    <s v="Qualificação de Vendas (SQL) (25%)"/>
    <s v=""/>
    <d v="2026-03-31T00:00:00"/>
    <m/>
    <m/>
    <n v="52"/>
    <s v="Paulo Souza"/>
    <d v="2026-03-18T00:00:00"/>
    <d v="1899-12-30T15:27:53"/>
    <s v=""/>
    <s v="Perdido"/>
    <d v="2026-05-09T00:00:00"/>
    <d v="1899-12-30T08:02:23"/>
    <s v="Sem qualificação — contato não atende ligações nem responde msg"/>
    <s v=""/>
    <s v=""/>
    <x v="0"/>
    <s v="Paulo Souza"/>
    <x v="0"/>
    <s v=""/>
    <d v="2026-03-20T00:00:00"/>
    <n v="30"/>
    <s v=""/>
    <s v=""/>
    <s v=""/>
    <s v=""/>
    <n v="1"/>
  </r>
  <r>
    <x v="2"/>
    <n v="1037"/>
    <m/>
    <n v="3404"/>
    <s v="19.03 - Tentei contato por telefone, ligação por whatsapp e mensagem. _x000a_20.03 Convite enviado para Quarta (25/03) as 15h_x000a_Segue o link também:_x000a_https://teams.microsoft.com/meet/25533981257135?p=HZgs0XbZOVQrxgr3rL_x000a_24/03Realizamos uma apresentação do ERP, mas como o cliente é logista pediu uma previsão de investimento e achou o valor acima"/>
    <s v=""/>
    <x v="532"/>
    <m/>
    <s v=""/>
    <s v="Auto peças taurus"/>
    <s v="61981840031"/>
    <s v=""/>
    <s v="gustavoandreh@yahoo.com.br"/>
    <s v=""/>
    <s v=""/>
    <s v=""/>
    <s v=""/>
    <s v=""/>
    <s v="Campanha"/>
    <s v=""/>
    <s v=""/>
    <s v="Dentro Perfil;Instagram"/>
    <s v="Pipeline de Vendas"/>
    <s v="Apresentar Solução (35%)"/>
    <s v=""/>
    <d v="2026-03-31T00:00:00"/>
    <m/>
    <m/>
    <n v="51"/>
    <s v="Paulo Souza"/>
    <d v="2026-03-19T00:00:00"/>
    <d v="1899-12-30T10:26:22"/>
    <s v=""/>
    <s v="Perdido"/>
    <d v="2026-05-09T00:00:00"/>
    <d v="1899-12-30T21:07:24"/>
    <s v="Preço muito alto - fora do budget de investimento"/>
    <s v=""/>
    <s v=""/>
    <x v="200"/>
    <s v="Rayssa Karapeticov"/>
    <x v="219"/>
    <s v=""/>
    <d v="2026-03-24T00:00:00"/>
    <n v="30"/>
    <s v=""/>
    <s v=""/>
    <s v=""/>
    <s v=""/>
    <n v="1"/>
  </r>
  <r>
    <x v="1"/>
    <n v="1038"/>
    <m/>
    <n v="3405"/>
    <s v="11:55, 19/03/2026 Junior Lopes: Faz sentido para vocês ?_x000a_11:56, 19/03/2026 +55 35 9839-4949: Acredito que nao_x000a_12:02, 19/03/2026 +55 35 9839-4949: Distribuidor_x000a_12:02, 19/03/2026 +55 35 9839-4949: Frutas e legumes_x000a_12:03, 19/03/2026 Junior Lopes: E vc tem vendedores externos ?_x000a_12:09, 19/03/2026 +55 35 9839-4949: Somente 1"/>
    <s v=""/>
    <x v="533"/>
    <m/>
    <s v=""/>
    <s v="Grupo Kimura"/>
    <s v="35998394949"/>
    <s v=""/>
    <s v="veniltonsouza@hotmail.com"/>
    <s v=""/>
    <s v=""/>
    <s v=""/>
    <s v=""/>
    <s v=""/>
    <s v="Campanha"/>
    <s v=""/>
    <s v=""/>
    <s v="Fora Perfil;Instagram"/>
    <s v="Pipeline de Vendas"/>
    <s v="Qualificação de Vendas (SQL) (25%)"/>
    <s v=""/>
    <m/>
    <m/>
    <m/>
    <n v="0"/>
    <s v="Paulo Souza"/>
    <d v="2026-03-19T00:00:00"/>
    <d v="1899-12-30T10:29:59"/>
    <s v=""/>
    <s v="Perdido"/>
    <d v="2026-03-19T00:00:00"/>
    <d v="1899-12-30T12:15:59"/>
    <s v="Fora do porte mínimo (sem fit estrutural)"/>
    <s v="Cliente de porte muito pequeno"/>
    <s v=""/>
    <x v="0"/>
    <s v="Junior Lopes"/>
    <x v="0"/>
    <s v=""/>
    <m/>
    <n v="30"/>
    <s v=""/>
    <s v=""/>
    <s v=""/>
    <s v=""/>
    <n v="1"/>
  </r>
  <r>
    <x v="2"/>
    <n v="1040"/>
    <m/>
    <n v="3408"/>
    <s v="20.03 - Oi Raysa, bem e você?_x000a_Estou em viagem e só volto no final da próxima semana. _x000a_Podemos deixar para o meu retorno?_x000a_23.03 esta em viagem e retorna no final da proxima semana, agendando contato_x000a_31.03 retomamos o contato hoje _x000a_06.04 Eduardo pediu para entrar em contato com o Rafael, preciso entender o negócio deles."/>
    <s v=""/>
    <x v="534"/>
    <n v="40707794000142"/>
    <s v=""/>
    <s v="Aquatrat"/>
    <s v="71999081968"/>
    <s v=""/>
    <s v="eduardo@aquatrat.com.br"/>
    <s v=""/>
    <s v=""/>
    <s v=""/>
    <s v=""/>
    <s v=""/>
    <s v="Campanha"/>
    <s v=""/>
    <s v=""/>
    <s v="Fora Perfil;Instagram"/>
    <s v="Pipeline de Vendas"/>
    <s v="Agendamento (0%)"/>
    <s v=""/>
    <d v="2026-04-30T00:00:00"/>
    <m/>
    <m/>
    <n v="33"/>
    <s v="Paulo Souza"/>
    <d v="2026-03-20T00:00:00"/>
    <d v="1899-12-30T09:22:44"/>
    <s v=""/>
    <s v="Perdido"/>
    <d v="2026-04-22T00:00:00"/>
    <d v="1899-12-30T17:13:52"/>
    <s v="Fora do porte mínimo (sem fit estrutural)"/>
    <s v=""/>
    <s v=""/>
    <x v="0"/>
    <s v="Rayssa Karapeticov"/>
    <x v="0"/>
    <s v=""/>
    <d v="2026-04-22T00:00:00"/>
    <n v="30"/>
    <s v=""/>
    <s v=""/>
    <s v=""/>
    <s v=""/>
    <n v="1"/>
  </r>
  <r>
    <x v="2"/>
    <n v="1041"/>
    <m/>
    <n v="3409"/>
    <s v="20.03 não atendeu_x000a_Boa tarde Jairo, tudo bem?_x000a_Meu nome é Rayssa, sou da Guarani Sistemas, estou retornando seu contato interessado em software para a empresa VENTMAR Ventilação_x000a_podemos falar?_x000a_23.03 achou o investimento alto, é uma loja de bairro"/>
    <s v=""/>
    <x v="535"/>
    <m/>
    <s v=""/>
    <s v="VENTMAR Ventilacao"/>
    <s v="67999748649"/>
    <s v=""/>
    <s v="jairodsm@gmail.com"/>
    <s v=""/>
    <s v=""/>
    <s v=""/>
    <s v=""/>
    <s v=""/>
    <s v="Campanha"/>
    <s v=""/>
    <s v=""/>
    <s v="Fora Perfil;Instagram"/>
    <s v="Pipeline de Vendas"/>
    <s v="Agendamento (0%)"/>
    <s v=""/>
    <m/>
    <m/>
    <m/>
    <n v="50"/>
    <s v="Paulo Souza"/>
    <d v="2026-03-20T00:00:00"/>
    <d v="1899-12-30T15:28:44"/>
    <s v=""/>
    <s v="Perdido"/>
    <d v="2026-05-09T00:00:00"/>
    <d v="1899-12-30T21:09:38"/>
    <s v="Fora do porte mínimo (sem fit estrutural)"/>
    <s v=""/>
    <s v=""/>
    <x v="0"/>
    <s v="Rayssa Karapeticov"/>
    <x v="0"/>
    <s v=""/>
    <d v="2026-03-23T00:00:00"/>
    <n v="30"/>
    <s v=""/>
    <s v=""/>
    <s v=""/>
    <s v=""/>
    <n v="1"/>
  </r>
  <r>
    <x v="1"/>
    <n v="1044"/>
    <m/>
    <n v="3414"/>
    <s v="(27/03/2026) Após varias tentativas de contato com Afabio sem retorno ! estou declinando oportunidade"/>
    <s v=""/>
    <x v="536"/>
    <m/>
    <s v=""/>
    <s v="Vilela &amp; Vilela Ltda"/>
    <s v="9991419327"/>
    <s v=""/>
    <s v="afabio2016@gmail.com"/>
    <s v=""/>
    <s v=""/>
    <s v=""/>
    <s v=""/>
    <s v="Para"/>
    <s v="Inbound"/>
    <s v=""/>
    <s v=""/>
    <s v="Fora Perfil;Instagram;Perfil Indefinido"/>
    <s v="Pipeline de Vendas"/>
    <s v="Qualificação de Vendas (SQL) (25%)"/>
    <s v=""/>
    <d v="2026-03-24T00:00:00"/>
    <m/>
    <m/>
    <n v="16"/>
    <s v="Paulo Souza"/>
    <d v="2026-03-23T00:00:00"/>
    <d v="1899-12-30T13:47:48"/>
    <s v=""/>
    <s v="Perdido"/>
    <d v="2026-04-08T00:00:00"/>
    <d v="1899-12-30T17:20:11"/>
    <s v="Fora do porte mínimo (sem fit estrutural)"/>
    <s v="Após varias tentativas de contato com Afabio sem retorno ! estou declinando oportunidade"/>
    <s v=""/>
    <x v="0"/>
    <s v="Junior Lopes"/>
    <x v="0"/>
    <s v=""/>
    <d v="2026-03-23T00:00:00"/>
    <n v="30"/>
    <s v=""/>
    <s v=""/>
    <s v=""/>
    <s v=""/>
    <n v="1"/>
  </r>
  <r>
    <x v="2"/>
    <n v="1045"/>
    <m/>
    <n v="3412"/>
    <s v="24.03 - não consegui contato_x000a_06.04 - telefone não atende_x000a_11:28, 31/03/2026 Rayssa Karapeticov - Comercial - Guarani Sistemas: Bom dia Lucas, como vai?_x000a_Meu nome é Rayssa, sou da Guarani Sistemas. _x000a_Estou tentando contato com você para entender como as soluções da Guarani Sistemas podem atender a MaisMendes Distribuidora Materiais para construção_x000a_11:56, 06/04/2026 Rayssa Karapeticov - Comercial - Guarani Sistemas: Boa tarde Lucas, tudo bem? _x000a_Meu nome é Rayssa, sou da Guarani Sistemas. _x000a_Ainda faz sentido a procura de uma solução para sua empresa?_x000a_07.4"/>
    <s v=""/>
    <x v="537"/>
    <m/>
    <s v=""/>
    <s v="MaisMendes Distribuidora Materiais para construção"/>
    <s v="62993734302"/>
    <s v=""/>
    <s v="lucasmatheusmendes@outlook.com"/>
    <s v=""/>
    <s v=""/>
    <s v=""/>
    <s v=""/>
    <s v=""/>
    <s v="Campanha"/>
    <s v=""/>
    <s v=""/>
    <s v="Fora Perfil;Instagram"/>
    <s v="Pipeline de Vendas"/>
    <s v="Agendamento (0%)"/>
    <s v=""/>
    <d v="2026-04-30T00:00:00"/>
    <m/>
    <m/>
    <n v="15"/>
    <s v="Paulo Souza"/>
    <d v="2026-03-23T00:00:00"/>
    <d v="1899-12-30T13:49:09"/>
    <s v=""/>
    <s v="Perdido"/>
    <d v="2026-04-07T00:00:00"/>
    <d v="1899-12-30T09:36:31"/>
    <s v="Fora do porte mínimo (sem fit estrutural)"/>
    <s v=""/>
    <s v=""/>
    <x v="0"/>
    <s v="Rayssa Karapeticov"/>
    <x v="0"/>
    <s v=""/>
    <d v="2026-04-07T00:00:00"/>
    <n v="30"/>
    <s v=""/>
    <s v=""/>
    <s v=""/>
    <s v=""/>
    <n v="1"/>
  </r>
  <r>
    <x v="1"/>
    <n v="1046"/>
    <m/>
    <n v="3411"/>
    <s v="(23/03/2026) contato com Rafael _x000a_(27/03/2026) Rafael não responde aos contato"/>
    <s v=""/>
    <x v="538"/>
    <n v="32354207000150"/>
    <s v=""/>
    <s v="DISTRIBOM"/>
    <s v="27999328628"/>
    <s v=""/>
    <s v="rafaeldebossan@gmail.com"/>
    <s v=""/>
    <s v=""/>
    <s v=""/>
    <s v="VILA VELHA"/>
    <s v="ES"/>
    <s v="Campanha"/>
    <s v=""/>
    <s v=""/>
    <s v="Dentro Perfil;Instagram"/>
    <s v="Pipeline de Vendas"/>
    <s v="Qualificação de Vendas (SQL) (25%)"/>
    <s v=""/>
    <d v="2026-03-31T00:00:00"/>
    <m/>
    <m/>
    <n v="47"/>
    <s v="Paulo Souza"/>
    <d v="2026-03-23T00:00:00"/>
    <d v="1899-12-30T13:50:19"/>
    <s v=""/>
    <s v="Perdido"/>
    <d v="2026-05-09T00:00:00"/>
    <d v="1899-12-30T08:02:53"/>
    <s v="Sem qualificação — contato não atende ligações nem responde msg"/>
    <s v=""/>
    <s v=""/>
    <x v="0"/>
    <s v="Junior Lopes"/>
    <x v="0"/>
    <s v=""/>
    <d v="2026-03-27T00:00:00"/>
    <n v="30"/>
    <s v=""/>
    <s v=""/>
    <s v=""/>
    <s v=""/>
    <n v="1"/>
  </r>
  <r>
    <x v="1"/>
    <n v="1047"/>
    <m/>
    <n v="3417"/>
    <s v=""/>
    <s v=""/>
    <x v="539"/>
    <m/>
    <s v=""/>
    <s v="Preciza Imports"/>
    <s v="11947600755"/>
    <s v=""/>
    <s v="financeiro@precizaimports.com.br"/>
    <s v=""/>
    <s v=""/>
    <s v=""/>
    <s v=""/>
    <s v=""/>
    <s v=""/>
    <s v=""/>
    <s v=""/>
    <s v=""/>
    <s v="Pipeline de Vendas"/>
    <s v="Em Fechamento (100%)"/>
    <s v=""/>
    <m/>
    <n v="1652929"/>
    <n v="0"/>
    <n v="0"/>
    <s v="Junior Lopes"/>
    <d v="2026-03-24T00:00:00"/>
    <d v="1899-12-30T16:07:13"/>
    <s v=""/>
    <s v="Ganho"/>
    <d v="2026-03-24T00:00:00"/>
    <d v="1899-12-30T16:09:06"/>
    <s v=""/>
    <s v=""/>
    <s v=""/>
    <x v="84"/>
    <s v=""/>
    <x v="0"/>
    <s v=""/>
    <m/>
    <n v="90"/>
    <s v=""/>
    <s v=""/>
    <s v=""/>
    <s v=""/>
    <n v="1"/>
  </r>
  <r>
    <x v="1"/>
    <n v="1049"/>
    <m/>
    <n v="3420"/>
    <s v="(31/03/2026) Reciclanorte  tem algumas particularidades que fogem do nosso ERP"/>
    <s v=""/>
    <x v="540"/>
    <n v="33582253000170"/>
    <s v=""/>
    <s v="Mateus Ramos"/>
    <s v="(38) 9968-0779"/>
    <s v=""/>
    <s v="reciclanorte2@gmail.com"/>
    <s v=""/>
    <s v=""/>
    <s v=""/>
    <s v="PONTO CHIQUE"/>
    <s v="MG"/>
    <s v="Site"/>
    <s v=""/>
    <s v=""/>
    <s v="Contato;Fora Perfil"/>
    <s v="Pipeline de Vendas"/>
    <s v="Qualificação de Vendas (SQL) (25%)"/>
    <s v=""/>
    <d v="2026-03-31T00:00:00"/>
    <m/>
    <m/>
    <n v="7"/>
    <s v="Paulo Souza"/>
    <d v="2026-03-25T00:00:00"/>
    <d v="1899-12-30T16:31:34"/>
    <s v=""/>
    <s v="Perdido"/>
    <d v="2026-04-01T00:00:00"/>
    <d v="1899-12-30T10:29:40"/>
    <s v="Fora do porte mínimo (sem fit estrutural)"/>
    <s v="(31/03/2026) Reciclanorte  tem algumas particularidades que fogem do nosso ERP"/>
    <s v=""/>
    <x v="0"/>
    <s v="Junior Lopes"/>
    <x v="0"/>
    <s v=""/>
    <d v="2026-03-31T00:00:00"/>
    <n v="30"/>
    <s v=""/>
    <s v=""/>
    <s v=""/>
    <s v=""/>
    <n v="1"/>
  </r>
  <r>
    <x v="1"/>
    <n v="1050"/>
    <m/>
    <n v="3427"/>
    <s v="10:07, 14/04/2026 Luccas Globalmix: Bom dia meu amigo, tudo bem? _x000a_Desculpe não te responder. Estou com alguns problemas de família e estive meio ausente. _x000a_Analisamos sua proposta e infelizmente ficou muito acima do que estávamos planejando nesse momento. _x000a_Desculpe a minha ignorância, mas não consegui compreender o motivo de um custo tão alto para a implementação de um ERP já existente. O custo que você me passou é basicamente o de desenvolver um novo sistema próprio. _x000a_Infelizmente nessas condições é inviável para nós nesse momento. _x000a_Agradeço pelo seu atendimento nas últimas semanas, foi extremamente atencioso. Espero que compreenda. _x000a_Obrigado_x000a_10:15, 14/04/2026 Junior Lopes: Bom dia, Luccas, tudo bem?_x000a_Primeiro, espero que as coisas com sua família se resolvam da melhor forma possível. Fica tranquilo quanto ao retorno, eu entendo perfeitamente._x000a_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_x000a_O que está incluso nesse investimento é justamente o que vai fazer o sistema “virar realidade” dentro da Globalmix:_x000a_– entendimento dos processos de vocês;_x000a_– parametrização do ERP para a realidade da empresa;_x000a_– construção/ajuste dos relatórios que vocês precisam;_x000a_– validação e homologação do funcionamento antes de ir para produção;_x000a_– integração com a Lisa Log;_x000a_– e, principalmente, treinamento da equipe e acompanhamento na virada, para que todo mundo use da forma correta e o projeto traga resultado._x000a_Sem essa etapa de consultoria, o risco é ter um sistema bom, mas mal configurado ou pouco usado, o que acaba gerando retrabalho e perda de confiança na ferramenta – e é justamente isso que queremos evitar._x000a_Dito isso, eu entendo totalmente a questão de orçamento. Se fizer sentido para você, eu posso:_x000a_1) rever o escopo para enxugar etapas e tentar adequar o investimento ao momento da Globalmix; ou_x000a_2) pensar em uma implantação por fases, começando pelo essencial (comercial + força de vendas + básico de estoque) e deixando integrações e aprofundamentos para uma segunda etapa._x000a_Você se sentiria confortável em me dizer qual faixa de investimento vocês tinham planejado, para eu ver o que é possível ajustar com transparência?"/>
    <s v=""/>
    <x v="541"/>
    <m/>
    <s v=""/>
    <s v="GlobalMix - Cloud"/>
    <s v="11988736515"/>
    <s v=""/>
    <s v="contabilgrupocrx@gmail.com"/>
    <s v=""/>
    <s v=""/>
    <s v=""/>
    <s v=""/>
    <s v=""/>
    <s v=""/>
    <s v=""/>
    <s v=""/>
    <s v=""/>
    <s v="Pipeline de Vendas"/>
    <s v="Apresentar Solução (35%)"/>
    <s v=""/>
    <m/>
    <n v="1600"/>
    <n v="252471"/>
    <n v="20"/>
    <s v="Junior Lopes"/>
    <d v="2026-03-26T00:00:00"/>
    <d v="1899-12-30T15:55:09"/>
    <s v=""/>
    <s v="Perdido"/>
    <d v="2026-04-15T00:00:00"/>
    <d v="1899-12-30T09:40:31"/>
    <s v="Não houve aprovação financeira"/>
    <s v="10:07, 14/04/2026 Luccas Globalmix: Bom dia meu amigo, tudo bem? _x000a_Desculpe não te responder. Estou com alguns problemas de família e estive meio ausente. _x000a_Analisamos sua proposta e infelizmente ficou muito acima do que estávamos planejando nesse momento. _x000a_Desculpe a minha ignorância, mas não consegui compreender o motivo de um custo tão alto para a implementação de um ERP já existente. O custo que você me passou é basicamente o de desenvolver um novo sistema próprio. _x000a_Infelizmente nessas condições é inviável para nós nesse momento. _x000a_Agradeço pelo seu atendimento nas últimas semanas, foi extremamente atencioso. Espero que compreenda. _x000a_Obrigado_x000a_10:15, 14/04/2026 Junior Lopes: Bom dia, Luccas, tudo bem?_x000a_Primeiro, espero que as coisas com sua família se resolvam da melhor forma possível. Fica tranquilo quanto ao retorno, eu entendo perfeitamente._x000a_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_x000a_O que está incluso nesse investimento é justamente o que vai fazer o sistema “virar realidade” dentro da Globalmix:_x000a_– entendimento dos processos de vocês;_x000a_– parametrização do ERP para a realidade da empresa;_x000a_– construção/ajuste dos relatórios que vocês precisam;_x000a_– validação e homologação do funcionamento antes de ir para produção;_x000a_– integração com a Lisa Log;_x000a_– e, principalmente, treinamento da equipe e acompanhamento na virada, para que todo mundo use da forma correta e o projeto traga resultado._x000a_Sem essa etapa de consultoria, o risco é ter um sistema bom, mas mal configurado ou pouco usado, o que acaba gerando retrabalho e perda de confiança na ferramenta – e é justamente isso que queremos evitar._x000a_Dito isso, eu entendo totalmente a questão de orçamento. Se fizer sentido para você, eu posso:_x000a_1) rever o escopo para enxugar etapas e tentar adequar o investimento ao momento da Globalmix; ou_x000a_2) pensar em uma implantação por fases, começando pelo essencial (comercial + força de vendas + básico de estoque) e deixando integrações e aprofundamentos para uma segunda etapa._x000a_Você se sentiria confortável em me dizer qual faixa de investimento vocês tinham planejado, para eu ver o que é possível ajustar com transparência?"/>
    <s v=""/>
    <x v="194"/>
    <s v=""/>
    <x v="211"/>
    <s v=""/>
    <d v="2026-04-15T00:00:00"/>
    <n v="50"/>
    <s v=""/>
    <s v=""/>
    <s v=""/>
    <s v=""/>
    <n v="1"/>
  </r>
  <r>
    <x v="1"/>
    <n v="1051"/>
    <m/>
    <n v="3428"/>
    <s v="10:07, 14/04/2026 Luccas Globalmix: Bom dia meu amigo, tudo bem? _x000a_Desculpe não te responder. Estou com alguns problemas de família e estive meio ausente. _x000a_Analisamos sua proposta e infelizmente ficou muito acima do que estávamos planejando nesse momento. _x000a_Desculpe a minha ignorância, mas não consegui compreender o motivo de um custo tão alto para a implementação de um ERP já existente. O custo que você me passou é basicamente o de desenvolver um novo sistema próprio. _x000a_Infelizmente nessas condições é inviável para nós nesse momento. _x000a_Agradeço pelo seu atendimento nas últimas semanas, foi extremamente atencioso. Espero que compreenda. _x000a_Obrigado_x000a_10:15, 14/04/2026 Junior Lopes: Bom dia, Luccas, tudo bem?_x000a_Primeiro, espero que as coisas com sua família se resolvam da melhor forma possível. Fica tranquilo quanto ao retorno, eu entendo perfeitamente._x000a_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_x000a_O que está incluso nesse investimento é justamente o que vai fazer o sistema “virar realidade” dentro da Globalmix:_x000a_– entendimento dos processos de vocês;_x000a_– parametrização do ERP para a realidade da empresa;_x000a_– construção/ajuste dos relatórios que vocês precisam;_x000a_– validação e homologação do funcionamento antes de ir para produção;_x000a_– integração com a Lisa Log;_x000a_– e, principalmente, treinamento da equipe e acompanhamento na virada, para que todo mundo use da forma correta e o projeto traga resultado._x000a_Sem essa etapa de consultoria, o risco é ter um sistema bom, mas mal configurado ou pouco usado, o que acaba gerando retrabalho e perda de confiança na ferramenta – e é justamente isso que queremos evitar._x000a_Dito isso, eu entendo totalmente a questão de orçamento. Se fizer sentido para você, eu posso:_x000a_1) rever o escopo para enxugar etapas e tentar adequar o investimento ao momento da Globalmix; ou_x000a_2) pensar em uma implantação por fases, começando pelo essencial (comercial + força de vendas + básico de estoque) e deixando integrações e aprofundamentos para uma segunda etapa._x000a_Você se sentiria confortável em me dizer qual faixa de investimento vocês tinham planejado, para eu ver o que é possível ajustar com transparência?"/>
    <s v=""/>
    <x v="542"/>
    <m/>
    <s v=""/>
    <s v="GlobalMix - B2B"/>
    <s v="11988736515"/>
    <s v=""/>
    <s v="contabilgrupocrx@gmail.com"/>
    <s v=""/>
    <s v=""/>
    <s v=""/>
    <s v=""/>
    <s v=""/>
    <s v=""/>
    <s v=""/>
    <s v=""/>
    <s v=""/>
    <s v="Pipeline de Vendas"/>
    <s v="Apresentar Solução (35%)"/>
    <s v=""/>
    <m/>
    <n v="13100"/>
    <n v="1800"/>
    <n v="20"/>
    <s v="Junior Lopes"/>
    <d v="2026-03-26T00:00:00"/>
    <d v="1899-12-30T15:59:11"/>
    <s v=""/>
    <s v="Perdido"/>
    <d v="2026-04-15T00:00:00"/>
    <d v="1899-12-30T09:36:41"/>
    <s v="Não houve aprovação financeira"/>
    <s v="10:07, 14/04/2026 Luccas Globalmix: Bom dia meu amigo, tudo bem? _x000a_Desculpe não te responder. Estou com alguns problemas de família e estive meio ausente. _x000a_Analisamos sua proposta e infelizmente ficou muito acima do que estávamos planejando nesse momento. _x000a_Desculpe a minha ignorância, mas não consegui compreender o motivo de um custo tão alto para a implementação de um ERP já existente. O custo que você me passou é basicamente o de desenvolver um novo sistema próprio. _x000a_Infelizmente nessas condições é inviável para nós nesse momento. _x000a_Agradeço pelo seu atendimento nas últimas semanas, foi extremamente atencioso. Espero que compreenda. _x000a_Obrigado_x000a_10:15, 14/04/2026 Junior Lopes: Bom dia, Luccas, tudo bem?_x000a_Primeiro, espero que as coisas com sua família se resolvam da melhor forma possível. Fica tranquilo quanto ao retorno, eu entendo perfeitamente._x000a_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_x000a_O que está incluso nesse investimento é justamente o que vai fazer o sistema “virar realidade” dentro da Globalmix:_x000a_– entendimento dos processos de vocês;_x000a_– parametrização do ERP para a realidade da empresa;_x000a_– construção/ajuste dos relatórios que vocês precisam;_x000a_– validação e homologação do funcionamento antes de ir para produção;_x000a_– integração com a Lisa Log;_x000a_– e, principalmente, treinamento da equipe e acompanhamento na virada, para que todo mundo use da forma correta e o projeto traga resultado._x000a_Sem essa etapa de consultoria, o risco é ter um sistema bom, mas mal configurado ou pouco usado, o que acaba gerando retrabalho e perda de confiança na ferramenta – e é justamente isso que queremos evitar._x000a_Dito isso, eu entendo totalmente a questão de orçamento. Se fizer sentido para você, eu posso:_x000a_1) rever o escopo para enxugar etapas e tentar adequar o investimento ao momento da Globalmix; ou_x000a_2) pensar em uma implantação por fases, começando pelo essencial (comercial + força de vendas + básico de estoque) e deixando integrações e aprofundamentos para uma segunda etapa._x000a_Você se sentiria confortável em me dizer qual faixa de investimento vocês tinham planejado, para eu ver o que é possível ajustar com transparência?"/>
    <s v=""/>
    <x v="194"/>
    <s v=""/>
    <x v="221"/>
    <s v=""/>
    <d v="2026-04-15T00:00:00"/>
    <n v="50"/>
    <s v=""/>
    <s v=""/>
    <s v=""/>
    <s v=""/>
    <n v="1"/>
  </r>
  <r>
    <x v="2"/>
    <n v="1052"/>
    <m/>
    <n v="3423"/>
    <s v="31.03 caixa postal: Bom dia Murilo, como vai?_x000a_Meu nome é Rayssa, sou da Guarani Sistemas. _x000a_Estou tentando contato com você para entender como as soluções da Guarani Sistemas podem atender a JUNDCOAT_x000a_07.04 caixa postal"/>
    <s v=""/>
    <x v="543"/>
    <n v="48440778000148"/>
    <s v=""/>
    <s v="JUNDCOAT"/>
    <s v="11912958843"/>
    <s v=""/>
    <s v="murilo@jundcoat.com.br"/>
    <s v=""/>
    <s v=""/>
    <s v=""/>
    <s v=""/>
    <s v="Itupeva"/>
    <s v="Inbound"/>
    <s v=""/>
    <s v=""/>
    <s v="Dentro Perfil;Instagram"/>
    <s v="Pipeline de Vendas"/>
    <s v="Agendamento (0%)"/>
    <s v=""/>
    <d v="2026-03-31T00:00:00"/>
    <m/>
    <m/>
    <n v="44"/>
    <s v="Paulo Souza"/>
    <d v="2026-03-26T00:00:00"/>
    <d v="1899-12-30T16:53:38"/>
    <s v=""/>
    <s v="Perdido"/>
    <d v="2026-05-09T00:00:00"/>
    <d v="1899-12-30T08:37:27"/>
    <s v="Sem qualificação — contato não atende ligações nem responde msg"/>
    <s v=""/>
    <s v=""/>
    <x v="0"/>
    <s v="Rayssa Karapeticov"/>
    <x v="0"/>
    <s v=""/>
    <d v="2026-04-07T00:00:00"/>
    <n v="30"/>
    <s v=""/>
    <s v=""/>
    <s v=""/>
    <s v=""/>
    <n v="1"/>
  </r>
  <r>
    <x v="1"/>
    <n v="1053"/>
    <m/>
    <n v="3424"/>
    <s v="(26/03/2026) em contato com Joel"/>
    <s v=""/>
    <x v="544"/>
    <n v="4486490000139"/>
    <s v=""/>
    <s v="indukraft"/>
    <s v="47988227474"/>
    <s v=""/>
    <s v="joel@indukraft.com.br"/>
    <s v=""/>
    <s v=""/>
    <s v=""/>
    <s v=""/>
    <s v=""/>
    <s v="Campanha"/>
    <s v=""/>
    <s v=""/>
    <s v="Dentro Perfil;Instagram"/>
    <s v="Pipeline de Vendas"/>
    <s v="Qualificação de Vendas (SQL) (25%)"/>
    <s v=""/>
    <d v="2026-03-26T00:00:00"/>
    <m/>
    <m/>
    <n v="55"/>
    <s v="Paulo Souza"/>
    <d v="2026-03-26T00:00:00"/>
    <d v="1899-12-30T16:56:07"/>
    <s v=""/>
    <s v="Ativo"/>
    <m/>
    <m/>
    <s v=""/>
    <s v=""/>
    <s v=""/>
    <x v="0"/>
    <s v="Junior Lopes"/>
    <x v="0"/>
    <s v=""/>
    <m/>
    <n v="30"/>
    <s v=""/>
    <s v=""/>
    <s v=""/>
    <s v=""/>
    <n v="1"/>
  </r>
  <r>
    <x v="2"/>
    <n v="1054"/>
    <m/>
    <n v="3425"/>
    <s v="30.03 pediu uma apresentação e valores. _x000a_Falei que preciso conhecer a empresa dele e entender a razão de procurar um novo software para empresa_x000a_Estavamos avançando com a conversa_x000a_01.04 - Não atendeu _x000a_Boa tarde Milton, tudo bem?_x000a_Fez sentido para sua operação as informações que passei?_x000a_06.04 - não atende e não retorna contato"/>
    <s v=""/>
    <x v="545"/>
    <m/>
    <s v=""/>
    <s v="B&amp;G Comércio de Sinalização e Materiais de Construção"/>
    <s v="11984731999"/>
    <s v=""/>
    <s v="milton-bernardo@uol.com.br"/>
    <s v=""/>
    <s v=""/>
    <s v=""/>
    <s v=""/>
    <s v="Caieiras"/>
    <s v="Inbound"/>
    <s v=""/>
    <s v=""/>
    <s v="Fora Perfil;Instagram"/>
    <s v="Pipeline de Vendas"/>
    <s v="Agendamento (0%)"/>
    <s v=""/>
    <d v="2026-03-26T00:00:00"/>
    <m/>
    <m/>
    <n v="11"/>
    <s v="Paulo Souza"/>
    <d v="2026-03-26T00:00:00"/>
    <d v="1899-12-30T16:58:49"/>
    <s v=""/>
    <s v="Perdido"/>
    <d v="2026-04-06T00:00:00"/>
    <d v="1899-12-30T12:44:35"/>
    <s v="Fora do porte mínimo (sem fit estrutural)"/>
    <s v=""/>
    <s v=""/>
    <x v="0"/>
    <s v="Rayssa Karapeticov"/>
    <x v="0"/>
    <s v=""/>
    <d v="2026-04-01T00:00:00"/>
    <n v="30"/>
    <s v=""/>
    <s v=""/>
    <s v=""/>
    <s v=""/>
    <n v="1"/>
  </r>
  <r>
    <x v="2"/>
    <n v="1055"/>
    <m/>
    <n v="3429"/>
    <s v="30.03 - lojista de material de construção"/>
    <s v=""/>
    <x v="546"/>
    <m/>
    <s v=""/>
    <s v="Leondilmo mat const ltda"/>
    <s v="61999781085"/>
    <s v=""/>
    <s v="leondilmo@hotmail.com"/>
    <s v=""/>
    <s v=""/>
    <s v=""/>
    <s v=""/>
    <s v=""/>
    <s v="Campanha"/>
    <s v=""/>
    <s v=""/>
    <s v="Fora Perfil;Instagram"/>
    <s v="Pipeline de Vendas"/>
    <s v="Agendamento (0%)"/>
    <s v=""/>
    <d v="2026-03-31T00:00:00"/>
    <m/>
    <m/>
    <n v="3"/>
    <s v="Paulo Souza"/>
    <d v="2026-03-27T00:00:00"/>
    <d v="1899-12-30T10:18:25"/>
    <s v=""/>
    <s v="Perdido"/>
    <d v="2026-03-30T00:00:00"/>
    <d v="1899-12-30T17:43:09"/>
    <s v="Fora do porte mínimo (sem fit estrutural)"/>
    <s v=""/>
    <s v=""/>
    <x v="0"/>
    <s v="Rayssa Karapeticov"/>
    <x v="0"/>
    <s v=""/>
    <d v="2026-03-30T00:00:00"/>
    <n v="30"/>
    <s v=""/>
    <s v=""/>
    <s v=""/>
    <s v=""/>
    <n v="1"/>
  </r>
  <r>
    <x v="1"/>
    <n v="1059"/>
    <m/>
    <n v="3455"/>
    <s v="(30/03/2026) Alinhando visita presencial com Thiago"/>
    <s v=""/>
    <x v="547"/>
    <m/>
    <s v=""/>
    <s v="Banana Toys - Cloud"/>
    <s v="1532835196"/>
    <s v=""/>
    <s v="faturamento@bananatoys.com.br"/>
    <s v=""/>
    <s v=""/>
    <s v=""/>
    <s v=""/>
    <s v=""/>
    <s v=""/>
    <s v=""/>
    <s v=""/>
    <s v=""/>
    <s v="Pipeline de Vendas"/>
    <s v="Em negociação (75%)"/>
    <s v=""/>
    <m/>
    <n v="1600"/>
    <n v="384454"/>
    <n v="51"/>
    <s v="Junior Lopes"/>
    <d v="2026-03-30T00:00:00"/>
    <d v="1899-12-30T15:20:04"/>
    <s v=""/>
    <s v="Ativo"/>
    <m/>
    <m/>
    <s v=""/>
    <s v=""/>
    <s v=""/>
    <x v="197"/>
    <s v=""/>
    <x v="222"/>
    <s v=""/>
    <d v="2026-03-30T00:00:00"/>
    <n v="50"/>
    <s v=""/>
    <s v=""/>
    <s v=""/>
    <s v=""/>
    <n v="1"/>
  </r>
  <r>
    <x v="1"/>
    <n v="1060"/>
    <m/>
    <n v="3460"/>
    <s v=""/>
    <s v=""/>
    <x v="548"/>
    <m/>
    <s v=""/>
    <s v="Util Ud - PCP / WMS"/>
    <s v="19974080034"/>
    <s v=""/>
    <s v="null"/>
    <s v=""/>
    <s v=""/>
    <s v=""/>
    <s v=""/>
    <s v=""/>
    <s v=""/>
    <s v=""/>
    <s v=""/>
    <s v=""/>
    <s v="Pipeline de Vendas"/>
    <s v="Em negociação (75%)"/>
    <s v=""/>
    <m/>
    <n v="34236"/>
    <n v="42768"/>
    <n v="51"/>
    <s v="Junior Lopes"/>
    <d v="2026-03-30T00:00:00"/>
    <d v="1899-12-30T16:14:02"/>
    <s v=""/>
    <s v="Ativo"/>
    <m/>
    <m/>
    <s v=""/>
    <s v=""/>
    <s v=""/>
    <x v="201"/>
    <s v=""/>
    <x v="223"/>
    <s v=""/>
    <m/>
    <n v="50"/>
    <s v=""/>
    <s v=""/>
    <s v=""/>
    <s v=""/>
    <n v="1"/>
  </r>
  <r>
    <x v="1"/>
    <n v="1061"/>
    <m/>
    <n v="3466"/>
    <s v="(24/04/2026) orçamento não aprovado"/>
    <s v=""/>
    <x v="549"/>
    <m/>
    <s v=""/>
    <s v="Weck - Horas"/>
    <s v="11947895866"/>
    <s v=""/>
    <s v="null"/>
    <s v=""/>
    <s v=""/>
    <s v=""/>
    <s v=""/>
    <s v=""/>
    <s v=""/>
    <s v=""/>
    <s v=""/>
    <s v=""/>
    <s v="Pipeline de Vendas"/>
    <s v="Apresentar Proposta (50%)"/>
    <s v=""/>
    <m/>
    <n v="13568"/>
    <n v="0"/>
    <n v="25"/>
    <s v="Junior Lopes"/>
    <d v="2026-03-30T00:00:00"/>
    <d v="1899-12-30T16:39:07"/>
    <s v=""/>
    <s v="Perdido"/>
    <d v="2026-04-24T00:00:00"/>
    <d v="1899-12-30T10:11:23"/>
    <s v="Não houve aprovação financeira"/>
    <s v="(24/04/2026) orçamento não aprovado"/>
    <s v=""/>
    <x v="202"/>
    <s v=""/>
    <x v="224"/>
    <s v=""/>
    <d v="2026-04-24T00:00:00"/>
    <n v="30"/>
    <s v=""/>
    <s v=""/>
    <s v=""/>
    <s v=""/>
    <n v="1"/>
  </r>
  <r>
    <x v="1"/>
    <n v="1062"/>
    <m/>
    <n v="3093"/>
    <s v=""/>
    <s v=""/>
    <x v="550"/>
    <n v="53629067000156"/>
    <s v=""/>
    <s v="Claudio Teixeira"/>
    <s v="(43) 99669-3593"/>
    <s v=""/>
    <s v="claudioteixeirasap@hotmail.com"/>
    <s v=""/>
    <s v=""/>
    <s v=""/>
    <s v="CONSELHEIRO MAIRINCK"/>
    <s v="PR"/>
    <s v="Site"/>
    <s v=""/>
    <s v=""/>
    <s v="Solicita demo"/>
    <s v="Pipeline de Vendas"/>
    <s v="Apresentar Proposta (50%)"/>
    <s v=""/>
    <m/>
    <n v="68743"/>
    <n v="143186"/>
    <n v="0"/>
    <s v="Junior Lopes"/>
    <d v="2026-03-30T00:00:00"/>
    <d v="1899-12-30T17:23:13"/>
    <s v=""/>
    <s v="Perdido"/>
    <d v="2026-03-30T00:00:00"/>
    <d v="1899-12-30T17:46:58"/>
    <s v="Não houve aprovação financeira"/>
    <s v="Claudio achou o valor muito acima para investimento"/>
    <s v=""/>
    <x v="160"/>
    <s v=""/>
    <x v="173"/>
    <s v=""/>
    <m/>
    <n v="30"/>
    <s v=""/>
    <s v=""/>
    <s v=""/>
    <s v=""/>
    <n v="1"/>
  </r>
  <r>
    <x v="1"/>
    <n v="1063"/>
    <m/>
    <n v="3467"/>
    <s v=""/>
    <s v=""/>
    <x v="551"/>
    <m/>
    <s v=""/>
    <s v="Casabella Claudio Teixeira - Cloud"/>
    <s v="43996693593"/>
    <s v=""/>
    <s v="null"/>
    <s v=""/>
    <s v=""/>
    <s v=""/>
    <s v=""/>
    <s v=""/>
    <s v=""/>
    <s v=""/>
    <s v=""/>
    <s v=""/>
    <s v="Pipeline de Vendas"/>
    <s v="Apresentar Proposta (50%)"/>
    <s v=""/>
    <m/>
    <n v="1600"/>
    <n v="252471"/>
    <n v="0"/>
    <s v="Junior Lopes"/>
    <d v="2026-03-30T00:00:00"/>
    <d v="1899-12-30T17:41:36"/>
    <s v=""/>
    <s v="Perdido"/>
    <d v="2026-03-30T00:00:00"/>
    <d v="1899-12-30T17:47:37"/>
    <s v="Não houve aprovação financeira"/>
    <s v="Claudio achou o valor muito acima para investimento"/>
    <s v=""/>
    <x v="203"/>
    <s v=""/>
    <x v="173"/>
    <s v="27/03/2026 00:00"/>
    <m/>
    <n v="30"/>
    <s v=""/>
    <s v=""/>
    <s v=""/>
    <s v=""/>
    <n v="1"/>
  </r>
  <r>
    <x v="2"/>
    <n v="1064"/>
    <m/>
    <n v="3446"/>
    <s v="31.03 - Caixa Postal - Bom dia Anderson, como vai?_x000a_Meu nome é Rayssa, sou da Guarani Sistemas. _x000a_Estou tentando contato com você para entender como as soluções da Guarani Sistemas podem atender a Distribuidora Anderson Corrado_x000a_01.04 - caixa postal_x000a_07.04 encerrando por falta de retorno"/>
    <s v=""/>
    <x v="552"/>
    <m/>
    <s v=""/>
    <s v="Anderson Corrado"/>
    <s v="31971564261"/>
    <s v=""/>
    <s v="andersoncorrado@gmail.com"/>
    <s v=""/>
    <s v=""/>
    <s v=""/>
    <s v=""/>
    <s v=""/>
    <s v="Campanha"/>
    <s v=""/>
    <s v=""/>
    <s v="Fora Perfil;Instagram"/>
    <s v="Pipeline de Vendas"/>
    <s v="Agendamento (0%)"/>
    <s v=""/>
    <d v="2026-04-30T00:00:00"/>
    <m/>
    <m/>
    <n v="7"/>
    <s v="Paulo Souza"/>
    <d v="2026-03-31T00:00:00"/>
    <d v="1899-12-30T10:18:31"/>
    <s v=""/>
    <s v="Perdido"/>
    <d v="2026-04-07T00:00:00"/>
    <d v="1899-12-30T09:12:54"/>
    <s v="Fora do porte mínimo (sem fit estrutural)"/>
    <s v=""/>
    <s v=""/>
    <x v="0"/>
    <s v="Rayssa Karapeticov"/>
    <x v="0"/>
    <s v=""/>
    <d v="2026-04-01T00:00:00"/>
    <n v="30"/>
    <s v=""/>
    <s v=""/>
    <s v=""/>
    <s v=""/>
    <n v="1"/>
  </r>
  <r>
    <x v="1"/>
    <n v="1065"/>
    <m/>
    <n v="3447"/>
    <s v="(31/03/2026) cliente de loja porte pequeno , fora do perfil"/>
    <s v=""/>
    <x v="553"/>
    <m/>
    <s v=""/>
    <s v="nat art papelaria"/>
    <s v="15991197046"/>
    <s v=""/>
    <s v="cricanicolete@gmail.com"/>
    <s v=""/>
    <s v=""/>
    <s v=""/>
    <s v=""/>
    <s v="Sorocaba"/>
    <s v="Inbound"/>
    <s v=""/>
    <s v=""/>
    <s v="Fora Perfil;Instagram"/>
    <s v="Pipeline de Vendas"/>
    <s v="Agendamento (0%)"/>
    <s v=""/>
    <d v="2026-03-31T00:00:00"/>
    <m/>
    <m/>
    <n v="0"/>
    <s v="Paulo Souza"/>
    <d v="2026-03-31T00:00:00"/>
    <d v="1899-12-30T10:23:46"/>
    <s v=""/>
    <s v="Perdido"/>
    <d v="2026-03-31T00:00:00"/>
    <d v="1899-12-30T14:56:07"/>
    <s v="Fora do porte mínimo (sem fit estrutural)"/>
    <s v="(31/03/2026) cliente de loja porte pequeno , fora do perfil"/>
    <s v=""/>
    <x v="0"/>
    <s v="Junior Lopes"/>
    <x v="0"/>
    <s v=""/>
    <m/>
    <n v="30"/>
    <s v=""/>
    <s v=""/>
    <s v=""/>
    <s v=""/>
    <n v="1"/>
  </r>
  <r>
    <x v="1"/>
    <n v="1066"/>
    <m/>
    <n v="3448"/>
    <s v="(31/03/2026) em contato com Fernando _x000a_(06/04/2026) declinando por falta de retorno"/>
    <s v=""/>
    <x v="554"/>
    <n v="4827674000115"/>
    <s v=""/>
    <s v="Forte e Limpo"/>
    <s v="(73) 3027-3546"/>
    <s v=""/>
    <s v="forteelimpo@gmail.com"/>
    <s v=""/>
    <s v=""/>
    <s v=""/>
    <s v="ITABUNA"/>
    <s v="BA"/>
    <s v="Campanha"/>
    <s v=""/>
    <s v=""/>
    <s v="Dentro Perfil;Instagram"/>
    <s v="Pipeline de Vendas"/>
    <s v="Qualificação de Vendas (SQL) (25%)"/>
    <s v=""/>
    <m/>
    <m/>
    <m/>
    <n v="39"/>
    <s v="Paulo Souza"/>
    <d v="2026-03-31T00:00:00"/>
    <d v="1899-12-30T10:32:04"/>
    <s v=""/>
    <s v="Perdido"/>
    <d v="2026-05-09T00:00:00"/>
    <d v="1899-12-30T08:03:53"/>
    <s v="Sem qualificação — contato não atende ligações nem responde msg"/>
    <s v=""/>
    <s v=""/>
    <x v="0"/>
    <s v="Junior Lopes"/>
    <x v="0"/>
    <s v=""/>
    <d v="2026-04-06T00:00:00"/>
    <n v="30"/>
    <s v=""/>
    <s v=""/>
    <s v=""/>
    <s v=""/>
    <n v="1"/>
  </r>
  <r>
    <x v="2"/>
    <n v="1067"/>
    <m/>
    <n v="3468"/>
    <s v="31.03 é uma corretora e agentes de seguros, de planos de previdência complementar e de saúde."/>
    <s v=""/>
    <x v="555"/>
    <n v="50649054000150"/>
    <s v=""/>
    <s v="Finance coop LTDA"/>
    <s v="(21) 9310-5614"/>
    <s v=""/>
    <s v="financecorporacao@gmail.com"/>
    <s v=""/>
    <s v=""/>
    <s v=""/>
    <s v="RIO DE JANEIRO"/>
    <s v="RJ"/>
    <s v="Inbound"/>
    <s v=""/>
    <s v=""/>
    <s v="Fora Perfil;Instagram"/>
    <s v="Pipeline de Vendas"/>
    <s v="Agendamento (0%)"/>
    <s v=""/>
    <m/>
    <m/>
    <m/>
    <n v="0"/>
    <s v="Paulo Souza"/>
    <d v="2026-03-31T00:00:00"/>
    <d v="1899-12-30T10:35:35"/>
    <s v=""/>
    <s v="Perdido"/>
    <d v="2026-03-31T00:00:00"/>
    <d v="1899-12-30T15:20:34"/>
    <s v="Fora do porte mínimo (sem fit estrutural)"/>
    <s v=""/>
    <s v=""/>
    <x v="0"/>
    <s v="Rayssa Karapeticov"/>
    <x v="0"/>
    <s v=""/>
    <m/>
    <n v="30"/>
    <s v=""/>
    <s v=""/>
    <s v=""/>
    <s v=""/>
    <n v="1"/>
  </r>
  <r>
    <x v="1"/>
    <n v="1068"/>
    <m/>
    <n v="3471"/>
    <s v="(20/04/2026) em contato com Edson , informou que Baag vai manter servidor local devido ao alto investimento"/>
    <s v=""/>
    <x v="556"/>
    <m/>
    <s v=""/>
    <s v="Baag - Cloud"/>
    <s v="(75) 3021-7768"/>
    <s v=""/>
    <s v="null"/>
    <s v=""/>
    <s v=""/>
    <s v=""/>
    <s v=""/>
    <s v=""/>
    <s v=""/>
    <s v=""/>
    <s v=""/>
    <s v=""/>
    <s v="Pipeline de Vendas"/>
    <s v="Apresentar Proposta (50%)"/>
    <s v=""/>
    <m/>
    <n v="1600"/>
    <n v="384454"/>
    <n v="20"/>
    <s v="Junior Lopes"/>
    <d v="2026-03-31T00:00:00"/>
    <d v="1899-12-30T15:16:59"/>
    <s v=""/>
    <s v="Perdido"/>
    <d v="2026-04-20T00:00:00"/>
    <d v="1899-12-30T11:51:43"/>
    <s v="Não houve aprovação financeira"/>
    <s v="(20/04/2026) em contato com Edson , informou que Baag vai manter servidor local devido ao alto investimento"/>
    <s v=""/>
    <x v="194"/>
    <s v=""/>
    <x v="218"/>
    <s v=""/>
    <d v="2026-04-20T00:00:00"/>
    <n v="50"/>
    <s v=""/>
    <s v=""/>
    <s v=""/>
    <s v=""/>
    <n v="1"/>
  </r>
  <r>
    <x v="1"/>
    <n v="1069"/>
    <m/>
    <n v="3472"/>
    <s v=""/>
    <s v=""/>
    <x v="557"/>
    <m/>
    <s v=""/>
    <s v="Baag - Televendas"/>
    <s v="7530217768"/>
    <s v=""/>
    <s v="null"/>
    <s v=""/>
    <s v=""/>
    <s v=""/>
    <s v=""/>
    <s v=""/>
    <s v=""/>
    <s v=""/>
    <s v=""/>
    <s v=""/>
    <s v="Pipeline de Vendas"/>
    <s v="Apresentar Proposta (50%)"/>
    <s v=""/>
    <m/>
    <n v="8480"/>
    <n v="3564"/>
    <n v="24"/>
    <s v="Junior Lopes"/>
    <d v="2026-03-31T00:00:00"/>
    <d v="1899-12-30T15:37:28"/>
    <s v=""/>
    <s v="Perdido"/>
    <d v="2026-04-24T00:00:00"/>
    <d v="1899-12-30T10:06:18"/>
    <s v="Não houve aprovação financeira"/>
    <s v="24/04/2026) Edson falou com diretoria e achou valor alto para o momento"/>
    <s v=""/>
    <x v="204"/>
    <s v=""/>
    <x v="225"/>
    <s v=""/>
    <m/>
    <n v="30"/>
    <s v=""/>
    <s v=""/>
    <s v=""/>
    <s v=""/>
    <n v="1"/>
  </r>
  <r>
    <x v="1"/>
    <n v="1072"/>
    <m/>
    <n v="3474"/>
    <s v="(01/04/2026) Badux é uma auto elétrica que que faz manutenção e venda de peças no balcão (lojista)"/>
    <s v=""/>
    <x v="558"/>
    <n v="27728774000190"/>
    <s v=""/>
    <s v="Badux auto eletrica"/>
    <s v="(95) 9142-2588"/>
    <s v=""/>
    <s v="fabianoggsilva@hotmail.com"/>
    <s v=""/>
    <s v=""/>
    <s v=""/>
    <s v="BOA VISTA"/>
    <s v="RR"/>
    <s v="Inbound"/>
    <s v=""/>
    <s v=""/>
    <s v="Fora Perfil;Instagram"/>
    <s v="Pipeline de Vendas"/>
    <s v="Agendamento (0%)"/>
    <s v=""/>
    <m/>
    <m/>
    <m/>
    <n v="0"/>
    <s v="Paulo Souza"/>
    <d v="2026-04-01T00:00:00"/>
    <d v="1899-12-30T11:45:05"/>
    <s v=""/>
    <s v="Perdido"/>
    <d v="2026-04-01T00:00:00"/>
    <d v="1899-12-30T15:25:26"/>
    <s v="Fora do porte mínimo (sem fit estrutural)"/>
    <s v="(01/04/2026) Badux é uma auto elétrica que que faz manutenção e venda de peças no balcão (lojista)"/>
    <s v=""/>
    <x v="0"/>
    <s v="Junior Lopes"/>
    <x v="0"/>
    <s v=""/>
    <m/>
    <n v="30"/>
    <s v=""/>
    <s v=""/>
    <s v=""/>
    <s v=""/>
    <n v="1"/>
  </r>
  <r>
    <x v="1"/>
    <n v="1073"/>
    <m/>
    <n v="3479"/>
    <s v="(07/04/2026) tentativas de contato sem sucesso , em analise sobre verifiquei que é um empresa de lavanderia ! fora do perfil"/>
    <s v=""/>
    <x v="559"/>
    <n v="667476000261"/>
    <s v=""/>
    <s v="Ciape Distribuidora De Peças"/>
    <s v="44988361402"/>
    <s v=""/>
    <s v="rodrigo@lavinorte.com.br"/>
    <s v=""/>
    <s v=""/>
    <s v=""/>
    <s v=""/>
    <s v=""/>
    <s v="Campanha"/>
    <s v=""/>
    <s v=""/>
    <s v="Fora Perfil;Instagram"/>
    <s v="Pipeline de Vendas"/>
    <s v="Qualificação de Vendas (SQL) (25%)"/>
    <s v=""/>
    <m/>
    <m/>
    <m/>
    <n v="1"/>
    <s v="Paulo Souza"/>
    <d v="2026-04-06T00:00:00"/>
    <d v="1899-12-30T11:20:09"/>
    <s v=""/>
    <s v="Perdido"/>
    <d v="2026-04-07T00:00:00"/>
    <d v="1899-12-30T16:31:35"/>
    <s v="Fora do porte mínimo (sem fit estrutural)"/>
    <s v="(07/04/2026) tentativas de contato sem sucesso , em analise sobre verifiquei que é um empresa de lavanderia ! fora do perfil"/>
    <s v=""/>
    <x v="0"/>
    <s v="Junior Lopes"/>
    <x v="0"/>
    <s v=""/>
    <d v="2026-04-07T00:00:00"/>
    <n v="30"/>
    <s v=""/>
    <s v=""/>
    <s v=""/>
    <s v=""/>
    <n v="1"/>
  </r>
  <r>
    <x v="2"/>
    <n v="1074"/>
    <m/>
    <n v="3478"/>
    <s v="06.04 Liguei, pediu para chamar no whatsapp_x000a_Boa tarde Leandro, tudo bem?_x000a_Meu nome é Rayssa, sou da Guarani Sistemas. _x000a_Acabei de te liga rpara entender sua necessidade quanton as soluções da Guarani Sistemas. _x000a_Como posso te ajudar?"/>
    <s v=""/>
    <x v="560"/>
    <n v="34777766000107"/>
    <s v=""/>
    <s v="Tecalhas"/>
    <s v="(32) 3551-6365"/>
    <s v=""/>
    <s v="contato@realcontabilidadevrb.com.br"/>
    <s v=""/>
    <s v=""/>
    <s v=""/>
    <s v="VISCONDE DO RIO BRANCO"/>
    <s v="MG"/>
    <s v="Campanha"/>
    <s v=""/>
    <s v=""/>
    <s v="Fora Perfil;Instagram"/>
    <s v="Pipeline de Vendas"/>
    <s v="Agendamento (0%)"/>
    <s v=""/>
    <m/>
    <m/>
    <m/>
    <n v="33"/>
    <s v="Paulo Souza"/>
    <d v="2026-04-06T00:00:00"/>
    <d v="1899-12-30T11:21:52"/>
    <s v=""/>
    <s v="Perdido"/>
    <d v="2026-05-09T00:00:00"/>
    <d v="1899-12-30T08:38:25"/>
    <s v="Sem qualificação — contato não atende ligações nem responde msg"/>
    <s v=""/>
    <s v=""/>
    <x v="0"/>
    <s v="Rayssa Karapeticov"/>
    <x v="0"/>
    <s v=""/>
    <d v="2026-04-07T00:00:00"/>
    <n v="27"/>
    <s v=""/>
    <s v=""/>
    <s v=""/>
    <s v=""/>
    <n v="1"/>
  </r>
  <r>
    <x v="1"/>
    <n v="1075"/>
    <m/>
    <n v="3480"/>
    <s v="(06/04/2026) em contato com Thamires _x000a_(06/04/2026) Thamires não responde a ligação e e mensagens ! estou descartando o lead , falta muita informação como a razão social do cliente, endereço , CNPJ ! impossível fazer  uma pesquisa sobre o cliente"/>
    <s v=""/>
    <x v="561"/>
    <m/>
    <s v=""/>
    <s v="Eletro+"/>
    <s v="22997047181"/>
    <s v=""/>
    <s v="thamirestelleseriscado@hotmail.com"/>
    <s v=""/>
    <s v=""/>
    <s v=""/>
    <s v=""/>
    <s v=""/>
    <s v="Campanha"/>
    <s v=""/>
    <s v=""/>
    <s v="Fora Perfil;Instagram"/>
    <s v="Pipeline de Vendas"/>
    <s v="Agendamento (0%)"/>
    <s v=""/>
    <m/>
    <m/>
    <m/>
    <n v="0"/>
    <s v="Paulo Souza"/>
    <d v="2026-04-06T00:00:00"/>
    <d v="1899-12-30T11:23:42"/>
    <s v=""/>
    <s v="Perdido"/>
    <d v="2026-04-06T00:00:00"/>
    <d v="1899-12-30T17:17:27"/>
    <s v="Fora do porte mínimo (sem fit estrutural)"/>
    <s v="(06/04/2026) Thamires não responde a ligação e e mensagens ! estou descartando o lead , falta muita informação como a razão social do cliente, endereço , CNPJ ! impossível fazer  uma pesquisa sobre o cliente"/>
    <s v=""/>
    <x v="0"/>
    <s v="Junior Lopes"/>
    <x v="0"/>
    <s v=""/>
    <m/>
    <n v="30"/>
    <s v=""/>
    <s v=""/>
    <s v=""/>
    <s v=""/>
    <n v="1"/>
  </r>
  <r>
    <x v="2"/>
    <n v="1076"/>
    <m/>
    <n v="3482"/>
    <s v="06.04 - telefone errado"/>
    <s v=""/>
    <x v="562"/>
    <m/>
    <s v=""/>
    <s v="pra mim mesmo"/>
    <s v="4694441158"/>
    <s v=""/>
    <s v="t.marcio@hotmail.com"/>
    <s v=""/>
    <s v=""/>
    <s v=""/>
    <s v=""/>
    <s v=""/>
    <s v="Campanha"/>
    <s v=""/>
    <s v=""/>
    <s v="Fora Perfil;Instagram"/>
    <s v="Pipeline de Vendas"/>
    <s v="Agendamento (0%)"/>
    <s v=""/>
    <m/>
    <m/>
    <m/>
    <n v="1"/>
    <s v="Paulo Souza"/>
    <d v="2026-04-06T00:00:00"/>
    <d v="1899-12-30T11:25:26"/>
    <s v=""/>
    <s v="Perdido"/>
    <d v="2026-04-07T00:00:00"/>
    <d v="1899-12-30T09:07:58"/>
    <s v="Fora do porte mínimo (sem fit estrutural)"/>
    <s v=""/>
    <s v=""/>
    <x v="0"/>
    <s v="Rayssa Karapeticov"/>
    <x v="0"/>
    <s v=""/>
    <m/>
    <n v="30"/>
    <s v=""/>
    <s v=""/>
    <s v=""/>
    <s v=""/>
    <n v="1"/>
  </r>
  <r>
    <x v="1"/>
    <n v="1077"/>
    <m/>
    <n v="3483"/>
    <s v="(06/04/2026) Coelhos identificado como fora do perfil , executa trabalhos de automação de portaria e vendas de computadores para cliente pessoa física"/>
    <s v=""/>
    <x v="563"/>
    <n v="2861273000156"/>
    <s v=""/>
    <s v="Coelhos Automação"/>
    <s v="5330256162"/>
    <s v=""/>
    <s v="vilmar@coelhosautomacao.com.br"/>
    <s v=""/>
    <s v=""/>
    <s v=""/>
    <s v=""/>
    <s v=""/>
    <s v="Campanha"/>
    <s v=""/>
    <s v=""/>
    <s v="Fora Perfil;Instagram"/>
    <s v="Pipeline de Vendas"/>
    <s v="Agendamento (0%)"/>
    <s v=""/>
    <m/>
    <m/>
    <m/>
    <n v="0"/>
    <s v="Paulo Souza"/>
    <d v="2026-04-06T00:00:00"/>
    <d v="1899-12-30T11:27:43"/>
    <s v=""/>
    <s v="Perdido"/>
    <d v="2026-04-06T00:00:00"/>
    <d v="1899-12-30T16:59:44"/>
    <s v="Fora do porte mínimo (sem fit estrutural)"/>
    <s v="(06/04/2026) Coelhos identificado como fora do perfil , executa trabalhos de automação de portaria e vendas de computadores para cliente pessoa física"/>
    <s v=""/>
    <x v="0"/>
    <s v="Junior Lopes"/>
    <x v="0"/>
    <s v=""/>
    <m/>
    <n v="28"/>
    <s v=""/>
    <s v=""/>
    <s v=""/>
    <s v=""/>
    <n v="1"/>
  </r>
  <r>
    <x v="1"/>
    <n v="1078"/>
    <m/>
    <n v="3497"/>
    <s v="24/04/2026) Edson falou com diretoria e achou valor alto para o momento"/>
    <s v=""/>
    <x v="564"/>
    <m/>
    <s v=""/>
    <s v="Baag - BI"/>
    <s v="7530217768"/>
    <s v=""/>
    <s v="helpdesk@bahiagrafica.com.br"/>
    <s v=""/>
    <s v=""/>
    <s v=""/>
    <s v=""/>
    <s v=""/>
    <s v=""/>
    <s v=""/>
    <s v=""/>
    <s v=""/>
    <s v="Pipeline de Vendas"/>
    <s v="Apresentar Proposta (50%)"/>
    <s v=""/>
    <m/>
    <n v="8100"/>
    <n v="1080"/>
    <n v="16"/>
    <s v="Junior Lopes"/>
    <d v="2026-04-08T00:00:00"/>
    <d v="1899-12-30T16:50:57"/>
    <s v=""/>
    <s v="Perdido"/>
    <d v="2026-04-24T00:00:00"/>
    <d v="1899-12-30T09:54:24"/>
    <s v="Não houve aprovação financeira"/>
    <s v="24/04/2026) Edson falou com diretoria e achou valor alto para o momento"/>
    <s v=""/>
    <x v="205"/>
    <s v=""/>
    <x v="226"/>
    <s v=""/>
    <d v="2026-04-24T00:00:00"/>
    <n v="50"/>
    <s v=""/>
    <s v=""/>
    <s v=""/>
    <s v=""/>
    <n v="1"/>
  </r>
  <r>
    <x v="1"/>
    <n v="1079"/>
    <m/>
    <n v="3501"/>
    <s v="(09/04/2026) Prospecção , buscando contato para conexão e apresentação das soluções ERP e Força de vendas"/>
    <s v=""/>
    <x v="565"/>
    <n v="48260432000168"/>
    <s v=""/>
    <s v="EDUARDO MARINO COELHO"/>
    <s v=""/>
    <s v=""/>
    <s v=""/>
    <s v=""/>
    <s v=""/>
    <s v=""/>
    <s v=""/>
    <s v=""/>
    <s v="Base de empresas Leads2b"/>
    <s v=""/>
    <s v=""/>
    <s v=""/>
    <s v="Pipeline de Vendas"/>
    <s v="Qualificação de Vendas (SQL) (25%)"/>
    <s v=""/>
    <m/>
    <m/>
    <m/>
    <n v="41"/>
    <s v="Junior Lopes"/>
    <d v="2026-04-09T00:00:00"/>
    <d v="1899-12-30T09:22:10"/>
    <s v=""/>
    <s v="Ativo"/>
    <m/>
    <m/>
    <s v=""/>
    <s v=""/>
    <s v=""/>
    <x v="0"/>
    <s v=""/>
    <x v="0"/>
    <s v=""/>
    <d v="2026-05-06T00:00:00"/>
    <n v="30"/>
    <s v=""/>
    <s v=""/>
    <s v=""/>
    <s v=""/>
    <n v="1"/>
  </r>
  <r>
    <x v="1"/>
    <n v="1080"/>
    <m/>
    <n v="3502"/>
    <s v="(09/04/2026) Em contato com Jaison (TI) _x000a_09:49, 09/04/2026 Junior Lopes: Olá Jaison ! Bom dia meu amigo ! _x000a_Junior da Guarani sistemas por aqui_x000a_09:49, 09/04/2026 Junior Lopes: Há um tempo fizemos uma apresentação da solução de força de vendas para a Unitermi e fiquei curioso para saber como vocês estão hoje com esse tipo de solução._x000a_Estão utilizando alguma ferramenta atualmente?_x000a_Vejo que ainda podemos ajudar bastante na organização dos pedidos, acompanhamento da equipe de vendas em campo e melhoria dos resultados. Se fizer sentido, posso agendar uma conversa rápida para entendermos o momento de vocês e mostrar como podemos apoiar._x000a_Contato com Danieli (Comercial)_x000a_09:51, 09/04/2026 Junior Lopes: Olá Danieli , bom dia _x000a_Junior da Guarani sistemas por aqui ! Td bem ?_x000a_09:52, 09/04/2026 Junior Lopes: Alguns meses atrás apresentei nossa solução de força de vendas para a Unitermi e fiquei pensando em como está hoje o processo comercial de vocês: pedidos, roteiros, acompanhamento da equipe externa etc._x000a_Vocês já estão com alguma solução implantada ou ainda avaliam opções?_x000a_10:12, 09/04/2026 Unitermi Danieli: Jaison Unitermi TI_x000a_10:12, 09/04/2026 Unitermi Danieli: Bom dia_x000a_10:12, 09/04/2026 Unitermi Danieli: Favor contatar o responsável da Ti_x000a_10:12, 09/04/2026 Unitermi Danieli: Obrigada"/>
    <s v=""/>
    <x v="566"/>
    <n v="19398581000190"/>
    <s v=""/>
    <s v="Unitermi indústria"/>
    <s v="48988044437"/>
    <s v=""/>
    <s v="sup.comercial@unitermi.com.br"/>
    <s v=""/>
    <s v=""/>
    <s v=""/>
    <s v="PAULO LOPES"/>
    <s v="SC"/>
    <s v=""/>
    <s v=""/>
    <s v=""/>
    <s v=""/>
    <s v="Pipeline de Vendas"/>
    <s v="Qualificação de Vendas (SQL) (25%)"/>
    <s v=""/>
    <m/>
    <m/>
    <m/>
    <n v="41"/>
    <s v="Junior Lopes"/>
    <d v="2026-04-09T00:00:00"/>
    <d v="1899-12-30T10:11:00"/>
    <s v=""/>
    <s v="Ativo"/>
    <m/>
    <m/>
    <s v=""/>
    <s v=""/>
    <s v=""/>
    <x v="0"/>
    <s v=""/>
    <x v="0"/>
    <s v=""/>
    <d v="2026-05-06T00:00:00"/>
    <n v="30"/>
    <s v=""/>
    <s v=""/>
    <s v=""/>
    <s v=""/>
    <n v="1"/>
  </r>
  <r>
    <x v="1"/>
    <n v="1081"/>
    <m/>
    <n v="3504"/>
    <s v="(09/04/2026) em contato com Daniel _x000a_10:38, 09/04/2026 Junior Lopes: Olá Daniel ! Bom dia , Júnior Lopes da Guarani sistemas por aqui_x000a_10:38, 09/04/2026 Junior Lopes: Algum tempo atrás apresentei nossa solução de força de vendas para Martiplast e fiquei pensando em como está o processo comercial de vocês ?_x000a_10:38, 09/04/2026 Junior Lopes: Que tal rever nossas soluções?"/>
    <s v="Martiplast Industria E Comercio De Plasticos Ltda"/>
    <x v="567"/>
    <n v="73445454000654"/>
    <s v=""/>
    <s v="Martiplast Industria E Comercio De Plasticos Ltda"/>
    <s v="(54) 2101-9090"/>
    <s v=""/>
    <s v="diego.borges@martiplast.com.br"/>
    <s v=""/>
    <s v=""/>
    <s v=""/>
    <s v="SAO PAULO"/>
    <s v="SP"/>
    <s v="Base de empresas Leads2b"/>
    <s v=""/>
    <s v=""/>
    <s v=""/>
    <s v="Pipeline de Vendas"/>
    <s v="Qualificação de Vendas (SQL) (25%)"/>
    <s v=""/>
    <m/>
    <m/>
    <m/>
    <n v="41"/>
    <s v="Junior Lopes"/>
    <d v="2026-04-09T00:00:00"/>
    <d v="1899-12-30T10:44:36"/>
    <s v=""/>
    <s v="Ativo"/>
    <m/>
    <m/>
    <s v=""/>
    <s v=""/>
    <s v=""/>
    <x v="0"/>
    <s v=""/>
    <x v="0"/>
    <s v=""/>
    <d v="2026-05-06T00:00:00"/>
    <n v="30"/>
    <s v=""/>
    <s v=""/>
    <s v=""/>
    <s v=""/>
    <n v="1"/>
  </r>
  <r>
    <x v="2"/>
    <n v="1082"/>
    <m/>
    <n v="3488"/>
    <s v="10.04 Liguei ficou na caixa postal _x000a_Bom dia Vidal, tudo bem?_x000a_meu nome é Rayssa, sou da Guarani Sistemas. _x000a_Tentei contato com você para falarmos das soluções de software para sua empresa. _x000a_Qual melhor horario para te retornar?_x000a_23.04Bom dia Vidal, como vai?_x000a_Estou tentando contato com você para entender sua solicitação para conhecer nossos sistemas._x000a_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_x000a_Vou deixar uma apresentação de nossa empresa e quando tiver um tempo disponivel por retornar o contato"/>
    <s v=""/>
    <x v="568"/>
    <m/>
    <s v=""/>
    <s v="Vidal"/>
    <s v="51981230645"/>
    <s v=""/>
    <s v="g.vidal0220@gmail.com"/>
    <s v=""/>
    <s v=""/>
    <s v=""/>
    <s v=""/>
    <s v=""/>
    <s v="Campanha"/>
    <s v=""/>
    <s v=""/>
    <s v="Fora Perfil;Instagram"/>
    <s v="Pipeline de Vendas"/>
    <s v="Agendamento (0%)"/>
    <s v=""/>
    <d v="2026-04-30T00:00:00"/>
    <m/>
    <m/>
    <n v="29"/>
    <s v="Paulo Souza"/>
    <d v="2026-04-10T00:00:00"/>
    <d v="1899-12-30T08:45:52"/>
    <s v=""/>
    <s v="Perdido"/>
    <d v="2026-05-09T00:00:00"/>
    <d v="1899-12-30T08:38:47"/>
    <s v="Sem qualificação — contato não atende ligações nem responde msg"/>
    <s v=""/>
    <s v=""/>
    <x v="0"/>
    <s v="Rayssa Karapeticov"/>
    <x v="0"/>
    <s v=""/>
    <d v="2026-04-23T00:00:00"/>
    <n v="28"/>
    <s v=""/>
    <s v=""/>
    <s v=""/>
    <s v=""/>
    <n v="1"/>
  </r>
  <r>
    <x v="1"/>
    <n v="1083"/>
    <m/>
    <n v="3491"/>
    <s v="(10/04/2026) Buscando contato com Belmar"/>
    <s v=""/>
    <x v="569"/>
    <n v="91241034000123"/>
    <s v=""/>
    <s v="METALÚRGICA VALENTINI LTDA"/>
    <s v="(54) 3321-5204 / (54) 3321-5204"/>
    <s v=""/>
    <s v="metalvalentini@gmail.com"/>
    <s v=""/>
    <s v=""/>
    <s v=""/>
    <s v="ERECHIM"/>
    <s v="RS"/>
    <s v="Campanha"/>
    <s v=""/>
    <s v=""/>
    <s v="Fora Perfil;Instagram"/>
    <s v="Pipeline de Vendas"/>
    <s v="Agendamento (0%)"/>
    <s v=""/>
    <m/>
    <m/>
    <m/>
    <n v="29"/>
    <s v="Paulo Souza"/>
    <d v="2026-04-10T00:00:00"/>
    <d v="1899-12-30T08:47:32"/>
    <s v=""/>
    <s v="Perdido"/>
    <d v="2026-05-09T00:00:00"/>
    <d v="1899-12-30T08:40:51"/>
    <s v="Sem qualificação — contato não atende ligações nem responde msg"/>
    <s v=""/>
    <s v=""/>
    <x v="0"/>
    <s v="Junior Lopes"/>
    <x v="0"/>
    <s v=""/>
    <m/>
    <n v="30"/>
    <s v=""/>
    <s v=""/>
    <s v=""/>
    <s v=""/>
    <n v="1"/>
  </r>
  <r>
    <x v="1"/>
    <n v="1084"/>
    <m/>
    <n v="3492"/>
    <s v="(10/04/2026) em contato com Danyllo buscando agenda para um bate papo"/>
    <s v=""/>
    <x v="570"/>
    <m/>
    <s v=""/>
    <s v="Camelo distribuidora"/>
    <s v="62991773767"/>
    <s v=""/>
    <s v="danyllogac@hotmail.com"/>
    <s v=""/>
    <s v=""/>
    <s v=""/>
    <s v=""/>
    <s v=""/>
    <s v="Campanha"/>
    <s v=""/>
    <s v=""/>
    <s v="Dentro Perfil;Instagram"/>
    <s v="Pipeline de Vendas"/>
    <s v="Qualificação de Vendas (SQL) (25%)"/>
    <s v=""/>
    <m/>
    <m/>
    <m/>
    <n v="40"/>
    <s v="Paulo Souza"/>
    <d v="2026-04-10T00:00:00"/>
    <d v="1899-12-30T08:49:10"/>
    <s v=""/>
    <s v="Ativo"/>
    <m/>
    <m/>
    <s v=""/>
    <s v=""/>
    <s v=""/>
    <x v="0"/>
    <s v="Junior Lopes"/>
    <x v="0"/>
    <s v=""/>
    <m/>
    <n v="29"/>
    <s v=""/>
    <s v=""/>
    <s v=""/>
    <s v=""/>
    <n v="1"/>
  </r>
  <r>
    <x v="2"/>
    <n v="1085"/>
    <m/>
    <n v="3494"/>
    <s v=""/>
    <s v=""/>
    <x v="571"/>
    <n v="21233195000190"/>
    <s v=""/>
    <s v="Cleber vieira teles"/>
    <s v="(15) 9800-0087"/>
    <s v=""/>
    <s v="vieira_teles@hotmail.com"/>
    <s v=""/>
    <s v=""/>
    <s v=""/>
    <s v="PORTO FELIZ"/>
    <s v="SP"/>
    <s v="Campanha"/>
    <s v=""/>
    <s v=""/>
    <s v="Fora Perfil;Instagram"/>
    <s v="Pipeline de Vendas"/>
    <s v="Agendamento (0%)"/>
    <s v=""/>
    <d v="2026-04-30T00:00:00"/>
    <m/>
    <m/>
    <n v="13"/>
    <s v="Paulo Souza"/>
    <d v="2026-04-10T00:00:00"/>
    <d v="1899-12-30T08:50:25"/>
    <s v=""/>
    <s v="Perdido"/>
    <d v="2026-04-23T00:00:00"/>
    <d v="1899-12-30T11:03:07"/>
    <s v="Fora do porte mínimo (sem fit estrutural)"/>
    <s v=""/>
    <s v=""/>
    <x v="0"/>
    <s v="Rayssa Karapeticov"/>
    <x v="0"/>
    <s v=""/>
    <d v="2026-04-23T00:00:00"/>
    <n v="30"/>
    <s v=""/>
    <s v=""/>
    <s v=""/>
    <s v=""/>
    <n v="1"/>
  </r>
  <r>
    <x v="2"/>
    <n v="1086"/>
    <m/>
    <n v="3496"/>
    <s v="Todos os dados preenchidos:_x000a_empresa: Grupo Marcamix _x000a_name: Ismael Ramos _x000a_cargo: Analista de Sistemas _x000a_whatsapp: 11960590527 _x000a_email: suporte@marcamix.com.br"/>
    <s v=""/>
    <x v="572"/>
    <n v="3634113000137"/>
    <s v=""/>
    <s v="Ismael Ramos"/>
    <s v=""/>
    <s v=""/>
    <s v="suporte@marcamix.com.br"/>
    <s v=""/>
    <s v=""/>
    <s v=""/>
    <s v="Ribeirão Preto"/>
    <s v=""/>
    <s v="Inbound"/>
    <s v=""/>
    <s v=""/>
    <s v="comex"/>
    <s v="Pipeline de Vendas"/>
    <s v="Em negociação (75%)"/>
    <s v=""/>
    <d v="2026-04-10T00:00:00"/>
    <n v="6000"/>
    <n v="2000"/>
    <n v="40"/>
    <s v="Paulo Souza"/>
    <d v="2026-04-10T00:00:00"/>
    <d v="1899-12-30T08:52:00"/>
    <s v=""/>
    <s v="Ativo"/>
    <m/>
    <m/>
    <s v=""/>
    <s v=""/>
    <s v=""/>
    <x v="206"/>
    <s v="Rayssa Karapeticov"/>
    <x v="227"/>
    <s v=""/>
    <d v="2026-05-13T00:00:00"/>
    <n v="30"/>
    <s v=""/>
    <s v=""/>
    <s v=""/>
    <s v=""/>
    <n v="1"/>
  </r>
  <r>
    <x v="0"/>
    <n v="1087"/>
    <m/>
    <n v="3495"/>
    <s v=""/>
    <s v=""/>
    <x v="573"/>
    <m/>
    <s v=""/>
    <s v="Romulo"/>
    <s v="8191451469"/>
    <s v=""/>
    <s v="romulomelo2009@gmai.com"/>
    <s v=""/>
    <s v=""/>
    <s v=""/>
    <s v=""/>
    <s v=""/>
    <s v="Campanha"/>
    <s v=""/>
    <s v=""/>
    <s v="Fora Perfil;Instagram"/>
    <s v="Pipeline de Vendas"/>
    <s v="Agendamento (0%)"/>
    <s v=""/>
    <d v="2026-04-30T00:00:00"/>
    <m/>
    <m/>
    <n v="0"/>
    <s v="Paulo Souza"/>
    <d v="2026-04-10T00:00:00"/>
    <d v="1899-12-30T08:53:42"/>
    <s v=""/>
    <s v="Perdido"/>
    <d v="2026-04-10T00:00:00"/>
    <d v="1899-12-30T14:08:40"/>
    <s v="Preço muito alto - fora do budget de investimento"/>
    <s v=""/>
    <s v=""/>
    <x v="0"/>
    <s v="Paulo Souza"/>
    <x v="0"/>
    <s v=""/>
    <m/>
    <n v="30"/>
    <s v=""/>
    <s v=""/>
    <s v=""/>
    <s v=""/>
    <n v="1"/>
  </r>
  <r>
    <x v="0"/>
    <n v="1088"/>
    <m/>
    <n v="3498"/>
    <s v=""/>
    <s v=""/>
    <x v="574"/>
    <m/>
    <s v=""/>
    <s v="JH Navegação e Logística Ltda"/>
    <s v="92991313828"/>
    <s v=""/>
    <s v="hayliebarbosa1@gmail.com"/>
    <s v=""/>
    <s v=""/>
    <s v=""/>
    <s v=""/>
    <s v=""/>
    <s v="Campanha"/>
    <s v=""/>
    <s v=""/>
    <s v="Fora Perfil;Instagram"/>
    <s v="Pipeline de Vendas"/>
    <s v="Agendamento (0%)"/>
    <s v=""/>
    <m/>
    <m/>
    <m/>
    <n v="29"/>
    <s v="Paulo Souza"/>
    <d v="2026-04-10T00:00:00"/>
    <d v="1899-12-30T08:54:24"/>
    <s v=""/>
    <s v="Perdido"/>
    <d v="2026-05-09T00:00:00"/>
    <d v="1899-12-30T08:41:27"/>
    <s v="Fora do segmento atendido"/>
    <s v=""/>
    <s v=""/>
    <x v="0"/>
    <s v="Paulo Souza"/>
    <x v="0"/>
    <s v=""/>
    <m/>
    <n v="30"/>
    <s v=""/>
    <s v=""/>
    <s v=""/>
    <s v=""/>
    <n v="1"/>
  </r>
  <r>
    <x v="1"/>
    <n v="1089"/>
    <m/>
    <n v="3509"/>
    <s v=""/>
    <s v=""/>
    <x v="575"/>
    <n v="3654966000130"/>
    <s v=""/>
    <s v="Marlim Azul Turismo"/>
    <s v="27999346494"/>
    <s v=""/>
    <s v="heber@marlimazulturismo.com.br"/>
    <s v=""/>
    <s v=""/>
    <s v=""/>
    <s v=""/>
    <s v="Serra ES"/>
    <s v="Inbound"/>
    <s v=""/>
    <s v=""/>
    <s v="Fora Perfil;Instagram"/>
    <s v="Pipeline de Vendas"/>
    <s v="Agendamento (0%)"/>
    <s v=""/>
    <m/>
    <m/>
    <m/>
    <n v="0"/>
    <s v="Paulo Souza"/>
    <d v="2026-04-10T00:00:00"/>
    <d v="1899-12-30T08:55:19"/>
    <s v=""/>
    <s v="Perdido"/>
    <d v="2026-04-10T00:00:00"/>
    <d v="1899-12-30T10:24:21"/>
    <s v="Fora do porte mínimo (sem fit estrutural)"/>
    <s v="empresa fora do perfil"/>
    <s v=""/>
    <x v="0"/>
    <s v="Junior Lopes"/>
    <x v="0"/>
    <s v=""/>
    <m/>
    <n v="30"/>
    <s v=""/>
    <s v=""/>
    <s v=""/>
    <s v=""/>
    <n v="1"/>
  </r>
  <r>
    <x v="2"/>
    <n v="1090"/>
    <m/>
    <n v="3508"/>
    <s v="10.04 - Caixa postal _x000a_Bom dia Claudio , como vai?_x000a_Meu nome é Rayssa, sou da Guarani Sistemas. _x000a_Tentei contato com você para falarmos de sua necessidade de implantação de um novo software para sua empresa._x000a_Qual melhor horario para te retornar?"/>
    <s v=""/>
    <x v="576"/>
    <m/>
    <s v=""/>
    <s v="Mercado do bairro"/>
    <s v="11949454465"/>
    <s v=""/>
    <s v="mercadobairro11@gmail.com"/>
    <s v=""/>
    <s v=""/>
    <s v=""/>
    <s v=""/>
    <s v=""/>
    <s v="Campanha"/>
    <s v=""/>
    <s v=""/>
    <s v="Fora Perfil;Instagram"/>
    <s v="Pipeline de Vendas"/>
    <s v="Agendamento (0%)"/>
    <s v=""/>
    <d v="2026-04-30T00:00:00"/>
    <m/>
    <m/>
    <n v="0"/>
    <s v="Paulo Souza"/>
    <d v="2026-04-10T00:00:00"/>
    <d v="1899-12-30T08:56:18"/>
    <s v=""/>
    <s v="Perdido"/>
    <d v="2026-04-10T00:00:00"/>
    <d v="1899-12-30T10:43:18"/>
    <s v="Fora do porte mínimo (sem fit estrutural)"/>
    <s v="mercado"/>
    <s v=""/>
    <x v="0"/>
    <s v="Rayssa Karapeticov"/>
    <x v="0"/>
    <s v=""/>
    <m/>
    <n v="30"/>
    <s v=""/>
    <s v=""/>
    <s v=""/>
    <s v=""/>
    <n v="1"/>
  </r>
  <r>
    <x v="1"/>
    <n v="1091"/>
    <m/>
    <n v="3507"/>
    <s v="(10/04/2026) em contato com Guri a fim de entender melhor suas necessidades"/>
    <s v=""/>
    <x v="577"/>
    <m/>
    <s v=""/>
    <s v="Guri cervejaria"/>
    <s v="54996551297"/>
    <s v=""/>
    <s v="cervejariaguri@hotmail.com"/>
    <s v=""/>
    <s v=""/>
    <s v=""/>
    <s v=""/>
    <s v=""/>
    <s v="Campanha"/>
    <s v=""/>
    <s v=""/>
    <s v="Fora Perfil;Instagram"/>
    <s v="Pipeline de Vendas"/>
    <s v="Qualificação de Vendas (SQL) (25%)"/>
    <s v=""/>
    <d v="2026-04-30T00:00:00"/>
    <m/>
    <m/>
    <n v="0"/>
    <s v="Paulo Souza"/>
    <d v="2026-04-10T00:00:00"/>
    <d v="1899-12-30T08:57:15"/>
    <s v=""/>
    <s v="Perdido"/>
    <d v="2026-04-10T00:00:00"/>
    <d v="1899-12-30T10:26:02"/>
    <s v="Fora do porte mínimo (sem fit estrutural)"/>
    <s v="Guri cervejaria é basicamente um bar e entretenimento com quadras de futebol, fora do perfil"/>
    <s v=""/>
    <x v="0"/>
    <s v="Junior Lopes"/>
    <x v="0"/>
    <s v=""/>
    <m/>
    <n v="30"/>
    <s v=""/>
    <s v=""/>
    <s v=""/>
    <s v=""/>
    <n v="1"/>
  </r>
  <r>
    <x v="2"/>
    <n v="1092"/>
    <m/>
    <n v="3506"/>
    <s v="28.04 Boa tarde Paulo, como vai?_x000a_Meu nome é Rayssa, sou da Guarani Sistemas, e falei com você uns dias atrás para entender sua necessidade de implantação de um novo software, porém, não consegui mais falar com você._x000a_Ainda está em busca de uma solução tecnologica para a empresa?"/>
    <s v=""/>
    <x v="578"/>
    <n v="34731194000117"/>
    <s v=""/>
    <s v="UP"/>
    <s v="(11) 4199-5100"/>
    <s v=""/>
    <s v="financeiro@up-ib.com.br"/>
    <s v=""/>
    <s v=""/>
    <s v=""/>
    <s v="ARACARIGUAMA"/>
    <s v="SP"/>
    <s v="Inbound"/>
    <s v=""/>
    <s v=""/>
    <s v="Dentro Perfil;Instagram"/>
    <s v="Pipeline de Vendas"/>
    <s v="Apresentar Solução (35%)"/>
    <s v=""/>
    <d v="2026-06-30T00:00:00"/>
    <m/>
    <m/>
    <n v="39"/>
    <s v="Paulo Souza"/>
    <d v="2026-04-10T00:00:00"/>
    <d v="1899-12-30T08:58:12"/>
    <s v=""/>
    <s v="Perdido"/>
    <d v="2026-05-19T00:00:00"/>
    <d v="1899-12-30T11:26:52"/>
    <s v="Projeto adiado / sem prazo definido"/>
    <s v=""/>
    <s v=""/>
    <x v="0"/>
    <s v="Rayssa Karapeticov"/>
    <x v="0"/>
    <s v=""/>
    <d v="2026-05-19T00:00:00"/>
    <n v="30"/>
    <s v=""/>
    <s v=""/>
    <s v=""/>
    <s v=""/>
    <n v="1"/>
  </r>
  <r>
    <x v="2"/>
    <n v="1093"/>
    <m/>
    <n v="3487"/>
    <s v=""/>
    <s v=""/>
    <x v="579"/>
    <n v="9313543000133"/>
    <s v=""/>
    <s v="Aucione Lima da Silva"/>
    <s v="(11) 94035-6615"/>
    <s v=""/>
    <s v="contato@raryplast.com.br"/>
    <s v=""/>
    <s v=""/>
    <s v=""/>
    <s v="Tatuí"/>
    <s v=""/>
    <s v="Site"/>
    <s v=""/>
    <s v=""/>
    <s v="Contato"/>
    <s v="Pipeline de Vendas"/>
    <s v="Agendamento (0%)"/>
    <s v=""/>
    <d v="2026-08-31T00:00:00"/>
    <m/>
    <m/>
    <n v="12"/>
    <s v="Paulo Souza"/>
    <d v="2026-04-10T00:00:00"/>
    <d v="1899-12-30T09:00:23"/>
    <s v=""/>
    <s v="Perdido"/>
    <d v="2026-04-22T00:00:00"/>
    <d v="1899-12-30T17:04:29"/>
    <s v="Não quer mudar a solução atual"/>
    <s v=""/>
    <s v=""/>
    <x v="0"/>
    <s v="Rayssa Karapeticov"/>
    <x v="0"/>
    <s v=""/>
    <d v="2026-04-22T00:00:00"/>
    <n v="30"/>
    <s v=""/>
    <s v=""/>
    <s v=""/>
    <s v=""/>
    <n v="1"/>
  </r>
  <r>
    <x v="0"/>
    <n v="1094"/>
    <m/>
    <n v="3499"/>
    <s v=""/>
    <s v=""/>
    <x v="580"/>
    <m/>
    <s v=""/>
    <s v="Adovanio"/>
    <s v="11947878080"/>
    <s v=""/>
    <s v="cptavaresrepresenta@gmail.com"/>
    <s v=""/>
    <s v=""/>
    <s v=""/>
    <s v=""/>
    <s v=""/>
    <s v="Campanha"/>
    <s v=""/>
    <s v=""/>
    <s v="Dentro Perfil;Instagram"/>
    <s v="Pipeline de Vendas"/>
    <s v="Agendamento (0%)"/>
    <s v=""/>
    <d v="2026-04-30T00:00:00"/>
    <m/>
    <m/>
    <n v="29"/>
    <s v="Paulo Souza"/>
    <d v="2026-04-10T00:00:00"/>
    <d v="1899-12-30T09:01:47"/>
    <s v=""/>
    <s v="Perdido"/>
    <d v="2026-05-09T00:00:00"/>
    <d v="1899-12-30T08:42:12"/>
    <s v="Sem qualificação — contato não atende ligações nem responde msg"/>
    <s v=""/>
    <s v=""/>
    <x v="0"/>
    <s v="Paulo Souza"/>
    <x v="0"/>
    <s v=""/>
    <m/>
    <n v="30"/>
    <s v=""/>
    <s v=""/>
    <s v=""/>
    <s v=""/>
    <n v="1"/>
  </r>
  <r>
    <x v="1"/>
    <n v="1095"/>
    <m/>
    <n v="3489"/>
    <s v="(10/04/2026) Buscando contato com Andrea"/>
    <s v=""/>
    <x v="581"/>
    <n v="18564850000188"/>
    <s v=""/>
    <s v="Gerente Produção"/>
    <s v="(47) 99633-0990"/>
    <s v=""/>
    <s v="gerenteproducaosimas@gmail.com"/>
    <s v=""/>
    <s v=""/>
    <s v=""/>
    <s v="ITAJAI"/>
    <s v="SC"/>
    <s v="Site"/>
    <s v=""/>
    <s v=""/>
    <s v="Solicita demo"/>
    <s v="Pipeline de Vendas"/>
    <s v="Em negociação (75%)"/>
    <s v=""/>
    <d v="2026-04-30T00:00:00"/>
    <n v="16960"/>
    <n v="1150"/>
    <n v="40"/>
    <s v="Paulo Souza"/>
    <d v="2026-04-10T00:00:00"/>
    <d v="1899-12-30T09:02:55"/>
    <s v=""/>
    <s v="Ativo"/>
    <m/>
    <m/>
    <s v=""/>
    <s v=""/>
    <s v=""/>
    <x v="207"/>
    <s v="Junior Lopes"/>
    <x v="228"/>
    <s v="06/05/2026"/>
    <m/>
    <n v="30"/>
    <s v=""/>
    <s v=""/>
    <s v=""/>
    <s v=""/>
    <n v="1"/>
  </r>
  <r>
    <x v="0"/>
    <n v="1096"/>
    <m/>
    <n v="3513"/>
    <s v=""/>
    <s v=""/>
    <x v="582"/>
    <m/>
    <s v=""/>
    <s v="Silvia"/>
    <s v="11996146290"/>
    <s v=""/>
    <s v="null"/>
    <s v=""/>
    <s v=""/>
    <s v=""/>
    <s v=""/>
    <s v=""/>
    <s v=""/>
    <s v=""/>
    <s v=""/>
    <s v=""/>
    <s v="Pipeline de Vendas"/>
    <s v="Em negociação (75%)"/>
    <s v=""/>
    <m/>
    <n v="26350"/>
    <n v="3450"/>
    <n v="38"/>
    <s v="Paulo Souza"/>
    <d v="2026-04-10T00:00:00"/>
    <d v="1899-12-30T09:15:28"/>
    <s v=""/>
    <s v="Perdido"/>
    <d v="2026-05-18T00:00:00"/>
    <d v="1899-12-30T17:01:15"/>
    <s v="Preço muito alto - fora do budget de investimento"/>
    <s v=""/>
    <s v=""/>
    <x v="0"/>
    <s v="Paulo Souza"/>
    <x v="0"/>
    <s v=""/>
    <d v="2026-04-20T00:00:00"/>
    <n v="30"/>
    <s v=""/>
    <s v=""/>
    <s v=""/>
    <s v=""/>
    <n v="1"/>
  </r>
  <r>
    <x v="2"/>
    <n v="1097"/>
    <m/>
    <n v="3514"/>
    <s v=""/>
    <s v="Green Flower Comercio, Importacao E Exportacao Ltda"/>
    <x v="583"/>
    <n v="7382350000109"/>
    <s v=""/>
    <s v="Green Flower Comercio, Importacao E Exportacao Ltda"/>
    <s v="(11) 4395-7650"/>
    <s v=""/>
    <s v="contato@acrosscontabil.com.br"/>
    <s v=""/>
    <s v=""/>
    <s v=""/>
    <s v="SAO PAULO"/>
    <s v="SP"/>
    <s v="Base de empresas Leads2b"/>
    <s v=""/>
    <s v=""/>
    <s v=""/>
    <s v="Pipeline de Vendas"/>
    <s v="Qualificação de Vendas (SQL) (25%)"/>
    <s v=""/>
    <m/>
    <m/>
    <m/>
    <n v="40"/>
    <s v="Rayssa Karapeticov"/>
    <d v="2026-04-10T00:00:00"/>
    <d v="1899-12-30T15:04:34"/>
    <s v=""/>
    <s v="Ativo"/>
    <m/>
    <m/>
    <s v=""/>
    <s v=""/>
    <s v=""/>
    <x v="0"/>
    <s v="Rayssa Karapeticov"/>
    <x v="0"/>
    <s v=""/>
    <d v="2026-05-07T00:00:00"/>
    <n v="30"/>
    <s v=""/>
    <s v=""/>
    <s v=""/>
    <s v=""/>
    <n v="1"/>
  </r>
  <r>
    <x v="2"/>
    <n v="1098"/>
    <m/>
    <n v="3516"/>
    <s v=""/>
    <s v="Santorini Atacadista Ltda"/>
    <x v="584"/>
    <n v="34355470000190"/>
    <s v=""/>
    <s v="Santorini Atacadista Ltda"/>
    <s v="(11) 8284-9672"/>
    <s v=""/>
    <s v="maluciarezende@gmail.com"/>
    <s v=""/>
    <s v=""/>
    <s v=""/>
    <s v="SAO PAULO"/>
    <s v="SP"/>
    <s v="Base de empresas Leads2b"/>
    <s v=""/>
    <s v=""/>
    <s v=""/>
    <s v="Pipeline de Vendas"/>
    <s v="Agendamento (0%)"/>
    <s v=""/>
    <m/>
    <m/>
    <m/>
    <n v="0"/>
    <s v="Rayssa Karapeticov"/>
    <d v="2026-04-10T00:00:00"/>
    <d v="1899-12-30T15:47:11"/>
    <s v=""/>
    <s v="Perdido"/>
    <d v="2026-04-10T00:00:00"/>
    <d v="1899-12-30T15:48:31"/>
    <s v="Fora do porte mínimo (sem fit estrutural)"/>
    <s v=""/>
    <s v=""/>
    <x v="0"/>
    <s v="Rayssa Karapeticov"/>
    <x v="0"/>
    <s v=""/>
    <m/>
    <n v="30"/>
    <s v=""/>
    <s v=""/>
    <s v=""/>
    <s v=""/>
    <n v="1"/>
  </r>
  <r>
    <x v="2"/>
    <n v="1099"/>
    <m/>
    <n v="3518"/>
    <s v=""/>
    <s v="Mabel Comercio De Importados Ltda"/>
    <x v="585"/>
    <n v="527682000195"/>
    <s v=""/>
    <s v="Mabel Comercio De Importados Ltda"/>
    <s v="(11) 3315-0052"/>
    <s v=""/>
    <s v="deptofiscal@mabelimport.com.br"/>
    <s v=""/>
    <s v=""/>
    <s v=""/>
    <s v="SOROCABA"/>
    <s v="SP"/>
    <s v="Base de empresas Leads2b"/>
    <s v=""/>
    <s v=""/>
    <s v=""/>
    <s v="Pipeline de Vendas"/>
    <s v="Qualificação de Vendas (SQL) (25%)"/>
    <s v=""/>
    <m/>
    <m/>
    <m/>
    <n v="27"/>
    <s v="Rayssa Karapeticov"/>
    <d v="2026-04-10T00:00:00"/>
    <d v="1899-12-30T17:12:21"/>
    <s v=""/>
    <s v="Perdido"/>
    <d v="2026-05-07T00:00:00"/>
    <d v="1899-12-30T10:09:44"/>
    <s v="Projeto adiado / sem prazo definido"/>
    <s v=""/>
    <s v=""/>
    <x v="0"/>
    <s v="Rayssa Karapeticov"/>
    <x v="0"/>
    <s v=""/>
    <m/>
    <n v="28"/>
    <s v=""/>
    <s v=""/>
    <s v=""/>
    <s v=""/>
    <n v="1"/>
  </r>
  <r>
    <x v="2"/>
    <n v="1100"/>
    <m/>
    <n v="3522"/>
    <s v=""/>
    <s v="U4 Home Artigos Domesticos Ltda"/>
    <x v="586"/>
    <n v="28516601000170"/>
    <s v=""/>
    <s v="U4 Home Artigos Domesticos Ltda"/>
    <s v="(13) 3303-9200"/>
    <s v=""/>
    <s v="financeiro@u4home.com.br"/>
    <s v=""/>
    <s v=""/>
    <s v=""/>
    <s v="ITANHAEM"/>
    <s v="SP"/>
    <s v="Base de empresas Leads2b"/>
    <s v=""/>
    <s v=""/>
    <s v=""/>
    <s v="Pipeline de Vendas"/>
    <s v="Qualificação de Vendas (SQL) (25%)"/>
    <s v=""/>
    <m/>
    <m/>
    <m/>
    <n v="40"/>
    <s v="Rayssa Karapeticov"/>
    <d v="2026-04-10T00:00:00"/>
    <d v="1899-12-30T17:23:16"/>
    <s v=""/>
    <s v="Ativo"/>
    <m/>
    <m/>
    <s v=""/>
    <s v=""/>
    <s v=""/>
    <x v="0"/>
    <s v="Rayssa Karapeticov"/>
    <x v="0"/>
    <s v=""/>
    <m/>
    <n v="30"/>
    <s v=""/>
    <s v=""/>
    <s v=""/>
    <s v=""/>
    <n v="1"/>
  </r>
  <r>
    <x v="2"/>
    <n v="1101"/>
    <m/>
    <n v="3530"/>
    <s v="16.14 - apresentação realizada"/>
    <s v="Ns Iguacu Eletronicos Ltda"/>
    <x v="587"/>
    <n v="12259254000108"/>
    <s v=""/>
    <s v="Leticia"/>
    <s v="(11) 96978-9804"/>
    <s v=""/>
    <s v="weisc@uol.com.br"/>
    <s v=""/>
    <s v=""/>
    <s v=""/>
    <s v="SAO PAULO"/>
    <s v="SP"/>
    <s v="Base de empresas Leads2b"/>
    <s v=""/>
    <s v=""/>
    <s v=""/>
    <s v="Pipeline de Vendas"/>
    <s v="Apresentar Proposta (50%)"/>
    <s v=""/>
    <d v="2026-07-31T00:00:00"/>
    <m/>
    <m/>
    <n v="37"/>
    <s v="Rayssa Karapeticov"/>
    <d v="2026-04-13T00:00:00"/>
    <d v="1899-12-30T12:31:55"/>
    <s v=""/>
    <s v="Ativo"/>
    <m/>
    <m/>
    <s v=""/>
    <s v=""/>
    <s v=""/>
    <x v="208"/>
    <s v="Rayssa Karapeticov"/>
    <x v="229"/>
    <s v="04/05/2026"/>
    <d v="2026-05-13T00:00:00"/>
    <n v="30"/>
    <s v=""/>
    <s v=""/>
    <s v=""/>
    <s v=""/>
    <n v="1"/>
  </r>
  <r>
    <x v="1"/>
    <n v="1102"/>
    <m/>
    <n v="3533"/>
    <s v="(23/04/2026) em ligação _x000a_adicionou meu numero de WhatsApp para enviar ao gerente comercial _x000a_10:49, 23/04/2026 Amanda Etilux Oliveira: Bom dia, tudo bem ?_x000a_10:50, 23/04/2026 Amanda Etilux Oliveira: Amanda da Etilux_x000a_10:50, 23/04/2026 Junior Lopes: Olá Amanda, bom dia! Tudo bem por aqui. Como posso te ajudar hoje?_x000a_10:57, 23/04/2026 Junior Lopes: Olá ! Muito obrigado_x000a_10:58, 23/04/2026 Amanda Etilux Oliveira: poderia me explicar de novo, para te encaminhar para o setor responsavel_x000a_10:58, 23/04/2026 Junior Lopes: Td bem Amanda ?_x000a_10:59, 23/04/2026 Amanda Etilux Oliveira: sim_x000a_11:01, 23/04/2026 Junior Lopes: Sou Junior Lopes da Guarani sistemas _x000a_A ideia é apresentar nossa soluções para automação da força de vendas _x000a_Nossa solução pode ajudar seu representante a vender mais com recursos de IA acoplado ao aplicativo, vendas B2B feitas pelo próprio representante/vendedor_x000a_11:01, 23/04/2026 Junior Lopes: A ideia é apresentar essa solução para seu gestor comercial_x000a_11:01, 23/04/2026 Junior Lopes: Acredito que seja o Rodrigo Fritoli_x000a_11:03, 23/04/2026 Amanda Etilux Oliveira: Sobre sistemas pode mandar e-mail ewerton.dias@etilux.com.br_x000a_11:04, 23/04/2026 Junior Lopes: Ta joia ! Vou enviar para Ewerton_x000a_11:04, 23/04/2026 Junior Lopes: Acredito que seja o Rodrigo Fritoli_x000a_Vc consegue me enviar o telefone do Rodrigo?_x000a_11:05, 23/04/2026 Amanda Etilux Oliveira: Consigo te enviar o e-mail _x000a_rodrigo.fritoli@etilux.com.br"/>
    <s v="Etilux Importacao E Distribuicao De Artigos De Cutelaria Ltda"/>
    <x v="588"/>
    <n v="50306471000524"/>
    <s v=""/>
    <s v="Etilux Importacao E Distribuicao De Artigos De Cutelaria Ltda"/>
    <s v="(11) 3227-3263"/>
    <s v=""/>
    <s v="askfiscal@askcontabil.com.br"/>
    <s v=""/>
    <s v=""/>
    <s v=""/>
    <s v="GUARULHOS"/>
    <s v="SP"/>
    <s v="Base de empresas Leads2b"/>
    <s v=""/>
    <s v=""/>
    <s v=""/>
    <s v="Pipeline de Vendas"/>
    <s v="Qualificação de Vendas (SQL) (25%)"/>
    <s v=""/>
    <m/>
    <m/>
    <m/>
    <n v="37"/>
    <s v="Junior Lopes"/>
    <d v="2026-04-13T00:00:00"/>
    <d v="1899-12-30T15:14:42"/>
    <s v=""/>
    <s v="Ativo"/>
    <m/>
    <m/>
    <s v=""/>
    <s v=""/>
    <s v=""/>
    <x v="0"/>
    <s v=""/>
    <x v="0"/>
    <s v=""/>
    <d v="2026-04-23T00:00:00"/>
    <n v="30"/>
    <s v=""/>
    <s v=""/>
    <s v="R$ 0,00"/>
    <s v=""/>
    <n v="1"/>
  </r>
  <r>
    <x v="2"/>
    <n v="1103"/>
    <m/>
    <n v="3534"/>
    <s v="14.04 - em ligação com o cliente, já conhecem o Guarani devido a clientes do mesmo segmento, e já tiveram uma conversa conosco a uns 15 anos atrás e não avançaram devido o valor. Retornou o contato pedindo uma apreentação do sistemas para os funcionários da empresa ainda essa semana, porque o diretor que estara presente viaja na proxima semana"/>
    <s v=""/>
    <x v="589"/>
    <n v="8822792000191"/>
    <s v=""/>
    <s v="Ana Cristina"/>
    <s v="(11) 95126-4832"/>
    <s v=""/>
    <s v="financeiro.sqcomercio@gmail.com"/>
    <s v=""/>
    <s v=""/>
    <s v=""/>
    <s v="SAO PAULO"/>
    <s v="SP"/>
    <s v="Site"/>
    <s v=""/>
    <s v=""/>
    <s v="Dentro Perfil;Solicita demo"/>
    <s v="Pipeline de Vendas"/>
    <s v="Em negociação (75%)"/>
    <s v=""/>
    <d v="2026-09-30T00:00:00"/>
    <n v="85600"/>
    <n v="66847"/>
    <n v="29"/>
    <s v="Paulo Souza"/>
    <d v="2026-04-14T00:00:00"/>
    <d v="1899-12-30T10:03:18"/>
    <s v=""/>
    <s v="Perdido"/>
    <d v="2026-05-13T00:00:00"/>
    <d v="1899-12-30T11:16:02"/>
    <s v="Fechou com o concorrente - funcionaliadade"/>
    <s v=""/>
    <s v=""/>
    <x v="208"/>
    <s v="Rayssa Karapeticov"/>
    <x v="230"/>
    <s v=""/>
    <d v="2026-05-13T00:00:00"/>
    <n v="30"/>
    <s v=""/>
    <s v="ERP, AFV, WMS, COMEX, CLOUD"/>
    <s v=""/>
    <s v=""/>
    <n v="1"/>
  </r>
  <r>
    <x v="2"/>
    <n v="1104"/>
    <m/>
    <n v="3527"/>
    <s v="14.04 Cliente vende auto peças, material de construção e ainda presta serviço. é um logista. _x000a_Fora do perfil"/>
    <s v=""/>
    <x v="590"/>
    <m/>
    <s v=""/>
    <s v="Comblocos Materiais de Construção"/>
    <s v="33988611992"/>
    <s v=""/>
    <s v="ittalo.tim@hotmail.com"/>
    <s v=""/>
    <s v=""/>
    <s v=""/>
    <s v=""/>
    <s v="Vvv"/>
    <s v="Inbound"/>
    <s v=""/>
    <s v=""/>
    <s v="Fora Perfil;Instagram"/>
    <s v="Pipeline de Vendas"/>
    <s v="Agendamento (0%)"/>
    <s v=""/>
    <d v="2026-04-30T00:00:00"/>
    <m/>
    <m/>
    <n v="0"/>
    <s v="Paulo Souza"/>
    <d v="2026-04-14T00:00:00"/>
    <d v="1899-12-30T10:05:58"/>
    <s v=""/>
    <s v="Perdido"/>
    <d v="2026-04-14T00:00:00"/>
    <d v="1899-12-30T10:31:19"/>
    <s v="Fora do porte mínimo (sem fit estrutural)"/>
    <s v=""/>
    <s v=""/>
    <x v="0"/>
    <s v="Rayssa Karapeticov"/>
    <x v="0"/>
    <s v=""/>
    <m/>
    <n v="30"/>
    <s v=""/>
    <s v=""/>
    <s v=""/>
    <s v=""/>
    <n v="1"/>
  </r>
  <r>
    <x v="1"/>
    <n v="1105"/>
    <m/>
    <n v="3524"/>
    <s v="(14/04/2026) em contato com Renan _x000a_10:42, 14/04/2026 Junior Lopes: Olá Renan, bom dia ! tudo bem ?_x000a_10:42, 14/04/2026 Junior Lopes: sou Junior Lopes da Guarani sistemas td bem ?_x000a_10:44, 14/04/2026 +55 66 9647-2785: Bom dia Junior_x000a_10:44, 14/04/2026 +55 66 9647-2785: Tudo bem e contigo?_x000a_10:45, 14/04/2026 Junior Lopes: Opa Td joia ! _x000a_Estou retornando para vc um contato que fez conosco sobre nosso software_x000a_11:03, 14/04/2026 +55 66 9647-2785: Vc tem sistema para materiais para construção_x000a_11:03, 14/04/2026 +55 66 9647-2785: ?_x000a_11:27, 14/04/2026 +55 66 9647-2785: A venda somente interna mesmo_x000a_11:27, 14/04/2026 +55 66 9647-2785: Não tem vendedores externos_x000a_11:36, 14/04/2026 Junior Lopes: Fiz uma análise rápida aqui Renan devido alguns pontos não consigo te atender! Ate pq nossa solução é mais focada em distribuição"/>
    <s v=""/>
    <x v="591"/>
    <m/>
    <s v=""/>
    <s v="Araguaia Materiais Para Construcao"/>
    <s v="66996472785"/>
    <s v=""/>
    <s v="renansimon@gmail.com"/>
    <s v=""/>
    <s v=""/>
    <s v=""/>
    <s v=""/>
    <s v=""/>
    <s v="Campanha"/>
    <s v=""/>
    <s v=""/>
    <s v="Fora Perfil;Instagram"/>
    <s v="Pipeline de Vendas"/>
    <s v="Qualificação de Vendas (SQL) (25%)"/>
    <s v=""/>
    <d v="2026-04-14T00:00:00"/>
    <m/>
    <m/>
    <n v="0"/>
    <s v="Paulo Souza"/>
    <d v="2026-04-14T00:00:00"/>
    <d v="1899-12-30T10:08:51"/>
    <s v=""/>
    <s v="Perdido"/>
    <d v="2026-04-14T00:00:00"/>
    <d v="1899-12-30T11:58:52"/>
    <s v="Fora do porte mínimo (sem fit estrutural)"/>
    <s v="em contato com Renan, precisa de um PDV para loja de material de construção com particularidades de entrega parcial e controle de medidas das para venda de terras e pedras"/>
    <s v=""/>
    <x v="0"/>
    <s v="Junior Lopes"/>
    <x v="0"/>
    <s v=""/>
    <m/>
    <n v="30"/>
    <s v=""/>
    <s v=""/>
    <s v=""/>
    <s v=""/>
    <n v="1"/>
  </r>
  <r>
    <x v="1"/>
    <n v="1106"/>
    <m/>
    <n v="3525"/>
    <s v=""/>
    <s v=""/>
    <x v="592"/>
    <m/>
    <s v=""/>
    <s v="Teodoro cosméticos"/>
    <s v="64999291080"/>
    <s v=""/>
    <s v="rogeriojtigo@hotmail.com"/>
    <s v=""/>
    <s v=""/>
    <s v=""/>
    <s v=""/>
    <s v="Jatai goais"/>
    <s v="Inbound"/>
    <s v=""/>
    <s v=""/>
    <s v="Dentro Perfil;Instagram"/>
    <s v="Pipeline de Vendas"/>
    <s v="Qualificação de Vendas (SQL) (25%)"/>
    <s v=""/>
    <d v="2026-04-14T00:00:00"/>
    <m/>
    <m/>
    <n v="36"/>
    <s v="Paulo Souza"/>
    <d v="2026-04-14T00:00:00"/>
    <d v="1899-12-30T10:09:44"/>
    <s v=""/>
    <s v="Ativo"/>
    <m/>
    <m/>
    <s v=""/>
    <s v=""/>
    <s v=""/>
    <x v="0"/>
    <s v="Junior Lopes"/>
    <x v="0"/>
    <s v=""/>
    <m/>
    <n v="30"/>
    <s v=""/>
    <s v=""/>
    <s v=""/>
    <s v=""/>
    <n v="1"/>
  </r>
  <r>
    <x v="1"/>
    <n v="1107"/>
    <m/>
    <n v="3526"/>
    <s v=""/>
    <s v=""/>
    <x v="593"/>
    <n v="52975803000165"/>
    <s v=""/>
    <s v="Dsg"/>
    <s v="85994341515"/>
    <s v=""/>
    <s v="euderi@hotmail.com"/>
    <s v=""/>
    <s v=""/>
    <s v=""/>
    <s v="MARACANAU"/>
    <s v="CE"/>
    <s v="Campanha"/>
    <s v=""/>
    <s v=""/>
    <s v="Fora Perfil;Instagram"/>
    <s v="Pipeline de Vendas"/>
    <s v="Agendamento (0%)"/>
    <s v=""/>
    <d v="2026-04-14T00:00:00"/>
    <m/>
    <m/>
    <n v="25"/>
    <s v="Paulo Souza"/>
    <d v="2026-04-14T00:00:00"/>
    <d v="1899-12-30T10:11:37"/>
    <s v=""/>
    <s v="Perdido"/>
    <d v="2026-05-09T00:00:00"/>
    <d v="1899-12-30T08:42:58"/>
    <s v="Fora do segmento atendido"/>
    <s v=""/>
    <s v=""/>
    <x v="0"/>
    <s v="Junior Lopes"/>
    <x v="0"/>
    <s v=""/>
    <m/>
    <n v="30"/>
    <s v=""/>
    <s v=""/>
    <s v=""/>
    <s v=""/>
    <n v="1"/>
  </r>
  <r>
    <x v="1"/>
    <n v="1113"/>
    <m/>
    <n v="3542"/>
    <s v=""/>
    <s v="Logrosoft Comercio, Importacao, Exportacao E Prestacao De Servicos Ltda"/>
    <x v="594"/>
    <n v="38116840000197"/>
    <s v=""/>
    <s v="Logrosoft Comercio, Importacao, Exportacao E Prestacao De Servicos Ltda"/>
    <s v="(31) 3378-0033"/>
    <s v=""/>
    <s v="supervisoroperacional@logrosoft.com.br"/>
    <s v=""/>
    <s v=""/>
    <s v=""/>
    <s v="BELO HORIZONTE"/>
    <s v="MG"/>
    <s v="Base de empresas Leads2b"/>
    <s v=""/>
    <s v=""/>
    <s v=""/>
    <s v="Pipeline de Vendas"/>
    <s v="Apresentar Solução (35%)"/>
    <s v=""/>
    <m/>
    <n v="13509779"/>
    <n v="899628"/>
    <n v="16"/>
    <s v="Junior Lopes"/>
    <d v="2026-04-14T00:00:00"/>
    <d v="1899-12-30T16:43:47"/>
    <s v=""/>
    <s v="Perdido"/>
    <d v="2026-04-30T00:00:00"/>
    <d v="1899-12-30T15:42:59"/>
    <s v="Não houve aprovação financeira"/>
    <s v="dois pontos que o cliente usou para não seguir ! busca um ERP Mais simples e com valor ,ais em conta"/>
    <s v=""/>
    <x v="209"/>
    <s v=""/>
    <x v="231"/>
    <s v=""/>
    <m/>
    <n v="50"/>
    <s v=""/>
    <s v=""/>
    <s v=""/>
    <s v=""/>
    <n v="1"/>
  </r>
  <r>
    <x v="1"/>
    <n v="1114"/>
    <m/>
    <n v="3544"/>
    <s v=""/>
    <s v=""/>
    <x v="595"/>
    <n v="38116840000197"/>
    <s v=""/>
    <s v="Logrosoft comercio CLOUD"/>
    <s v="3133780033"/>
    <s v=""/>
    <s v="supervisoroperacional@logrosoft.com.br"/>
    <s v=""/>
    <s v=""/>
    <s v=""/>
    <s v="BELO HORIZONTE"/>
    <s v="MG"/>
    <s v=""/>
    <s v=""/>
    <s v=""/>
    <s v=""/>
    <s v="Pipeline de Vendas"/>
    <s v="Em negociação (75%)"/>
    <s v=""/>
    <m/>
    <m/>
    <m/>
    <n v="16"/>
    <s v="Junior Lopes"/>
    <d v="2026-04-14T00:00:00"/>
    <d v="1899-12-30T16:46:18"/>
    <s v=""/>
    <s v="Perdido"/>
    <d v="2026-04-30T00:00:00"/>
    <d v="1899-12-30T15:42:07"/>
    <s v="Não houve aprovação financeira"/>
    <s v="dois pontos que o cliente usou para não seguir ! busca um ERP Mais simples e com valor ,ais em conta"/>
    <s v=""/>
    <x v="209"/>
    <s v=""/>
    <x v="232"/>
    <s v=""/>
    <m/>
    <n v="50"/>
    <s v=""/>
    <s v=""/>
    <s v=""/>
    <s v=""/>
    <n v="1"/>
  </r>
  <r>
    <x v="2"/>
    <n v="1116"/>
    <m/>
    <n v="3545"/>
    <s v="28.04"/>
    <s v=""/>
    <x v="596"/>
    <m/>
    <s v=""/>
    <s v="RK Assessoria Contábil"/>
    <s v="92981527777"/>
    <s v=""/>
    <s v="rcustodio777@gmail.com"/>
    <s v=""/>
    <s v=""/>
    <s v=""/>
    <s v=""/>
    <s v="Amazonas"/>
    <s v="Inbound"/>
    <s v=""/>
    <s v=""/>
    <s v="Dentro Perfil;Instagram"/>
    <s v="Pipeline de Vendas"/>
    <s v="Agendamento (0%)"/>
    <s v=""/>
    <d v="2026-04-15T00:00:00"/>
    <m/>
    <m/>
    <n v="24"/>
    <s v="Paulo Souza"/>
    <d v="2026-04-15T00:00:00"/>
    <d v="1899-12-30T12:27:42"/>
    <s v=""/>
    <s v="Perdido"/>
    <d v="2026-05-09T00:00:00"/>
    <d v="1899-12-30T08:29:42"/>
    <s v="Fora do segmento atendido"/>
    <s v=""/>
    <s v=""/>
    <x v="0"/>
    <s v="Rayssa Karapeticov"/>
    <x v="0"/>
    <s v=""/>
    <d v="2026-04-28T00:00:00"/>
    <n v="30"/>
    <s v=""/>
    <s v=""/>
    <s v=""/>
    <s v=""/>
    <n v="1"/>
  </r>
  <r>
    <x v="1"/>
    <n v="1117"/>
    <m/>
    <n v="3546"/>
    <s v="11:25, 16/04/2026 Junior Lopes: Olá bom dia !_x000a_11:25, 16/04/2026 Junior Lopes: Sou Junior Lopes da Guarani sistemas, Td bem ?_x000a_11:28, 16/04/2026 Junior Lopes: Estou retornando um contato que vc fez conosco_x000a_11:38, 16/04/2026 Big Alimentos: BIG Alimentos  agradece seu contato. Como podemos ajudar?_x000a_14:48, 16/04/2026 Big Alimentos: Olá_x000a_14:49, 16/04/2026 Big Alimentos: Júnior estou na estrada _x000a_Retorno na quarta_x000a_14:49, 16/04/2026 Big Alimentos: Aí falamos_x000a_14:49, 16/04/2026 Big Alimentos: Blz_x000a_14:54, 16/04/2026 Junior Lopes: Boa viagem 👊_x000a_🙏_x000a_(18/05/2026) cliente não responde aos contatos"/>
    <s v=""/>
    <x v="597"/>
    <m/>
    <s v=""/>
    <s v="AutoFoz"/>
    <s v="41991237979"/>
    <s v=""/>
    <s v="b8alimentos@gmail.com"/>
    <s v=""/>
    <s v=""/>
    <s v=""/>
    <s v=""/>
    <s v="Brasil"/>
    <s v="Inbound"/>
    <s v=""/>
    <s v=""/>
    <s v="Dentro Perfil;Instagram"/>
    <s v="Pipeline de Vendas"/>
    <s v="Qualificação de Vendas (SQL) (25%)"/>
    <s v=""/>
    <d v="2026-04-30T00:00:00"/>
    <m/>
    <m/>
    <n v="33"/>
    <s v="Paulo Souza"/>
    <d v="2026-04-15T00:00:00"/>
    <d v="1899-12-30T12:28:31"/>
    <s v=""/>
    <s v="Perdido"/>
    <d v="2026-05-18T00:00:00"/>
    <d v="1899-12-30T15:03:56"/>
    <s v="Sem qualificação — contato não atende ligações nem responde msg"/>
    <s v="inicialmente cliente chegou a responder , logo sumiu e não retorna mais"/>
    <s v=""/>
    <x v="0"/>
    <s v="Junior Lopes"/>
    <x v="0"/>
    <s v=""/>
    <d v="2026-05-18T00:00:00"/>
    <n v="30"/>
    <s v=""/>
    <s v=""/>
    <s v=""/>
    <s v=""/>
    <n v="1"/>
  </r>
  <r>
    <x v="1"/>
    <n v="1120"/>
    <m/>
    <n v="3556"/>
    <s v="14:26, 17/04/2026 Junior Lopes: Olá Danilo ,_x000a_Boa tarde _x000a_Sou Junior Lopes da Guarani sistemas! Td bem ? _x000a_Quem me passou seu contato foi o Jonas_x000a_14:26, 17/04/2026 Danillo Negrao Atac: ola tudo bem??_x000a_14:33, 17/04/2026 Junior Lopes: Imagine que o próprio representante/vendedor pode enviar loja B2B para o cliente dele e administrar essas lojas no dispositivo"/>
    <s v="Ferragens Negrao Comercial Ltda"/>
    <x v="598"/>
    <n v="76639285000339"/>
    <s v=""/>
    <s v="Ferragens Negrao Comercial Ltda"/>
    <s v="(41) 2109-8000"/>
    <s v=""/>
    <s v="fiscal@grupofn.com.br"/>
    <s v=""/>
    <s v=""/>
    <s v=""/>
    <s v="CURITIBA"/>
    <s v="PR"/>
    <s v="Base de empresas Leads2b"/>
    <s v=""/>
    <s v=""/>
    <s v=""/>
    <s v="Pipeline de Vendas"/>
    <s v="Qualificação de Vendas (SQL) (25%)"/>
    <s v=""/>
    <m/>
    <m/>
    <m/>
    <n v="33"/>
    <s v="Junior Lopes"/>
    <d v="2026-04-17T00:00:00"/>
    <d v="1899-12-30T14:41:48"/>
    <s v=""/>
    <s v="Ativo"/>
    <m/>
    <m/>
    <s v=""/>
    <s v=""/>
    <s v=""/>
    <x v="0"/>
    <s v=""/>
    <x v="0"/>
    <s v=""/>
    <m/>
    <n v="30"/>
    <s v=""/>
    <s v=""/>
    <s v=""/>
    <s v=""/>
    <n v="1"/>
  </r>
  <r>
    <x v="1"/>
    <n v="1121"/>
    <m/>
    <n v="3558"/>
    <s v="(23/04/2026 E mail enviado buscando agenda : _x000a_Olá Tito, Tudo bem ? _x000a_ _x000a_Meu nome é Junior Lopes , da Guarani Sistemas. Escrevo para apresentar uma solução que pode transformar a eficiência da equipe de vendas da Bartofil: o Guarani AFV._x000a_ _x000a_Em anexo, envio um folder com todos os detalhes, mas gostaria de destacar três pilares que fazem toda a diferença:_x000a_ _x000a_IA Iara, sua assistente virtual de vendas: Ela atua dentro do app do representante, analisando histórico, ramo de atividade e comportamento de compra para fazer predições e sugestões de venda inteligentes. A Iara aprende com cada cliente e ajuda a impulsionar o mix de produtos ativos, reduzindo rupturas no PDV._x000a_Integração nativa com qualquer ERP: O sistema se conecta perfeitamente ao seu software de gestão atual, seja qual for. Isso garante um fluxo de dados único (pedidos, estoque, clientes) sem retrabalho, duplicidade ou necessidade de mudar toda a operação._x000a_Loja B2B personalizada: Ofereça aos seus clientes um canal de compra 24/7, onde podem fazer pedidos de onde, quando e como quiserem. Isso amplia o ticket médio, libera a equipe de vendas para atividades mais estratégicas e garante que nenhuma oportunidade seja perdida fora do horário comercial._x000a_ _x000a_Além disso, a solução inclui catálogo digital, orçamento e proposta web, roteirização inteligente, controle de estoques em múltiplos locais e indicadores de desempenho em tempo real._x000a_ _x000a_Gostaria de agendar uma apresentação rápida (30–45 minutos) para mostrar, na prática, como o Guarani AFV pode apoiar a equipe da Bartofil e reduzir rupturas no ponto de venda, além de ampliar o mix de produtos ativos em cada cliente._x000a_ _x000a_Você teria disponibilidade na próxima semana, em algum desses horários?_x000a_ _x000a_Segunda-feira dia 27/04 às 10 horas _x000a_Terça-feira dia 28/04 às 14 horas _x000a_ _x000a_Se preferir, posso me adequar ao melhor dia e horário para você._x000a_ _x000a_Fico à disposição e agradeço desde já pela atenção."/>
    <s v="Nova Casa Distribuidora De Materiais Para Construcao S/a"/>
    <x v="599"/>
    <n v="74200403001605"/>
    <s v=""/>
    <s v="Nova Casa Distribuidora De Materiais Para Construcao S/a"/>
    <s v="(61) 3025-9500"/>
    <s v=""/>
    <s v="fiscal@ncdistribuidora.com.br"/>
    <s v=""/>
    <s v=""/>
    <s v=""/>
    <s v="SAO LUIS"/>
    <s v="MA"/>
    <s v="Base de empresas Leads2b"/>
    <s v=""/>
    <s v=""/>
    <s v=""/>
    <s v="Pipeline de Vendas"/>
    <s v="Qualificação de Vendas (SQL) (25%)"/>
    <s v=""/>
    <m/>
    <m/>
    <m/>
    <n v="33"/>
    <s v="Junior Lopes"/>
    <d v="2026-04-17T00:00:00"/>
    <d v="1899-12-30T14:51:26"/>
    <s v=""/>
    <s v="Ativo"/>
    <m/>
    <m/>
    <s v=""/>
    <s v=""/>
    <s v=""/>
    <x v="0"/>
    <s v=""/>
    <x v="0"/>
    <s v=""/>
    <d v="2026-04-23T00:00:00"/>
    <n v="30"/>
    <s v=""/>
    <s v=""/>
    <s v=""/>
    <s v=""/>
    <n v="1"/>
  </r>
  <r>
    <x v="1"/>
    <n v="1122"/>
    <m/>
    <n v="3560"/>
    <s v=""/>
    <s v="Bartofil Distribuidora Sa"/>
    <x v="600"/>
    <n v="23797376005567"/>
    <s v=""/>
    <s v="Bartofil Distribuidora Sa"/>
    <s v="(31) 3819-2000"/>
    <s v=""/>
    <s v="contabilidade@bartofil.com.br"/>
    <s v=""/>
    <s v=""/>
    <s v=""/>
    <s v="NOVA FRIBURGO"/>
    <s v="RJ"/>
    <s v="Base de empresas Leads2b"/>
    <s v=""/>
    <s v=""/>
    <s v=""/>
    <s v="Pipeline de Vendas"/>
    <s v="Qualificação de Vendas (SQL) (25%)"/>
    <s v=""/>
    <m/>
    <m/>
    <m/>
    <n v="33"/>
    <s v="Junior Lopes"/>
    <d v="2026-04-17T00:00:00"/>
    <d v="1899-12-30T15:36:58"/>
    <s v=""/>
    <s v="Ativo"/>
    <m/>
    <m/>
    <s v=""/>
    <s v=""/>
    <s v=""/>
    <x v="0"/>
    <s v=""/>
    <x v="0"/>
    <s v=""/>
    <d v="2026-05-06T00:00:00"/>
    <n v="30"/>
    <s v=""/>
    <s v=""/>
    <s v=""/>
    <s v=""/>
    <n v="1"/>
  </r>
  <r>
    <x v="1"/>
    <n v="1123"/>
    <m/>
    <n v="3562"/>
    <s v=""/>
    <s v="L.l.e. Ferragens Ltda."/>
    <x v="601"/>
    <n v="5953543000147"/>
    <s v=""/>
    <s v="L.l.e. Ferragens Ltda."/>
    <s v="(21) 2131-8511"/>
    <s v=""/>
    <s v="fiscal@grupolle.com.br"/>
    <s v=""/>
    <s v=""/>
    <s v=""/>
    <s v="RIO DE JANEIRO"/>
    <s v="RJ"/>
    <s v="Base de empresas Leads2b"/>
    <s v=""/>
    <s v=""/>
    <s v=""/>
    <s v="Pipeline de Vendas"/>
    <s v="Qualificação de Vendas (SQL) (25%)"/>
    <s v=""/>
    <m/>
    <m/>
    <m/>
    <n v="33"/>
    <s v="Junior Lopes"/>
    <d v="2026-04-17T00:00:00"/>
    <d v="1899-12-30T16:48:26"/>
    <s v=""/>
    <s v="Ativo"/>
    <m/>
    <m/>
    <s v=""/>
    <s v=""/>
    <s v=""/>
    <x v="0"/>
    <s v=""/>
    <x v="0"/>
    <s v=""/>
    <d v="2026-05-06T00:00:00"/>
    <n v="30"/>
    <s v=""/>
    <s v=""/>
    <s v=""/>
    <s v=""/>
    <n v="1"/>
  </r>
  <r>
    <x v="2"/>
    <n v="1126"/>
    <m/>
    <n v="3553"/>
    <s v="22.04 caixa postal_x000a_10:19, 22/04/2026 Rayssa Karapeticov - Comercial - Guarani Sistemas: Bom dia Valéria, tudo bem?_x000a_Meu nome é Rayssa, sou executiva de vendas na Guarani Sistemas_x000a_Estou retornando seu contato com interesse em nossa soluções,_x000a_10:20, 22/04/2026 Rayssa Karapeticov - Comercial - Guarani Sistemas: Para seguirmos com seu atendimento, preciso entender seus processos e mais sobre sua empresa_x000a_Qual a melhor forma para retornar o contato, prefere falar por aqui ou prefere que te ligue?"/>
    <s v=""/>
    <x v="602"/>
    <m/>
    <s v=""/>
    <s v="Brasil Rural"/>
    <s v="17997762600"/>
    <s v=""/>
    <s v="valeria.rod312@gmail.com"/>
    <s v=""/>
    <s v=""/>
    <s v=""/>
    <s v=""/>
    <s v="Brasil"/>
    <s v="Inbound"/>
    <s v=""/>
    <s v=""/>
    <s v="Fora Perfil;Instagram"/>
    <s v="Pipeline de Vendas"/>
    <s v="Agendamento (0%)"/>
    <s v=""/>
    <m/>
    <m/>
    <m/>
    <n v="19"/>
    <s v="Paulo Souza"/>
    <d v="2026-04-20T00:00:00"/>
    <d v="1899-12-30T14:16:55"/>
    <s v=""/>
    <s v="Perdido"/>
    <d v="2026-05-09T00:00:00"/>
    <d v="1899-12-30T08:28:25"/>
    <s v="Sem qualificação — contato não atende ligações nem responde msg"/>
    <s v=""/>
    <s v=""/>
    <x v="0"/>
    <s v="Rayssa Karapeticov"/>
    <x v="0"/>
    <s v=""/>
    <d v="2026-04-30T00:00:00"/>
    <n v="30"/>
    <s v=""/>
    <s v=""/>
    <s v=""/>
    <s v=""/>
    <n v="1"/>
  </r>
  <r>
    <x v="1"/>
    <n v="1127"/>
    <m/>
    <n v="3555"/>
    <s v="e mail enviado _x000a_(30/04/2026) em contato com Manoel vendo melhor data para apresentação _x000a_Olá Manoel ! _x000a_Meu nome é Junior Lopes, sou Executivo de Contas Corporativas na Guarani Sistemas, empresa especializada em soluções de gestão empresarial e comercial para toda a cadeia de abastecimento de artigos para o lar._x000a_ _x000a_Desde 2006, desenvolvemos e implementamos ferramentas que fomentam o crescimento dos nossos clientes. Hoje, contamos com mais de 900 clientes ativos, 40 mil usuários e cerca de 65 mil notas fiscais geradas diariamente em nossa plataforma, mantendo um crescimento médio anual de 20%. Nosso propósito é transformar nossos clientes em referência comercial e operacional em seus mercados, criando em conjunto soluções flexíveis que promovam diretamente o crescimento do negócio._x000a_ _x000a_Atendemos indústrias, importadores, distribuidores, atacadistas e varejistas dos segmentos de utilidades domésticas, brinquedos, presentes, decoração, metalúrgica, química, alimentos, têxtil, agro e outros generalistas. Entre nossos clientes, temos casos de sucesso como Plasútil, Paramount, Ingá Import, Alumínio Nacional e Dolce Home, que ampliaram sua eficiência e cresceram fortemente com o apoio de nossas soluções._x000a_ _x000a_Para a Home Market 24h, enxergamos grande potencial de apoio principalmente em três frentes:_x000a_Gestão integrada da operação, com nosso ERP (on-premise ou em nuvem), módulos de PCP e WMS, garantindo controle de estoques, compras, vendas, faturamento, financeiro e logística em um único ambiente._x000a_Automação da força de vendas, com o Guarani AFV, levando mais produtividade, controle e inteligência comercial para a equipe, com informações em tempo real e apoio à expansão da carteira de clientes._x000a_E-commerce B2B integrado, com o Power B2B, permitindo que seus clientes realizem pedidos de maneira simples, rápida e totalmente integrada ao ERP, ampliando o alcance da Home Market 24h no mercado corporativo._x000a_ _x000a_ _x000a_Gostaria de agendar uma breve conversa para entender melhor o cenário atual da Home Market 24h e apresentar de forma objetiva como a Guarani Sistemas pode contribuir com a operação de vocês?_x000a_ _x000a_Fico à disposição para alinhar o melhor dia e horário._x000a_ _x000a_ _x000a_Atenciosamente,"/>
    <s v=""/>
    <x v="603"/>
    <m/>
    <s v=""/>
    <s v="Comercial O Manoel"/>
    <s v="85999874743"/>
    <s v=""/>
    <s v="comercialomanoel@gmail.com"/>
    <s v=""/>
    <s v=""/>
    <s v=""/>
    <s v=""/>
    <s v="Ceara"/>
    <s v="Inbound"/>
    <s v=""/>
    <s v=""/>
    <s v="Dentro Perfil;Instagram"/>
    <s v="Pipeline de Vendas"/>
    <s v="Qualificação de Vendas (SQL) (25%)"/>
    <s v=""/>
    <m/>
    <m/>
    <m/>
    <n v="30"/>
    <s v="Paulo Souza"/>
    <d v="2026-04-20T00:00:00"/>
    <d v="1899-12-30T14:26:57"/>
    <s v=""/>
    <s v="Ativo"/>
    <m/>
    <m/>
    <s v=""/>
    <s v=""/>
    <s v=""/>
    <x v="0"/>
    <s v="Junior Lopes"/>
    <x v="0"/>
    <s v=""/>
    <d v="2026-04-30T00:00:00"/>
    <n v="30"/>
    <s v=""/>
    <s v=""/>
    <s v=""/>
    <s v=""/>
    <n v="1"/>
  </r>
  <r>
    <x v="2"/>
    <n v="1128"/>
    <m/>
    <n v="3565"/>
    <s v="22.04 Não atendeu _x000a_Bom dia, Sergio. Como vai? _x000a_Meu nome é Rayssa, sou Executiva de Vendas na Guarani Sistemas, e estou retornando seu contato com nossa empresa para conhecer mais sobre nossas soluções_x000a_Para seguirmos preciso entender sua empresa e seus processos. _x000a_Você prefere seguir o atendimento por aqui ou prefere que te ligue?"/>
    <s v=""/>
    <x v="604"/>
    <m/>
    <s v=""/>
    <s v="Garrama com essência eirele"/>
    <s v="11986111998"/>
    <s v=""/>
    <s v="ss.sergiofaertes@gmail.com"/>
    <s v=""/>
    <s v=""/>
    <s v=""/>
    <s v=""/>
    <s v=""/>
    <s v="Campanha"/>
    <s v=""/>
    <s v=""/>
    <s v="Fora Perfil;Instagram"/>
    <s v="Pipeline de Vendas"/>
    <s v="Qualificação de Vendas (SQL) (25%)"/>
    <s v=""/>
    <d v="2026-04-30T00:00:00"/>
    <m/>
    <m/>
    <n v="19"/>
    <s v="Paulo Souza"/>
    <d v="2026-04-20T00:00:00"/>
    <d v="1899-12-30T15:22:35"/>
    <s v=""/>
    <s v="Perdido"/>
    <d v="2026-05-09T00:00:00"/>
    <d v="1899-12-30T08:36:06"/>
    <s v="Sem qualificação — contato não atende ligações nem responde msg"/>
    <s v=""/>
    <s v=""/>
    <x v="0"/>
    <s v="Rayssa Karapeticov"/>
    <x v="0"/>
    <s v=""/>
    <d v="2026-04-24T00:00:00"/>
    <n v="30"/>
    <s v=""/>
    <s v=""/>
    <s v=""/>
    <s v=""/>
    <n v="1"/>
  </r>
  <r>
    <x v="1"/>
    <n v="1129"/>
    <m/>
    <n v="3566"/>
    <s v=""/>
    <s v=""/>
    <x v="605"/>
    <m/>
    <s v=""/>
    <s v="Supermercado Mathur"/>
    <s v="11954971535"/>
    <s v=""/>
    <s v="renato@mathur.com.br"/>
    <s v=""/>
    <s v=""/>
    <s v=""/>
    <s v=""/>
    <s v="Sao paulo"/>
    <s v="Inbound"/>
    <s v=""/>
    <s v=""/>
    <s v="Fora Perfil;Instagram"/>
    <s v="Pipeline de Vendas"/>
    <s v="Agendamento (0%)"/>
    <s v=""/>
    <m/>
    <m/>
    <m/>
    <n v="0"/>
    <s v="Paulo Souza"/>
    <d v="2026-04-20T00:00:00"/>
    <d v="1899-12-30T15:23:29"/>
    <s v=""/>
    <s v="Perdido"/>
    <d v="2026-04-20T00:00:00"/>
    <d v="1899-12-30T16:43:51"/>
    <s v="Fora do porte mínimo (sem fit estrutural)"/>
    <s v="Supermercado, fora do perfil"/>
    <s v=""/>
    <x v="0"/>
    <s v="Junior Lopes"/>
    <x v="0"/>
    <s v=""/>
    <m/>
    <n v="30"/>
    <s v=""/>
    <s v=""/>
    <s v=""/>
    <s v=""/>
    <n v="1"/>
  </r>
  <r>
    <x v="2"/>
    <n v="1130"/>
    <m/>
    <n v="3567"/>
    <s v="Falei com o Arthur,. porem quem esta cuidando disso é o Rodrigo, vai passar meu contato para ele para seguir com o Atendimento"/>
    <s v=""/>
    <x v="606"/>
    <m/>
    <s v=""/>
    <s v="Cafe Santa Monica"/>
    <s v="11981430800"/>
    <s v=""/>
    <s v="arthurmosco@gmail.com"/>
    <s v=""/>
    <s v=""/>
    <s v=""/>
    <s v=""/>
    <s v=""/>
    <s v="Campanha"/>
    <s v=""/>
    <s v=""/>
    <s v="Dentro Perfil;Instagram"/>
    <s v="Pipeline de Vendas"/>
    <s v="Qualificação de Vendas (SQL) (25%)"/>
    <s v=""/>
    <m/>
    <m/>
    <m/>
    <n v="30"/>
    <s v="Paulo Souza"/>
    <d v="2026-04-20T00:00:00"/>
    <d v="1899-12-30T15:25:17"/>
    <s v=""/>
    <s v="Ativo"/>
    <m/>
    <m/>
    <s v=""/>
    <s v=""/>
    <s v=""/>
    <x v="0"/>
    <s v="Rayssa Karapeticov"/>
    <x v="0"/>
    <s v=""/>
    <d v="2026-05-07T00:00:00"/>
    <n v="30"/>
    <s v=""/>
    <s v=""/>
    <s v=""/>
    <s v=""/>
    <n v="1"/>
  </r>
  <r>
    <x v="1"/>
    <n v="1131"/>
    <m/>
    <n v="3568"/>
    <s v="(20/04/2026) em contato com Kamilla"/>
    <s v=""/>
    <x v="607"/>
    <n v="36955063000149"/>
    <s v=""/>
    <s v="NORTH EXPORTACAO"/>
    <s v="(91) 9343-5475"/>
    <s v=""/>
    <s v="northacaifoods@gmail.com"/>
    <s v=""/>
    <s v=""/>
    <s v=""/>
    <s v="BELEM"/>
    <s v="PA"/>
    <s v="Campanha"/>
    <s v=""/>
    <s v=""/>
    <s v="Dentro Perfil;Instagram"/>
    <s v="Pipeline de Vendas"/>
    <s v="Qualificação de Vendas (SQL) (25%)"/>
    <s v=""/>
    <m/>
    <m/>
    <m/>
    <n v="19"/>
    <s v="Paulo Souza"/>
    <d v="2026-04-20T00:00:00"/>
    <d v="1899-12-30T15:26:13"/>
    <s v=""/>
    <s v="Perdido"/>
    <d v="2026-05-09T00:00:00"/>
    <d v="1899-12-30T08:36:50"/>
    <s v="Sem qualificação — contato não atende ligações nem responde msg"/>
    <s v=""/>
    <s v=""/>
    <x v="0"/>
    <s v="Junior Lopes"/>
    <x v="0"/>
    <s v=""/>
    <d v="2026-04-28T00:00:00"/>
    <n v="30"/>
    <s v=""/>
    <s v=""/>
    <s v=""/>
    <s v=""/>
    <n v="1"/>
  </r>
  <r>
    <x v="2"/>
    <n v="1132"/>
    <m/>
    <n v="3569"/>
    <s v="22.04 liguei e deu caixa postal _x000a_Bom dia Rafael, tudo bem? _x000a_Meu nome e Rayssa, sou Executiva de Vendas na Guarani Sistemas, estou retornando seu contato para falar sobre seu interesse em um novo software. _x000a_Para seguirmos com esse contato preciso entender o processo de sua empresa e o que esta buscando _x000a_Como prefere seguir o atendimento, por aqui ou quer que eu te ligue?"/>
    <s v=""/>
    <x v="608"/>
    <m/>
    <s v=""/>
    <s v="Lpx"/>
    <s v="9282770000"/>
    <s v=""/>
    <s v="atakadaoeletrica@gmail.com"/>
    <s v=""/>
    <s v=""/>
    <s v=""/>
    <s v=""/>
    <s v="Brasil"/>
    <s v="Inbound"/>
    <s v=""/>
    <s v=""/>
    <s v="Fora Perfil;Instagram"/>
    <s v="Pipeline de Vendas"/>
    <s v="Agendamento (0%)"/>
    <s v=""/>
    <m/>
    <m/>
    <m/>
    <n v="19"/>
    <s v="Paulo Souza"/>
    <d v="2026-04-20T00:00:00"/>
    <d v="1899-12-30T15:27:43"/>
    <s v=""/>
    <s v="Perdido"/>
    <d v="2026-05-09T00:00:00"/>
    <d v="1899-12-30T08:43:51"/>
    <s v="Sem qualificação — contato não atende ligações nem responde msg"/>
    <s v=""/>
    <s v=""/>
    <x v="0"/>
    <s v="Rayssa Karapeticov"/>
    <x v="0"/>
    <s v=""/>
    <d v="2026-04-29T00:00:00"/>
    <n v="30"/>
    <s v=""/>
    <s v=""/>
    <s v=""/>
    <s v=""/>
    <n v="1"/>
  </r>
  <r>
    <x v="1"/>
    <n v="1133"/>
    <m/>
    <n v="3571"/>
    <s v="16:55, 20/04/2026 Junior Lopes: Olá Marcos , boa tarde_x000a_16:55, 20/04/2026 Junior Lopes: sou Junior lopes da Guarani sistemas, td bem ?_x000a_16:55, 20/04/2026 Junior Lopes: estou retornando contato que vc fez conosco_x000a_17:18, 20/04/2026 +55 18 99701-9440: Olá boa tarde."/>
    <s v=""/>
    <x v="609"/>
    <m/>
    <s v=""/>
    <s v="Governo do Estado de São Paulo"/>
    <s v="18997019440"/>
    <s v=""/>
    <s v="marcosleitao37@hotmail.com"/>
    <s v=""/>
    <s v=""/>
    <s v=""/>
    <s v=""/>
    <s v="Presidente Epitácio Sp"/>
    <s v="Inbound"/>
    <s v=""/>
    <s v=""/>
    <s v="Fora Perfil;Instagram"/>
    <s v="Pipeline de Vendas"/>
    <s v="Agendamento (0%)"/>
    <s v=""/>
    <m/>
    <m/>
    <m/>
    <n v="19"/>
    <s v="Paulo Souza"/>
    <d v="2026-04-20T00:00:00"/>
    <d v="1899-12-30T15:29:11"/>
    <s v=""/>
    <s v="Perdido"/>
    <d v="2026-05-09T00:00:00"/>
    <d v="1899-12-30T08:45:24"/>
    <s v="Fora do segmento atendido"/>
    <s v=""/>
    <s v=""/>
    <x v="0"/>
    <s v="Junior Lopes"/>
    <x v="0"/>
    <s v=""/>
    <m/>
    <n v="30"/>
    <s v=""/>
    <s v=""/>
    <s v=""/>
    <s v=""/>
    <n v="1"/>
  </r>
  <r>
    <x v="0"/>
    <n v="1134"/>
    <m/>
    <n v="3575"/>
    <s v=""/>
    <s v=""/>
    <x v="610"/>
    <n v="67846790000100"/>
    <s v=""/>
    <s v="Andrea"/>
    <s v="(11) 4526-2313"/>
    <s v=""/>
    <s v="financeiro@hoberplasticos.com.br"/>
    <s v=""/>
    <s v=""/>
    <s v=""/>
    <s v="JUNDIAI"/>
    <s v="SP"/>
    <s v=""/>
    <s v=""/>
    <s v=""/>
    <s v=""/>
    <s v="Pipeline de Vendas"/>
    <s v="Em negociação (75%)"/>
    <s v=""/>
    <d v="2026-05-31T00:00:00"/>
    <n v="1364029"/>
    <n v="563118"/>
    <n v="30"/>
    <s v="Paulo Souza"/>
    <d v="2026-04-20T00:00:00"/>
    <d v="1899-12-30T16:00:02"/>
    <s v=""/>
    <s v="Ativo"/>
    <m/>
    <m/>
    <s v=""/>
    <s v=""/>
    <s v=""/>
    <x v="210"/>
    <s v="Paulo Souza"/>
    <x v="233"/>
    <s v=""/>
    <d v="2026-05-18T00:00:00"/>
    <n v="30"/>
    <s v=""/>
    <s v=""/>
    <s v=""/>
    <s v=""/>
    <n v="1"/>
  </r>
  <r>
    <x v="0"/>
    <n v="1135"/>
    <m/>
    <n v="3578"/>
    <s v=""/>
    <s v=""/>
    <x v="490"/>
    <n v="7730144000142"/>
    <s v=""/>
    <s v="Alexandre"/>
    <s v="(11) 4151-2564/ (11) 4551-2554"/>
    <s v=""/>
    <s v="comercial@kopermax.com.br"/>
    <s v=""/>
    <s v=""/>
    <s v=""/>
    <s v="CARAPICUIBA"/>
    <s v="SP"/>
    <s v=""/>
    <s v=""/>
    <s v=""/>
    <s v=""/>
    <s v="Pipeline de Vendas"/>
    <s v="Apresentar Proposta (50%)"/>
    <s v=""/>
    <d v="2026-05-31T00:00:00"/>
    <m/>
    <m/>
    <n v="21"/>
    <s v="Paulo Souza"/>
    <d v="2026-04-20T00:00:00"/>
    <d v="1899-12-30T16:52:52"/>
    <s v=""/>
    <s v="Perdido"/>
    <d v="2026-05-11T00:00:00"/>
    <d v="1899-12-30T11:58:02"/>
    <s v="Projeto adiado / sem prazo definido"/>
    <s v=""/>
    <s v=""/>
    <x v="211"/>
    <s v="Paulo Souza"/>
    <x v="233"/>
    <s v=""/>
    <m/>
    <n v="30"/>
    <s v=""/>
    <s v=""/>
    <s v=""/>
    <s v=""/>
    <n v="1"/>
  </r>
  <r>
    <x v="1"/>
    <n v="1136"/>
    <m/>
    <n v="3582"/>
    <s v="(23/04/2026) em contato com João Netto via telefone _x000a_atualmente busca um software para automação da sua produção e controle de estoque que contempla a gestão financeira e fiscal , sua equipe de venda precisa de um aplicativo para estrada e controle de pedidos"/>
    <s v=""/>
    <x v="611"/>
    <n v="25356414000189"/>
    <s v=""/>
    <s v="Bia alimentos"/>
    <s v="75992608709"/>
    <s v=""/>
    <s v="jjneto28@gmail.com"/>
    <s v=""/>
    <s v=""/>
    <s v=""/>
    <s v="SAO GONCALO DOS CAMPOS"/>
    <s v="BA"/>
    <s v="Campanha"/>
    <s v=""/>
    <s v=""/>
    <s v="Dentro Perfil;Instagram"/>
    <s v="Pipeline de Vendas"/>
    <s v="Apresentar Solução (35%)"/>
    <s v=""/>
    <m/>
    <m/>
    <m/>
    <n v="27"/>
    <s v="Paulo Souza"/>
    <d v="2026-04-23T00:00:00"/>
    <d v="1899-12-30T14:05:58"/>
    <s v=""/>
    <s v="Ativo"/>
    <m/>
    <m/>
    <s v=""/>
    <s v=""/>
    <s v=""/>
    <x v="0"/>
    <s v="Junior Lopes"/>
    <x v="0"/>
    <s v=""/>
    <m/>
    <n v="30"/>
    <s v=""/>
    <s v=""/>
    <s v=""/>
    <s v=""/>
    <n v="1"/>
  </r>
  <r>
    <x v="2"/>
    <n v="1137"/>
    <m/>
    <n v="3581"/>
    <s v=""/>
    <s v=""/>
    <x v="612"/>
    <m/>
    <s v=""/>
    <s v="Quality medical"/>
    <s v="6592542913"/>
    <s v=""/>
    <s v="marcosrobertosilvestre@hotmail.com"/>
    <s v=""/>
    <s v=""/>
    <s v=""/>
    <s v=""/>
    <s v=""/>
    <s v="Campanha"/>
    <s v=""/>
    <s v=""/>
    <s v="Dentro Perfil;Instagram"/>
    <s v="Pipeline de Vendas"/>
    <s v="Qualificação de Vendas (SQL) (25%)"/>
    <s v=""/>
    <m/>
    <m/>
    <m/>
    <n v="27"/>
    <s v="Paulo Souza"/>
    <d v="2026-04-23T00:00:00"/>
    <d v="1899-12-30T14:08:08"/>
    <s v=""/>
    <s v="Ativo"/>
    <m/>
    <m/>
    <s v=""/>
    <s v=""/>
    <s v=""/>
    <x v="0"/>
    <s v="Rayssa Karapeticov"/>
    <x v="0"/>
    <s v=""/>
    <d v="2026-05-07T00:00:00"/>
    <n v="30"/>
    <s v=""/>
    <s v=""/>
    <s v=""/>
    <s v=""/>
    <n v="1"/>
  </r>
  <r>
    <x v="2"/>
    <n v="1138"/>
    <m/>
    <n v="3586"/>
    <s v=""/>
    <s v=""/>
    <x v="613"/>
    <m/>
    <s v=""/>
    <s v="Autônomo"/>
    <s v="94991836683"/>
    <s v=""/>
    <s v="gersondsvasconcelos@gmail.com"/>
    <s v=""/>
    <s v=""/>
    <s v=""/>
    <s v=""/>
    <s v=""/>
    <s v="Campanha"/>
    <s v=""/>
    <s v=""/>
    <s v="Fora Perfil;Instagram"/>
    <s v="Pipeline de Vendas"/>
    <s v="Agendamento (0%)"/>
    <s v=""/>
    <m/>
    <m/>
    <m/>
    <n v="15"/>
    <s v="Paulo Souza"/>
    <d v="2026-04-24T00:00:00"/>
    <d v="1899-12-30T10:11:26"/>
    <s v=""/>
    <s v="Perdido"/>
    <d v="2026-05-09T00:00:00"/>
    <d v="1899-12-30T08:45:54"/>
    <s v="Sem qualificação — contato não atende ligações nem responde msg"/>
    <s v=""/>
    <s v=""/>
    <x v="0"/>
    <s v="Rayssa Karapeticov"/>
    <x v="0"/>
    <s v=""/>
    <m/>
    <n v="30"/>
    <s v=""/>
    <s v=""/>
    <s v=""/>
    <s v=""/>
    <n v="1"/>
  </r>
  <r>
    <x v="1"/>
    <n v="1139"/>
    <m/>
    <n v="3603"/>
    <s v="(27/04/2026) em contato com Carol, Sr. Paulo não estava na empresa ! Carol anotou meu WhatsApp para retorno"/>
    <s v=""/>
    <x v="614"/>
    <n v="7598229000119"/>
    <s v=""/>
    <s v="plaslumy"/>
    <s v="(35) 3232-2223 / (35) 3234-1578 / (35) 3232-2223"/>
    <s v=""/>
    <s v="fiscal@plaslumy.com.br"/>
    <s v=""/>
    <s v=""/>
    <s v=""/>
    <s v="TRES CORACOES"/>
    <s v="MG"/>
    <s v="Inbound"/>
    <s v=""/>
    <s v=""/>
    <s v="Dentro Perfil;Instagram"/>
    <s v="Pipeline de Vendas"/>
    <s v="Qualificação de Vendas (SQL) (25%)"/>
    <s v=""/>
    <m/>
    <m/>
    <m/>
    <n v="23"/>
    <s v="Paulo Souza"/>
    <d v="2026-04-27T00:00:00"/>
    <d v="1899-12-30T15:32:48"/>
    <s v=""/>
    <s v="Ativo"/>
    <m/>
    <m/>
    <s v=""/>
    <s v=""/>
    <s v=""/>
    <x v="0"/>
    <s v="Junior Lopes"/>
    <x v="0"/>
    <s v=""/>
    <m/>
    <n v="30"/>
    <s v=""/>
    <s v=""/>
    <s v=""/>
    <s v=""/>
    <n v="1"/>
  </r>
  <r>
    <x v="2"/>
    <n v="1140"/>
    <m/>
    <n v="3588"/>
    <s v=""/>
    <s v=""/>
    <x v="615"/>
    <n v="7403402000186"/>
    <s v=""/>
    <s v="Shopping do Parafuso"/>
    <s v="31996583027"/>
    <s v=""/>
    <s v="comercial@shoppingdoparafuso.com.br"/>
    <s v=""/>
    <s v=""/>
    <s v=""/>
    <s v=""/>
    <s v=""/>
    <s v="Campanha"/>
    <s v=""/>
    <s v=""/>
    <s v="Fora Perfil;Instagram;Perfil Indefinido"/>
    <s v="Pipeline de Vendas"/>
    <s v="Qualificação de Vendas (SQL) (25%)"/>
    <s v=""/>
    <m/>
    <m/>
    <m/>
    <n v="10"/>
    <s v="Paulo Souza"/>
    <d v="2026-04-27T00:00:00"/>
    <d v="1899-12-30T15:48:50"/>
    <s v=""/>
    <s v="Perdido"/>
    <d v="2026-05-07T00:00:00"/>
    <d v="1899-12-30T10:40:49"/>
    <s v="Fora do porte mínimo (sem fit estrutural)"/>
    <s v=""/>
    <s v=""/>
    <x v="0"/>
    <s v="Rayssa Karapeticov"/>
    <x v="0"/>
    <s v=""/>
    <d v="2026-04-29T00:00:00"/>
    <n v="30"/>
    <s v=""/>
    <s v=""/>
    <s v=""/>
    <s v=""/>
    <n v="1"/>
  </r>
  <r>
    <x v="2"/>
    <n v="1141"/>
    <m/>
    <n v="3589"/>
    <s v=""/>
    <s v=""/>
    <x v="616"/>
    <n v="24094663000180"/>
    <s v=""/>
    <s v="Max LED"/>
    <s v="(11) 2181-1005 / (11) 6735-4750 / (11) 2181-1005"/>
    <s v=""/>
    <s v="alexfelixsantos@hotmail.com"/>
    <s v=""/>
    <s v=""/>
    <s v=""/>
    <s v="SAO PAULO"/>
    <s v="SP"/>
    <s v="Campanha"/>
    <s v=""/>
    <s v=""/>
    <s v="Dentro Perfil;Instagram"/>
    <s v="Pipeline de Vendas"/>
    <s v="Apresentar Solução (35%)"/>
    <s v=""/>
    <m/>
    <m/>
    <m/>
    <n v="23"/>
    <s v="Paulo Souza"/>
    <d v="2026-04-27T00:00:00"/>
    <d v="1899-12-30T15:49:56"/>
    <s v=""/>
    <s v="Ativo"/>
    <m/>
    <m/>
    <s v=""/>
    <s v=""/>
    <s v=""/>
    <x v="0"/>
    <s v="Rayssa Karapeticov"/>
    <x v="234"/>
    <s v=""/>
    <d v="2026-05-18T00:00:00"/>
    <n v="30"/>
    <s v=""/>
    <s v=""/>
    <s v=""/>
    <s v=""/>
    <n v="1"/>
  </r>
  <r>
    <x v="1"/>
    <n v="1142"/>
    <m/>
    <n v="3590"/>
    <s v=""/>
    <s v=""/>
    <x v="617"/>
    <m/>
    <s v=""/>
    <s v="Tres americas alimentos"/>
    <s v="65992888768"/>
    <s v=""/>
    <s v="jctransportess.mt@gmail.com"/>
    <s v=""/>
    <s v=""/>
    <s v=""/>
    <s v=""/>
    <s v=""/>
    <s v="Campanha"/>
    <s v=""/>
    <s v=""/>
    <s v="Dentro Perfil;Instagram"/>
    <s v="Pipeline de Vendas"/>
    <s v="Qualificação de Vendas (SQL) (25%)"/>
    <s v=""/>
    <m/>
    <m/>
    <m/>
    <n v="23"/>
    <s v="Paulo Souza"/>
    <d v="2026-04-27T00:00:00"/>
    <d v="1899-12-30T15:52:31"/>
    <s v=""/>
    <s v="Ativo"/>
    <m/>
    <m/>
    <s v=""/>
    <s v=""/>
    <s v=""/>
    <x v="0"/>
    <s v="Junior Lopes"/>
    <x v="0"/>
    <s v=""/>
    <d v="2026-05-06T00:00:00"/>
    <n v="30"/>
    <s v=""/>
    <s v=""/>
    <s v=""/>
    <s v=""/>
    <n v="1"/>
  </r>
  <r>
    <x v="2"/>
    <n v="1143"/>
    <m/>
    <n v="3591"/>
    <s v="Todos os dados preenchidos:_x000a_empresa: Alexdan _x000a_name: Alexandre Biassio _x000a_cargo: Diretor _x000a_whatsapp: 11982599832 _x000a_email: alexandre@alexdan.com.br _x000a_referrer: https://www.guaranisistemas.com.br/"/>
    <s v=""/>
    <x v="618"/>
    <n v="3098281000155"/>
    <s v=""/>
    <s v="Alexandre Biassio"/>
    <s v=""/>
    <s v=""/>
    <s v="alexandre@alexdan.com.br"/>
    <s v=""/>
    <s v=""/>
    <s v=""/>
    <s v="Santo André"/>
    <s v=""/>
    <s v="Inbound"/>
    <s v=""/>
    <s v=""/>
    <s v=""/>
    <s v="Pipeline de Vendas"/>
    <s v="Apresentar Solução (35%)"/>
    <s v=""/>
    <m/>
    <m/>
    <m/>
    <n v="23"/>
    <s v="Paulo Souza"/>
    <d v="2026-04-27T00:00:00"/>
    <d v="1899-12-30T15:53:51"/>
    <s v=""/>
    <s v="Ativo"/>
    <m/>
    <m/>
    <s v=""/>
    <s v=""/>
    <s v=""/>
    <x v="0"/>
    <s v="Rayssa Karapeticov"/>
    <x v="0"/>
    <s v=""/>
    <d v="2026-05-19T00:00:00"/>
    <n v="30"/>
    <s v=""/>
    <s v=""/>
    <s v=""/>
    <s v=""/>
    <n v="1"/>
  </r>
  <r>
    <x v="1"/>
    <n v="1144"/>
    <m/>
    <n v="3592"/>
    <s v="(28/04/2026) em contato com Janayna"/>
    <s v=""/>
    <x v="619"/>
    <m/>
    <s v=""/>
    <s v="Bitilila Nails"/>
    <s v="17997180789"/>
    <s v=""/>
    <s v="janaynamundial@hotmail.com"/>
    <s v=""/>
    <s v=""/>
    <s v=""/>
    <s v=""/>
    <s v=""/>
    <s v="Campanha"/>
    <s v=""/>
    <s v=""/>
    <s v="Dentro Perfil;Instagram"/>
    <s v="Pipeline de Vendas"/>
    <s v="Agendamento (0%)"/>
    <s v=""/>
    <m/>
    <m/>
    <m/>
    <n v="12"/>
    <s v="Paulo Souza"/>
    <d v="2026-04-27T00:00:00"/>
    <d v="1899-12-30T15:54:58"/>
    <s v=""/>
    <s v="Perdido"/>
    <d v="2026-05-09T00:00:00"/>
    <d v="1899-12-30T08:46:25"/>
    <s v="Sem qualificação — contato não atende ligações nem responde msg"/>
    <s v=""/>
    <s v=""/>
    <x v="0"/>
    <s v="Junior Lopes"/>
    <x v="0"/>
    <s v=""/>
    <d v="2026-05-06T00:00:00"/>
    <n v="32"/>
    <s v=""/>
    <s v=""/>
    <s v=""/>
    <s v=""/>
    <n v="1"/>
  </r>
  <r>
    <x v="2"/>
    <n v="1145"/>
    <m/>
    <n v="3599"/>
    <s v=""/>
    <s v="Abc Internacional Comercio Importacao E Exportacao Ltda"/>
    <x v="620"/>
    <n v="58846435000131"/>
    <s v=""/>
    <s v="Abc Internacional Comercio Importacao E Exportacao Ltda"/>
    <s v="(47) 3021-7932"/>
    <s v=""/>
    <s v="contato@contabilidadestacatarina.com.br"/>
    <s v=""/>
    <s v=""/>
    <s v=""/>
    <s v="SAO PAULO"/>
    <s v="SP"/>
    <s v="Base de empresas Leads2b"/>
    <s v=""/>
    <s v=""/>
    <s v=""/>
    <s v="Pipeline de Vendas"/>
    <s v="Qualificação de Vendas (SQL) (25%)"/>
    <s v=""/>
    <m/>
    <m/>
    <m/>
    <n v="23"/>
    <s v="Rayssa Karapeticov"/>
    <d v="2026-04-27T00:00:00"/>
    <d v="1899-12-30T15:55:21"/>
    <s v=""/>
    <s v="Ativo"/>
    <m/>
    <m/>
    <s v=""/>
    <s v=""/>
    <s v=""/>
    <x v="0"/>
    <s v="Rayssa Karapeticov"/>
    <x v="0"/>
    <s v=""/>
    <d v="2026-05-13T00:00:00"/>
    <n v="30"/>
    <s v=""/>
    <s v="ERP"/>
    <s v=""/>
    <s v=""/>
    <n v="1"/>
  </r>
  <r>
    <x v="2"/>
    <n v="1146"/>
    <m/>
    <n v="3593"/>
    <s v=""/>
    <s v=""/>
    <x v="621"/>
    <m/>
    <s v=""/>
    <s v="Oneclick"/>
    <s v="31999499091"/>
    <s v=""/>
    <s v="hm2matoa@gmail.com"/>
    <s v=""/>
    <s v=""/>
    <s v=""/>
    <s v=""/>
    <s v=""/>
    <s v="Campanha"/>
    <s v=""/>
    <s v=""/>
    <s v="Dentro Perfil;Instagram"/>
    <s v="Pipeline de Vendas"/>
    <s v="Qualificação de Vendas (SQL) (25%)"/>
    <s v=""/>
    <m/>
    <m/>
    <m/>
    <n v="16"/>
    <s v="Paulo Souza"/>
    <d v="2026-04-27T00:00:00"/>
    <d v="1899-12-30T15:56:24"/>
    <s v=""/>
    <s v="Perdido"/>
    <d v="2026-05-13T00:00:00"/>
    <d v="1899-12-30T12:58:25"/>
    <s v="Sem qualificação — contato não atende ligações nem responde msg"/>
    <s v=""/>
    <s v=""/>
    <x v="0"/>
    <s v="Rayssa Karapeticov"/>
    <x v="0"/>
    <s v=""/>
    <d v="2026-05-13T00:00:00"/>
    <n v="30"/>
    <s v=""/>
    <s v=""/>
    <s v=""/>
    <s v=""/>
    <n v="1"/>
  </r>
  <r>
    <x v="1"/>
    <n v="1147"/>
    <m/>
    <n v="3594"/>
    <s v="16:13, 27/04/2026 Junior Lopes: Olá Manuel , boa tarde_x000a_16:14, 27/04/2026 Junior Lopes: Junior da Guarani sistemas por aqui_x000a_(28/04/2026) em contato com Manuel, empresa de construção civil , fora do perfil"/>
    <s v=""/>
    <x v="622"/>
    <m/>
    <s v=""/>
    <s v="JJ SOLUÇÕES INDUSTRIAIS"/>
    <s v="9294614731"/>
    <s v=""/>
    <s v="manuel.rivero@jjsoluempresa.com"/>
    <s v=""/>
    <s v=""/>
    <s v=""/>
    <s v=""/>
    <s v=""/>
    <s v="Campanha"/>
    <s v=""/>
    <s v=""/>
    <s v="Fora Perfil;Instagram"/>
    <s v="Pipeline de Vendas"/>
    <s v="Agendamento (0%)"/>
    <s v=""/>
    <m/>
    <m/>
    <m/>
    <n v="1"/>
    <s v="Paulo Souza"/>
    <d v="2026-04-27T00:00:00"/>
    <d v="1899-12-30T15:57:32"/>
    <s v=""/>
    <s v="Perdido"/>
    <d v="2026-04-28T00:00:00"/>
    <d v="1899-12-30T11:42:44"/>
    <s v="Fora do porte mínimo (sem fit estrutural)"/>
    <s v="construção civil"/>
    <s v=""/>
    <x v="0"/>
    <s v="Junior Lopes"/>
    <x v="0"/>
    <s v=""/>
    <m/>
    <n v="30"/>
    <s v=""/>
    <s v=""/>
    <s v=""/>
    <s v=""/>
    <n v="1"/>
  </r>
  <r>
    <x v="2"/>
    <n v="1148"/>
    <m/>
    <n v="3595"/>
    <s v=""/>
    <s v=""/>
    <x v="623"/>
    <n v="10255338000148"/>
    <s v=""/>
    <s v="JA ind plástica"/>
    <s v="62981282665"/>
    <s v=""/>
    <s v="big@biglixos.com.br"/>
    <s v=""/>
    <s v=""/>
    <s v=""/>
    <s v=""/>
    <s v=""/>
    <s v="Campanha"/>
    <s v=""/>
    <s v=""/>
    <s v="Dentro Perfil;Instagram"/>
    <s v="Pipeline de Vendas"/>
    <s v="Qualificação de Vendas (SQL) (25%)"/>
    <s v=""/>
    <m/>
    <m/>
    <m/>
    <n v="23"/>
    <s v="Paulo Souza"/>
    <d v="2026-04-27T00:00:00"/>
    <d v="1899-12-30T15:58:51"/>
    <s v=""/>
    <s v="Ativo"/>
    <m/>
    <m/>
    <s v=""/>
    <s v=""/>
    <s v=""/>
    <x v="0"/>
    <s v="Rayssa Karapeticov"/>
    <x v="0"/>
    <s v=""/>
    <d v="2026-05-13T00:00:00"/>
    <n v="30"/>
    <s v=""/>
    <s v=""/>
    <s v=""/>
    <s v=""/>
    <n v="1"/>
  </r>
  <r>
    <x v="2"/>
    <n v="1149"/>
    <m/>
    <n v="3596"/>
    <s v=""/>
    <s v=""/>
    <x v="624"/>
    <n v="44922087000120"/>
    <s v=""/>
    <s v="Invictus Soluções Integradas Ltda"/>
    <s v="(34) 3817-8240"/>
    <s v=""/>
    <s v="licitacao.invictus@gmail.com"/>
    <s v=""/>
    <s v=""/>
    <s v=""/>
    <s v="COROMANDEL"/>
    <s v="MG"/>
    <s v="Campanha"/>
    <s v=""/>
    <s v=""/>
    <s v="Fora Perfil;Instagram"/>
    <s v="Pipeline de Vendas"/>
    <s v="Agendamento (0%)"/>
    <s v=""/>
    <m/>
    <m/>
    <m/>
    <n v="12"/>
    <s v="Paulo Souza"/>
    <d v="2026-04-27T00:00:00"/>
    <d v="1899-12-30T16:00:22"/>
    <s v=""/>
    <s v="Perdido"/>
    <d v="2026-05-09T00:00:00"/>
    <d v="1899-12-30T08:50:26"/>
    <s v="Fora do segmento atendido"/>
    <s v=""/>
    <s v=""/>
    <x v="0"/>
    <s v="Rayssa Karapeticov"/>
    <x v="0"/>
    <s v=""/>
    <m/>
    <n v="30"/>
    <s v=""/>
    <s v=""/>
    <s v=""/>
    <s v=""/>
    <n v="1"/>
  </r>
  <r>
    <x v="1"/>
    <n v="1150"/>
    <m/>
    <n v="3597"/>
    <s v="16:36, 27/04/2026 Junior Lopes: Olá Paulo , boa tarde_x000a_16:37, 27/04/2026 Junior Lopes: Junior da Guarani sistemas por aqui_x000a_16:37, 27/04/2026 Junior Lopes: Td bem ?_x000a_11:46, 28/04/2026 Junior Lopes: Paulo , tudo bem ? _x000a_Não tive seu retorno _x000a_De qualquer forma pode me chamar caso queira dar continuidade _x000a_Um abraço"/>
    <s v=""/>
    <x v="625"/>
    <m/>
    <s v=""/>
    <s v="Paulo Sergio"/>
    <s v="(67) 99341-4113"/>
    <s v=""/>
    <s v="paulopedradagua@gmail.com"/>
    <s v=""/>
    <s v=""/>
    <s v=""/>
    <s v="Campo Grande"/>
    <s v=""/>
    <s v="Site"/>
    <s v=""/>
    <s v=""/>
    <s v="Solicita demo"/>
    <s v="Pipeline de Vendas"/>
    <s v="Agendamento (0%)"/>
    <s v=""/>
    <m/>
    <m/>
    <m/>
    <n v="1"/>
    <s v="Paulo Souza"/>
    <d v="2026-04-27T00:00:00"/>
    <d v="1899-12-30T16:01:20"/>
    <s v=""/>
    <s v="Perdido"/>
    <d v="2026-04-28T00:00:00"/>
    <d v="1899-12-30T11:47:45"/>
    <s v="Nossa solução não atende - falta funcionalidade"/>
    <s v="16:36, 27/04/2026 Junior Lopes: Olá Paulo , boa tarde_x000a_16:37, 27/04/2026 Junior Lopes: Junior da Guarani sistemas por aqui_x000a_16:37, 27/04/2026 Junior Lopes: Td bem ?_x000a_11:46, 28/04/2026 Junior Lopes: Paulo , tudo bem ? _x000a_Não tive seu retorno _x000a_De qualquer forma pode me chamar caso queira dar continuidade _x000a_Um abraço"/>
    <s v=""/>
    <x v="0"/>
    <s v="Junior Lopes"/>
    <x v="0"/>
    <s v=""/>
    <m/>
    <n v="30"/>
    <s v=""/>
    <s v=""/>
    <s v=""/>
    <s v=""/>
    <n v="1"/>
  </r>
  <r>
    <x v="1"/>
    <n v="1151"/>
    <m/>
    <n v="3602"/>
    <s v="28/04/2026) tentativa de contato não atendida , em uma busca sobre o lead, percebi que esta fora do perfil , revendedor de têni"/>
    <s v=""/>
    <x v="626"/>
    <m/>
    <s v=""/>
    <s v="GRIJALBA AGUIAR LINHARES"/>
    <s v="85985507327"/>
    <s v=""/>
    <s v="grijalbalinhares@gmail.com"/>
    <s v=""/>
    <s v=""/>
    <s v=""/>
    <s v=""/>
    <s v=""/>
    <s v="Campanha"/>
    <s v=""/>
    <s v=""/>
    <s v="Fora Perfil;Instagram"/>
    <s v="Pipeline de Vendas"/>
    <s v="Agendamento (0%)"/>
    <s v=""/>
    <m/>
    <m/>
    <m/>
    <n v="1"/>
    <s v="Paulo Souza"/>
    <d v="2026-04-27T00:00:00"/>
    <d v="1899-12-30T16:02:02"/>
    <s v=""/>
    <s v="Perdido"/>
    <d v="2026-04-28T00:00:00"/>
    <d v="1899-12-30T11:21:54"/>
    <s v="Fora do porte mínimo (sem fit estrutural)"/>
    <s v="fora do perfil, revendedor de tenis"/>
    <s v=""/>
    <x v="0"/>
    <s v="Junior Lopes"/>
    <x v="0"/>
    <s v=""/>
    <m/>
    <n v="30"/>
    <s v=""/>
    <s v=""/>
    <s v=""/>
    <s v=""/>
    <n v="1"/>
  </r>
  <r>
    <x v="2"/>
    <n v="1152"/>
    <m/>
    <n v="3608"/>
    <s v=""/>
    <s v=""/>
    <x v="627"/>
    <n v="9073191000196"/>
    <s v=""/>
    <s v="Megacenter trading"/>
    <s v="45999334900"/>
    <s v=""/>
    <s v="eduardo@megacenteratacado.com.br"/>
    <s v=""/>
    <s v=""/>
    <s v=""/>
    <s v=""/>
    <s v="Foz do iguaçu"/>
    <s v="Inbound"/>
    <s v=""/>
    <s v=""/>
    <s v="Dentro Perfil;Instagram"/>
    <s v="Pipeline de Vendas"/>
    <s v="Qualificação de Vendas (SQL) (25%)"/>
    <s v=""/>
    <m/>
    <m/>
    <m/>
    <n v="21"/>
    <s v="Paulo Souza"/>
    <d v="2026-04-29T00:00:00"/>
    <d v="1899-12-30T07:28:01"/>
    <s v=""/>
    <s v="Ativo"/>
    <m/>
    <m/>
    <s v=""/>
    <s v=""/>
    <s v=""/>
    <x v="0"/>
    <s v="Rayssa Karapeticov"/>
    <x v="0"/>
    <s v=""/>
    <d v="2026-05-13T00:00:00"/>
    <n v="30"/>
    <s v=""/>
    <s v=""/>
    <s v=""/>
    <s v=""/>
    <n v="1"/>
  </r>
  <r>
    <x v="1"/>
    <n v="1153"/>
    <m/>
    <n v="3609"/>
    <s v=""/>
    <s v=""/>
    <x v="628"/>
    <m/>
    <s v=""/>
    <s v="Distribuidora Robaski"/>
    <s v="51998484595"/>
    <s v=""/>
    <s v="edson@robaski.com.br"/>
    <s v=""/>
    <s v=""/>
    <s v=""/>
    <s v=""/>
    <s v=""/>
    <s v="Campanha"/>
    <s v=""/>
    <s v=""/>
    <s v="Dentro Perfil;Instagram"/>
    <s v="Pipeline de Vendas"/>
    <s v="Qualificação de Vendas (SQL) (25%)"/>
    <s v=""/>
    <m/>
    <m/>
    <m/>
    <n v="21"/>
    <s v="Paulo Souza"/>
    <d v="2026-04-29T00:00:00"/>
    <d v="1899-12-30T07:29:14"/>
    <s v=""/>
    <s v="Ativo"/>
    <m/>
    <m/>
    <s v=""/>
    <s v=""/>
    <s v=""/>
    <x v="0"/>
    <s v="Junior Lopes"/>
    <x v="0"/>
    <s v=""/>
    <d v="2026-05-06T00:00:00"/>
    <n v="30"/>
    <s v=""/>
    <s v=""/>
    <s v=""/>
    <s v=""/>
    <n v="1"/>
  </r>
  <r>
    <x v="2"/>
    <n v="1154"/>
    <m/>
    <n v="3610"/>
    <s v=""/>
    <s v=""/>
    <x v="629"/>
    <n v="8051809000154"/>
    <s v=""/>
    <s v="Rc distribuidora"/>
    <s v="93991455102"/>
    <s v=""/>
    <s v="dis.aliaca@gemai.com"/>
    <s v=""/>
    <s v=""/>
    <s v=""/>
    <s v=""/>
    <s v=""/>
    <s v="Campanha"/>
    <s v=""/>
    <s v=""/>
    <s v="Dentro Perfil;Instagram"/>
    <s v="Pipeline de Vendas"/>
    <s v="Qualificação de Vendas (SQL) (25%)"/>
    <s v=""/>
    <m/>
    <m/>
    <m/>
    <n v="14"/>
    <s v="Paulo Souza"/>
    <d v="2026-04-29T00:00:00"/>
    <d v="1899-12-30T07:30:18"/>
    <s v=""/>
    <s v="Perdido"/>
    <d v="2026-05-13T00:00:00"/>
    <d v="1899-12-30T12:45:34"/>
    <s v="Sem qualificação — contato não atende ligações nem responde msg"/>
    <s v=""/>
    <s v=""/>
    <x v="0"/>
    <s v="Rayssa Karapeticov"/>
    <x v="0"/>
    <s v=""/>
    <d v="2026-05-04T00:00:00"/>
    <n v="30"/>
    <s v=""/>
    <s v=""/>
    <s v=""/>
    <s v=""/>
    <n v="1"/>
  </r>
  <r>
    <x v="1"/>
    <n v="1155"/>
    <m/>
    <n v="3611"/>
    <s v="08:59, 29/04/2026 Junior Lopes: Olá Antonio , bom dia_x000a_09:00, 29/04/2026 Junior Lopes: Junior da Guarani sistemas por aqui_x000a_16:55, 04/05/2026 Junior Lopes: Olá Antonio ! Boa tarde"/>
    <s v=""/>
    <x v="630"/>
    <n v="8962163000167"/>
    <s v=""/>
    <s v="Antonio Rodriguez"/>
    <s v="31992924902"/>
    <s v=""/>
    <s v="ar@linexgel.com.br"/>
    <s v=""/>
    <s v=""/>
    <s v=""/>
    <s v=""/>
    <s v="Contagem"/>
    <s v="Inbound"/>
    <s v=""/>
    <s v=""/>
    <s v="Dentro Perfil;Instagram"/>
    <s v="Pipeline de Vendas"/>
    <s v="Qualificação de Vendas (SQL) (25%)"/>
    <s v=""/>
    <m/>
    <m/>
    <m/>
    <n v="21"/>
    <s v="Paulo Souza"/>
    <d v="2026-04-29T00:00:00"/>
    <d v="1899-12-30T07:31:11"/>
    <s v=""/>
    <s v="Ativo"/>
    <m/>
    <m/>
    <s v=""/>
    <s v=""/>
    <s v=""/>
    <x v="0"/>
    <s v="Junior Lopes"/>
    <x v="0"/>
    <s v=""/>
    <d v="2026-05-04T00:00:00"/>
    <n v="30"/>
    <s v=""/>
    <s v=""/>
    <s v=""/>
    <s v=""/>
    <n v="1"/>
  </r>
  <r>
    <x v="2"/>
    <n v="1156"/>
    <m/>
    <n v="3612"/>
    <s v=""/>
    <s v=""/>
    <x v="631"/>
    <n v="11513572000190"/>
    <s v=""/>
    <s v="Brsafe Comércio de Epis Ltda"/>
    <s v="43999150512"/>
    <s v=""/>
    <s v="comercial@brsafeepi.com.br"/>
    <s v=""/>
    <s v=""/>
    <s v=""/>
    <s v=""/>
    <s v="Arapongas"/>
    <s v="Inbound"/>
    <s v=""/>
    <s v=""/>
    <s v="Dentro Perfil;Instagram"/>
    <s v="Pipeline de Vendas"/>
    <s v="Qualificação de Vendas (SQL) (25%)"/>
    <s v=""/>
    <d v="2026-05-13T00:00:00"/>
    <m/>
    <m/>
    <n v="14"/>
    <s v="Paulo Souza"/>
    <d v="2026-04-29T00:00:00"/>
    <d v="1899-12-30T07:32:06"/>
    <s v=""/>
    <s v="Perdido"/>
    <d v="2026-05-13T00:00:00"/>
    <d v="1899-12-30T12:42:56"/>
    <s v="Sem qualificação — contato não atende ligações nem responde msg"/>
    <s v=""/>
    <s v=""/>
    <x v="0"/>
    <s v="Rayssa Karapeticov"/>
    <x v="0"/>
    <s v=""/>
    <d v="2026-05-04T00:00:00"/>
    <n v="30"/>
    <s v=""/>
    <s v=""/>
    <s v=""/>
    <s v=""/>
    <n v="1"/>
  </r>
  <r>
    <x v="1"/>
    <n v="1159"/>
    <m/>
    <n v="3692"/>
    <s v=""/>
    <s v=""/>
    <x v="632"/>
    <m/>
    <s v=""/>
    <s v="MDL (HOras)"/>
    <s v="11910695515"/>
    <s v=""/>
    <s v="janaina@mdlimport.com.br"/>
    <s v=""/>
    <s v=""/>
    <s v=""/>
    <s v=""/>
    <s v=""/>
    <s v=""/>
    <s v=""/>
    <s v=""/>
    <s v=""/>
    <s v="Pipeline de Vendas"/>
    <s v="Em Fechamento (100%)"/>
    <s v=""/>
    <m/>
    <n v="1485378"/>
    <n v="0"/>
    <n v="14"/>
    <s v="Junior Lopes"/>
    <d v="2026-04-30T00:00:00"/>
    <d v="1899-12-30T14:26:58"/>
    <s v=""/>
    <s v="Ganho"/>
    <d v="2026-05-14T00:00:00"/>
    <d v="1899-12-30T09:17:07"/>
    <s v=""/>
    <s v=""/>
    <s v=""/>
    <x v="212"/>
    <s v=""/>
    <x v="0"/>
    <s v=""/>
    <d v="2026-05-14T00:00:00"/>
    <n v="90"/>
    <s v=""/>
    <s v=""/>
    <s v=""/>
    <s v=""/>
    <n v="1"/>
  </r>
  <r>
    <x v="1"/>
    <n v="1160"/>
    <m/>
    <n v="3693"/>
    <s v="em contato com Dayane, vamos nos reunir na segunda feira dia 18/05"/>
    <s v=""/>
    <x v="633"/>
    <m/>
    <s v=""/>
    <s v="Tecelagem Castilho (E-commerce)"/>
    <s v="62993609476"/>
    <s v=""/>
    <s v="null"/>
    <s v=""/>
    <s v=""/>
    <s v=""/>
    <s v=""/>
    <s v=""/>
    <s v=""/>
    <s v=""/>
    <s v=""/>
    <s v=""/>
    <s v="Pipeline de Vendas"/>
    <s v="Em negociação (75%)"/>
    <s v=""/>
    <m/>
    <n v="4240"/>
    <n v="7128"/>
    <n v="20"/>
    <s v="Junior Lopes"/>
    <d v="2026-04-30T00:00:00"/>
    <d v="1899-12-30T14:36:01"/>
    <s v=""/>
    <s v="Ativo"/>
    <m/>
    <m/>
    <s v=""/>
    <s v=""/>
    <s v=""/>
    <x v="213"/>
    <s v=""/>
    <x v="234"/>
    <s v=""/>
    <d v="2026-05-18T00:00:00"/>
    <n v="50"/>
    <s v=""/>
    <s v=""/>
    <s v=""/>
    <s v=""/>
    <n v="1"/>
  </r>
  <r>
    <x v="1"/>
    <n v="1161"/>
    <m/>
    <n v="3694"/>
    <s v=""/>
    <s v=""/>
    <x v="634"/>
    <m/>
    <s v=""/>
    <s v="Logro Soft - Comex"/>
    <s v="3133780033"/>
    <s v=""/>
    <s v="supervisoroperacional@logrosoft.com.br"/>
    <s v=""/>
    <s v=""/>
    <s v=""/>
    <s v=""/>
    <s v=""/>
    <s v=""/>
    <s v=""/>
    <s v=""/>
    <s v=""/>
    <s v="Pipeline de Vendas"/>
    <s v="Em negociação (75%)"/>
    <s v=""/>
    <m/>
    <n v="6000"/>
    <n v="2000"/>
    <n v="0"/>
    <s v="Junior Lopes"/>
    <d v="2026-04-30T00:00:00"/>
    <d v="1899-12-30T14:59:00"/>
    <s v=""/>
    <s v="Perdido"/>
    <d v="2026-04-30T00:00:00"/>
    <d v="1899-12-30T15:41:47"/>
    <s v="Não houve aprovação financeira"/>
    <s v="dois pontos que o cliente usou para não seguir ! busca um ERP Mais simples e com valor ,ais em conta"/>
    <s v=""/>
    <x v="214"/>
    <s v=""/>
    <x v="231"/>
    <s v=""/>
    <m/>
    <n v="50"/>
    <s v=""/>
    <s v=""/>
    <s v=""/>
    <s v=""/>
    <n v="1"/>
  </r>
  <r>
    <x v="1"/>
    <n v="1162"/>
    <m/>
    <n v="3637"/>
    <s v="Todos os dados preenchidos:empresa: InfinitTec  name: Pedro Paulo cargo: Proprietário  whatsapp: 69981362005 email: adm@infinittec.com.br referrer: https://www.guaranisistemas.com.br/ _x000a_(04/05/2026) em busca sobre o lead ! _x000a_Infinitec é uma casa de software e controladoria financeira"/>
    <s v=""/>
    <x v="635"/>
    <m/>
    <s v=""/>
    <s v="Pedro Paulo"/>
    <s v=""/>
    <s v=""/>
    <s v="adm@infinittec.com.br"/>
    <s v=""/>
    <s v=""/>
    <s v=""/>
    <s v="Cacoal"/>
    <s v=""/>
    <s v="Inbound"/>
    <s v=""/>
    <s v=""/>
    <s v="Fora Perfil"/>
    <s v="Pipeline de Vendas"/>
    <s v="Agendamento (0%)"/>
    <s v=""/>
    <m/>
    <m/>
    <m/>
    <n v="0"/>
    <s v="Paulo Souza"/>
    <d v="2026-05-04T00:00:00"/>
    <d v="1899-12-30T08:07:13"/>
    <s v=""/>
    <s v="Perdido"/>
    <d v="2026-05-04T00:00:00"/>
    <d v="1899-12-30T09:31:01"/>
    <s v="Fora do porte mínimo (sem fit estrutural)"/>
    <s v="casa de software"/>
    <s v=""/>
    <x v="0"/>
    <s v="Junior Lopes"/>
    <x v="0"/>
    <s v=""/>
    <m/>
    <n v="30"/>
    <s v=""/>
    <s v=""/>
    <s v=""/>
    <s v=""/>
    <n v="1"/>
  </r>
  <r>
    <x v="3"/>
    <n v="1163"/>
    <m/>
    <n v="3638"/>
    <s v="Falei com o Chico: a empresa (atacado) possui 4 lojas e está prestes a inaugurar uma nova filial. Conta com 110 colaboradores (incluindo a equipe interna de vendas/televendas) e 6 representantes comerciais. Atualmente utiliza o sistema RP ERP e demonstrou interesse em conhecer novas opções. Também solicitou referências de clientes da região._x000a_Apresentação agendada para 11/05 às 10h._x000a_(18/05) Enviado msg para Chico a fim de agendar um bate-papo."/>
    <s v=""/>
    <x v="636"/>
    <n v="42263870000101"/>
    <s v=""/>
    <s v="eficaz atacadao da limpeza"/>
    <s v="(67) 9895-2961"/>
    <s v=""/>
    <s v="gerentedevendas@eficazatacadaodalimpeza.com.br"/>
    <s v=""/>
    <s v=""/>
    <s v=""/>
    <s v="CAMPO GRANDE"/>
    <s v="MS"/>
    <s v="Campanha"/>
    <s v=""/>
    <s v=""/>
    <s v="Dentro Perfil;Instagram"/>
    <s v="Pipeline de Vendas"/>
    <s v="Qualificação de Vendas (SQL) (25%)"/>
    <s v=""/>
    <m/>
    <m/>
    <m/>
    <n v="16"/>
    <s v="Paulo Souza"/>
    <d v="2026-05-04T00:00:00"/>
    <d v="1899-12-30T08:10:13"/>
    <s v=""/>
    <s v="Ativo"/>
    <m/>
    <m/>
    <s v=""/>
    <s v=""/>
    <s v=""/>
    <x v="0"/>
    <s v="Ronaldo Nascimento"/>
    <x v="0"/>
    <s v=""/>
    <m/>
    <n v="30"/>
    <s v=""/>
    <s v="AFV, ERP"/>
    <s v=""/>
    <s v=""/>
    <n v="1"/>
  </r>
  <r>
    <x v="2"/>
    <n v="1164"/>
    <m/>
    <n v="3695"/>
    <s v=""/>
    <s v=""/>
    <x v="637"/>
    <n v="64508464000196"/>
    <s v=""/>
    <s v="Shirley"/>
    <s v="41998464626"/>
    <s v=""/>
    <s v="zahrahcezar@gmail.com"/>
    <s v=""/>
    <s v=""/>
    <s v=""/>
    <s v="PIRAQUARA"/>
    <s v="PR"/>
    <s v="Campanha"/>
    <s v=""/>
    <s v=""/>
    <s v="Fora Perfil;Instagram"/>
    <s v="Pipeline de Vendas"/>
    <s v="Qualificação de Vendas (SQL) (25%)"/>
    <s v=""/>
    <m/>
    <m/>
    <m/>
    <n v="4"/>
    <s v="Paulo Souza"/>
    <d v="2026-05-04T00:00:00"/>
    <d v="1899-12-30T08:11:30"/>
    <s v=""/>
    <s v="Perdido"/>
    <d v="2026-05-08T00:00:00"/>
    <d v="1899-12-30T10:31:28"/>
    <s v="Fora do porte mínimo (sem fit estrutural)"/>
    <s v=""/>
    <s v=""/>
    <x v="0"/>
    <s v="Rayssa Karapeticov"/>
    <x v="0"/>
    <s v=""/>
    <d v="2026-05-08T00:00:00"/>
    <n v="31"/>
    <s v=""/>
    <s v=""/>
    <s v=""/>
    <s v=""/>
    <n v="1"/>
  </r>
  <r>
    <x v="1"/>
    <n v="1165"/>
    <m/>
    <n v="3698"/>
    <s v=""/>
    <s v=""/>
    <x v="638"/>
    <n v="15725079000195"/>
    <s v=""/>
    <s v="Edu Autoparts"/>
    <s v="8196028924"/>
    <s v=""/>
    <s v="eduardo@edusomautoparts.com.br"/>
    <s v=""/>
    <s v=""/>
    <s v=""/>
    <s v=""/>
    <s v=""/>
    <s v="Campanha"/>
    <s v=""/>
    <s v=""/>
    <s v="Dentro Perfil;Instagram"/>
    <s v="Pipeline de Vendas"/>
    <s v="Qualificação de Vendas (SQL) (25%)"/>
    <s v=""/>
    <m/>
    <m/>
    <m/>
    <n v="10"/>
    <s v="Paulo Souza"/>
    <d v="2026-05-04T00:00:00"/>
    <d v="1899-12-30T08:13:17"/>
    <s v=""/>
    <s v="Perdido"/>
    <d v="2026-05-14T00:00:00"/>
    <d v="1899-12-30T11:31:32"/>
    <s v="Sem qualificação — contato não atende ligações nem responde msg"/>
    <s v="(14/05/2026) cliente não responde aos contatos"/>
    <s v=""/>
    <x v="0"/>
    <s v="Junior Lopes"/>
    <x v="0"/>
    <s v=""/>
    <d v="2026-05-14T00:00:00"/>
    <n v="28"/>
    <s v=""/>
    <s v=""/>
    <s v=""/>
    <s v=""/>
    <n v="1"/>
  </r>
  <r>
    <x v="3"/>
    <n v="1166"/>
    <m/>
    <n v="3699"/>
    <s v="(04/05) Falei com o Leandro. A empresa utiliza o ERP Excellent Sistemas, mas ele relatou insatisfação principalmente nos módulos de compras e controle de estoque. Está em busca de um sistema mais completo._x000a_Solicitou que eu envie mais informações pelo WhatsApp para, em seguida, agendarmos uma reunião._x000a_Atualmente, a equipe conta com 3 representantes e 3 vendedores internos._x000a_(11/05) Enviado e-mail ao Leandro com informações sobre nossas soluções e possíveis ganhos operacionais nas áreas de compras e controle de estoque. Aguardando retorno para agendamento da apresentação._x000a_(18/05) Enviado WhatsApp para Leandro a fim de agendarmos uma apresentação."/>
    <s v=""/>
    <x v="639"/>
    <m/>
    <s v=""/>
    <s v="Bornia Metais Ltda."/>
    <s v="44991022838"/>
    <s v=""/>
    <s v="gallo.bornia@hotmail.com"/>
    <s v=""/>
    <s v=""/>
    <s v=""/>
    <s v=""/>
    <s v=""/>
    <s v="Campanha"/>
    <s v=""/>
    <s v=""/>
    <s v="Dentro Perfil;Instagram"/>
    <s v="Pipeline de Vendas"/>
    <s v="Qualificação de Vendas (SQL) (25%)"/>
    <s v=""/>
    <m/>
    <m/>
    <m/>
    <n v="16"/>
    <s v="Paulo Souza"/>
    <d v="2026-05-04T00:00:00"/>
    <d v="1899-12-30T08:14:23"/>
    <s v=""/>
    <s v="Ativo"/>
    <m/>
    <m/>
    <s v=""/>
    <s v=""/>
    <s v=""/>
    <x v="0"/>
    <s v="Ronaldo Nascimento"/>
    <x v="0"/>
    <s v=""/>
    <d v="2026-05-11T00:00:00"/>
    <n v="30"/>
    <s v=""/>
    <s v=""/>
    <s v=""/>
    <s v=""/>
    <n v="1"/>
  </r>
  <r>
    <x v="2"/>
    <n v="1167"/>
    <m/>
    <n v="3700"/>
    <s v=""/>
    <s v=""/>
    <x v="640"/>
    <m/>
    <s v=""/>
    <s v="Proprietario"/>
    <s v="5591420014"/>
    <s v=""/>
    <s v="lucasmaslonik@hotmail.com"/>
    <s v=""/>
    <s v=""/>
    <s v=""/>
    <s v=""/>
    <s v=""/>
    <s v="Campanha"/>
    <s v=""/>
    <s v=""/>
    <s v="Fora Perfil;Instagram"/>
    <s v="Pipeline de Vendas"/>
    <s v="Qualificação de Vendas (SQL) (25%)"/>
    <s v=""/>
    <m/>
    <m/>
    <m/>
    <n v="4"/>
    <s v="Paulo Souza"/>
    <d v="2026-05-04T00:00:00"/>
    <d v="1899-12-30T08:15:36"/>
    <s v=""/>
    <s v="Perdido"/>
    <d v="2026-05-08T00:00:00"/>
    <d v="1899-12-30T10:29:39"/>
    <s v="Fora do porte mínimo (sem fit estrutural)"/>
    <s v=""/>
    <s v=""/>
    <x v="0"/>
    <s v="Rayssa Karapeticov"/>
    <x v="0"/>
    <s v=""/>
    <d v="2026-05-08T00:00:00"/>
    <n v="30"/>
    <s v=""/>
    <s v=""/>
    <s v=""/>
    <s v=""/>
    <n v="1"/>
  </r>
  <r>
    <x v="2"/>
    <n v="1168"/>
    <m/>
    <n v="3701"/>
    <s v=""/>
    <s v=""/>
    <x v="641"/>
    <m/>
    <s v=""/>
    <s v="BC"/>
    <s v="14999125373"/>
    <s v=""/>
    <s v="jeruzamocluciano@gmail.com"/>
    <s v=""/>
    <s v=""/>
    <s v=""/>
    <s v=""/>
    <s v=""/>
    <s v="Campanha"/>
    <s v=""/>
    <s v=""/>
    <s v="Dentro Perfil;Instagram"/>
    <s v="Pipeline de Vendas"/>
    <s v="Agendamento (0%)"/>
    <s v=""/>
    <m/>
    <m/>
    <m/>
    <n v="5"/>
    <s v="Paulo Souza"/>
    <d v="2026-05-04T00:00:00"/>
    <d v="1899-12-30T08:16:29"/>
    <s v=""/>
    <s v="Perdido"/>
    <d v="2026-05-09T00:00:00"/>
    <d v="1899-12-30T08:46:59"/>
    <s v="Inválido - empresa não existe / dados errados"/>
    <s v=""/>
    <s v=""/>
    <x v="0"/>
    <s v="Rayssa Karapeticov"/>
    <x v="0"/>
    <s v=""/>
    <m/>
    <n v="30"/>
    <s v=""/>
    <s v=""/>
    <s v=""/>
    <s v=""/>
    <n v="1"/>
  </r>
  <r>
    <x v="1"/>
    <n v="1169"/>
    <m/>
    <n v="3702"/>
    <s v="(04/05/2026) em ligação com Paulo Rosa , _x000a_atualmente usa ERP https://www.etoerp.com.br/_x000a_atualmente esta com dificuldade com PCP em controlar insumos para produção ! esto8u enviando material via e -mail para logo seguirmos com apresentação _x000a_(15/05/2026) após envio de material não obtive mais retorno do Paulo"/>
    <s v=""/>
    <x v="642"/>
    <n v="29795322000156"/>
    <s v=""/>
    <s v="Presystem Projetos e Sistemas Eletrônicos"/>
    <s v="(11) 2031-1273"/>
    <s v=""/>
    <s v="contato@bepcontabilidade.com"/>
    <s v=""/>
    <s v=""/>
    <s v=""/>
    <s v="SAO PAULO"/>
    <s v="SP"/>
    <s v="Campanha"/>
    <s v=""/>
    <s v=""/>
    <s v="Dentro Perfil;Instagram"/>
    <s v="Pipeline de Vendas"/>
    <s v="Qualificação de Vendas (SQL) (25%)"/>
    <s v=""/>
    <m/>
    <m/>
    <m/>
    <n v="11"/>
    <s v="Paulo Souza"/>
    <d v="2026-05-04T00:00:00"/>
    <d v="1899-12-30T08:18:58"/>
    <s v=""/>
    <s v="Perdido"/>
    <d v="2026-05-15T00:00:00"/>
    <d v="1899-12-30T16:29:44"/>
    <s v="Sem qualificação — contato não atende ligações nem responde msg"/>
    <s v="no dia 05/05 cheguei a falar com Paulo, porem após envio do material e esboço de investimento  nao tive mais retorno"/>
    <s v=""/>
    <x v="0"/>
    <s v="Junior Lopes"/>
    <x v="0"/>
    <s v=""/>
    <d v="2026-05-15T00:00:00"/>
    <n v="31"/>
    <s v=""/>
    <s v=""/>
    <s v=""/>
    <s v=""/>
    <n v="1"/>
  </r>
  <r>
    <x v="1"/>
    <n v="1170"/>
    <m/>
    <n v="3704"/>
    <s v="Oi_x000a_hj sou socio na magnus transformadores_x000a_cnpj 27.569.814/0001-06_x000a_utilizamos um erp da empresa unicode_x000a_vou iniciar uma nova empresa de forma individual com a mesma atividade fabricação de transformadores_x000a_preciso de um sistema para gerir todas as estapas do processo da empresa_x000a_vendas, compras, produção, financeiro_x000a_(15/05/2026) depois da ultima conversa com Raul , dei um esboço do investimento logo não tivemos mais retorno"/>
    <s v=""/>
    <x v="643"/>
    <m/>
    <s v=""/>
    <s v="Ivan Edson Dias"/>
    <s v="(11) 95811-0104"/>
    <s v=""/>
    <s v="ivanedson77@gmail.com"/>
    <s v=""/>
    <s v=""/>
    <s v=""/>
    <s v="São Paulo"/>
    <s v=""/>
    <s v="Site"/>
    <s v=""/>
    <s v=""/>
    <s v="Dentro Perfil;Solicita demo"/>
    <s v="Pipeline de Vendas"/>
    <s v="Qualificação de Vendas (SQL) (25%)"/>
    <s v=""/>
    <m/>
    <m/>
    <m/>
    <n v="11"/>
    <s v="Paulo Souza"/>
    <d v="2026-05-04T00:00:00"/>
    <d v="1899-12-30T08:20:31"/>
    <s v=""/>
    <s v="Perdido"/>
    <d v="2026-05-15T00:00:00"/>
    <d v="1899-12-30T16:22:29"/>
    <s v="Não houve aprovação financeira"/>
    <s v="(15/05/2026) depois da ultima conversa com Ivan , dei um esboço do investimento logo não tivemos mais retorno"/>
    <s v=""/>
    <x v="0"/>
    <s v="Junior Lopes"/>
    <x v="0"/>
    <s v=""/>
    <d v="2026-05-15T00:00:00"/>
    <n v="30"/>
    <s v=""/>
    <s v=""/>
    <s v=""/>
    <s v=""/>
    <n v="1"/>
  </r>
  <r>
    <x v="3"/>
    <n v="1171"/>
    <m/>
    <n v="3705"/>
    <s v="(04/05) Realizado ligação, porém, caiu na caixa postal. Enviado msg por WhatsApp._x000a_(11/05) Enviado WhatsApp para Raimundo com o objetivo de verificar o melhor horário para realizar contato telefônico."/>
    <s v=""/>
    <x v="644"/>
    <m/>
    <s v=""/>
    <s v="Ellform"/>
    <s v="7187881309"/>
    <s v=""/>
    <s v="racoelhoneto@hotmail.com"/>
    <s v=""/>
    <s v=""/>
    <s v=""/>
    <s v=""/>
    <s v=""/>
    <s v="Campanha"/>
    <s v=""/>
    <s v=""/>
    <s v="Dentro Perfil;Instagram"/>
    <s v="Pipeline de Vendas"/>
    <s v="Qualificação de Vendas (SQL) (25%)"/>
    <s v=""/>
    <m/>
    <m/>
    <m/>
    <n v="14"/>
    <s v="Paulo Souza"/>
    <d v="2026-05-04T00:00:00"/>
    <d v="1899-12-30T08:21:13"/>
    <s v=""/>
    <s v="Perdido"/>
    <d v="2026-05-18T00:00:00"/>
    <d v="1899-12-30T09:31:54"/>
    <s v="Sem qualificação — contato não atende ligações nem responde msg"/>
    <s v="(18/05) Raimundo não retornou meus contatos. Enviei uma mensagem encerrando o atendimento no momento, mas deixei meu contato à disposição para um possível retorno futuro."/>
    <s v=""/>
    <x v="0"/>
    <s v="Ronaldo Nascimento"/>
    <x v="0"/>
    <s v=""/>
    <d v="2026-05-11T00:00:00"/>
    <n v="30"/>
    <s v=""/>
    <s v=""/>
    <s v=""/>
    <s v=""/>
    <n v="1"/>
  </r>
  <r>
    <x v="3"/>
    <n v="1172"/>
    <m/>
    <n v="3706"/>
    <s v="(04/05) Realizado ligação, porém, caiu na caixa postal. Enviado msg por WhatsApp._x000a_(11/05) Enviado WhatsApp para Márcio com o objetivo de verificar o melhor horário para realizar contato telefônico._x000a_(18/05) Tentei contato novamente com Márcio, porém, sem sucesso (Ligação e WhatsApp). Enviado e-mail antes de perder o negócio."/>
    <s v=""/>
    <x v="645"/>
    <n v="32268865000391"/>
    <s v=""/>
    <s v="Morefix"/>
    <s v="19991043105"/>
    <s v=""/>
    <s v="marcio.soares@morefix.com.br"/>
    <s v=""/>
    <s v=""/>
    <s v=""/>
    <s v=""/>
    <s v=""/>
    <s v="Campanha"/>
    <s v=""/>
    <s v=""/>
    <s v="Dentro Perfil;Instagram"/>
    <s v="Pipeline de Vendas"/>
    <s v="Qualificação de Vendas (SQL) (25%)"/>
    <s v=""/>
    <m/>
    <m/>
    <m/>
    <n v="16"/>
    <s v="Paulo Souza"/>
    <d v="2026-05-04T00:00:00"/>
    <d v="1899-12-30T08:22:02"/>
    <s v=""/>
    <s v="Ativo"/>
    <m/>
    <m/>
    <s v=""/>
    <s v=""/>
    <s v=""/>
    <x v="0"/>
    <s v="Ronaldo Nascimento"/>
    <x v="0"/>
    <s v=""/>
    <d v="2026-05-11T00:00:00"/>
    <n v="30"/>
    <s v=""/>
    <s v=""/>
    <s v=""/>
    <s v=""/>
    <n v="1"/>
  </r>
  <r>
    <x v="1"/>
    <n v="1173"/>
    <m/>
    <n v="3707"/>
    <s v="(04/05/2026) tentativa de ligação ! porem numero somente WhatsApp_x000a_(04/05/2026) em contato com Sérgio ! _x000a_em ligação se identificou e já foi cliente Guarani na oportunidade migrou para Winthor ! _x000a_pediu uma ideia de investimento para entender sobre uma eventual mudança ! estou batalhando para nos reunirmos para uma breve apresentação _x000a_Tentativa de contato : _x000a_ 14:51, 04/05/2026 Junior Lopes: Olá Sérgio ! Boa tarde_x000a_14:51, 04/05/2026 Junior Lopes: Junior da Guarani sistemas por aqui ! Td bem ?_x000a_(15/05/2026) tentaiva de ligação não atendia com Sérgio, a ideia é fazer apresentação"/>
    <s v=""/>
    <x v="646"/>
    <n v="1784943000115"/>
    <s v=""/>
    <s v="Astrum Distribuidora"/>
    <s v="38988234018"/>
    <s v=""/>
    <s v="sergio@resendesantos.com.br"/>
    <s v=""/>
    <s v=""/>
    <s v=""/>
    <s v=""/>
    <s v="Montes Claros"/>
    <s v="Inbound"/>
    <s v=""/>
    <s v=""/>
    <s v="Dentro Perfil;Instagram"/>
    <s v="Pipeline de Vendas"/>
    <s v="Qualificação de Vendas (SQL) (25%)"/>
    <s v=""/>
    <m/>
    <m/>
    <m/>
    <n v="16"/>
    <s v="Paulo Souza"/>
    <d v="2026-05-04T00:00:00"/>
    <d v="1899-12-30T08:23:02"/>
    <s v=""/>
    <s v="Ativo"/>
    <m/>
    <m/>
    <s v=""/>
    <s v=""/>
    <s v=""/>
    <x v="0"/>
    <s v="Junior Lopes"/>
    <x v="0"/>
    <s v=""/>
    <d v="2026-05-15T00:00:00"/>
    <n v="30"/>
    <s v=""/>
    <s v=""/>
    <s v=""/>
    <s v=""/>
    <n v="1"/>
  </r>
  <r>
    <x v="3"/>
    <n v="1174"/>
    <m/>
    <n v="3708"/>
    <s v="(04/05) Entrei em contato e falei com Luis. Informou que João estará na empresa à partir das 16h, pediu para retornar neste horário._x000a_(06/05) Entrei em contato com o Luis, que solicitou o envio das informações por e-mail ao João. Ficou combinado retorno amanhã às 11h30._x000a_(11/05) Realizada nova tentativa de contato com João, porém sem sucesso. Enviado e-mail com o objetivo de agendar um bate-papo para apresentação das soluções._x000a_(18/05) Como não tive retorno (ligação), enviado e-mail para João antes de perder o negócio."/>
    <s v=""/>
    <x v="647"/>
    <n v="10667844000144"/>
    <s v=""/>
    <s v="ferragens renova"/>
    <s v="5134904475"/>
    <s v=""/>
    <s v="diretoria@ferragensrenova.com.br"/>
    <s v=""/>
    <s v=""/>
    <s v=""/>
    <s v=""/>
    <s v=""/>
    <s v="Campanha"/>
    <s v=""/>
    <s v=""/>
    <s v="Dentro Perfil;Instagram"/>
    <s v="Pipeline de Vendas"/>
    <s v="Qualificação de Vendas (SQL) (25%)"/>
    <s v=""/>
    <m/>
    <m/>
    <m/>
    <n v="16"/>
    <s v="Paulo Souza"/>
    <d v="2026-05-04T00:00:00"/>
    <d v="1899-12-30T08:23:51"/>
    <s v=""/>
    <s v="Ativo"/>
    <m/>
    <m/>
    <s v=""/>
    <s v=""/>
    <s v=""/>
    <x v="0"/>
    <s v="Ronaldo Nascimento"/>
    <x v="0"/>
    <s v=""/>
    <d v="2026-05-11T00:00:00"/>
    <n v="30"/>
    <s v=""/>
    <s v=""/>
    <s v=""/>
    <s v=""/>
    <n v="1"/>
  </r>
  <r>
    <x v="3"/>
    <n v="1175"/>
    <n v="213"/>
    <n v="3714"/>
    <s v="(04/05) Falei com o Thiago: ele está em fechamento e com dois colaboradores do administrativo em férias. Após essa semana, irá verificar uma agenda para conversarmos. Retornar na segunda-feira._x000a_(11/05) Enviado msg para Thiago a fim de agendar um bate-papo."/>
    <s v=""/>
    <x v="648"/>
    <n v="3670607000177"/>
    <s v="RV DISTRIBUIDORA DE GENEROS ALIMENTICIOS LTDA"/>
    <s v="Thiago Barbosa"/>
    <s v="(16) 98127-4870"/>
    <s v="16981274870"/>
    <s v="rvdistribuidora123@gmail.com"/>
    <s v="Matriz"/>
    <s v=""/>
    <s v="AV LUIZ ALFREDO DE MELO ROSA 460"/>
    <s v="IBATE"/>
    <s v="SP"/>
    <s v="Outbound"/>
    <s v="Outbound"/>
    <s v=""/>
    <s v="Dentro Perfil"/>
    <s v="Pipeline de Vendas"/>
    <s v="Qualificação de Vendas (SQL) (25%)"/>
    <s v=""/>
    <m/>
    <m/>
    <m/>
    <n v="16"/>
    <s v="Paulo Souza"/>
    <d v="2026-05-04T00:00:00"/>
    <d v="1899-12-30T08:43:59"/>
    <s v=""/>
    <s v="Ativo"/>
    <m/>
    <m/>
    <s v=""/>
    <s v=""/>
    <s v=""/>
    <x v="0"/>
    <s v="Ronaldo Nascimento"/>
    <x v="0"/>
    <s v=""/>
    <d v="2026-05-11T00:00:00"/>
    <n v="30"/>
    <s v=""/>
    <s v=""/>
    <s v=""/>
    <s v=""/>
    <n v="1"/>
  </r>
  <r>
    <x v="2"/>
    <n v="1176"/>
    <m/>
    <n v="3716"/>
    <s v=""/>
    <s v=""/>
    <x v="649"/>
    <n v="52696640000181"/>
    <s v=""/>
    <s v="Aparecido Ribeiro Molina Junior"/>
    <s v="(19) 99788-2241"/>
    <s v=""/>
    <s v="gerencia@grupogadulog.com.br"/>
    <s v=""/>
    <s v=""/>
    <s v=""/>
    <s v="DESCALVADO"/>
    <s v="SP"/>
    <s v="Site"/>
    <s v=""/>
    <s v=""/>
    <s v="Fora Perfil;Solicita demo"/>
    <s v="Pipeline de Vendas"/>
    <s v="Qualificação de Vendas (SQL) (25%)"/>
    <s v=""/>
    <m/>
    <m/>
    <m/>
    <n v="4"/>
    <s v="Paulo Souza"/>
    <d v="2026-05-04T00:00:00"/>
    <d v="1899-12-30T15:45:58"/>
    <s v=""/>
    <s v="Perdido"/>
    <d v="2026-05-08T00:00:00"/>
    <d v="1899-12-30T12:09:14"/>
    <s v="Fora do porte mínimo (sem fit estrutural)"/>
    <s v=""/>
    <s v=""/>
    <x v="0"/>
    <s v="Rayssa Karapeticov"/>
    <x v="0"/>
    <s v=""/>
    <d v="2026-05-05T00:00:00"/>
    <n v="30"/>
    <s v=""/>
    <s v=""/>
    <s v=""/>
    <s v=""/>
    <n v="1"/>
  </r>
  <r>
    <x v="1"/>
    <n v="1177"/>
    <m/>
    <n v="3732"/>
    <s v=""/>
    <s v=""/>
    <x v="650"/>
    <n v="36356922000183"/>
    <s v=""/>
    <s v="Istok comércio"/>
    <s v="(11) 2361-7746"/>
    <s v=""/>
    <s v="diogo.contabilidade@yahoo.com.br"/>
    <s v=""/>
    <s v=""/>
    <s v=""/>
    <s v="SAO PAULO"/>
    <s v="SP"/>
    <s v=""/>
    <s v=""/>
    <s v=""/>
    <s v=""/>
    <s v="Pipeline de Vendas"/>
    <s v="Em Fechamento (100%)"/>
    <s v=""/>
    <m/>
    <n v="694512"/>
    <n v="201348"/>
    <n v="14"/>
    <s v="Junior Lopes"/>
    <d v="2026-05-05T00:00:00"/>
    <d v="1899-12-30T16:57:12"/>
    <s v=""/>
    <s v="Ganho"/>
    <d v="2026-05-19T00:00:00"/>
    <d v="1899-12-30T14:28:32"/>
    <s v=""/>
    <s v=""/>
    <s v=""/>
    <x v="215"/>
    <s v=""/>
    <x v="235"/>
    <s v="12/05/2026"/>
    <m/>
    <n v="50"/>
    <s v=""/>
    <s v=""/>
    <s v=""/>
    <s v=""/>
    <n v="1"/>
  </r>
  <r>
    <x v="3"/>
    <n v="1178"/>
    <n v="263"/>
    <n v="3734"/>
    <s v="(11/05) Enviada nova mensagem via LinkedIn para Rodrigo Buzinari. Em 05/05, também foi encaminhado e-mail para Rodrigo Furtado (diretor)._x000a_(18/05) Enviado e-mail para Rodrigo, antes de perder o negócio."/>
    <s v=""/>
    <x v="651"/>
    <n v="20718183000192"/>
    <s v="PETIKO COMERCIO E DISTRIBUICAO DE PRODUTOS PET S.A"/>
    <s v="Rodrigo José Buzinari"/>
    <s v="(16) 33712-3681"/>
    <s v=""/>
    <s v="eucuidoparavoce@doutorcontabil.com.br"/>
    <s v="Matriz"/>
    <s v=""/>
    <s v="R FRANCISCO MARICONDI 254"/>
    <s v="SAO CARLOS"/>
    <s v="SP"/>
    <s v=""/>
    <s v=""/>
    <s v=""/>
    <s v="Dentro Perfil"/>
    <s v="Pipeline de Vendas"/>
    <s v="Qualificação de Vendas (SQL) (25%)"/>
    <s v=""/>
    <m/>
    <m/>
    <m/>
    <n v="15"/>
    <s v="Ronaldo Nascimento"/>
    <d v="2026-05-05T00:00:00"/>
    <d v="1899-12-30T17:25:14"/>
    <s v=""/>
    <s v="Ativo"/>
    <m/>
    <m/>
    <s v=""/>
    <s v=""/>
    <s v=""/>
    <x v="0"/>
    <s v=""/>
    <x v="0"/>
    <s v=""/>
    <d v="2026-05-11T00:00:00"/>
    <n v="30"/>
    <s v=""/>
    <s v=""/>
    <s v=""/>
    <s v=""/>
    <n v="1"/>
  </r>
  <r>
    <x v="3"/>
    <n v="1179"/>
    <m/>
    <n v="3735"/>
    <s v="(06/05) Realizei contato telefônico com Lucianei, que informou não poder falar no momento e que retornaria assim que possível. Também enviei mensagem via WhatsApp para acompanhamento._x000a_(07/05) Realizo novo contato por WhatsApp. (Telefone deu caixa portal)_x000a_(11/05) Realizada nova tentativa de contato com Luciane, porém sem sucesso. Enviada nova mensagem via WhatsApp._x000a_(18/05) Luciane não retornou meus contatos. Enviei uma mensagem encerrando o atendimento no momento, mas deixei meu contato à disposição para um possível retorno futuro."/>
    <s v=""/>
    <x v="652"/>
    <m/>
    <s v=""/>
    <s v="Querosmais"/>
    <s v="41988659245"/>
    <s v=""/>
    <s v="querosmais@ig.com.br"/>
    <s v=""/>
    <s v=""/>
    <s v=""/>
    <s v=""/>
    <s v=""/>
    <s v="Campanha"/>
    <s v=""/>
    <s v=""/>
    <s v="Dentro Perfil;Instagram"/>
    <s v="Pipeline de Vendas"/>
    <s v="Qualificação de Vendas (SQL) (25%)"/>
    <s v=""/>
    <m/>
    <m/>
    <m/>
    <n v="12"/>
    <s v="Paulo Souza"/>
    <d v="2026-05-06T00:00:00"/>
    <d v="1899-12-30T03:15:00"/>
    <s v=""/>
    <s v="Perdido"/>
    <d v="2026-05-18T00:00:00"/>
    <d v="1899-12-30T10:08:21"/>
    <s v="Sem qualificação — contato não atende ligações nem responde msg"/>
    <s v="(18/05) Luciane não retornou meus contatos. Enviei uma mensagem encerrando o atendimento no momento, mas deixei meu contato à disposição para um possível retorno futuro."/>
    <s v=""/>
    <x v="0"/>
    <s v="Ronaldo Nascimento"/>
    <x v="0"/>
    <s v=""/>
    <d v="2026-05-11T00:00:00"/>
    <n v="30"/>
    <s v=""/>
    <s v=""/>
    <s v=""/>
    <s v=""/>
    <n v="1"/>
  </r>
  <r>
    <x v="3"/>
    <n v="1180"/>
    <m/>
    <n v="3718"/>
    <s v="(06/05) Realizei contato telefônico com Marcelo. A empresa utiliza o sistema Sankhya e demonstrou insatisfação. Possuem vendedores internos e representantes comerciais. Apresentação agendada para quinta-feira (07/05), às 15h._x000a_(07/05) Realizada apresentação para o Marcelo. A reunião foi conduzida pelo Paulo, eu acompanhei._x000a_O projeto contempla aproximadamente 13 usuários entre ERP e AFV. Foi enviado o formulário para preenchimento e, posteriormente, será realizada a emissão da proposta._x000a_Obs.: Marcelo está ciente das horas de implantação._x000a_(14/05) Enviado WhatsApp para Marcelo solicitando um retorno sobre a proposta apresentada."/>
    <s v=""/>
    <x v="653"/>
    <n v="4184739000151"/>
    <s v=""/>
    <s v="Fikssar distribuidora LTDA"/>
    <s v="34996787403"/>
    <s v=""/>
    <s v="marcelojsilva@fikssar.com.br"/>
    <s v=""/>
    <s v=""/>
    <s v=""/>
    <s v=""/>
    <s v="Patos  de Minas"/>
    <s v="Inbound"/>
    <s v=""/>
    <s v=""/>
    <s v="Dentro Perfil;Instagram"/>
    <s v="Pipeline de Vendas"/>
    <s v="Em negociação (75%)"/>
    <s v=""/>
    <m/>
    <n v="8585802"/>
    <m/>
    <n v="14"/>
    <s v="Paulo Souza"/>
    <d v="2026-05-06T00:00:00"/>
    <d v="1899-12-30T03:16:48"/>
    <s v=""/>
    <s v="Ativo"/>
    <m/>
    <m/>
    <s v=""/>
    <s v=""/>
    <s v=""/>
    <x v="215"/>
    <s v="Ronaldo Nascimento"/>
    <x v="236"/>
    <s v=""/>
    <d v="2026-05-12T00:00:00"/>
    <n v="50"/>
    <s v=""/>
    <s v="AFV, ERP"/>
    <s v=""/>
    <s v=""/>
    <n v="1"/>
  </r>
  <r>
    <x v="3"/>
    <n v="1181"/>
    <m/>
    <n v="3720"/>
    <s v="(06/05) Tentei contato telefônico, porém a chamada foi direcionada para a caixa postal. Enviei mensagem via WhatsApp para identificar o melhor horário para retorno da ligação._x000a_(07/05) Johnny retornou a mensagem informando que estava em viagem, cuidando da saúde do pai, e que nesta semana não seria possível falarmos. Disse que na próxima semana entrará em contato. Caso isso não ocorra, realizar novo contato._x000a_(18/05) Enviado nova msg para Johnny a fim de verificar melhor horário para ligação."/>
    <s v=""/>
    <x v="654"/>
    <m/>
    <s v=""/>
    <s v="Krieger ind e com fé madeiras"/>
    <s v="66984172640"/>
    <s v=""/>
    <s v="kriegermadeiraspga@gmail.com"/>
    <s v=""/>
    <s v=""/>
    <s v=""/>
    <s v=""/>
    <s v="Porto dos Gaúchos MT"/>
    <s v="Inbound"/>
    <s v=""/>
    <s v=""/>
    <s v="Dentro Perfil;Instagram"/>
    <s v="Pipeline de Vendas"/>
    <s v="Qualificação de Vendas (SQL) (25%)"/>
    <s v=""/>
    <m/>
    <m/>
    <m/>
    <n v="14"/>
    <s v="Paulo Souza"/>
    <d v="2026-05-06T00:00:00"/>
    <d v="1899-12-30T03:17:57"/>
    <s v=""/>
    <s v="Ativo"/>
    <m/>
    <m/>
    <s v=""/>
    <s v=""/>
    <s v=""/>
    <x v="0"/>
    <s v="Ronaldo Nascimento"/>
    <x v="0"/>
    <s v=""/>
    <m/>
    <n v="30"/>
    <s v=""/>
    <s v=""/>
    <s v=""/>
    <s v=""/>
    <n v="1"/>
  </r>
  <r>
    <x v="3"/>
    <n v="1184"/>
    <m/>
    <n v="3737"/>
    <s v="(07/05) Tentei contato telefônico, porém sem sucesso. Foi enviado WhatsApp para Tiago, com o objetivo de verificar o melhor horário para conversarmos."/>
    <s v=""/>
    <x v="655"/>
    <m/>
    <s v=""/>
    <s v="Tiago sandavid"/>
    <s v="93991009174"/>
    <s v=""/>
    <s v="souzamaia2010@hotmail.com"/>
    <s v=""/>
    <s v=""/>
    <s v=""/>
    <s v=""/>
    <s v=""/>
    <s v="Campanha"/>
    <s v=""/>
    <s v=""/>
    <s v="Fora Perfil;Instagram"/>
    <s v="Pipeline de Vendas"/>
    <s v="Qualificação de Vendas (SQL) (25%)"/>
    <s v=""/>
    <m/>
    <m/>
    <m/>
    <n v="0"/>
    <s v="Paulo Souza"/>
    <d v="2026-05-07T00:00:00"/>
    <d v="1899-12-30T08:39:53"/>
    <s v=""/>
    <s v="Perdido"/>
    <d v="2026-05-07T00:00:00"/>
    <d v="1899-12-30T14:21:16"/>
    <s v="Fora do porte mínimo (sem fit estrutural)"/>
    <s v="Empresa de pequeno porte, com 3 vendedores internos._x000a_Atualmente utilizam o sistema Vendr, do Grupo IOB."/>
    <s v=""/>
    <x v="0"/>
    <s v="Ronaldo Nascimento"/>
    <x v="0"/>
    <s v=""/>
    <m/>
    <n v="30"/>
    <s v=""/>
    <s v=""/>
    <s v=""/>
    <s v=""/>
    <n v="1"/>
  </r>
  <r>
    <x v="1"/>
    <n v="1185"/>
    <m/>
    <n v="3741"/>
    <s v="(07/05/2026) tentativa de ligação _x000a_08:45, 07/05/2026 Junior Lopes: Olá Fran , bom dia_x000a_08:45, 07/05/2026 Fran dantas Cafe Espressiata: Espressiata agradece seu contato. Como podemos ajudar?_x000a_08:45, 07/05/2026 Junior Lopes: Sou Junior Lopes da Guarani sistemas! Td bem ?"/>
    <s v=""/>
    <x v="656"/>
    <n v="40904398000105"/>
    <s v=""/>
    <s v="Espressiata Cafés Especiais"/>
    <s v="34999008780"/>
    <s v=""/>
    <s v="franciele@espressiata.com.br"/>
    <s v=""/>
    <s v=""/>
    <s v=""/>
    <s v=""/>
    <s v="Frutal MG"/>
    <s v="Inbound"/>
    <s v=""/>
    <s v=""/>
    <s v="Dentro Perfil;Instagram"/>
    <s v="Pipeline de Vendas"/>
    <s v="Qualificação de Vendas (SQL) (25%)"/>
    <s v=""/>
    <m/>
    <m/>
    <m/>
    <n v="7"/>
    <s v="Paulo Souza"/>
    <d v="2026-05-07T00:00:00"/>
    <d v="1899-12-30T08:41:59"/>
    <s v=""/>
    <s v="Perdido"/>
    <d v="2026-05-14T00:00:00"/>
    <d v="1899-12-30T15:40:42"/>
    <s v="Sem qualificação — contato não atende ligações nem responde msg"/>
    <s v="Olá boa tarde ! Junior da Guarani sistemas por aqui _x000a_Logo que nós tivemos retorno ao contato estou finalizando por aqui ! _x000a_Caso mude de ideia por favor só me chamar _x000a_Sucesso por aí"/>
    <s v=""/>
    <x v="0"/>
    <s v="Junior Lopes"/>
    <x v="0"/>
    <s v=""/>
    <d v="2026-05-14T00:00:00"/>
    <n v="30"/>
    <s v=""/>
    <s v=""/>
    <s v=""/>
    <s v=""/>
    <n v="1"/>
  </r>
  <r>
    <x v="0"/>
    <n v="1186"/>
    <m/>
    <n v="3745"/>
    <s v=""/>
    <s v=""/>
    <x v="657"/>
    <n v="62956379000165"/>
    <s v=""/>
    <s v="Mirian"/>
    <s v="(16) 99705-1588"/>
    <s v=""/>
    <s v="mirian@jcsperfis.com.br"/>
    <s v=""/>
    <s v=""/>
    <s v=""/>
    <s v="SAO CARLOS"/>
    <s v="SP"/>
    <s v="Inbound"/>
    <s v=""/>
    <s v=""/>
    <s v="Dentro Perfil;Instagram"/>
    <s v="Pipeline de Vendas"/>
    <s v="Apresentar Solução (35%)"/>
    <s v=""/>
    <d v="2026-05-31T00:00:00"/>
    <m/>
    <m/>
    <n v="13"/>
    <s v="Paulo Souza"/>
    <d v="2026-05-07T00:00:00"/>
    <d v="1899-12-30T08:43:39"/>
    <s v=""/>
    <s v="Ativo"/>
    <m/>
    <m/>
    <s v=""/>
    <s v=""/>
    <s v=""/>
    <x v="0"/>
    <s v="Paulo Souza"/>
    <x v="0"/>
    <s v=""/>
    <d v="2026-05-18T00:00:00"/>
    <n v="30"/>
    <s v="-1"/>
    <s v=""/>
    <s v=""/>
    <s v=""/>
    <n v="1"/>
  </r>
  <r>
    <x v="2"/>
    <n v="1187"/>
    <m/>
    <n v="3744"/>
    <s v="Todos os dados preenchidos:_x000a_empresa: andreingrati@gmail.com _x000a_name: Andre  _x000a_cargo: andreingrati@gmail.com _x000a_whatsapp: 18997028677 _x000a_email: andreingrati@gmail.com _x000a_referrer: https://www.guaranisistemas.com.br/"/>
    <s v=""/>
    <x v="658"/>
    <m/>
    <s v=""/>
    <s v="Andre"/>
    <s v=""/>
    <s v=""/>
    <s v="andreingrati@gmail.com"/>
    <s v=""/>
    <s v=""/>
    <s v=""/>
    <s v="Andradina"/>
    <s v=""/>
    <s v="Inbound"/>
    <s v=""/>
    <s v=""/>
    <s v="Fora Perfil"/>
    <s v="Pipeline de Vendas"/>
    <s v="Agendamento (0%)"/>
    <s v=""/>
    <m/>
    <m/>
    <m/>
    <n v="0"/>
    <s v="Paulo Souza"/>
    <d v="2026-05-07T00:00:00"/>
    <d v="1899-12-30T08:45:42"/>
    <s v=""/>
    <s v="Perdido"/>
    <d v="2026-05-07T00:00:00"/>
    <d v="1899-12-30T09:53:22"/>
    <s v="Fora do porte mínimo (sem fit estrutural)"/>
    <s v=""/>
    <s v=""/>
    <x v="0"/>
    <s v="Rayssa Karapeticov"/>
    <x v="0"/>
    <s v=""/>
    <m/>
    <n v="30"/>
    <s v=""/>
    <s v=""/>
    <s v=""/>
    <s v=""/>
    <n v="1"/>
  </r>
  <r>
    <x v="2"/>
    <n v="1188"/>
    <m/>
    <n v="3743"/>
    <s v=""/>
    <s v=""/>
    <x v="659"/>
    <m/>
    <s v=""/>
    <s v="GSH Marketing Solutions"/>
    <s v="8496757596"/>
    <s v=""/>
    <s v="gleydson.silva@live.com"/>
    <s v=""/>
    <s v=""/>
    <s v=""/>
    <s v=""/>
    <s v=""/>
    <s v="Campanha"/>
    <s v=""/>
    <s v=""/>
    <s v="Dentro Perfil;Instagram"/>
    <s v="Pipeline de Vendas"/>
    <s v="Agendamento (0%)"/>
    <s v=""/>
    <d v="2026-05-31T00:00:00"/>
    <m/>
    <m/>
    <n v="2"/>
    <s v="Paulo Souza"/>
    <d v="2026-05-07T00:00:00"/>
    <d v="1899-12-30T08:47:19"/>
    <s v=""/>
    <s v="Perdido"/>
    <d v="2026-05-09T00:00:00"/>
    <d v="1899-12-30T08:54:10"/>
    <s v="Nossa solução não atende - falta funcionalidade"/>
    <s v=""/>
    <s v=""/>
    <x v="0"/>
    <s v="Rayssa Karapeticov"/>
    <x v="0"/>
    <s v=""/>
    <m/>
    <n v="30"/>
    <s v=""/>
    <s v=""/>
    <s v=""/>
    <s v=""/>
    <n v="1"/>
  </r>
  <r>
    <x v="1"/>
    <n v="1189"/>
    <m/>
    <n v="3742"/>
    <s v="08:52, 07/05/2026 Junior Lopes: Olá bom dia !_x000a_08:52, 07/05/2026 Junior Lopes: Sou Junior Lopes da Guarani sistemas! Td bem ?_x000a_11:51, 07/05/2026 Junior Lopes: qual o melhor horario para falarmos"/>
    <s v=""/>
    <x v="660"/>
    <m/>
    <s v=""/>
    <s v="Contade"/>
    <s v="4399777609"/>
    <s v=""/>
    <s v="arianagrandepequenasim@gmail.com"/>
    <s v=""/>
    <s v=""/>
    <s v=""/>
    <s v=""/>
    <s v="N sei"/>
    <s v="Inbound"/>
    <s v=""/>
    <s v=""/>
    <s v="Fora Perfil;Instagram"/>
    <s v="Pipeline de Vendas"/>
    <s v="Qualificação de Vendas (SQL) (25%)"/>
    <s v=""/>
    <m/>
    <m/>
    <m/>
    <n v="7"/>
    <s v="Paulo Souza"/>
    <d v="2026-05-07T00:00:00"/>
    <d v="1899-12-30T08:48:50"/>
    <s v=""/>
    <s v="Perdido"/>
    <d v="2026-05-14T00:00:00"/>
    <d v="1899-12-30T15:37:01"/>
    <s v="Inválido - empresa não existe / dados errados"/>
    <s v="(14/05/2026) _x000a_contato não responde _x000a_as informações inseridas não encontram dados da empresa ! ideal exigir CNPJ para uma melhor busca"/>
    <s v=""/>
    <x v="0"/>
    <s v="Junior Lopes"/>
    <x v="0"/>
    <s v=""/>
    <d v="2026-05-14T00:00:00"/>
    <n v="30"/>
    <s v=""/>
    <s v=""/>
    <s v=""/>
    <s v=""/>
    <n v="1"/>
  </r>
  <r>
    <x v="3"/>
    <n v="1190"/>
    <n v="276"/>
    <n v="3748"/>
    <s v="(07/05) Falei com Leila. Eles realizaram recentemente a troca de ERP e estão em busca de um novo CRM. Apresentei as soluções que oferecemos, com foco no AFV._x000a_No momento, estamos aguardando o retorno do Gestor Comercial para avançarmos com o agendamento de uma reunião._x000a_(12/05): Leila gostaria de uma reunião para entender melhor as nossa soluções. Como mudaram recentemente de ERP, a idéia é conhecer o nosso força de vendas e o BI para companhamento das vendas/metas._x000a_A Estilo Ar atua como distribuidora de peças e soluções para ar-condicionado automotivo. Filiais em: Uberlândia/MG (matriz), Belo Horizonte/MG, Juiz de Fora/MG, Montes Claros/MG, Goiânia/GO, Itumbiara/GO, Duque de Caxias/RJ e Cuiabá/MT. Então abrindo a nova filial Cuiabá._x000a_Produros que trabalham: Produtos que trabalham: Peças para ar-condicionado automotivo, Componentes Denso e Delphi, Produtos da marca própria Estilo Ar,  Filtros de cabine, Óleos, Higienizadores, Ferramentas e itens para manutenção automotiva. ERP atual: Sankhya e CRM Kommo integrado._x000a_Paulo: o foco é no AFV e BI, pois estão insatisfeito com o CRM atual. _x000a_(12/05) Reunião agendada para 12/05, as 14h30._x000a_(13/05) Reunião realizada. Leila informou que utilizam o CRM da Sankhya há aproximadamente 3 anos, porém estão insatisfeitos com a usabilidade da ferramenta. Atualmente, contam apenas com vendedores internos, mas a intenção é também trabalhar com representantes comerciais a partir do segundo semestre._x000a_Durante a reunião, foram apresentadas a Guarani Sistemas, as soluções AFV, Loja B2B e BI. Também foi enviado, via WhatsApp, o link do CRM Leads2b , juntamente com nossa apresentação institucional."/>
    <s v=""/>
    <x v="661"/>
    <n v="15338344000182"/>
    <s v="ESTILO AR COMERCIO DE PECAS LTDA"/>
    <s v="Leila Oliveira"/>
    <s v="(34) 3291-9100"/>
    <s v=""/>
    <s v="irpf@aserco.com.br"/>
    <s v="Matriz"/>
    <s v=""/>
    <s v="AV ENGENHEIRO DINIZ 848"/>
    <s v="UBERLANDIA"/>
    <s v="MG"/>
    <s v=""/>
    <s v=""/>
    <s v=""/>
    <s v="Dentro Perfil"/>
    <s v="Pipeline de Vendas"/>
    <s v="Apresentar Solução (35%)"/>
    <s v=""/>
    <m/>
    <m/>
    <m/>
    <n v="7"/>
    <s v="Ronaldo Nascimento"/>
    <d v="2026-05-07T00:00:00"/>
    <d v="1899-12-30T12:06:01"/>
    <s v=""/>
    <s v="Perdido"/>
    <d v="2026-05-14T00:00:00"/>
    <d v="1899-12-30T08:08:53"/>
    <s v="Projeto adiado / sem prazo definido"/>
    <s v="(14/05) Conforme Leila, a ideia é trabalhar com vendedor externo no segundo semestre. Criado atividade para contatar cliente em ago/26."/>
    <s v=""/>
    <x v="0"/>
    <s v=""/>
    <x v="237"/>
    <s v=""/>
    <m/>
    <n v="30"/>
    <s v=""/>
    <s v=""/>
    <s v=""/>
    <s v=""/>
    <n v="1"/>
  </r>
  <r>
    <x v="2"/>
    <n v="1191"/>
    <m/>
    <n v="3749"/>
    <s v=""/>
    <s v=""/>
    <x v="662"/>
    <n v="8333878000150"/>
    <s v=""/>
    <s v="Danielle"/>
    <s v="(74) 8124-8767"/>
    <s v=""/>
    <s v="maristela@kisolpiscinas.com"/>
    <s v=""/>
    <s v=""/>
    <s v=""/>
    <s v="FERNANDOPOLIS"/>
    <s v="SP"/>
    <s v=""/>
    <s v=""/>
    <s v=""/>
    <s v=""/>
    <s v="Pipeline de Vendas"/>
    <s v="Apresentar Solução (35%)"/>
    <s v=""/>
    <m/>
    <m/>
    <m/>
    <n v="13"/>
    <s v="Rayssa Karapeticov"/>
    <d v="2026-05-07T00:00:00"/>
    <d v="1899-12-30T16:38:45"/>
    <s v=""/>
    <s v="Ativo"/>
    <m/>
    <m/>
    <s v=""/>
    <s v=""/>
    <s v=""/>
    <x v="216"/>
    <s v="Rayssa Karapeticov"/>
    <x v="0"/>
    <s v=""/>
    <d v="2026-05-13T00:00:00"/>
    <n v="30"/>
    <s v=""/>
    <s v="ERP"/>
    <s v=""/>
    <s v=""/>
    <n v="1"/>
  </r>
  <r>
    <x v="3"/>
    <n v="1192"/>
    <n v="273"/>
    <n v="3754"/>
    <s v="(08/05) Apresentação agendada para 13/08 às 10h. Conforme informado pelo Milton, a empresa está em busca de um novo sistema de gestão e atualmente não possui uma ferramenta de força de vendas."/>
    <s v=""/>
    <x v="663"/>
    <n v="40220751000138"/>
    <s v="MARDEN MEDICAL LTDA."/>
    <s v="Milton Cavalieri"/>
    <s v="(16) 2121-0858"/>
    <s v=""/>
    <s v="administracao@mardenmedical.com.br"/>
    <s v="Matriz"/>
    <s v=""/>
    <s v="R GASTAO VIEIRA 229"/>
    <s v="SAO CARLOS"/>
    <s v="SP"/>
    <s v=""/>
    <s v=""/>
    <s v=""/>
    <s v="Dentro Perfil"/>
    <s v="Pipeline de Vendas"/>
    <s v="Apresentar Solução (35%)"/>
    <s v=""/>
    <m/>
    <m/>
    <m/>
    <n v="13"/>
    <s v="Ronaldo Nascimento"/>
    <d v="2026-05-07T00:00:00"/>
    <d v="1899-12-30T16:57:47"/>
    <s v=""/>
    <s v="Ativo"/>
    <m/>
    <m/>
    <s v=""/>
    <s v=""/>
    <s v=""/>
    <x v="0"/>
    <s v=""/>
    <x v="238"/>
    <s v=""/>
    <d v="2026-05-13T00:00:00"/>
    <n v="30"/>
    <s v=""/>
    <s v="ERP, AFV"/>
    <s v=""/>
    <s v=""/>
    <n v="1"/>
  </r>
  <r>
    <x v="3"/>
    <n v="1193"/>
    <n v="279"/>
    <m/>
    <s v="(08/05) Enviada mensagem via LinkedIn para Hugo Oliveira (gestor comercial), com o objetivo de apresentar as soluções da Guarani Sistemas e alinhar um possível bate-papo comercial."/>
    <s v=""/>
    <x v="221"/>
    <n v="89738173000115"/>
    <s v="SANREMO S/A"/>
    <s v=""/>
    <s v=""/>
    <s v=""/>
    <s v="bt_contabilidade@bettanin.com.br"/>
    <s v="Matriz"/>
    <s v=""/>
    <s v="AV INDEPENDENCIA 8885"/>
    <s v="ESTEIO"/>
    <s v="RS"/>
    <s v=""/>
    <s v=""/>
    <s v=""/>
    <s v="Dentro Perfil"/>
    <s v="Pipeline de Vendas"/>
    <s v="Agendamento (0%)"/>
    <s v=""/>
    <m/>
    <m/>
    <m/>
    <n v="12"/>
    <s v="Ronaldo Nascimento"/>
    <d v="2026-05-08T00:00:00"/>
    <d v="1899-12-30T10:00:51"/>
    <s v=""/>
    <s v="Ativo"/>
    <m/>
    <m/>
    <s v=""/>
    <s v=""/>
    <s v=""/>
    <x v="0"/>
    <s v=""/>
    <x v="0"/>
    <s v=""/>
    <m/>
    <n v="30"/>
    <s v=""/>
    <s v=""/>
    <s v=""/>
    <s v=""/>
    <n v="1"/>
  </r>
  <r>
    <x v="3"/>
    <n v="1194"/>
    <n v="281"/>
    <m/>
    <s v="(08/05) Enviada mensagem via LinkedIn para Vagner (gestor comercial), com o objetivo de apresentar as soluções da Guarani Sistemas e alinhar um possível bate-papo comercial._x000a_(18/05) Gestor comercial: Paulo Pimentel. Enviado msg a fim de agendar uma apresentação."/>
    <s v=""/>
    <x v="664"/>
    <n v="4381287000106"/>
    <s v="ORDENE S/A"/>
    <s v=""/>
    <s v=""/>
    <s v=""/>
    <s v="bt_contabilidade@bettanin.com.br"/>
    <s v="Matriz"/>
    <s v=""/>
    <s v="RUA GILBERTO TADEU MORAIS S/N"/>
    <s v="ESTEIO"/>
    <s v="RS"/>
    <s v=""/>
    <s v=""/>
    <s v=""/>
    <s v="Dentro Perfil"/>
    <s v="Pipeline de Vendas"/>
    <s v="Qualificação de Vendas (SQL) (25%)"/>
    <s v=""/>
    <m/>
    <m/>
    <m/>
    <n v="12"/>
    <s v="Ronaldo Nascimento"/>
    <d v="2026-05-08T00:00:00"/>
    <d v="1899-12-30T10:07:26"/>
    <s v=""/>
    <s v="Ativo"/>
    <m/>
    <m/>
    <s v=""/>
    <s v=""/>
    <s v=""/>
    <x v="0"/>
    <s v=""/>
    <x v="0"/>
    <s v=""/>
    <m/>
    <n v="30"/>
    <s v=""/>
    <s v=""/>
    <s v=""/>
    <s v=""/>
    <n v="1"/>
  </r>
  <r>
    <x v="3"/>
    <n v="1195"/>
    <n v="282"/>
    <n v="3760"/>
    <s v="(08/05) Enviada mensagem via LinkedIn para Lucimara (gestora comercial), com o objetivo de apresentar as soluções da Guarani Sistemas e alinhar um possível bate-papo comercial._x000a_(11/05) Consegui o contato de WhatsApp do Adm. Felix Carvalho. Enviei mensagem com o objetivo de verificar um melhor horário para realizarmos um bate-papo."/>
    <s v=""/>
    <x v="665"/>
    <n v="43948561000120"/>
    <s v="NIGRO ALUMINIO LTDA"/>
    <s v="Lucimara Zenatti"/>
    <s v="16210844221"/>
    <s v=""/>
    <s v="contabil@nigro.com.br"/>
    <s v="Matriz"/>
    <s v=""/>
    <s v="AV ARCANGELO NIGRO 166"/>
    <s v="ARARAQUARA"/>
    <s v="SP"/>
    <s v=""/>
    <s v=""/>
    <s v=""/>
    <s v="Dentro Perfil"/>
    <s v="Pipeline de Vendas"/>
    <s v="Qualificação de Vendas (SQL) (25%)"/>
    <s v=""/>
    <m/>
    <m/>
    <m/>
    <n v="12"/>
    <s v="Ronaldo Nascimento"/>
    <d v="2026-05-08T00:00:00"/>
    <d v="1899-12-30T10:30:00"/>
    <s v=""/>
    <s v="Ativo"/>
    <m/>
    <m/>
    <s v=""/>
    <s v=""/>
    <s v=""/>
    <x v="0"/>
    <s v=""/>
    <x v="0"/>
    <s v=""/>
    <m/>
    <n v="30"/>
    <s v=""/>
    <s v=""/>
    <s v=""/>
    <s v=""/>
    <n v="1"/>
  </r>
  <r>
    <x v="0"/>
    <n v="1196"/>
    <m/>
    <n v="3746"/>
    <s v=""/>
    <s v=""/>
    <x v="666"/>
    <n v="5659821000239"/>
    <s v=""/>
    <s v="Alexandre"/>
    <s v="11988734899"/>
    <s v=""/>
    <s v="alexandre@emblemax.com.br"/>
    <s v=""/>
    <s v=""/>
    <s v=""/>
    <s v=""/>
    <s v="SP"/>
    <s v="Inbound"/>
    <s v=""/>
    <s v=""/>
    <s v="Dentro Perfil;Instagram"/>
    <s v="Pipeline de Vendas"/>
    <s v="Qualificação de Vendas (SQL) (25%)"/>
    <s v=""/>
    <m/>
    <m/>
    <m/>
    <n v="12"/>
    <s v="Paulo Souza"/>
    <d v="2026-05-08T00:00:00"/>
    <d v="1899-12-30T11:46:39"/>
    <s v=""/>
    <s v="Ativo"/>
    <m/>
    <m/>
    <s v=""/>
    <s v=""/>
    <s v=""/>
    <x v="0"/>
    <s v="Paulo Souza"/>
    <x v="0"/>
    <s v=""/>
    <d v="2026-05-18T00:00:00"/>
    <n v="30"/>
    <s v=""/>
    <s v=""/>
    <s v=""/>
    <s v=""/>
    <n v="1"/>
  </r>
  <r>
    <x v="3"/>
    <n v="1197"/>
    <n v="270"/>
    <m/>
    <s v="(08/05) Enviado WhatsApp para Luiz (amigo pessoal) para entender melhor a estrutura comercial da MMO, incluindo modelo de equipe de vendas (interna e/ou externa) e sistemas utilizados atualmente para gestão e vendas._x000a_(11/05) Enviado msg para Gabriela (filha do Luis e amiga pessoal)."/>
    <s v=""/>
    <x v="667"/>
    <n v="2466212000194"/>
    <s v="MM OPTICS LTDA"/>
    <s v=""/>
    <s v=""/>
    <s v=""/>
    <s v="mmo@com.br"/>
    <s v="Matriz"/>
    <s v=""/>
    <s v="RUA GEMINIANO COSTA 143"/>
    <s v="SAO CARLOS"/>
    <s v="SP"/>
    <s v=""/>
    <s v=""/>
    <s v=""/>
    <s v="Dentro Perfil"/>
    <s v="Pipeline de Vendas"/>
    <s v="Qualificação de Vendas (SQL) (25%)"/>
    <s v=""/>
    <m/>
    <m/>
    <m/>
    <n v="12"/>
    <s v="Ronaldo Nascimento"/>
    <d v="2026-05-08T00:00:00"/>
    <d v="1899-12-30T12:05:35"/>
    <s v=""/>
    <s v="Ativo"/>
    <m/>
    <m/>
    <s v=""/>
    <s v=""/>
    <s v=""/>
    <x v="0"/>
    <s v=""/>
    <x v="0"/>
    <s v=""/>
    <d v="2026-05-11T00:00:00"/>
    <n v="30"/>
    <s v=""/>
    <s v=""/>
    <s v=""/>
    <s v=""/>
    <n v="1"/>
  </r>
  <r>
    <x v="3"/>
    <n v="1198"/>
    <n v="256"/>
    <n v="3773"/>
    <s v="(08/05) Enviado WhatsApp para Fabiana (amiga pessoal) com o objetivo de alinhar e agendar uma apresentação das nossas soluções."/>
    <s v=""/>
    <x v="668"/>
    <n v="20137275000189"/>
    <s v="VOLMED BRASIL EQUIPAMENTOS LTDA"/>
    <s v="Fabiana Voltatódio"/>
    <s v="(16) 3419-1794"/>
    <s v=""/>
    <s v="financeiro@volmed.com.br"/>
    <s v="Matriz"/>
    <s v=""/>
    <s v="RUA FRANCISCO CORREA BUENO 435"/>
    <s v="SAO CARLOS"/>
    <s v="SP"/>
    <s v=""/>
    <s v=""/>
    <s v=""/>
    <s v="TAG1SEM"/>
    <s v="Pipeline de Vendas"/>
    <s v="Agendamento (0%)"/>
    <s v=""/>
    <m/>
    <m/>
    <m/>
    <n v="0"/>
    <s v="Ronaldo Nascimento"/>
    <d v="2026-05-11T00:00:00"/>
    <d v="1899-12-30T09:33:58"/>
    <s v=""/>
    <s v="Perdido"/>
    <d v="2026-05-11T00:00:00"/>
    <d v="1899-12-30T09:35:54"/>
    <s v="Nossa solução não atende - falta funcionalidade"/>
    <s v="Em contato com Fabiana, foi informado que a empresa utiliza ferramentas específicas para o segmento (ERP e Força de Vendas), incluindo validações e exigências da Anvisa."/>
    <s v=""/>
    <x v="0"/>
    <s v=""/>
    <x v="0"/>
    <s v=""/>
    <m/>
    <n v="30"/>
    <s v=""/>
    <s v=""/>
    <s v=""/>
    <s v=""/>
    <n v="1"/>
  </r>
  <r>
    <x v="3"/>
    <n v="1199"/>
    <n v="283"/>
    <n v="3776"/>
    <s v="(08/05) Enviada mensagem via LinkedIn para Nádia (gestora comercial), com o objetivo de apresentar as soluções da Guarani Sistemas e alinhar um possível bate-papo comercial._x000a_(11/05) Nádia aceitou a conexão no LinkedIn. Enviada mensagem inicial apresentando as soluções da Guarani Sistemas."/>
    <s v=""/>
    <x v="669"/>
    <n v="88610191000154"/>
    <s v="MUNDIAL S.A. - PRODUTOS DE CONSUMO"/>
    <s v="Nádia C. da Silva"/>
    <s v="(51) 3358-5000"/>
    <s v=""/>
    <s v="lara.nunes@mundial.com"/>
    <s v="Matriz"/>
    <s v=""/>
    <s v="R DO PARAISO 148"/>
    <s v="SAO JOAO DE MERITI"/>
    <s v="RJ"/>
    <s v=""/>
    <s v=""/>
    <s v=""/>
    <s v="Dentro Perfil"/>
    <s v="Pipeline de Vendas"/>
    <s v="Qualificação de Vendas (SQL) (25%)"/>
    <s v=""/>
    <m/>
    <m/>
    <m/>
    <n v="9"/>
    <s v="Ronaldo Nascimento"/>
    <d v="2026-05-11T00:00:00"/>
    <d v="1899-12-30T10:28:33"/>
    <s v=""/>
    <s v="Ativo"/>
    <m/>
    <m/>
    <s v=""/>
    <s v=""/>
    <s v=""/>
    <x v="0"/>
    <s v=""/>
    <x v="0"/>
    <s v=""/>
    <m/>
    <n v="30"/>
    <s v=""/>
    <s v=""/>
    <s v=""/>
    <s v=""/>
    <n v="1"/>
  </r>
  <r>
    <x v="2"/>
    <n v="1200"/>
    <m/>
    <n v="3777"/>
    <s v=""/>
    <s v=""/>
    <x v="670"/>
    <n v="8821632000128"/>
    <s v=""/>
    <s v="LUCIANO CARBONARO DE OLIVEIRA"/>
    <s v=""/>
    <s v=""/>
    <s v=""/>
    <s v=""/>
    <s v=""/>
    <s v=""/>
    <s v=""/>
    <s v=""/>
    <s v="Campanha"/>
    <s v=""/>
    <s v=""/>
    <s v="Dentro Perfil;Instagram"/>
    <s v="Pipeline de Vendas"/>
    <s v="Qualificação de Vendas (SQL) (25%)"/>
    <s v=""/>
    <d v="2026-05-31T00:00:00"/>
    <m/>
    <m/>
    <n v="9"/>
    <s v="Paulo Souza"/>
    <d v="2026-05-11T00:00:00"/>
    <d v="1899-12-30T11:03:53"/>
    <s v=""/>
    <s v="Ativo"/>
    <m/>
    <m/>
    <s v=""/>
    <s v=""/>
    <s v=""/>
    <x v="0"/>
    <s v="Rayssa Karapeticov"/>
    <x v="0"/>
    <s v=""/>
    <d v="2026-05-13T00:00:00"/>
    <n v="30"/>
    <s v=""/>
    <s v=""/>
    <s v=""/>
    <s v=""/>
    <n v="1"/>
  </r>
  <r>
    <x v="1"/>
    <n v="1201"/>
    <m/>
    <n v="3771"/>
    <s v="(11/05/2026) tentativa de ligação porem o telefone esta bloqueado para chamadas _x000a_contato via WhatsApp_x000a_12:02, 11/05/2026 Junior Lopes: Olá Tone Oliveira, bom dia_x000a_12:02, 11/05/2026 Junior Lopes: sou Junior Lopes da Guarani sistemas_x000a_12:02, 11/05/2026 Junior Lopes: td bem ?_x000a_(14/05/2026) avançando com informações da solução ! direcionando para uma apresentação"/>
    <s v="N. K. Distribuidora Ltda"/>
    <x v="671"/>
    <n v="12084237000187"/>
    <s v=""/>
    <s v="NK Distribuidora De Cosmeticos"/>
    <s v="6699942807"/>
    <s v=""/>
    <s v="toneoliveira@hotmail.com"/>
    <s v=""/>
    <s v=""/>
    <s v=""/>
    <s v="RONDONOPOLIS"/>
    <s v="MT"/>
    <s v="Campanha"/>
    <s v=""/>
    <s v=""/>
    <s v="Dentro Perfil;Instagram"/>
    <s v="Pipeline de Vendas"/>
    <s v="Qualificação de Vendas (SQL) (25%)"/>
    <s v=""/>
    <d v="2026-05-31T00:00:00"/>
    <m/>
    <m/>
    <n v="9"/>
    <s v="Paulo Souza"/>
    <d v="2026-05-11T00:00:00"/>
    <d v="1899-12-30T11:18:41"/>
    <s v=""/>
    <s v="Ativo"/>
    <m/>
    <m/>
    <s v=""/>
    <s v=""/>
    <s v=""/>
    <x v="0"/>
    <s v="Junior Lopes"/>
    <x v="0"/>
    <s v=""/>
    <m/>
    <n v="30"/>
    <s v=""/>
    <s v=""/>
    <s v=""/>
    <s v=""/>
    <n v="1"/>
  </r>
  <r>
    <x v="3"/>
    <n v="1202"/>
    <n v="241"/>
    <n v="3779"/>
    <s v="(11/05) Em contato com Paula, foi informado que a empresa utiliza diferentes sistemas separados por departamento. Solicitou o envio de uma apresentação por e-mail para encaminhamento ao João. Atualmente, a empresa possui equipe de vendas interna e apenas um vendedor externo (João)."/>
    <s v=""/>
    <x v="672"/>
    <n v="6269527000100"/>
    <s v="LA ROCHA INDUSTRIA E COMERCIO DE FIBRAS MINERAIS LTDA"/>
    <s v="Paula Franzin"/>
    <s v="(01) 63911-7784"/>
    <s v=""/>
    <s v=""/>
    <s v="Matriz"/>
    <s v=""/>
    <s v="EST VICINAL VITO GAIA PUOLI, KM 2 + S/N"/>
    <s v="DESCALVADO"/>
    <s v="SP"/>
    <s v=""/>
    <s v=""/>
    <s v=""/>
    <s v="Dentro Perfil"/>
    <s v="Pipeline de Vendas"/>
    <s v="Qualificação de Vendas (SQL) (25%)"/>
    <s v=""/>
    <m/>
    <m/>
    <m/>
    <n v="9"/>
    <s v="Ronaldo Nascimento"/>
    <d v="2026-05-11T00:00:00"/>
    <d v="1899-12-30T11:23:29"/>
    <s v=""/>
    <s v="Ativo"/>
    <m/>
    <m/>
    <s v=""/>
    <s v=""/>
    <s v=""/>
    <x v="0"/>
    <s v=""/>
    <x v="0"/>
    <s v=""/>
    <m/>
    <n v="30"/>
    <s v=""/>
    <s v=""/>
    <s v=""/>
    <s v=""/>
    <n v="1"/>
  </r>
  <r>
    <x v="0"/>
    <n v="1203"/>
    <m/>
    <n v="3770"/>
    <s v=""/>
    <s v=""/>
    <x v="673"/>
    <n v="48579170000107"/>
    <s v=""/>
    <s v="Belapin ind com"/>
    <s v="11970330999"/>
    <s v=""/>
    <s v="junior@arcobello.com.br"/>
    <s v=""/>
    <s v=""/>
    <s v=""/>
    <s v=""/>
    <s v=""/>
    <s v="Campanha"/>
    <s v=""/>
    <s v=""/>
    <s v="Dentro Perfil;Instagram"/>
    <s v="Pipeline de Vendas"/>
    <s v="Qualificação de Vendas (SQL) (25%)"/>
    <s v=""/>
    <d v="2026-05-31T00:00:00"/>
    <m/>
    <m/>
    <n v="9"/>
    <s v="Paulo Souza"/>
    <d v="2026-05-11T00:00:00"/>
    <d v="1899-12-30T11:24:21"/>
    <s v=""/>
    <s v="Ativo"/>
    <m/>
    <m/>
    <s v=""/>
    <s v=""/>
    <s v=""/>
    <x v="0"/>
    <s v="Paulo Souza"/>
    <x v="0"/>
    <s v=""/>
    <m/>
    <n v="30"/>
    <s v=""/>
    <s v=""/>
    <s v=""/>
    <s v=""/>
    <n v="1"/>
  </r>
  <r>
    <x v="3"/>
    <n v="1204"/>
    <n v="231"/>
    <n v="3780"/>
    <s v="(11/05) Falei com Orlei (Compras), que indicou o Rodrigo, da área Comercial, como responsável para continuidade da conversa. Atualmente a empresa utiliza o sistema WBC, desenvolvido para o segmento, porém cada departamento trabalha com um sistema diferente._x000a_Comentou também que, há algum tempo, chegaram a conversar com a TOTVS sobre implantação de ERP, mas o projeto acabou não avançando devido à dificuldade relacionada à migração/estruturação dos dados._x000a_Realizei contato com o Rodrigo, porém a ligação caiu na caixa postal. Enviei mensagem via WhatsApp para tentar agendar um bate-papo."/>
    <s v=""/>
    <x v="674"/>
    <n v="490414000146"/>
    <s v="N S F INDUSTRIA E COMERCIO DE EQUIPAMENTOS PARA INSTALACOES COMERCIAIS LTDA"/>
    <s v="Antonio Marcos Real"/>
    <s v="(16) 3377-9700"/>
    <s v=""/>
    <s v="financeiro@nsf.ind.br"/>
    <s v="Matriz"/>
    <s v=""/>
    <s v="ROD WASHINGTON LUIZ S/N"/>
    <s v="SAO CARLOS"/>
    <s v="SP"/>
    <s v=""/>
    <s v=""/>
    <s v=""/>
    <s v="Dentro Perfil"/>
    <s v="Pipeline de Vendas"/>
    <s v="Qualificação de Vendas (SQL) (25%)"/>
    <s v=""/>
    <m/>
    <m/>
    <m/>
    <n v="9"/>
    <s v="Ronaldo Nascimento"/>
    <d v="2026-05-11T00:00:00"/>
    <d v="1899-12-30T14:29:08"/>
    <s v=""/>
    <s v="Ativo"/>
    <m/>
    <m/>
    <s v=""/>
    <s v=""/>
    <s v=""/>
    <x v="0"/>
    <s v=""/>
    <x v="0"/>
    <s v=""/>
    <m/>
    <n v="30"/>
    <s v=""/>
    <s v=""/>
    <s v=""/>
    <s v=""/>
    <n v="1"/>
  </r>
  <r>
    <x v="3"/>
    <n v="1205"/>
    <n v="252"/>
    <n v="3781"/>
    <s v="(08/05) Enviado WhatsApp para Lana (amiga pessoal), atualmente representante comercial da empresa, solicitando o contato do gestor comercial para possível apresentação das soluções._x000a_(11/05) Falei com a Lana. No momento, a empresa está concentrada na preparação para a Feira Hospitalar, que acontecerá entre os dias 19 e 22 de maio._x000a_Comentou que atualmente utilizam as soluções da Sectra para a área comercial (possivelmente ERP também). Sugeriu retomarmos o contato durante a feira ou após o evento para conversarmos com mais tranquilidade."/>
    <s v=""/>
    <x v="675"/>
    <n v="13459890000146"/>
    <s v="HORTRON INDUSTRIA E COMERCIO DE PRODUTOS ELETRONICOS LTDA"/>
    <s v="Willian Zanon"/>
    <s v="(16) 3419-0892"/>
    <s v=""/>
    <s v="hortron@hortron.com.br"/>
    <s v="Matriz"/>
    <s v=""/>
    <s v="AV GETULIO VARGAS 2831"/>
    <s v="SAO CARLOS"/>
    <s v="SP"/>
    <s v=""/>
    <s v=""/>
    <s v=""/>
    <s v="Dentro Perfil"/>
    <s v="Pipeline de Vendas"/>
    <s v="Qualificação de Vendas (SQL) (25%)"/>
    <s v=""/>
    <m/>
    <m/>
    <m/>
    <n v="9"/>
    <s v="Ronaldo Nascimento"/>
    <d v="2026-05-11T00:00:00"/>
    <d v="1899-12-30T14:44:21"/>
    <s v=""/>
    <s v="Ativo"/>
    <m/>
    <m/>
    <s v=""/>
    <s v=""/>
    <s v=""/>
    <x v="0"/>
    <s v=""/>
    <x v="0"/>
    <s v=""/>
    <m/>
    <n v="30"/>
    <s v=""/>
    <s v=""/>
    <s v=""/>
    <s v=""/>
    <n v="1"/>
  </r>
  <r>
    <x v="3"/>
    <n v="1206"/>
    <n v="226"/>
    <n v="3782"/>
    <s v="(11/05) Falei com Denise (contato pessoal da área de RH). Apresentei brevemente a Guarani Sistemas e algumas das soluções que oferecemos, principalmente na área comercial. Solicitei o contato do gestor/com responsável pela área comercial para apresentar nossa solução de vendas. Aguardando retorno._x000a_(12/05) Falei com a Denise, que me passou o contato (e-mail) do Farid, Gestor Comercial da Hece Máquinas. Denise comentou que a empresa atualmente trabalha com um ERP próprio. Enviado e-mail a fim de agendarmos um bate-papo."/>
    <s v=""/>
    <x v="676"/>
    <n v="59602144000160"/>
    <s v="HECE MAQUINAS LTDA"/>
    <s v="Denise Rodrigues Ferreira"/>
    <s v="(16) 98198-8289"/>
    <s v="16981988289"/>
    <s v="rh@hece.com.br"/>
    <s v="Matriz"/>
    <s v=""/>
    <s v="R JOAO ABDELNUR 99"/>
    <s v="SAO CARLOS"/>
    <s v="SP"/>
    <s v=""/>
    <s v=""/>
    <s v=""/>
    <s v="Dentro Perfil"/>
    <s v="Pipeline de Vendas"/>
    <s v="Qualificação de Vendas (SQL) (25%)"/>
    <s v=""/>
    <m/>
    <m/>
    <m/>
    <n v="9"/>
    <s v="Ronaldo Nascimento"/>
    <d v="2026-05-11T00:00:00"/>
    <d v="1899-12-30T14:54:52"/>
    <s v=""/>
    <s v="Ativo"/>
    <m/>
    <m/>
    <s v=""/>
    <s v=""/>
    <s v=""/>
    <x v="0"/>
    <s v=""/>
    <x v="0"/>
    <s v=""/>
    <d v="2026-05-12T00:00:00"/>
    <n v="30"/>
    <s v=""/>
    <s v=""/>
    <s v=""/>
    <s v=""/>
    <n v="1"/>
  </r>
  <r>
    <x v="3"/>
    <n v="1208"/>
    <n v="255"/>
    <n v="3788"/>
    <s v="(11/05) Enviado msg para Nathalia a fim de agendarmos um bate-papo._x000a_(12/05) Falei com a Nathalia, que me passou o contato (e-mail) da Vanessa, Gerente Comercial da Setormed. Enviado e-mail a fim de agendarmos um bate-papo."/>
    <s v=""/>
    <x v="677"/>
    <n v="13533397000129"/>
    <s v="SETORMED INDUSTRIA E COMERCIO DE EQUIPAMENTOS MEDICOS E ODONTOLOGICOS S.A."/>
    <s v="Nathalia C. S. Santos"/>
    <s v="(16) 34165-3681"/>
    <s v=""/>
    <s v="setormed@setormed.com.br"/>
    <s v="Matriz"/>
    <s v=""/>
    <s v="RUA ARTHUR RODRIGUES DE CASTRO 150"/>
    <s v="SAO CARLOS"/>
    <s v="SP"/>
    <s v=""/>
    <s v=""/>
    <s v=""/>
    <s v="Dentro Perfil"/>
    <s v="Pipeline de Vendas"/>
    <s v="Qualificação de Vendas (SQL) (25%)"/>
    <s v=""/>
    <m/>
    <m/>
    <m/>
    <n v="8"/>
    <s v="Ronaldo Nascimento"/>
    <d v="2026-05-12T00:00:00"/>
    <d v="1899-12-30T11:50:46"/>
    <s v=""/>
    <s v="Ativo"/>
    <m/>
    <m/>
    <s v=""/>
    <s v=""/>
    <s v=""/>
    <x v="0"/>
    <s v=""/>
    <x v="0"/>
    <s v=""/>
    <m/>
    <n v="30"/>
    <s v=""/>
    <s v=""/>
    <s v=""/>
    <s v=""/>
    <n v="1"/>
  </r>
  <r>
    <x v="2"/>
    <n v="1209"/>
    <m/>
    <n v="3786"/>
    <s v="Todos os dados preenchidos:_x000a_empresa: Casa Bonitta _x000a_name: NATALIA GABRIELA DAMACENO MOTA _x000a_cargo: Proprietária _x000a_whatsapp: 11996672094 _x000a_email: naty-gabriela@hotmail.com _x000a_referrer: https://www.guaranisistemas.com.br/"/>
    <s v=""/>
    <x v="678"/>
    <n v="36621794000158"/>
    <s v=""/>
    <s v="NATALIA GABRIELA DAMACENO MOTA"/>
    <s v="(11) 4292-3358"/>
    <s v=""/>
    <s v="naty-gabriela@hotmail.com"/>
    <s v=""/>
    <s v=""/>
    <s v=""/>
    <s v="SUZANO"/>
    <s v="SP"/>
    <s v="Inbound"/>
    <s v=""/>
    <s v=""/>
    <s v="Perfil Indefinido"/>
    <s v="Pipeline de Vendas"/>
    <s v="Apresentar Solução (35%)"/>
    <s v=""/>
    <d v="2026-05-31T00:00:00"/>
    <m/>
    <m/>
    <n v="8"/>
    <s v="Paulo Souza"/>
    <d v="2026-05-12T00:00:00"/>
    <d v="1899-12-30T15:18:03"/>
    <s v=""/>
    <s v="Ativo"/>
    <m/>
    <m/>
    <s v=""/>
    <s v=""/>
    <s v=""/>
    <x v="0"/>
    <s v="Rayssa Karapeticov"/>
    <x v="0"/>
    <s v=""/>
    <d v="2026-05-19T00:00:00"/>
    <n v="30"/>
    <s v=""/>
    <s v=""/>
    <s v=""/>
    <s v=""/>
    <n v="1"/>
  </r>
  <r>
    <x v="3"/>
    <n v="1212"/>
    <n v="291"/>
    <n v="3801"/>
    <s v=""/>
    <s v=""/>
    <x v="679"/>
    <n v="17188274000159"/>
    <s v="UTILIMIX INDUSTRIA E COMERCIO LTDA"/>
    <s v="Bruno"/>
    <s v="(11) 91010-4191"/>
    <s v=""/>
    <s v="utilimix@bol.com.br"/>
    <s v="Matriz"/>
    <s v=""/>
    <s v="RUA ESTADO DE PERNAMBUCO 93"/>
    <s v="SAO PAULO"/>
    <s v="SP"/>
    <s v=""/>
    <s v=""/>
    <s v=""/>
    <s v="Dentro Perfil"/>
    <s v="Pipeline de Vendas"/>
    <s v="Apresentar Solução (35%)"/>
    <s v=""/>
    <m/>
    <m/>
    <m/>
    <n v="5"/>
    <s v="Ronaldo Nascimento"/>
    <d v="2026-05-13T00:00:00"/>
    <d v="1899-12-30T14:07:38"/>
    <s v=""/>
    <s v="Perdido"/>
    <d v="2026-05-18T00:00:00"/>
    <d v="1899-12-30T09:10:54"/>
    <s v="Fora do porte mínimo (sem fit estrutural)"/>
    <s v="Bruno gostou bastante da solução, porém, no momento a estrutura da empresa ainda é pequena para utilização das nossas ferramentas. Deixei meu contato à disposição para, futuramente, caso a empresa cresça ou o perfil da operação mude, avaliarmos uma solução mais robusta."/>
    <s v=""/>
    <x v="0"/>
    <s v=""/>
    <x v="0"/>
    <s v=""/>
    <d v="2026-05-15T00:00:00"/>
    <n v="40"/>
    <s v=""/>
    <s v=""/>
    <s v=""/>
    <s v=""/>
    <n v="1"/>
  </r>
  <r>
    <x v="1"/>
    <n v="1213"/>
    <m/>
    <n v="3802"/>
    <s v="Olá Alexandre boa tarde ! Aqui é Junior Lopes da Guarani sistemas, Td bem ?_x000a_Estou retornando contato que vc fez conosco referente as nossas soluções de ERP e soluções de força de vendas_x000a_Olá Alexandre, bom dia_x000a_Bom dia_x000a_Mandei mensagem para saber sobre valor do sistema e como funciona_x000a_Ok_x000a_Pode deixar_x000a_Não tenho interesse"/>
    <s v="Analu Parafusos Ltda"/>
    <x v="680"/>
    <n v="26991643000138"/>
    <s v=""/>
    <s v="Alexandre"/>
    <s v="17981238345"/>
    <s v=""/>
    <s v="analuparafusos@gmail.com"/>
    <s v=""/>
    <s v=""/>
    <s v=""/>
    <s v="CAMPO GRANDE"/>
    <s v="MS"/>
    <s v="Campanha"/>
    <s v=""/>
    <s v=""/>
    <s v="Dentro Perfil;Instagram"/>
    <s v="Pipeline de Vendas"/>
    <s v="Qualificação de Vendas (SQL) (25%)"/>
    <s v=""/>
    <d v="2026-05-31T00:00:00"/>
    <m/>
    <m/>
    <n v="1"/>
    <s v="Paulo Souza"/>
    <d v="2026-05-13T00:00:00"/>
    <d v="1899-12-30T17:48:05"/>
    <s v=""/>
    <s v="Perdido"/>
    <d v="2026-05-14T00:00:00"/>
    <d v="1899-12-30T11:26:14"/>
    <s v="Cliente não quer contato LGPD"/>
    <s v="Olá Alexandre boa tarde ! Aqui é Junior Lopes da Guarani sistemas, Td bem ?_x000a_Estou retornando contato que vc fez conosco referente as nossas soluções de ERP e soluções de força de vendas_x000a_Olá Alexandre, bom dia_x000a_Bom dia_x000a_Mandei mensagem para saber sobre valor do sistema e como funciona_x000a_Ok_x000a_Pode deixar_x000a_Não tenho interesse"/>
    <s v=""/>
    <x v="0"/>
    <s v="Junior Lopes"/>
    <x v="0"/>
    <s v=""/>
    <d v="2026-05-14T00:00:00"/>
    <n v="30"/>
    <s v=""/>
    <s v=""/>
    <s v=""/>
    <s v=""/>
    <n v="1"/>
  </r>
  <r>
    <x v="2"/>
    <n v="1214"/>
    <m/>
    <n v="3804"/>
    <s v=""/>
    <s v=""/>
    <x v="681"/>
    <n v="68044700000111"/>
    <s v=""/>
    <s v="Belapin Industria E Comercio De Alimenticios Ltda"/>
    <s v="(011) 2726-761"/>
    <s v=""/>
    <s v="null"/>
    <s v=""/>
    <s v=""/>
    <s v=""/>
    <s v="SAO PAULO"/>
    <s v="SP"/>
    <s v="Base de empresas Leads2b"/>
    <s v=""/>
    <s v=""/>
    <s v=""/>
    <s v="Pipeline de Vendas"/>
    <s v="Qualificação de Vendas (SQL) (25%)"/>
    <s v=""/>
    <m/>
    <m/>
    <m/>
    <n v="7"/>
    <s v="Rayssa Karapeticov"/>
    <d v="2026-05-13T00:00:00"/>
    <d v="1899-12-30T18:21:57"/>
    <s v=""/>
    <s v="Ativo"/>
    <m/>
    <m/>
    <s v=""/>
    <s v=""/>
    <s v=""/>
    <x v="0"/>
    <s v=""/>
    <x v="0"/>
    <s v=""/>
    <m/>
    <m/>
    <s v=""/>
    <s v=""/>
    <s v=""/>
    <s v=""/>
    <n v="1"/>
  </r>
  <r>
    <x v="1"/>
    <n v="1215"/>
    <m/>
    <n v="3807"/>
    <s v=""/>
    <s v=""/>
    <x v="682"/>
    <m/>
    <s v=""/>
    <s v="Istok comercio importação (Cloud)"/>
    <s v="1123617746"/>
    <s v=""/>
    <s v="diogo.contabilidade@yahoo.com.br"/>
    <s v=""/>
    <s v=""/>
    <s v=""/>
    <s v=""/>
    <s v=""/>
    <s v=""/>
    <s v=""/>
    <s v=""/>
    <s v=""/>
    <s v="Pipeline de Vendas"/>
    <s v="Em Fechamento (100%)"/>
    <s v=""/>
    <m/>
    <n v="0"/>
    <n v="2400"/>
    <n v="5"/>
    <s v="Junior Lopes"/>
    <d v="2026-05-14T00:00:00"/>
    <d v="1899-12-30T08:46:38"/>
    <s v=""/>
    <s v="Ganho"/>
    <d v="2026-05-19T00:00:00"/>
    <d v="1899-12-30T14:27:54"/>
    <s v=""/>
    <s v=""/>
    <s v=""/>
    <x v="215"/>
    <s v=""/>
    <x v="235"/>
    <s v="12/05/2026"/>
    <m/>
    <n v="90"/>
    <s v=""/>
    <s v=""/>
    <s v=""/>
    <s v=""/>
    <n v="1"/>
  </r>
  <r>
    <x v="3"/>
    <n v="1216"/>
    <n v="289"/>
    <n v="3812"/>
    <s v="(13/05) Conversei com Joel, vendedor da Newlar. Atualmente, eles não possuem sistema de força de vendas via celular, realizando os pedidos de forma online._x000a_Joel me passou o contato do Edinho, gestor comercial. Enviei mensagem com o objetivo de agendarmos uma apresentação da solução._x000a_(14/05) Em ligação, Tatiana (financeiro) informou que a empresa utiliza o ERP Sankhya há cerca de 4 anos. Atualmente não possuem equipe de vendas externa, e o site é utilizado apenas para demonstração dos produtos/pedidos._x000a_Solicitou uma apresentação inicial por e-mail e também deixou o WhatsApp (11 97334-5254) para um novo contato, a fim de apresentarmos nossas soluções._x000a_Comentou ainda que considera a mensalidade atual do ERP elevada."/>
    <s v=""/>
    <x v="683"/>
    <n v="3717565000182"/>
    <s v="NEWLAR DISTRIBUIDORA DE UTILIDADES DOMESTICAS LTDA"/>
    <s v="Edinho"/>
    <s v="(11) 96123-5967"/>
    <s v="11961235967"/>
    <s v="newlar@newlar.com.br"/>
    <s v="Matriz"/>
    <s v=""/>
    <s v="AV VAUTIER 649"/>
    <s v="SAO PAULO"/>
    <s v="SP"/>
    <s v=""/>
    <s v=""/>
    <s v=""/>
    <s v="Dentro Perfil"/>
    <s v="Pipeline de Vendas"/>
    <s v="Qualificação de Vendas (SQL) (25%)"/>
    <s v=""/>
    <m/>
    <m/>
    <m/>
    <n v="6"/>
    <s v="Ronaldo Nascimento"/>
    <d v="2026-05-14T00:00:00"/>
    <d v="1899-12-30T11:56:50"/>
    <s v=""/>
    <s v="Ativo"/>
    <m/>
    <m/>
    <s v=""/>
    <s v=""/>
    <s v=""/>
    <x v="0"/>
    <s v=""/>
    <x v="0"/>
    <s v=""/>
    <m/>
    <n v="30"/>
    <s v=""/>
    <s v=""/>
    <s v=""/>
    <s v=""/>
    <n v="1"/>
  </r>
  <r>
    <x v="2"/>
    <n v="1217"/>
    <m/>
    <n v="3814"/>
    <s v=""/>
    <s v=""/>
    <x v="684"/>
    <n v="11587676000140"/>
    <s v=""/>
    <s v="Gifran Industria De Artigos Texteis Ltda"/>
    <s v="(24) 2255-5069"/>
    <s v=""/>
    <s v="comercial@gifran.com.br"/>
    <s v=""/>
    <s v=""/>
    <s v=""/>
    <s v="TRES RIOS"/>
    <s v="RJ"/>
    <s v="Base de empresas Leads2b"/>
    <s v=""/>
    <s v=""/>
    <s v=""/>
    <s v="Pipeline de Vendas"/>
    <s v="Qualificação de Vendas (SQL) (25%)"/>
    <s v=""/>
    <m/>
    <m/>
    <m/>
    <n v="6"/>
    <s v="Rayssa Karapeticov"/>
    <d v="2026-05-14T00:00:00"/>
    <d v="1899-12-30T14:46:19"/>
    <s v=""/>
    <s v="Ativo"/>
    <m/>
    <m/>
    <s v=""/>
    <s v=""/>
    <s v=""/>
    <x v="0"/>
    <s v=""/>
    <x v="0"/>
    <s v=""/>
    <d v="2026-05-14T00:00:00"/>
    <n v="30"/>
    <s v=""/>
    <s v=""/>
    <s v=""/>
    <s v=""/>
    <n v="1"/>
  </r>
  <r>
    <x v="2"/>
    <n v="1218"/>
    <m/>
    <n v="3817"/>
    <s v=""/>
    <s v=""/>
    <x v="685"/>
    <n v="3640671000105"/>
    <s v=""/>
    <s v="Plasnew Utilidades Domesticas Ltda."/>
    <s v="(19) 3852-9000"/>
    <s v=""/>
    <s v="plasnew@plasnew.ind.br"/>
    <s v=""/>
    <s v=""/>
    <s v=""/>
    <s v="PEDREIRA"/>
    <s v="SP"/>
    <s v="Base de empresas Leads2b"/>
    <s v=""/>
    <s v=""/>
    <s v=""/>
    <s v="Pipeline de Vendas"/>
    <s v="Qualificação de Vendas (SQL) (25%)"/>
    <s v=""/>
    <m/>
    <m/>
    <m/>
    <n v="6"/>
    <s v="Rayssa Karapeticov"/>
    <d v="2026-05-14T00:00:00"/>
    <d v="1899-12-30T14:49:03"/>
    <s v=""/>
    <s v="Ativo"/>
    <m/>
    <m/>
    <s v=""/>
    <s v=""/>
    <s v=""/>
    <x v="0"/>
    <s v=""/>
    <x v="0"/>
    <s v=""/>
    <m/>
    <m/>
    <s v=""/>
    <s v=""/>
    <s v=""/>
    <s v=""/>
    <n v="1"/>
  </r>
  <r>
    <x v="2"/>
    <n v="1219"/>
    <m/>
    <n v="3820"/>
    <s v=""/>
    <s v=""/>
    <x v="686"/>
    <n v="14892407000185"/>
    <s v=""/>
    <s v="Ambiente Verde Industria Ltda"/>
    <s v="(51) 3541-7491"/>
    <s v=""/>
    <s v="ambienteverde@ambienteverde.ind.br"/>
    <s v=""/>
    <s v=""/>
    <s v=""/>
    <s v="IGREJINHA"/>
    <s v="RS"/>
    <s v="Base de empresas Leads2b"/>
    <s v=""/>
    <s v=""/>
    <s v=""/>
    <s v="Pipeline de Vendas"/>
    <s v="Qualificação de Vendas (SQL) (25%)"/>
    <s v=""/>
    <m/>
    <m/>
    <m/>
    <n v="6"/>
    <s v="Rayssa Karapeticov"/>
    <d v="2026-05-14T00:00:00"/>
    <d v="1899-12-30T14:49:45"/>
    <s v=""/>
    <s v="Ativo"/>
    <m/>
    <m/>
    <s v=""/>
    <s v=""/>
    <s v=""/>
    <x v="0"/>
    <s v=""/>
    <x v="0"/>
    <s v=""/>
    <m/>
    <m/>
    <s v=""/>
    <s v=""/>
    <s v=""/>
    <s v=""/>
    <n v="1"/>
  </r>
  <r>
    <x v="1"/>
    <n v="1220"/>
    <m/>
    <n v="3824"/>
    <s v=""/>
    <s v=""/>
    <x v="687"/>
    <m/>
    <s v=""/>
    <s v="Baag - Horas"/>
    <s v="75981337574"/>
    <s v=""/>
    <s v="cleber@baag.com.br"/>
    <s v=""/>
    <s v=""/>
    <s v=""/>
    <s v=""/>
    <s v=""/>
    <s v=""/>
    <s v=""/>
    <s v=""/>
    <s v=""/>
    <s v="Pipeline de Vendas"/>
    <s v="Em negociação (75%)"/>
    <s v=""/>
    <m/>
    <n v="25228"/>
    <n v="0"/>
    <n v="6"/>
    <s v="Junior Lopes"/>
    <d v="2026-05-14T00:00:00"/>
    <d v="1899-12-30T14:51:10"/>
    <s v=""/>
    <s v="Ativo"/>
    <m/>
    <m/>
    <s v=""/>
    <s v=""/>
    <s v=""/>
    <x v="212"/>
    <s v=""/>
    <x v="0"/>
    <s v=""/>
    <m/>
    <n v="50"/>
    <s v=""/>
    <s v=""/>
    <s v=""/>
    <s v=""/>
    <n v="1"/>
  </r>
  <r>
    <x v="2"/>
    <n v="1221"/>
    <m/>
    <n v="3826"/>
    <s v=""/>
    <s v=""/>
    <x v="688"/>
    <n v="79846465000207"/>
    <s v=""/>
    <s v="Goedert Ltda"/>
    <s v="(48) 3205-2140"/>
    <s v=""/>
    <s v="administracao@goedert.com.br"/>
    <s v=""/>
    <s v=""/>
    <s v=""/>
    <s v="PALHOCA"/>
    <s v="SC"/>
    <s v="Base de empresas Leads2b"/>
    <s v=""/>
    <s v=""/>
    <s v=""/>
    <s v="Pipeline de Vendas"/>
    <s v="Qualificação de Vendas (SQL) (25%)"/>
    <s v=""/>
    <m/>
    <m/>
    <m/>
    <n v="6"/>
    <s v="Rayssa Karapeticov"/>
    <d v="2026-05-14T00:00:00"/>
    <d v="1899-12-30T15:23:21"/>
    <s v=""/>
    <s v="Ativo"/>
    <m/>
    <m/>
    <s v=""/>
    <s v=""/>
    <s v=""/>
    <x v="0"/>
    <s v=""/>
    <x v="0"/>
    <s v=""/>
    <m/>
    <m/>
    <s v=""/>
    <s v=""/>
    <s v=""/>
    <s v=""/>
    <n v="1"/>
  </r>
  <r>
    <x v="2"/>
    <n v="1222"/>
    <m/>
    <n v="3827"/>
    <s v=""/>
    <s v=""/>
    <x v="89"/>
    <n v="5670513000123"/>
    <s v=""/>
    <s v="Jlk Industria E Comercio De Plasticos Ltda"/>
    <s v="(11) 2243-0117"/>
    <s v=""/>
    <s v="jlk@jlkplasticos.com.br"/>
    <s v=""/>
    <s v=""/>
    <s v=""/>
    <s v="SAO PAULO"/>
    <s v="SP"/>
    <s v="Base de empresas Leads2b"/>
    <s v=""/>
    <s v=""/>
    <s v=""/>
    <s v="Pipeline de Vendas"/>
    <s v="Agendamento (0%)"/>
    <s v=""/>
    <m/>
    <m/>
    <m/>
    <n v="6"/>
    <s v="Rayssa Karapeticov"/>
    <d v="2026-05-14T00:00:00"/>
    <d v="1899-12-30T15:24:59"/>
    <s v=""/>
    <s v="Ativo"/>
    <m/>
    <m/>
    <s v=""/>
    <s v=""/>
    <s v=""/>
    <x v="0"/>
    <s v=""/>
    <x v="0"/>
    <s v=""/>
    <m/>
    <m/>
    <s v=""/>
    <s v=""/>
    <s v=""/>
    <s v=""/>
    <n v="1"/>
  </r>
  <r>
    <x v="2"/>
    <n v="1223"/>
    <m/>
    <n v="3830"/>
    <s v=""/>
    <s v=""/>
    <x v="689"/>
    <n v="29946937000136"/>
    <s v=""/>
    <s v="Mercapet Comercio De Acessorios Para Animais Ltda"/>
    <s v="(11) 7162-4141"/>
    <s v=""/>
    <s v="marcosmercapet@gmail.com"/>
    <s v=""/>
    <s v=""/>
    <s v=""/>
    <s v="ITAQUAQUECETUBA"/>
    <s v="SP"/>
    <s v="Base de empresas Leads2b"/>
    <s v=""/>
    <s v=""/>
    <s v=""/>
    <s v="Pipeline de Vendas"/>
    <s v="Agendamento (0%)"/>
    <s v=""/>
    <m/>
    <m/>
    <m/>
    <n v="6"/>
    <s v="Rayssa Karapeticov"/>
    <d v="2026-05-14T00:00:00"/>
    <d v="1899-12-30T15:29:49"/>
    <s v=""/>
    <s v="Ativo"/>
    <m/>
    <m/>
    <s v=""/>
    <s v=""/>
    <s v=""/>
    <x v="0"/>
    <s v=""/>
    <x v="0"/>
    <s v=""/>
    <m/>
    <m/>
    <s v=""/>
    <s v=""/>
    <s v=""/>
    <s v=""/>
    <n v="1"/>
  </r>
  <r>
    <x v="2"/>
    <n v="1224"/>
    <m/>
    <n v="3832"/>
    <s v=""/>
    <s v=""/>
    <x v="690"/>
    <n v="90406117000162"/>
    <s v=""/>
    <s v="Future Industria Metalurgica Ltda"/>
    <s v="(54) 3535-8700"/>
    <s v=""/>
    <s v="future@futureutilidades.com.br"/>
    <s v=""/>
    <s v=""/>
    <s v=""/>
    <s v="CAXIAS DO SUL"/>
    <s v="RS"/>
    <s v="Base de empresas Leads2b"/>
    <s v=""/>
    <s v=""/>
    <s v=""/>
    <s v="Pipeline de Vendas"/>
    <s v="Agendamento (0%)"/>
    <s v=""/>
    <m/>
    <m/>
    <m/>
    <n v="6"/>
    <s v="Rayssa Karapeticov"/>
    <d v="2026-05-14T00:00:00"/>
    <d v="1899-12-30T15:31:13"/>
    <s v=""/>
    <s v="Ativo"/>
    <m/>
    <m/>
    <s v=""/>
    <s v=""/>
    <s v=""/>
    <x v="0"/>
    <s v=""/>
    <x v="0"/>
    <s v=""/>
    <m/>
    <m/>
    <s v=""/>
    <s v=""/>
    <s v=""/>
    <s v=""/>
    <n v="1"/>
  </r>
  <r>
    <x v="2"/>
    <n v="1225"/>
    <m/>
    <n v="3835"/>
    <s v=""/>
    <s v=""/>
    <x v="691"/>
    <n v="5020996000110"/>
    <s v=""/>
    <s v="Primavera Industria De Vassouras E Escovas Ltda"/>
    <s v="(54) 3344-1438"/>
    <s v=""/>
    <s v="primavera@primavera.ind.br"/>
    <s v=""/>
    <s v=""/>
    <s v=""/>
    <s v="TAPEJARA"/>
    <s v="RS"/>
    <s v="Base de empresas Leads2b"/>
    <s v=""/>
    <s v=""/>
    <s v=""/>
    <s v="Pipeline de Vendas"/>
    <s v="Agendamento (0%)"/>
    <s v=""/>
    <m/>
    <m/>
    <m/>
    <n v="6"/>
    <s v="Rayssa Karapeticov"/>
    <d v="2026-05-14T00:00:00"/>
    <d v="1899-12-30T15:32:28"/>
    <s v=""/>
    <s v="Ativo"/>
    <m/>
    <m/>
    <s v=""/>
    <s v=""/>
    <s v=""/>
    <x v="0"/>
    <s v=""/>
    <x v="0"/>
    <s v=""/>
    <m/>
    <m/>
    <s v=""/>
    <s v=""/>
    <s v=""/>
    <s v=""/>
    <n v="1"/>
  </r>
  <r>
    <x v="2"/>
    <n v="1226"/>
    <m/>
    <n v="3838"/>
    <s v=""/>
    <s v=""/>
    <x v="692"/>
    <n v="30365926000141"/>
    <s v=""/>
    <s v="Esponjas Evol Clean Ltda"/>
    <s v="(44) 3629-5720"/>
    <s v=""/>
    <s v="esponjasevolclean@gmail.com"/>
    <s v=""/>
    <s v=""/>
    <s v=""/>
    <s v="CIANORTE"/>
    <s v="PR"/>
    <s v="Base de empresas Leads2b"/>
    <s v=""/>
    <s v=""/>
    <s v=""/>
    <s v="Pipeline de Vendas"/>
    <s v="Agendamento (0%)"/>
    <s v=""/>
    <m/>
    <m/>
    <m/>
    <n v="6"/>
    <s v="Rayssa Karapeticov"/>
    <d v="2026-05-14T00:00:00"/>
    <d v="1899-12-30T15:33:49"/>
    <s v=""/>
    <s v="Ativo"/>
    <m/>
    <m/>
    <s v=""/>
    <s v=""/>
    <s v=""/>
    <x v="0"/>
    <s v=""/>
    <x v="0"/>
    <s v=""/>
    <m/>
    <m/>
    <s v=""/>
    <s v=""/>
    <s v=""/>
    <s v=""/>
    <n v="1"/>
  </r>
  <r>
    <x v="2"/>
    <n v="1227"/>
    <m/>
    <n v="3840"/>
    <s v=""/>
    <s v=""/>
    <x v="693"/>
    <n v="1355480000176"/>
    <s v=""/>
    <s v="Uninjet Industria E Comercio De Plasticos Ltda"/>
    <s v="(11) 2521-3011"/>
    <s v=""/>
    <s v="a.garcia@uninjet.com.br"/>
    <s v=""/>
    <s v=""/>
    <s v=""/>
    <s v="SAO PAULO"/>
    <s v="SP"/>
    <s v="Base de empresas Leads2b"/>
    <s v=""/>
    <s v=""/>
    <s v=""/>
    <s v="Pipeline de Vendas"/>
    <s v="Agendamento (0%)"/>
    <s v=""/>
    <m/>
    <m/>
    <m/>
    <n v="6"/>
    <s v="Rayssa Karapeticov"/>
    <d v="2026-05-14T00:00:00"/>
    <d v="1899-12-30T15:34:25"/>
    <s v=""/>
    <s v="Ativo"/>
    <m/>
    <m/>
    <s v=""/>
    <s v=""/>
    <s v=""/>
    <x v="0"/>
    <s v=""/>
    <x v="0"/>
    <s v=""/>
    <m/>
    <m/>
    <s v=""/>
    <s v=""/>
    <s v=""/>
    <s v=""/>
    <n v="1"/>
  </r>
  <r>
    <x v="2"/>
    <n v="1228"/>
    <m/>
    <n v="3877"/>
    <s v=""/>
    <s v=""/>
    <x v="694"/>
    <n v="3959052000188"/>
    <s v=""/>
    <s v="Gioplast Industria E Comercio Ltda"/>
    <s v="(11) 3132-9192"/>
    <s v=""/>
    <s v="contato@produtosgiotto.com.br"/>
    <s v=""/>
    <s v=""/>
    <s v=""/>
    <s v="NAZARE PAULISTA"/>
    <s v="SP"/>
    <s v="Base de empresas Leads2b"/>
    <s v=""/>
    <s v=""/>
    <s v=""/>
    <s v="Pipeline de Vendas"/>
    <s v="Agendamento (0%)"/>
    <s v=""/>
    <m/>
    <m/>
    <m/>
    <n v="6"/>
    <s v="Rayssa Karapeticov"/>
    <d v="2026-05-14T00:00:00"/>
    <d v="1899-12-30T15:51:54"/>
    <s v=""/>
    <s v="Ativo"/>
    <m/>
    <m/>
    <s v=""/>
    <s v=""/>
    <s v=""/>
    <x v="0"/>
    <s v=""/>
    <x v="0"/>
    <s v=""/>
    <m/>
    <m/>
    <s v=""/>
    <s v=""/>
    <s v=""/>
    <s v=""/>
    <n v="1"/>
  </r>
  <r>
    <x v="2"/>
    <n v="1229"/>
    <m/>
    <n v="3881"/>
    <s v=""/>
    <s v=""/>
    <x v="695"/>
    <n v="9149833000193"/>
    <s v=""/>
    <s v="Neoplas Industria E Comercio De Plasticos Ltda"/>
    <s v="(47) 3438-6970"/>
    <s v=""/>
    <s v="neoplas@neoplas.com.br"/>
    <s v=""/>
    <s v=""/>
    <s v=""/>
    <s v="JOINVILLE"/>
    <s v="SC"/>
    <s v="Base de empresas Leads2b"/>
    <s v=""/>
    <s v=""/>
    <s v=""/>
    <s v="Pipeline de Vendas"/>
    <s v="Agendamento (0%)"/>
    <s v=""/>
    <m/>
    <m/>
    <m/>
    <n v="6"/>
    <s v="Rayssa Karapeticov"/>
    <d v="2026-05-14T00:00:00"/>
    <d v="1899-12-30T15:52:32"/>
    <s v=""/>
    <s v="Ativo"/>
    <m/>
    <m/>
    <s v=""/>
    <s v=""/>
    <s v=""/>
    <x v="0"/>
    <s v=""/>
    <x v="0"/>
    <s v=""/>
    <m/>
    <m/>
    <s v=""/>
    <s v=""/>
    <s v=""/>
    <s v=""/>
    <n v="1"/>
  </r>
  <r>
    <x v="2"/>
    <n v="1230"/>
    <m/>
    <n v="3892"/>
    <s v=""/>
    <s v=""/>
    <x v="696"/>
    <n v="8696119000314"/>
    <s v=""/>
    <s v="Mix Sao Paulo Industria E Comercio Ltda"/>
    <s v="(11) 3013-1300"/>
    <s v=""/>
    <s v="contato@plastco.com.br"/>
    <s v=""/>
    <s v=""/>
    <s v=""/>
    <s v="SAO PAULO"/>
    <s v="SP"/>
    <s v="Base de empresas Leads2b"/>
    <s v=""/>
    <s v=""/>
    <s v=""/>
    <s v="Pipeline de Vendas"/>
    <s v="Agendamento (0%)"/>
    <s v=""/>
    <m/>
    <m/>
    <m/>
    <n v="6"/>
    <s v="Rayssa Karapeticov"/>
    <d v="2026-05-14T00:00:00"/>
    <d v="1899-12-30T16:06:06"/>
    <s v=""/>
    <s v="Ativo"/>
    <m/>
    <m/>
    <s v=""/>
    <s v=""/>
    <s v=""/>
    <x v="0"/>
    <s v=""/>
    <x v="0"/>
    <s v=""/>
    <m/>
    <m/>
    <s v=""/>
    <s v=""/>
    <s v=""/>
    <s v=""/>
    <n v="1"/>
  </r>
  <r>
    <x v="2"/>
    <n v="1231"/>
    <m/>
    <n v="3895"/>
    <s v=""/>
    <s v=""/>
    <x v="697"/>
    <n v="8266046000169"/>
    <s v=""/>
    <s v="Forfest Industria De Descartaveis Ltda"/>
    <s v="(48) 3466-2961"/>
    <s v=""/>
    <s v="atendimento@forfest.com.br"/>
    <s v=""/>
    <s v=""/>
    <s v=""/>
    <s v="ORLEANS"/>
    <s v="SC"/>
    <s v="Base de empresas Leads2b"/>
    <s v=""/>
    <s v=""/>
    <s v=""/>
    <s v="Pipeline de Vendas"/>
    <s v="Qualificação de Vendas (SQL) (25%)"/>
    <s v=""/>
    <m/>
    <m/>
    <m/>
    <n v="6"/>
    <s v="Rayssa Karapeticov"/>
    <d v="2026-05-14T00:00:00"/>
    <d v="1899-12-30T16:13:45"/>
    <s v=""/>
    <s v="Ativo"/>
    <m/>
    <m/>
    <s v=""/>
    <s v=""/>
    <s v=""/>
    <x v="0"/>
    <s v=""/>
    <x v="0"/>
    <s v=""/>
    <m/>
    <m/>
    <s v=""/>
    <s v=""/>
    <s v=""/>
    <s v=""/>
    <n v="1"/>
  </r>
  <r>
    <x v="2"/>
    <n v="1232"/>
    <m/>
    <n v="3898"/>
    <s v=""/>
    <s v=""/>
    <x v="698"/>
    <n v="18455453000178"/>
    <s v=""/>
    <s v="Comfort Door Importacao E Distribuicao De Utilidades Domesticas Ltda"/>
    <s v="(43) 3376-3000"/>
    <s v=""/>
    <s v="contato@comfortdoor.com.br"/>
    <s v=""/>
    <s v=""/>
    <s v=""/>
    <s v="LONDRINA"/>
    <s v="PR"/>
    <s v="Base de empresas Leads2b"/>
    <s v=""/>
    <s v=""/>
    <s v=""/>
    <s v="Pipeline de Vendas"/>
    <s v="Qualificação de Vendas (SQL) (25%)"/>
    <s v=""/>
    <m/>
    <m/>
    <m/>
    <n v="6"/>
    <s v="Rayssa Karapeticov"/>
    <d v="2026-05-14T00:00:00"/>
    <d v="1899-12-30T16:14:25"/>
    <s v=""/>
    <s v="Ativo"/>
    <m/>
    <m/>
    <s v=""/>
    <s v=""/>
    <s v=""/>
    <x v="0"/>
    <s v=""/>
    <x v="0"/>
    <s v=""/>
    <m/>
    <m/>
    <s v=""/>
    <s v=""/>
    <s v=""/>
    <s v=""/>
    <n v="1"/>
  </r>
  <r>
    <x v="1"/>
    <n v="1233"/>
    <m/>
    <n v="3918"/>
    <s v=""/>
    <s v=""/>
    <x v="699"/>
    <n v="35754976000215"/>
    <s v=""/>
    <s v="StarTools ferramaentas (Cloud)"/>
    <s v="1184724282"/>
    <s v=""/>
    <s v="controladoria@startoolsferramentas.com.br"/>
    <s v=""/>
    <s v=""/>
    <s v=""/>
    <s v="ARAQUARI"/>
    <s v="SC"/>
    <s v=""/>
    <s v=""/>
    <s v=""/>
    <s v=""/>
    <s v="Pipeline de Vendas"/>
    <s v="Apresentar Solução (35%)"/>
    <s v=""/>
    <m/>
    <m/>
    <m/>
    <n v="5"/>
    <s v="Junior Lopes"/>
    <d v="2026-05-15T00:00:00"/>
    <d v="1899-12-30T11:25:41"/>
    <s v=""/>
    <s v="Ativo"/>
    <m/>
    <m/>
    <s v=""/>
    <s v=""/>
    <s v=""/>
    <x v="0"/>
    <s v=""/>
    <x v="239"/>
    <s v=""/>
    <m/>
    <n v="50"/>
    <s v=""/>
    <s v=""/>
    <s v=""/>
    <s v=""/>
    <n v="1"/>
  </r>
  <r>
    <x v="3"/>
    <n v="1234"/>
    <m/>
    <n v="3917"/>
    <s v="Todos os dados preenchidos:name: William Zanini Brogni field_3: Diretor phone: 45988277667 email: william@abtec.eng.br nome_da_empresa: Abtec field_4: Sudeste site_ou_rede_social_da_empresa: https://abecommerce.com.br/ referrer: https://instagram.com/ _x000a_(15/05) Falei com William, que estava em reunião no momento. Solicitou novo contato na segunda-feira pela manhã."/>
    <s v=""/>
    <x v="700"/>
    <m/>
    <s v=""/>
    <s v="William Zanini Brogni"/>
    <s v="(45) 98827-7667"/>
    <s v=""/>
    <s v="william@abtec.eng.br"/>
    <s v=""/>
    <s v=""/>
    <s v=""/>
    <s v="Cascavel"/>
    <s v=""/>
    <s v="Inbound"/>
    <s v=""/>
    <s v=""/>
    <s v="Dentro Perfil;Instagram"/>
    <s v="Pipeline de Vendas"/>
    <s v="Qualificação de Vendas (SQL) (25%)"/>
    <s v=""/>
    <m/>
    <m/>
    <m/>
    <n v="5"/>
    <s v="Paulo Souza"/>
    <d v="2026-05-15T00:00:00"/>
    <d v="1899-12-30T12:17:45"/>
    <s v=""/>
    <s v="Ativo"/>
    <m/>
    <m/>
    <s v=""/>
    <s v=""/>
    <s v=""/>
    <x v="0"/>
    <s v="Ronaldo Nascimento"/>
    <x v="0"/>
    <s v=""/>
    <m/>
    <n v="30"/>
    <s v=""/>
    <s v=""/>
    <s v=""/>
    <s v=""/>
    <n v="1"/>
  </r>
  <r>
    <x v="1"/>
    <n v="1236"/>
    <m/>
    <n v="3921"/>
    <s v=""/>
    <s v=""/>
    <x v="701"/>
    <m/>
    <s v=""/>
    <s v="MDL - Comex"/>
    <s v="11910695515"/>
    <s v=""/>
    <s v="janaina@mdlimport.com.br"/>
    <s v=""/>
    <s v=""/>
    <s v=""/>
    <s v=""/>
    <s v=""/>
    <s v=""/>
    <s v=""/>
    <s v=""/>
    <s v=""/>
    <s v="Pipeline de Vendas"/>
    <s v="Apresentar Proposta (50%)"/>
    <s v=""/>
    <m/>
    <m/>
    <m/>
    <n v="2"/>
    <s v="Junior Lopes"/>
    <d v="2026-05-18T00:00:00"/>
    <d v="1899-12-30T08:19:14"/>
    <s v=""/>
    <s v="Ativo"/>
    <m/>
    <m/>
    <s v=""/>
    <s v=""/>
    <s v=""/>
    <x v="217"/>
    <s v=""/>
    <x v="0"/>
    <s v=""/>
    <m/>
    <n v="50"/>
    <s v=""/>
    <s v=""/>
    <s v=""/>
    <s v=""/>
    <n v="1"/>
  </r>
  <r>
    <x v="1"/>
    <n v="1237"/>
    <m/>
    <n v="3922"/>
    <s v=""/>
    <s v=""/>
    <x v="702"/>
    <m/>
    <s v=""/>
    <s v="MDL - Boleto Whats"/>
    <s v="11910695515"/>
    <s v=""/>
    <s v="janaina@mdlimport.com.br"/>
    <s v=""/>
    <s v=""/>
    <s v=""/>
    <s v=""/>
    <s v=""/>
    <s v=""/>
    <s v=""/>
    <s v=""/>
    <s v=""/>
    <s v="Pipeline de Vendas"/>
    <s v="Apresentar Proposta (50%)"/>
    <s v=""/>
    <m/>
    <m/>
    <m/>
    <n v="2"/>
    <s v="Junior Lopes"/>
    <d v="2026-05-18T00:00:00"/>
    <d v="1899-12-30T08:26:32"/>
    <s v=""/>
    <s v="Ativo"/>
    <m/>
    <m/>
    <s v=""/>
    <s v=""/>
    <s v=""/>
    <x v="217"/>
    <s v=""/>
    <x v="240"/>
    <s v=""/>
    <m/>
    <n v="50"/>
    <s v=""/>
    <s v=""/>
    <s v=""/>
    <s v=""/>
    <n v="1"/>
  </r>
  <r>
    <x v="1"/>
    <n v="1238"/>
    <m/>
    <n v="3923"/>
    <s v=""/>
    <s v=""/>
    <x v="703"/>
    <m/>
    <s v=""/>
    <s v="Star Distribuidora - Boleto Whats"/>
    <s v="17996266970"/>
    <s v=""/>
    <s v="administrativo@distribuidorastar.com.br"/>
    <s v=""/>
    <s v=""/>
    <s v=""/>
    <s v=""/>
    <s v=""/>
    <s v=""/>
    <s v=""/>
    <s v=""/>
    <s v=""/>
    <s v="Pipeline de Vendas"/>
    <s v="Apresentar Proposta (50%)"/>
    <s v=""/>
    <m/>
    <m/>
    <m/>
    <n v="2"/>
    <s v="Junior Lopes"/>
    <d v="2026-05-18T00:00:00"/>
    <d v="1899-12-30T08:39:29"/>
    <s v=""/>
    <s v="Ativo"/>
    <m/>
    <m/>
    <s v=""/>
    <s v=""/>
    <s v=""/>
    <x v="217"/>
    <s v=""/>
    <x v="240"/>
    <s v=""/>
    <m/>
    <n v="50"/>
    <s v=""/>
    <s v=""/>
    <s v=""/>
    <s v=""/>
    <n v="1"/>
  </r>
  <r>
    <x v="1"/>
    <n v="1240"/>
    <m/>
    <n v="3962"/>
    <s v=""/>
    <s v=""/>
    <x v="704"/>
    <m/>
    <s v=""/>
    <s v="fuzipar - ERP"/>
    <s v="54984185138"/>
    <s v=""/>
    <s v="null"/>
    <s v=""/>
    <s v=""/>
    <s v=""/>
    <s v=""/>
    <s v=""/>
    <s v=""/>
    <s v=""/>
    <s v=""/>
    <s v=""/>
    <s v="Pipeline de Vendas"/>
    <s v="Apresentar Solução (35%)"/>
    <s v=""/>
    <m/>
    <m/>
    <m/>
    <n v="1"/>
    <s v="Junior Lopes"/>
    <d v="2026-05-19T00:00:00"/>
    <d v="1899-12-30T17:02:34"/>
    <s v=""/>
    <s v="Ativo"/>
    <m/>
    <m/>
    <s v=""/>
    <s v=""/>
    <s v=""/>
    <x v="0"/>
    <s v=""/>
    <x v="0"/>
    <s v=""/>
    <m/>
    <n v="50"/>
    <s v=""/>
    <s v=""/>
    <s v=""/>
    <s v=""/>
    <n v="1"/>
  </r>
</pivotCacheRecords>
</file>

<file path=xl/pivotCache/pivotCacheRecords7.xml><?xml version="1.0" encoding="utf-8"?>
<pivotCacheRecords xmlns="http://schemas.openxmlformats.org/spreadsheetml/2006/main" count="716">
  <r>
    <x v="0"/>
    <n v="87"/>
    <m/>
    <n v="548"/>
    <s v=""/>
    <s v=""/>
    <x v="0"/>
    <m/>
    <s v=""/>
    <s v="Paulo Teste"/>
    <s v="16997181604"/>
    <s v=""/>
    <s v="paulo.souza@guaranisistemas.com.br"/>
    <s v=""/>
    <s v=""/>
    <s v=""/>
    <s v=""/>
    <s v=""/>
    <s v=""/>
    <s v=""/>
    <s v=""/>
    <s v="Guarani AFV;SDRPaulo"/>
    <s v="Pipeline de Vendas"/>
    <s v="Agendamento (0%)"/>
    <s v=""/>
    <m/>
    <n v="0"/>
    <n v="27562"/>
    <n v="540"/>
    <s v="Paulo Souza"/>
    <d v="2024-11-26T00:00:00"/>
    <d v="1899-12-30T17:25:50"/>
    <s v=""/>
    <s v="Ativo"/>
    <m/>
    <m/>
    <s v=""/>
    <s v=""/>
    <s v=""/>
    <x v="0"/>
    <s v="Paulo Souza"/>
    <x v="0"/>
    <s v=""/>
    <m/>
    <m/>
    <s v=""/>
    <s v=""/>
    <s v=""/>
    <s v=""/>
    <n v="1"/>
  </r>
  <r>
    <x v="1"/>
    <n v="88"/>
    <m/>
    <n v="269"/>
    <s v=""/>
    <s v="EDDI INDUSTRIA E COMERCIO DE ARTEFATOS PLASTICOS LTDA"/>
    <x v="1"/>
    <n v="24870219000100"/>
    <s v=""/>
    <s v="EDDI CASA"/>
    <s v="16997246190"/>
    <s v=""/>
    <s v="comercial@eddicasa.com"/>
    <s v=""/>
    <s v="EDDI CASA;Bruno"/>
    <s v=""/>
    <s v="Ibitinga - SP"/>
    <s v="SP"/>
    <s v="Outbound"/>
    <s v=""/>
    <s v=""/>
    <s v="Guarani AFV;Importado a partir de lista;SDRFernanda"/>
    <s v="Pipeline de Vendas"/>
    <s v="Apresentar Proposta (50%)"/>
    <s v=""/>
    <m/>
    <m/>
    <m/>
    <n v="55"/>
    <s v="Fernanda Santiago"/>
    <d v="2024-11-27T00:00:00"/>
    <d v="1899-12-30T14:28:37"/>
    <s v=""/>
    <s v="Perdido"/>
    <d v="2025-01-21T00:00:00"/>
    <d v="1899-12-30T11:55:50"/>
    <s v="Projeto adiado / sem prazo definido"/>
    <s v="sem retorno do cliente"/>
    <s v="27/11/2024"/>
    <x v="1"/>
    <s v="Fernanda Santiago"/>
    <x v="1"/>
    <s v=""/>
    <m/>
    <m/>
    <s v=""/>
    <s v=""/>
    <s v=""/>
    <s v=""/>
    <n v="1"/>
  </r>
  <r>
    <x v="0"/>
    <n v="89"/>
    <m/>
    <n v="439"/>
    <s v="APÓS PESQUISA ENCONTREI O TELEFONE 88 98114-7695 NO CATALAGO DIGITAL DA EMPRESA, MANDEI MSG PARA VALIDAR E CONVERSEI COM LUCAS, ELE DISSE QUE NO PASSADO JA NOS PROCUROU PARA CONHECER NOSSO ERP, POIS QUEREM MUDAR DE SISTEMA, O GERENTE DELES DE PRODUÇÃO JA TRABALHOU CONOSCO NA ARCA PLAST E INDICOU. ATUALMENTE USA SISTEMA CHAMADO WSHOP, MAS NÃO ATENDE ELES BEM. QUER VER TODA PARTE DE PRODUÇÃO, PRODUTOS, CUSTOS, FATURAMENTO... POSSUEM POUCOS REPRESENTANTES, FOCO NO MOMENTO É O ERP, APÓS ELE VE O FORÇA DE VENDAS._x000a_AGENDADO APRESENTAÇÃO COM O PAULO DIA 27/11 AS 15H"/>
    <s v=""/>
    <x v="2"/>
    <n v="51921277000198"/>
    <s v=""/>
    <s v="Lucas"/>
    <s v="(88) 98114-7695"/>
    <s v=""/>
    <s v="lucasnewway@gmail.com"/>
    <s v=""/>
    <s v=""/>
    <s v=""/>
    <s v=""/>
    <s v=""/>
    <s v="Base de empresas Leads2b"/>
    <s v=""/>
    <s v=""/>
    <s v="SDRDébora"/>
    <s v="Pipeline de Vendas"/>
    <s v="Em negociação (75%)"/>
    <s v=""/>
    <m/>
    <m/>
    <m/>
    <n v="63"/>
    <s v="Débora Duarte"/>
    <d v="2024-11-27T00:00:00"/>
    <d v="1899-12-30T14:29:05"/>
    <s v=""/>
    <s v="Perdido"/>
    <d v="2025-01-29T00:00:00"/>
    <d v="1899-12-30T01:04:01"/>
    <s v="Cliente não quer contato LGPD"/>
    <s v=""/>
    <s v="27/11/2024"/>
    <x v="0"/>
    <s v="Débora Duarte"/>
    <x v="0"/>
    <s v=""/>
    <m/>
    <m/>
    <s v=""/>
    <s v=""/>
    <s v=""/>
    <s v=""/>
    <n v="1"/>
  </r>
  <r>
    <x v="1"/>
    <n v="90"/>
    <m/>
    <n v="372"/>
    <s v="FALEI COM SILDÁCIO, ATUALMENTE USAM SISTEMA PROPRIO, MAS BUSCAM MELHORIAS E CONFORMA PLANEJAMENTO PARA 2025 ESTÁ COTANDO COM SOLUÇÕES DO MERCADO, OUVI DE OUTRAS IMPORTADORAS QUE USAM NOSSA SISTEMA PARA FORÇA DE VENDAS. HOJE SÃO 5 RCA, MAS ESTÃO EXPANDIDO O ATENDIMENTO PARA OUTROS ESTADOS E AUMENTANDO A EQUIPE. USAM ERP TOTVS. SÃO IMPORTADORA UD/BRINQUEDOS/DECOR_x000a_AGENDADO APRESENTAÇÃO DIA 21/11 AS 11H30_x000a_INCLUIR NO INVITE jacqueline.santos@casafreitas.com.br"/>
    <s v=""/>
    <x v="3"/>
    <n v="1740627000575"/>
    <s v=""/>
    <s v="Sildácio Amaral"/>
    <s v="(85) 99797-0405"/>
    <s v=""/>
    <s v="sildacio.amaral@casafreitas.com.br"/>
    <s v=""/>
    <s v=""/>
    <s v=""/>
    <s v=""/>
    <s v=""/>
    <s v="Site"/>
    <s v=""/>
    <s v=""/>
    <s v="90%;Guarani AFV;SDRDébora;SDRInbound"/>
    <s v="Pipeline de Vendas"/>
    <s v="Em Fechamento (100%)"/>
    <s v="6x sem juros (0/30/60/90/120/150...)"/>
    <m/>
    <n v="14416"/>
    <n v="18072"/>
    <n v="266"/>
    <s v="Débora Duarte"/>
    <d v="2024-11-27T00:00:00"/>
    <d v="1899-12-30T15:32:35"/>
    <s v=""/>
    <s v="Ganho"/>
    <d v="2025-08-20T00:00:00"/>
    <d v="1899-12-30T09:37:28"/>
    <s v=""/>
    <s v=""/>
    <s v="19/11/2024 00:00"/>
    <x v="2"/>
    <s v="Débora Duarte"/>
    <x v="2"/>
    <s v="07/03/2025"/>
    <m/>
    <m/>
    <s v=""/>
    <s v=""/>
    <s v=""/>
    <s v=""/>
    <n v="1"/>
  </r>
  <r>
    <x v="1"/>
    <n v="91"/>
    <m/>
    <n v="502"/>
    <s v="Então, eu conheci o sistema AFV por um fornecedor nosso e ficamos interessados pelo recursos que você possui em realizar vendas e consultar estoques pelo celular_x000a_Somos um grupo o KWI, que é composto por 3 empresas, 2 é varejista e não fazemos vendas externas e nem representantes. E 1 é Atacadista, no momento é uma empresa nova, mas estamos nos organizando para incorporar vendas externas_x000a_Varejista e Atacadista_x000a_Porque ficamos interessamos em por exemplo quando estamos na feira para expor ao invés de fazer pedido no papel, utilizar um celular que é mais pratico_x000a_Ultimamos o ERP Verup_x000a_Ah então pode ser quinta 10hrs? Sou Supervisora do T.I_x000a_Recebi. Muito obrigada!!"/>
    <s v=""/>
    <x v="4"/>
    <n v="8196258000117"/>
    <s v=""/>
    <s v="Giovanna Seguette"/>
    <s v="(11) 94444-8474"/>
    <s v=""/>
    <s v="suppliers@bongmoon.com"/>
    <s v=""/>
    <s v=""/>
    <s v=""/>
    <s v=""/>
    <s v=""/>
    <s v="Site"/>
    <s v=""/>
    <s v=""/>
    <s v="Guarani AFV;SDRDébora;SDRInbound"/>
    <s v="Pipeline de Vendas"/>
    <s v="Apresentar Proposta (50%)"/>
    <s v=""/>
    <m/>
    <m/>
    <m/>
    <n v="55"/>
    <s v="Débora Duarte"/>
    <d v="2024-11-27T00:00:00"/>
    <d v="1899-12-30T15:34:41"/>
    <s v=""/>
    <s v="Perdido"/>
    <d v="2025-01-21T00:00:00"/>
    <d v="1899-12-30T11:59:45"/>
    <s v="Projeto adiado / sem prazo definido"/>
    <s v="sem retorno do cliente"/>
    <s v="25/11/2024 00:00"/>
    <x v="3"/>
    <s v="Débora Duarte"/>
    <x v="3"/>
    <s v=""/>
    <m/>
    <m/>
    <s v=""/>
    <s v=""/>
    <s v=""/>
    <s v=""/>
    <n v="1"/>
  </r>
  <r>
    <x v="1"/>
    <n v="92"/>
    <m/>
    <n v="360"/>
    <s v="APÓS INDICAÇÃO DO TEL 16 99776-7635 CONTATO PASSOU O Nº DA JESSICA, FALEI COM ELA POR WHATS, ATUALMENTE USAM SISTEMA DA IDEIA, MAS ELA ACEITOU VER UMA DEMONSTRAÇÃO DO NOSSO FORÇA DE VENDAS._x000a_EMPRESA É DE ARARAQUARA, INDUSTRIA DE UD_x000a_AGENDADO APRESENTAÇÃO DIA 03/12 AS 10H COM O JUCA"/>
    <s v="Utiliplas Fabricacao E Comercio De Artefatos Plasticos Ltda"/>
    <x v="5"/>
    <n v="32364538000171"/>
    <s v=""/>
    <s v="Jessica Edevania"/>
    <s v="(16) 3332-7378"/>
    <s v=""/>
    <s v="comercialutiliplas@gmail.com"/>
    <s v=""/>
    <s v=""/>
    <s v=""/>
    <s v="ARARAQUARA"/>
    <s v="SP"/>
    <s v="Base de empresas Leads2b"/>
    <s v=""/>
    <s v=""/>
    <s v="Guarani AFV;SDRDébora"/>
    <s v="Pipeline de Vendas"/>
    <s v="Em negociação (75%)"/>
    <s v=""/>
    <m/>
    <n v="2496"/>
    <m/>
    <n v="62"/>
    <s v="Débora Duarte"/>
    <d v="2024-11-27T00:00:00"/>
    <d v="1899-12-30T15:37:15"/>
    <s v=""/>
    <s v="Perdido"/>
    <d v="2025-01-28T00:00:00"/>
    <d v="1899-12-30T15:33:32"/>
    <s v="Projeto adiado / sem prazo definido"/>
    <s v="cliente não da retorno"/>
    <s v="26/11/2024 00:00"/>
    <x v="4"/>
    <s v="Débora Duarte"/>
    <x v="2"/>
    <s v=""/>
    <m/>
    <m/>
    <s v=""/>
    <s v=""/>
    <s v=""/>
    <s v=""/>
    <n v="1"/>
  </r>
  <r>
    <x v="0"/>
    <n v="93"/>
    <m/>
    <n v="598"/>
    <s v="A Primu's Rio é uma rede de lojas especializada em Brinquedos, Cama, Mesa e Banho, Utensílios domésticos, Papelaria, Plástico, Vidro, Alumínio e muito mais._x000a_São mais de 25 anos no mercado, oferecendo os melhores produtos com os melhores preços, tanto para o consumidor varejista, quanto para o atacadista._x000a_Site: Loja online de Primu's Rio - Quem Somos_x000a_O Grupo primus é um grupo econômico com 7 empresas, e estão divididas da seguinte maneira:_x000a_Distribuidora/Importadora_x000a_ERP = 10_x000a_AFV = 2_x000a_PDV = 10_x000a_7 CNPJ_x000a_Produtos de Interesse (ERP, AFV, PDV, MDFE, MDE, B2B)_x000a_Atacado e Lojas_x000a_4 lojas com 28 PDV, sendo que uma dessa loja é atacado._x000a_ASSUNTOS A SER DETALHANDOS NA APRESENTAÇÃO:_x000a_Política de preço, eles fazer 3 tipos de preço T1 (9,90), T2 (8,90), T3 (7,90), a regra é que com determinado volume financeiro na compra o preço flute entre as tabelas;_x000a_Tem dois tipos de custo quando a mercadoria entra pela importadora é um e pela distribuidora é outro, entender melhor isso_x000a_A apresentação dever ser focada na distribuidora e seus processos diários. Seguir o fluxo apresentando a Estoque, Financeiro, Fiscal, Politicas de Preço, Faturamento e Gerenciamento da Operação."/>
    <s v=""/>
    <x v="6"/>
    <n v="3375396000492"/>
    <s v=""/>
    <s v="Celso"/>
    <s v="21964236193"/>
    <s v=""/>
    <s v="celsomsc@gmail.com"/>
    <s v=""/>
    <s v=""/>
    <s v=""/>
    <s v="RIO DE JANEIRO"/>
    <s v="RJ"/>
    <s v="Outbound"/>
    <s v=""/>
    <s v=""/>
    <s v="Guarani AFV;Guarani B2B;Guarani ERP;Guarani PDV;MORNO;SDRPaulo"/>
    <s v="Pipeline de Vendas"/>
    <s v="Em negociação (75%)"/>
    <s v=""/>
    <m/>
    <n v="0"/>
    <n v="0"/>
    <n v="61"/>
    <s v="Paulo Souza"/>
    <d v="2024-11-28T00:00:00"/>
    <d v="1899-12-30T08:47:53"/>
    <s v=""/>
    <s v="Perdido"/>
    <d v="2025-01-28T00:00:00"/>
    <d v="1899-12-30T16:47:21"/>
    <s v="Projeto adiado / sem prazo definido"/>
    <s v="cliente não tem mais interesse."/>
    <s v=""/>
    <x v="0"/>
    <s v="Paulo Souza"/>
    <x v="0"/>
    <s v=""/>
    <m/>
    <m/>
    <s v=""/>
    <s v=""/>
    <s v=""/>
    <s v=""/>
    <n v="1"/>
  </r>
  <r>
    <x v="1"/>
    <n v="94"/>
    <m/>
    <n v="378"/>
    <s v=""/>
    <s v="GA CERAMICA ARTISTICA"/>
    <x v="7"/>
    <n v="11650898000160"/>
    <s v=""/>
    <s v="GA CERAMICA"/>
    <s v="1935815351"/>
    <s v=""/>
    <s v="atendimento@gaceramica.com.br"/>
    <s v=""/>
    <s v="GA CERAMICA;GA CERAMICA, Jorge"/>
    <s v=""/>
    <s v=""/>
    <s v=""/>
    <s v="Outbound"/>
    <s v=""/>
    <s v=""/>
    <s v="Guarani AFV;Importado a partir de lista;SDRFernanda"/>
    <s v="Pipeline de Vendas"/>
    <s v="Apresentar Solução (35%)"/>
    <s v=""/>
    <m/>
    <n v="0"/>
    <n v="0"/>
    <n v="61"/>
    <s v="Fernanda Santiago"/>
    <d v="2024-11-28T00:00:00"/>
    <d v="1899-12-30T15:01:56"/>
    <s v=""/>
    <s v="Perdido"/>
    <d v="2025-01-28T00:00:00"/>
    <d v="1899-12-30T13:56:56"/>
    <s v="Não quer mudar a solução atual"/>
    <s v="Falei com o Jorge, ele disse que esta acontecendo umas mudanças administrativas um dos socios esta saindo, então toda previsao de alterar sistemas ficou em stand by, disse para falarmos em fevereiro. Até a feira ele falou que pode ser que ja tenha resolvido entao falamos depois."/>
    <s v="02/12/2024 10:00"/>
    <x v="0"/>
    <s v="Fernanda Santiago"/>
    <x v="0"/>
    <s v=""/>
    <m/>
    <m/>
    <s v=""/>
    <s v=""/>
    <s v=""/>
    <s v=""/>
    <n v="1"/>
  </r>
  <r>
    <x v="0"/>
    <n v="95"/>
    <m/>
    <n v="778"/>
    <s v="Resumo de envio do Formulário Web_x000a_Produtos:_x000a_Guarani ERP_x000a_Nome_x000a_Viviane Gomes_x000a_E-mail_x000a_fiscal@aloebaf.com.br_x000a_Telefone / Whatsapp_x000a_38 99127-5338_x000a_Nome da Empresa_x000a_ALOEBAF COMERCIO DE COSMETICOS_x000a_Segmento_x000a_Distribuidor_x000a_Descrição da necessidade_x000a_Precisamos do Força de vendas"/>
    <s v=""/>
    <x v="8"/>
    <n v="15211327000180"/>
    <s v=""/>
    <s v="Viviane Gomes"/>
    <s v="38991275338"/>
    <s v=""/>
    <s v="fiscal@aloebaf.com.br"/>
    <s v=""/>
    <s v=""/>
    <s v=""/>
    <s v=""/>
    <s v=""/>
    <s v="Outbound"/>
    <s v=""/>
    <s v=""/>
    <s v="Adicionais ERP;Guarani AFV;Guarani ERP;Pausado;SDRDébora"/>
    <s v="Pipeline de Vendas"/>
    <s v="Apresentar Proposta (50%)"/>
    <s v=""/>
    <m/>
    <m/>
    <m/>
    <n v="39"/>
    <s v="Paulo Souza"/>
    <d v="2024-11-29T00:00:00"/>
    <d v="1899-12-30T14:07:35"/>
    <s v=""/>
    <s v="Perdido"/>
    <d v="2025-01-07T00:00:00"/>
    <d v="1899-12-30T17:01:29"/>
    <s v="Preço muito alto - fora do budget de investimento"/>
    <s v=""/>
    <s v=""/>
    <x v="0"/>
    <s v="Débora Duarte"/>
    <x v="4"/>
    <s v=""/>
    <m/>
    <m/>
    <s v=""/>
    <s v=""/>
    <s v=""/>
    <s v=""/>
    <n v="1"/>
  </r>
  <r>
    <x v="1"/>
    <n v="96"/>
    <n v="155"/>
    <n v="812"/>
    <s v=""/>
    <s v=""/>
    <x v="9"/>
    <n v="13609763000186"/>
    <s v="BAAG (Bahia Artes Gráficas)"/>
    <s v="BAAG (Bahia Artes Gráficas)"/>
    <s v="7532217777"/>
    <s v=""/>
    <s v="cleber@bahiagrafica.com.br"/>
    <s v=""/>
    <s v=""/>
    <s v=""/>
    <s v="Feira de Santana"/>
    <s v="BA"/>
    <s v="Outbound"/>
    <s v=""/>
    <s v=""/>
    <s v="Guarani AFV;Guarani ERP;QUENTE"/>
    <s v="Pipeline de Vendas"/>
    <s v="Em Fechamento (100%)"/>
    <s v="6x sem juros (0/30/60/90/120/150...)"/>
    <d v="2025-01-31T00:00:00"/>
    <n v="8479884"/>
    <n v="630984"/>
    <n v="62"/>
    <s v="Paulo Souza"/>
    <d v="2024-12-01T00:00:00"/>
    <d v="1899-12-30T20:30:36"/>
    <s v=""/>
    <s v="Ganho"/>
    <d v="2025-02-01T00:00:00"/>
    <d v="1899-12-30T01:40:07"/>
    <s v=""/>
    <s v=""/>
    <s v=""/>
    <x v="5"/>
    <s v="Junior Lopes"/>
    <x v="5"/>
    <s v=""/>
    <m/>
    <m/>
    <s v=""/>
    <s v=""/>
    <s v=""/>
    <s v=""/>
    <n v="1"/>
  </r>
  <r>
    <x v="1"/>
    <n v="97"/>
    <n v="155"/>
    <n v="813"/>
    <s v=""/>
    <s v=""/>
    <x v="10"/>
    <n v="13609763000186"/>
    <s v="BAAG (Bahia Artes Gráficas)"/>
    <s v="Cleber Chagas"/>
    <s v="75981337574"/>
    <s v=""/>
    <s v="cleber@bahiagrafica.com.br"/>
    <s v=""/>
    <s v=""/>
    <s v=""/>
    <s v="Feira de Santana"/>
    <s v="BA"/>
    <s v=""/>
    <s v=""/>
    <s v=""/>
    <s v="Guarani CLOUD;QUENTE"/>
    <s v="Pipeline de Vendas"/>
    <s v="Em negociação (75%)"/>
    <s v=""/>
    <m/>
    <m/>
    <m/>
    <n v="82"/>
    <s v="Paulo Souza"/>
    <d v="2024-12-01T00:00:00"/>
    <d v="1899-12-30T20:30:37"/>
    <s v=""/>
    <s v="Perdido"/>
    <d v="2025-02-21T00:00:00"/>
    <d v="1899-12-30T12:13:20"/>
    <s v="Não quer mudar a solução atual"/>
    <s v="servidor local"/>
    <s v=""/>
    <x v="5"/>
    <s v=""/>
    <x v="5"/>
    <s v=""/>
    <m/>
    <m/>
    <s v=""/>
    <s v=""/>
    <s v=""/>
    <s v=""/>
    <n v="1"/>
  </r>
  <r>
    <x v="1"/>
    <n v="98"/>
    <n v="156"/>
    <n v="816"/>
    <s v=""/>
    <s v=""/>
    <x v="11"/>
    <n v="3921447000272"/>
    <s v="Vaso Forte"/>
    <s v="Clovis &amp; Heli"/>
    <s v="11912422620"/>
    <s v=""/>
    <s v="heli@vasoforte.com.br"/>
    <s v=""/>
    <s v=""/>
    <s v=""/>
    <s v="Vargem Grande Paulista"/>
    <s v="SP"/>
    <s v=""/>
    <s v=""/>
    <s v=""/>
    <s v="Guarani ERP"/>
    <s v="Pipeline de Vendas"/>
    <s v="Em Fechamento (100%)"/>
    <s v=""/>
    <m/>
    <n v="532332"/>
    <n v="292918"/>
    <n v="110"/>
    <s v="Paulo Souza"/>
    <d v="2024-12-01T00:00:00"/>
    <d v="1899-12-30T20:30:37"/>
    <s v=""/>
    <s v="Ganho"/>
    <d v="2025-03-21T00:00:00"/>
    <d v="1899-12-30T10:49:38"/>
    <s v=""/>
    <s v=""/>
    <s v=""/>
    <x v="6"/>
    <s v=""/>
    <x v="6"/>
    <s v="24/01/2025"/>
    <m/>
    <m/>
    <s v=""/>
    <s v=""/>
    <s v=""/>
    <s v=""/>
    <n v="1"/>
  </r>
  <r>
    <x v="1"/>
    <n v="99"/>
    <n v="157"/>
    <n v="818"/>
    <s v=""/>
    <s v=""/>
    <x v="12"/>
    <n v="55773964000164"/>
    <s v="Plásticos Santana Ltda"/>
    <s v="Celso"/>
    <s v="19974093075"/>
    <s v=""/>
    <s v="comercial1@plasticossantana.com.br"/>
    <s v=""/>
    <s v=""/>
    <s v=""/>
    <s v="Artur Nogueira"/>
    <s v="SP"/>
    <s v=""/>
    <s v=""/>
    <s v=""/>
    <s v="Guarani AFV;Guarani ERP"/>
    <s v="Pipeline de Vendas"/>
    <s v="Qualificação de Vendas (SQL) (25%)"/>
    <s v=""/>
    <m/>
    <m/>
    <m/>
    <n v="11"/>
    <s v="Paulo Souza"/>
    <d v="2024-12-01T00:00:00"/>
    <d v="1899-12-30T20:30:37"/>
    <s v=""/>
    <s v="Perdido"/>
    <d v="2024-12-12T00:00:00"/>
    <d v="1899-12-30T10:02:11"/>
    <s v="Não informou motivo da desistência"/>
    <s v="retornar contato em 2025"/>
    <s v=""/>
    <x v="0"/>
    <s v=""/>
    <x v="0"/>
    <s v=""/>
    <m/>
    <m/>
    <s v=""/>
    <s v=""/>
    <s v=""/>
    <s v=""/>
    <n v="1"/>
  </r>
  <r>
    <x v="1"/>
    <n v="100"/>
    <n v="156"/>
    <n v="816"/>
    <s v=""/>
    <s v=""/>
    <x v="13"/>
    <n v="3921447000272"/>
    <s v="Vaso Forte"/>
    <s v="Clovis &amp; Heli"/>
    <s v="11912422620"/>
    <s v=""/>
    <s v="heli@vasoforte.com.br"/>
    <s v=""/>
    <s v=""/>
    <s v=""/>
    <s v="Vargem Grande Paulista"/>
    <s v="SP"/>
    <s v=""/>
    <s v=""/>
    <s v=""/>
    <s v="Guarani CLOUD"/>
    <s v="Pipeline de Vendas"/>
    <s v="Em Fechamento (100%)"/>
    <s v=""/>
    <m/>
    <n v="1600"/>
    <n v="256119"/>
    <n v="110"/>
    <s v="Paulo Souza"/>
    <d v="2024-12-01T00:00:00"/>
    <d v="1899-12-30T20:30:37"/>
    <s v=""/>
    <s v="Perdido"/>
    <d v="2025-03-21T00:00:00"/>
    <d v="1899-12-30T10:21:47"/>
    <s v="Projeto adiado / sem prazo definido"/>
    <s v="atualmente tem muita instabilidade de internet"/>
    <s v=""/>
    <x v="6"/>
    <s v=""/>
    <x v="7"/>
    <s v="24/01/2025"/>
    <m/>
    <m/>
    <s v=""/>
    <s v=""/>
    <s v=""/>
    <s v=""/>
    <n v="1"/>
  </r>
  <r>
    <x v="1"/>
    <n v="101"/>
    <n v="158"/>
    <n v="821"/>
    <s v=""/>
    <s v=""/>
    <x v="14"/>
    <n v="4207648000194"/>
    <s v="EDITORA ONLINE"/>
    <s v="João Carlos Gomes Brasil"/>
    <s v="11993739551"/>
    <s v=""/>
    <s v="joao@editoraonline.com.br"/>
    <s v=""/>
    <s v=""/>
    <s v=""/>
    <s v="Barueri"/>
    <s v="SP"/>
    <s v=""/>
    <s v=""/>
    <s v=""/>
    <s v="Guarani AFV;SDRDébora"/>
    <s v="Pipeline de Vendas"/>
    <s v="Em negociação (75%)"/>
    <s v=""/>
    <d v="2025-01-31T00:00:00"/>
    <n v="3928"/>
    <m/>
    <n v="51"/>
    <s v="Paulo Souza"/>
    <d v="2024-12-01T00:00:00"/>
    <d v="1899-12-30T20:30:37"/>
    <s v=""/>
    <s v="Perdido"/>
    <d v="2025-01-21T00:00:00"/>
    <d v="1899-12-30T11:56:46"/>
    <s v="Projeto adiado / sem prazo definido"/>
    <s v="sem retorno do cliente"/>
    <s v="14/10/2024"/>
    <x v="7"/>
    <s v="Débora Duarte"/>
    <x v="8"/>
    <s v=""/>
    <m/>
    <m/>
    <s v=""/>
    <s v=""/>
    <s v=""/>
    <s v=""/>
    <n v="1"/>
  </r>
  <r>
    <x v="1"/>
    <n v="102"/>
    <n v="159"/>
    <n v="823"/>
    <s v=""/>
    <s v=""/>
    <x v="15"/>
    <n v="43526090000161"/>
    <s v="Precisa Import"/>
    <s v="Carlos"/>
    <s v="11972961489"/>
    <s v=""/>
    <s v="comercial@prorepresentacao.com.nr"/>
    <s v=""/>
    <s v=""/>
    <s v=""/>
    <s v="Barueri"/>
    <s v="SP"/>
    <s v=""/>
    <s v=""/>
    <s v=""/>
    <s v="Guarani AFV;Guarani ERP"/>
    <s v="Pipeline de Vendas"/>
    <s v="Em Fechamento (100%)"/>
    <s v=""/>
    <d v="2024-12-06T00:00:00"/>
    <n v="49012"/>
    <m/>
    <n v="18"/>
    <s v="Paulo Souza"/>
    <d v="2024-12-01T00:00:00"/>
    <d v="1899-12-30T20:30:37"/>
    <s v=""/>
    <s v="Ganho"/>
    <d v="2024-12-19T00:00:00"/>
    <d v="1899-12-30T14:38:30"/>
    <s v=""/>
    <s v=""/>
    <s v=""/>
    <x v="8"/>
    <s v=""/>
    <x v="9"/>
    <s v=""/>
    <m/>
    <m/>
    <s v=""/>
    <s v=""/>
    <s v=""/>
    <s v=""/>
    <n v="1"/>
  </r>
  <r>
    <x v="1"/>
    <n v="103"/>
    <n v="160"/>
    <n v="825"/>
    <s v=""/>
    <s v=""/>
    <x v="16"/>
    <n v="4949701000122"/>
    <s v="Polimax"/>
    <s v="Valen Lesinelli"/>
    <s v="11998367755"/>
    <s v=""/>
    <s v="comercial@polimaxpolimeros.com.br"/>
    <s v=""/>
    <s v=""/>
    <s v=""/>
    <s v="São Paulo"/>
    <s v="SP"/>
    <s v=""/>
    <s v=""/>
    <s v=""/>
    <s v="Guarani AFV;Guarani ERP;QUENTE"/>
    <s v="Pipeline de Vendas"/>
    <s v="Em Fechamento (100%)"/>
    <s v="6x sem juros (0/30/60/90/120/150...)"/>
    <d v="2025-01-31T00:00:00"/>
    <n v="46854"/>
    <n v="348312"/>
    <n v="54"/>
    <s v="Paulo Souza"/>
    <d v="2024-12-01T00:00:00"/>
    <d v="1899-12-30T20:30:37"/>
    <s v=""/>
    <s v="Ganho"/>
    <d v="2025-01-24T00:00:00"/>
    <d v="1899-12-30T12:08:20"/>
    <s v=""/>
    <s v=""/>
    <s v=""/>
    <x v="9"/>
    <s v=""/>
    <x v="10"/>
    <s v="15/01/2025"/>
    <m/>
    <m/>
    <s v=""/>
    <s v=""/>
    <s v=""/>
    <s v=""/>
    <n v="1"/>
  </r>
  <r>
    <x v="1"/>
    <n v="104"/>
    <n v="161"/>
    <n v="843"/>
    <s v=""/>
    <s v=""/>
    <x v="17"/>
    <n v="2609426000172"/>
    <s v="MD Importação"/>
    <s v="Juliana"/>
    <s v="47991450725"/>
    <s v=""/>
    <s v="mdimposrtacao@gmail.com"/>
    <s v=""/>
    <s v=""/>
    <s v=""/>
    <s v="Rio do Sul"/>
    <s v="SC"/>
    <s v="Indicação"/>
    <s v=""/>
    <s v=""/>
    <s v="Guarani AFV;Guarani ERP"/>
    <s v="Pipeline de Vendas"/>
    <s v="Em negociação (75%)"/>
    <s v=""/>
    <m/>
    <m/>
    <m/>
    <n v="120"/>
    <s v="Paulo Souza"/>
    <d v="2024-12-01T00:00:00"/>
    <d v="1899-12-30T20:30:37"/>
    <s v=""/>
    <s v="Perdido"/>
    <d v="2025-03-31T00:00:00"/>
    <d v="1899-12-30T15:45:45"/>
    <s v="Não houve aprovação financeira"/>
    <s v="cliente esfriou após proposta comercial"/>
    <s v=""/>
    <x v="10"/>
    <s v=""/>
    <x v="11"/>
    <s v=""/>
    <m/>
    <m/>
    <s v=""/>
    <s v=""/>
    <s v=""/>
    <s v=""/>
    <n v="1"/>
  </r>
  <r>
    <x v="1"/>
    <n v="105"/>
    <n v="162"/>
    <n v="829"/>
    <s v=""/>
    <s v=""/>
    <x v="18"/>
    <n v="17545517000169"/>
    <s v="DPOT PLASTICOS"/>
    <s v="Michel Stracci"/>
    <s v="19997264646"/>
    <s v=""/>
    <s v="dpot.plasticos@gmail.com"/>
    <s v=""/>
    <s v=""/>
    <s v=""/>
    <s v="Pedreira"/>
    <s v="SP"/>
    <s v=""/>
    <s v=""/>
    <s v=""/>
    <s v="Guarani AFV;Guarani ERP;SDRDébora"/>
    <s v="Pipeline de Vendas"/>
    <s v="Em negociação (75%)"/>
    <s v=""/>
    <m/>
    <m/>
    <m/>
    <n v="58"/>
    <s v="Paulo Souza"/>
    <d v="2024-12-01T00:00:00"/>
    <d v="1899-12-30T20:30:37"/>
    <s v=""/>
    <s v="Perdido"/>
    <d v="2025-01-28T00:00:00"/>
    <d v="1899-12-30T15:31:14"/>
    <s v="Projeto adiado / sem prazo definido"/>
    <s v="sem retorno do cliente"/>
    <s v="04/11/2024"/>
    <x v="11"/>
    <s v="Débora Duarte"/>
    <x v="12"/>
    <s v=""/>
    <m/>
    <m/>
    <s v=""/>
    <s v=""/>
    <s v=""/>
    <s v=""/>
    <n v="1"/>
  </r>
  <r>
    <x v="1"/>
    <n v="106"/>
    <n v="162"/>
    <n v="829"/>
    <s v=""/>
    <s v=""/>
    <x v="19"/>
    <n v="17545517000169"/>
    <s v="DPOT PLASTICOS"/>
    <s v="Michel Stracci"/>
    <s v="19997264646"/>
    <s v=""/>
    <s v="dpot.plasticos@gmail.com"/>
    <s v=""/>
    <s v=""/>
    <s v=""/>
    <s v="Pedreira"/>
    <s v="SP"/>
    <s v=""/>
    <s v=""/>
    <s v=""/>
    <s v="Guarani CLOUD;SDRDébora"/>
    <s v="Pipeline de Vendas"/>
    <s v="Em negociação (75%)"/>
    <s v=""/>
    <m/>
    <m/>
    <m/>
    <n v="58"/>
    <s v="Paulo Souza"/>
    <d v="2024-12-01T00:00:00"/>
    <d v="1899-12-30T20:30:37"/>
    <s v=""/>
    <s v="Perdido"/>
    <d v="2025-01-28T00:00:00"/>
    <d v="1899-12-30T15:31:50"/>
    <s v="Projeto adiado / sem prazo definido"/>
    <s v="sem retorno do cliente"/>
    <s v="04/11/2024"/>
    <x v="11"/>
    <s v="Débora Duarte"/>
    <x v="12"/>
    <s v=""/>
    <m/>
    <m/>
    <s v=""/>
    <s v=""/>
    <s v=""/>
    <s v=""/>
    <n v="1"/>
  </r>
  <r>
    <x v="1"/>
    <n v="107"/>
    <n v="163"/>
    <n v="832"/>
    <s v=""/>
    <s v=""/>
    <x v="20"/>
    <n v="5861238000125"/>
    <s v="GRUPO GALA"/>
    <s v="Diego"/>
    <s v="6735659555"/>
    <s v=""/>
    <s v="diego@gala.com.br"/>
    <s v=""/>
    <s v=""/>
    <s v=""/>
    <s v="Aparecida do Taboado"/>
    <s v="MS"/>
    <s v=""/>
    <s v=""/>
    <s v=""/>
    <s v="Guarani B2B"/>
    <s v="Pipeline de Vendas"/>
    <s v="Em negociação (75%)"/>
    <s v=""/>
    <m/>
    <m/>
    <m/>
    <n v="58"/>
    <s v="Paulo Souza"/>
    <d v="2024-12-01T00:00:00"/>
    <d v="1899-12-30T20:30:37"/>
    <s v=""/>
    <s v="Perdido"/>
    <d v="2025-01-28T00:00:00"/>
    <d v="1899-12-30T15:32:41"/>
    <s v="Não houve aprovação financeira"/>
    <s v=""/>
    <s v=""/>
    <x v="12"/>
    <s v=""/>
    <x v="13"/>
    <s v=""/>
    <m/>
    <m/>
    <s v=""/>
    <s v=""/>
    <s v=""/>
    <s v=""/>
    <n v="1"/>
  </r>
  <r>
    <x v="1"/>
    <n v="108"/>
    <n v="160"/>
    <n v="825"/>
    <s v=""/>
    <s v=""/>
    <x v="21"/>
    <n v="4949701000122"/>
    <s v="Polimax"/>
    <s v="Valen Lesinelli"/>
    <s v="11998367755"/>
    <s v=""/>
    <s v="comercial@polimaxpolimeros.com.br"/>
    <s v=""/>
    <s v=""/>
    <s v=""/>
    <s v="São Paulo"/>
    <s v="SP"/>
    <s v=""/>
    <s v=""/>
    <s v=""/>
    <s v="Guarani CLOUD;QUENTE"/>
    <s v="Pipeline de Vendas"/>
    <s v="Em Fechamento (100%)"/>
    <s v="8x sem juros (0/30/60/90/120/150...)"/>
    <d v="2025-01-31T00:00:00"/>
    <n v="1600"/>
    <n v="224819"/>
    <n v="60"/>
    <s v="Paulo Souza"/>
    <d v="2024-12-01T00:00:00"/>
    <d v="1899-12-30T20:30:37"/>
    <s v=""/>
    <s v="Ganho"/>
    <d v="2025-01-30T00:00:00"/>
    <d v="1899-12-30T09:31:52"/>
    <s v=""/>
    <s v=""/>
    <s v=""/>
    <x v="13"/>
    <s v=""/>
    <x v="14"/>
    <s v="15/01/2025"/>
    <m/>
    <m/>
    <s v=""/>
    <s v=""/>
    <s v=""/>
    <s v=""/>
    <n v="1"/>
  </r>
  <r>
    <x v="1"/>
    <n v="109"/>
    <n v="164"/>
    <n v="835"/>
    <s v=""/>
    <s v=""/>
    <x v="22"/>
    <n v="2531826000102"/>
    <s v="Fosboi da Bahia"/>
    <s v="Marcelo Luz"/>
    <s v="75991975073"/>
    <s v=""/>
    <s v="marceloluizlimafilho@outlook.com"/>
    <s v=""/>
    <s v=""/>
    <s v=""/>
    <s v="Feira de Santana"/>
    <s v="BA"/>
    <s v=""/>
    <s v=""/>
    <s v=""/>
    <s v="Guarani AFV;Guarani ERP"/>
    <s v="Pipeline de Vendas"/>
    <s v="Apresentar Solução (35%)"/>
    <s v=""/>
    <m/>
    <m/>
    <m/>
    <n v="18"/>
    <s v="Paulo Souza"/>
    <d v="2024-12-01T00:00:00"/>
    <d v="1899-12-30T20:30:37"/>
    <s v=""/>
    <s v="Perdido"/>
    <d v="2024-12-19T00:00:00"/>
    <d v="1899-12-30T15:08:41"/>
    <s v="Não informou motivo da desistência"/>
    <s v="sem retorno"/>
    <s v=""/>
    <x v="1"/>
    <s v=""/>
    <x v="1"/>
    <s v=""/>
    <m/>
    <m/>
    <s v=""/>
    <s v=""/>
    <s v=""/>
    <s v=""/>
    <n v="1"/>
  </r>
  <r>
    <x v="1"/>
    <n v="110"/>
    <n v="165"/>
    <n v="836"/>
    <s v=""/>
    <s v=""/>
    <x v="23"/>
    <n v="29341068000116"/>
    <s v="TEK MIX DISTRIBUICAO"/>
    <s v="TEK MIX DISTRIBUICAO"/>
    <s v="62991561717"/>
    <s v=""/>
    <s v="Wolneyaraujolino@gmail.com"/>
    <s v=""/>
    <s v=""/>
    <s v=""/>
    <s v="Anapólis"/>
    <s v="GO"/>
    <s v=""/>
    <s v=""/>
    <s v=""/>
    <s v="Guarani AFV;Guarani ERP"/>
    <s v="Pipeline de Vendas"/>
    <s v="Apresentar Proposta (50%)"/>
    <s v=""/>
    <m/>
    <m/>
    <m/>
    <n v="57"/>
    <s v="Paulo Souza"/>
    <d v="2024-12-01T00:00:00"/>
    <d v="1899-12-30T20:30:37"/>
    <s v=""/>
    <s v="Perdido"/>
    <d v="2025-01-27T00:00:00"/>
    <d v="1899-12-30T11:52:01"/>
    <s v="Fechou com o concorrente - preço"/>
    <s v="Devido a localização e proposta do concorrente (Target) perdemos a concorrência"/>
    <s v=""/>
    <x v="1"/>
    <s v=""/>
    <x v="1"/>
    <s v=""/>
    <m/>
    <m/>
    <s v=""/>
    <s v=""/>
    <s v=""/>
    <s v=""/>
    <n v="1"/>
  </r>
  <r>
    <x v="1"/>
    <n v="111"/>
    <n v="165"/>
    <n v="837"/>
    <s v=""/>
    <s v=""/>
    <x v="24"/>
    <n v="29341068000116"/>
    <s v="TEK MIX DISTRIBUICAO"/>
    <s v="Wolden"/>
    <s v="62991561717"/>
    <s v=""/>
    <s v="Wolneyaraujolino@gmail.com"/>
    <s v=""/>
    <s v=""/>
    <s v=""/>
    <s v="Anapólis"/>
    <s v="GO"/>
    <s v=""/>
    <s v=""/>
    <s v=""/>
    <s v="Guarani CLOUD"/>
    <s v="Pipeline de Vendas"/>
    <s v="Apresentar Proposta (50%)"/>
    <s v=""/>
    <m/>
    <m/>
    <m/>
    <n v="57"/>
    <s v="Paulo Souza"/>
    <d v="2024-12-01T00:00:00"/>
    <d v="1899-12-30T20:30:37"/>
    <s v=""/>
    <s v="Perdido"/>
    <d v="2025-01-27T00:00:00"/>
    <d v="1899-12-30T11:52:59"/>
    <s v="Fechou com o concorrente - preço"/>
    <s v="Devido a localização e proposta do concorrente (Target) perdemos a concorrência"/>
    <s v=""/>
    <x v="1"/>
    <s v=""/>
    <x v="1"/>
    <s v=""/>
    <m/>
    <m/>
    <s v=""/>
    <s v=""/>
    <s v=""/>
    <s v=""/>
    <n v="1"/>
  </r>
  <r>
    <x v="1"/>
    <n v="113"/>
    <n v="167"/>
    <n v="842"/>
    <s v=""/>
    <s v=""/>
    <x v="25"/>
    <n v="7973104000121"/>
    <s v="ELMO ATACADO"/>
    <s v="João Carlos Tasca"/>
    <s v="47999949301"/>
    <s v=""/>
    <s v="joao@atacadoelmo.com.br"/>
    <s v=""/>
    <s v=""/>
    <s v=""/>
    <s v="Joinville"/>
    <s v="SC"/>
    <s v=""/>
    <s v=""/>
    <s v=""/>
    <s v="Adicionais ERP"/>
    <s v="Pipeline de Vendas"/>
    <s v="Em negociação (75%)"/>
    <s v=""/>
    <m/>
    <m/>
    <m/>
    <n v="81"/>
    <s v="Paulo Souza"/>
    <d v="2024-12-01T00:00:00"/>
    <d v="1899-12-30T20:30:38"/>
    <s v=""/>
    <s v="Perdido"/>
    <d v="2025-02-20T00:00:00"/>
    <d v="1899-12-30T11:26:46"/>
    <s v="Projeto adiado / sem prazo definido"/>
    <s v="cliente ainda não decidiu"/>
    <s v=""/>
    <x v="14"/>
    <s v=""/>
    <x v="0"/>
    <s v=""/>
    <m/>
    <m/>
    <s v=""/>
    <s v=""/>
    <s v=""/>
    <s v=""/>
    <n v="1"/>
  </r>
  <r>
    <x v="1"/>
    <n v="114"/>
    <n v="161"/>
    <n v="827"/>
    <s v=""/>
    <s v=""/>
    <x v="26"/>
    <n v="2609426000172"/>
    <s v="MD Importação"/>
    <s v="Juliana"/>
    <s v="47991450725"/>
    <s v=""/>
    <s v="mdimposrtacao@gmail.com"/>
    <s v=""/>
    <s v=""/>
    <s v=""/>
    <s v="Rio do Sul"/>
    <s v="SC"/>
    <s v="Indicação"/>
    <s v=""/>
    <s v=""/>
    <s v="Guarani CLOUD"/>
    <s v="Pipeline de Vendas"/>
    <s v="Em negociação (75%)"/>
    <s v=""/>
    <m/>
    <m/>
    <m/>
    <n v="120"/>
    <s v="Paulo Souza"/>
    <d v="2024-12-01T00:00:00"/>
    <d v="1899-12-30T20:30:38"/>
    <s v=""/>
    <s v="Perdido"/>
    <d v="2025-03-31T00:00:00"/>
    <d v="1899-12-30T15:46:33"/>
    <s v="Não houve aprovação financeira"/>
    <s v="cliente esfriou após envio da proposta comercial"/>
    <s v=""/>
    <x v="10"/>
    <s v=""/>
    <x v="11"/>
    <s v=""/>
    <m/>
    <m/>
    <s v=""/>
    <s v=""/>
    <s v=""/>
    <s v=""/>
    <n v="1"/>
  </r>
  <r>
    <x v="1"/>
    <n v="116"/>
    <m/>
    <n v="847"/>
    <s v=""/>
    <s v=""/>
    <x v="27"/>
    <n v="58151616000143"/>
    <s v=""/>
    <s v="Pedro"/>
    <s v="19993040768"/>
    <s v=""/>
    <s v="pehpbroglio@gmail.com"/>
    <s v=""/>
    <s v=""/>
    <s v=""/>
    <s v="ITAJAI"/>
    <s v="SC"/>
    <s v=""/>
    <s v=""/>
    <s v=""/>
    <s v="QUENTE"/>
    <s v="Pipeline de Vendas"/>
    <s v="Em Fechamento (100%)"/>
    <s v="10x sem juros (0/30/60/90/120/150...)"/>
    <d v="2025-01-31T00:00:00"/>
    <n v="4736912"/>
    <n v="98326"/>
    <n v="53"/>
    <s v="Junior Lopes"/>
    <d v="2024-12-02T00:00:00"/>
    <d v="1899-12-30T09:35:49"/>
    <s v=""/>
    <s v="Ganho"/>
    <d v="2025-01-24T00:00:00"/>
    <d v="1899-12-30T11:23:35"/>
    <s v=""/>
    <s v=""/>
    <s v=""/>
    <x v="15"/>
    <s v="Junior Lopes"/>
    <x v="15"/>
    <s v=""/>
    <m/>
    <m/>
    <s v=""/>
    <s v=""/>
    <s v=""/>
    <s v=""/>
    <n v="1"/>
  </r>
  <r>
    <x v="1"/>
    <n v="118"/>
    <m/>
    <n v="851"/>
    <s v=""/>
    <s v=""/>
    <x v="28"/>
    <n v="64582232000188"/>
    <s v=""/>
    <s v="Edi"/>
    <s v="11981337574"/>
    <s v=""/>
    <s v="ggealdo@injeplastec.com.br"/>
    <s v=""/>
    <s v=""/>
    <s v=""/>
    <s v=""/>
    <s v=""/>
    <s v=""/>
    <s v=""/>
    <s v=""/>
    <s v=""/>
    <s v="Pipeline de Vendas"/>
    <s v="Em negociação (75%)"/>
    <s v=""/>
    <d v="2025-01-31T00:00:00"/>
    <n v="202945"/>
    <m/>
    <n v="64"/>
    <s v="Junior Lopes"/>
    <d v="2024-12-04T00:00:00"/>
    <d v="1899-12-30T11:49:15"/>
    <s v=""/>
    <s v="Perdido"/>
    <d v="2025-02-06T00:00:00"/>
    <d v="1899-12-30T15:53:07"/>
    <s v="Não quer mudar a solução atual"/>
    <s v="cliente não decidiu seguir"/>
    <s v="02/12/2024"/>
    <x v="16"/>
    <s v="Junior Lopes"/>
    <x v="16"/>
    <s v=""/>
    <m/>
    <m/>
    <s v=""/>
    <s v=""/>
    <s v=""/>
    <s v=""/>
    <n v="1"/>
  </r>
  <r>
    <x v="1"/>
    <n v="122"/>
    <m/>
    <n v="855"/>
    <s v="Após a visita realizada em 10/12/2025, foi agendada uma nova reunião para tratar de assuntos técnicos em 12/12/2025 às 14h._x000a_13:47, 27/01/2026 Fabio Porto Brasil: Boa tarde Junior_x000a_13:47, 27/01/2026 Fabio Porto Brasil: tudo certo ?_x000a_13:47, 27/01/2026 Junior Lopes: Olá ! Sou Junior Lopes, consultor comercial Guarani sistemas _x000a_Como posso te ajudar ?_x000a_13:47, 27/01/2026 Fabio Porto Brasil: Antes de mais nada (e ainda em tempo kkkk), obrigado pela mensagem. Desejo um ótimo 2026_x000a_13:47, 27/01/2026 Fabio Porto Brasil: somente alinhado o status, a PBC deve iniciar em março/26, porém vou revisitar o cronograma de aprovação com eles para podermos nos alinhar._x000a_13:53, 27/01/2026 Junior Lopes: Olá Fábio, boa tarde ! Obrigado pelo retorno _x000a_Ficamos no aguardo então ! Caso necessário pode me chamar _x000a_Abraços"/>
    <s v=""/>
    <x v="29"/>
    <n v="8520654000158"/>
    <s v=""/>
    <s v="Marina"/>
    <s v="19999128074"/>
    <s v=""/>
    <s v="marina@portobrasilceramica.com.br"/>
    <s v=""/>
    <s v=""/>
    <s v=""/>
    <s v=""/>
    <s v=""/>
    <s v="Outbound"/>
    <s v=""/>
    <s v=""/>
    <s v="80%;Fabio Indica;Guarani AFV"/>
    <s v="Pipeline de Vendas"/>
    <s v="Em Fechamento (100%)"/>
    <s v="6x sem juros (0/30/60/90/120/150...)"/>
    <d v="2026-03-31T00:00:00"/>
    <n v="4519984"/>
    <n v="522464"/>
    <n v="512"/>
    <s v="Débora Duarte"/>
    <d v="2024-12-04T00:00:00"/>
    <d v="1899-12-30T14:40:54"/>
    <s v=""/>
    <s v="Ganho"/>
    <d v="2026-04-30T00:00:00"/>
    <d v="1899-12-30T14:25:28"/>
    <s v=""/>
    <s v=""/>
    <s v="04/12/2024 00:00"/>
    <x v="17"/>
    <s v="Junior Lopes"/>
    <x v="17"/>
    <s v="30/01/2025"/>
    <d v="2026-01-27T00:00:00"/>
    <n v="80"/>
    <s v=""/>
    <s v=""/>
    <s v=""/>
    <s v=""/>
    <n v="1"/>
  </r>
  <r>
    <x v="1"/>
    <n v="125"/>
    <m/>
    <n v="860"/>
    <s v=""/>
    <s v=""/>
    <x v="30"/>
    <m/>
    <s v=""/>
    <s v="GB Importadora - Clou"/>
    <s v="19993040768"/>
    <s v=""/>
    <s v="pehpbroglio@gmail.com"/>
    <s v=""/>
    <s v=""/>
    <s v=""/>
    <s v=""/>
    <s v=""/>
    <s v=""/>
    <s v=""/>
    <s v=""/>
    <s v="QUENTE"/>
    <s v="Pipeline de Vendas"/>
    <s v="Em Fechamento (100%)"/>
    <s v=""/>
    <d v="2025-01-31T00:00:00"/>
    <n v="1600"/>
    <n v="157626"/>
    <n v="49"/>
    <s v="Junior Lopes"/>
    <d v="2024-12-06T00:00:00"/>
    <d v="1899-12-30T16:28:22"/>
    <s v=""/>
    <s v="Ganho"/>
    <d v="2025-01-24T00:00:00"/>
    <d v="1899-12-30T11:42:08"/>
    <s v=""/>
    <s v=""/>
    <s v=""/>
    <x v="15"/>
    <s v=""/>
    <x v="18"/>
    <s v=""/>
    <m/>
    <m/>
    <s v=""/>
    <s v=""/>
    <s v=""/>
    <s v=""/>
    <n v="1"/>
  </r>
  <r>
    <x v="1"/>
    <n v="127"/>
    <m/>
    <n v="981"/>
    <s v=""/>
    <s v=""/>
    <x v="31"/>
    <n v="48885921000105"/>
    <s v=""/>
    <s v="Helder"/>
    <s v="(11) 3098-7840"/>
    <s v=""/>
    <s v="helder@ssdistribuidora.com.br"/>
    <s v=""/>
    <s v=""/>
    <s v=""/>
    <s v=""/>
    <s v=""/>
    <s v="Outbound"/>
    <s v=""/>
    <s v=""/>
    <s v=""/>
    <s v="Pipeline de Vendas"/>
    <s v="Em Fechamento (100%)"/>
    <s v=""/>
    <d v="2024-12-31T00:00:00"/>
    <n v="450"/>
    <m/>
    <n v="2"/>
    <s v="Junior Lopes"/>
    <d v="2024-12-10T00:00:00"/>
    <d v="1899-12-30T10:37:47"/>
    <s v=""/>
    <s v="Ganho"/>
    <d v="2024-12-12T00:00:00"/>
    <d v="1899-12-30T16:15:01"/>
    <s v=""/>
    <s v=""/>
    <s v="03/12/2024"/>
    <x v="18"/>
    <s v="Junior Lopes"/>
    <x v="16"/>
    <s v="11/12/2024"/>
    <m/>
    <m/>
    <s v=""/>
    <s v=""/>
    <s v=""/>
    <s v=""/>
    <n v="1"/>
  </r>
  <r>
    <x v="1"/>
    <n v="130"/>
    <m/>
    <n v="987"/>
    <s v=""/>
    <s v=""/>
    <x v="32"/>
    <n v="5691820000190"/>
    <s v=""/>
    <s v="Culturama"/>
    <s v="54996596274"/>
    <s v=""/>
    <s v="vinicius.mathyas@culturama.com.br"/>
    <s v=""/>
    <s v=""/>
    <s v=""/>
    <s v="CAXIAS DO SUL"/>
    <s v="RS"/>
    <s v=""/>
    <s v=""/>
    <s v=""/>
    <s v="QUENTE"/>
    <s v="Pipeline de Vendas"/>
    <s v="Em Fechamento (100%)"/>
    <s v=""/>
    <d v="2025-01-31T00:00:00"/>
    <n v="0"/>
    <n v="3564"/>
    <n v="43"/>
    <s v="Junior Lopes"/>
    <d v="2024-12-12T00:00:00"/>
    <d v="1899-12-30T09:14:28"/>
    <s v=""/>
    <s v="Ganho"/>
    <d v="2025-01-24T00:00:00"/>
    <d v="1899-12-30T11:07:30"/>
    <s v=""/>
    <s v=""/>
    <s v="05/12/2024"/>
    <x v="19"/>
    <s v="Junior Lopes"/>
    <x v="2"/>
    <s v=""/>
    <m/>
    <m/>
    <s v=""/>
    <s v=""/>
    <s v=""/>
    <s v=""/>
    <n v="1"/>
  </r>
  <r>
    <x v="1"/>
    <n v="131"/>
    <m/>
    <n v="990"/>
    <s v=""/>
    <s v=""/>
    <x v="33"/>
    <m/>
    <s v=""/>
    <s v="Rigomal"/>
    <s v="16997486376"/>
    <s v=""/>
    <s v="junior@rigomel.com.br"/>
    <s v=""/>
    <s v=""/>
    <s v=""/>
    <s v=""/>
    <s v=""/>
    <s v=""/>
    <s v=""/>
    <s v=""/>
    <s v=""/>
    <s v="Pipeline de Vendas"/>
    <s v="Apresentar Solução (35%)"/>
    <s v=""/>
    <m/>
    <n v="37964"/>
    <m/>
    <n v="7"/>
    <s v="Junior Lopes"/>
    <d v="2024-12-12T00:00:00"/>
    <d v="1899-12-30T10:50:50"/>
    <s v=""/>
    <s v="Perdido"/>
    <d v="2024-12-19T00:00:00"/>
    <d v="1899-12-30T09:39:21"/>
    <s v="Fechou com o concorrente - preço"/>
    <s v="junior informou que vai seguir com Mercus ! indicaçãom do seu atual ERP Triplus"/>
    <s v=""/>
    <x v="20"/>
    <s v=""/>
    <x v="19"/>
    <s v="16/12/2024"/>
    <m/>
    <m/>
    <s v=""/>
    <s v=""/>
    <s v=""/>
    <s v=""/>
    <n v="1"/>
  </r>
  <r>
    <x v="1"/>
    <n v="135"/>
    <m/>
    <n v="996"/>
    <s v=""/>
    <s v=""/>
    <x v="34"/>
    <m/>
    <s v=""/>
    <s v="Viva Vidros"/>
    <s v="11988839646"/>
    <s v=""/>
    <s v="comercial@vivavidros.com.br"/>
    <s v=""/>
    <s v=""/>
    <s v=""/>
    <s v=""/>
    <s v=""/>
    <s v=""/>
    <s v=""/>
    <s v=""/>
    <s v="QUENTE"/>
    <s v="Pipeline de Vendas"/>
    <s v="Em Fechamento (100%)"/>
    <s v=""/>
    <m/>
    <n v="28832"/>
    <n v="110248"/>
    <n v="83"/>
    <s v="Junior Lopes"/>
    <d v="2024-12-12T00:00:00"/>
    <d v="1899-12-30T17:20:55"/>
    <s v=""/>
    <s v="Perdido"/>
    <d v="2025-03-05T00:00:00"/>
    <d v="1899-12-30T11:12:51"/>
    <s v="Projeto adiado / sem prazo definido"/>
    <s v="cliente com situação de pendencias financeiras"/>
    <s v=""/>
    <x v="21"/>
    <s v=""/>
    <x v="0"/>
    <s v=""/>
    <m/>
    <m/>
    <s v=""/>
    <s v=""/>
    <s v=""/>
    <s v=""/>
    <n v="1"/>
  </r>
  <r>
    <x v="1"/>
    <n v="138"/>
    <m/>
    <n v="1103"/>
    <s v=""/>
    <s v=""/>
    <x v="35"/>
    <n v="54734384000103"/>
    <s v=""/>
    <s v="Star Distribuidora"/>
    <s v="17997793113"/>
    <s v=""/>
    <s v="comercial@distribuidorastar.com.br"/>
    <s v=""/>
    <s v=""/>
    <s v=""/>
    <s v=""/>
    <s v=""/>
    <s v=""/>
    <s v=""/>
    <s v=""/>
    <s v="QUENTE"/>
    <s v="Pipeline de Vendas"/>
    <s v="Em negociação (75%)"/>
    <s v=""/>
    <m/>
    <n v="49588"/>
    <m/>
    <n v="23"/>
    <s v="Junior Lopes"/>
    <d v="2024-12-17T00:00:00"/>
    <d v="1899-12-30T12:22:38"/>
    <s v=""/>
    <s v="Perdido"/>
    <d v="2025-01-09T00:00:00"/>
    <d v="1899-12-30T15:57:21"/>
    <s v="Projeto adiado / sem prazo definido"/>
    <s v="estamos fechando solução completa"/>
    <s v=""/>
    <x v="22"/>
    <s v=""/>
    <x v="20"/>
    <s v=""/>
    <m/>
    <m/>
    <s v=""/>
    <s v=""/>
    <s v=""/>
    <s v=""/>
    <n v="1"/>
  </r>
  <r>
    <x v="1"/>
    <n v="139"/>
    <m/>
    <n v="1113"/>
    <s v=""/>
    <s v=""/>
    <x v="36"/>
    <m/>
    <s v=""/>
    <s v="DCL Editora"/>
    <s v="11991297401"/>
    <s v=""/>
    <s v="administrativo@editoradcl.com.br"/>
    <s v=""/>
    <s v=""/>
    <s v=""/>
    <s v=""/>
    <s v=""/>
    <s v=""/>
    <s v=""/>
    <s v=""/>
    <s v=""/>
    <s v="Pipeline de Vendas"/>
    <s v="Apresentar Proposta (50%)"/>
    <s v=""/>
    <d v="2025-01-31T00:00:00"/>
    <n v="168592"/>
    <n v="6426"/>
    <n v="40"/>
    <s v="Junior Lopes"/>
    <d v="2024-12-19T00:00:00"/>
    <d v="1899-12-30T09:42:19"/>
    <s v=""/>
    <s v="Perdido"/>
    <d v="2025-01-28T00:00:00"/>
    <d v="1899-12-30T14:28:25"/>
    <s v="Não houve aprovação financeira"/>
    <s v="cliente não deu sequencia em nossa negociação"/>
    <s v="12/12/2024"/>
    <x v="16"/>
    <s v=""/>
    <x v="21"/>
    <s v=""/>
    <m/>
    <m/>
    <s v=""/>
    <s v=""/>
    <s v=""/>
    <s v=""/>
    <n v="1"/>
  </r>
  <r>
    <x v="1"/>
    <n v="140"/>
    <m/>
    <n v="1114"/>
    <s v=""/>
    <s v=""/>
    <x v="37"/>
    <m/>
    <s v=""/>
    <s v="Everson"/>
    <s v="17997793113"/>
    <s v=""/>
    <s v="comercial@distribuidorastar.com.br"/>
    <s v=""/>
    <s v=""/>
    <s v=""/>
    <s v=""/>
    <s v=""/>
    <s v=""/>
    <s v=""/>
    <s v=""/>
    <s v=""/>
    <s v="Pipeline de Vendas"/>
    <s v="Em Fechamento (100%)"/>
    <s v="10x sem juros (0/30/60/90/120/150...)"/>
    <d v="2025-01-31T00:00:00"/>
    <n v="4587892"/>
    <n v="628168"/>
    <n v="36"/>
    <s v="Junior Lopes"/>
    <d v="2024-12-19T00:00:00"/>
    <d v="1899-12-30T10:01:34"/>
    <s v=""/>
    <s v="Ganho"/>
    <d v="2025-01-24T00:00:00"/>
    <d v="1899-12-30T12:26:37"/>
    <s v=""/>
    <s v=""/>
    <s v=""/>
    <x v="23"/>
    <s v=""/>
    <x v="22"/>
    <s v="09/01/2025"/>
    <m/>
    <m/>
    <s v=""/>
    <s v=""/>
    <s v=""/>
    <s v=""/>
    <n v="1"/>
  </r>
  <r>
    <x v="1"/>
    <n v="141"/>
    <n v="159"/>
    <n v="1115"/>
    <s v=""/>
    <s v=""/>
    <x v="38"/>
    <n v="43526090000161"/>
    <s v="Precisa Import"/>
    <s v="Tony"/>
    <s v="11972961489"/>
    <s v=""/>
    <s v="comercial@prorepresentacao.com.nr"/>
    <s v=""/>
    <s v=""/>
    <s v=""/>
    <s v="Barueri"/>
    <s v="SP"/>
    <s v=""/>
    <s v=""/>
    <s v=""/>
    <s v=""/>
    <s v="Pipeline de Vendas"/>
    <s v="Em Fechamento (100%)"/>
    <s v="8x sem juros (0/30/60/90/120/150...)"/>
    <d v="2025-01-31T00:00:00"/>
    <n v="1600"/>
    <n v="2500"/>
    <n v="42"/>
    <s v="Junior Lopes"/>
    <d v="2024-12-19T00:00:00"/>
    <d v="1899-12-30T14:40:15"/>
    <s v=""/>
    <s v="Ganho"/>
    <d v="2025-01-28T00:00:00"/>
    <d v="1899-12-30T16:21:11"/>
    <s v=""/>
    <s v="0"/>
    <s v="20/01/2025"/>
    <x v="24"/>
    <s v=""/>
    <x v="0"/>
    <s v=""/>
    <m/>
    <m/>
    <s v=""/>
    <s v=""/>
    <s v=""/>
    <s v=""/>
    <n v="1"/>
  </r>
  <r>
    <x v="1"/>
    <n v="142"/>
    <m/>
    <n v="1117"/>
    <s v=""/>
    <s v=""/>
    <x v="39"/>
    <m/>
    <s v=""/>
    <s v="Everson"/>
    <s v="17997793113"/>
    <s v=""/>
    <s v="comercial@distribuidorastar.com.br"/>
    <s v=""/>
    <s v=""/>
    <s v=""/>
    <s v=""/>
    <s v=""/>
    <s v=""/>
    <s v=""/>
    <s v=""/>
    <s v=""/>
    <s v="Pipeline de Vendas"/>
    <s v="Em Fechamento (100%)"/>
    <s v=""/>
    <d v="2025-01-31T00:00:00"/>
    <n v="1600"/>
    <n v="243721"/>
    <n v="35"/>
    <s v="Junior Lopes"/>
    <d v="2024-12-20T00:00:00"/>
    <d v="1899-12-30T14:30:10"/>
    <s v=""/>
    <s v="Ganho"/>
    <d v="2025-01-24T00:00:00"/>
    <d v="1899-12-30T14:02:50"/>
    <s v=""/>
    <s v=""/>
    <s v=""/>
    <x v="23"/>
    <s v=""/>
    <x v="22"/>
    <s v="09/01/2025"/>
    <m/>
    <m/>
    <s v=""/>
    <s v=""/>
    <s v=""/>
    <s v=""/>
    <n v="1"/>
  </r>
  <r>
    <x v="0"/>
    <n v="144"/>
    <m/>
    <n v="181"/>
    <s v="Me chamou no whatsapp, possível indicação."/>
    <s v=""/>
    <x v="40"/>
    <n v="27805256000122"/>
    <s v=""/>
    <s v="Jefeerson"/>
    <s v="(83) 3441-1738 / (83) 9882-5004"/>
    <s v=""/>
    <s v=""/>
    <s v=""/>
    <s v=""/>
    <s v=""/>
    <s v="CATOLE DO ROCHA"/>
    <s v="PB"/>
    <s v="Feiras"/>
    <s v=""/>
    <s v=""/>
    <s v="Abup2025Fevereiro;GELADO"/>
    <s v="Pipeline de Vendas"/>
    <s v="Em Fechamento (100%)"/>
    <s v="6x sem juros (0/30/60/90/120/150...)"/>
    <m/>
    <n v="146772"/>
    <n v="1102804"/>
    <n v="154"/>
    <s v="Paulo Souza"/>
    <d v="2025-01-07T00:00:00"/>
    <d v="1899-12-30T16:58:48"/>
    <s v=""/>
    <s v="Ganho"/>
    <d v="2025-01-29T00:00:00"/>
    <d v="1899-12-30T01:04:49"/>
    <s v=""/>
    <s v="0"/>
    <s v=""/>
    <x v="25"/>
    <s v="Paulo Souza"/>
    <x v="23"/>
    <s v=""/>
    <m/>
    <m/>
    <s v=""/>
    <s v=""/>
    <s v=""/>
    <s v=""/>
    <n v="1"/>
  </r>
  <r>
    <x v="0"/>
    <n v="145"/>
    <m/>
    <n v="12"/>
    <s v="Indústria de alumínio atualmente utiliza um ERP local, junto com o EPR do mesmo fornecedor. Porém a principal dificuldade esta no processo produtivo, que ainda não foi implantado. Por este motivo a empresa necessita de um módulo de PCP (Planejamento e controle da produção) e o AFV atual não atende as necessidades comerciais._x000a_MBA Alumínios_x000a_Com mais de 38 anos de atuação no setor de alumínios, a MBA Alumínios é uma fábrica consolidada que abrange toda a cadeia produtiva de panelas de alumínio, desde a compra de sucata, produção de discos, estamparia, pintura, montagem, até embalagem e armazenamento._x000a_A empresa adotará os seguintes produtos:_x000a_ERP + PCP: 10 usuários_x000a_Checkout (ERP): 4 usuários_x000a_AFV: 14 usuários_x000a_MDe_x000a_MDFe_x000a_Possui dois CNPJs enquadrados no Simples Nacional e está localizada na cidade de Itaúna - MG."/>
    <s v="MBA ALUMINIOS LTDA."/>
    <x v="41"/>
    <n v="22752240000185"/>
    <s v=""/>
    <s v="Selmo Fernandes"/>
    <s v="(37) 99856-9457"/>
    <s v=""/>
    <s v="selmofilho@mbaluminios.com.br"/>
    <s v=""/>
    <s v=""/>
    <s v=""/>
    <s v="ITAUNA"/>
    <s v=""/>
    <s v="Outbound"/>
    <s v=""/>
    <s v=""/>
    <s v="SDRDébora"/>
    <s v="Pipeline de Vendas"/>
    <s v="Em negociação (75%)"/>
    <s v=""/>
    <m/>
    <m/>
    <m/>
    <n v="38"/>
    <s v="Paulo Souza"/>
    <d v="2025-01-07T00:00:00"/>
    <d v="1899-12-30T17:36:41"/>
    <s v=""/>
    <s v="Perdido"/>
    <d v="2025-02-14T00:00:00"/>
    <d v="1899-12-30T15:35:32"/>
    <s v="Projeto adiado / sem prazo definido"/>
    <s v=""/>
    <s v=""/>
    <x v="0"/>
    <s v=""/>
    <x v="24"/>
    <s v=""/>
    <m/>
    <m/>
    <s v=""/>
    <s v=""/>
    <s v=""/>
    <s v=""/>
    <n v="1"/>
  </r>
  <r>
    <x v="1"/>
    <n v="148"/>
    <m/>
    <n v="270"/>
    <s v="Carlos informou que possui hoje 50 RCA, e utilizam o ERP Solides."/>
    <s v="ETRURIA INDUSTRIA DE FIBRAS E FIOS SINTETICOS LTDA"/>
    <x v="42"/>
    <n v="45723541000186"/>
    <s v=""/>
    <s v="ETRURIA"/>
    <s v="1147188700"/>
    <s v=""/>
    <s v="etruria@etruria.com.br"/>
    <s v=""/>
    <s v="ETRURIA;Carlos"/>
    <s v=""/>
    <s v="Mairinque - SP"/>
    <s v="SP"/>
    <s v="Outbound"/>
    <s v=""/>
    <s v=""/>
    <s v="Importado a partir de lista;SDRFernanda"/>
    <s v="Pipeline de Vendas"/>
    <s v="Em negociação (75%)"/>
    <s v=""/>
    <m/>
    <n v="16960"/>
    <n v="4714"/>
    <n v="72"/>
    <s v="Fernanda Santiago"/>
    <d v="2025-01-08T00:00:00"/>
    <d v="1899-12-30T11:08:30"/>
    <s v=""/>
    <s v="Perdido"/>
    <d v="2025-03-21T00:00:00"/>
    <d v="1899-12-30T10:20:05"/>
    <s v="Não quer mudar a solução atual"/>
    <s v="decidiu não mudar força de vendas nesse momento"/>
    <s v=""/>
    <x v="26"/>
    <s v="Fernanda Santiago"/>
    <x v="25"/>
    <s v="21/01/2025"/>
    <m/>
    <m/>
    <s v=""/>
    <s v=""/>
    <s v=""/>
    <s v=""/>
    <n v="1"/>
  </r>
  <r>
    <x v="1"/>
    <n v="151"/>
    <m/>
    <n v="1540"/>
    <s v=""/>
    <s v=""/>
    <x v="43"/>
    <n v="21733807000103"/>
    <s v=""/>
    <s v="News aviamentos"/>
    <s v="(11) 3229-6911"/>
    <s v=""/>
    <s v="caiotls@hotmail.com"/>
    <s v=""/>
    <s v=""/>
    <s v=""/>
    <s v="SAO PAULO"/>
    <s v="SP"/>
    <s v=""/>
    <s v=""/>
    <s v=""/>
    <s v=""/>
    <s v="Pipeline de Vendas"/>
    <s v="Em negociação (75%)"/>
    <s v=""/>
    <m/>
    <n v="4830624"/>
    <n v="384549"/>
    <n v="43"/>
    <s v="Junior Lopes"/>
    <d v="2025-01-09T00:00:00"/>
    <d v="1899-12-30T16:01:24"/>
    <s v=""/>
    <s v="Perdido"/>
    <d v="2025-02-21T00:00:00"/>
    <d v="1899-12-30T14:27:38"/>
    <s v="Não houve aprovação financeira"/>
    <s v="achou investimento fora para o momento"/>
    <s v=""/>
    <x v="26"/>
    <s v=""/>
    <x v="26"/>
    <s v="20/01/2025"/>
    <m/>
    <m/>
    <s v=""/>
    <s v=""/>
    <s v=""/>
    <s v=""/>
    <n v="1"/>
  </r>
  <r>
    <x v="0"/>
    <n v="154"/>
    <n v="177"/>
    <n v="1546"/>
    <s v=""/>
    <s v=""/>
    <x v="44"/>
    <n v="58636773000149"/>
    <s v="GLOBAL MIX ATACADISTA LTDA."/>
    <s v="Juan Charles Brandão Bastos"/>
    <s v="(32) 98458-5164"/>
    <s v=""/>
    <s v="afonso@assecon.net.br"/>
    <s v="Matriz"/>
    <s v=""/>
    <s v="R DOM LUIZ ORIONE 577"/>
    <s v="Juiz de Fora"/>
    <s v="MG"/>
    <s v="Site"/>
    <s v="Site"/>
    <s v=""/>
    <s v="GELADO;Pausado;Solicita demo"/>
    <s v="Pipeline de Vendas"/>
    <s v="Em negociação (75%)"/>
    <s v="6x sem juros (0/30/60/90/120/150...)"/>
    <m/>
    <n v="5689656"/>
    <n v="259936"/>
    <n v="151"/>
    <s v="Fernanda Santiago"/>
    <d v="2025-01-10T00:00:00"/>
    <d v="1899-12-30T12:12:42"/>
    <s v=""/>
    <s v="Perdido"/>
    <d v="2025-06-10T00:00:00"/>
    <d v="1899-12-30T14:40:29"/>
    <s v="Não quer mudar a solução atual"/>
    <s v=""/>
    <s v="10/01/2025 16:00"/>
    <x v="13"/>
    <s v="Paulo Souza"/>
    <x v="27"/>
    <s v=""/>
    <m/>
    <m/>
    <s v=""/>
    <s v=""/>
    <s v=""/>
    <s v=""/>
    <n v="1"/>
  </r>
  <r>
    <x v="0"/>
    <n v="155"/>
    <m/>
    <n v="1547"/>
    <s v=""/>
    <s v=""/>
    <x v="45"/>
    <m/>
    <s v=""/>
    <s v="Bruce"/>
    <s v="21995977179"/>
    <s v=""/>
    <s v="null"/>
    <s v=""/>
    <s v=""/>
    <s v=""/>
    <s v=""/>
    <s v=""/>
    <s v=""/>
    <s v=""/>
    <s v=""/>
    <s v=""/>
    <s v="Pipeline de Vendas"/>
    <s v="Apresentar Solução (35%)"/>
    <s v=""/>
    <m/>
    <m/>
    <m/>
    <n v="18"/>
    <s v="Paulo Souza"/>
    <d v="2025-01-10T00:00:00"/>
    <d v="1899-12-30T14:48:28"/>
    <s v=""/>
    <s v="Perdido"/>
    <d v="2025-01-28T00:00:00"/>
    <d v="1899-12-30T16:53:34"/>
    <s v="Projeto adiado / sem prazo definido"/>
    <s v="Rayssa, está tratando no funil de pós-venda"/>
    <s v=""/>
    <x v="27"/>
    <s v="Paulo Souza"/>
    <x v="28"/>
    <s v=""/>
    <m/>
    <m/>
    <s v=""/>
    <s v=""/>
    <s v=""/>
    <s v=""/>
    <n v="1"/>
  </r>
  <r>
    <x v="0"/>
    <n v="164"/>
    <m/>
    <n v="1582"/>
    <s v=""/>
    <s v=""/>
    <x v="46"/>
    <n v="2675142000184"/>
    <s v=""/>
    <s v="Thiago"/>
    <s v="(11) 98534-8231"/>
    <s v=""/>
    <s v="thiago.ramos@sltexpress.com.br"/>
    <s v=""/>
    <s v=""/>
    <s v=""/>
    <s v="São Paulo"/>
    <s v=""/>
    <s v="Site"/>
    <s v=""/>
    <s v=""/>
    <s v="Contato;QUENTE"/>
    <s v="Pipeline de Vendas"/>
    <s v="Em negociação (75%)"/>
    <s v=""/>
    <m/>
    <m/>
    <m/>
    <n v="65"/>
    <s v="Fernanda Santiago"/>
    <d v="2025-01-15T00:00:00"/>
    <d v="1899-12-30T17:35:14"/>
    <s v=""/>
    <s v="Perdido"/>
    <d v="2025-03-21T00:00:00"/>
    <d v="1899-12-30T14:37:57"/>
    <s v="Fora do segmento atendido"/>
    <s v=""/>
    <s v="15/01/2025 17:00"/>
    <x v="13"/>
    <s v="Fernanda Santiago"/>
    <x v="29"/>
    <s v=""/>
    <m/>
    <m/>
    <s v=""/>
    <s v=""/>
    <s v=""/>
    <s v=""/>
    <n v="1"/>
  </r>
  <r>
    <x v="1"/>
    <n v="166"/>
    <m/>
    <n v="745"/>
    <s v=""/>
    <s v="VERSIVA COMERCIAL VERSIVA DISTRIBUIDORA"/>
    <x v="47"/>
    <n v="48314771000180"/>
    <s v=""/>
    <s v="Gilberto"/>
    <s v="11984587496"/>
    <s v=""/>
    <s v="gilberto.brito@quantiva.com.br"/>
    <s v=""/>
    <s v="Gilberto;null"/>
    <s v=""/>
    <s v=""/>
    <s v=""/>
    <s v=""/>
    <s v=""/>
    <s v=""/>
    <s v="SDRFernanda;TAG1SEM"/>
    <s v="Pipeline de Vendas"/>
    <s v="Apresentar Solução (35%)"/>
    <s v=""/>
    <m/>
    <m/>
    <m/>
    <n v="36"/>
    <s v="Fernanda Santiago"/>
    <d v="2025-01-16T00:00:00"/>
    <d v="1899-12-30T11:04:39"/>
    <s v=""/>
    <s v="Perdido"/>
    <d v="2025-02-21T00:00:00"/>
    <d v="1899-12-30T12:11:57"/>
    <s v="Projeto adiado / sem prazo definido"/>
    <s v="cliente não tem tempo para apresentação"/>
    <s v="16/01/2025 11:00"/>
    <x v="0"/>
    <s v="Fernanda Santiago"/>
    <x v="30"/>
    <s v=""/>
    <m/>
    <m/>
    <s v=""/>
    <s v=""/>
    <s v=""/>
    <s v=""/>
    <n v="1"/>
  </r>
  <r>
    <x v="0"/>
    <n v="167"/>
    <m/>
    <n v="1599"/>
    <s v=""/>
    <s v=""/>
    <x v="48"/>
    <m/>
    <s v=""/>
    <s v="Felipe"/>
    <s v="11975126999"/>
    <s v=""/>
    <s v="null"/>
    <s v=""/>
    <s v=""/>
    <s v=""/>
    <s v=""/>
    <s v=""/>
    <s v="Indicação"/>
    <s v=""/>
    <s v=""/>
    <s v="GELADO"/>
    <s v="Pipeline de Vendas"/>
    <s v="Em negociação (75%)"/>
    <s v="6x sem juros (0/30/60/90/120/150...)"/>
    <d v="2025-05-31T00:00:00"/>
    <n v="46000"/>
    <n v="308546"/>
    <n v="82"/>
    <s v="Paulo Souza"/>
    <d v="2025-01-16T00:00:00"/>
    <d v="1899-12-30T14:02:22"/>
    <s v=""/>
    <s v="Perdido"/>
    <d v="2025-04-08T00:00:00"/>
    <d v="1899-12-30T09:30:31"/>
    <s v="Não quer mudar a solução atual"/>
    <s v=""/>
    <s v=""/>
    <x v="28"/>
    <s v="Paulo Souza"/>
    <x v="31"/>
    <s v=""/>
    <m/>
    <m/>
    <s v=""/>
    <s v=""/>
    <s v=""/>
    <s v=""/>
    <n v="1"/>
  </r>
  <r>
    <x v="1"/>
    <n v="169"/>
    <m/>
    <n v="735"/>
    <s v=""/>
    <s v="ECOLIMP DISTRIBUIDORA ATACADISTA DE PRODUTOS DE HIGIENE - EIRELI"/>
    <x v="49"/>
    <n v="16941656000149"/>
    <s v=""/>
    <s v="Ecolimp Distribuidora"/>
    <s v="11956368569"/>
    <s v=""/>
    <s v="adrianarosa@ecolimpatacadista.com.br"/>
    <s v=""/>
    <s v="Ecolimp Distribuidora;null, Adriana"/>
    <s v=""/>
    <s v=""/>
    <s v=""/>
    <s v=""/>
    <s v=""/>
    <s v=""/>
    <s v=""/>
    <s v="Pipeline de Vendas"/>
    <s v="Apresentar Proposta (50%)"/>
    <s v=""/>
    <m/>
    <n v="16700"/>
    <n v="18186"/>
    <n v="6"/>
    <s v="Fernanda Santiago"/>
    <d v="2025-01-16T00:00:00"/>
    <d v="1899-12-30T17:13:16"/>
    <s v=""/>
    <s v="Perdido"/>
    <d v="2025-01-22T00:00:00"/>
    <d v="1899-12-30T12:12:09"/>
    <s v="Projeto adiado / sem prazo definido"/>
    <s v="pediu para retornar no futuro"/>
    <s v="16/01/2025 17:00"/>
    <x v="29"/>
    <s v="Fernanda Santiago"/>
    <x v="32"/>
    <s v=""/>
    <m/>
    <m/>
    <s v=""/>
    <s v=""/>
    <s v=""/>
    <s v=""/>
    <n v="1"/>
  </r>
  <r>
    <x v="1"/>
    <n v="174"/>
    <m/>
    <n v="734"/>
    <s v=""/>
    <s v="DISTRIBUIDORA CHAMPION LIMITADA"/>
    <x v="50"/>
    <n v="66559436000123"/>
    <s v=""/>
    <s v="Distribuidora Champion"/>
    <s v="1155237947"/>
    <s v=""/>
    <s v="andre@distribuidorachampion.com.br"/>
    <s v=""/>
    <s v="Distribuidora Champion;null"/>
    <s v=""/>
    <s v=""/>
    <s v=""/>
    <s v=""/>
    <s v=""/>
    <s v=""/>
    <s v=""/>
    <s v="Pipeline de Vendas"/>
    <s v="Agendamento (0%)"/>
    <s v=""/>
    <m/>
    <m/>
    <m/>
    <n v="31"/>
    <s v="Fernanda Santiago"/>
    <d v="2025-01-21T00:00:00"/>
    <d v="1899-12-30T10:39:04"/>
    <s v=""/>
    <s v="Perdido"/>
    <d v="2025-02-21T00:00:00"/>
    <d v="1899-12-30T10:55:19"/>
    <s v="Projeto adiado / sem prazo definido"/>
    <s v="sem resposta do cliente"/>
    <s v="21/01/2025 10:37"/>
    <x v="0"/>
    <s v="Fernanda Santiago"/>
    <x v="33"/>
    <s v=""/>
    <m/>
    <m/>
    <s v=""/>
    <s v=""/>
    <s v=""/>
    <s v=""/>
    <n v="1"/>
  </r>
  <r>
    <x v="1"/>
    <n v="178"/>
    <m/>
    <n v="1619"/>
    <s v=""/>
    <s v=""/>
    <x v="51"/>
    <n v="2306559000331"/>
    <s v=""/>
    <s v="Royal Toys"/>
    <s v="44999065000"/>
    <s v=""/>
    <s v="ney@royaltoys.com.br"/>
    <s v=""/>
    <s v=""/>
    <s v=""/>
    <s v=""/>
    <s v=""/>
    <s v=""/>
    <s v=""/>
    <s v=""/>
    <s v=""/>
    <s v="Pipeline de Vendas"/>
    <s v="Em negociação (75%)"/>
    <s v="6x sem juros (0/30/60/90/120/150...)"/>
    <m/>
    <n v="11520"/>
    <n v="14114"/>
    <n v="30"/>
    <s v="Junior Lopes"/>
    <d v="2025-01-22T00:00:00"/>
    <d v="1899-12-30T12:15:34"/>
    <s v=""/>
    <s v="Perdido"/>
    <d v="2025-02-21T00:00:00"/>
    <d v="1899-12-30T12:14:01"/>
    <s v="Fechou com o concorrente - preço"/>
    <s v="fechou com Mercus"/>
    <s v=""/>
    <x v="29"/>
    <s v=""/>
    <x v="34"/>
    <s v=""/>
    <m/>
    <m/>
    <s v=""/>
    <s v=""/>
    <s v=""/>
    <s v=""/>
    <n v="1"/>
  </r>
  <r>
    <x v="1"/>
    <n v="179"/>
    <m/>
    <n v="1621"/>
    <s v=""/>
    <s v=""/>
    <x v="52"/>
    <m/>
    <s v=""/>
    <s v="Atacado Junior"/>
    <s v="65984636358"/>
    <s v=""/>
    <s v="atacadojunior@uol.com.br"/>
    <s v=""/>
    <s v=""/>
    <s v=""/>
    <s v=""/>
    <s v=""/>
    <s v=""/>
    <s v=""/>
    <s v=""/>
    <s v=""/>
    <s v="Pipeline de Vendas"/>
    <s v="Apresentar Proposta (50%)"/>
    <s v="6x sem juros (0/30/60/90/120/150...)"/>
    <m/>
    <n v="61056"/>
    <n v="625045"/>
    <n v="14"/>
    <s v="Junior Lopes"/>
    <d v="2025-01-23T00:00:00"/>
    <d v="1899-12-30T09:32:50"/>
    <s v=""/>
    <s v="Perdido"/>
    <d v="2025-02-06T00:00:00"/>
    <d v="1899-12-30T16:03:00"/>
    <s v="Preço muito alto - fora do budget de investimento"/>
    <s v="valor alto para investimento"/>
    <s v=""/>
    <x v="30"/>
    <s v=""/>
    <x v="35"/>
    <s v="27/01/2025"/>
    <m/>
    <m/>
    <s v=""/>
    <s v=""/>
    <s v=""/>
    <s v=""/>
    <n v="1"/>
  </r>
  <r>
    <x v="1"/>
    <n v="183"/>
    <m/>
    <n v="1631"/>
    <s v=""/>
    <s v=""/>
    <x v="53"/>
    <m/>
    <s v=""/>
    <s v="Multiflon"/>
    <s v="54981117994"/>
    <s v=""/>
    <s v="cesar@multiflon.com.br"/>
    <s v=""/>
    <s v=""/>
    <s v=""/>
    <s v=""/>
    <s v=""/>
    <s v="Feiras"/>
    <s v=""/>
    <s v=""/>
    <s v=""/>
    <s v="Pipeline de Vendas"/>
    <s v="Em Fechamento (100%)"/>
    <s v="6x sem juros (0/30/60/90/120/150...)"/>
    <m/>
    <n v="16960"/>
    <n v="863104"/>
    <n v="103"/>
    <s v="Junior Lopes"/>
    <d v="2025-01-24T00:00:00"/>
    <d v="1899-12-30T10:40:09"/>
    <s v=""/>
    <s v="Ganho"/>
    <d v="2025-05-07T00:00:00"/>
    <d v="1899-12-30T08:53:35"/>
    <s v=""/>
    <s v=""/>
    <s v=""/>
    <x v="31"/>
    <s v=""/>
    <x v="35"/>
    <s v=""/>
    <m/>
    <m/>
    <s v=""/>
    <s v=""/>
    <s v=""/>
    <s v=""/>
    <n v="1"/>
  </r>
  <r>
    <x v="1"/>
    <n v="187"/>
    <m/>
    <n v="1642"/>
    <s v=""/>
    <s v=""/>
    <x v="54"/>
    <m/>
    <s v=""/>
    <s v="Metalmix tanque"/>
    <s v="16997631389"/>
    <s v=""/>
    <s v="metalmix.ibate@hotmail.com"/>
    <s v=""/>
    <s v=""/>
    <s v=""/>
    <s v=""/>
    <s v=""/>
    <s v=""/>
    <s v=""/>
    <s v=""/>
    <s v=""/>
    <s v="Pipeline de Vendas"/>
    <s v="Apresentar Solução (35%)"/>
    <s v=""/>
    <m/>
    <m/>
    <m/>
    <n v="49"/>
    <s v="Junior Lopes"/>
    <d v="2025-01-27T00:00:00"/>
    <d v="1899-12-30T14:53:37"/>
    <s v=""/>
    <s v="Perdido"/>
    <d v="2025-03-17T00:00:00"/>
    <d v="1899-12-30T09:55:20"/>
    <s v="Projeto adiado / sem prazo definido"/>
    <s v="Cliente fora do segmento"/>
    <s v=""/>
    <x v="0"/>
    <s v=""/>
    <x v="36"/>
    <s v=""/>
    <m/>
    <m/>
    <s v=""/>
    <s v=""/>
    <s v=""/>
    <s v=""/>
    <n v="1"/>
  </r>
  <r>
    <x v="1"/>
    <n v="188"/>
    <m/>
    <n v="1643"/>
    <s v=""/>
    <s v=""/>
    <x v="55"/>
    <m/>
    <s v=""/>
    <s v="C.a Teles Armarinhos E Papelaria Ltda"/>
    <s v="11999279928"/>
    <s v=""/>
    <s v="caiotls@hotmail.com"/>
    <s v=""/>
    <s v=""/>
    <s v=""/>
    <s v=""/>
    <s v=""/>
    <s v=""/>
    <s v=""/>
    <s v=""/>
    <s v=""/>
    <s v="Pipeline de Vendas"/>
    <s v="Em negociação (75%)"/>
    <s v=""/>
    <m/>
    <n v="1600"/>
    <n v="314528"/>
    <n v="25"/>
    <s v="Junior Lopes"/>
    <d v="2025-01-27T00:00:00"/>
    <d v="1899-12-30T15:48:35"/>
    <s v=""/>
    <s v="Perdido"/>
    <d v="2025-02-21T00:00:00"/>
    <d v="1899-12-30T14:28:44"/>
    <s v="Não houve aprovação financeira"/>
    <s v=""/>
    <s v=""/>
    <x v="29"/>
    <s v=""/>
    <x v="26"/>
    <s v=""/>
    <m/>
    <m/>
    <s v=""/>
    <s v=""/>
    <s v=""/>
    <s v=""/>
    <n v="1"/>
  </r>
  <r>
    <x v="1"/>
    <n v="191"/>
    <m/>
    <n v="1651"/>
    <s v=""/>
    <s v=""/>
    <x v="56"/>
    <m/>
    <s v=""/>
    <s v="Atacado Junior"/>
    <s v="65984636358"/>
    <s v=""/>
    <s v="atacadojunior@uol.com.br"/>
    <s v=""/>
    <s v=""/>
    <s v=""/>
    <s v=""/>
    <s v=""/>
    <s v=""/>
    <s v=""/>
    <s v=""/>
    <s v=""/>
    <s v="Pipeline de Vendas"/>
    <s v="Apresentar Proposta (50%)"/>
    <s v=""/>
    <m/>
    <n v="1600"/>
    <n v="4063"/>
    <n v="9"/>
    <s v="Junior Lopes"/>
    <d v="2025-01-28T00:00:00"/>
    <d v="1899-12-30T15:02:42"/>
    <s v=""/>
    <s v="Perdido"/>
    <d v="2025-02-06T00:00:00"/>
    <d v="1899-12-30T16:04:47"/>
    <s v="Preço muito alto - fora do budget de investimento"/>
    <s v="valor alto para investimento"/>
    <s v=""/>
    <x v="0"/>
    <s v=""/>
    <x v="0"/>
    <s v=""/>
    <m/>
    <m/>
    <s v=""/>
    <s v=""/>
    <s v=""/>
    <s v=""/>
    <n v="1"/>
  </r>
  <r>
    <x v="0"/>
    <n v="193"/>
    <m/>
    <n v="1608"/>
    <s v=""/>
    <s v=""/>
    <x v="57"/>
    <n v="2142286000175"/>
    <s v=""/>
    <s v="giovanna sesso"/>
    <s v="(11) 3777-2416"/>
    <s v=""/>
    <s v="giovanna@bolplast.com.br"/>
    <s v=""/>
    <s v=""/>
    <s v=""/>
    <s v="São Paulo"/>
    <s v=""/>
    <s v="Site"/>
    <s v=""/>
    <s v=""/>
    <s v="Solicita demo"/>
    <s v="Pipeline de Vendas"/>
    <s v="Em negociação (75%)"/>
    <s v=""/>
    <m/>
    <m/>
    <m/>
    <n v="9"/>
    <s v="Paulo Souza"/>
    <d v="2025-01-28T00:00:00"/>
    <d v="1899-12-30T16:45:54"/>
    <s v=""/>
    <s v="Perdido"/>
    <d v="2025-02-06T00:00:00"/>
    <d v="1899-12-30T17:27:05"/>
    <s v="Preço muito alto - fora do budget de investimento"/>
    <s v=""/>
    <s v=""/>
    <x v="32"/>
    <s v=""/>
    <x v="37"/>
    <s v=""/>
    <m/>
    <m/>
    <s v=""/>
    <s v=""/>
    <s v=""/>
    <s v=""/>
    <n v="1"/>
  </r>
  <r>
    <x v="0"/>
    <n v="195"/>
    <m/>
    <n v="1603"/>
    <s v=""/>
    <s v=""/>
    <x v="58"/>
    <m/>
    <s v=""/>
    <s v="Stanley Neves"/>
    <s v="(16) 99788-8387"/>
    <s v=""/>
    <s v="null"/>
    <s v=""/>
    <s v=""/>
    <s v=""/>
    <s v=""/>
    <s v=""/>
    <s v="Inbound"/>
    <s v=""/>
    <s v=""/>
    <s v=""/>
    <s v="Pipeline de Vendas"/>
    <s v="Em negociação (75%)"/>
    <s v=""/>
    <m/>
    <m/>
    <m/>
    <n v="9"/>
    <s v="Paulo Souza"/>
    <d v="2025-01-28T00:00:00"/>
    <d v="1899-12-30T17:10:34"/>
    <s v=""/>
    <s v="Perdido"/>
    <d v="2025-02-06T00:00:00"/>
    <d v="1899-12-30T17:32:16"/>
    <s v="Não quer mudar a solução atual"/>
    <s v=""/>
    <s v=""/>
    <x v="32"/>
    <s v=""/>
    <x v="37"/>
    <s v=""/>
    <m/>
    <m/>
    <s v=""/>
    <s v=""/>
    <s v=""/>
    <s v=""/>
    <n v="1"/>
  </r>
  <r>
    <x v="0"/>
    <n v="196"/>
    <m/>
    <n v="1596"/>
    <s v=""/>
    <s v="Vigi Ltda"/>
    <x v="59"/>
    <n v="56884678000139"/>
    <s v=""/>
    <s v="Vinicius Oliveira"/>
    <s v="(19) 98275-0709"/>
    <s v=""/>
    <s v="societario@gmcontabil.com.br"/>
    <s v=""/>
    <s v=""/>
    <s v=""/>
    <s v="CAMPINAS"/>
    <s v="SP"/>
    <s v="Inbound"/>
    <s v=""/>
    <s v=""/>
    <s v="Contato"/>
    <s v="Pipeline de Vendas"/>
    <s v="Em negociação (75%)"/>
    <s v=""/>
    <m/>
    <m/>
    <m/>
    <n v="1"/>
    <s v="Paulo Souza"/>
    <d v="2025-01-28T00:00:00"/>
    <d v="1899-12-30T17:12:05"/>
    <s v=""/>
    <s v="Perdido"/>
    <d v="2025-01-29T00:00:00"/>
    <d v="1899-12-30T01:00:16"/>
    <s v="Preço muito alto - fora do budget de investimento"/>
    <s v=""/>
    <s v=""/>
    <x v="32"/>
    <s v="Paulo Souza"/>
    <x v="37"/>
    <s v=""/>
    <m/>
    <m/>
    <s v=""/>
    <s v=""/>
    <s v=""/>
    <s v=""/>
    <n v="1"/>
  </r>
  <r>
    <x v="0"/>
    <n v="197"/>
    <m/>
    <n v="1598"/>
    <s v=""/>
    <s v=""/>
    <x v="60"/>
    <m/>
    <s v=""/>
    <s v="Isaias"/>
    <s v="(15) 99747-1187"/>
    <s v=""/>
    <s v="null"/>
    <s v=""/>
    <s v=""/>
    <s v=""/>
    <s v=""/>
    <s v=""/>
    <s v="Inbound"/>
    <s v=""/>
    <s v=""/>
    <s v="Contato"/>
    <s v="Pipeline de Vendas"/>
    <s v="Em negociação (75%)"/>
    <s v=""/>
    <m/>
    <m/>
    <m/>
    <n v="1"/>
    <s v="Paulo Souza"/>
    <d v="2025-01-28T00:00:00"/>
    <d v="1899-12-30T17:12:39"/>
    <s v=""/>
    <s v="Perdido"/>
    <d v="2025-01-29T00:00:00"/>
    <d v="1899-12-30T01:02:09"/>
    <s v="Preço muito alto - fora do budget de investimento"/>
    <s v=""/>
    <s v=""/>
    <x v="32"/>
    <s v=""/>
    <x v="37"/>
    <s v=""/>
    <m/>
    <m/>
    <s v=""/>
    <s v=""/>
    <s v=""/>
    <s v=""/>
    <n v="1"/>
  </r>
  <r>
    <x v="0"/>
    <n v="198"/>
    <m/>
    <n v="1600"/>
    <s v=""/>
    <s v=""/>
    <x v="61"/>
    <m/>
    <s v=""/>
    <s v="pz presentes"/>
    <s v="(31) 99735-8058"/>
    <s v=""/>
    <s v="administrativo@tempori.com.br"/>
    <s v=""/>
    <s v=""/>
    <s v=""/>
    <s v="Belo Horizonte"/>
    <s v=""/>
    <s v="Site"/>
    <s v=""/>
    <s v=""/>
    <s v="Contato"/>
    <s v="Pipeline de Vendas"/>
    <s v="Em negociação (75%)"/>
    <s v=""/>
    <m/>
    <m/>
    <m/>
    <n v="1"/>
    <s v="Paulo Souza"/>
    <d v="2025-01-28T00:00:00"/>
    <d v="1899-12-30T17:13:17"/>
    <s v=""/>
    <s v="Perdido"/>
    <d v="2025-01-29T00:00:00"/>
    <d v="1899-12-30T01:05:46"/>
    <s v="Preço muito alto - fora do budget de investimento"/>
    <s v=""/>
    <s v=""/>
    <x v="32"/>
    <s v=""/>
    <x v="37"/>
    <s v=""/>
    <m/>
    <m/>
    <s v=""/>
    <s v=""/>
    <s v=""/>
    <s v=""/>
    <n v="1"/>
  </r>
  <r>
    <x v="0"/>
    <n v="199"/>
    <m/>
    <n v="1623"/>
    <s v="Todos os dados preenchidos:_x000a_name: Eliedson Alves _x000a_phone: 81988636626 _x000a_email: eliedsonrepresentante@gmail.com _x000a_referrer: https://www.guaranisistemas.com.br/"/>
    <s v=""/>
    <x v="62"/>
    <m/>
    <s v=""/>
    <s v="Eliedson Alves"/>
    <s v="81988636626"/>
    <s v=""/>
    <s v="eliedsonrepresentante@gmail.com"/>
    <s v=""/>
    <s v=""/>
    <s v=""/>
    <s v="Recife"/>
    <s v=""/>
    <s v="Feiras"/>
    <s v=""/>
    <s v=""/>
    <s v="Feiras"/>
    <s v="Pipeline de Vendas"/>
    <s v="Em negociação (75%)"/>
    <s v=""/>
    <m/>
    <m/>
    <m/>
    <n v="9"/>
    <s v="Paulo Souza"/>
    <d v="2025-01-28T00:00:00"/>
    <d v="1899-12-30T17:14:04"/>
    <s v=""/>
    <s v="Perdido"/>
    <d v="2025-02-06T00:00:00"/>
    <d v="1899-12-30T17:40:07"/>
    <s v="Preço muito alto - fora do budget de investimento"/>
    <s v=""/>
    <s v=""/>
    <x v="32"/>
    <s v=""/>
    <x v="0"/>
    <s v="28/01/2025 00:00"/>
    <m/>
    <m/>
    <s v=""/>
    <s v=""/>
    <s v=""/>
    <s v=""/>
    <n v="1"/>
  </r>
  <r>
    <x v="1"/>
    <n v="200"/>
    <m/>
    <n v="1660"/>
    <s v=""/>
    <s v=""/>
    <x v="63"/>
    <m/>
    <s v=""/>
    <s v="Alumínio Higsberg"/>
    <s v="1935513873"/>
    <s v=""/>
    <s v="adm@aluminiohigsberg.com.br"/>
    <s v=""/>
    <s v=""/>
    <s v=""/>
    <s v=""/>
    <s v=""/>
    <s v=""/>
    <s v=""/>
    <s v=""/>
    <s v=""/>
    <s v="Pipeline de Vendas"/>
    <s v="Qualificação de Vendas (SQL) (25%)"/>
    <s v=""/>
    <m/>
    <m/>
    <m/>
    <n v="51"/>
    <s v="Junior Lopes"/>
    <d v="2025-01-29T00:00:00"/>
    <d v="1899-12-30T09:30:56"/>
    <s v=""/>
    <s v="Perdido"/>
    <d v="2025-03-21T00:00:00"/>
    <d v="1899-12-30T14:43:11"/>
    <s v="Não quer mudar a solução atual"/>
    <s v="cliente não respondeu mais aos contatos"/>
    <s v=""/>
    <x v="0"/>
    <s v=""/>
    <x v="38"/>
    <s v=""/>
    <m/>
    <m/>
    <s v=""/>
    <s v=""/>
    <s v=""/>
    <s v=""/>
    <n v="1"/>
  </r>
  <r>
    <x v="0"/>
    <n v="201"/>
    <m/>
    <n v="198"/>
    <s v=""/>
    <s v="REGIS PECLAT BASTOS"/>
    <x v="64"/>
    <n v="13474916000125"/>
    <s v=""/>
    <s v="REGIS"/>
    <s v="13997252966"/>
    <s v=""/>
    <s v="VR_DISTRIBUIDORA@YAHOO.COM.BR"/>
    <s v=""/>
    <s v="REGIS;REGIS, Roni"/>
    <s v=""/>
    <s v="JACUPIRANGA"/>
    <s v="SP"/>
    <s v="Outbound"/>
    <s v=""/>
    <s v=""/>
    <s v="Importado a partir de lista;TAG1SEM"/>
    <s v="Pipeline de Vendas"/>
    <s v="Apresentar Solução (35%)"/>
    <s v=""/>
    <m/>
    <m/>
    <m/>
    <n v="8"/>
    <s v="Fernanda Santiago"/>
    <d v="2025-01-29T00:00:00"/>
    <d v="1899-12-30T11:59:53"/>
    <s v=""/>
    <s v="Perdido"/>
    <d v="2025-02-06T00:00:00"/>
    <d v="1899-12-30T13:53:38"/>
    <s v="Fora do porte mínimo (sem fit estrutural)"/>
    <s v=""/>
    <s v="29/01/2025 11:58"/>
    <x v="0"/>
    <s v="Fernanda Santiago"/>
    <x v="39"/>
    <s v=""/>
    <m/>
    <m/>
    <s v=""/>
    <s v=""/>
    <s v=""/>
    <s v=""/>
    <n v="1"/>
  </r>
  <r>
    <x v="1"/>
    <n v="202"/>
    <m/>
    <n v="1665"/>
    <s v=""/>
    <s v=""/>
    <x v="65"/>
    <m/>
    <s v=""/>
    <s v="Viva Vidros"/>
    <s v="11988839646"/>
    <s v=""/>
    <s v="comercial@vivavidros.com.br"/>
    <s v=""/>
    <s v=""/>
    <s v=""/>
    <s v=""/>
    <s v=""/>
    <s v=""/>
    <s v=""/>
    <s v=""/>
    <s v=""/>
    <s v="Pipeline de Vendas"/>
    <s v="Em Fechamento (100%)"/>
    <s v=""/>
    <m/>
    <n v="1600"/>
    <n v="1824"/>
    <n v="34"/>
    <s v="Junior Lopes"/>
    <d v="2025-01-30T00:00:00"/>
    <d v="1899-12-30T09:58:14"/>
    <s v=""/>
    <s v="Perdido"/>
    <d v="2025-03-05T00:00:00"/>
    <d v="1899-12-30T11:11:54"/>
    <s v="Projeto adiado / sem prazo definido"/>
    <s v="cliente com situação de pendencias financeiras"/>
    <s v=""/>
    <x v="21"/>
    <s v=""/>
    <x v="0"/>
    <s v=""/>
    <m/>
    <m/>
    <s v=""/>
    <s v=""/>
    <s v=""/>
    <s v=""/>
    <n v="1"/>
  </r>
  <r>
    <x v="1"/>
    <n v="203"/>
    <m/>
    <n v="1666"/>
    <s v=""/>
    <s v=""/>
    <x v="66"/>
    <m/>
    <s v=""/>
    <s v="Stamaco"/>
    <s v="11967327458"/>
    <s v=""/>
    <s v="felipe@stamaco.com.br"/>
    <s v=""/>
    <s v=""/>
    <s v=""/>
    <s v=""/>
    <s v=""/>
    <s v=""/>
    <s v=""/>
    <s v=""/>
    <s v=""/>
    <s v="Pipeline de Vendas"/>
    <s v="Apresentar Solução (35%)"/>
    <s v=""/>
    <m/>
    <m/>
    <m/>
    <n v="22"/>
    <s v="Junior Lopes"/>
    <d v="2025-01-30T00:00:00"/>
    <d v="1899-12-30T10:59:59"/>
    <s v=""/>
    <s v="Perdido"/>
    <d v="2025-02-21T00:00:00"/>
    <d v="1899-12-30T12:09:49"/>
    <s v="Não quer mudar a solução atual"/>
    <s v="Aguardará Retaguarda Web"/>
    <s v=""/>
    <x v="0"/>
    <s v=""/>
    <x v="40"/>
    <s v=""/>
    <m/>
    <m/>
    <s v=""/>
    <s v=""/>
    <s v=""/>
    <s v=""/>
    <n v="1"/>
  </r>
  <r>
    <x v="1"/>
    <n v="204"/>
    <m/>
    <n v="1669"/>
    <s v=""/>
    <s v=""/>
    <x v="67"/>
    <m/>
    <s v=""/>
    <s v="Fabio"/>
    <s v="47988469270"/>
    <s v=""/>
    <s v="Fabio@atacadoelmo.com.br"/>
    <s v=""/>
    <s v=""/>
    <s v=""/>
    <s v=""/>
    <s v=""/>
    <s v=""/>
    <s v=""/>
    <s v=""/>
    <s v=""/>
    <s v="Pipeline de Vendas"/>
    <s v="Agendamento (0%)"/>
    <s v=""/>
    <m/>
    <n v="837998"/>
    <n v="516364"/>
    <n v="0"/>
    <s v="Paulo Souza"/>
    <d v="2025-02-01T00:00:00"/>
    <d v="1899-12-30T01:46:53"/>
    <s v=""/>
    <s v="Ganho"/>
    <d v="2025-02-01T00:00:00"/>
    <d v="1899-12-30T03:23:37"/>
    <s v=""/>
    <s v=""/>
    <s v=""/>
    <x v="0"/>
    <s v=""/>
    <x v="0"/>
    <s v=""/>
    <m/>
    <m/>
    <s v=""/>
    <s v=""/>
    <s v=""/>
    <s v=""/>
    <n v="1"/>
  </r>
  <r>
    <x v="0"/>
    <n v="205"/>
    <m/>
    <n v="1670"/>
    <s v=""/>
    <s v=""/>
    <x v="68"/>
    <m/>
    <s v=""/>
    <s v="Alexandre"/>
    <s v="75999540838"/>
    <s v=""/>
    <s v="terraboaespeciarias@hotmail.com"/>
    <s v=""/>
    <s v=""/>
    <s v=""/>
    <s v=""/>
    <s v=""/>
    <s v=""/>
    <s v=""/>
    <s v=""/>
    <s v=""/>
    <s v="Pipeline de Vendas"/>
    <s v="Em Fechamento (100%)"/>
    <s v=""/>
    <m/>
    <n v="299984"/>
    <n v="0"/>
    <n v="0"/>
    <s v="Paulo Souza"/>
    <d v="2025-02-01T00:00:00"/>
    <d v="1899-12-30T02:11:10"/>
    <s v=""/>
    <s v="Ganho"/>
    <d v="2025-02-01T00:00:00"/>
    <d v="1899-12-30T02:22:51"/>
    <s v=""/>
    <s v=""/>
    <s v=""/>
    <x v="6"/>
    <s v="Paulo Souza"/>
    <x v="41"/>
    <s v=""/>
    <m/>
    <m/>
    <s v=""/>
    <s v=""/>
    <s v=""/>
    <s v=""/>
    <n v="1"/>
  </r>
  <r>
    <x v="0"/>
    <n v="206"/>
    <m/>
    <n v="1671"/>
    <s v=""/>
    <s v=""/>
    <x v="69"/>
    <m/>
    <s v=""/>
    <s v="Helvecio"/>
    <s v="55479993859"/>
    <s v=""/>
    <s v="Helvecio.Deitos@newellco.com"/>
    <s v=""/>
    <s v=""/>
    <s v=""/>
    <s v=""/>
    <s v=""/>
    <s v=""/>
    <s v=""/>
    <s v=""/>
    <s v=""/>
    <s v="Pipeline de Vendas"/>
    <s v="Em Fechamento (100%)"/>
    <s v=""/>
    <m/>
    <n v="1936"/>
    <n v="0"/>
    <n v="0"/>
    <s v="Paulo Souza"/>
    <d v="2025-02-01T00:00:00"/>
    <d v="1899-12-30T02:12:42"/>
    <s v=""/>
    <s v="Ganho"/>
    <d v="2025-02-01T00:00:00"/>
    <d v="1899-12-30T02:19:45"/>
    <s v=""/>
    <s v=""/>
    <s v=""/>
    <x v="33"/>
    <s v="Paulo Souza"/>
    <x v="42"/>
    <s v=""/>
    <m/>
    <m/>
    <s v=""/>
    <s v=""/>
    <s v=""/>
    <s v=""/>
    <n v="1"/>
  </r>
  <r>
    <x v="0"/>
    <n v="207"/>
    <m/>
    <n v="1672"/>
    <s v=""/>
    <s v=""/>
    <x v="70"/>
    <m/>
    <s v=""/>
    <s v="Marcelha"/>
    <s v=""/>
    <s v=""/>
    <s v="marcelha@paramountplasticos.com.br"/>
    <s v=""/>
    <s v=""/>
    <s v=""/>
    <s v=""/>
    <s v=""/>
    <s v=""/>
    <s v=""/>
    <s v=""/>
    <s v=""/>
    <s v="Pipeline de Vendas"/>
    <s v="Em Fechamento (100%)"/>
    <s v=""/>
    <m/>
    <n v="6160"/>
    <n v="0"/>
    <n v="0"/>
    <s v="Paulo Souza"/>
    <d v="2025-02-01T00:00:00"/>
    <d v="1899-12-30T02:13:12"/>
    <s v=""/>
    <s v="Ganho"/>
    <d v="2025-02-01T00:00:00"/>
    <d v="1899-12-30T02:20:51"/>
    <s v=""/>
    <s v=""/>
    <s v=""/>
    <x v="34"/>
    <s v="Paulo Souza"/>
    <x v="43"/>
    <s v=""/>
    <m/>
    <m/>
    <s v=""/>
    <s v=""/>
    <s v=""/>
    <s v=""/>
    <n v="1"/>
  </r>
  <r>
    <x v="0"/>
    <n v="208"/>
    <m/>
    <n v="1673"/>
    <s v=""/>
    <s v=""/>
    <x v="71"/>
    <m/>
    <s v=""/>
    <s v="Giftutil"/>
    <s v=""/>
    <s v=""/>
    <s v="eduardapaivapaula@hotmail.com"/>
    <s v=""/>
    <s v=""/>
    <s v=""/>
    <s v=""/>
    <s v=""/>
    <s v=""/>
    <s v=""/>
    <s v=""/>
    <s v=""/>
    <s v="Pipeline de Vendas"/>
    <s v="Em Fechamento (100%)"/>
    <s v=""/>
    <m/>
    <n v="486308"/>
    <n v="3564"/>
    <n v="0"/>
    <s v="Paulo Souza"/>
    <d v="2025-02-01T00:00:00"/>
    <d v="1899-12-30T02:14:22"/>
    <s v=""/>
    <s v="Ganho"/>
    <d v="2025-02-01T00:00:00"/>
    <d v="1899-12-30T02:18:18"/>
    <s v=""/>
    <s v=""/>
    <s v=""/>
    <x v="25"/>
    <s v="Paulo Souza"/>
    <x v="23"/>
    <s v=""/>
    <m/>
    <m/>
    <s v=""/>
    <s v=""/>
    <s v=""/>
    <s v=""/>
    <n v="1"/>
  </r>
  <r>
    <x v="1"/>
    <n v="209"/>
    <m/>
    <n v="1710"/>
    <s v=""/>
    <s v=""/>
    <x v="72"/>
    <m/>
    <s v=""/>
    <s v="Maxximo Utilidades"/>
    <s v="11999804489"/>
    <s v=""/>
    <s v="flavio@maxximo.com.br"/>
    <s v=""/>
    <s v=""/>
    <s v=""/>
    <s v=""/>
    <s v=""/>
    <s v="Feiras"/>
    <s v=""/>
    <s v=""/>
    <s v=""/>
    <s v="Pipeline de Vendas"/>
    <s v="Apresentar Solução (35%)"/>
    <s v="6x sem juros (0/30/60/90/120/150...)"/>
    <m/>
    <m/>
    <m/>
    <n v="68"/>
    <s v="Junior Lopes"/>
    <d v="2025-02-06T00:00:00"/>
    <d v="1899-12-30T10:24:33"/>
    <s v=""/>
    <s v="Perdido"/>
    <d v="2025-04-15T00:00:00"/>
    <d v="1899-12-30T16:38:15"/>
    <s v="Projeto adiado / sem prazo definido"/>
    <s v="cliente não responde as mensagens, continuarei a prospectar em paralelo"/>
    <s v=""/>
    <x v="0"/>
    <s v=""/>
    <x v="44"/>
    <s v=""/>
    <m/>
    <m/>
    <s v=""/>
    <s v=""/>
    <s v=""/>
    <s v=""/>
    <n v="1"/>
  </r>
  <r>
    <x v="1"/>
    <n v="210"/>
    <m/>
    <n v="1711"/>
    <s v=""/>
    <s v=""/>
    <x v="73"/>
    <n v="12792269000137"/>
    <s v=""/>
    <s v="Plastutti"/>
    <s v="11983334304"/>
    <s v=""/>
    <s v="Thiago@plastutti.com.br"/>
    <s v=""/>
    <s v=""/>
    <s v=""/>
    <s v=""/>
    <s v=""/>
    <s v=""/>
    <s v=""/>
    <s v=""/>
    <s v="Abup2025Fevereiro"/>
    <s v="Pipeline de Vendas"/>
    <s v="Em Fechamento (100%)"/>
    <s v="10x sem juros (0/30/60/90/120/150...)"/>
    <m/>
    <n v="65920"/>
    <n v="481924"/>
    <n v="25"/>
    <s v="Junior Lopes"/>
    <d v="2025-02-06T00:00:00"/>
    <d v="1899-12-30T10:53:24"/>
    <s v=""/>
    <s v="Ganho"/>
    <d v="2025-03-03T00:00:00"/>
    <d v="1899-12-30T11:32:48"/>
    <s v=""/>
    <s v=""/>
    <s v=""/>
    <x v="35"/>
    <s v=""/>
    <x v="44"/>
    <s v="18/02/2025"/>
    <m/>
    <m/>
    <s v=""/>
    <s v=""/>
    <s v=""/>
    <s v=""/>
    <n v="1"/>
  </r>
  <r>
    <x v="1"/>
    <n v="211"/>
    <m/>
    <n v="1712"/>
    <s v=""/>
    <s v=""/>
    <x v="74"/>
    <m/>
    <s v=""/>
    <s v="Plastutti - Clou"/>
    <s v="11983334304"/>
    <s v=""/>
    <s v="Thiago@plastutti.com.br"/>
    <s v=""/>
    <s v=""/>
    <s v=""/>
    <s v=""/>
    <s v=""/>
    <s v=""/>
    <s v=""/>
    <s v=""/>
    <s v="Abup2025Fevereiro"/>
    <s v="Pipeline de Vendas"/>
    <s v="Em Fechamento (100%)"/>
    <s v=""/>
    <m/>
    <n v="1600"/>
    <n v="25908"/>
    <n v="14"/>
    <s v="Junior Lopes"/>
    <d v="2025-02-06T00:00:00"/>
    <d v="1899-12-30T11:39:54"/>
    <s v=""/>
    <s v="Perdido"/>
    <d v="2025-02-20T00:00:00"/>
    <d v="1899-12-30T15:57:59"/>
    <s v="Não quer mudar a solução atual"/>
    <s v="atualmente tem servidor local"/>
    <s v=""/>
    <x v="35"/>
    <s v=""/>
    <x v="44"/>
    <s v="18/02/2025"/>
    <m/>
    <m/>
    <s v=""/>
    <s v=""/>
    <s v=""/>
    <s v=""/>
    <n v="1"/>
  </r>
  <r>
    <x v="1"/>
    <n v="212"/>
    <m/>
    <n v="1713"/>
    <s v=""/>
    <s v=""/>
    <x v="75"/>
    <m/>
    <s v=""/>
    <s v="Cozzillar"/>
    <s v="1935479372"/>
    <s v=""/>
    <s v="gilberto@cozzillar.com.br"/>
    <s v=""/>
    <s v=""/>
    <s v=""/>
    <s v=""/>
    <s v=""/>
    <s v="Feiras"/>
    <s v=""/>
    <s v=""/>
    <s v=""/>
    <s v="Pipeline de Vendas"/>
    <s v="Apresentar Solução (35%)"/>
    <s v="6x sem juros (0/30/60/90/120/150...)"/>
    <m/>
    <m/>
    <m/>
    <n v="60"/>
    <s v="Junior Lopes"/>
    <d v="2025-02-06T00:00:00"/>
    <d v="1899-12-30T12:23:29"/>
    <s v=""/>
    <s v="Perdido"/>
    <d v="2025-04-07T00:00:00"/>
    <d v="1899-12-30T11:50:11"/>
    <s v="Projeto adiado / sem prazo definido"/>
    <s v="10:07, 02/04/2025 Junior Lopes: Olá Gilberto, Junior da Guarani sistemas por aqui _x000a_Espero que esteja bem _x000a_Ficamos de organizar uma visita com vocês para apresentação da solução Guarani sistemas_x000a_10:07, 02/04/2025 Junior Lopes: Vamos avançar?_x000a_09:21, 07/04/2025 Junior Lopes: Olá Gilberto! Infelizmente não consigo seu retorno _x000a_Entendo que deve estar bem corrido para você _x000a_De qualquer forma fico a disposição no momento que vc puder _x000a_Forte abraço e ótimos negócios _x000a_Jr Guarani sistemas"/>
    <s v=""/>
    <x v="0"/>
    <s v=""/>
    <x v="44"/>
    <s v=""/>
    <m/>
    <m/>
    <s v=""/>
    <s v=""/>
    <s v=""/>
    <s v=""/>
    <n v="1"/>
  </r>
  <r>
    <x v="1"/>
    <n v="213"/>
    <m/>
    <n v="1714"/>
    <s v=""/>
    <s v=""/>
    <x v="76"/>
    <m/>
    <s v=""/>
    <s v="Marca Textil"/>
    <s v="1168296999"/>
    <s v=""/>
    <s v="atendimento@markatextil.com.br"/>
    <s v=""/>
    <s v=""/>
    <s v=""/>
    <s v=""/>
    <s v=""/>
    <s v=""/>
    <s v=""/>
    <s v=""/>
    <s v=""/>
    <s v="Pipeline de Vendas"/>
    <s v="Qualificação de Vendas (SQL) (25%)"/>
    <s v=""/>
    <m/>
    <n v="14400"/>
    <n v="18034"/>
    <n v="43"/>
    <s v="Junior Lopes"/>
    <d v="2025-02-06T00:00:00"/>
    <d v="1899-12-30T12:36:48"/>
    <s v=""/>
    <s v="Perdido"/>
    <d v="2025-03-21T00:00:00"/>
    <d v="1899-12-30T14:36:30"/>
    <s v="Não quer mudar a solução atual"/>
    <s v="não seguirá no momento"/>
    <s v=""/>
    <x v="36"/>
    <s v=""/>
    <x v="44"/>
    <s v=""/>
    <m/>
    <m/>
    <s v=""/>
    <s v=""/>
    <s v=""/>
    <s v=""/>
    <n v="1"/>
  </r>
  <r>
    <x v="0"/>
    <n v="214"/>
    <m/>
    <n v="1661"/>
    <s v=""/>
    <s v=""/>
    <x v="77"/>
    <m/>
    <s v=""/>
    <s v="Carlos"/>
    <s v="(13) 99770-3018"/>
    <s v=""/>
    <s v="opa.eskinao.compras@gmail.com"/>
    <s v=""/>
    <s v=""/>
    <s v=""/>
    <s v="São Vicente"/>
    <s v=""/>
    <s v="Site"/>
    <s v=""/>
    <s v=""/>
    <s v=""/>
    <s v="Pipeline de Vendas"/>
    <s v="Em negociação (75%)"/>
    <s v=""/>
    <m/>
    <m/>
    <m/>
    <n v="0"/>
    <s v="Paulo Souza"/>
    <d v="2025-02-06T00:00:00"/>
    <d v="1899-12-30T13:55:00"/>
    <s v=""/>
    <s v="Perdido"/>
    <d v="2025-02-06T00:00:00"/>
    <d v="1899-12-30T17:30:59"/>
    <s v="Preço muito alto - fora do budget de investimento"/>
    <s v=""/>
    <s v=""/>
    <x v="37"/>
    <s v=""/>
    <x v="45"/>
    <s v=""/>
    <m/>
    <m/>
    <s v=""/>
    <s v=""/>
    <s v=""/>
    <s v=""/>
    <n v="1"/>
  </r>
  <r>
    <x v="0"/>
    <n v="215"/>
    <m/>
    <n v="1715"/>
    <s v=""/>
    <s v=""/>
    <x v="78"/>
    <m/>
    <s v=""/>
    <s v="João"/>
    <s v="(11) 94793-3497"/>
    <s v=""/>
    <s v="jvprocacino@gmail.com"/>
    <s v=""/>
    <s v=""/>
    <s v=""/>
    <s v=""/>
    <s v=""/>
    <s v="Site"/>
    <s v=""/>
    <s v=""/>
    <s v="Abcasa2025fevereiro;Solicita demo"/>
    <s v="Pipeline de Vendas"/>
    <s v="Em negociação (75%)"/>
    <s v=""/>
    <m/>
    <n v="43740"/>
    <n v="158239"/>
    <n v="13"/>
    <s v="Paulo Souza"/>
    <d v="2025-02-06T00:00:00"/>
    <d v="1899-12-30T13:55:44"/>
    <s v=""/>
    <s v="Perdido"/>
    <d v="2025-02-19T00:00:00"/>
    <d v="1899-12-30T09:18:02"/>
    <s v="Preço muito alto - fora do budget de investimento"/>
    <s v=""/>
    <s v=""/>
    <x v="38"/>
    <s v=""/>
    <x v="46"/>
    <s v=""/>
    <m/>
    <m/>
    <s v=""/>
    <s v=""/>
    <s v=""/>
    <s v=""/>
    <n v="1"/>
  </r>
  <r>
    <x v="0"/>
    <n v="219"/>
    <m/>
    <n v="1720"/>
    <s v=""/>
    <s v=""/>
    <x v="79"/>
    <m/>
    <s v=""/>
    <s v="Nassib Saleh"/>
    <s v="11951945790"/>
    <s v=""/>
    <s v="nassib.saleh58@gmail.com"/>
    <s v=""/>
    <s v=""/>
    <s v=""/>
    <s v=""/>
    <s v=""/>
    <s v=""/>
    <s v=""/>
    <s v=""/>
    <s v=""/>
    <s v="Pipeline de Vendas"/>
    <s v="Em Fechamento (100%)"/>
    <s v=""/>
    <m/>
    <n v="14400"/>
    <n v="122984"/>
    <n v="8"/>
    <s v="Paulo Souza"/>
    <d v="2025-02-06T00:00:00"/>
    <d v="1899-12-30T17:42:46"/>
    <s v=""/>
    <s v="Ganho"/>
    <d v="2025-02-14T00:00:00"/>
    <d v="1899-12-30T11:16:20"/>
    <s v=""/>
    <s v=""/>
    <s v=""/>
    <x v="39"/>
    <s v="Paulo Souza"/>
    <x v="46"/>
    <s v=""/>
    <m/>
    <m/>
    <s v=""/>
    <s v=""/>
    <s v=""/>
    <s v=""/>
    <n v="1"/>
  </r>
  <r>
    <x v="1"/>
    <n v="230"/>
    <m/>
    <n v="1734"/>
    <s v=""/>
    <s v=""/>
    <x v="80"/>
    <m/>
    <s v=""/>
    <s v="Oikos"/>
    <s v="21968201725"/>
    <s v=""/>
    <s v="michele.pepalia@grupoecoa.com.br"/>
    <s v=""/>
    <s v=""/>
    <s v=""/>
    <s v=""/>
    <s v=""/>
    <s v="Feiras"/>
    <s v=""/>
    <s v=""/>
    <s v="90%;Abcasa2025fevereiro"/>
    <s v="Pipeline de Vendas"/>
    <s v="Em Fechamento (100%)"/>
    <s v="6x sem juros (0/30/60/90/120/150...)"/>
    <m/>
    <n v="56000"/>
    <n v="2101739"/>
    <n v="161"/>
    <s v="Junior Lopes"/>
    <d v="2025-02-10T00:00:00"/>
    <d v="1899-12-30T07:54:34"/>
    <s v=""/>
    <s v="Perdido"/>
    <d v="2025-07-21T00:00:00"/>
    <d v="1899-12-30T09:46:56"/>
    <s v="Projeto adiado / sem prazo definido"/>
    <s v="cliente não responde sobre a continuidade"/>
    <s v=""/>
    <x v="40"/>
    <s v=""/>
    <x v="47"/>
    <s v=""/>
    <m/>
    <m/>
    <s v=""/>
    <s v=""/>
    <s v=""/>
    <s v=""/>
    <n v="1"/>
  </r>
  <r>
    <x v="0"/>
    <n v="231"/>
    <m/>
    <n v="1733"/>
    <s v="Todos os dados preenchidos:_x000a_name: Ana Beatriz Costa dos Santos  _x000a_phone: 12997420947 _x000a_email: administrativo@camposdiaromas.com"/>
    <s v="Stefanie Forsterling"/>
    <x v="81"/>
    <n v="14936505000258"/>
    <s v=""/>
    <s v="Ana Beatriz Costa dos Santos"/>
    <s v="(12) 3662-5043"/>
    <s v=""/>
    <s v="administrativo@camposdiaromas.com"/>
    <s v=""/>
    <s v=""/>
    <s v=""/>
    <s v="CAMPOS DO JORDAO"/>
    <s v="SP"/>
    <s v="Feiras"/>
    <s v=""/>
    <s v=""/>
    <s v="Feiras"/>
    <s v="Pipeline de Vendas"/>
    <s v="Qualificação de Vendas (SQL) (25%)"/>
    <s v=""/>
    <m/>
    <m/>
    <m/>
    <n v="38"/>
    <s v="Fernanda Santiago"/>
    <d v="2025-02-11T00:00:00"/>
    <d v="1899-12-30T15:36:50"/>
    <s v=""/>
    <s v="Perdido"/>
    <d v="2025-03-21T00:00:00"/>
    <d v="1899-12-30T15:15:41"/>
    <s v="Fora do porte mínimo (sem fite estrutural)"/>
    <s v="Lojas muitos pequenas"/>
    <s v="11/02/2025 15:30"/>
    <x v="0"/>
    <s v="Fernanda Santiago"/>
    <x v="48"/>
    <s v=""/>
    <m/>
    <m/>
    <s v=""/>
    <s v=""/>
    <s v=""/>
    <s v=""/>
    <n v="1"/>
  </r>
  <r>
    <x v="0"/>
    <n v="232"/>
    <m/>
    <n v="1704"/>
    <s v=""/>
    <s v=""/>
    <x v="82"/>
    <n v="29432229000187"/>
    <s v=""/>
    <s v="Adriana"/>
    <s v="(41) 99861-1071"/>
    <s v=""/>
    <s v="contato@euromats.com.br"/>
    <s v=""/>
    <s v=""/>
    <s v=""/>
    <s v=""/>
    <s v=""/>
    <s v="Base de empresas Leads2b"/>
    <s v=""/>
    <s v=""/>
    <s v="msgabupfevereiro2025;REP+"/>
    <s v="Pipeline de Vendas"/>
    <s v="Qualificação de Vendas (SQL) (25%)"/>
    <s v=""/>
    <m/>
    <m/>
    <m/>
    <n v="42"/>
    <s v="Fernanda Santiago"/>
    <d v="2025-02-12T00:00:00"/>
    <d v="1899-12-30T10:51:17"/>
    <s v=""/>
    <s v="Perdido"/>
    <d v="2025-03-26T00:00:00"/>
    <d v="1899-12-30T17:34:58"/>
    <s v="Preço muito alto - fora do budget de investimento"/>
    <s v=""/>
    <s v="12/02/2025 08:00"/>
    <x v="0"/>
    <s v="Fernanda Santiago"/>
    <x v="49"/>
    <s v=""/>
    <m/>
    <m/>
    <s v=""/>
    <s v=""/>
    <s v=""/>
    <s v=""/>
    <n v="1"/>
  </r>
  <r>
    <x v="1"/>
    <n v="233"/>
    <m/>
    <n v="1747"/>
    <s v=""/>
    <s v=""/>
    <x v="83"/>
    <m/>
    <s v=""/>
    <s v="Ad &amp; Ad Comercio de Importacao"/>
    <s v="14996930353"/>
    <s v=""/>
    <s v="daniel@adimportacao.com.br"/>
    <s v=""/>
    <s v=""/>
    <s v=""/>
    <s v=""/>
    <s v=""/>
    <s v=""/>
    <s v=""/>
    <s v=""/>
    <s v="Abcasa2025fevereiro"/>
    <s v="Pipeline de Vendas"/>
    <s v="Em Fechamento (100%)"/>
    <s v=""/>
    <m/>
    <n v="60534"/>
    <n v="27562"/>
    <n v="18"/>
    <s v="Junior Lopes"/>
    <d v="2025-02-13T00:00:00"/>
    <d v="1899-12-30T10:18:19"/>
    <s v=""/>
    <s v="Ganho"/>
    <d v="2025-03-03T00:00:00"/>
    <d v="1899-12-30T11:33:34"/>
    <s v=""/>
    <s v=""/>
    <s v=""/>
    <x v="41"/>
    <s v=""/>
    <x v="47"/>
    <s v=""/>
    <m/>
    <m/>
    <s v=""/>
    <s v=""/>
    <s v=""/>
    <s v=""/>
    <n v="1"/>
  </r>
  <r>
    <x v="1"/>
    <n v="234"/>
    <m/>
    <n v="1748"/>
    <s v=""/>
    <s v=""/>
    <x v="84"/>
    <n v="26981837000152"/>
    <s v=""/>
    <s v="Chamma Festas (PDV)"/>
    <s v="(61) 9145-0480"/>
    <s v=""/>
    <s v="chammasuprimentos@hotmail.com"/>
    <s v=""/>
    <s v=""/>
    <s v=""/>
    <s v="BRASILIA"/>
    <s v="DF"/>
    <s v=""/>
    <s v=""/>
    <s v=""/>
    <s v="Abcasa2025fevereiro"/>
    <s v="Pipeline de Vendas"/>
    <s v="Apresentar Proposta (50%)"/>
    <s v=""/>
    <m/>
    <n v="40440"/>
    <n v="340574"/>
    <n v="11"/>
    <s v="Junior Lopes"/>
    <d v="2025-02-13T00:00:00"/>
    <d v="1899-12-30T10:49:31"/>
    <s v=""/>
    <s v="Perdido"/>
    <d v="2025-02-24T00:00:00"/>
    <d v="1899-12-30T16:44:24"/>
    <s v="Preço muito alto - fora do budget de investimento"/>
    <s v="14:59, 14/02/2025 Robson Chamma Festa: Obrigado júnior_x000a_14:59, 17/02/2025 Robson Chamma Festa: Oi Junior, ficou bem fora do nosso orçamento. No momento não vamos levar adiante. Fico grato pela sua atenção."/>
    <s v=""/>
    <x v="41"/>
    <s v=""/>
    <x v="50"/>
    <s v=""/>
    <m/>
    <m/>
    <s v=""/>
    <s v=""/>
    <s v=""/>
    <s v=""/>
    <n v="1"/>
  </r>
  <r>
    <x v="1"/>
    <n v="235"/>
    <m/>
    <n v="1750"/>
    <s v=""/>
    <s v=""/>
    <x v="85"/>
    <n v="43530585000164"/>
    <s v=""/>
    <s v="P10 Importadora"/>
    <s v="(49) 8817-6299"/>
    <s v=""/>
    <s v="prioridade10e20financeiro@hotmail.com"/>
    <s v=""/>
    <s v=""/>
    <s v=""/>
    <s v="CUNHA PORA"/>
    <s v="SC"/>
    <s v=""/>
    <s v=""/>
    <s v=""/>
    <s v="Abcasa2025fevereiro"/>
    <s v="Pipeline de Vendas"/>
    <s v="Apresentar Proposta (50%)"/>
    <s v=""/>
    <m/>
    <n v="4663152"/>
    <n v="15528"/>
    <n v="11"/>
    <s v="Junior Lopes"/>
    <d v="2025-02-13T00:00:00"/>
    <d v="1899-12-30T11:07:42"/>
    <s v=""/>
    <s v="Perdido"/>
    <d v="2025-02-24T00:00:00"/>
    <d v="1899-12-30T17:13:56"/>
    <s v="Preço muito alto - fora do budget de investimento"/>
    <s v="Bom dia_x000a_Junior, achei o sistema completo, não foge do que outras empresas proporcionam no mercado… no entanto, achei o valor de implantação muito elevado, da próximo de 80 mil reais pra fazer a implantação de um sistema"/>
    <s v=""/>
    <x v="42"/>
    <s v=""/>
    <x v="50"/>
    <s v=""/>
    <m/>
    <m/>
    <s v=""/>
    <s v=""/>
    <s v=""/>
    <s v=""/>
    <n v="1"/>
  </r>
  <r>
    <x v="1"/>
    <n v="236"/>
    <m/>
    <n v="1754"/>
    <s v=""/>
    <s v=""/>
    <x v="86"/>
    <n v="43530585000164"/>
    <s v=""/>
    <s v="P10 IMPORTADORA"/>
    <s v="(49) 8817-6299"/>
    <s v=""/>
    <s v="prioridade10e20financeiro@hotmail.com"/>
    <s v=""/>
    <s v=""/>
    <s v=""/>
    <s v="CUNHA PORA"/>
    <s v="SC"/>
    <s v=""/>
    <s v=""/>
    <s v=""/>
    <s v="Abcasa2025fevereiro"/>
    <s v="Pipeline de Vendas"/>
    <s v="Apresentar Proposta (50%)"/>
    <s v=""/>
    <m/>
    <n v="23580"/>
    <n v="3060"/>
    <n v="11"/>
    <s v="Junior Lopes"/>
    <d v="2025-02-13T00:00:00"/>
    <d v="1899-12-30T11:14:38"/>
    <s v=""/>
    <s v="Perdido"/>
    <d v="2025-02-24T00:00:00"/>
    <d v="1899-12-30T17:14:25"/>
    <s v="Preço muito alto - fora do budget de investimento"/>
    <s v="Bom dia_x000a_Junior, achei o sistema completo, não foge do que outras empresas proporcionam no mercado… no entanto, achei o valor de implantação muito elevado, da próximo de 80 mil reais pra fazer a implantação de um sistema"/>
    <s v=""/>
    <x v="42"/>
    <s v=""/>
    <x v="50"/>
    <s v=""/>
    <m/>
    <m/>
    <s v=""/>
    <s v=""/>
    <s v=""/>
    <s v=""/>
    <n v="1"/>
  </r>
  <r>
    <x v="1"/>
    <n v="237"/>
    <m/>
    <n v="1758"/>
    <s v=""/>
    <s v=""/>
    <x v="87"/>
    <n v="12182313000197"/>
    <s v=""/>
    <s v="PLASBERG INDUSTRIA E COMERCIO"/>
    <s v="(75) 2102-2102 / (75) 2101-2101"/>
    <s v=""/>
    <s v="cadastro@asseplan.cnt.br"/>
    <s v=""/>
    <s v=""/>
    <s v=""/>
    <s v="Feira de Santana"/>
    <s v="BA"/>
    <s v="Feiras"/>
    <s v=""/>
    <s v=""/>
    <s v="Abcasa2025fevereiro"/>
    <s v="Pipeline de Vendas"/>
    <s v="Apresentar Proposta (50%)"/>
    <s v="6x sem juros (0/30/60/90/120/150...)"/>
    <m/>
    <n v="85500"/>
    <n v="769354"/>
    <n v="62"/>
    <s v="Junior Lopes"/>
    <d v="2025-02-13T00:00:00"/>
    <d v="1899-12-30T11:27:23"/>
    <s v=""/>
    <s v="Perdido"/>
    <d v="2025-04-16T00:00:00"/>
    <d v="1899-12-30T09:27:55"/>
    <s v="Projeto adiado / sem prazo definido"/>
    <s v="Breno não responde as mensagens ! estou fechando oportunidade mas continuo em busca da oportunidade"/>
    <s v=""/>
    <x v="43"/>
    <s v=""/>
    <x v="47"/>
    <s v=""/>
    <m/>
    <m/>
    <s v=""/>
    <s v=""/>
    <s v=""/>
    <s v=""/>
    <n v="1"/>
  </r>
  <r>
    <x v="0"/>
    <n v="242"/>
    <m/>
    <n v="1746"/>
    <s v=""/>
    <s v=""/>
    <x v="88"/>
    <n v="865166000170"/>
    <s v=""/>
    <s v="Renor Preto"/>
    <s v="(19) 99188-1436"/>
    <s v=""/>
    <s v="renor.preto@adere.com"/>
    <s v=""/>
    <s v=""/>
    <s v=""/>
    <s v="Juiz de Fora"/>
    <s v=""/>
    <s v="Site"/>
    <s v=""/>
    <s v=""/>
    <s v="MORNO;Solicita demo"/>
    <s v="Pipeline de Vendas"/>
    <s v="Em negociação (75%)"/>
    <s v=""/>
    <m/>
    <m/>
    <m/>
    <n v="25"/>
    <s v="Paulo Souza"/>
    <d v="2025-02-13T00:00:00"/>
    <d v="1899-12-30T17:39:49"/>
    <s v=""/>
    <s v="Perdido"/>
    <d v="2025-03-10T00:00:00"/>
    <d v="1899-12-30T17:37:28"/>
    <s v="Nossa solução não atende - falta funcionalidade"/>
    <s v=""/>
    <s v=""/>
    <x v="0"/>
    <s v="Paulo Souza"/>
    <x v="51"/>
    <s v=""/>
    <m/>
    <m/>
    <s v=""/>
    <s v=""/>
    <s v=""/>
    <s v=""/>
    <n v="1"/>
  </r>
  <r>
    <x v="0"/>
    <n v="245"/>
    <m/>
    <n v="1763"/>
    <s v=""/>
    <s v=""/>
    <x v="89"/>
    <n v="30164963000191"/>
    <s v=""/>
    <s v="FERNANDA ALVES"/>
    <s v="(11) 99763-3759"/>
    <s v=""/>
    <s v="fernanda@jlkplasticos.com.br"/>
    <s v=""/>
    <s v=""/>
    <s v=""/>
    <s v="São Paulo"/>
    <s v=""/>
    <s v="Site"/>
    <s v=""/>
    <s v=""/>
    <s v="Abcasa2025fevereiro;Solicita demo"/>
    <s v="Pipeline de Vendas"/>
    <s v="Em Fechamento (100%)"/>
    <s v=""/>
    <m/>
    <n v="46332"/>
    <n v="257546"/>
    <n v="35"/>
    <s v="Paulo Souza"/>
    <d v="2025-02-14T00:00:00"/>
    <d v="1899-12-30T11:03:12"/>
    <s v=""/>
    <s v="Ganho"/>
    <d v="2025-03-21T00:00:00"/>
    <d v="1899-12-30T14:50:46"/>
    <s v=""/>
    <s v=""/>
    <s v=""/>
    <x v="44"/>
    <s v="Paulo Souza"/>
    <x v="51"/>
    <s v=""/>
    <m/>
    <m/>
    <s v=""/>
    <s v=""/>
    <s v=""/>
    <s v=""/>
    <n v="1"/>
  </r>
  <r>
    <x v="0"/>
    <n v="246"/>
    <m/>
    <n v="1768"/>
    <s v=""/>
    <s v=""/>
    <x v="90"/>
    <m/>
    <s v=""/>
    <s v="Nacib"/>
    <s v="11951945790"/>
    <s v=""/>
    <s v="nassib.saleh58@gmail.com"/>
    <s v=""/>
    <s v=""/>
    <s v=""/>
    <s v=""/>
    <s v=""/>
    <s v=""/>
    <s v=""/>
    <s v=""/>
    <s v=""/>
    <s v="Pipeline de Vendas"/>
    <s v="Em Fechamento (100%)"/>
    <s v=""/>
    <m/>
    <n v="0"/>
    <n v="3062"/>
    <n v="0"/>
    <s v="Paulo Souza"/>
    <d v="2025-02-14T00:00:00"/>
    <d v="1899-12-30T11:22:59"/>
    <s v=""/>
    <s v="Ganho"/>
    <d v="2025-02-14T00:00:00"/>
    <d v="1899-12-30T11:27:19"/>
    <s v=""/>
    <s v=""/>
    <s v=""/>
    <x v="41"/>
    <s v="Paulo Souza"/>
    <x v="52"/>
    <s v=""/>
    <m/>
    <m/>
    <s v=""/>
    <s v=""/>
    <s v=""/>
    <s v=""/>
    <n v="1"/>
  </r>
  <r>
    <x v="0"/>
    <n v="248"/>
    <m/>
    <n v="1770"/>
    <s v=""/>
    <s v=""/>
    <x v="91"/>
    <m/>
    <s v=""/>
    <s v="Caetano"/>
    <s v="11941743784"/>
    <s v=""/>
    <s v="aflordk@gmail.com"/>
    <s v=""/>
    <s v=""/>
    <s v=""/>
    <s v=""/>
    <s v=""/>
    <s v="Feiras"/>
    <s v=""/>
    <s v=""/>
    <s v="Abcasa2025fevereiro"/>
    <s v="Pipeline de Vendas"/>
    <s v="Em negociação (75%)"/>
    <s v="6x sem juros (0/30/60/90/120/150...)"/>
    <m/>
    <n v="64600"/>
    <n v="199064"/>
    <n v="53"/>
    <s v="Paulo Souza"/>
    <d v="2025-02-14T00:00:00"/>
    <d v="1899-12-30T16:18:04"/>
    <s v=""/>
    <s v="Perdido"/>
    <d v="2025-04-08T00:00:00"/>
    <d v="1899-12-30T09:04:24"/>
    <s v="Não quer mudar a solução atual"/>
    <s v=""/>
    <s v=""/>
    <x v="42"/>
    <s v=""/>
    <x v="52"/>
    <s v=""/>
    <m/>
    <m/>
    <s v=""/>
    <s v=""/>
    <s v=""/>
    <s v=""/>
    <n v="1"/>
  </r>
  <r>
    <x v="0"/>
    <n v="249"/>
    <m/>
    <n v="1771"/>
    <s v=""/>
    <s v=""/>
    <x v="92"/>
    <m/>
    <s v=""/>
    <s v="Keila"/>
    <s v="11996600206"/>
    <s v=""/>
    <s v="null"/>
    <s v=""/>
    <s v=""/>
    <s v=""/>
    <s v=""/>
    <s v=""/>
    <s v="Indicação"/>
    <s v=""/>
    <s v=""/>
    <s v="Abcasa2025fevereiro"/>
    <s v="Pipeline de Vendas"/>
    <s v="Em negociação (75%)"/>
    <s v="6x sem juros (0/30/60/90/120/150...)"/>
    <m/>
    <n v="16000"/>
    <n v="3724"/>
    <n v="116"/>
    <s v="Paulo Souza"/>
    <d v="2025-02-14T00:00:00"/>
    <d v="1899-12-30T16:24:00"/>
    <s v=""/>
    <s v="Perdido"/>
    <d v="2025-06-10T00:00:00"/>
    <d v="1899-12-30T14:49:46"/>
    <s v="Não quer mudar a solução atual"/>
    <s v=""/>
    <s v=""/>
    <x v="45"/>
    <s v="Paulo Souza"/>
    <x v="53"/>
    <s v=""/>
    <m/>
    <m/>
    <s v=""/>
    <s v=""/>
    <s v=""/>
    <s v=""/>
    <n v="1"/>
  </r>
  <r>
    <x v="0"/>
    <n v="250"/>
    <m/>
    <n v="1772"/>
    <s v=""/>
    <s v=""/>
    <x v="93"/>
    <m/>
    <s v=""/>
    <s v="Fabio"/>
    <s v="11981721166"/>
    <s v=""/>
    <s v="null"/>
    <s v=""/>
    <s v=""/>
    <s v=""/>
    <s v=""/>
    <s v=""/>
    <s v="Feiras"/>
    <s v=""/>
    <s v=""/>
    <s v="30%;Abcasa2025fevereiro;Pausado"/>
    <s v="Pipeline de Vendas"/>
    <s v="Apresentar Solução (35%)"/>
    <s v="6x sem juros (0/30/60/90/120/150...)"/>
    <d v="2028-07-01T00:00:00"/>
    <m/>
    <m/>
    <n v="208"/>
    <s v="Paulo Souza"/>
    <d v="2025-02-14T00:00:00"/>
    <d v="1899-12-30T16:27:14"/>
    <s v=""/>
    <s v="Perdido"/>
    <d v="2025-09-10T00:00:00"/>
    <d v="1899-12-30T16:11:00"/>
    <s v="Projeto adiado / sem prazo definido"/>
    <s v=""/>
    <s v=""/>
    <x v="0"/>
    <s v="Paulo Souza"/>
    <x v="54"/>
    <s v=""/>
    <m/>
    <m/>
    <s v=""/>
    <s v=""/>
    <s v=""/>
    <s v=""/>
    <n v="1"/>
  </r>
  <r>
    <x v="0"/>
    <n v="253"/>
    <m/>
    <n v="1776"/>
    <s v=""/>
    <s v=""/>
    <x v="94"/>
    <m/>
    <s v=""/>
    <s v="Guga"/>
    <s v="31984513164"/>
    <s v=""/>
    <s v="null"/>
    <s v=""/>
    <s v=""/>
    <s v=""/>
    <s v=""/>
    <s v=""/>
    <s v="Feiras"/>
    <s v=""/>
    <s v=""/>
    <s v="Abcasa2025fevereiro;Pausado"/>
    <s v="Pipeline de Vendas"/>
    <s v="Em negociação (75%)"/>
    <s v="6x sem juros (0/30/60/90/120/150...)"/>
    <d v="2026-01-15T00:00:00"/>
    <n v="48000"/>
    <n v="1690959"/>
    <n v="299"/>
    <s v="Paulo Souza"/>
    <d v="2025-02-14T00:00:00"/>
    <d v="1899-12-30T17:28:04"/>
    <s v=""/>
    <s v="Perdido"/>
    <d v="2025-12-10T00:00:00"/>
    <d v="1899-12-30T17:09:31"/>
    <s v="Não quer mudar a solução atual"/>
    <s v=""/>
    <s v=""/>
    <x v="46"/>
    <s v="Paulo Souza"/>
    <x v="51"/>
    <s v=""/>
    <m/>
    <m/>
    <s v=""/>
    <s v=""/>
    <s v=""/>
    <s v=""/>
    <n v="1"/>
  </r>
  <r>
    <x v="0"/>
    <n v="254"/>
    <m/>
    <n v="1777"/>
    <s v=""/>
    <s v=""/>
    <x v="95"/>
    <m/>
    <s v=""/>
    <s v="Emilio"/>
    <s v="11947392525"/>
    <s v=""/>
    <s v="null"/>
    <s v=""/>
    <s v=""/>
    <s v=""/>
    <s v=""/>
    <s v=""/>
    <s v="Feiras"/>
    <s v=""/>
    <s v=""/>
    <s v="Abcasa2025fevereiro"/>
    <s v="Pipeline de Vendas"/>
    <s v="Qualificação de Vendas (SQL) (25%)"/>
    <s v="6x sem juros (0/30/60/90/120/150...)"/>
    <m/>
    <m/>
    <m/>
    <n v="40"/>
    <s v="Paulo Souza"/>
    <d v="2025-02-14T00:00:00"/>
    <d v="1899-12-30T17:35:16"/>
    <s v=""/>
    <s v="Perdido"/>
    <d v="2025-03-26T00:00:00"/>
    <d v="1899-12-30T17:30:46"/>
    <s v="Fora do porte mínimo (sem fit estrutural)"/>
    <s v=""/>
    <s v=""/>
    <x v="0"/>
    <s v=""/>
    <x v="51"/>
    <s v=""/>
    <m/>
    <m/>
    <s v=""/>
    <s v=""/>
    <s v=""/>
    <s v=""/>
    <n v="1"/>
  </r>
  <r>
    <x v="0"/>
    <n v="255"/>
    <m/>
    <n v="1778"/>
    <s v=""/>
    <s v=""/>
    <x v="96"/>
    <m/>
    <s v=""/>
    <s v="Tiago - Diretor da Empresa"/>
    <s v="54981340574"/>
    <s v=""/>
    <s v="null"/>
    <s v=""/>
    <s v=""/>
    <s v=""/>
    <s v=""/>
    <s v=""/>
    <s v="Feiras"/>
    <s v=""/>
    <s v=""/>
    <s v="Abcasa2025fevereiro"/>
    <s v="Pipeline de Vendas"/>
    <s v="Qualificação de Vendas (SQL) (25%)"/>
    <s v="6x sem juros (0/30/60/90/120/150...)"/>
    <m/>
    <m/>
    <m/>
    <n v="116"/>
    <s v="Paulo Souza"/>
    <d v="2025-02-14T00:00:00"/>
    <d v="1899-12-30T17:37:06"/>
    <s v=""/>
    <s v="Perdido"/>
    <d v="2025-06-10T00:00:00"/>
    <d v="1899-12-30T14:50:38"/>
    <s v="Projeto adiado / sem prazo definido"/>
    <s v=""/>
    <s v=""/>
    <x v="0"/>
    <s v=""/>
    <x v="54"/>
    <s v=""/>
    <m/>
    <m/>
    <s v=""/>
    <s v=""/>
    <s v=""/>
    <s v=""/>
    <n v="1"/>
  </r>
  <r>
    <x v="0"/>
    <n v="256"/>
    <m/>
    <n v="1781"/>
    <s v=""/>
    <s v=""/>
    <x v="97"/>
    <m/>
    <s v=""/>
    <s v="Wanessa"/>
    <s v="38998346343"/>
    <s v=""/>
    <s v="rh@xododeminasmoc.com.br"/>
    <s v=""/>
    <s v=""/>
    <s v=""/>
    <s v=""/>
    <s v=""/>
    <s v="Indicação"/>
    <s v=""/>
    <s v=""/>
    <s v=""/>
    <s v="Pipeline de Vendas"/>
    <s v="Apresentar Solução (35%)"/>
    <s v="6x sem juros (0/30/60/90/120/150...)"/>
    <m/>
    <m/>
    <m/>
    <n v="37"/>
    <s v="Paulo Souza"/>
    <d v="2025-02-17T00:00:00"/>
    <d v="1899-12-30T12:20:30"/>
    <s v=""/>
    <s v="Perdido"/>
    <d v="2025-03-26T00:00:00"/>
    <d v="1899-12-30T17:36:27"/>
    <s v="Não quer mudar a solução atual"/>
    <s v=""/>
    <s v=""/>
    <x v="47"/>
    <s v="Paulo Souza"/>
    <x v="54"/>
    <s v=""/>
    <m/>
    <m/>
    <s v=""/>
    <s v=""/>
    <s v=""/>
    <s v=""/>
    <n v="1"/>
  </r>
  <r>
    <x v="0"/>
    <n v="257"/>
    <m/>
    <n v="1780"/>
    <s v=""/>
    <s v=""/>
    <x v="98"/>
    <m/>
    <s v=""/>
    <s v="Waldemar"/>
    <s v="(43) 99141-6611"/>
    <s v=""/>
    <s v="ti@gelonisorvetes.com.br"/>
    <s v=""/>
    <s v=""/>
    <s v=""/>
    <s v="Flórida"/>
    <s v=""/>
    <s v="Site"/>
    <s v=""/>
    <s v=""/>
    <s v="Abcasa2025fevereiro;Contato;GELADO"/>
    <s v="Pipeline de Vendas"/>
    <s v="Em negociação (75%)"/>
    <s v="6x sem juros (0/30/60/90/120/150...)"/>
    <m/>
    <n v="1234935"/>
    <n v="833725"/>
    <n v="113"/>
    <s v="Paulo Souza"/>
    <d v="2025-02-17T00:00:00"/>
    <d v="1899-12-30T12:55:36"/>
    <s v=""/>
    <s v="Perdido"/>
    <d v="2025-06-10T00:00:00"/>
    <d v="1899-12-30T14:38:18"/>
    <s v="Fechou com o concorrente - preço"/>
    <s v=""/>
    <s v=""/>
    <x v="47"/>
    <s v="Paulo Souza"/>
    <x v="54"/>
    <s v=""/>
    <m/>
    <m/>
    <s v=""/>
    <s v=""/>
    <s v=""/>
    <s v=""/>
    <n v="1"/>
  </r>
  <r>
    <x v="0"/>
    <n v="258"/>
    <m/>
    <n v="1782"/>
    <s v=""/>
    <s v=""/>
    <x v="99"/>
    <m/>
    <s v=""/>
    <s v="Elton"/>
    <s v="73999081706"/>
    <s v=""/>
    <s v="frutyba.rh@hotmail.com"/>
    <s v=""/>
    <s v=""/>
    <s v=""/>
    <s v=""/>
    <s v=""/>
    <s v=""/>
    <s v=""/>
    <s v=""/>
    <s v="Abcasa2025fevereiro"/>
    <s v="Pipeline de Vendas"/>
    <s v="Em negociação (75%)"/>
    <s v=""/>
    <m/>
    <m/>
    <m/>
    <n v="21"/>
    <s v="Paulo Souza"/>
    <d v="2025-02-17T00:00:00"/>
    <d v="1899-12-30T12:57:36"/>
    <s v=""/>
    <s v="Perdido"/>
    <d v="2025-03-10T00:00:00"/>
    <d v="1899-12-30T17:40:22"/>
    <s v="Preço muito alto - fora do budget de investimento"/>
    <s v=""/>
    <s v=""/>
    <x v="47"/>
    <s v="Paulo Souza"/>
    <x v="54"/>
    <s v=""/>
    <m/>
    <m/>
    <s v=""/>
    <s v=""/>
    <s v=""/>
    <s v=""/>
    <n v="1"/>
  </r>
  <r>
    <x v="0"/>
    <n v="259"/>
    <m/>
    <n v="1783"/>
    <s v=""/>
    <s v=""/>
    <x v="100"/>
    <m/>
    <s v=""/>
    <s v="Jose e Felipe"/>
    <s v="11997681796"/>
    <s v=""/>
    <s v="null"/>
    <s v=""/>
    <s v=""/>
    <s v=""/>
    <s v=""/>
    <s v=""/>
    <s v="Feiras"/>
    <s v=""/>
    <s v=""/>
    <s v="Abup2025Fevereiro;Pausado"/>
    <s v="Pipeline de Vendas"/>
    <s v="Qualificação de Vendas (SQL) (25%)"/>
    <s v="6x sem juros (0/30/60/90/120/150...)"/>
    <m/>
    <m/>
    <m/>
    <n v="75"/>
    <s v="Paulo Souza"/>
    <d v="2025-02-17T00:00:00"/>
    <d v="1899-12-30T13:19:01"/>
    <s v=""/>
    <s v="Perdido"/>
    <d v="2025-05-03T00:00:00"/>
    <d v="1899-12-30T11:01:03"/>
    <s v="Projeto adiado / sem prazo definido"/>
    <s v=""/>
    <s v=""/>
    <x v="0"/>
    <s v="Paulo Souza"/>
    <x v="55"/>
    <s v=""/>
    <m/>
    <m/>
    <s v=""/>
    <s v=""/>
    <s v=""/>
    <s v=""/>
    <n v="1"/>
  </r>
  <r>
    <x v="0"/>
    <n v="260"/>
    <m/>
    <n v="1785"/>
    <s v=""/>
    <s v=""/>
    <x v="101"/>
    <m/>
    <s v=""/>
    <s v="Luis Felips"/>
    <s v="11964237222"/>
    <s v=""/>
    <s v="null"/>
    <s v=""/>
    <s v=""/>
    <s v=""/>
    <s v=""/>
    <s v=""/>
    <s v="Feiras"/>
    <s v=""/>
    <s v=""/>
    <s v="Abup2025Fevereiro"/>
    <s v="Pipeline de Vendas"/>
    <s v="Qualificação de Vendas (SQL) (25%)"/>
    <s v="6x sem juros (0/30/60/90/120/150...)"/>
    <m/>
    <m/>
    <m/>
    <n v="37"/>
    <s v="Paulo Souza"/>
    <d v="2025-02-17T00:00:00"/>
    <d v="1899-12-30T13:24:02"/>
    <s v=""/>
    <s v="Perdido"/>
    <d v="2025-03-26T00:00:00"/>
    <d v="1899-12-30T17:33:35"/>
    <s v="Preço muito alto - fora do budget de investimento"/>
    <s v=""/>
    <s v=""/>
    <x v="0"/>
    <s v="Paulo Souza"/>
    <x v="55"/>
    <s v=""/>
    <m/>
    <m/>
    <s v=""/>
    <s v=""/>
    <s v=""/>
    <s v=""/>
    <n v="1"/>
  </r>
  <r>
    <x v="1"/>
    <n v="261"/>
    <m/>
    <n v="1786"/>
    <s v=""/>
    <s v=""/>
    <x v="102"/>
    <m/>
    <s v=""/>
    <s v="Prioridade 10"/>
    <s v="49991999161"/>
    <s v=""/>
    <s v="prioridade10e20financeiro@hotmail.com"/>
    <s v=""/>
    <s v=""/>
    <s v=""/>
    <s v=""/>
    <s v=""/>
    <s v=""/>
    <s v=""/>
    <s v=""/>
    <s v="Abcasa2025fevereiro"/>
    <s v="Pipeline de Vendas"/>
    <s v="Apresentar Proposta (50%)"/>
    <s v=""/>
    <m/>
    <n v="1600"/>
    <n v="2101"/>
    <n v="7"/>
    <s v="Junior Lopes"/>
    <d v="2025-02-17T00:00:00"/>
    <d v="1899-12-30T14:58:43"/>
    <s v=""/>
    <s v="Perdido"/>
    <d v="2025-02-24T00:00:00"/>
    <d v="1899-12-30T17:14:55"/>
    <s v="Preço muito alto - fora do budget de investimento"/>
    <s v="Bom dia_x000a_Junior, achei o sistema completo, não foge do que outras empresas proporcionam no mercado… no entanto, achei o valor de implantação muito elevado, da próximo de 80 mil reais pra fazer a implantação de um sistema"/>
    <s v=""/>
    <x v="42"/>
    <s v=""/>
    <x v="50"/>
    <s v=""/>
    <m/>
    <m/>
    <s v=""/>
    <s v=""/>
    <s v=""/>
    <s v=""/>
    <n v="1"/>
  </r>
  <r>
    <x v="0"/>
    <n v="263"/>
    <m/>
    <n v="1790"/>
    <s v="Falei com a Suzana sobre a sequencia do projeto. Ela esta de férias e retorna na semana do dia 12/01e vamos retomar. _x000a_Ligar para Susana no dia 14/01._x000a_23/01 Fiz FUP com a Susana que estava de férias e retornou hoje. Combinamos de eu Enviar para ela o form para ela preencher e após fazer a proposta ._x000a_17/02 Por falta de interação e interesse, estou declinando o lead."/>
    <s v=""/>
    <x v="103"/>
    <m/>
    <s v=""/>
    <s v="Suzana"/>
    <s v="11914779683"/>
    <s v=""/>
    <s v="null"/>
    <s v=""/>
    <s v=""/>
    <s v=""/>
    <s v=""/>
    <s v=""/>
    <s v="Outbound"/>
    <s v=""/>
    <s v=""/>
    <s v="50%"/>
    <s v="Pipeline de Vendas"/>
    <s v="Apresentar Proposta (50%)"/>
    <s v="6x sem juros (0/30/60/90/120/150...)"/>
    <d v="2026-01-31T00:00:00"/>
    <m/>
    <m/>
    <n v="364"/>
    <s v="Paulo Souza"/>
    <d v="2025-02-18T00:00:00"/>
    <d v="1899-12-30T10:00:38"/>
    <s v=""/>
    <s v="Perdido"/>
    <d v="2026-02-17T00:00:00"/>
    <d v="1899-12-30T14:29:08"/>
    <s v="Projeto adiado / sem prazo definido"/>
    <s v="17/02 Por falta de interação e interesse, estou declinando o lead."/>
    <s v=""/>
    <x v="48"/>
    <s v="Paulo Souza"/>
    <x v="56"/>
    <s v="21/11/2025"/>
    <d v="2026-01-23T00:00:00"/>
    <n v="50"/>
    <s v=""/>
    <s v=""/>
    <s v=""/>
    <s v=""/>
    <n v="1"/>
  </r>
  <r>
    <x v="1"/>
    <n v="266"/>
    <m/>
    <n v="1866"/>
    <s v=""/>
    <s v=""/>
    <x v="104"/>
    <n v="8652421000109"/>
    <s v=""/>
    <s v="Berenardi &amp; Bernardi"/>
    <s v="(55) 3744-6412 / (55) 3744-3600"/>
    <s v=""/>
    <s v="pedidos@suifarma.com.br"/>
    <s v=""/>
    <s v=""/>
    <s v=""/>
    <s v="FREDERICO WESTPHALEN"/>
    <s v="RS"/>
    <s v=""/>
    <s v=""/>
    <s v=""/>
    <s v=""/>
    <s v="Pipeline de Vendas"/>
    <s v="Qualificação de Vendas (SQL) (25%)"/>
    <s v=""/>
    <m/>
    <n v="14400"/>
    <n v="18034"/>
    <n v="30"/>
    <s v="Junior Lopes"/>
    <d v="2025-02-19T00:00:00"/>
    <d v="1899-12-30T17:02:21"/>
    <s v=""/>
    <s v="Perdido"/>
    <d v="2025-03-21T00:00:00"/>
    <d v="1899-12-30T14:43:49"/>
    <s v="Não quer mudar a solução atual"/>
    <s v="cliente esfriou após envio da proposta"/>
    <s v=""/>
    <x v="49"/>
    <s v=""/>
    <x v="57"/>
    <s v=""/>
    <m/>
    <m/>
    <s v=""/>
    <s v=""/>
    <s v=""/>
    <s v=""/>
    <n v="1"/>
  </r>
  <r>
    <x v="1"/>
    <n v="267"/>
    <m/>
    <n v="1871"/>
    <s v=""/>
    <s v=""/>
    <x v="105"/>
    <n v="21969045000149"/>
    <s v=""/>
    <s v="Açomix"/>
    <s v="(18) 3638-8000"/>
    <s v=""/>
    <s v="paulo@acomix.net"/>
    <s v=""/>
    <s v=""/>
    <s v=""/>
    <s v="COROADOS"/>
    <s v="SP"/>
    <s v="Feiras"/>
    <s v=""/>
    <s v=""/>
    <s v="Abup2025Fevereiro"/>
    <s v="Pipeline de Vendas"/>
    <s v="Em Fechamento (100%)"/>
    <s v="6x sem juros (0/30/60/90/120/150...)"/>
    <m/>
    <n v="88000"/>
    <n v="450432"/>
    <n v="64"/>
    <s v="Junior Lopes"/>
    <d v="2025-02-19T00:00:00"/>
    <d v="1899-12-30T17:06:03"/>
    <s v=""/>
    <s v="Ganho"/>
    <d v="2025-04-24T00:00:00"/>
    <d v="1899-12-30T12:10:45"/>
    <s v=""/>
    <s v=""/>
    <s v=""/>
    <x v="50"/>
    <s v=""/>
    <x v="0"/>
    <s v=""/>
    <m/>
    <m/>
    <s v=""/>
    <s v=""/>
    <s v=""/>
    <s v=""/>
    <n v="1"/>
  </r>
  <r>
    <x v="1"/>
    <n v="268"/>
    <m/>
    <n v="1874"/>
    <s v=""/>
    <s v=""/>
    <x v="106"/>
    <n v="52556578000122"/>
    <s v=""/>
    <s v="Elgin S/A"/>
    <s v="(11) 3411-2010"/>
    <s v=""/>
    <s v="rogerio.machado@elgin.com.br"/>
    <s v=""/>
    <s v=""/>
    <s v=""/>
    <s v="MOGI DAS CRUZES"/>
    <s v="SP"/>
    <s v="Feiras"/>
    <s v=""/>
    <s v=""/>
    <s v="Abup2025Fevereiro"/>
    <s v="Pipeline de Vendas"/>
    <s v="Qualificação de Vendas (SQL) (25%)"/>
    <s v="6x sem juros (0/30/60/90/120/150...)"/>
    <m/>
    <m/>
    <m/>
    <n v="54"/>
    <s v="Junior Lopes"/>
    <d v="2025-02-20T00:00:00"/>
    <d v="1899-12-30T10:37:30"/>
    <s v=""/>
    <s v="Perdido"/>
    <d v="2025-04-15T00:00:00"/>
    <d v="1899-12-30T16:39:42"/>
    <s v="Projeto adiado / sem prazo definido"/>
    <s v="cliente não responde as mensagens continuarei a prospectar em paralelo"/>
    <s v=""/>
    <x v="0"/>
    <s v=""/>
    <x v="0"/>
    <s v=""/>
    <m/>
    <m/>
    <s v=""/>
    <s v=""/>
    <s v=""/>
    <s v=""/>
    <n v="1"/>
  </r>
  <r>
    <x v="1"/>
    <n v="270"/>
    <n v="167"/>
    <n v="1880"/>
    <s v=""/>
    <s v=""/>
    <x v="107"/>
    <n v="7973104000121"/>
    <s v="ELMO ATACADO"/>
    <s v="Fabio"/>
    <s v="47999949301"/>
    <s v=""/>
    <s v="joao@atacadoelmo.com.br"/>
    <s v=""/>
    <s v=""/>
    <s v=""/>
    <s v="Joinville"/>
    <s v="SC"/>
    <s v=""/>
    <s v=""/>
    <s v=""/>
    <s v=""/>
    <s v="Pipeline de Vendas"/>
    <s v="Em Fechamento (100%)"/>
    <s v=""/>
    <m/>
    <n v="0"/>
    <n v="49896"/>
    <n v="11"/>
    <s v="Junior Lopes"/>
    <d v="2025-02-20T00:00:00"/>
    <d v="1899-12-30T11:43:19"/>
    <s v=""/>
    <s v="Ganho"/>
    <d v="2025-03-03T00:00:00"/>
    <d v="1899-12-30T11:34:05"/>
    <s v=""/>
    <s v=""/>
    <s v=""/>
    <x v="50"/>
    <s v=""/>
    <x v="0"/>
    <s v=""/>
    <m/>
    <m/>
    <s v=""/>
    <s v=""/>
    <s v=""/>
    <s v=""/>
    <n v="1"/>
  </r>
  <r>
    <x v="1"/>
    <n v="272"/>
    <m/>
    <n v="1882"/>
    <s v=""/>
    <s v=""/>
    <x v="108"/>
    <m/>
    <s v=""/>
    <s v="123 util"/>
    <s v="31987570994"/>
    <s v=""/>
    <s v="123util@maxximusimportadora.com.br"/>
    <s v=""/>
    <s v=""/>
    <s v=""/>
    <s v=""/>
    <s v=""/>
    <s v="Feiras"/>
    <s v=""/>
    <s v=""/>
    <s v="Abcasa2025fevereiro"/>
    <s v="Pipeline de Vendas"/>
    <s v="Qualificação de Vendas (SQL) (25%)"/>
    <s v="6x sem juros (0/30/60/90/120/150...)"/>
    <m/>
    <m/>
    <m/>
    <n v="50"/>
    <s v="Junior Lopes"/>
    <d v="2025-02-24T00:00:00"/>
    <d v="1899-12-30T09:24:09"/>
    <s v=""/>
    <s v="Perdido"/>
    <d v="2025-04-15T00:00:00"/>
    <d v="1899-12-30T16:37:27"/>
    <s v="Projeto adiado / sem prazo definido"/>
    <s v="cliente não responde as mensagens , continuarei a prospectar em paralelo"/>
    <s v=""/>
    <x v="0"/>
    <s v=""/>
    <x v="44"/>
    <s v=""/>
    <m/>
    <m/>
    <s v=""/>
    <s v=""/>
    <s v=""/>
    <s v=""/>
    <n v="1"/>
  </r>
  <r>
    <x v="2"/>
    <n v="273"/>
    <m/>
    <n v="1883"/>
    <s v=""/>
    <s v=""/>
    <x v="109"/>
    <m/>
    <s v=""/>
    <s v="Ilan Couselo"/>
    <s v="11991554630"/>
    <s v=""/>
    <s v="ilan@couselo.com.br"/>
    <s v=""/>
    <s v=""/>
    <s v=""/>
    <s v=""/>
    <s v=""/>
    <s v="Feiras"/>
    <s v=""/>
    <s v=""/>
    <s v=""/>
    <s v="Pipeline de Vendas"/>
    <s v="Em Fechamento (100%)"/>
    <s v="6x sem juros (0/30/60/90/120/150...)"/>
    <m/>
    <n v="55440"/>
    <n v="560465"/>
    <n v="39"/>
    <s v="Rayssa Karapeticov"/>
    <d v="2025-02-24T00:00:00"/>
    <d v="1899-12-30T15:53:45"/>
    <s v=""/>
    <s v="Perdido"/>
    <d v="2025-04-04T00:00:00"/>
    <d v="1899-12-30T15:28:34"/>
    <s v="Preço muito alto - fora do budget de investimento"/>
    <s v=""/>
    <s v=""/>
    <x v="51"/>
    <s v="Rayssa Karapeticov"/>
    <x v="58"/>
    <s v="24/02/2025 00:00"/>
    <m/>
    <m/>
    <s v=""/>
    <s v=""/>
    <s v=""/>
    <s v=""/>
    <n v="1"/>
  </r>
  <r>
    <x v="1"/>
    <n v="277"/>
    <m/>
    <n v="1887"/>
    <s v=""/>
    <s v=""/>
    <x v="110"/>
    <m/>
    <s v=""/>
    <s v="Erca Aluminio"/>
    <s v="19997023116"/>
    <s v=""/>
    <s v="rafael@ercaaluminio.com.br"/>
    <s v=""/>
    <s v=""/>
    <s v=""/>
    <s v=""/>
    <s v=""/>
    <s v=""/>
    <s v=""/>
    <s v=""/>
    <s v=""/>
    <s v="Pipeline de Vendas"/>
    <s v="Em Fechamento (100%)"/>
    <s v=""/>
    <m/>
    <n v="0"/>
    <n v="3564"/>
    <n v="5"/>
    <s v="Junior Lopes"/>
    <d v="2025-02-26T00:00:00"/>
    <d v="1899-12-30T09:12:09"/>
    <s v=""/>
    <s v="Ganho"/>
    <d v="2025-03-03T00:00:00"/>
    <d v="1899-12-30T11:34:23"/>
    <s v=""/>
    <s v=""/>
    <s v=""/>
    <x v="52"/>
    <s v=""/>
    <x v="0"/>
    <s v=""/>
    <m/>
    <m/>
    <s v=""/>
    <s v=""/>
    <s v=""/>
    <s v=""/>
    <n v="1"/>
  </r>
  <r>
    <x v="1"/>
    <n v="279"/>
    <m/>
    <n v="1890"/>
    <s v=""/>
    <s v=""/>
    <x v="111"/>
    <m/>
    <s v=""/>
    <s v="Claudio"/>
    <s v="14997530243"/>
    <s v=""/>
    <s v="null"/>
    <s v=""/>
    <s v=""/>
    <s v=""/>
    <s v=""/>
    <s v=""/>
    <s v=""/>
    <s v=""/>
    <s v=""/>
    <s v=""/>
    <s v="Pipeline de Vendas"/>
    <s v="Qualificação de Vendas (SQL) (25%)"/>
    <s v=""/>
    <m/>
    <m/>
    <m/>
    <n v="2"/>
    <s v="Paulo Souza"/>
    <d v="2025-02-26T00:00:00"/>
    <d v="1899-12-30T17:34:49"/>
    <s v=""/>
    <s v="Perdido"/>
    <d v="2025-02-28T00:00:00"/>
    <d v="1899-12-30T17:04:22"/>
    <s v="Fora do porte mínimo (sem fit estrutural)"/>
    <s v="Representante"/>
    <s v=""/>
    <x v="0"/>
    <s v="Junior Lopes"/>
    <x v="0"/>
    <s v=""/>
    <m/>
    <m/>
    <s v=""/>
    <s v=""/>
    <s v=""/>
    <s v=""/>
    <n v="1"/>
  </r>
  <r>
    <x v="1"/>
    <n v="281"/>
    <m/>
    <n v="1892"/>
    <s v=""/>
    <s v=""/>
    <x v="112"/>
    <m/>
    <s v=""/>
    <s v="açomix soluções para o lar"/>
    <s v="17996266839"/>
    <s v=""/>
    <s v="fernando@acomix.net"/>
    <s v=""/>
    <s v=""/>
    <s v=""/>
    <s v=""/>
    <s v=""/>
    <s v="Feiras"/>
    <s v=""/>
    <s v=""/>
    <s v=""/>
    <s v="Pipeline de Vendas"/>
    <s v="Em Fechamento (100%)"/>
    <s v="6x sem juros (0/30/60/90/120/150...)"/>
    <m/>
    <n v="0"/>
    <n v="449635"/>
    <n v="55"/>
    <s v="Junior Lopes"/>
    <d v="2025-02-28T00:00:00"/>
    <d v="1899-12-30T10:13:32"/>
    <s v=""/>
    <s v="Ganho"/>
    <d v="2025-04-24T00:00:00"/>
    <d v="1899-12-30T12:11:29"/>
    <s v=""/>
    <s v=""/>
    <s v=""/>
    <x v="46"/>
    <s v=""/>
    <x v="59"/>
    <s v=""/>
    <m/>
    <m/>
    <s v=""/>
    <s v=""/>
    <s v=""/>
    <s v=""/>
    <n v="1"/>
  </r>
  <r>
    <x v="1"/>
    <n v="282"/>
    <m/>
    <n v="1894"/>
    <s v=""/>
    <s v=""/>
    <x v="113"/>
    <m/>
    <s v=""/>
    <s v="Plasberg"/>
    <s v="75981412000"/>
    <s v=""/>
    <s v="breno@plasberg.com.br"/>
    <s v=""/>
    <s v=""/>
    <s v=""/>
    <s v=""/>
    <s v=""/>
    <s v="Feiras"/>
    <s v=""/>
    <s v=""/>
    <s v=""/>
    <s v="Pipeline de Vendas"/>
    <s v="Apresentar Proposta (50%)"/>
    <s v="6x sem juros (0/30/60/90/120/150...)"/>
    <m/>
    <n v="1600"/>
    <n v="5"/>
    <n v="47"/>
    <s v="Junior Lopes"/>
    <d v="2025-02-28T00:00:00"/>
    <d v="1899-12-30T16:52:57"/>
    <s v=""/>
    <s v="Perdido"/>
    <d v="2025-04-16T00:00:00"/>
    <d v="1899-12-30T09:28:18"/>
    <s v="Projeto adiado / sem prazo definido"/>
    <s v="Breno não responde as mensagens ! estou fechando oportunidade mas continuo em busca da oportunidade"/>
    <s v=""/>
    <x v="43"/>
    <s v=""/>
    <x v="47"/>
    <s v=""/>
    <m/>
    <m/>
    <s v=""/>
    <s v=""/>
    <s v=""/>
    <s v=""/>
    <n v="1"/>
  </r>
  <r>
    <x v="2"/>
    <n v="283"/>
    <m/>
    <n v="1895"/>
    <s v=""/>
    <s v=""/>
    <x v="114"/>
    <n v="37075503000136"/>
    <s v=""/>
    <s v="Rafael"/>
    <s v="(48) 3380-3374"/>
    <s v=""/>
    <s v="pupiimports@gmail.com"/>
    <s v=""/>
    <s v=""/>
    <s v=""/>
    <s v="TIJUCAS"/>
    <s v="SC"/>
    <s v=""/>
    <s v=""/>
    <s v=""/>
    <s v=""/>
    <s v="Pipeline de Vendas"/>
    <s v="Em Fechamento (100%)"/>
    <s v=""/>
    <m/>
    <n v="63000"/>
    <n v="211328"/>
    <n v="20"/>
    <s v="Rayssa Karapeticov"/>
    <d v="2025-03-04T00:00:00"/>
    <d v="1899-12-30T09:43:38"/>
    <s v=""/>
    <s v="Ganho"/>
    <d v="2025-03-24T00:00:00"/>
    <d v="1899-12-30T19:14:21"/>
    <s v=""/>
    <s v=""/>
    <s v=""/>
    <x v="53"/>
    <s v="Rayssa Karapeticov"/>
    <x v="0"/>
    <s v=""/>
    <m/>
    <m/>
    <s v=""/>
    <s v=""/>
    <s v=""/>
    <s v=""/>
    <n v="1"/>
  </r>
  <r>
    <x v="2"/>
    <n v="284"/>
    <m/>
    <n v="1897"/>
    <s v=""/>
    <s v=""/>
    <x v="115"/>
    <n v="37075503000136"/>
    <s v=""/>
    <s v="Rafael"/>
    <s v="(48) 3380-3374"/>
    <s v=""/>
    <s v="pupiimports@gmail.com"/>
    <s v=""/>
    <s v=""/>
    <s v=""/>
    <s v="TIJUCAS"/>
    <s v="SC"/>
    <s v="Feiras"/>
    <s v=""/>
    <s v=""/>
    <s v=""/>
    <s v="Pipeline de Vendas"/>
    <s v="Em Fechamento (100%)"/>
    <s v=""/>
    <m/>
    <n v="1600"/>
    <n v="287073"/>
    <n v="22"/>
    <s v="Rayssa Karapeticov"/>
    <d v="2025-03-04T00:00:00"/>
    <d v="1899-12-30T15:18:52"/>
    <s v=""/>
    <s v="Ganho"/>
    <d v="2025-03-26T00:00:00"/>
    <d v="1899-12-30T10:41:15"/>
    <s v=""/>
    <s v=""/>
    <s v=""/>
    <x v="53"/>
    <s v="Rayssa Karapeticov"/>
    <x v="60"/>
    <s v=""/>
    <m/>
    <m/>
    <s v=""/>
    <s v=""/>
    <s v=""/>
    <s v=""/>
    <n v="1"/>
  </r>
  <r>
    <x v="2"/>
    <n v="286"/>
    <m/>
    <n v="1900"/>
    <s v=""/>
    <s v=""/>
    <x v="116"/>
    <n v="37075503000136"/>
    <s v=""/>
    <s v="Rafael"/>
    <s v="5196199231"/>
    <s v=""/>
    <s v="pupiimports@gmail.com"/>
    <s v=""/>
    <s v=""/>
    <s v=""/>
    <s v="TIJUCAS"/>
    <s v="SC"/>
    <s v="Outbound"/>
    <s v=""/>
    <s v=""/>
    <s v=""/>
    <s v="Pipeline de Vendas"/>
    <s v="Em negociação (75%)"/>
    <s v="6x sem juros (0/30/60/90/120/150...)"/>
    <m/>
    <n v="23580"/>
    <n v="1800"/>
    <n v="65"/>
    <s v="Rayssa Karapeticov"/>
    <d v="2025-03-10T00:00:00"/>
    <d v="1899-12-30T15:20:29"/>
    <s v=""/>
    <s v="Perdido"/>
    <d v="2025-05-14T00:00:00"/>
    <d v="1899-12-30T11:32:41"/>
    <s v="Não houve aprovação financeira"/>
    <s v=""/>
    <s v=""/>
    <x v="54"/>
    <s v="Rayssa Karapeticov"/>
    <x v="61"/>
    <s v=""/>
    <m/>
    <m/>
    <s v=""/>
    <s v=""/>
    <s v=""/>
    <s v=""/>
    <n v="1"/>
  </r>
  <r>
    <x v="0"/>
    <n v="287"/>
    <m/>
    <n v="1902"/>
    <s v=""/>
    <s v=""/>
    <x v="117"/>
    <n v="7764744000202"/>
    <s v=""/>
    <s v="Xeryus"/>
    <s v="11997802621"/>
    <s v=""/>
    <s v="jesica@xeryus.com.br"/>
    <s v=""/>
    <s v=""/>
    <s v=""/>
    <s v=""/>
    <s v=""/>
    <s v="Outbound"/>
    <s v=""/>
    <s v=""/>
    <s v="MORNO"/>
    <s v="Pipeline de Vendas"/>
    <s v="Em negociação (75%)"/>
    <s v="6x sem juros (0/30/60/90/120/150...)"/>
    <m/>
    <n v="16000"/>
    <n v="68607"/>
    <n v="54"/>
    <s v="Paulo Souza"/>
    <d v="2025-03-10T00:00:00"/>
    <d v="1899-12-30T16:44:02"/>
    <s v=""/>
    <s v="Perdido"/>
    <d v="2025-05-03T00:00:00"/>
    <d v="1899-12-30T10:37:26"/>
    <s v="Fechou com o concorrente - preço"/>
    <s v=""/>
    <s v=""/>
    <x v="55"/>
    <s v="Paulo Souza"/>
    <x v="62"/>
    <s v="11/03/2025 00:00"/>
    <m/>
    <m/>
    <s v=""/>
    <s v=""/>
    <s v=""/>
    <s v=""/>
    <n v="1"/>
  </r>
  <r>
    <x v="1"/>
    <n v="291"/>
    <m/>
    <n v="1904"/>
    <s v=""/>
    <s v=""/>
    <x v="118"/>
    <m/>
    <s v=""/>
    <s v="Ponto 10"/>
    <s v="7199841895"/>
    <s v=""/>
    <s v="gabriel@grupoponto10.com.br"/>
    <s v=""/>
    <s v=""/>
    <s v=""/>
    <s v=""/>
    <s v=""/>
    <s v="Parceiros"/>
    <s v=""/>
    <s v=""/>
    <s v=""/>
    <s v="Pipeline de Vendas"/>
    <s v="Em Fechamento (100%)"/>
    <s v="6x sem juros (0/30/60/90/120/150...)"/>
    <m/>
    <n v="12720"/>
    <n v="1764"/>
    <n v="47"/>
    <s v="Junior Lopes"/>
    <d v="2025-03-13T00:00:00"/>
    <d v="1899-12-30T14:19:18"/>
    <s v=""/>
    <s v="Ganho"/>
    <d v="2025-04-29T00:00:00"/>
    <d v="1899-12-30T14:35:30"/>
    <s v=""/>
    <s v=""/>
    <s v=""/>
    <x v="56"/>
    <s v=""/>
    <x v="63"/>
    <s v=""/>
    <m/>
    <m/>
    <s v=""/>
    <s v=""/>
    <s v=""/>
    <s v=""/>
    <n v="1"/>
  </r>
  <r>
    <x v="0"/>
    <n v="293"/>
    <m/>
    <n v="1907"/>
    <s v=""/>
    <s v=""/>
    <x v="119"/>
    <m/>
    <s v=""/>
    <s v="Rodrigo"/>
    <s v="(17) 99734-7687"/>
    <s v=""/>
    <s v="rodrigovaquerosilva@gmail.com"/>
    <s v=""/>
    <s v=""/>
    <s v=""/>
    <s v="Jales"/>
    <s v=""/>
    <s v="Site"/>
    <s v=""/>
    <s v=""/>
    <s v="Contato"/>
    <s v="Pipeline de Vendas"/>
    <s v="Apresentar Solução (35%)"/>
    <s v="6x sem juros (0/30/60/90/120/150...)"/>
    <m/>
    <m/>
    <m/>
    <n v="21"/>
    <s v="Paulo Souza"/>
    <d v="2025-03-17T00:00:00"/>
    <d v="1899-12-30T08:53:12"/>
    <s v=""/>
    <s v="Perdido"/>
    <d v="2025-04-07T00:00:00"/>
    <d v="1899-12-30T14:00:24"/>
    <s v="Não quer mudar a solução atual"/>
    <s v=""/>
    <s v=""/>
    <x v="57"/>
    <s v=""/>
    <x v="64"/>
    <s v=""/>
    <m/>
    <m/>
    <s v=""/>
    <s v=""/>
    <s v=""/>
    <s v=""/>
    <n v="1"/>
  </r>
  <r>
    <x v="0"/>
    <n v="294"/>
    <m/>
    <n v="1908"/>
    <s v=""/>
    <s v=""/>
    <x v="120"/>
    <m/>
    <s v=""/>
    <s v="Anne"/>
    <s v="31995069963"/>
    <s v=""/>
    <s v="null"/>
    <s v=""/>
    <s v=""/>
    <s v=""/>
    <s v=""/>
    <s v=""/>
    <s v="Inbound"/>
    <s v=""/>
    <s v=""/>
    <s v=""/>
    <s v="Pipeline de Vendas"/>
    <s v="Apresentar Solução (35%)"/>
    <s v="6x sem juros (0/30/60/90/120/150...)"/>
    <m/>
    <m/>
    <m/>
    <n v="21"/>
    <s v="Paulo Souza"/>
    <d v="2025-03-17T00:00:00"/>
    <d v="1899-12-30T08:58:27"/>
    <s v=""/>
    <s v="Perdido"/>
    <d v="2025-04-07T00:00:00"/>
    <d v="1899-12-30T11:48:49"/>
    <s v="Não quer mudar a solução atual"/>
    <s v=""/>
    <s v=""/>
    <x v="57"/>
    <s v="Paulo Souza"/>
    <x v="64"/>
    <s v=""/>
    <m/>
    <m/>
    <s v=""/>
    <s v=""/>
    <s v=""/>
    <s v=""/>
    <n v="1"/>
  </r>
  <r>
    <x v="1"/>
    <n v="295"/>
    <m/>
    <n v="1909"/>
    <s v=""/>
    <s v=""/>
    <x v="121"/>
    <m/>
    <s v=""/>
    <s v="GBL Import"/>
    <s v="21996127685"/>
    <s v=""/>
    <s v="gilberto@gblimport.com.br"/>
    <s v=""/>
    <s v=""/>
    <s v=""/>
    <s v=""/>
    <s v=""/>
    <s v="Indicação"/>
    <s v=""/>
    <s v=""/>
    <s v=""/>
    <s v="Pipeline de Vendas"/>
    <s v="Em negociação (75%)"/>
    <s v="6x sem juros (0/30/60/90/120/150...)"/>
    <m/>
    <n v="79920"/>
    <n v="33813"/>
    <n v="59"/>
    <s v="Junior Lopes"/>
    <d v="2025-03-17T00:00:00"/>
    <d v="1899-12-30T12:35:35"/>
    <s v=""/>
    <s v="Perdido"/>
    <d v="2025-05-15T00:00:00"/>
    <d v="1899-12-30T16:21:33"/>
    <s v="Projeto adiado / sem prazo definido"/>
    <s v="sem retorno do cliente"/>
    <s v=""/>
    <x v="58"/>
    <s v=""/>
    <x v="65"/>
    <s v=""/>
    <m/>
    <m/>
    <s v=""/>
    <s v=""/>
    <s v=""/>
    <s v=""/>
    <n v="1"/>
  </r>
  <r>
    <x v="1"/>
    <n v="298"/>
    <m/>
    <n v="1913"/>
    <s v=""/>
    <s v=""/>
    <x v="122"/>
    <m/>
    <s v=""/>
    <s v="GBL Import - Cloud"/>
    <s v="21996127685"/>
    <s v=""/>
    <s v="geraldolima@gblimport.com.br"/>
    <s v=""/>
    <s v=""/>
    <s v=""/>
    <s v=""/>
    <s v=""/>
    <s v="Indicação"/>
    <s v=""/>
    <s v=""/>
    <s v=""/>
    <s v="Pipeline de Vendas"/>
    <s v="Em negociação (75%)"/>
    <s v="6x sem juros (0/30/60/90/120/150...)"/>
    <m/>
    <n v="1600"/>
    <n v="3196"/>
    <n v="58"/>
    <s v="Junior Lopes"/>
    <d v="2025-03-18T00:00:00"/>
    <d v="1899-12-30T15:00:29"/>
    <s v=""/>
    <s v="Perdido"/>
    <d v="2025-05-15T00:00:00"/>
    <d v="1899-12-30T16:22:10"/>
    <s v="Projeto adiado / sem prazo definido"/>
    <s v="sem retorno do cliente"/>
    <s v=""/>
    <x v="58"/>
    <s v=""/>
    <x v="65"/>
    <s v=""/>
    <m/>
    <m/>
    <s v=""/>
    <s v=""/>
    <s v=""/>
    <s v=""/>
    <n v="1"/>
  </r>
  <r>
    <x v="1"/>
    <n v="301"/>
    <m/>
    <n v="1916"/>
    <s v=""/>
    <s v=""/>
    <x v="123"/>
    <m/>
    <s v=""/>
    <s v="Erca alumínio"/>
    <s v="19997023116"/>
    <s v=""/>
    <s v="rafael@ercaaluminio.com.br"/>
    <s v=""/>
    <s v=""/>
    <s v=""/>
    <s v=""/>
    <s v=""/>
    <s v="Outbound"/>
    <s v=""/>
    <s v=""/>
    <s v=""/>
    <s v="Pipeline de Vendas"/>
    <s v="Em Fechamento (100%)"/>
    <s v=""/>
    <m/>
    <n v="2339208"/>
    <n v="0"/>
    <n v="13"/>
    <s v="Junior Lopes"/>
    <d v="2025-03-20T00:00:00"/>
    <d v="1899-12-30T14:50:12"/>
    <s v=""/>
    <s v="Ganho"/>
    <d v="2025-04-02T00:00:00"/>
    <d v="1899-12-30T10:04:50"/>
    <s v=""/>
    <s v=""/>
    <s v=""/>
    <x v="59"/>
    <s v=""/>
    <x v="0"/>
    <s v=""/>
    <m/>
    <m/>
    <s v=""/>
    <s v=""/>
    <s v=""/>
    <s v=""/>
    <n v="1"/>
  </r>
  <r>
    <x v="1"/>
    <n v="303"/>
    <m/>
    <n v="1919"/>
    <s v=""/>
    <s v=""/>
    <x v="124"/>
    <m/>
    <s v=""/>
    <s v="Dayane"/>
    <s v="(62) 99360-9476"/>
    <s v=""/>
    <s v="dayane.tecelagemcastilho@gmail.com"/>
    <s v=""/>
    <s v=""/>
    <s v=""/>
    <s v="Goiânia"/>
    <s v=""/>
    <s v="Site"/>
    <s v=""/>
    <s v=""/>
    <s v="Solicita demo"/>
    <s v="Pipeline de Vendas"/>
    <s v="Em Fechamento (100%)"/>
    <s v="6x sem juros (0/30/60/90/120/150...)"/>
    <m/>
    <n v="583848"/>
    <n v="229112"/>
    <n v="57"/>
    <s v="Paulo Souza"/>
    <d v="2025-03-25T00:00:00"/>
    <d v="1899-12-30T09:13:21"/>
    <s v=""/>
    <s v="Ganho"/>
    <d v="2025-05-21T00:00:00"/>
    <d v="1899-12-30T09:01:18"/>
    <s v=""/>
    <s v=""/>
    <s v=""/>
    <x v="60"/>
    <s v=""/>
    <x v="66"/>
    <s v="28/03/2025"/>
    <m/>
    <m/>
    <s v=""/>
    <s v=""/>
    <s v=""/>
    <s v=""/>
    <n v="1"/>
  </r>
  <r>
    <x v="1"/>
    <n v="304"/>
    <m/>
    <n v="1922"/>
    <s v=""/>
    <s v=""/>
    <x v="125"/>
    <m/>
    <s v=""/>
    <s v="Erca Alumínio"/>
    <s v="19997023116"/>
    <s v=""/>
    <s v="rafael@ercaaluminio.com.br"/>
    <s v=""/>
    <s v=""/>
    <s v=""/>
    <s v=""/>
    <s v=""/>
    <s v=""/>
    <s v=""/>
    <s v=""/>
    <s v=""/>
    <s v="Pipeline de Vendas"/>
    <s v="Em Fechamento (100%)"/>
    <s v=""/>
    <m/>
    <n v="0"/>
    <n v="14256"/>
    <n v="0"/>
    <s v="Junior Lopes"/>
    <d v="2025-03-26T00:00:00"/>
    <d v="1899-12-30T12:26:05"/>
    <s v=""/>
    <s v="Ganho"/>
    <d v="2025-03-26T00:00:00"/>
    <d v="1899-12-30T12:28:36"/>
    <s v=""/>
    <s v=""/>
    <s v=""/>
    <x v="61"/>
    <s v=""/>
    <x v="0"/>
    <s v=""/>
    <m/>
    <m/>
    <s v=""/>
    <s v=""/>
    <s v=""/>
    <s v=""/>
    <n v="1"/>
  </r>
  <r>
    <x v="1"/>
    <n v="305"/>
    <m/>
    <n v="1923"/>
    <s v=""/>
    <s v=""/>
    <x v="126"/>
    <n v="49695060000165"/>
    <s v=""/>
    <s v="Sk Importacao e Exportacao"/>
    <s v="(11) 2171-0800"/>
    <s v=""/>
    <s v="legal@vrscontabil.com.br"/>
    <s v=""/>
    <s v=""/>
    <s v=""/>
    <s v="SAO PAULO"/>
    <s v="SP"/>
    <s v="Inbound"/>
    <s v=""/>
    <s v=""/>
    <s v=""/>
    <s v="Pipeline de Vendas"/>
    <s v="Apresentar Proposta (50%)"/>
    <s v="6x sem juros (0/30/60/90/120/150...)"/>
    <m/>
    <n v="64448"/>
    <n v="159326"/>
    <n v="50"/>
    <s v="Junior Lopes"/>
    <d v="2025-03-26T00:00:00"/>
    <d v="1899-12-30T12:54:52"/>
    <s v=""/>
    <s v="Perdido"/>
    <d v="2025-05-15T00:00:00"/>
    <d v="1899-12-30T15:25:04"/>
    <s v="Projeto adiado / sem prazo definido"/>
    <s v="14:31, 06/05/2025 Jamal: Tudo bem_x000a_14:34, 06/05/2025 Junior Lopes: por aqui td bem Jamal_x000a_14:35, 06/05/2025 Junior Lopes: sobre o Software Guarani, vamos dar sequencia ?_x000a_15:02, 06/05/2025 Jamal: Meu amigo pra ser sincero estou em mudanças e esta muita correria por aqui_x000a_15:02, 06/05/2025 Jamal: Mas depois vou estudar melhor sobre"/>
    <s v=""/>
    <x v="62"/>
    <s v=""/>
    <x v="67"/>
    <s v=""/>
    <m/>
    <m/>
    <s v=""/>
    <s v=""/>
    <s v=""/>
    <s v=""/>
    <n v="1"/>
  </r>
  <r>
    <x v="1"/>
    <n v="311"/>
    <m/>
    <n v="1942"/>
    <s v=""/>
    <s v=""/>
    <x v="127"/>
    <m/>
    <s v=""/>
    <s v="Tritec"/>
    <s v="47991900625"/>
    <s v=""/>
    <s v="gisele.ehlert@tritec.ind.com"/>
    <s v=""/>
    <s v=""/>
    <s v=""/>
    <s v=""/>
    <s v=""/>
    <s v=""/>
    <s v=""/>
    <s v=""/>
    <s v=""/>
    <s v="Pipeline de Vendas"/>
    <s v="Em Fechamento (100%)"/>
    <s v="4x sem juros (0/30/60/90)"/>
    <m/>
    <n v="16960"/>
    <n v="10810"/>
    <n v="43"/>
    <s v="Junior Lopes"/>
    <d v="2025-03-27T00:00:00"/>
    <d v="1899-12-30T12:48:43"/>
    <s v=""/>
    <s v="Ganho"/>
    <d v="2025-05-09T00:00:00"/>
    <d v="1899-12-30T12:02:54"/>
    <s v=""/>
    <s v=""/>
    <s v=""/>
    <x v="60"/>
    <s v=""/>
    <x v="66"/>
    <s v="24/04/2025"/>
    <m/>
    <m/>
    <s v=""/>
    <s v=""/>
    <s v=""/>
    <s v=""/>
    <n v="1"/>
  </r>
  <r>
    <x v="0"/>
    <n v="313"/>
    <m/>
    <n v="1944"/>
    <s v=""/>
    <s v=""/>
    <x v="128"/>
    <n v="1787082000129"/>
    <s v=""/>
    <s v="Marcos"/>
    <s v="(11) 99755-7094"/>
    <s v=""/>
    <s v="contato@styroform.com.br"/>
    <s v=""/>
    <s v=""/>
    <s v=""/>
    <s v=""/>
    <s v=""/>
    <s v="Indicação"/>
    <s v=""/>
    <s v=""/>
    <s v="MORNO"/>
    <s v="Pipeline de Vendas"/>
    <s v="Em Fechamento (100%)"/>
    <s v="6x sem juros (0/30/60/90/120/150...)"/>
    <d v="2028-05-31T00:00:00"/>
    <n v="51200"/>
    <n v="42262"/>
    <n v="75"/>
    <s v="Paulo Souza"/>
    <d v="2025-03-27T00:00:00"/>
    <d v="1899-12-30T15:59:16"/>
    <s v=""/>
    <s v="Perdido"/>
    <d v="2025-06-10T00:00:00"/>
    <d v="1899-12-30T12:16:08"/>
    <s v="Preço muito alto - fora do budget de investimento"/>
    <s v=""/>
    <s v=""/>
    <x v="45"/>
    <s v="Paulo Souza"/>
    <x v="68"/>
    <s v=""/>
    <m/>
    <m/>
    <s v=""/>
    <s v=""/>
    <s v=""/>
    <s v=""/>
    <n v="1"/>
  </r>
  <r>
    <x v="0"/>
    <n v="314"/>
    <m/>
    <n v="1948"/>
    <s v=""/>
    <s v=""/>
    <x v="129"/>
    <m/>
    <s v=""/>
    <s v="Claudio"/>
    <s v="12991051939"/>
    <s v=""/>
    <s v="null"/>
    <s v=""/>
    <s v=""/>
    <s v=""/>
    <s v=""/>
    <s v=""/>
    <s v=""/>
    <s v=""/>
    <s v=""/>
    <s v=""/>
    <s v="Pipeline de Vendas"/>
    <s v="Qualificação de Vendas (SQL) (25%)"/>
    <s v=""/>
    <m/>
    <m/>
    <m/>
    <n v="10"/>
    <s v="Paulo Souza"/>
    <d v="2025-03-28T00:00:00"/>
    <d v="1899-12-30T11:11:42"/>
    <s v=""/>
    <s v="Perdido"/>
    <d v="2025-04-07T00:00:00"/>
    <d v="1899-12-30T14:36:03"/>
    <s v="Fora do porte mínimo (sem fit estrutural)"/>
    <s v=""/>
    <s v=""/>
    <x v="0"/>
    <s v="Paulo Souza"/>
    <x v="69"/>
    <s v=""/>
    <m/>
    <m/>
    <s v=""/>
    <s v=""/>
    <s v=""/>
    <s v=""/>
    <n v="1"/>
  </r>
  <r>
    <x v="1"/>
    <n v="315"/>
    <m/>
    <n v="1949"/>
    <s v=""/>
    <s v=""/>
    <x v="130"/>
    <m/>
    <s v=""/>
    <s v="Tecelagem Castitho - Cloud"/>
    <s v="62993609476"/>
    <s v=""/>
    <s v="dayane.tecelagemcastilho@gmail.com"/>
    <s v=""/>
    <s v=""/>
    <s v=""/>
    <s v=""/>
    <s v=""/>
    <s v=""/>
    <s v=""/>
    <s v=""/>
    <s v=""/>
    <s v="Pipeline de Vendas"/>
    <s v="Em Fechamento (100%)"/>
    <s v="10x sem juros (0/30/60/90/120/150...)"/>
    <m/>
    <n v="1600"/>
    <n v="180443"/>
    <n v="54"/>
    <s v="Junior Lopes"/>
    <d v="2025-03-28T00:00:00"/>
    <d v="1899-12-30T11:49:45"/>
    <s v=""/>
    <s v="Ganho"/>
    <d v="2025-05-21T00:00:00"/>
    <d v="1899-12-30T09:02:37"/>
    <s v=""/>
    <s v=""/>
    <s v=""/>
    <x v="60"/>
    <s v=""/>
    <x v="66"/>
    <s v=""/>
    <m/>
    <m/>
    <s v=""/>
    <s v=""/>
    <s v=""/>
    <s v=""/>
    <n v="1"/>
  </r>
  <r>
    <x v="1"/>
    <n v="316"/>
    <m/>
    <n v="1950"/>
    <s v=""/>
    <s v=""/>
    <x v="131"/>
    <n v="49695060000165"/>
    <s v=""/>
    <s v="SK Importação - Cloud"/>
    <s v="(11) 2171-0800"/>
    <s v=""/>
    <s v="legal@vrscontabil.com.br"/>
    <s v=""/>
    <s v=""/>
    <s v=""/>
    <s v="SAO PAULO"/>
    <s v="SP"/>
    <s v=""/>
    <s v=""/>
    <s v=""/>
    <s v=""/>
    <s v="Pipeline de Vendas"/>
    <s v="Apresentar Proposta (50%)"/>
    <s v=""/>
    <m/>
    <n v="1600"/>
    <n v="2178"/>
    <n v="48"/>
    <s v="Junior Lopes"/>
    <d v="2025-03-28T00:00:00"/>
    <d v="1899-12-30T15:06:00"/>
    <s v=""/>
    <s v="Perdido"/>
    <d v="2025-05-15T00:00:00"/>
    <d v="1899-12-30T15:26:40"/>
    <s v="Projeto adiado / sem prazo definido"/>
    <s v="14:31, 06/05/2025 Jamal: Tudo bem_x000a_14:34, 06/05/2025 Junior Lopes: por aqui td bem Jamal_x000a_14:35, 06/05/2025 Junior Lopes: sobre o Software Guarani, vamos dar sequencia ?_x000a_15:02, 06/05/2025 Jamal: Meu amigo pra ser sincero estou em mudanças e esta muita correria por aqui_x000a_15:02, 06/05/2025 Jamal: Mas depois vou estudar melhor sobre"/>
    <s v="26/03/2025"/>
    <x v="61"/>
    <s v=""/>
    <x v="67"/>
    <s v=""/>
    <m/>
    <m/>
    <s v=""/>
    <s v=""/>
    <s v=""/>
    <s v=""/>
    <n v="1"/>
  </r>
  <r>
    <x v="1"/>
    <n v="317"/>
    <m/>
    <n v="1952"/>
    <s v=""/>
    <s v=""/>
    <x v="132"/>
    <n v="8652421000109"/>
    <s v=""/>
    <s v="Comércio de prod. vet. bernardi e bernardi"/>
    <s v="(55) 3744-6412"/>
    <s v=""/>
    <s v="pedidos@suifarma.com.br"/>
    <s v=""/>
    <s v=""/>
    <s v=""/>
    <s v="FREDERICO WESTPHALEN"/>
    <s v="RS"/>
    <s v=""/>
    <s v=""/>
    <s v=""/>
    <s v=""/>
    <s v="Pipeline de Vendas"/>
    <s v="Em negociação (75%)"/>
    <s v=""/>
    <m/>
    <n v="74860"/>
    <n v="641932"/>
    <n v="48"/>
    <s v="Junior Lopes"/>
    <d v="2025-03-28T00:00:00"/>
    <d v="1899-12-30T15:37:47"/>
    <s v=""/>
    <s v="Perdido"/>
    <d v="2025-05-15T00:00:00"/>
    <d v="1899-12-30T11:35:21"/>
    <s v="Projeto adiado / sem prazo definido"/>
    <s v="cliente ainda não definiu _x000a_estou baixando oportunidade mas manterei contato via WhatsApp"/>
    <s v=""/>
    <x v="60"/>
    <s v=""/>
    <x v="70"/>
    <s v=""/>
    <m/>
    <m/>
    <s v=""/>
    <s v=""/>
    <s v=""/>
    <s v=""/>
    <n v="1"/>
  </r>
  <r>
    <x v="1"/>
    <n v="318"/>
    <m/>
    <n v="1957"/>
    <s v=""/>
    <s v=""/>
    <x v="133"/>
    <n v="8652421000109"/>
    <s v=""/>
    <s v="Comércio Bernardi e Bernardi - Cloud"/>
    <s v="43991395000"/>
    <s v=""/>
    <s v="pedidos@suifarma.com.br"/>
    <s v=""/>
    <s v=""/>
    <s v=""/>
    <s v=""/>
    <s v=""/>
    <s v=""/>
    <s v=""/>
    <s v=""/>
    <s v=""/>
    <s v="Pipeline de Vendas"/>
    <s v="Apresentar Proposta (50%)"/>
    <s v=""/>
    <m/>
    <m/>
    <m/>
    <n v="19"/>
    <s v="Junior Lopes"/>
    <d v="2025-03-28T00:00:00"/>
    <d v="1899-12-30T15:40:43"/>
    <s v=""/>
    <s v="Perdido"/>
    <d v="2025-04-16T00:00:00"/>
    <d v="1899-12-30T09:39:03"/>
    <s v="Projeto adiado / sem prazo definido"/>
    <s v="cadastro em duplicidade"/>
    <s v=""/>
    <x v="60"/>
    <s v=""/>
    <x v="70"/>
    <s v=""/>
    <m/>
    <m/>
    <s v=""/>
    <s v=""/>
    <s v=""/>
    <s v=""/>
    <n v="1"/>
  </r>
  <r>
    <x v="1"/>
    <n v="319"/>
    <m/>
    <n v="1958"/>
    <s v=""/>
    <s v=""/>
    <x v="134"/>
    <m/>
    <s v=""/>
    <s v="culturama - Horas"/>
    <s v="54996596274"/>
    <s v=""/>
    <s v="vinicius.mathyas@culturama.com.br"/>
    <s v=""/>
    <s v=""/>
    <s v=""/>
    <s v=""/>
    <s v=""/>
    <s v=""/>
    <s v=""/>
    <s v=""/>
    <s v=""/>
    <s v="Pipeline de Vendas"/>
    <s v="Em Fechamento (100%)"/>
    <s v=""/>
    <m/>
    <n v="1760013"/>
    <n v="0"/>
    <n v="0"/>
    <s v="Junior Lopes"/>
    <d v="2025-03-31T00:00:00"/>
    <d v="1899-12-30T11:20:59"/>
    <s v=""/>
    <s v="Ganho"/>
    <d v="2025-03-31T00:00:00"/>
    <d v="1899-12-30T11:36:21"/>
    <s v=""/>
    <s v=""/>
    <s v=""/>
    <x v="56"/>
    <s v=""/>
    <x v="0"/>
    <s v=""/>
    <m/>
    <m/>
    <s v=""/>
    <s v=""/>
    <s v=""/>
    <s v=""/>
    <n v="1"/>
  </r>
  <r>
    <x v="1"/>
    <n v="321"/>
    <m/>
    <n v="1961"/>
    <s v=""/>
    <s v=""/>
    <x v="133"/>
    <m/>
    <s v=""/>
    <s v="Comércio Bernardi e Bernardi - Cloud"/>
    <s v="5537446412"/>
    <s v=""/>
    <s v="pedidos@suifarma.com.br"/>
    <s v=""/>
    <s v=""/>
    <s v=""/>
    <s v=""/>
    <s v=""/>
    <s v=""/>
    <s v=""/>
    <s v=""/>
    <s v=""/>
    <s v="Pipeline de Vendas"/>
    <s v="Em negociação (75%)"/>
    <s v=""/>
    <m/>
    <n v="1600"/>
    <n v="462522"/>
    <n v="45"/>
    <s v="Junior Lopes"/>
    <d v="2025-03-31T00:00:00"/>
    <d v="1899-12-30T15:10:22"/>
    <s v=""/>
    <s v="Perdido"/>
    <d v="2025-05-15T00:00:00"/>
    <d v="1899-12-30T11:36:48"/>
    <s v="Projeto adiado / sem prazo definido"/>
    <s v="cliente ainda não definiu _x000a_estou baixando oportunidade mas manterei contato via WhatsApp"/>
    <s v=""/>
    <x v="60"/>
    <s v=""/>
    <x v="70"/>
    <s v=""/>
    <m/>
    <m/>
    <s v=""/>
    <s v=""/>
    <s v=""/>
    <s v=""/>
    <n v="1"/>
  </r>
  <r>
    <x v="1"/>
    <n v="322"/>
    <m/>
    <n v="1962"/>
    <s v=""/>
    <s v=""/>
    <x v="135"/>
    <m/>
    <s v=""/>
    <s v="GB . Importadora - XML"/>
    <s v="19993040768"/>
    <s v=""/>
    <s v="pehpbroglio@gmail.com"/>
    <s v=""/>
    <s v=""/>
    <s v=""/>
    <s v=""/>
    <s v=""/>
    <s v=""/>
    <s v=""/>
    <s v=""/>
    <s v=""/>
    <s v="Pipeline de Vendas"/>
    <s v="Em Fechamento (100%)"/>
    <s v=""/>
    <m/>
    <n v="0"/>
    <n v="30002"/>
    <n v="24"/>
    <s v="Junior Lopes"/>
    <d v="2025-03-31T00:00:00"/>
    <d v="1899-12-30T16:37:55"/>
    <s v=""/>
    <s v="Ganho"/>
    <d v="2025-04-24T00:00:00"/>
    <d v="1899-12-30T12:03:46"/>
    <s v=""/>
    <s v=""/>
    <s v=""/>
    <x v="60"/>
    <s v=""/>
    <x v="0"/>
    <s v=""/>
    <m/>
    <m/>
    <s v=""/>
    <s v=""/>
    <s v=""/>
    <s v=""/>
    <n v="1"/>
  </r>
  <r>
    <x v="1"/>
    <n v="323"/>
    <m/>
    <n v="1963"/>
    <s v=""/>
    <s v=""/>
    <x v="136"/>
    <m/>
    <s v=""/>
    <s v="ARK Brasil"/>
    <s v="21964397621"/>
    <s v=""/>
    <s v="luana.dale@arkbrasil.com.br"/>
    <s v=""/>
    <s v=""/>
    <s v=""/>
    <s v=""/>
    <s v=""/>
    <s v=""/>
    <s v=""/>
    <s v=""/>
    <s v=""/>
    <s v="Pipeline de Vendas"/>
    <s v="Apresentar Proposta (50%)"/>
    <s v=""/>
    <m/>
    <n v="16960"/>
    <n v="1980"/>
    <n v="64"/>
    <s v="Junior Lopes"/>
    <d v="2025-03-31T00:00:00"/>
    <d v="1899-12-30T16:49:47"/>
    <s v=""/>
    <s v="Perdido"/>
    <d v="2025-06-03T00:00:00"/>
    <d v="1899-12-30T11:06:14"/>
    <s v="Não quer mudar a solução atual"/>
    <s v="estou mantendo contato para força de vendas"/>
    <s v=""/>
    <x v="60"/>
    <s v=""/>
    <x v="71"/>
    <s v=""/>
    <m/>
    <m/>
    <s v=""/>
    <s v=""/>
    <s v=""/>
    <s v=""/>
    <n v="1"/>
  </r>
  <r>
    <x v="1"/>
    <n v="328"/>
    <m/>
    <n v="1970"/>
    <s v=""/>
    <s v=""/>
    <x v="137"/>
    <m/>
    <s v=""/>
    <s v="Casa Ambiente"/>
    <s v="11983264135"/>
    <s v=""/>
    <s v="contato@casaambienteud.com.br"/>
    <s v=""/>
    <s v=""/>
    <s v=""/>
    <s v=""/>
    <s v=""/>
    <s v=""/>
    <s v=""/>
    <s v=""/>
    <s v=""/>
    <s v="Pipeline de Vendas"/>
    <s v="Qualificação de Vendas (SQL) (25%)"/>
    <s v=""/>
    <m/>
    <m/>
    <m/>
    <n v="71"/>
    <s v="Junior Lopes"/>
    <d v="2025-04-01T00:00:00"/>
    <d v="1899-12-30T15:57:21"/>
    <s v=""/>
    <s v="Perdido"/>
    <d v="2025-06-11T00:00:00"/>
    <d v="1899-12-30T14:35:24"/>
    <s v="Projeto adiado / sem prazo definido"/>
    <s v="sem resposta ao contato"/>
    <s v="09/04/2025"/>
    <x v="0"/>
    <s v=""/>
    <x v="0"/>
    <s v=""/>
    <m/>
    <m/>
    <s v=""/>
    <s v=""/>
    <s v=""/>
    <s v=""/>
    <n v="1"/>
  </r>
  <r>
    <x v="1"/>
    <n v="333"/>
    <m/>
    <n v="1977"/>
    <s v=""/>
    <s v=""/>
    <x v="138"/>
    <n v="32921219000110"/>
    <s v=""/>
    <s v="MDL Import"/>
    <s v="11910695515"/>
    <s v=""/>
    <s v="janaina@mdlimport.com.br"/>
    <s v=""/>
    <s v=""/>
    <s v=""/>
    <s v=""/>
    <s v=""/>
    <s v=""/>
    <s v=""/>
    <s v=""/>
    <s v="80%"/>
    <s v="Pipeline de Vendas"/>
    <s v="Em negociação (75%)"/>
    <s v=""/>
    <m/>
    <n v="69112"/>
    <n v="318388"/>
    <n v="88"/>
    <s v="Junior Lopes"/>
    <d v="2025-04-03T00:00:00"/>
    <d v="1899-12-30T15:52:15"/>
    <s v=""/>
    <s v="Perdido"/>
    <d v="2025-06-30T00:00:00"/>
    <d v="1899-12-30T15:11:40"/>
    <s v="Não houve aprovação financeira"/>
    <s v="integração com WMS inviabilizou o projeto"/>
    <s v=""/>
    <x v="63"/>
    <s v="Junior Lopes"/>
    <x v="72"/>
    <s v="15/04/2025"/>
    <m/>
    <m/>
    <s v=""/>
    <s v=""/>
    <s v=""/>
    <s v=""/>
    <n v="1"/>
  </r>
  <r>
    <x v="2"/>
    <n v="334"/>
    <m/>
    <n v="1978"/>
    <s v=""/>
    <s v=""/>
    <x v="139"/>
    <n v="55940574000131"/>
    <s v=""/>
    <s v="Herbert Felipe Monteiro"/>
    <s v="16994380062"/>
    <s v=""/>
    <s v="felipe.monteiro@pimpinella.com.br"/>
    <s v=""/>
    <s v=""/>
    <s v=""/>
    <s v=""/>
    <s v=""/>
    <s v="Indicação"/>
    <s v=""/>
    <s v=""/>
    <s v="80%"/>
    <s v="Pipeline de Vendas"/>
    <s v="Em negociação (75%)"/>
    <s v="10x sem juros (0/30/60/90/120/150...)"/>
    <d v="2026-01-31T00:00:00"/>
    <m/>
    <m/>
    <n v="228"/>
    <s v="Rayssa Karapeticov"/>
    <d v="2025-04-04T00:00:00"/>
    <d v="1899-12-30T15:30:02"/>
    <s v=""/>
    <s v="Perdido"/>
    <d v="2025-11-18T00:00:00"/>
    <d v="1899-12-30T09:22:52"/>
    <s v="Projeto adiado / sem prazo definido"/>
    <s v=""/>
    <s v=""/>
    <x v="64"/>
    <s v="Rayssa Karapeticov"/>
    <x v="73"/>
    <s v="16/04/2025"/>
    <m/>
    <m/>
    <s v=""/>
    <s v=""/>
    <s v=""/>
    <s v=""/>
    <n v="1"/>
  </r>
  <r>
    <x v="1"/>
    <n v="336"/>
    <m/>
    <n v="1980"/>
    <s v=""/>
    <s v=""/>
    <x v="140"/>
    <n v="56262451000151"/>
    <s v=""/>
    <s v="Mais Barato Brinquedos"/>
    <s v="(11) 2492-2763"/>
    <s v=""/>
    <s v="fbastosauditores@terra.com.br"/>
    <s v=""/>
    <s v=""/>
    <s v=""/>
    <s v="GUARULHOS"/>
    <s v="SP"/>
    <s v=""/>
    <s v=""/>
    <s v=""/>
    <s v=""/>
    <s v="Pipeline de Vendas"/>
    <s v="Em negociação (75%)"/>
    <s v=""/>
    <m/>
    <n v="110486"/>
    <n v="704412"/>
    <n v="16"/>
    <s v="Junior Lopes"/>
    <d v="2025-04-07T00:00:00"/>
    <d v="1899-12-30T10:11:44"/>
    <s v=""/>
    <s v="Perdido"/>
    <d v="2025-04-23T00:00:00"/>
    <d v="1899-12-30T15:03:14"/>
    <s v="Não houve aprovação financeira"/>
    <s v="Após envio da proposta comercial, não obtive mais retorno do Kaique, estou declinando a oportunidade mas continuarei tentando contato"/>
    <s v="10/04/2025"/>
    <x v="65"/>
    <s v=""/>
    <x v="0"/>
    <s v=""/>
    <m/>
    <m/>
    <s v=""/>
    <s v=""/>
    <s v=""/>
    <s v=""/>
    <n v="1"/>
  </r>
  <r>
    <x v="0"/>
    <n v="338"/>
    <m/>
    <n v="1983"/>
    <s v=""/>
    <s v=""/>
    <x v="141"/>
    <n v="750764000102"/>
    <s v=""/>
    <s v="Adavilson"/>
    <s v="4834332503"/>
    <s v=""/>
    <s v="adavilson@bruver.com.br"/>
    <s v=""/>
    <s v=""/>
    <s v=""/>
    <s v=""/>
    <s v=""/>
    <s v=""/>
    <s v=""/>
    <s v=""/>
    <s v=""/>
    <s v="Pipeline de Vendas"/>
    <s v="Em negociação (75%)"/>
    <s v=""/>
    <m/>
    <n v="50000"/>
    <n v="30502"/>
    <n v="26"/>
    <s v="Paulo Souza"/>
    <d v="2025-04-07T00:00:00"/>
    <d v="1899-12-30T14:24:21"/>
    <s v=""/>
    <s v="Perdido"/>
    <d v="2025-05-03T00:00:00"/>
    <d v="1899-12-30T10:41:00"/>
    <s v="Preço muito alto - fora do budget de investimento"/>
    <s v=""/>
    <s v=""/>
    <x v="66"/>
    <s v="Paulo Souza"/>
    <x v="74"/>
    <s v=""/>
    <m/>
    <m/>
    <s v=""/>
    <s v=""/>
    <s v=""/>
    <s v=""/>
    <n v="1"/>
  </r>
  <r>
    <x v="1"/>
    <n v="343"/>
    <m/>
    <n v="1988"/>
    <s v=""/>
    <s v=""/>
    <x v="142"/>
    <m/>
    <s v=""/>
    <s v="ALMAPY"/>
    <s v="11940062281"/>
    <s v=""/>
    <s v="projetos@almapy.com.br"/>
    <s v=""/>
    <s v=""/>
    <s v=""/>
    <s v=""/>
    <s v=""/>
    <s v=""/>
    <s v=""/>
    <s v=""/>
    <s v=""/>
    <s v="Pipeline de Vendas"/>
    <s v="Apresentar Proposta (50%)"/>
    <s v=""/>
    <m/>
    <n v="32400"/>
    <n v="104544"/>
    <n v="34"/>
    <s v="Junior Lopes"/>
    <d v="2025-04-11T00:00:00"/>
    <d v="1899-12-30T11:56:04"/>
    <s v=""/>
    <s v="Perdido"/>
    <d v="2025-05-15T00:00:00"/>
    <d v="1899-12-30T11:17:15"/>
    <s v="Projeto adiado / sem prazo definido"/>
    <s v="Não vai dar sequencia no momento"/>
    <s v=""/>
    <x v="67"/>
    <s v=""/>
    <x v="75"/>
    <s v=""/>
    <m/>
    <m/>
    <s v=""/>
    <s v=""/>
    <s v=""/>
    <s v=""/>
    <n v="1"/>
  </r>
  <r>
    <x v="1"/>
    <n v="346"/>
    <m/>
    <n v="1991"/>
    <s v=""/>
    <s v=""/>
    <x v="143"/>
    <m/>
    <s v=""/>
    <s v="Renovação Porcelanas"/>
    <s v="11965745182"/>
    <s v=""/>
    <s v="camila@rnporcelanas.com.br"/>
    <s v=""/>
    <s v=""/>
    <s v=""/>
    <s v=""/>
    <s v=""/>
    <s v=""/>
    <s v=""/>
    <s v=""/>
    <s v="30%;90%;Fabio Indica"/>
    <s v="Pipeline de Vendas"/>
    <s v="Em Fechamento (100%)"/>
    <s v=""/>
    <d v="2026-01-31T00:00:00"/>
    <n v="51306"/>
    <n v="2700"/>
    <n v="296"/>
    <s v="Junior Lopes"/>
    <d v="2025-04-15T00:00:00"/>
    <d v="1899-12-30T14:58:16"/>
    <s v=""/>
    <s v="Ganho"/>
    <d v="2025-05-06T00:00:00"/>
    <d v="1899-12-30T11:39:55"/>
    <s v=""/>
    <s v="0"/>
    <s v=""/>
    <x v="6"/>
    <s v=""/>
    <x v="41"/>
    <s v=""/>
    <d v="2026-01-06T00:00:00"/>
    <m/>
    <s v=""/>
    <s v=""/>
    <s v=""/>
    <s v=""/>
    <n v="1"/>
  </r>
  <r>
    <x v="1"/>
    <n v="347"/>
    <m/>
    <n v="1992"/>
    <s v=""/>
    <s v=""/>
    <x v="144"/>
    <m/>
    <s v=""/>
    <s v="Renovação Porcelanas - AFV"/>
    <s v="11965745182"/>
    <s v=""/>
    <s v="camila@rnporcelanas.com.br"/>
    <s v=""/>
    <s v=""/>
    <s v=""/>
    <s v=""/>
    <s v=""/>
    <s v=""/>
    <s v=""/>
    <s v=""/>
    <s v=""/>
    <s v="Pipeline de Vendas"/>
    <s v="Em negociação (75%)"/>
    <s v=""/>
    <m/>
    <n v="15216"/>
    <n v="37684"/>
    <n v="21"/>
    <s v="Junior Lopes"/>
    <d v="2025-04-15T00:00:00"/>
    <d v="1899-12-30T14:59:35"/>
    <s v=""/>
    <s v="Perdido"/>
    <d v="2025-05-06T00:00:00"/>
    <d v="1899-12-30T11:41:13"/>
    <s v="Preço muito alto - fora do budget de investimento"/>
    <s v="Camila ! Sobre o projeto, acredita que vamos dar sequência?_x000a_,_x000a_Camila ? Boa tarde ! Espero que esteja bem ._x000a_Acredita que vamos seguir !_x000a_Oi boa tarde_x000a_Olá Camila ! Bom dia _x000a_Sobre o software? Tem interesse em dar continuidade?_x000a_Oi Camila, acredito que não tenham interesse nesse momento e tudo bem ! fico a disposição caso queira voltar sobre o projeto em breve_x000a_Junior bom dia_x000a_estou te devendo um retorno_x000a_esse valor de investimento no momento não faz sentido pra nós_x000a_voces querem fazer uma contra proposta ? posso verificar com minha diretoria"/>
    <s v=""/>
    <x v="68"/>
    <s v=""/>
    <x v="76"/>
    <s v=""/>
    <m/>
    <m/>
    <s v=""/>
    <s v=""/>
    <s v=""/>
    <s v=""/>
    <n v="1"/>
  </r>
  <r>
    <x v="1"/>
    <n v="348"/>
    <m/>
    <n v="1993"/>
    <s v=""/>
    <s v=""/>
    <x v="145"/>
    <m/>
    <s v=""/>
    <s v="Unik"/>
    <s v="11997371774"/>
    <s v=""/>
    <s v="leonardo@unik.com.br"/>
    <s v=""/>
    <s v=""/>
    <s v=""/>
    <s v=""/>
    <s v=""/>
    <s v=""/>
    <s v=""/>
    <s v=""/>
    <s v=""/>
    <s v="Pipeline de Vendas"/>
    <s v="Em Fechamento (100%)"/>
    <s v="10x sem juros (0/30/60/90/120/150...)"/>
    <m/>
    <n v="15264"/>
    <n v="8210"/>
    <n v="22"/>
    <s v="Junior Lopes"/>
    <d v="2025-04-15T00:00:00"/>
    <d v="1899-12-30T17:21:27"/>
    <s v=""/>
    <s v="Ganho"/>
    <d v="2025-05-07T00:00:00"/>
    <d v="1899-12-30T08:54:54"/>
    <s v=""/>
    <s v=""/>
    <s v=""/>
    <x v="69"/>
    <s v=""/>
    <x v="0"/>
    <s v=""/>
    <m/>
    <m/>
    <s v=""/>
    <s v=""/>
    <s v=""/>
    <s v=""/>
    <n v="1"/>
  </r>
  <r>
    <x v="1"/>
    <n v="351"/>
    <m/>
    <n v="1997"/>
    <s v=""/>
    <s v=""/>
    <x v="146"/>
    <n v="56262451000151"/>
    <s v=""/>
    <s v="XieXie Com. de brinquedos - B2B"/>
    <s v="(11) 2492-2763"/>
    <s v=""/>
    <s v="fbastosauditores@terra.com.br"/>
    <s v=""/>
    <s v=""/>
    <s v=""/>
    <s v="GUARULHOS"/>
    <s v="SP"/>
    <s v=""/>
    <s v=""/>
    <s v=""/>
    <s v=""/>
    <s v="Pipeline de Vendas"/>
    <s v="Em negociação (75%)"/>
    <s v=""/>
    <m/>
    <n v="1620001"/>
    <n v="3400"/>
    <n v="6"/>
    <s v="Junior Lopes"/>
    <d v="2025-04-17T00:00:00"/>
    <d v="1899-12-30T10:20:26"/>
    <s v=""/>
    <s v="Perdido"/>
    <d v="2025-04-23T00:00:00"/>
    <d v="1899-12-30T15:04:23"/>
    <s v="Não houve aprovação financeira"/>
    <s v="Após envio da proposta comercial, não obtive mais retorno do Kaique, estou declinando a oportunidade mas continuarei tentando contato"/>
    <s v=""/>
    <x v="70"/>
    <s v=""/>
    <x v="77"/>
    <s v=""/>
    <m/>
    <m/>
    <s v=""/>
    <s v=""/>
    <s v=""/>
    <s v=""/>
    <n v="1"/>
  </r>
  <r>
    <x v="1"/>
    <n v="352"/>
    <m/>
    <n v="1999"/>
    <s v=""/>
    <s v=""/>
    <x v="147"/>
    <m/>
    <s v=""/>
    <s v="XieXie Com. de brinquedos - BI"/>
    <s v="11949590732"/>
    <s v=""/>
    <s v="fbastosauditores@terra.com.br"/>
    <s v=""/>
    <s v=""/>
    <s v=""/>
    <s v=""/>
    <s v=""/>
    <s v=""/>
    <s v=""/>
    <s v=""/>
    <s v=""/>
    <s v="Pipeline de Vendas"/>
    <s v="Em negociação (75%)"/>
    <s v=""/>
    <m/>
    <n v="16200"/>
    <n v="2160"/>
    <n v="6"/>
    <s v="Junior Lopes"/>
    <d v="2025-04-17T00:00:00"/>
    <d v="1899-12-30T11:11:07"/>
    <s v=""/>
    <s v="Perdido"/>
    <d v="2025-04-23T00:00:00"/>
    <d v="1899-12-30T15:05:19"/>
    <s v="Não houve aprovação financeira"/>
    <s v="Após envio da proposta comercial, não obtive mais retorno do Kaique, estou declinando a oportunidade mas continuarei tentando contato"/>
    <s v=""/>
    <x v="70"/>
    <s v=""/>
    <x v="77"/>
    <s v=""/>
    <m/>
    <m/>
    <s v=""/>
    <s v=""/>
    <s v=""/>
    <s v=""/>
    <n v="1"/>
  </r>
  <r>
    <x v="1"/>
    <n v="353"/>
    <m/>
    <n v="2000"/>
    <s v=""/>
    <s v=""/>
    <x v="148"/>
    <n v="8678467000105"/>
    <s v=""/>
    <s v="Y-888 - ERP"/>
    <s v="(21) 2784-2650"/>
    <s v=""/>
    <s v=""/>
    <s v=""/>
    <s v=""/>
    <s v=""/>
    <s v="DUQUE DE CAXIAS"/>
    <s v="RJ"/>
    <s v=""/>
    <s v=""/>
    <s v=""/>
    <s v="50%"/>
    <s v="Pipeline de Vendas"/>
    <s v="Em negociação (75%)"/>
    <s v=""/>
    <m/>
    <n v="5667184"/>
    <n v="539533"/>
    <n v="68"/>
    <s v="Junior Lopes"/>
    <d v="2025-04-17T00:00:00"/>
    <d v="1899-12-30T12:16:07"/>
    <s v=""/>
    <s v="Perdido"/>
    <d v="2025-06-24T00:00:00"/>
    <d v="1899-12-30T11:54:52"/>
    <s v="Não houve aprovação financeira"/>
    <s v="estou fechando oportunidade porem manterei contato com Victor"/>
    <s v=""/>
    <x v="63"/>
    <s v=""/>
    <x v="72"/>
    <s v=""/>
    <m/>
    <m/>
    <s v=""/>
    <s v=""/>
    <s v=""/>
    <s v=""/>
    <n v="1"/>
  </r>
  <r>
    <x v="1"/>
    <n v="354"/>
    <m/>
    <n v="2002"/>
    <s v=""/>
    <s v=""/>
    <x v="149"/>
    <n v="8678467000105"/>
    <s v=""/>
    <s v="Y 888 importação - AFV"/>
    <s v="(21) 2784-2650"/>
    <s v=""/>
    <s v=""/>
    <s v=""/>
    <s v=""/>
    <s v=""/>
    <s v="DUQUE DE CAXIAS"/>
    <s v="RJ"/>
    <s v=""/>
    <s v=""/>
    <s v=""/>
    <s v="50%"/>
    <s v="Pipeline de Vendas"/>
    <s v="Em negociação (75%)"/>
    <s v=""/>
    <m/>
    <n v="1600"/>
    <n v="28747"/>
    <n v="68"/>
    <s v="Junior Lopes"/>
    <d v="2025-04-17T00:00:00"/>
    <d v="1899-12-30T14:20:48"/>
    <s v=""/>
    <s v="Perdido"/>
    <d v="2025-06-24T00:00:00"/>
    <d v="1899-12-30T11:56:26"/>
    <s v="Não houve aprovação financeira"/>
    <s v="estou descartando oportunidade porem vou manter contato com Victor"/>
    <s v=""/>
    <x v="63"/>
    <s v=""/>
    <x v="72"/>
    <s v=""/>
    <m/>
    <m/>
    <s v=""/>
    <s v=""/>
    <s v=""/>
    <s v=""/>
    <n v="1"/>
  </r>
  <r>
    <x v="1"/>
    <n v="355"/>
    <m/>
    <n v="2004"/>
    <s v=""/>
    <s v=""/>
    <x v="150"/>
    <m/>
    <s v=""/>
    <s v="MDL Import - Cloud"/>
    <s v="11910695515"/>
    <s v=""/>
    <s v="janaina@mdlimpoort.com.br"/>
    <s v=""/>
    <s v=""/>
    <s v=""/>
    <s v=""/>
    <s v=""/>
    <s v=""/>
    <s v=""/>
    <s v=""/>
    <s v="80%"/>
    <s v="Pipeline de Vendas"/>
    <s v="Em negociação (75%)"/>
    <s v=""/>
    <m/>
    <n v="1600"/>
    <n v="32107"/>
    <n v="74"/>
    <s v="Junior Lopes"/>
    <d v="2025-04-17T00:00:00"/>
    <d v="1899-12-30T15:26:06"/>
    <s v=""/>
    <s v="Perdido"/>
    <d v="2025-06-30T00:00:00"/>
    <d v="1899-12-30T15:13:09"/>
    <s v="Não houve aprovação financeira"/>
    <s v="integração com WMS inviabilizou projeto"/>
    <s v=""/>
    <x v="63"/>
    <s v=""/>
    <x v="72"/>
    <s v="15/04/2025"/>
    <m/>
    <m/>
    <s v=""/>
    <s v=""/>
    <s v=""/>
    <s v=""/>
    <n v="1"/>
  </r>
  <r>
    <x v="1"/>
    <n v="358"/>
    <m/>
    <n v="2008"/>
    <s v=""/>
    <s v=""/>
    <x v="151"/>
    <m/>
    <s v=""/>
    <s v="Cassio"/>
    <s v="(22) 99967-1888"/>
    <s v=""/>
    <s v="ngcassio@gmail.com"/>
    <s v=""/>
    <s v=""/>
    <s v=""/>
    <s v="Nova Friburgo"/>
    <s v=""/>
    <s v="Site"/>
    <s v=""/>
    <s v=""/>
    <s v="Solicita demo"/>
    <s v="Pipeline de Vendas"/>
    <s v="Apresentar Proposta (50%)"/>
    <s v=""/>
    <m/>
    <n v="58088"/>
    <n v="112089"/>
    <n v="17"/>
    <s v="Paulo Souza"/>
    <d v="2025-04-28T00:00:00"/>
    <d v="1899-12-30T16:40:49"/>
    <s v=""/>
    <s v="Perdido"/>
    <d v="2025-05-15T00:00:00"/>
    <d v="1899-12-30T15:31:10"/>
    <s v="Projeto adiado / sem prazo definido"/>
    <s v="empresa ainda esta no zero ! cliente mentaliza algo fora da realidade !"/>
    <s v=""/>
    <x v="64"/>
    <s v="Junior Lopes"/>
    <x v="78"/>
    <s v=""/>
    <m/>
    <m/>
    <s v=""/>
    <s v=""/>
    <s v=""/>
    <s v=""/>
    <n v="1"/>
  </r>
  <r>
    <x v="0"/>
    <n v="359"/>
    <m/>
    <n v="2019"/>
    <s v=""/>
    <s v=""/>
    <x v="152"/>
    <m/>
    <s v=""/>
    <s v="Vagner"/>
    <s v="(16) 99126-8825"/>
    <s v=""/>
    <s v="flordesedaimportadora@outlook.com"/>
    <s v=""/>
    <s v=""/>
    <s v=""/>
    <s v=""/>
    <s v=""/>
    <s v=""/>
    <s v=""/>
    <s v=""/>
    <s v=""/>
    <s v="Pipeline de Vendas"/>
    <s v="Em Fechamento (100%)"/>
    <s v=""/>
    <m/>
    <n v="40000"/>
    <n v="23581"/>
    <n v="43"/>
    <s v="Paulo Souza"/>
    <d v="2025-04-28T00:00:00"/>
    <d v="1899-12-30T16:44:09"/>
    <s v=""/>
    <s v="Ganho"/>
    <d v="2025-06-10T00:00:00"/>
    <d v="1899-12-30T12:15:46"/>
    <s v=""/>
    <s v=""/>
    <s v=""/>
    <x v="71"/>
    <s v="Paulo Souza"/>
    <x v="79"/>
    <s v=""/>
    <m/>
    <m/>
    <s v=""/>
    <s v=""/>
    <s v=""/>
    <s v=""/>
    <n v="1"/>
  </r>
  <r>
    <x v="0"/>
    <n v="360"/>
    <m/>
    <n v="1986"/>
    <s v=""/>
    <s v=""/>
    <x v="153"/>
    <m/>
    <s v=""/>
    <s v="Gabrielle"/>
    <s v="(11) 93449-7333"/>
    <s v=""/>
    <s v="gabi.bertoni@outlook.com"/>
    <s v=""/>
    <s v=""/>
    <s v=""/>
    <s v="São Paulo"/>
    <s v=""/>
    <s v="Site"/>
    <s v=""/>
    <s v=""/>
    <s v="Solicita demo"/>
    <s v="Pipeline de Vendas"/>
    <s v="Em negociação (75%)"/>
    <s v=""/>
    <m/>
    <n v="68400"/>
    <n v="302046"/>
    <n v="43"/>
    <s v="Paulo Souza"/>
    <d v="2025-04-28T00:00:00"/>
    <d v="1899-12-30T16:51:09"/>
    <s v=""/>
    <s v="Perdido"/>
    <d v="2025-06-10T00:00:00"/>
    <d v="1899-12-30T14:43:33"/>
    <s v="Não quer mudar a solução atual"/>
    <s v=""/>
    <s v=""/>
    <x v="71"/>
    <s v="Paulo Souza"/>
    <x v="79"/>
    <s v=""/>
    <m/>
    <m/>
    <s v=""/>
    <s v=""/>
    <s v=""/>
    <s v=""/>
    <n v="1"/>
  </r>
  <r>
    <x v="1"/>
    <n v="361"/>
    <m/>
    <n v="2010"/>
    <s v=""/>
    <s v=""/>
    <x v="154"/>
    <m/>
    <s v=""/>
    <s v="Importadora Cassio - Cloud"/>
    <s v="22999671888"/>
    <s v=""/>
    <s v="ngcassio@gmail.com"/>
    <s v=""/>
    <s v=""/>
    <s v=""/>
    <s v=""/>
    <s v=""/>
    <s v=""/>
    <s v=""/>
    <s v=""/>
    <s v=""/>
    <s v="Pipeline de Vendas"/>
    <s v="Apresentar Proposta (50%)"/>
    <s v=""/>
    <m/>
    <n v="26200"/>
    <n v="3400"/>
    <n v="16"/>
    <s v="Junior Lopes"/>
    <d v="2025-04-29T00:00:00"/>
    <d v="1899-12-30T14:49:37"/>
    <s v=""/>
    <s v="Perdido"/>
    <d v="2025-05-15T00:00:00"/>
    <d v="1899-12-30T15:31:35"/>
    <s v="Projeto adiado / sem prazo definido"/>
    <s v="empresa ainda esta no zero ! cliente mentaliza algo fora da realidade !"/>
    <s v=""/>
    <x v="64"/>
    <s v=""/>
    <x v="78"/>
    <s v=""/>
    <m/>
    <m/>
    <s v=""/>
    <s v=""/>
    <s v=""/>
    <s v=""/>
    <n v="1"/>
  </r>
  <r>
    <x v="1"/>
    <n v="362"/>
    <m/>
    <n v="2011"/>
    <s v=""/>
    <s v=""/>
    <x v="155"/>
    <m/>
    <s v=""/>
    <s v="Renovação porcelanas - Cloud"/>
    <s v="11965745182"/>
    <s v=""/>
    <s v="camila@rnporcelanas.com.br"/>
    <s v=""/>
    <s v=""/>
    <s v=""/>
    <s v=""/>
    <s v=""/>
    <s v=""/>
    <s v=""/>
    <s v=""/>
    <s v=""/>
    <s v="Pipeline de Vendas"/>
    <s v="Em negociação (75%)"/>
    <s v=""/>
    <m/>
    <n v="1600"/>
    <n v="1026"/>
    <n v="7"/>
    <s v="Junior Lopes"/>
    <d v="2025-04-29T00:00:00"/>
    <d v="1899-12-30T16:51:32"/>
    <s v=""/>
    <s v="Perdido"/>
    <d v="2025-05-06T00:00:00"/>
    <d v="1899-12-30T15:02:15"/>
    <s v="Preço muito alto - fora do budget de investimento"/>
    <s v=""/>
    <s v=""/>
    <x v="68"/>
    <s v=""/>
    <x v="76"/>
    <s v=""/>
    <m/>
    <m/>
    <s v=""/>
    <s v=""/>
    <s v=""/>
    <s v=""/>
    <n v="1"/>
  </r>
  <r>
    <x v="2"/>
    <n v="366"/>
    <m/>
    <n v="2015"/>
    <s v=""/>
    <s v=""/>
    <x v="156"/>
    <m/>
    <s v=""/>
    <s v="Jose Roberto"/>
    <s v=""/>
    <s v=""/>
    <s v="diretoria@grupobeline.com.br"/>
    <s v=""/>
    <s v=""/>
    <s v=""/>
    <s v=""/>
    <s v=""/>
    <s v=""/>
    <s v=""/>
    <s v=""/>
    <s v=""/>
    <s v="Pipeline de Vendas"/>
    <s v="Em Fechamento (100%)"/>
    <s v=""/>
    <m/>
    <n v="3360"/>
    <n v="165372"/>
    <n v="19"/>
    <s v="Rayssa Karapeticov"/>
    <d v="2025-04-30T00:00:00"/>
    <d v="1899-12-30T15:10:38"/>
    <s v=""/>
    <s v="Ganho"/>
    <d v="2025-05-19T00:00:00"/>
    <d v="1899-12-30T09:02:32"/>
    <s v=""/>
    <s v=""/>
    <s v=""/>
    <x v="72"/>
    <s v=""/>
    <x v="80"/>
    <s v=""/>
    <m/>
    <m/>
    <s v=""/>
    <s v=""/>
    <s v=""/>
    <s v=""/>
    <n v="1"/>
  </r>
  <r>
    <x v="1"/>
    <n v="367"/>
    <m/>
    <n v="2016"/>
    <s v=""/>
    <s v=""/>
    <x v="157"/>
    <m/>
    <s v=""/>
    <s v="Cassio importadora - Cloud"/>
    <s v="22999671888"/>
    <s v=""/>
    <s v="ngcassio@gmail.com"/>
    <s v=""/>
    <s v=""/>
    <s v=""/>
    <s v=""/>
    <s v=""/>
    <s v=""/>
    <s v=""/>
    <s v=""/>
    <s v=""/>
    <s v="Pipeline de Vendas"/>
    <s v="Apresentar Proposta (50%)"/>
    <s v=""/>
    <m/>
    <n v="1600"/>
    <n v="210169"/>
    <n v="15"/>
    <s v="Junior Lopes"/>
    <d v="2025-04-30T00:00:00"/>
    <d v="1899-12-30T15:30:14"/>
    <s v=""/>
    <s v="Perdido"/>
    <d v="2025-05-15T00:00:00"/>
    <d v="1899-12-30T15:31:57"/>
    <s v="Projeto adiado / sem prazo definido"/>
    <s v="empresa ainda esta no zero ! cliente mentaliza algo fora da realidade !"/>
    <s v=""/>
    <x v="64"/>
    <s v=""/>
    <x v="78"/>
    <s v=""/>
    <m/>
    <m/>
    <s v=""/>
    <s v=""/>
    <s v=""/>
    <s v=""/>
    <n v="1"/>
  </r>
  <r>
    <x v="0"/>
    <n v="368"/>
    <m/>
    <n v="2017"/>
    <s v=""/>
    <s v=""/>
    <x v="158"/>
    <n v="18677964000134"/>
    <s v=""/>
    <s v="L&amp;T Importadora"/>
    <s v="1127696004"/>
    <s v=""/>
    <s v="financeiro@ltimportadora.com.br"/>
    <s v=""/>
    <s v=""/>
    <s v=""/>
    <s v=""/>
    <s v=""/>
    <s v=""/>
    <s v=""/>
    <s v=""/>
    <s v=""/>
    <s v="Pipeline de Vendas"/>
    <s v="Em Fechamento (100%)"/>
    <s v=""/>
    <m/>
    <n v="14000"/>
    <n v="886"/>
    <n v="0"/>
    <s v="Paulo Souza"/>
    <d v="2025-05-02T00:00:00"/>
    <d v="1899-12-30T13:58:07"/>
    <s v=""/>
    <s v="Ganho"/>
    <d v="2025-05-02T00:00:00"/>
    <d v="1899-12-30T14:04:33"/>
    <s v=""/>
    <s v=""/>
    <s v=""/>
    <x v="73"/>
    <s v="Paulo Souza"/>
    <x v="81"/>
    <s v=""/>
    <m/>
    <m/>
    <s v=""/>
    <s v=""/>
    <s v=""/>
    <s v=""/>
    <n v="1"/>
  </r>
  <r>
    <x v="0"/>
    <n v="369"/>
    <m/>
    <n v="2018"/>
    <s v=""/>
    <s v=""/>
    <x v="159"/>
    <n v="10906096000105"/>
    <s v=""/>
    <s v="Sakes"/>
    <s v="1133133243"/>
    <s v=""/>
    <s v="MARCIA@SAKES.COM.BR"/>
    <s v=""/>
    <s v=""/>
    <s v=""/>
    <s v=""/>
    <s v=""/>
    <s v=""/>
    <s v=""/>
    <s v=""/>
    <s v=""/>
    <s v="Pipeline de Vendas"/>
    <s v="Agendamento (0%)"/>
    <s v=""/>
    <m/>
    <n v="13600"/>
    <n v="886"/>
    <n v="0"/>
    <s v="Paulo Souza"/>
    <d v="2025-05-02T00:00:00"/>
    <d v="1899-12-30T14:06:04"/>
    <s v=""/>
    <s v="Ganho"/>
    <d v="2025-05-02T00:00:00"/>
    <d v="1899-12-30T14:08:29"/>
    <s v=""/>
    <s v=""/>
    <s v=""/>
    <x v="73"/>
    <s v="Paulo Souza"/>
    <x v="81"/>
    <s v=""/>
    <m/>
    <m/>
    <s v=""/>
    <s v=""/>
    <s v=""/>
    <s v=""/>
    <n v="1"/>
  </r>
  <r>
    <x v="0"/>
    <n v="370"/>
    <m/>
    <n v="2020"/>
    <s v=""/>
    <s v=""/>
    <x v="160"/>
    <m/>
    <s v=""/>
    <s v="Nathan"/>
    <s v="15998182143"/>
    <s v=""/>
    <s v="null"/>
    <s v=""/>
    <s v=""/>
    <s v=""/>
    <s v=""/>
    <s v=""/>
    <s v=""/>
    <s v=""/>
    <s v=""/>
    <s v="50%"/>
    <s v="Pipeline de Vendas"/>
    <s v="Em negociação (75%)"/>
    <s v=""/>
    <m/>
    <n v="51250"/>
    <n v="33381"/>
    <n v="114"/>
    <s v="Paulo Souza"/>
    <d v="2025-05-03T00:00:00"/>
    <d v="1899-12-30T11:03:22"/>
    <s v=""/>
    <s v="Perdido"/>
    <d v="2025-08-25T00:00:00"/>
    <d v="1899-12-30T14:34:31"/>
    <s v="Projeto adiado / sem prazo definido"/>
    <s v=""/>
    <s v=""/>
    <x v="0"/>
    <s v="Paulo Souza"/>
    <x v="82"/>
    <s v=""/>
    <m/>
    <m/>
    <s v=""/>
    <s v=""/>
    <s v=""/>
    <s v=""/>
    <n v="1"/>
  </r>
  <r>
    <x v="1"/>
    <n v="375"/>
    <m/>
    <n v="2024"/>
    <s v=""/>
    <s v=""/>
    <x v="161"/>
    <m/>
    <s v=""/>
    <s v="Mundial Log"/>
    <s v="11947482090"/>
    <s v=""/>
    <s v="rafael@mundiallog.com.br"/>
    <s v=""/>
    <s v=""/>
    <s v=""/>
    <s v=""/>
    <s v=""/>
    <s v=""/>
    <s v=""/>
    <s v=""/>
    <s v=""/>
    <s v="Pipeline de Vendas"/>
    <s v="Apresentar Proposta (50%)"/>
    <s v=""/>
    <m/>
    <n v="69112"/>
    <n v="508112"/>
    <n v="7"/>
    <s v="Junior Lopes"/>
    <d v="2025-05-08T00:00:00"/>
    <d v="1899-12-30T16:11:25"/>
    <s v=""/>
    <s v="Perdido"/>
    <d v="2025-05-15T00:00:00"/>
    <d v="1899-12-30T16:22:48"/>
    <s v="Não houve aprovação financeira"/>
    <s v=""/>
    <s v=""/>
    <x v="74"/>
    <s v=""/>
    <x v="83"/>
    <s v=""/>
    <m/>
    <m/>
    <s v=""/>
    <s v=""/>
    <s v=""/>
    <s v=""/>
    <n v="1"/>
  </r>
  <r>
    <x v="1"/>
    <n v="376"/>
    <m/>
    <n v="2025"/>
    <s v=""/>
    <s v=""/>
    <x v="162"/>
    <m/>
    <s v=""/>
    <s v="Mundial Log - Cloud"/>
    <s v="11947482090"/>
    <s v=""/>
    <s v="rafael@mundiallog.com.br"/>
    <s v=""/>
    <s v=""/>
    <s v=""/>
    <s v=""/>
    <s v=""/>
    <s v=""/>
    <s v=""/>
    <s v=""/>
    <s v=""/>
    <s v="Pipeline de Vendas"/>
    <s v="Apresentar Proposta (50%)"/>
    <s v=""/>
    <m/>
    <n v="1600"/>
    <n v="32107"/>
    <n v="7"/>
    <s v="Junior Lopes"/>
    <d v="2025-05-08T00:00:00"/>
    <d v="1899-12-30T16:29:40"/>
    <s v=""/>
    <s v="Perdido"/>
    <d v="2025-05-15T00:00:00"/>
    <d v="1899-12-30T16:23:14"/>
    <s v="Não houve aprovação financeira"/>
    <s v=""/>
    <s v=""/>
    <x v="74"/>
    <s v=""/>
    <x v="83"/>
    <s v=""/>
    <m/>
    <m/>
    <s v=""/>
    <s v=""/>
    <s v=""/>
    <s v=""/>
    <n v="1"/>
  </r>
  <r>
    <x v="0"/>
    <n v="379"/>
    <m/>
    <n v="2199"/>
    <s v=""/>
    <s v=""/>
    <x v="163"/>
    <m/>
    <s v=""/>
    <s v="Anderson"/>
    <s v="(16) 99707-0733"/>
    <s v=""/>
    <s v=""/>
    <s v=""/>
    <s v=""/>
    <s v=""/>
    <s v=""/>
    <s v=""/>
    <s v="Indicação"/>
    <s v=""/>
    <s v=""/>
    <s v="50%"/>
    <s v="Pipeline de Vendas"/>
    <s v="Em negociação (75%)"/>
    <s v=""/>
    <m/>
    <n v="68400"/>
    <n v="17345"/>
    <n v="108"/>
    <s v="Paulo Souza"/>
    <d v="2025-05-09T00:00:00"/>
    <d v="1899-12-30T16:01:00"/>
    <s v=""/>
    <s v="Perdido"/>
    <d v="2025-08-25T00:00:00"/>
    <d v="1899-12-30T14:28:20"/>
    <s v="Fechou com o concorrente - preço"/>
    <s v=""/>
    <s v=""/>
    <x v="0"/>
    <s v=""/>
    <x v="0"/>
    <s v=""/>
    <m/>
    <m/>
    <s v=""/>
    <s v=""/>
    <s v=""/>
    <s v=""/>
    <n v="1"/>
  </r>
  <r>
    <x v="1"/>
    <n v="382"/>
    <m/>
    <n v="2031"/>
    <s v=""/>
    <s v=""/>
    <x v="164"/>
    <n v="27173648000116"/>
    <s v=""/>
    <s v="Fest Buuble"/>
    <s v="(11) 9342-9915"/>
    <s v=""/>
    <s v="amandfast@gmail.com"/>
    <s v=""/>
    <s v=""/>
    <s v=""/>
    <s v="SAO PAULO"/>
    <s v="SP"/>
    <s v=""/>
    <s v=""/>
    <s v=""/>
    <s v=""/>
    <s v="Pipeline de Vendas"/>
    <s v="Agendamento (0%)"/>
    <s v=""/>
    <m/>
    <m/>
    <m/>
    <n v="50"/>
    <s v="Junior Lopes"/>
    <d v="2025-05-12T00:00:00"/>
    <d v="1899-12-30T15:21:57"/>
    <s v=""/>
    <s v="Perdido"/>
    <d v="2025-07-01T00:00:00"/>
    <d v="1899-12-30T09:46:00"/>
    <s v="Projeto adiado / sem prazo definido"/>
    <s v="Aguardar Rep Mais"/>
    <s v=""/>
    <x v="0"/>
    <s v=""/>
    <x v="84"/>
    <s v=""/>
    <m/>
    <m/>
    <s v=""/>
    <s v=""/>
    <s v=""/>
    <s v=""/>
    <n v="1"/>
  </r>
  <r>
    <x v="1"/>
    <n v="383"/>
    <m/>
    <n v="2033"/>
    <s v=""/>
    <s v=""/>
    <x v="165"/>
    <n v="86890639000105"/>
    <s v=""/>
    <s v="Arrtef Brasil - RMS"/>
    <s v=""/>
    <s v=""/>
    <s v=""/>
    <s v=""/>
    <s v=""/>
    <s v=""/>
    <s v="CURITIBA"/>
    <s v="PR"/>
    <s v=""/>
    <s v=""/>
    <s v=""/>
    <s v=""/>
    <s v="Pipeline de Vendas"/>
    <s v="Agendamento (0%)"/>
    <s v=""/>
    <m/>
    <m/>
    <m/>
    <n v="50"/>
    <s v="Junior Lopes"/>
    <d v="2025-05-12T00:00:00"/>
    <d v="1899-12-30T15:34:32"/>
    <s v=""/>
    <s v="Perdido"/>
    <d v="2025-07-01T00:00:00"/>
    <d v="1899-12-30T09:46:34"/>
    <s v="Projeto adiado / sem prazo definido"/>
    <s v="Aguardar Rep Mais"/>
    <s v=""/>
    <x v="0"/>
    <s v=""/>
    <x v="0"/>
    <s v=""/>
    <m/>
    <m/>
    <s v=""/>
    <s v=""/>
    <s v=""/>
    <s v=""/>
    <n v="1"/>
  </r>
  <r>
    <x v="1"/>
    <n v="384"/>
    <m/>
    <n v="2036"/>
    <s v=""/>
    <s v=""/>
    <x v="166"/>
    <m/>
    <s v=""/>
    <s v="Fa fa Import"/>
    <s v="21989290057"/>
    <s v=""/>
    <s v="lucianadsmoura@gmail.com"/>
    <s v=""/>
    <s v=""/>
    <s v=""/>
    <s v=""/>
    <s v=""/>
    <s v=""/>
    <s v=""/>
    <s v=""/>
    <s v="90%"/>
    <s v="Pipeline de Vendas"/>
    <s v="Em Fechamento (100%)"/>
    <s v=""/>
    <m/>
    <n v="3230634"/>
    <n v="17706"/>
    <n v="35"/>
    <s v="Junior Lopes"/>
    <d v="2025-05-13T00:00:00"/>
    <d v="1899-12-30T17:15:52"/>
    <s v=""/>
    <s v="Ganho"/>
    <d v="2025-06-17T00:00:00"/>
    <d v="1899-12-30T16:19:34"/>
    <s v=""/>
    <s v=""/>
    <s v=""/>
    <x v="75"/>
    <s v=""/>
    <x v="85"/>
    <s v=""/>
    <m/>
    <m/>
    <s v=""/>
    <s v=""/>
    <s v=""/>
    <s v=""/>
    <n v="1"/>
  </r>
  <r>
    <x v="1"/>
    <n v="385"/>
    <m/>
    <n v="2037"/>
    <s v=""/>
    <s v=""/>
    <x v="167"/>
    <m/>
    <s v=""/>
    <s v="Fa Fa Import - Cloud"/>
    <s v="21989290058"/>
    <s v=""/>
    <s v="lucianadsmoura@gmail.com"/>
    <s v=""/>
    <s v=""/>
    <s v=""/>
    <s v=""/>
    <s v=""/>
    <s v=""/>
    <s v=""/>
    <s v=""/>
    <s v="90%"/>
    <s v="Pipeline de Vendas"/>
    <s v="Em Fechamento (100%)"/>
    <s v=""/>
    <m/>
    <n v="0"/>
    <n v="208313"/>
    <n v="35"/>
    <s v="Junior Lopes"/>
    <d v="2025-05-13T00:00:00"/>
    <d v="1899-12-30T17:16:59"/>
    <s v=""/>
    <s v="Ganho"/>
    <d v="2025-06-17T00:00:00"/>
    <d v="1899-12-30T16:20:18"/>
    <s v=""/>
    <s v=""/>
    <s v=""/>
    <x v="75"/>
    <s v=""/>
    <x v="85"/>
    <s v=""/>
    <m/>
    <m/>
    <s v=""/>
    <s v=""/>
    <s v=""/>
    <s v=""/>
    <n v="1"/>
  </r>
  <r>
    <x v="1"/>
    <n v="405"/>
    <m/>
    <n v="2061"/>
    <s v=""/>
    <s v=""/>
    <x v="168"/>
    <m/>
    <s v=""/>
    <s v="Amazonia aromas"/>
    <s v="11991266405"/>
    <s v=""/>
    <s v="atendimento@amazoniaaromas.com.br"/>
    <s v=""/>
    <s v=""/>
    <s v=""/>
    <s v=""/>
    <s v=""/>
    <s v=""/>
    <s v=""/>
    <s v=""/>
    <s v="50%"/>
    <s v="Pipeline de Vendas"/>
    <s v="Em negociação (75%)"/>
    <s v=""/>
    <m/>
    <m/>
    <m/>
    <n v="20"/>
    <s v="Junior Lopes"/>
    <d v="2025-05-28T00:00:00"/>
    <d v="1899-12-30T09:32:20"/>
    <s v=""/>
    <s v="Perdido"/>
    <d v="2025-06-17T00:00:00"/>
    <d v="1899-12-30T16:21:42"/>
    <s v="Nossa solução não atende - falta funcionalidade"/>
    <s v="15:18, 3/6/2025 André Oliveira (Amazonia Aromas): Quanto?_x000a_15:21, 3/6/2025 Junior Lopes: acredito que uns 90 dias ! estamos em homologação em um cliente da nossa base_x000a_15:31, 3/6/2025 André Oliveira (Amazonia Aromas): Mobile Android e ios normal_x000a_15:34, 3/6/2025 Junior Lopes: Mobile Android Off-line _x000a_iOS e Windows on-line_x000a_15:37, 3/6/2025 André Oliveira (Amazonia Aromas): Hum ios ferra um pouco"/>
    <s v=""/>
    <x v="76"/>
    <s v=""/>
    <x v="86"/>
    <s v=""/>
    <m/>
    <m/>
    <s v=""/>
    <s v=""/>
    <s v=""/>
    <s v=""/>
    <n v="1"/>
  </r>
  <r>
    <x v="1"/>
    <n v="406"/>
    <m/>
    <n v="2062"/>
    <s v=""/>
    <s v=""/>
    <x v="169"/>
    <n v="5215210000110"/>
    <s v=""/>
    <s v="AZPR"/>
    <s v="(41) 3376-2439"/>
    <s v=""/>
    <s v=""/>
    <s v=""/>
    <s v=""/>
    <s v=""/>
    <s v="CURITIBA"/>
    <s v="PR"/>
    <s v=""/>
    <s v=""/>
    <s v=""/>
    <s v="30%"/>
    <s v="Pipeline de Vendas"/>
    <s v="Apresentar Solução (35%)"/>
    <s v=""/>
    <m/>
    <n v="622008"/>
    <n v="23661"/>
    <n v="26"/>
    <s v="Junior Lopes"/>
    <d v="2025-05-28T00:00:00"/>
    <d v="1899-12-30T09:50:40"/>
    <s v=""/>
    <s v="Perdido"/>
    <d v="2025-06-23T00:00:00"/>
    <d v="1899-12-30T08:51:59"/>
    <s v="Projeto adiado / sem prazo definido"/>
    <s v="voltar contato quando RepMais"/>
    <s v=""/>
    <x v="77"/>
    <s v=""/>
    <x v="87"/>
    <s v=""/>
    <m/>
    <m/>
    <s v=""/>
    <s v=""/>
    <s v=""/>
    <s v=""/>
    <n v="1"/>
  </r>
  <r>
    <x v="1"/>
    <n v="407"/>
    <m/>
    <n v="2065"/>
    <s v=""/>
    <s v=""/>
    <x v="170"/>
    <n v="5215210000110"/>
    <s v=""/>
    <s v="AZPR"/>
    <s v="(41) 3376-2439"/>
    <s v=""/>
    <s v=""/>
    <s v=""/>
    <s v=""/>
    <s v=""/>
    <s v="CURITIBA"/>
    <s v="PR"/>
    <s v=""/>
    <s v=""/>
    <s v=""/>
    <s v="30%"/>
    <s v="Pipeline de Vendas"/>
    <s v="Apresentar Solução (35%)"/>
    <s v=""/>
    <m/>
    <n v="1600"/>
    <n v="26507"/>
    <n v="26"/>
    <s v="Junior Lopes"/>
    <d v="2025-05-28T00:00:00"/>
    <d v="1899-12-30T09:54:27"/>
    <s v=""/>
    <s v="Perdido"/>
    <d v="2025-06-23T00:00:00"/>
    <d v="1899-12-30T08:53:19"/>
    <s v="Projeto adiado / sem prazo definido"/>
    <s v="Procurar quando RepMais"/>
    <s v=""/>
    <x v="77"/>
    <s v=""/>
    <x v="87"/>
    <s v=""/>
    <m/>
    <m/>
    <s v=""/>
    <s v=""/>
    <s v=""/>
    <s v=""/>
    <n v="1"/>
  </r>
  <r>
    <x v="1"/>
    <n v="408"/>
    <m/>
    <n v="2068"/>
    <s v=""/>
    <s v=""/>
    <x v="171"/>
    <m/>
    <s v=""/>
    <s v="Erca alumínio"/>
    <s v="19997023116"/>
    <s v=""/>
    <s v="rafael@ercaaluminio.com.br"/>
    <s v=""/>
    <s v=""/>
    <s v=""/>
    <s v=""/>
    <s v=""/>
    <s v=""/>
    <s v=""/>
    <s v=""/>
    <s v=""/>
    <s v="Pipeline de Vendas"/>
    <s v="Em Fechamento (100%)"/>
    <s v="10x sem juros (0/30/60/90/120/150...)"/>
    <m/>
    <n v="123066"/>
    <n v="0"/>
    <n v="0"/>
    <s v="Junior Lopes"/>
    <d v="2025-05-28T00:00:00"/>
    <d v="1899-12-30T10:09:38"/>
    <s v=""/>
    <s v="Ganho"/>
    <d v="2025-05-28T00:00:00"/>
    <d v="1899-12-30T10:22:07"/>
    <s v=""/>
    <s v=""/>
    <s v=""/>
    <x v="78"/>
    <s v=""/>
    <x v="0"/>
    <s v=""/>
    <m/>
    <m/>
    <s v=""/>
    <s v=""/>
    <s v=""/>
    <s v=""/>
    <n v="1"/>
  </r>
  <r>
    <x v="1"/>
    <n v="409"/>
    <m/>
    <n v="2069"/>
    <s v=""/>
    <s v=""/>
    <x v="172"/>
    <n v="56262451000151"/>
    <s v=""/>
    <s v="XieXie Mais barato"/>
    <s v="(11) 2492-2763"/>
    <s v=""/>
    <s v="fbastosauditores@terra.com.br"/>
    <s v=""/>
    <s v=""/>
    <s v=""/>
    <s v="GUARULHOS"/>
    <s v="SP"/>
    <s v=""/>
    <s v=""/>
    <s v=""/>
    <s v=""/>
    <s v="Pipeline de Vendas"/>
    <s v="Em negociação (75%)"/>
    <s v=""/>
    <m/>
    <n v="52258"/>
    <n v="606364"/>
    <n v="6"/>
    <s v="Junior Lopes"/>
    <d v="2025-05-28T00:00:00"/>
    <d v="1899-12-30T10:32:07"/>
    <s v=""/>
    <s v="Perdido"/>
    <d v="2025-06-03T00:00:00"/>
    <d v="1899-12-30T10:00:29"/>
    <s v="Preço muito alto - fora do budget de investimento"/>
    <s v="PROPOSTA RENOVCADA POREM CLIENTE NÃO DEU SEQUENCIA"/>
    <s v=""/>
    <x v="79"/>
    <s v=""/>
    <x v="0"/>
    <s v=""/>
    <m/>
    <m/>
    <s v=""/>
    <s v=""/>
    <s v=""/>
    <s v=""/>
    <n v="1"/>
  </r>
  <r>
    <x v="1"/>
    <n v="410"/>
    <m/>
    <n v="2071"/>
    <s v=""/>
    <s v=""/>
    <x v="173"/>
    <n v="56262451000151"/>
    <s v=""/>
    <s v="XieXie Mais Barato - BI B2B"/>
    <s v="(11) 2492-2763"/>
    <s v=""/>
    <s v="fbastosauditores@terra.com.br"/>
    <s v=""/>
    <s v=""/>
    <s v=""/>
    <s v="GUARULHOS"/>
    <s v="SP"/>
    <s v=""/>
    <s v=""/>
    <s v=""/>
    <s v=""/>
    <s v="Pipeline de Vendas"/>
    <s v="Em negociação (75%)"/>
    <s v=""/>
    <m/>
    <n v="42400"/>
    <n v="5560"/>
    <n v="6"/>
    <s v="Junior Lopes"/>
    <d v="2025-05-28T00:00:00"/>
    <d v="1899-12-30T10:38:48"/>
    <s v=""/>
    <s v="Perdido"/>
    <d v="2025-06-03T00:00:00"/>
    <d v="1899-12-30T10:01:26"/>
    <s v="Preço muito alto - fora do budget de investimento"/>
    <s v="PROPOSTA RENOVADA POREM CÇIENTE NÃO DEU SEQUENCIA"/>
    <s v=""/>
    <x v="79"/>
    <s v=""/>
    <x v="0"/>
    <s v=""/>
    <m/>
    <m/>
    <s v=""/>
    <s v=""/>
    <s v=""/>
    <s v=""/>
    <n v="1"/>
  </r>
  <r>
    <x v="1"/>
    <n v="412"/>
    <m/>
    <n v="2075"/>
    <s v=""/>
    <s v=""/>
    <x v="174"/>
    <m/>
    <s v=""/>
    <s v="Gala - B2B"/>
    <s v="67981004151"/>
    <s v=""/>
    <s v="diego@grupogala.com.br"/>
    <s v=""/>
    <s v=""/>
    <s v=""/>
    <s v=""/>
    <s v=""/>
    <s v=""/>
    <s v=""/>
    <s v=""/>
    <s v="50%"/>
    <s v="Pipeline de Vendas"/>
    <s v="Em negociação (75%)"/>
    <s v=""/>
    <m/>
    <n v="26200"/>
    <n v="3400"/>
    <n v="92"/>
    <s v="Junior Lopes"/>
    <d v="2025-05-28T00:00:00"/>
    <d v="1899-12-30T10:50:13"/>
    <s v=""/>
    <s v="Perdido"/>
    <d v="2025-08-28T00:00:00"/>
    <d v="1899-12-30T15:33:20"/>
    <s v="Não houve aprovação financeira"/>
    <s v=""/>
    <s v=""/>
    <x v="80"/>
    <s v=""/>
    <x v="87"/>
    <s v=""/>
    <m/>
    <m/>
    <s v=""/>
    <s v=""/>
    <s v=""/>
    <s v=""/>
    <n v="1"/>
  </r>
  <r>
    <x v="1"/>
    <n v="413"/>
    <m/>
    <n v="2076"/>
    <s v=""/>
    <s v=""/>
    <x v="175"/>
    <m/>
    <s v=""/>
    <s v="Flora Nectar - AFV"/>
    <s v="19971332893"/>
    <s v=""/>
    <s v="marina.dopekevicuz@v4company.com"/>
    <s v=""/>
    <s v=""/>
    <s v=""/>
    <s v=""/>
    <s v=""/>
    <s v=""/>
    <s v=""/>
    <s v=""/>
    <s v=""/>
    <s v="Pipeline de Vendas"/>
    <s v="Apresentar Solução (35%)"/>
    <s v=""/>
    <m/>
    <m/>
    <m/>
    <n v="12"/>
    <s v="Junior Lopes"/>
    <d v="2025-05-28T00:00:00"/>
    <d v="1899-12-30T11:12:16"/>
    <s v=""/>
    <s v="Perdido"/>
    <d v="2025-06-09T00:00:00"/>
    <d v="1899-12-30T15:53:56"/>
    <s v="Projeto adiado / sem prazo definido"/>
    <s v="Rayssa esta mantendo contato"/>
    <s v=""/>
    <x v="0"/>
    <s v=""/>
    <x v="88"/>
    <s v=""/>
    <m/>
    <m/>
    <s v=""/>
    <s v=""/>
    <s v=""/>
    <s v=""/>
    <n v="1"/>
  </r>
  <r>
    <x v="1"/>
    <n v="415"/>
    <m/>
    <n v="2127"/>
    <s v=""/>
    <s v=""/>
    <x v="176"/>
    <m/>
    <s v=""/>
    <s v="Xpert - ERP"/>
    <s v="11996219888"/>
    <s v=""/>
    <s v="manuela.xpert@gmail.com"/>
    <s v=""/>
    <s v=""/>
    <s v=""/>
    <s v=""/>
    <s v=""/>
    <s v=""/>
    <s v=""/>
    <s v=""/>
    <s v=""/>
    <s v="Pipeline de Vendas"/>
    <s v="Apresentar Solução (35%)"/>
    <s v=""/>
    <m/>
    <n v="622008"/>
    <n v="28481"/>
    <n v="12"/>
    <s v="Junior Lopes"/>
    <d v="2025-05-30T00:00:00"/>
    <d v="1899-12-30T09:10:03"/>
    <s v=""/>
    <s v="Perdido"/>
    <d v="2025-06-11T00:00:00"/>
    <d v="1899-12-30T14:24:50"/>
    <s v="Não houve aprovação financeira"/>
    <s v="informou que não tem verba de investimento"/>
    <s v=""/>
    <x v="76"/>
    <s v=""/>
    <x v="89"/>
    <s v=""/>
    <m/>
    <m/>
    <s v=""/>
    <s v=""/>
    <s v=""/>
    <s v=""/>
    <n v="1"/>
  </r>
  <r>
    <x v="1"/>
    <n v="416"/>
    <m/>
    <n v="2132"/>
    <s v=""/>
    <s v=""/>
    <x v="177"/>
    <m/>
    <s v=""/>
    <s v="Xpert - Cloud"/>
    <s v="11996219888"/>
    <s v=""/>
    <s v="manuela.xpert@gmail.com"/>
    <s v=""/>
    <s v=""/>
    <s v=""/>
    <s v=""/>
    <s v=""/>
    <s v=""/>
    <s v=""/>
    <s v=""/>
    <s v=""/>
    <s v="Pipeline de Vendas"/>
    <s v="Apresentar Proposta (50%)"/>
    <s v=""/>
    <m/>
    <n v="1600"/>
    <n v="28747"/>
    <n v="12"/>
    <s v="Junior Lopes"/>
    <d v="2025-05-30T00:00:00"/>
    <d v="1899-12-30T10:11:13"/>
    <s v=""/>
    <s v="Perdido"/>
    <d v="2025-06-11T00:00:00"/>
    <d v="1899-12-30T14:25:29"/>
    <s v="Não houve aprovação financeira"/>
    <s v="informou que não tem verba para investimento"/>
    <s v=""/>
    <x v="76"/>
    <s v=""/>
    <x v="89"/>
    <s v=""/>
    <m/>
    <m/>
    <s v=""/>
    <s v=""/>
    <s v=""/>
    <s v=""/>
    <n v="1"/>
  </r>
  <r>
    <x v="1"/>
    <n v="417"/>
    <m/>
    <n v="2133"/>
    <s v=""/>
    <s v=""/>
    <x v="178"/>
    <m/>
    <s v=""/>
    <s v="Ponto das festas"/>
    <s v="43988505997"/>
    <s v=""/>
    <s v="gerencia@pontodasfestas.com.br"/>
    <s v=""/>
    <s v=""/>
    <s v=""/>
    <s v=""/>
    <s v=""/>
    <s v=""/>
    <s v=""/>
    <s v=""/>
    <s v="30%"/>
    <s v="Pipeline de Vendas"/>
    <s v="Apresentar Proposta (50%)"/>
    <s v=""/>
    <m/>
    <n v="16960"/>
    <n v="40572"/>
    <n v="52"/>
    <s v="Junior Lopes"/>
    <d v="2025-05-30T00:00:00"/>
    <d v="1899-12-30T10:33:15"/>
    <s v=""/>
    <s v="Perdido"/>
    <d v="2025-07-21T00:00:00"/>
    <d v="1899-12-30T09:14:38"/>
    <s v="Projeto adiado / sem prazo definido"/>
    <s v="varias tentativas de contato sem retorno"/>
    <s v=""/>
    <x v="76"/>
    <s v=""/>
    <x v="89"/>
    <s v=""/>
    <m/>
    <m/>
    <s v=""/>
    <s v=""/>
    <s v=""/>
    <s v=""/>
    <n v="1"/>
  </r>
  <r>
    <x v="1"/>
    <n v="419"/>
    <m/>
    <n v="2144"/>
    <s v=""/>
    <s v=""/>
    <x v="179"/>
    <m/>
    <s v=""/>
    <s v="Oikos - Cloud"/>
    <s v="11987154112"/>
    <s v=""/>
    <s v="pedro@grupoecoa.com.br"/>
    <s v=""/>
    <s v=""/>
    <s v=""/>
    <s v=""/>
    <s v=""/>
    <s v=""/>
    <s v=""/>
    <s v=""/>
    <s v="90%"/>
    <s v="Pipeline de Vendas"/>
    <s v="Em Fechamento (100%)"/>
    <s v=""/>
    <m/>
    <n v="1600"/>
    <n v="1833334"/>
    <n v="52"/>
    <s v="Junior Lopes"/>
    <d v="2025-05-30T00:00:00"/>
    <d v="1899-12-30T14:05:15"/>
    <s v=""/>
    <s v="Perdido"/>
    <d v="2025-07-21T00:00:00"/>
    <d v="1899-12-30T09:47:38"/>
    <s v="Projeto adiado / sem prazo definido"/>
    <s v="cliente não responde sobre a continuidade"/>
    <s v=""/>
    <x v="80"/>
    <s v=""/>
    <x v="0"/>
    <s v=""/>
    <m/>
    <m/>
    <s v=""/>
    <s v=""/>
    <s v=""/>
    <s v=""/>
    <n v="1"/>
  </r>
  <r>
    <x v="1"/>
    <n v="422"/>
    <m/>
    <n v="2141"/>
    <s v=""/>
    <s v=""/>
    <x v="180"/>
    <n v="27898532000144"/>
    <s v=""/>
    <s v="Tainã"/>
    <s v="(14) 99811-7753"/>
    <s v=""/>
    <s v="atacadaodastripasfinanceiro@hotmail.com"/>
    <s v=""/>
    <s v=""/>
    <s v=""/>
    <s v="Tupã"/>
    <s v="SP"/>
    <s v="Inbound Opens"/>
    <s v=""/>
    <s v=""/>
    <s v=""/>
    <s v="Pipeline de Vendas"/>
    <s v="Apresentar Solução (35%)"/>
    <s v=""/>
    <m/>
    <n v="69592"/>
    <n v="23661"/>
    <n v="42"/>
    <s v="Débora Duarte"/>
    <d v="2025-06-02T00:00:00"/>
    <d v="1899-12-30T10:51:39"/>
    <s v=""/>
    <s v="Perdido"/>
    <d v="2025-07-14T00:00:00"/>
    <d v="1899-12-30T10:33:15"/>
    <s v="Projeto adiado / sem prazo definido"/>
    <s v="Descartando ! cliente não encontra tempo para seguir"/>
    <s v="30/05/2025 11:00"/>
    <x v="81"/>
    <s v="Débora Duarte"/>
    <x v="90"/>
    <s v="13/06/2025"/>
    <m/>
    <m/>
    <s v=""/>
    <s v=""/>
    <s v=""/>
    <s v=""/>
    <n v="1"/>
  </r>
  <r>
    <x v="2"/>
    <n v="423"/>
    <m/>
    <n v="2179"/>
    <s v=""/>
    <s v=""/>
    <x v="181"/>
    <n v="62182753000112"/>
    <s v=""/>
    <s v="Felipe"/>
    <s v="16994380062"/>
    <s v=""/>
    <s v="felipe.monteiro@pimpinella.com.br"/>
    <s v=""/>
    <s v=""/>
    <s v=""/>
    <s v=""/>
    <s v=""/>
    <s v="Indicação"/>
    <s v=""/>
    <s v=""/>
    <s v="80%"/>
    <s v="Pipeline de Vendas"/>
    <s v="Em negociação (75%)"/>
    <s v=""/>
    <m/>
    <n v="14280"/>
    <n v="127673"/>
    <n v="168"/>
    <s v="Rayssa Karapeticov"/>
    <d v="2025-06-03T00:00:00"/>
    <d v="1899-12-30T11:32:35"/>
    <s v=""/>
    <s v="Perdido"/>
    <d v="2025-11-18T00:00:00"/>
    <d v="1899-12-30T09:34:53"/>
    <s v="Projeto adiado / sem prazo definido"/>
    <s v=""/>
    <s v=""/>
    <x v="82"/>
    <s v="Rayssa Karapeticov"/>
    <x v="91"/>
    <s v=""/>
    <m/>
    <m/>
    <s v=""/>
    <s v=""/>
    <s v=""/>
    <s v=""/>
    <n v="1"/>
  </r>
  <r>
    <x v="1"/>
    <n v="425"/>
    <m/>
    <n v="2181"/>
    <s v=""/>
    <s v=""/>
    <x v="182"/>
    <n v="3971592000187"/>
    <s v=""/>
    <s v="Brinquedos Afv (RMS_AFV)"/>
    <s v="(51) 99840-3160"/>
    <s v=""/>
    <s v=""/>
    <s v=""/>
    <s v=""/>
    <s v=""/>
    <s v="PORTAO"/>
    <s v="RS"/>
    <s v=""/>
    <s v=""/>
    <s v=""/>
    <s v="30%"/>
    <s v="Pipeline de Vendas"/>
    <s v="Apresentar Solução (35%)"/>
    <s v=""/>
    <m/>
    <m/>
    <m/>
    <n v="26"/>
    <s v="Junior Lopes"/>
    <d v="2025-06-05T00:00:00"/>
    <d v="1899-12-30T10:52:19"/>
    <s v=""/>
    <s v="Perdido"/>
    <d v="2025-07-01T00:00:00"/>
    <d v="1899-12-30T09:56:25"/>
    <s v="Projeto adiado / sem prazo definido"/>
    <s v="Aguardar Rep Mais"/>
    <s v=""/>
    <x v="0"/>
    <s v=""/>
    <x v="0"/>
    <s v=""/>
    <m/>
    <m/>
    <s v=""/>
    <s v=""/>
    <s v=""/>
    <s v=""/>
    <n v="1"/>
  </r>
  <r>
    <x v="1"/>
    <n v="426"/>
    <m/>
    <n v="2186"/>
    <s v=""/>
    <s v=""/>
    <x v="183"/>
    <n v="480542000290"/>
    <s v=""/>
    <s v="Anjo brinquedos (RMS - AFV)"/>
    <s v="15997651713"/>
    <s v=""/>
    <s v="fat@brinquedosanjo.com.br"/>
    <s v=""/>
    <s v=""/>
    <s v=""/>
    <s v="LARANJAL PAULISTA"/>
    <s v="SP"/>
    <s v=""/>
    <s v=""/>
    <s v=""/>
    <s v=""/>
    <s v="Pipeline de Vendas"/>
    <s v="Agendamento (0%)"/>
    <s v=""/>
    <m/>
    <m/>
    <m/>
    <n v="26"/>
    <s v="Junior Lopes"/>
    <d v="2025-06-05T00:00:00"/>
    <d v="1899-12-30T11:03:34"/>
    <s v=""/>
    <s v="Perdido"/>
    <d v="2025-07-01T00:00:00"/>
    <d v="1899-12-30T09:47:14"/>
    <s v="Projeto adiado / sem prazo definido"/>
    <s v="Aguardar Rep Mais"/>
    <s v=""/>
    <x v="0"/>
    <s v=""/>
    <x v="0"/>
    <s v=""/>
    <m/>
    <m/>
    <s v=""/>
    <s v=""/>
    <s v=""/>
    <s v=""/>
    <n v="1"/>
  </r>
  <r>
    <x v="1"/>
    <n v="428"/>
    <m/>
    <n v="2189"/>
    <s v=""/>
    <s v=""/>
    <x v="184"/>
    <n v="10509268000107"/>
    <s v=""/>
    <s v="meio atacado"/>
    <s v="19997556622"/>
    <s v=""/>
    <s v="camila@meioatacado.com.br"/>
    <s v=""/>
    <s v=""/>
    <s v=""/>
    <s v="PIRACICABA"/>
    <s v="SP"/>
    <s v=""/>
    <s v=""/>
    <s v=""/>
    <s v="30%"/>
    <s v="Pipeline de Vendas"/>
    <s v="Apresentar Solução (35%)"/>
    <s v=""/>
    <m/>
    <n v="73430"/>
    <n v="37382"/>
    <n v="24"/>
    <s v="Junior Lopes"/>
    <d v="2025-06-06T00:00:00"/>
    <d v="1899-12-30T10:17:02"/>
    <s v=""/>
    <s v="Perdido"/>
    <d v="2025-06-30T00:00:00"/>
    <d v="1899-12-30T15:06:25"/>
    <s v="Projeto adiado / sem prazo definido"/>
    <s v="não responde mais aos contatos"/>
    <s v=""/>
    <x v="83"/>
    <s v=""/>
    <x v="92"/>
    <s v="16/06/2025"/>
    <m/>
    <m/>
    <s v=""/>
    <s v=""/>
    <s v=""/>
    <s v=""/>
    <n v="1"/>
  </r>
  <r>
    <x v="1"/>
    <n v="431"/>
    <m/>
    <n v="2194"/>
    <s v=""/>
    <s v=""/>
    <x v="185"/>
    <n v="28646036000166"/>
    <s v=""/>
    <s v="Goal comercial"/>
    <s v="11938010304"/>
    <s v=""/>
    <s v="juraci@goalcomercial.com.br"/>
    <s v=""/>
    <s v=""/>
    <s v=""/>
    <s v="SAO CAETANO DO SUL"/>
    <s v="SP"/>
    <s v=""/>
    <s v=""/>
    <s v=""/>
    <s v="30%"/>
    <s v="Pipeline de Vendas"/>
    <s v="Em negociação (75%)"/>
    <s v=""/>
    <m/>
    <n v="16960"/>
    <n v="70432"/>
    <n v="80"/>
    <s v="Junior Lopes"/>
    <d v="2025-06-09T00:00:00"/>
    <d v="1899-12-30T11:25:17"/>
    <s v=""/>
    <s v="Perdido"/>
    <d v="2025-08-28T00:00:00"/>
    <d v="1899-12-30T15:35:05"/>
    <s v="Projeto adiado / sem prazo definido"/>
    <s v="sem retorno do cliente"/>
    <s v=""/>
    <x v="84"/>
    <s v=""/>
    <x v="93"/>
    <s v="13/03/2026"/>
    <m/>
    <m/>
    <s v=""/>
    <s v=""/>
    <s v=""/>
    <s v=""/>
    <n v="1"/>
  </r>
  <r>
    <x v="1"/>
    <n v="433"/>
    <m/>
    <n v="2197"/>
    <s v=""/>
    <s v=""/>
    <x v="186"/>
    <m/>
    <s v=""/>
    <s v="Galpão importadora"/>
    <s v="81992522279"/>
    <s v=""/>
    <s v="null"/>
    <s v=""/>
    <s v=""/>
    <s v=""/>
    <s v=""/>
    <s v=""/>
    <s v=""/>
    <s v=""/>
    <s v=""/>
    <s v=""/>
    <s v="Pipeline de Vendas"/>
    <s v="Apresentar Solução (35%)"/>
    <s v=""/>
    <m/>
    <n v="16960"/>
    <n v="998"/>
    <n v="20"/>
    <s v="Junior Lopes"/>
    <d v="2025-06-11T00:00:00"/>
    <d v="1899-12-30T09:05:28"/>
    <s v=""/>
    <s v="Perdido"/>
    <d v="2025-07-01T00:00:00"/>
    <d v="1899-12-30T09:59:28"/>
    <s v="Projeto adiado / sem prazo definido"/>
    <s v="cliente não encontra tempo para apresentação"/>
    <s v=""/>
    <x v="85"/>
    <s v=""/>
    <x v="94"/>
    <s v=""/>
    <m/>
    <m/>
    <s v=""/>
    <s v=""/>
    <s v=""/>
    <s v=""/>
    <n v="1"/>
  </r>
  <r>
    <x v="0"/>
    <n v="434"/>
    <m/>
    <n v="2198"/>
    <s v=""/>
    <s v=""/>
    <x v="187"/>
    <m/>
    <s v=""/>
    <s v="Alexandre"/>
    <s v="11976806556"/>
    <s v=""/>
    <s v="vendas@finaideia.com.br"/>
    <s v=""/>
    <s v=""/>
    <s v=""/>
    <s v=""/>
    <s v=""/>
    <s v="Indicação"/>
    <s v=""/>
    <s v=""/>
    <s v="30%"/>
    <s v="Pipeline de Vendas"/>
    <s v="Apresentar Solução (35%)"/>
    <s v="6x sem juros (0/30/60/90/120/150...)"/>
    <m/>
    <m/>
    <m/>
    <n v="90"/>
    <s v="Paulo Souza"/>
    <d v="2025-06-12T00:00:00"/>
    <d v="1899-12-30T15:13:20"/>
    <s v=""/>
    <s v="Perdido"/>
    <d v="2025-09-10T00:00:00"/>
    <d v="1899-12-30T16:13:03"/>
    <s v="Projeto adiado / sem prazo definido"/>
    <s v=""/>
    <s v=""/>
    <x v="0"/>
    <s v="Paulo Souza"/>
    <x v="0"/>
    <s v=""/>
    <m/>
    <m/>
    <s v=""/>
    <s v=""/>
    <s v=""/>
    <s v=""/>
    <n v="1"/>
  </r>
  <r>
    <x v="0"/>
    <n v="435"/>
    <m/>
    <n v="2200"/>
    <s v=""/>
    <s v=""/>
    <x v="188"/>
    <m/>
    <s v=""/>
    <s v="Gustavo"/>
    <s v="16996352359"/>
    <s v=""/>
    <s v="null"/>
    <s v=""/>
    <s v=""/>
    <s v=""/>
    <s v=""/>
    <s v=""/>
    <s v="Indicação"/>
    <s v=""/>
    <s v=""/>
    <s v="50%"/>
    <s v="Pipeline de Vendas"/>
    <s v="Em Fechamento (100%)"/>
    <s v=""/>
    <m/>
    <n v="28800"/>
    <n v="201012"/>
    <n v="56"/>
    <s v="Paulo Souza"/>
    <d v="2025-06-12T00:00:00"/>
    <d v="1899-12-30T16:24:50"/>
    <s v=""/>
    <s v="Ganho"/>
    <d v="2025-08-07T00:00:00"/>
    <d v="1899-12-30T12:06:18"/>
    <s v=""/>
    <s v=""/>
    <s v=""/>
    <x v="0"/>
    <s v="Paulo Souza"/>
    <x v="0"/>
    <s v=""/>
    <m/>
    <m/>
    <s v=""/>
    <s v=""/>
    <s v=""/>
    <s v=""/>
    <n v="1"/>
  </r>
  <r>
    <x v="1"/>
    <n v="447"/>
    <m/>
    <n v="2213"/>
    <s v=""/>
    <s v=""/>
    <x v="189"/>
    <m/>
    <s v=""/>
    <s v="Vitoria cortinas"/>
    <s v="53999594657"/>
    <s v=""/>
    <s v="compras@vitoriacortinasdecoracoes.com.br"/>
    <s v=""/>
    <s v=""/>
    <s v=""/>
    <s v=""/>
    <s v=""/>
    <s v=""/>
    <s v=""/>
    <s v=""/>
    <s v=""/>
    <s v="Pipeline de Vendas"/>
    <s v="Em Fechamento (100%)"/>
    <s v=""/>
    <m/>
    <n v="1782"/>
    <n v="3564"/>
    <n v="2"/>
    <s v="Junior Lopes"/>
    <d v="2025-06-16T00:00:00"/>
    <d v="1899-12-30T15:57:47"/>
    <s v=""/>
    <s v="Ganho"/>
    <d v="2025-06-18T00:00:00"/>
    <d v="1899-12-30T14:49:21"/>
    <s v=""/>
    <s v=""/>
    <s v=""/>
    <x v="86"/>
    <s v=""/>
    <x v="93"/>
    <s v=""/>
    <m/>
    <m/>
    <s v=""/>
    <s v=""/>
    <s v=""/>
    <s v=""/>
    <n v="1"/>
  </r>
  <r>
    <x v="1"/>
    <n v="451"/>
    <m/>
    <n v="2217"/>
    <s v=""/>
    <s v=""/>
    <x v="190"/>
    <n v="27898532000144"/>
    <s v=""/>
    <s v="Atacadão das Tripas (cloud)"/>
    <s v="14998117753"/>
    <s v=""/>
    <s v="atacadaodastripasfinanceiro@hotmail.com"/>
    <s v=""/>
    <s v=""/>
    <s v=""/>
    <s v="TUPA"/>
    <s v="SP"/>
    <s v=""/>
    <s v=""/>
    <s v=""/>
    <s v=""/>
    <s v="Pipeline de Vendas"/>
    <s v="Apresentar Solução (35%)"/>
    <s v=""/>
    <m/>
    <n v="1600"/>
    <n v="26507"/>
    <n v="26"/>
    <s v="Junior Lopes"/>
    <d v="2025-06-18T00:00:00"/>
    <d v="1899-12-30T14:31:48"/>
    <s v=""/>
    <s v="Perdido"/>
    <d v="2025-07-14T00:00:00"/>
    <d v="1899-12-30T10:34:04"/>
    <s v="Projeto adiado / sem prazo definido"/>
    <s v="Descartando ! cliente não encontra tempo para seguir"/>
    <s v=""/>
    <x v="81"/>
    <s v=""/>
    <x v="93"/>
    <s v=""/>
    <m/>
    <m/>
    <s v=""/>
    <s v=""/>
    <s v=""/>
    <s v=""/>
    <n v="1"/>
  </r>
  <r>
    <x v="1"/>
    <n v="453"/>
    <m/>
    <n v="2219"/>
    <s v=""/>
    <s v=""/>
    <x v="191"/>
    <m/>
    <s v=""/>
    <s v="MDL Import - int.WMS"/>
    <s v="11910695515"/>
    <s v=""/>
    <s v="janaina@mdlimport.com.br"/>
    <s v=""/>
    <s v=""/>
    <s v=""/>
    <s v=""/>
    <s v=""/>
    <s v=""/>
    <s v=""/>
    <s v=""/>
    <s v="30%"/>
    <s v="Pipeline de Vendas"/>
    <s v="Em negociação (75%)"/>
    <s v=""/>
    <m/>
    <n v="29680"/>
    <n v="0"/>
    <n v="7"/>
    <s v="Junior Lopes"/>
    <d v="2025-06-23T00:00:00"/>
    <d v="1899-12-30T09:14:24"/>
    <s v=""/>
    <s v="Perdido"/>
    <d v="2025-06-30T00:00:00"/>
    <d v="1899-12-30T15:12:28"/>
    <s v="Não houve aprovação financeira"/>
    <s v="orçamento não foi aprovado"/>
    <s v=""/>
    <x v="83"/>
    <s v=""/>
    <x v="95"/>
    <s v=""/>
    <m/>
    <m/>
    <s v=""/>
    <s v=""/>
    <s v=""/>
    <s v=""/>
    <n v="1"/>
  </r>
  <r>
    <x v="1"/>
    <n v="455"/>
    <m/>
    <n v="2221"/>
    <s v=""/>
    <s v=""/>
    <x v="192"/>
    <n v="1537246000160"/>
    <s v=""/>
    <s v="BS Toys (RMS)"/>
    <s v="15997551770"/>
    <s v=""/>
    <s v="atendimento@bstoys.com.br"/>
    <s v=""/>
    <s v=""/>
    <s v=""/>
    <s v="BOITUVA"/>
    <s v="SP"/>
    <s v=""/>
    <s v=""/>
    <s v=""/>
    <s v=""/>
    <s v="Pipeline de Vendas"/>
    <s v="Agendamento (0%)"/>
    <s v=""/>
    <m/>
    <m/>
    <m/>
    <n v="7"/>
    <s v="Junior Lopes"/>
    <d v="2025-06-24T00:00:00"/>
    <d v="1899-12-30T11:14:18"/>
    <s v=""/>
    <s v="Perdido"/>
    <d v="2025-07-01T00:00:00"/>
    <d v="1899-12-30T09:49:52"/>
    <s v="Projeto adiado / sem prazo definido"/>
    <s v="Aguardar Rep Mais"/>
    <s v=""/>
    <x v="0"/>
    <s v=""/>
    <x v="0"/>
    <s v=""/>
    <m/>
    <m/>
    <s v=""/>
    <s v=""/>
    <s v=""/>
    <s v=""/>
    <n v="1"/>
  </r>
  <r>
    <x v="1"/>
    <n v="456"/>
    <m/>
    <n v="2226"/>
    <s v=""/>
    <s v=""/>
    <x v="193"/>
    <n v="1684187000152"/>
    <s v=""/>
    <s v="Dielu"/>
    <s v="11947837975"/>
    <s v=""/>
    <s v=""/>
    <s v=""/>
    <s v=""/>
    <s v=""/>
    <s v="SAO PAULO"/>
    <s v="SP"/>
    <s v=""/>
    <s v=""/>
    <s v=""/>
    <s v=""/>
    <s v="Pipeline de Vendas"/>
    <s v="Agendamento (0%)"/>
    <s v=""/>
    <m/>
    <m/>
    <m/>
    <n v="7"/>
    <s v="Junior Lopes"/>
    <d v="2025-06-24T00:00:00"/>
    <d v="1899-12-30T11:20:52"/>
    <s v=""/>
    <s v="Perdido"/>
    <d v="2025-07-01T00:00:00"/>
    <d v="1899-12-30T09:50:21"/>
    <s v="Projeto adiado / sem prazo definido"/>
    <s v="Aguardar Rep Mais"/>
    <s v=""/>
    <x v="0"/>
    <s v=""/>
    <x v="0"/>
    <s v=""/>
    <m/>
    <m/>
    <s v=""/>
    <s v=""/>
    <s v=""/>
    <s v=""/>
    <n v="1"/>
  </r>
  <r>
    <x v="1"/>
    <n v="457"/>
    <m/>
    <n v="2230"/>
    <s v=""/>
    <s v=""/>
    <x v="194"/>
    <n v="28895260000191"/>
    <s v=""/>
    <s v="ceramica salute"/>
    <s v="19999094519"/>
    <s v=""/>
    <s v="comercial@ceramicasalute.com.br"/>
    <s v=""/>
    <s v=""/>
    <s v=""/>
    <s v="JABOTICABAL"/>
    <s v="SP"/>
    <s v=""/>
    <s v=""/>
    <s v=""/>
    <s v=""/>
    <s v="Pipeline de Vendas"/>
    <s v="Agendamento (0%)"/>
    <s v=""/>
    <m/>
    <m/>
    <m/>
    <n v="7"/>
    <s v="Junior Lopes"/>
    <d v="2025-06-24T00:00:00"/>
    <d v="1899-12-30T11:28:08"/>
    <s v=""/>
    <s v="Perdido"/>
    <d v="2025-07-01T00:00:00"/>
    <d v="1899-12-30T09:50:51"/>
    <s v="Projeto adiado / sem prazo definido"/>
    <s v="Aguardar Rep Mais"/>
    <s v=""/>
    <x v="0"/>
    <s v=""/>
    <x v="0"/>
    <s v=""/>
    <m/>
    <m/>
    <s v=""/>
    <s v=""/>
    <s v=""/>
    <s v=""/>
    <n v="1"/>
  </r>
  <r>
    <x v="1"/>
    <n v="462"/>
    <m/>
    <n v="2237"/>
    <s v=""/>
    <s v=""/>
    <x v="195"/>
    <n v="61630786000115"/>
    <s v=""/>
    <s v="Palete Chiari"/>
    <s v="16993303692"/>
    <s v=""/>
    <s v=""/>
    <s v=""/>
    <s v=""/>
    <s v=""/>
    <s v="SAO CARLOS"/>
    <s v="SP"/>
    <s v=""/>
    <s v=""/>
    <s v=""/>
    <s v=""/>
    <s v="Pipeline de Vendas"/>
    <s v="Apresentar Solução (35%)"/>
    <s v=""/>
    <m/>
    <n v="80560"/>
    <n v="249008"/>
    <n v="1"/>
    <s v="Junior Lopes"/>
    <d v="2025-06-25T00:00:00"/>
    <d v="1899-12-30T10:30:51"/>
    <s v=""/>
    <s v="Perdido"/>
    <d v="2025-06-26T00:00:00"/>
    <d v="1899-12-30T10:45:55"/>
    <s v="Projeto adiado / sem prazo definido"/>
    <s v="cliente não respondeu mais aos contatos ! estou decertando e manterei contato"/>
    <s v=""/>
    <x v="86"/>
    <s v=""/>
    <x v="96"/>
    <s v=""/>
    <m/>
    <m/>
    <s v=""/>
    <s v=""/>
    <s v=""/>
    <s v=""/>
    <n v="1"/>
  </r>
  <r>
    <x v="1"/>
    <n v="463"/>
    <m/>
    <n v="2239"/>
    <s v=""/>
    <s v=""/>
    <x v="196"/>
    <n v="61630786000115"/>
    <s v=""/>
    <s v="Chiare Palete - Cloud"/>
    <s v="16993303692"/>
    <s v=""/>
    <s v=""/>
    <s v=""/>
    <s v=""/>
    <s v=""/>
    <s v="SAO CARLOS"/>
    <s v="SP"/>
    <s v=""/>
    <s v=""/>
    <s v=""/>
    <s v=""/>
    <s v="Pipeline de Vendas"/>
    <s v="Apresentar Solução (35%)"/>
    <s v=""/>
    <m/>
    <n v="1600"/>
    <n v="278556"/>
    <n v="1"/>
    <s v="Junior Lopes"/>
    <d v="2025-06-25T00:00:00"/>
    <d v="1899-12-30T10:37:01"/>
    <s v=""/>
    <s v="Perdido"/>
    <d v="2025-06-26T00:00:00"/>
    <d v="1899-12-30T10:46:25"/>
    <s v="Projeto adiado / sem prazo definido"/>
    <s v="cliente não respondeu mais aos contatos ! estou decertando e manterei contato"/>
    <s v=""/>
    <x v="86"/>
    <s v=""/>
    <x v="96"/>
    <s v=""/>
    <m/>
    <m/>
    <s v=""/>
    <s v=""/>
    <s v=""/>
    <s v=""/>
    <n v="1"/>
  </r>
  <r>
    <x v="1"/>
    <n v="466"/>
    <m/>
    <n v="2243"/>
    <s v=""/>
    <s v=""/>
    <x v="197"/>
    <m/>
    <s v=""/>
    <s v="vitoria cortinas - User AFV"/>
    <s v="3599959465"/>
    <s v=""/>
    <s v="comercial@vitoriacortninasdecoracoes.com.br"/>
    <s v=""/>
    <s v=""/>
    <s v=""/>
    <s v=""/>
    <s v=""/>
    <s v=""/>
    <s v=""/>
    <s v=""/>
    <s v=""/>
    <s v="Pipeline de Vendas"/>
    <s v="Em Fechamento (100%)"/>
    <s v=""/>
    <m/>
    <n v="0"/>
    <n v="54887"/>
    <n v="5"/>
    <s v="Junior Lopes"/>
    <d v="2025-06-25T00:00:00"/>
    <d v="1899-12-30T14:32:40"/>
    <s v=""/>
    <s v="Ganho"/>
    <d v="2025-06-30T00:00:00"/>
    <d v="1899-12-30T08:34:12"/>
    <s v=""/>
    <s v=""/>
    <s v=""/>
    <x v="87"/>
    <s v=""/>
    <x v="97"/>
    <s v=""/>
    <m/>
    <m/>
    <s v=""/>
    <s v=""/>
    <s v=""/>
    <s v=""/>
    <n v="1"/>
  </r>
  <r>
    <x v="1"/>
    <n v="467"/>
    <m/>
    <n v="2244"/>
    <s v=""/>
    <s v=""/>
    <x v="198"/>
    <m/>
    <s v=""/>
    <s v="Meio atacado - Cloud"/>
    <s v="19997556622"/>
    <s v=""/>
    <s v="camila@meioatacado.com.br"/>
    <s v=""/>
    <s v=""/>
    <s v=""/>
    <s v=""/>
    <s v=""/>
    <s v=""/>
    <s v=""/>
    <s v=""/>
    <s v=""/>
    <s v="Pipeline de Vendas"/>
    <s v="Apresentar Solução (35%)"/>
    <s v=""/>
    <m/>
    <n v="1600"/>
    <n v="309656"/>
    <n v="5"/>
    <s v="Junior Lopes"/>
    <d v="2025-06-25T00:00:00"/>
    <d v="1899-12-30T15:54:02"/>
    <s v=""/>
    <s v="Perdido"/>
    <d v="2025-06-30T00:00:00"/>
    <d v="1899-12-30T15:06:57"/>
    <s v="Projeto adiado / sem prazo definido"/>
    <s v="não responde mais aos contatos"/>
    <s v=""/>
    <x v="83"/>
    <s v=""/>
    <x v="98"/>
    <s v=""/>
    <m/>
    <m/>
    <s v=""/>
    <s v=""/>
    <s v=""/>
    <s v=""/>
    <n v="1"/>
  </r>
  <r>
    <x v="1"/>
    <n v="468"/>
    <m/>
    <n v="2245"/>
    <s v=""/>
    <s v=""/>
    <x v="199"/>
    <n v="9509581000166"/>
    <s v=""/>
    <s v="Emporio Villamarin"/>
    <s v="11999265872"/>
    <s v=""/>
    <s v="alfonso@emporiovillamarin.com.br"/>
    <s v=""/>
    <s v=""/>
    <s v=""/>
    <s v="SAO PAULO"/>
    <s v="SP"/>
    <s v=""/>
    <s v=""/>
    <s v=""/>
    <s v=""/>
    <s v="Pipeline de Vendas"/>
    <s v="Apresentar Proposta (50%)"/>
    <s v=""/>
    <m/>
    <n v="10800"/>
    <n v="450"/>
    <n v="5"/>
    <s v="Junior Lopes"/>
    <d v="2025-06-25T00:00:00"/>
    <d v="1899-12-30T16:08:55"/>
    <s v=""/>
    <s v="Perdido"/>
    <d v="2025-06-30T00:00:00"/>
    <d v="1899-12-30T15:05:29"/>
    <s v="Projeto adiado / sem prazo definido"/>
    <s v="não ira dar continuidade no momento"/>
    <s v=""/>
    <x v="88"/>
    <s v=""/>
    <x v="92"/>
    <s v=""/>
    <m/>
    <m/>
    <s v=""/>
    <s v=""/>
    <s v=""/>
    <s v=""/>
    <n v="1"/>
  </r>
  <r>
    <x v="1"/>
    <n v="469"/>
    <m/>
    <n v="2250"/>
    <s v=""/>
    <s v=""/>
    <x v="200"/>
    <m/>
    <s v=""/>
    <s v="Elmo atacado (horas exc)"/>
    <s v="47984366161"/>
    <s v=""/>
    <s v="fabio@elmoatacado.com.br"/>
    <s v=""/>
    <s v=""/>
    <s v=""/>
    <s v=""/>
    <s v=""/>
    <s v=""/>
    <s v=""/>
    <s v=""/>
    <s v=""/>
    <s v="Pipeline de Vendas"/>
    <s v="Em Fechamento (100%)"/>
    <s v=""/>
    <m/>
    <n v="607121"/>
    <n v="0"/>
    <n v="25"/>
    <s v="Junior Lopes"/>
    <d v="2025-06-26T00:00:00"/>
    <d v="1899-12-30T11:58:43"/>
    <s v=""/>
    <s v="Ganho"/>
    <d v="2025-07-21T00:00:00"/>
    <d v="1899-12-30T09:16:58"/>
    <s v=""/>
    <s v=""/>
    <s v=""/>
    <x v="89"/>
    <s v=""/>
    <x v="99"/>
    <s v=""/>
    <m/>
    <m/>
    <s v=""/>
    <s v=""/>
    <s v=""/>
    <s v=""/>
    <n v="1"/>
  </r>
  <r>
    <x v="1"/>
    <n v="470"/>
    <m/>
    <n v="2272"/>
    <s v=""/>
    <s v=""/>
    <x v="201"/>
    <n v="912882000161"/>
    <s v=""/>
    <s v="Grupo K1"/>
    <s v="51980225006"/>
    <s v=""/>
    <s v="angela@kappersberg.com.br"/>
    <s v=""/>
    <s v=""/>
    <s v=""/>
    <s v="TUPANDI"/>
    <s v="RS"/>
    <s v=""/>
    <s v=""/>
    <s v=""/>
    <s v="30%"/>
    <s v="Pipeline de Vendas"/>
    <s v="Em negociação (75%)"/>
    <s v=""/>
    <m/>
    <n v="16960"/>
    <n v="14034"/>
    <n v="84"/>
    <s v="Junior Lopes"/>
    <d v="2025-06-30T00:00:00"/>
    <d v="1899-12-30T11:52:50"/>
    <s v=""/>
    <s v="Perdido"/>
    <d v="2025-09-22T00:00:00"/>
    <d v="1899-12-30T11:28:00"/>
    <s v="Projeto adiado / sem prazo definido"/>
    <s v="em contato com Ângela, nao esta descartado porem não seguirá nesse momento"/>
    <s v=""/>
    <x v="90"/>
    <s v=""/>
    <x v="100"/>
    <s v=""/>
    <m/>
    <m/>
    <s v=""/>
    <s v=""/>
    <s v=""/>
    <s v=""/>
    <n v="1"/>
  </r>
  <r>
    <x v="2"/>
    <n v="475"/>
    <m/>
    <n v="2299"/>
    <s v=""/>
    <s v=""/>
    <x v="202"/>
    <n v="3436772000169"/>
    <s v=""/>
    <s v="Julia Soares"/>
    <s v="11983386298"/>
    <s v=""/>
    <s v="vendas@trilharty.com.br"/>
    <s v=""/>
    <s v=""/>
    <s v=""/>
    <s v="SAO PAULO"/>
    <s v="SP"/>
    <s v=""/>
    <s v=""/>
    <s v=""/>
    <s v=""/>
    <s v="Pipeline de Vendas"/>
    <s v="Apresentar Proposta (50%)"/>
    <s v=""/>
    <m/>
    <m/>
    <m/>
    <n v="60"/>
    <s v="Rayssa Karapeticov"/>
    <d v="2025-07-04T00:00:00"/>
    <d v="1899-12-30T09:23:22"/>
    <s v=""/>
    <s v="Perdido"/>
    <d v="2025-09-02T00:00:00"/>
    <d v="1899-12-30T09:58:39"/>
    <s v="Projeto adiado / sem prazo definido"/>
    <s v=""/>
    <s v=""/>
    <x v="91"/>
    <s v=""/>
    <x v="101"/>
    <s v=""/>
    <m/>
    <m/>
    <s v=""/>
    <s v=""/>
    <s v=""/>
    <s v=""/>
    <n v="1"/>
  </r>
  <r>
    <x v="1"/>
    <n v="485"/>
    <m/>
    <n v="2341"/>
    <s v=""/>
    <s v=""/>
    <x v="203"/>
    <n v="20750928000109"/>
    <s v=""/>
    <s v="Tiago eletrodomésticos"/>
    <s v="(48) 9960-6091"/>
    <s v=""/>
    <s v="financeiro@saeletronicos.com.br"/>
    <s v=""/>
    <s v=""/>
    <s v=""/>
    <s v="ICARA"/>
    <s v="SC"/>
    <s v=""/>
    <s v=""/>
    <s v=""/>
    <s v="50%"/>
    <s v="Pipeline de Vendas"/>
    <s v="Em Fechamento (100%)"/>
    <s v=""/>
    <m/>
    <n v="6429976"/>
    <n v="399322"/>
    <n v="73"/>
    <s v="Junior Lopes"/>
    <d v="2025-07-14T00:00:00"/>
    <d v="1899-12-30T10:10:19"/>
    <s v=""/>
    <s v="Ganho"/>
    <d v="2025-09-25T00:00:00"/>
    <d v="1899-12-30T15:08:43"/>
    <s v=""/>
    <s v=""/>
    <s v=""/>
    <x v="92"/>
    <s v=""/>
    <x v="102"/>
    <s v=""/>
    <m/>
    <m/>
    <s v=""/>
    <s v=""/>
    <s v=""/>
    <s v=""/>
    <n v="1"/>
  </r>
  <r>
    <x v="1"/>
    <n v="486"/>
    <m/>
    <n v="2343"/>
    <s v=""/>
    <s v=""/>
    <x v="204"/>
    <n v="20750928000109"/>
    <s v=""/>
    <s v="Tiago eleytonicos"/>
    <s v="(48) 9960-6091"/>
    <s v=""/>
    <s v="financeiro@saeletronicos.com.br"/>
    <s v=""/>
    <s v=""/>
    <s v=""/>
    <s v="ICARA"/>
    <s v="SC"/>
    <s v=""/>
    <s v=""/>
    <s v=""/>
    <s v=""/>
    <s v="Pipeline de Vendas"/>
    <s v="Em Fechamento (100%)"/>
    <s v=""/>
    <m/>
    <n v="1600"/>
    <n v="2325"/>
    <n v="73"/>
    <s v="Junior Lopes"/>
    <d v="2025-07-14T00:00:00"/>
    <d v="1899-12-30T10:59:03"/>
    <s v=""/>
    <s v="Perdido"/>
    <d v="2025-09-25T00:00:00"/>
    <d v="1899-12-30T14:59:17"/>
    <s v="Não quer mudar a solução atual"/>
    <s v="cliente decidiu manter o servidor local"/>
    <s v=""/>
    <x v="92"/>
    <s v=""/>
    <x v="102"/>
    <s v=""/>
    <m/>
    <m/>
    <s v=""/>
    <s v=""/>
    <s v=""/>
    <s v=""/>
    <n v="1"/>
  </r>
  <r>
    <x v="1"/>
    <n v="487"/>
    <m/>
    <n v="2345"/>
    <s v=""/>
    <s v=""/>
    <x v="205"/>
    <m/>
    <s v=""/>
    <s v="Star distribuidora - Expede"/>
    <s v="17997793113"/>
    <s v=""/>
    <s v="comercial@distribuidorastar.com.br"/>
    <s v=""/>
    <s v=""/>
    <s v=""/>
    <s v=""/>
    <s v=""/>
    <s v=""/>
    <s v=""/>
    <s v=""/>
    <s v=""/>
    <s v="Pipeline de Vendas"/>
    <s v="Em Fechamento (100%)"/>
    <s v=""/>
    <m/>
    <n v="0"/>
    <n v="14256"/>
    <n v="7"/>
    <s v="Junior Lopes"/>
    <d v="2025-07-14T00:00:00"/>
    <d v="1899-12-30T14:38:51"/>
    <s v=""/>
    <s v="Ganho"/>
    <d v="2025-07-21T00:00:00"/>
    <d v="1899-12-30T09:23:38"/>
    <s v=""/>
    <s v=""/>
    <s v=""/>
    <x v="93"/>
    <s v=""/>
    <x v="103"/>
    <s v=""/>
    <m/>
    <m/>
    <s v=""/>
    <s v=""/>
    <s v=""/>
    <s v=""/>
    <n v="1"/>
  </r>
  <r>
    <x v="1"/>
    <n v="488"/>
    <m/>
    <n v="2346"/>
    <s v="O projeto B2B já está fechado, porém a continuidade dependerá da finalização da carga de dados na implantação do ERP. Assim que essa etapa for concluída, Junior Lopes deve retomar o contato com o cliente, verificar pendências e alinhar os próximos passos com data definida."/>
    <s v=""/>
    <x v="206"/>
    <n v="20750928000109"/>
    <s v=""/>
    <s v="Tiago eletrônicos - B2B"/>
    <s v="4899606091"/>
    <s v=""/>
    <s v="financeiro@saeletronicos.com.br"/>
    <s v=""/>
    <s v=""/>
    <s v=""/>
    <s v=""/>
    <s v=""/>
    <s v=""/>
    <s v=""/>
    <s v=""/>
    <s v="90%"/>
    <s v="Pipeline de Vendas"/>
    <s v="Em Fechamento (100%)"/>
    <s v=""/>
    <d v="2026-02-02T00:00:00"/>
    <n v="26200"/>
    <n v="3400"/>
    <n v="206"/>
    <s v="Junior Lopes"/>
    <d v="2025-07-15T00:00:00"/>
    <d v="1899-12-30T17:26:45"/>
    <s v=""/>
    <s v="Ganho"/>
    <d v="2026-02-06T00:00:00"/>
    <d v="1899-12-30T12:10:05"/>
    <s v=""/>
    <s v=""/>
    <s v=""/>
    <x v="92"/>
    <s v="Junior Lopes"/>
    <x v="102"/>
    <s v=""/>
    <d v="2025-12-10T00:00:00"/>
    <m/>
    <s v=""/>
    <s v=""/>
    <s v=""/>
    <s v=""/>
    <n v="1"/>
  </r>
  <r>
    <x v="1"/>
    <n v="493"/>
    <m/>
    <n v="2352"/>
    <s v=""/>
    <s v=""/>
    <x v="207"/>
    <n v="39750889000160"/>
    <s v=""/>
    <s v="MDL Comércio importação (ERP+AFV"/>
    <s v="(11) 91069-5515"/>
    <s v=""/>
    <s v="janaina@mdlimport.com.br"/>
    <s v=""/>
    <s v=""/>
    <s v=""/>
    <s v="SAO CAETANO DO SUL"/>
    <s v="SP"/>
    <s v=""/>
    <s v=""/>
    <s v=""/>
    <s v=""/>
    <s v="Pipeline de Vendas"/>
    <s v="Em Fechamento (100%)"/>
    <s v="10x sem juros (0/30/60/90/120/150...)"/>
    <m/>
    <n v="4327344"/>
    <n v="37442"/>
    <n v="42"/>
    <s v="Junior Lopes"/>
    <d v="2025-07-17T00:00:00"/>
    <d v="1899-12-30T14:23:39"/>
    <s v=""/>
    <s v="Ganho"/>
    <d v="2025-08-28T00:00:00"/>
    <d v="1899-12-30T15:08:55"/>
    <s v=""/>
    <s v=""/>
    <s v=""/>
    <x v="94"/>
    <s v=""/>
    <x v="104"/>
    <s v=""/>
    <m/>
    <m/>
    <s v=""/>
    <s v=""/>
    <s v=""/>
    <s v=""/>
    <n v="1"/>
  </r>
  <r>
    <x v="1"/>
    <n v="494"/>
    <m/>
    <n v="2354"/>
    <s v=""/>
    <s v=""/>
    <x v="208"/>
    <m/>
    <s v=""/>
    <s v="MDL comércio de importação (Int.WMS)"/>
    <s v="11910695515"/>
    <s v=""/>
    <s v="janaina@mdlimport.com.br"/>
    <s v=""/>
    <s v=""/>
    <s v=""/>
    <s v=""/>
    <s v=""/>
    <s v=""/>
    <s v=""/>
    <s v=""/>
    <s v=""/>
    <s v="Pipeline de Vendas"/>
    <s v="Em Fechamento (100%)"/>
    <s v="10x sem juros (0/30/60/90/120/150...)"/>
    <m/>
    <n v="1167696"/>
    <n v="0"/>
    <n v="42"/>
    <s v="Junior Lopes"/>
    <d v="2025-07-17T00:00:00"/>
    <d v="1899-12-30T14:38:09"/>
    <s v=""/>
    <s v="Ganho"/>
    <d v="2025-08-28T00:00:00"/>
    <d v="1899-12-30T15:11:27"/>
    <s v=""/>
    <s v=""/>
    <s v=""/>
    <x v="94"/>
    <s v=""/>
    <x v="104"/>
    <s v=""/>
    <m/>
    <m/>
    <s v=""/>
    <s v=""/>
    <s v=""/>
    <s v=""/>
    <n v="1"/>
  </r>
  <r>
    <x v="1"/>
    <n v="495"/>
    <m/>
    <n v="2356"/>
    <s v=""/>
    <s v=""/>
    <x v="209"/>
    <m/>
    <s v=""/>
    <s v="Germer porcenalas"/>
    <s v="41984816685"/>
    <s v=""/>
    <s v="ti@germerporcelanas.com.br"/>
    <s v=""/>
    <s v=""/>
    <s v=""/>
    <s v=""/>
    <s v=""/>
    <s v=""/>
    <s v=""/>
    <s v=""/>
    <s v="30%"/>
    <s v="Pipeline de Vendas"/>
    <s v="Em negociação (75%)"/>
    <s v=""/>
    <m/>
    <n v="16960"/>
    <n v="10748"/>
    <n v="67"/>
    <s v="Junior Lopes"/>
    <d v="2025-07-17T00:00:00"/>
    <d v="1899-12-30T16:01:44"/>
    <s v=""/>
    <s v="Perdido"/>
    <d v="2025-09-22T00:00:00"/>
    <d v="1899-12-30T11:35:25"/>
    <s v="Não quer mudar a solução atual"/>
    <s v="em contato com Claudinei projeto está estagnado"/>
    <s v=""/>
    <x v="93"/>
    <s v=""/>
    <x v="103"/>
    <s v="10/07/2025"/>
    <m/>
    <m/>
    <s v=""/>
    <s v=""/>
    <s v=""/>
    <s v=""/>
    <n v="1"/>
  </r>
  <r>
    <x v="1"/>
    <n v="496"/>
    <m/>
    <n v="2361"/>
    <s v="O próximo passo é Junior Lopes alinhar com o cliente o objetivo final da oportunidade, considerando que o cliente ainda está negociando o desenvolvimento da integração técnica que o ERP deles precisa construir. Somente após essa definição e após os ajustes técnicos com a Marília será possível retomar as conversas em janeiro de 2026 e avançar para o fechamento, previsto para 31/01/2026."/>
    <s v="Editora Dcl - Difusao Cultural Do Livro Ltda"/>
    <x v="210"/>
    <n v="60444098000521"/>
    <s v=""/>
    <s v="Editora Dcl - Difusao Cultural Do Livro Ltda"/>
    <s v="(11) 3932-5222"/>
    <s v=""/>
    <s v="welington@editoradcl.com.br"/>
    <s v=""/>
    <s v=""/>
    <s v=""/>
    <s v="ITUPEVA"/>
    <s v="SP"/>
    <s v="Base de empresas Leads2b"/>
    <s v=""/>
    <s v=""/>
    <s v="80%"/>
    <s v="Pipeline de Vendas"/>
    <s v="Em Fechamento (100%)"/>
    <s v="4x sem juros (0/30/60/90)"/>
    <d v="2026-01-30T00:00:00"/>
    <n v="16960"/>
    <n v="37395"/>
    <n v="166"/>
    <s v="Junior Lopes"/>
    <d v="2025-07-23T00:00:00"/>
    <d v="1899-12-30T11:53:55"/>
    <s v=""/>
    <s v="Ganho"/>
    <d v="2026-01-05T00:00:00"/>
    <d v="1899-12-30T14:50:49"/>
    <s v=""/>
    <s v=""/>
    <s v=""/>
    <x v="93"/>
    <s v="Junior Lopes"/>
    <x v="105"/>
    <s v="11/07/2025"/>
    <d v="2025-12-12T00:00:00"/>
    <m/>
    <s v=""/>
    <s v=""/>
    <s v=""/>
    <s v=""/>
    <n v="1"/>
  </r>
  <r>
    <x v="1"/>
    <n v="497"/>
    <m/>
    <n v="2363"/>
    <s v=""/>
    <s v="Associacao Medianeira Fuzipar"/>
    <x v="211"/>
    <n v="8306975000154"/>
    <s v=""/>
    <s v="Associacao Medianeira Fuzipar"/>
    <s v="(54) 3321-5456"/>
    <s v=""/>
    <s v=""/>
    <s v=""/>
    <s v=""/>
    <s v=""/>
    <s v="ERECHIM"/>
    <s v="RS"/>
    <s v="Base de empresas Leads2b"/>
    <s v=""/>
    <s v=""/>
    <s v=""/>
    <s v="Pipeline de Vendas"/>
    <s v="Em Fechamento (100%)"/>
    <s v=""/>
    <m/>
    <n v="16960"/>
    <n v="2455"/>
    <n v="64"/>
    <s v="Junior Lopes"/>
    <d v="2025-07-23T00:00:00"/>
    <d v="1899-12-30T12:05:00"/>
    <s v=""/>
    <s v="Ganho"/>
    <d v="2025-09-25T00:00:00"/>
    <d v="1899-12-30T14:58:22"/>
    <s v=""/>
    <s v=""/>
    <s v=""/>
    <x v="95"/>
    <s v=""/>
    <x v="105"/>
    <s v="18/08/2025"/>
    <m/>
    <m/>
    <s v=""/>
    <s v=""/>
    <s v=""/>
    <s v=""/>
    <n v="1"/>
  </r>
  <r>
    <x v="1"/>
    <n v="503"/>
    <m/>
    <n v="2433"/>
    <s v=""/>
    <s v=""/>
    <x v="212"/>
    <n v="46083438000181"/>
    <s v=""/>
    <s v="Adelmo Jeronimo"/>
    <s v="(81) 99252-2279"/>
    <s v=""/>
    <s v="adelmoo.jeronimo@gmail.com"/>
    <s v=""/>
    <s v=""/>
    <s v=""/>
    <s v=""/>
    <s v=""/>
    <s v="Base de empresas Leads2b"/>
    <s v=""/>
    <s v=""/>
    <s v=""/>
    <s v="Pipeline de Vendas"/>
    <s v="Apresentar Solução (35%)"/>
    <s v=""/>
    <m/>
    <n v="16960"/>
    <n v="998"/>
    <n v="29"/>
    <s v="Junior Lopes"/>
    <d v="2025-07-30T00:00:00"/>
    <d v="1899-12-30T11:50:21"/>
    <s v=""/>
    <s v="Perdido"/>
    <d v="2025-08-28T00:00:00"/>
    <d v="1899-12-30T16:43:54"/>
    <s v="Projeto adiado / sem prazo definido"/>
    <s v="após vários contatos não obtivemos retorno"/>
    <s v=""/>
    <x v="96"/>
    <s v=""/>
    <x v="106"/>
    <s v=""/>
    <m/>
    <m/>
    <s v=""/>
    <s v=""/>
    <s v=""/>
    <s v=""/>
    <n v="1"/>
  </r>
  <r>
    <x v="1"/>
    <n v="504"/>
    <m/>
    <n v="2434"/>
    <s v=""/>
    <s v=""/>
    <x v="213"/>
    <n v="8306975000154"/>
    <s v=""/>
    <s v="Fuzipar (ERP)"/>
    <s v="5499823395"/>
    <s v=""/>
    <s v=""/>
    <s v=""/>
    <s v=""/>
    <s v=""/>
    <s v="ERECHIM"/>
    <s v="RS"/>
    <s v=""/>
    <s v=""/>
    <s v=""/>
    <s v="50%"/>
    <s v="Pipeline de Vendas"/>
    <s v="Em negociação (75%)"/>
    <s v=""/>
    <m/>
    <n v="87344"/>
    <n v="514788"/>
    <n v="41"/>
    <s v="Junior Lopes"/>
    <d v="2025-07-30T00:00:00"/>
    <d v="1899-12-30T15:13:04"/>
    <s v=""/>
    <s v="Perdido"/>
    <d v="2025-09-09T00:00:00"/>
    <d v="1899-12-30T15:35:44"/>
    <s v="Não quer mudar a solução atual"/>
    <s v="cliente vai seguir somente com força de vendas"/>
    <s v=""/>
    <x v="97"/>
    <s v=""/>
    <x v="0"/>
    <s v=""/>
    <m/>
    <m/>
    <s v=""/>
    <s v=""/>
    <s v=""/>
    <s v=""/>
    <n v="1"/>
  </r>
  <r>
    <x v="1"/>
    <n v="505"/>
    <m/>
    <n v="2436"/>
    <s v=""/>
    <s v=""/>
    <x v="214"/>
    <n v="8306975000154"/>
    <s v=""/>
    <s v="Fuzipar (Cloud)"/>
    <s v="5499823395"/>
    <s v=""/>
    <s v=""/>
    <s v=""/>
    <s v=""/>
    <s v=""/>
    <s v="ERECHIM"/>
    <s v="RS"/>
    <s v=""/>
    <s v=""/>
    <s v=""/>
    <s v=""/>
    <s v="Pipeline de Vendas"/>
    <s v="Apresentar Solução (35%)"/>
    <s v=""/>
    <m/>
    <n v="1600"/>
    <n v="334556"/>
    <n v="30"/>
    <s v="Junior Lopes"/>
    <d v="2025-07-30T00:00:00"/>
    <d v="1899-12-30T16:07:10"/>
    <s v=""/>
    <s v="Perdido"/>
    <d v="2025-08-29T00:00:00"/>
    <d v="1899-12-30T15:49:29"/>
    <s v="Não quer mudar a solução atual"/>
    <s v="vai seguir somente com força de vendas"/>
    <s v=""/>
    <x v="96"/>
    <s v=""/>
    <x v="0"/>
    <s v=""/>
    <m/>
    <m/>
    <s v=""/>
    <s v=""/>
    <s v=""/>
    <s v=""/>
    <n v="1"/>
  </r>
  <r>
    <x v="1"/>
    <n v="506"/>
    <m/>
    <n v="2439"/>
    <s v=""/>
    <s v=""/>
    <x v="215"/>
    <n v="30924882000142"/>
    <s v=""/>
    <s v="PEDRO DE ROZENDO PACO DA SILVEIRA"/>
    <s v=""/>
    <s v=""/>
    <s v="pedro@grupoecoa.com.br"/>
    <s v=""/>
    <s v=""/>
    <s v=""/>
    <s v=""/>
    <s v=""/>
    <s v="Base de empresas Leads2b"/>
    <s v=""/>
    <s v=""/>
    <s v="90%"/>
    <s v="Pipeline de Vendas"/>
    <s v="Em Fechamento (100%)"/>
    <s v=""/>
    <m/>
    <n v="72240"/>
    <n v="2167539"/>
    <n v="56"/>
    <s v="Junior Lopes"/>
    <d v="2025-07-30T00:00:00"/>
    <d v="1899-12-30T16:26:43"/>
    <s v=""/>
    <s v="Perdido"/>
    <d v="2025-09-24T00:00:00"/>
    <d v="1899-12-30T09:34:51"/>
    <s v="Não quer mudar a solução atual"/>
    <s v="Pedro não responde mais aos contatos"/>
    <s v=""/>
    <x v="96"/>
    <s v=""/>
    <x v="0"/>
    <s v=""/>
    <m/>
    <m/>
    <s v=""/>
    <s v=""/>
    <s v=""/>
    <s v=""/>
    <n v="1"/>
  </r>
  <r>
    <x v="1"/>
    <n v="507"/>
    <m/>
    <n v="2440"/>
    <s v=""/>
    <s v=""/>
    <x v="216"/>
    <n v="30924882000142"/>
    <s v=""/>
    <s v="Grupo Ecoa"/>
    <s v="11987154112"/>
    <s v=""/>
    <s v="pedro@grupoecoa.com"/>
    <s v=""/>
    <s v=""/>
    <s v=""/>
    <s v="DUQUE DE CAXIAS"/>
    <s v="RJ"/>
    <s v=""/>
    <s v=""/>
    <s v=""/>
    <s v="80%"/>
    <s v="Pipeline de Vendas"/>
    <s v="Em Fechamento (100%)"/>
    <s v=""/>
    <m/>
    <n v="1620001"/>
    <n v="2900"/>
    <n v="56"/>
    <s v="Junior Lopes"/>
    <d v="2025-07-30T00:00:00"/>
    <d v="1899-12-30T17:20:05"/>
    <s v=""/>
    <s v="Perdido"/>
    <d v="2025-09-24T00:00:00"/>
    <d v="1899-12-30T09:17:39"/>
    <s v="Não quer mudar a solução atual"/>
    <s v="Pedro não responde mais os contatos"/>
    <s v=""/>
    <x v="96"/>
    <s v=""/>
    <x v="0"/>
    <s v=""/>
    <m/>
    <m/>
    <s v=""/>
    <s v=""/>
    <s v=""/>
    <s v=""/>
    <n v="1"/>
  </r>
  <r>
    <x v="1"/>
    <n v="508"/>
    <m/>
    <n v="2442"/>
    <s v=""/>
    <s v=""/>
    <x v="217"/>
    <m/>
    <s v=""/>
    <s v="Vitoria cortinas"/>
    <s v="35993445286"/>
    <s v=""/>
    <s v="compras@vitoriacortinasdecoracoes.com.br"/>
    <s v=""/>
    <s v=""/>
    <s v=""/>
    <s v=""/>
    <s v=""/>
    <s v=""/>
    <s v=""/>
    <s v=""/>
    <s v=""/>
    <s v="Pipeline de Vendas"/>
    <s v="Em Fechamento (100%)"/>
    <s v=""/>
    <m/>
    <n v="62169"/>
    <n v="0"/>
    <n v="53"/>
    <s v="Junior Lopes"/>
    <d v="2025-07-31T00:00:00"/>
    <d v="1899-12-30T09:07:55"/>
    <s v=""/>
    <s v="Ganho"/>
    <d v="2025-09-22T00:00:00"/>
    <d v="1899-12-30T10:43:58"/>
    <s v=""/>
    <s v=""/>
    <s v=""/>
    <x v="98"/>
    <s v=""/>
    <x v="107"/>
    <s v=""/>
    <m/>
    <m/>
    <s v=""/>
    <s v=""/>
    <s v=""/>
    <s v=""/>
    <n v="1"/>
  </r>
  <r>
    <x v="1"/>
    <n v="509"/>
    <m/>
    <n v="2443"/>
    <s v=""/>
    <s v="Maxsoy Alimentos Ltda"/>
    <x v="218"/>
    <n v="6346005000157"/>
    <s v=""/>
    <s v="Maxsoy Alimentos Ltda"/>
    <s v="(19) 3809-5454"/>
    <s v=""/>
    <s v="vendas@maxsoy.com.br"/>
    <s v=""/>
    <s v=""/>
    <s v=""/>
    <s v="HORTOLANDIA"/>
    <s v="SP"/>
    <s v="Base de empresas Leads2b"/>
    <s v=""/>
    <s v=""/>
    <s v=""/>
    <s v="Pipeline de Vendas"/>
    <s v="Apresentar Solução (35%)"/>
    <s v=""/>
    <m/>
    <n v="16960"/>
    <n v="67275"/>
    <n v="28"/>
    <s v="Junior Lopes"/>
    <d v="2025-07-31T00:00:00"/>
    <d v="1899-12-30T11:57:17"/>
    <s v=""/>
    <s v="Perdido"/>
    <d v="2025-08-28T00:00:00"/>
    <d v="1899-12-30T16:25:26"/>
    <s v="Preço muito alto - fora do budget de investimento"/>
    <s v="cliente não quer dar sequencia no momento por conta do valor"/>
    <s v=""/>
    <x v="99"/>
    <s v=""/>
    <x v="108"/>
    <s v="01/08/2025"/>
    <m/>
    <m/>
    <s v=""/>
    <s v=""/>
    <s v=""/>
    <s v=""/>
    <n v="1"/>
  </r>
  <r>
    <x v="1"/>
    <n v="510"/>
    <m/>
    <n v="2446"/>
    <s v=""/>
    <s v="Brinquemix Industria E Comercio Ltda"/>
    <x v="219"/>
    <n v="60315995000101"/>
    <s v=""/>
    <s v="Brinquemix Industria E Comercio Ltda"/>
    <s v="(11) 4116-5272"/>
    <s v=""/>
    <s v="fiscal@codepcontabilidade.com.br"/>
    <s v=""/>
    <s v=""/>
    <s v=""/>
    <s v="ITAQUAQUECETUBA"/>
    <s v="SP"/>
    <s v="Base de empresas Leads2b"/>
    <s v=""/>
    <s v=""/>
    <s v=""/>
    <s v="Pipeline de Vendas"/>
    <s v="Apresentar Solução (35%)"/>
    <s v=""/>
    <m/>
    <n v="94976"/>
    <n v="566152"/>
    <n v="29"/>
    <s v="Junior Lopes"/>
    <d v="2025-07-31T00:00:00"/>
    <d v="1899-12-30T17:09:31"/>
    <s v=""/>
    <s v="Perdido"/>
    <d v="2025-08-29T00:00:00"/>
    <d v="1899-12-30T11:05:45"/>
    <s v="Projeto adiado / sem prazo definido"/>
    <s v="16:26, 28/8/2025 Junior Lopes: Olá Simone, boa tarde_x000a_17:06, 28/8/2025 Simone Brinquemix : Olá Dra_x000a_17:06, 28/8/2025 Simone Brinquemix : Olá_x000a_11:03, 29/8/2025 Junior Lopes: Olá Simone ! Como não tive retorno de sua parte, vou encerrar este atendimento! _x000a_Caso mude de ideia ou precise de algo no futuro pode me chamar por aqui _x000a_Estimo sucesso para vocês 🤝"/>
    <s v=""/>
    <x v="100"/>
    <s v=""/>
    <x v="109"/>
    <s v="05/08/2025"/>
    <m/>
    <m/>
    <s v=""/>
    <s v=""/>
    <s v=""/>
    <s v=""/>
    <n v="1"/>
  </r>
  <r>
    <x v="0"/>
    <n v="516"/>
    <m/>
    <n v="2454"/>
    <s v=""/>
    <s v=""/>
    <x v="220"/>
    <n v="72677693000162"/>
    <s v=""/>
    <s v="Milene Fonseca"/>
    <s v="(11) 2431-1432"/>
    <s v=""/>
    <s v="compras@tapetesoasis.com.br"/>
    <s v=""/>
    <s v=""/>
    <s v=""/>
    <s v="Campinas"/>
    <s v=""/>
    <s v="Site"/>
    <s v=""/>
    <s v=""/>
    <s v="Solicita demo"/>
    <s v="Pipeline de Vendas"/>
    <s v="Em negociação (75%)"/>
    <s v=""/>
    <m/>
    <m/>
    <m/>
    <n v="53"/>
    <s v="Paulo Souza"/>
    <d v="2025-08-07T00:00:00"/>
    <d v="1899-12-30T12:08:11"/>
    <s v=""/>
    <s v="Perdido"/>
    <d v="2025-09-29T00:00:00"/>
    <d v="1899-12-30T16:35:41"/>
    <s v="Projeto adiado / sem prazo definido"/>
    <s v=""/>
    <s v=""/>
    <x v="0"/>
    <s v="Paulo Souza"/>
    <x v="110"/>
    <s v=""/>
    <m/>
    <m/>
    <s v=""/>
    <s v=""/>
    <s v=""/>
    <s v=""/>
    <n v="1"/>
  </r>
  <r>
    <x v="0"/>
    <n v="517"/>
    <m/>
    <n v="2453"/>
    <s v=""/>
    <s v=""/>
    <x v="221"/>
    <n v="38470026000176"/>
    <s v=""/>
    <s v="Matheus Ambrosi"/>
    <s v="(51) 99658-9275"/>
    <s v=""/>
    <s v="matheus.ambrosi@sanremo.com.br"/>
    <s v=""/>
    <s v=""/>
    <s v=""/>
    <s v="São Paulo"/>
    <s v=""/>
    <s v="Site"/>
    <s v=""/>
    <s v=""/>
    <s v=""/>
    <s v="Pipeline de Vendas"/>
    <s v="Qualificação de Vendas (SQL) (25%)"/>
    <s v=""/>
    <m/>
    <m/>
    <m/>
    <n v="53"/>
    <s v="Paulo Souza"/>
    <d v="2025-08-07T00:00:00"/>
    <d v="1899-12-30T12:08:57"/>
    <s v=""/>
    <s v="Perdido"/>
    <d v="2025-09-29T00:00:00"/>
    <d v="1899-12-30T16:37:57"/>
    <s v="Projeto adiado / sem prazo definido"/>
    <s v=""/>
    <s v=""/>
    <x v="0"/>
    <s v="Paulo Souza"/>
    <x v="0"/>
    <s v=""/>
    <m/>
    <m/>
    <s v=""/>
    <s v=""/>
    <s v=""/>
    <s v=""/>
    <n v="1"/>
  </r>
  <r>
    <x v="0"/>
    <n v="518"/>
    <m/>
    <n v="2456"/>
    <s v="Falei hoje com o Gomes consultor Totvs da empresa Oyshi e o mesmo que agendar uma reunião técnica de alinhamento para integrar o AFV com Protheus._x000a_19-01; Após nossa reunião na sexta-feira para alinhar sobre a integração, o Gomes ficou de providências uma agenda com o Rodrigo para fechar a negociação._x000a_22/01 - Cobrei novamente o Evandro para ele me posicionar se conseguiu falar com o Rodrigo para avançar com o contrato e fechamento e assim dar sequencias no projeto. Ele falou que estava envolvido em tarefas adicionais e isso atrasou a conversa que vai ocorrer na próxima semana._x000a_26/02 Fiz FUP com o Evandro hoje perguntando uma posição, no aguardo. Já falei com a Isabella diretor comercial, e até agora nada de retorno._x000a_12/03 Fiz FUP com o Evandro e ele falou que a decisão para seguir ou não vai ser tomada na próxima sexta-feira 13/03._x000a_23/03 Falei com a Isabella a mesma me avisou que semana que vem vai"/>
    <s v=""/>
    <x v="222"/>
    <n v="30340720000167"/>
    <s v=""/>
    <s v="Rodrigo"/>
    <s v="4491813443"/>
    <s v=""/>
    <s v="rodrigo.fongari@oyshi.com.br"/>
    <s v=""/>
    <s v=""/>
    <s v=""/>
    <s v=""/>
    <s v=""/>
    <s v="Outbound"/>
    <s v=""/>
    <s v=""/>
    <s v="80%"/>
    <s v="Pipeline de Vendas"/>
    <s v="Em Fechamento (100%)"/>
    <s v=""/>
    <d v="2026-03-31T00:00:00"/>
    <n v="27340"/>
    <n v="32992"/>
    <n v="246"/>
    <s v="Paulo Souza"/>
    <d v="2025-08-07T00:00:00"/>
    <d v="1899-12-30T13:57:39"/>
    <s v=""/>
    <s v="Perdido"/>
    <d v="2026-04-10T00:00:00"/>
    <d v="1899-12-30T16:56:59"/>
    <s v="Projeto adiado / sem prazo definido"/>
    <s v=""/>
    <s v=""/>
    <x v="101"/>
    <s v="Paulo Souza"/>
    <x v="111"/>
    <s v=""/>
    <d v="2026-04-10T00:00:00"/>
    <n v="90"/>
    <s v="80"/>
    <s v="AFV, BI"/>
    <s v="R$ 16.000"/>
    <s v="R$ 1.558"/>
    <n v="1"/>
  </r>
  <r>
    <x v="0"/>
    <n v="519"/>
    <m/>
    <n v="2457"/>
    <s v=""/>
    <s v=""/>
    <x v="223"/>
    <m/>
    <s v=""/>
    <s v="Fernanda"/>
    <s v="11997633759"/>
    <s v=""/>
    <s v="fernanda@jlkplasticos.com"/>
    <s v=""/>
    <s v=""/>
    <s v=""/>
    <s v=""/>
    <s v=""/>
    <s v=""/>
    <s v=""/>
    <s v=""/>
    <s v=""/>
    <s v="Pipeline de Vendas"/>
    <s v="Em negociação (75%)"/>
    <s v=""/>
    <m/>
    <m/>
    <m/>
    <n v="34"/>
    <s v="Paulo Souza"/>
    <d v="2025-08-07T00:00:00"/>
    <d v="1899-12-30T14:05:56"/>
    <s v=""/>
    <s v="Perdido"/>
    <d v="2025-09-10T00:00:00"/>
    <d v="1899-12-30T16:14:07"/>
    <s v="Preço muito alto - fora do budget de investimento"/>
    <s v=""/>
    <s v=""/>
    <x v="99"/>
    <s v="Paulo Souza"/>
    <x v="110"/>
    <s v=""/>
    <m/>
    <m/>
    <s v=""/>
    <s v=""/>
    <s v=""/>
    <s v=""/>
    <n v="1"/>
  </r>
  <r>
    <x v="0"/>
    <n v="521"/>
    <m/>
    <n v="2459"/>
    <s v=""/>
    <s v=""/>
    <x v="224"/>
    <n v="7380599000428"/>
    <s v=""/>
    <s v="Raymond"/>
    <s v="11982685555"/>
    <s v=""/>
    <s v="raymond@deltaimport.com.br"/>
    <s v=""/>
    <s v=""/>
    <s v=""/>
    <s v=""/>
    <s v=""/>
    <s v=""/>
    <s v=""/>
    <s v=""/>
    <s v=""/>
    <s v="Pipeline de Vendas"/>
    <s v="Em Fechamento (100%)"/>
    <s v=""/>
    <m/>
    <n v="55500"/>
    <n v="53662"/>
    <n v="17"/>
    <s v="Paulo Souza"/>
    <d v="2025-08-08T00:00:00"/>
    <d v="1899-12-30T11:45:56"/>
    <s v=""/>
    <s v="Ganho"/>
    <d v="2025-08-25T00:00:00"/>
    <d v="1899-12-30T14:26:43"/>
    <s v=""/>
    <s v=""/>
    <s v=""/>
    <x v="102"/>
    <s v="Paulo Souza"/>
    <x v="112"/>
    <s v=""/>
    <m/>
    <m/>
    <s v=""/>
    <s v=""/>
    <s v=""/>
    <s v=""/>
    <n v="1"/>
  </r>
  <r>
    <x v="2"/>
    <n v="531"/>
    <m/>
    <n v="2475"/>
    <s v=""/>
    <s v=""/>
    <x v="225"/>
    <n v="19733550000148"/>
    <s v=""/>
    <s v="Naiara"/>
    <s v="(19) 3496-7474 / (19) 3885-1725"/>
    <s v=""/>
    <s v="renatapalace@impal.ind.br"/>
    <s v=""/>
    <s v=""/>
    <s v=""/>
    <s v="RAFARD"/>
    <s v="SP"/>
    <s v=""/>
    <s v=""/>
    <s v=""/>
    <s v=""/>
    <s v="Pipeline de Vendas"/>
    <s v="Em negociação (75%)"/>
    <s v=""/>
    <m/>
    <n v="84420"/>
    <n v="4137"/>
    <n v="34"/>
    <s v="Rayssa Karapeticov"/>
    <d v="2025-08-20T00:00:00"/>
    <d v="1899-12-30T09:16:59"/>
    <s v=""/>
    <s v="Perdido"/>
    <d v="2025-09-23T00:00:00"/>
    <d v="1899-12-30T11:10:15"/>
    <s v="Preço muito alto - fora do budget de investimento"/>
    <s v=""/>
    <s v=""/>
    <x v="103"/>
    <s v=""/>
    <x v="113"/>
    <s v=""/>
    <m/>
    <m/>
    <s v=""/>
    <s v=""/>
    <s v=""/>
    <s v=""/>
    <n v="1"/>
  </r>
  <r>
    <x v="1"/>
    <n v="532"/>
    <m/>
    <n v="2478"/>
    <s v=""/>
    <s v="Distribuidora Tropical Aromas Ltda"/>
    <x v="226"/>
    <n v="12902777000120"/>
    <s v=""/>
    <s v="Distribuidora Tropical Aromas Ltda"/>
    <s v="(13) 3329-5855"/>
    <s v=""/>
    <s v="contato@keurequimica.com.br"/>
    <s v=""/>
    <s v=""/>
    <s v=""/>
    <s v="ITAQUAQUECETUBA"/>
    <s v="SP"/>
    <s v="Base de empresas Leads2b"/>
    <s v=""/>
    <s v=""/>
    <s v=""/>
    <s v="Pipeline de Vendas"/>
    <s v="Apresentar Solução (35%)"/>
    <s v=""/>
    <m/>
    <n v="16960"/>
    <n v="4910"/>
    <n v="69"/>
    <s v="Junior Lopes"/>
    <d v="2025-08-20T00:00:00"/>
    <d v="1899-12-30T09:53:51"/>
    <s v=""/>
    <s v="Perdido"/>
    <d v="2025-10-28T00:00:00"/>
    <d v="1899-12-30T10:23:56"/>
    <s v="Projeto adiado / sem prazo definido"/>
    <s v="Voltar contato em Janeiro 2026"/>
    <s v=""/>
    <x v="95"/>
    <s v=""/>
    <x v="114"/>
    <s v=""/>
    <m/>
    <m/>
    <s v=""/>
    <s v=""/>
    <s v=""/>
    <s v=""/>
    <n v="1"/>
  </r>
  <r>
    <x v="1"/>
    <n v="534"/>
    <m/>
    <n v="2481"/>
    <s v=""/>
    <s v="Usual Plastic - Utilidade Domestica E Comercio Ltda"/>
    <x v="227"/>
    <n v="12589391000291"/>
    <s v=""/>
    <s v="Usual Plastic - Utilidade Domestica E Comercio Ltda"/>
    <s v="(15) 3283-3659"/>
    <s v=""/>
    <s v="adm@usualutilidades.com.br"/>
    <s v=""/>
    <s v=""/>
    <s v=""/>
    <s v="CESARIO LANGE"/>
    <s v="SP"/>
    <s v="Base de empresas Leads2b"/>
    <s v=""/>
    <s v=""/>
    <s v="30%;50%"/>
    <s v="Pipeline de Vendas"/>
    <s v="Apresentar Solução (35%)"/>
    <s v=""/>
    <m/>
    <n v="16960"/>
    <n v="56568"/>
    <n v="20"/>
    <s v="Junior Lopes"/>
    <d v="2025-08-20T00:00:00"/>
    <d v="1899-12-30T09:59:57"/>
    <s v=""/>
    <s v="Perdido"/>
    <d v="2025-09-09T00:00:00"/>
    <d v="1899-12-30T15:34:30"/>
    <s v="Não quer mudar a solução atual"/>
    <s v="Gustavo conversou com os sócios e decidiu por não trocar de software no momento"/>
    <s v=""/>
    <x v="104"/>
    <s v=""/>
    <x v="115"/>
    <s v=""/>
    <m/>
    <m/>
    <s v=""/>
    <s v=""/>
    <s v=""/>
    <s v=""/>
    <n v="1"/>
  </r>
  <r>
    <x v="1"/>
    <n v="537"/>
    <m/>
    <n v="2486"/>
    <s v="O projeto já está fechado; porém, devido ao fim de ano e à alta demanda interna do cliente, a assinatura do contrato foi adiada. O cliente preferiu formalizar tudo na primeira semana de janeiro, com assinatura prevista para 05/01/2026."/>
    <s v=""/>
    <x v="228"/>
    <n v="4049280000183"/>
    <s v=""/>
    <s v="AmilPlast indústria"/>
    <s v="11973107041"/>
    <s v=""/>
    <s v="amilplast@amilplastt.com.br"/>
    <s v=""/>
    <s v=""/>
    <s v=""/>
    <s v="GUARULHOS"/>
    <s v="SP"/>
    <s v=""/>
    <s v=""/>
    <s v=""/>
    <s v="90%"/>
    <s v="Pipeline de Vendas"/>
    <s v="Em Fechamento (100%)"/>
    <s v=""/>
    <d v="2026-01-16T00:00:00"/>
    <n v="51300"/>
    <n v="17345"/>
    <n v="160"/>
    <s v="Junior Lopes"/>
    <d v="2025-08-20T00:00:00"/>
    <d v="1899-12-30T10:42:44"/>
    <s v=""/>
    <s v="Ganho"/>
    <d v="2026-01-27T00:00:00"/>
    <d v="1899-12-30T17:02:07"/>
    <s v=""/>
    <s v=""/>
    <s v="21/10/2025"/>
    <x v="105"/>
    <s v="Junior Lopes"/>
    <x v="116"/>
    <s v=""/>
    <d v="2026-01-06T00:00:00"/>
    <m/>
    <s v=""/>
    <s v=""/>
    <s v=""/>
    <s v=""/>
    <n v="1"/>
  </r>
  <r>
    <x v="1"/>
    <n v="539"/>
    <m/>
    <n v="2490"/>
    <s v=""/>
    <s v="Pracaza Decor Comercio Importacao E Exportacao De Artigos Para Decoracao Ltda."/>
    <x v="229"/>
    <n v="39679781000128"/>
    <s v=""/>
    <s v="Pracaza Decor Comercio Importacao E Exportacao De Artigos Para Decoracao Ltda."/>
    <s v="(11) 4395-7650"/>
    <s v=""/>
    <s v="contato@acrosscontabil.com.br"/>
    <s v=""/>
    <s v=""/>
    <s v=""/>
    <s v="SAO PAULO"/>
    <s v="SP"/>
    <s v="Base de empresas Leads2b"/>
    <s v=""/>
    <s v=""/>
    <s v=""/>
    <s v="Pipeline de Vendas"/>
    <s v="Apresentar Solução (35%)"/>
    <s v=""/>
    <m/>
    <n v="67840"/>
    <n v="13781"/>
    <n v="69"/>
    <s v="Junior Lopes"/>
    <d v="2025-08-20T00:00:00"/>
    <d v="1899-12-30T11:16:16"/>
    <s v=""/>
    <s v="Perdido"/>
    <d v="2025-10-28T00:00:00"/>
    <d v="1899-12-30T10:24:21"/>
    <s v="Não quer mudar a solução atual"/>
    <s v="sem retorno"/>
    <s v=""/>
    <x v="106"/>
    <s v=""/>
    <x v="0"/>
    <s v=""/>
    <m/>
    <m/>
    <s v=""/>
    <s v=""/>
    <s v=""/>
    <s v=""/>
    <n v="1"/>
  </r>
  <r>
    <x v="1"/>
    <n v="540"/>
    <m/>
    <n v="2493"/>
    <s v=""/>
    <s v="Aluminio Marcolar Ltda"/>
    <x v="230"/>
    <n v="43066372000204"/>
    <s v=""/>
    <s v="Aluminio Marcolar Ltda"/>
    <s v="(11) 2067-1299"/>
    <s v=""/>
    <s v="sac@marcolar.com.br"/>
    <s v=""/>
    <s v=""/>
    <s v=""/>
    <s v="RIBEIRAO PIRES"/>
    <s v="SP"/>
    <s v="Base de empresas Leads2b"/>
    <s v=""/>
    <s v=""/>
    <s v=""/>
    <s v="Pipeline de Vendas"/>
    <s v="Apresentar Solução (35%)"/>
    <s v=""/>
    <m/>
    <n v="16960"/>
    <n v="37712"/>
    <n v="71"/>
    <s v="Junior Lopes"/>
    <d v="2025-08-20T00:00:00"/>
    <d v="1899-12-30T11:29:31"/>
    <s v=""/>
    <s v="Perdido"/>
    <d v="2025-10-30T00:00:00"/>
    <d v="1899-12-30T10:08:50"/>
    <s v="Projeto adiado / sem prazo definido"/>
    <s v="Rogerio pediu para aguardar um pouco mais"/>
    <s v=""/>
    <x v="107"/>
    <s v=""/>
    <x v="117"/>
    <s v=""/>
    <m/>
    <m/>
    <s v=""/>
    <s v=""/>
    <s v=""/>
    <s v=""/>
    <n v="1"/>
  </r>
  <r>
    <x v="1"/>
    <n v="542"/>
    <m/>
    <n v="2496"/>
    <s v=""/>
    <s v=""/>
    <x v="231"/>
    <n v="1715468000125"/>
    <s v=""/>
    <s v="Off Paper"/>
    <s v="35984074473"/>
    <s v=""/>
    <s v="jessica@papeisoffpaper.com.br"/>
    <s v=""/>
    <s v=""/>
    <s v=""/>
    <s v="LAMBARI"/>
    <s v="MG"/>
    <s v=""/>
    <s v=""/>
    <s v=""/>
    <s v="30%"/>
    <s v="Pipeline de Vendas"/>
    <s v="Apresentar Proposta (50%)"/>
    <s v=""/>
    <m/>
    <n v="212"/>
    <n v="69045"/>
    <n v="41"/>
    <s v="Junior Lopes"/>
    <d v="2025-08-21T00:00:00"/>
    <d v="1899-12-30T09:33:37"/>
    <s v=""/>
    <s v="Perdido"/>
    <d v="2025-10-01T00:00:00"/>
    <d v="1899-12-30T15:59:20"/>
    <s v="Fechou com o concorrente - preço"/>
    <s v="fechou sem mesmo falar com Guarani"/>
    <s v=""/>
    <x v="106"/>
    <s v=""/>
    <x v="115"/>
    <s v="22/08/2025"/>
    <m/>
    <m/>
    <s v=""/>
    <s v=""/>
    <s v=""/>
    <s v=""/>
    <n v="1"/>
  </r>
  <r>
    <x v="0"/>
    <n v="545"/>
    <m/>
    <n v="2464"/>
    <s v=""/>
    <s v=""/>
    <x v="232"/>
    <m/>
    <s v=""/>
    <s v="Carlos"/>
    <s v="(11) 91852-0852"/>
    <s v=""/>
    <s v="cpedro@shinyt.com.br"/>
    <s v=""/>
    <s v=""/>
    <s v=""/>
    <s v="São Paulo"/>
    <s v=""/>
    <s v="Site"/>
    <s v=""/>
    <s v=""/>
    <s v=""/>
    <s v="Pipeline de Vendas"/>
    <s v="Apresentar Proposta (50%)"/>
    <s v=""/>
    <m/>
    <n v="47500"/>
    <n v="28571"/>
    <n v="3"/>
    <s v="Paulo Souza"/>
    <d v="2025-08-22T00:00:00"/>
    <d v="1899-12-30T16:30:14"/>
    <s v=""/>
    <s v="Perdido"/>
    <d v="2025-08-25T00:00:00"/>
    <d v="1899-12-30T14:44:29"/>
    <s v="Preço muito alto - fora do budget de investimento"/>
    <s v=""/>
    <s v=""/>
    <x v="99"/>
    <s v="Paulo Souza"/>
    <x v="113"/>
    <s v=""/>
    <m/>
    <m/>
    <s v=""/>
    <s v=""/>
    <s v=""/>
    <s v=""/>
    <n v="1"/>
  </r>
  <r>
    <x v="0"/>
    <n v="546"/>
    <m/>
    <n v="2463"/>
    <s v=""/>
    <s v=""/>
    <x v="233"/>
    <n v="27616615000101"/>
    <s v=""/>
    <s v="Raquel"/>
    <s v="(47) 99227-7535"/>
    <s v=""/>
    <s v="comercial@dgbcomex.com.br"/>
    <s v=""/>
    <s v=""/>
    <s v=""/>
    <s v="Santa Bárbara d'Oeste"/>
    <s v=""/>
    <s v="Site"/>
    <s v=""/>
    <s v=""/>
    <s v="Contato"/>
    <s v="Pipeline de Vendas"/>
    <s v="Em negociação (75%)"/>
    <s v=""/>
    <m/>
    <n v="56000"/>
    <n v="340834"/>
    <n v="38"/>
    <s v="Paulo Souza"/>
    <d v="2025-08-22T00:00:00"/>
    <d v="1899-12-30T16:30:46"/>
    <s v=""/>
    <s v="Perdido"/>
    <d v="2025-09-29T00:00:00"/>
    <d v="1899-12-30T16:42:31"/>
    <s v="Projeto adiado / sem prazo definido"/>
    <s v=""/>
    <s v=""/>
    <x v="108"/>
    <s v="Paulo Souza"/>
    <x v="118"/>
    <s v=""/>
    <m/>
    <m/>
    <s v=""/>
    <s v=""/>
    <s v=""/>
    <s v=""/>
    <n v="1"/>
  </r>
  <r>
    <x v="0"/>
    <n v="550"/>
    <m/>
    <n v="2506"/>
    <s v=""/>
    <s v=""/>
    <x v="234"/>
    <n v="7225431000103"/>
    <s v=""/>
    <s v="Ezequiel"/>
    <s v="49999523158"/>
    <s v=""/>
    <s v="adm@duarteestofaria.com.br"/>
    <s v=""/>
    <s v=""/>
    <s v=""/>
    <s v=""/>
    <s v=""/>
    <s v=""/>
    <s v=""/>
    <s v=""/>
    <s v=""/>
    <s v="Pipeline de Vendas"/>
    <s v="Em negociação (75%)"/>
    <s v=""/>
    <m/>
    <n v="519984"/>
    <n v="15378"/>
    <n v="0"/>
    <s v="Paulo Souza"/>
    <d v="2025-08-25T00:00:00"/>
    <d v="1899-12-30T14:30:34"/>
    <s v=""/>
    <s v="Perdido"/>
    <d v="2025-08-25T00:00:00"/>
    <d v="1899-12-30T14:33:38"/>
    <s v="Preço muito alto - fora do budget de investimento"/>
    <s v=""/>
    <s v=""/>
    <x v="109"/>
    <s v="Paulo Souza"/>
    <x v="119"/>
    <s v=""/>
    <m/>
    <m/>
    <s v=""/>
    <s v=""/>
    <s v=""/>
    <s v=""/>
    <n v="1"/>
  </r>
  <r>
    <x v="0"/>
    <n v="552"/>
    <m/>
    <n v="2508"/>
    <s v="Falei hoje 09/01/2026 com Helton e questionei ele sobre a sequência ou não do projeto sistema._x000a_Esta oportunidade encontra-se pausado durante 2026._x000a_22/01 - Retorno do Helton:  Paulo, bom dia! Peço desculpas pelo atraso na resposta. Desejo um ótimo 2026 para você também! _x000a_Analisamos as opções para uma possível troca, mas infelizmente não obtivemos a adesão esperada. Portanto, por enquanto, vamos manter o ERP atual."/>
    <s v=""/>
    <x v="235"/>
    <n v="17739326000138"/>
    <s v=""/>
    <s v="Helton"/>
    <s v="1633347333"/>
    <s v=""/>
    <s v="helton@ramos.com.br"/>
    <s v=""/>
    <s v=""/>
    <s v=""/>
    <s v=""/>
    <s v=""/>
    <s v=""/>
    <s v=""/>
    <s v=""/>
    <s v="30%"/>
    <s v="Pipeline de Vendas"/>
    <s v="Em negociação (75%)"/>
    <s v=""/>
    <d v="2026-01-22T00:00:00"/>
    <n v="15359994"/>
    <n v="924744"/>
    <n v="151"/>
    <s v="Paulo Souza"/>
    <d v="2025-08-25T00:00:00"/>
    <d v="1899-12-30T14:49:40"/>
    <s v=""/>
    <s v="Perdido"/>
    <d v="2026-01-23T00:00:00"/>
    <d v="1899-12-30T11:11:59"/>
    <s v="Não quer mudar a solução atual"/>
    <s v=""/>
    <s v=""/>
    <x v="110"/>
    <s v="Paulo Souza"/>
    <x v="120"/>
    <s v=""/>
    <d v="2026-01-22T00:00:00"/>
    <m/>
    <s v=""/>
    <s v=""/>
    <s v=""/>
    <s v=""/>
    <n v="1"/>
  </r>
  <r>
    <x v="0"/>
    <n v="553"/>
    <m/>
    <n v="2509"/>
    <s v=""/>
    <s v=""/>
    <x v="236"/>
    <m/>
    <s v=""/>
    <s v="Fabiana e Gilson"/>
    <s v="11950946784"/>
    <s v=""/>
    <s v="null"/>
    <s v=""/>
    <s v=""/>
    <s v=""/>
    <s v=""/>
    <s v=""/>
    <s v=""/>
    <s v=""/>
    <s v=""/>
    <s v=""/>
    <s v="Pipeline de Vendas"/>
    <s v="Em Fechamento (100%)"/>
    <s v=""/>
    <m/>
    <n v="9600"/>
    <n v="412064"/>
    <n v="84"/>
    <s v="Paulo Souza"/>
    <d v="2025-08-25T00:00:00"/>
    <d v="1899-12-30T14:58:26"/>
    <s v=""/>
    <s v="Ganho"/>
    <d v="2025-11-17T00:00:00"/>
    <d v="1899-12-30T15:27:00"/>
    <s v=""/>
    <s v=""/>
    <s v=""/>
    <x v="110"/>
    <s v="Paulo Souza"/>
    <x v="120"/>
    <s v=""/>
    <m/>
    <m/>
    <s v=""/>
    <s v=""/>
    <s v=""/>
    <s v=""/>
    <n v="1"/>
  </r>
  <r>
    <x v="1"/>
    <n v="557"/>
    <m/>
    <n v="2516"/>
    <s v=""/>
    <s v=""/>
    <x v="237"/>
    <n v="59716480000134"/>
    <s v=""/>
    <s v="Plastutti - Cloud"/>
    <s v="1146311986"/>
    <s v=""/>
    <s v="thiago@plasstutti.com.br"/>
    <s v=""/>
    <s v=""/>
    <s v=""/>
    <s v="DIADEMA"/>
    <s v="SP"/>
    <s v=""/>
    <s v=""/>
    <s v=""/>
    <s v=""/>
    <s v="Pipeline de Vendas"/>
    <s v="Apresentar Proposta (50%)"/>
    <s v=""/>
    <m/>
    <m/>
    <m/>
    <n v="0"/>
    <s v="Junior Lopes"/>
    <d v="2025-08-28T00:00:00"/>
    <d v="1899-12-30T16:54:42"/>
    <s v=""/>
    <s v="Perdido"/>
    <d v="2025-08-28T00:00:00"/>
    <d v="1899-12-30T17:00:14"/>
    <s v="Preço muito alto - fora do budget de investimento"/>
    <s v="achou valores acima"/>
    <s v=""/>
    <x v="111"/>
    <s v=""/>
    <x v="121"/>
    <s v=""/>
    <m/>
    <m/>
    <s v=""/>
    <s v=""/>
    <s v=""/>
    <s v=""/>
    <n v="1"/>
  </r>
  <r>
    <x v="1"/>
    <n v="558"/>
    <m/>
    <n v="2518"/>
    <s v=""/>
    <s v=""/>
    <x v="238"/>
    <n v="60315995000101"/>
    <s v=""/>
    <s v="Brinquemix - Cloud"/>
    <s v="11996823494"/>
    <s v=""/>
    <s v="simonee@brinquemix.com.br"/>
    <s v=""/>
    <s v=""/>
    <s v=""/>
    <s v="ITAQUAQUECETUBA"/>
    <s v="SP"/>
    <s v=""/>
    <s v=""/>
    <s v=""/>
    <s v=""/>
    <s v="Pipeline de Vendas"/>
    <s v="Apresentar Solução (35%)"/>
    <s v=""/>
    <m/>
    <n v="1600"/>
    <n v="323356"/>
    <n v="0"/>
    <s v="Junior Lopes"/>
    <d v="2025-08-29T00:00:00"/>
    <d v="1899-12-30T10:43:20"/>
    <s v=""/>
    <s v="Perdido"/>
    <d v="2025-08-29T00:00:00"/>
    <d v="1899-12-30T11:06:35"/>
    <s v="Projeto adiado / sem prazo definido"/>
    <s v="16:26, 28/8/2025 Junior Lopes: Olá Simone, boa tarde_x000a_17:06, 28/8/2025 Simone Brinquemix : Olá Dra_x000a_17:06, 28/8/2025 Simone Brinquemix : Olá_x000a_11:03, 29/8/2025 Junior Lopes: Olá Simone ! Como não tive retorno de sua parte, vou encerrar este atendimento! _x000a_Caso mude de ideia ou precise de algo no futuro pode me chamar por aqui _x000a_Estimo sucesso para vocês 🤝"/>
    <s v=""/>
    <x v="112"/>
    <s v=""/>
    <x v="109"/>
    <s v=""/>
    <m/>
    <m/>
    <s v=""/>
    <s v=""/>
    <s v=""/>
    <s v=""/>
    <n v="1"/>
  </r>
  <r>
    <x v="1"/>
    <n v="559"/>
    <n v="155"/>
    <m/>
    <s v=""/>
    <s v=""/>
    <x v="239"/>
    <n v="13609763000186"/>
    <s v="BAAG (Bahia Artes Gráficas)"/>
    <s v=""/>
    <s v=""/>
    <s v=""/>
    <s v="cleber@bahiagrafica.com.br"/>
    <s v=""/>
    <s v=""/>
    <s v=""/>
    <s v="Feira de Santana"/>
    <s v="BA"/>
    <s v=""/>
    <s v=""/>
    <s v=""/>
    <s v=""/>
    <s v="Pipeline de Vendas"/>
    <s v="Apresentar Solução (35%)"/>
    <s v=""/>
    <m/>
    <n v="16960"/>
    <n v="14256"/>
    <n v="32"/>
    <s v="Junior Lopes"/>
    <d v="2025-08-29T00:00:00"/>
    <d v="1899-12-30T15:55:01"/>
    <s v=""/>
    <s v="Perdido"/>
    <d v="2025-09-30T00:00:00"/>
    <d v="1899-12-30T16:26:43"/>
    <s v="Projeto adiado / sem prazo definido"/>
    <s v="em analise do consultor Munhoz, cliente não esta no momento  certo"/>
    <s v=""/>
    <x v="113"/>
    <s v=""/>
    <x v="0"/>
    <s v=""/>
    <m/>
    <m/>
    <s v=""/>
    <s v=""/>
    <s v=""/>
    <s v=""/>
    <n v="1"/>
  </r>
  <r>
    <x v="1"/>
    <n v="561"/>
    <m/>
    <n v="2523"/>
    <s v=""/>
    <s v=""/>
    <x v="240"/>
    <n v="4049280000183"/>
    <s v=""/>
    <s v="Amilplast - Cloud"/>
    <s v="11973107041"/>
    <s v=""/>
    <s v="amilplast@amilplastt.com.br"/>
    <s v=""/>
    <s v=""/>
    <s v=""/>
    <s v="GUARULHOS"/>
    <s v="SP"/>
    <s v=""/>
    <s v=""/>
    <s v=""/>
    <s v=""/>
    <s v="Pipeline de Vendas"/>
    <s v="Em Fechamento (100%)"/>
    <s v=""/>
    <m/>
    <n v="1600"/>
    <n v="390556"/>
    <n v="61"/>
    <s v="Junior Lopes"/>
    <d v="2025-08-29T00:00:00"/>
    <d v="1899-12-30T16:40:34"/>
    <s v=""/>
    <s v="Perdido"/>
    <d v="2025-10-29T00:00:00"/>
    <d v="1899-12-30T10:37:03"/>
    <s v="Não quer mudar a solução atual"/>
    <s v="Amilplast continuará com servidor físico"/>
    <s v="21/10/2025"/>
    <x v="105"/>
    <s v=""/>
    <x v="116"/>
    <s v=""/>
    <m/>
    <m/>
    <s v=""/>
    <s v=""/>
    <s v=""/>
    <s v=""/>
    <n v="1"/>
  </r>
  <r>
    <x v="1"/>
    <n v="562"/>
    <m/>
    <n v="2526"/>
    <s v=""/>
    <s v=""/>
    <x v="241"/>
    <n v="1715468000125"/>
    <s v=""/>
    <s v="Off Paper (ERP)"/>
    <s v="35984074473"/>
    <s v=""/>
    <s v="jessica@papeisoffpaper.com.br"/>
    <s v=""/>
    <s v=""/>
    <s v=""/>
    <s v="LAMBARI"/>
    <s v="MG"/>
    <s v=""/>
    <s v=""/>
    <s v=""/>
    <s v=""/>
    <s v="Pipeline de Vendas"/>
    <s v="Apresentar Solução (35%)"/>
    <s v=""/>
    <m/>
    <n v="1600"/>
    <n v="480156"/>
    <n v="33"/>
    <s v="Junior Lopes"/>
    <d v="2025-08-29T00:00:00"/>
    <d v="1899-12-30T16:52:44"/>
    <s v=""/>
    <s v="Perdido"/>
    <d v="2025-10-01T00:00:00"/>
    <d v="1899-12-30T15:58:53"/>
    <s v="Fechou com o concorrente - preço"/>
    <s v="fechou sem mesmo falar com Guarani"/>
    <s v=""/>
    <x v="106"/>
    <s v=""/>
    <x v="0"/>
    <s v=""/>
    <m/>
    <m/>
    <s v=""/>
    <s v=""/>
    <s v=""/>
    <s v=""/>
    <n v="1"/>
  </r>
  <r>
    <x v="1"/>
    <n v="563"/>
    <m/>
    <n v="2530"/>
    <s v=""/>
    <s v=""/>
    <x v="242"/>
    <n v="1715468000125"/>
    <s v=""/>
    <s v="Off Paper (Cloud)"/>
    <s v="35984074473"/>
    <s v=""/>
    <s v="jessica@papeisoffpaper.com.br"/>
    <s v=""/>
    <s v=""/>
    <s v=""/>
    <s v="LAMBARI"/>
    <s v="MG"/>
    <s v=""/>
    <s v=""/>
    <s v=""/>
    <s v=""/>
    <s v="Pipeline de Vendas"/>
    <s v="Apresentar Solução (35%)"/>
    <s v=""/>
    <m/>
    <n v="93280"/>
    <n v="1163416"/>
    <n v="33"/>
    <s v="Junior Lopes"/>
    <d v="2025-08-29T00:00:00"/>
    <d v="1899-12-30T16:55:00"/>
    <s v=""/>
    <s v="Perdido"/>
    <d v="2025-10-01T00:00:00"/>
    <d v="1899-12-30T15:58:22"/>
    <s v="Fechou com o concorrente - preço"/>
    <s v="fechou sem mesmo falar com Guarani"/>
    <s v=""/>
    <x v="106"/>
    <s v=""/>
    <x v="0"/>
    <s v=""/>
    <m/>
    <m/>
    <s v=""/>
    <s v=""/>
    <s v=""/>
    <s v=""/>
    <n v="1"/>
  </r>
  <r>
    <x v="1"/>
    <n v="564"/>
    <m/>
    <n v="2534"/>
    <s v=""/>
    <s v=""/>
    <x v="243"/>
    <m/>
    <s v=""/>
    <s v="Usual plastic (BI)"/>
    <s v="1532833659"/>
    <s v=""/>
    <s v="adm@usualutilidades.com.br"/>
    <s v=""/>
    <s v=""/>
    <s v=""/>
    <s v=""/>
    <s v=""/>
    <s v=""/>
    <s v=""/>
    <s v=""/>
    <s v=""/>
    <s v="Pipeline de Vendas"/>
    <s v="Apresentar Solução (35%)"/>
    <s v=""/>
    <m/>
    <n v="16200"/>
    <n v="2160"/>
    <n v="11"/>
    <s v="Junior Lopes"/>
    <d v="2025-08-29T00:00:00"/>
    <d v="1899-12-30T17:43:06"/>
    <s v=""/>
    <s v="Perdido"/>
    <d v="2025-09-09T00:00:00"/>
    <d v="1899-12-30T15:32:46"/>
    <s v="Não quer mudar a solução atual"/>
    <s v="Gustavo conversou com os sócios e decidiu por não trocar de software no momento"/>
    <s v=""/>
    <x v="104"/>
    <s v=""/>
    <x v="0"/>
    <s v=""/>
    <m/>
    <m/>
    <s v=""/>
    <s v=""/>
    <s v=""/>
    <s v=""/>
    <n v="1"/>
  </r>
  <r>
    <x v="2"/>
    <n v="566"/>
    <m/>
    <n v="2538"/>
    <s v=""/>
    <s v="Jr Comercio De Motos E Pecas Ltda"/>
    <x v="244"/>
    <n v="46964028000140"/>
    <s v=""/>
    <s v="Jr Comercio De Motos E Pecas Ltda"/>
    <s v="(67) 9121-3638"/>
    <s v=""/>
    <s v="custodiojadi@gmail.com"/>
    <s v=""/>
    <s v=""/>
    <s v=""/>
    <s v="CAMPO GRANDE"/>
    <s v="MS"/>
    <s v="Base de empresas Leads2b"/>
    <s v=""/>
    <s v=""/>
    <s v=""/>
    <s v="Pipeline de Vendas"/>
    <s v="Apresentar Solução (35%)"/>
    <s v=""/>
    <m/>
    <m/>
    <m/>
    <n v="28"/>
    <s v="Rayssa Karapeticov"/>
    <d v="2025-09-02T00:00:00"/>
    <d v="1899-12-30T09:34:13"/>
    <s v=""/>
    <s v="Perdido"/>
    <d v="2025-09-30T00:00:00"/>
    <d v="1899-12-30T09:44:47"/>
    <s v="Preço muito alto - fora do budget de investimento"/>
    <s v=""/>
    <s v=""/>
    <x v="0"/>
    <s v=""/>
    <x v="0"/>
    <s v=""/>
    <m/>
    <m/>
    <s v=""/>
    <s v=""/>
    <s v=""/>
    <s v=""/>
    <n v="1"/>
  </r>
  <r>
    <x v="2"/>
    <n v="567"/>
    <m/>
    <n v="2541"/>
    <s v=""/>
    <s v="Jomafe Brasil - Comercio De Utensilios Domesticos E Cutelarias Ltda."/>
    <x v="245"/>
    <n v="13039863000203"/>
    <s v=""/>
    <s v="Jomafe Brasil - Comercio De Utensilios Domesticos E Cutelarias Ltda."/>
    <s v="(11) 3283-3767"/>
    <s v=""/>
    <s v="vendas.br@jomafe.pt"/>
    <s v=""/>
    <s v=""/>
    <s v=""/>
    <s v="SAO PAULO"/>
    <s v="SP"/>
    <s v="Base de empresas Leads2b"/>
    <s v=""/>
    <s v=""/>
    <s v="WhatsappRayssa"/>
    <s v="Pipeline de Vendas"/>
    <s v="Agendamento (0%)"/>
    <s v=""/>
    <m/>
    <m/>
    <m/>
    <n v="98"/>
    <s v="Rayssa Karapeticov"/>
    <d v="2025-09-02T00:00:00"/>
    <d v="1899-12-30T10:57:13"/>
    <s v=""/>
    <s v="Perdido"/>
    <d v="2025-12-09T00:00:00"/>
    <d v="1899-12-30T11:48:37"/>
    <s v="Projeto adiado / sem prazo definido"/>
    <s v=""/>
    <s v=""/>
    <x v="0"/>
    <s v=""/>
    <x v="0"/>
    <s v=""/>
    <m/>
    <m/>
    <s v=""/>
    <s v=""/>
    <s v=""/>
    <s v=""/>
    <n v="1"/>
  </r>
  <r>
    <x v="0"/>
    <n v="575"/>
    <m/>
    <n v="2547"/>
    <s v=""/>
    <s v=""/>
    <x v="246"/>
    <m/>
    <s v=""/>
    <s v="NATALIA GABRIELA DAMACENO MOTA"/>
    <s v="(11) 9667-2094"/>
    <s v=""/>
    <s v="naty-gabriela@hotmail.com"/>
    <s v=""/>
    <s v=""/>
    <s v=""/>
    <s v="São Paulo"/>
    <s v=""/>
    <s v="Site"/>
    <s v=""/>
    <s v=""/>
    <s v="Contato"/>
    <s v="Pipeline de Vendas"/>
    <s v="Apresentar Proposta (50%)"/>
    <s v=""/>
    <m/>
    <m/>
    <m/>
    <n v="19"/>
    <s v="Paulo Souza"/>
    <d v="2025-09-10T00:00:00"/>
    <d v="1899-12-30T15:39:28"/>
    <s v=""/>
    <s v="Perdido"/>
    <d v="2025-09-29T00:00:00"/>
    <d v="1899-12-30T16:41:35"/>
    <s v="Fora do porte mínimo (sem fit estrutural)"/>
    <s v=""/>
    <s v=""/>
    <x v="108"/>
    <s v="Paulo Souza"/>
    <x v="118"/>
    <s v=""/>
    <m/>
    <m/>
    <s v=""/>
    <s v=""/>
    <s v=""/>
    <s v=""/>
    <n v="1"/>
  </r>
  <r>
    <x v="1"/>
    <n v="576"/>
    <m/>
    <n v="2551"/>
    <s v=""/>
    <s v="Natalia Gabriela Damaceno Mota"/>
    <x v="247"/>
    <n v="36621794000158"/>
    <s v=""/>
    <s v="Natalia Gabriela Damaceno Mota"/>
    <s v="(11) 4292-3358"/>
    <s v=""/>
    <s v="catocontabilidade@gmail.com"/>
    <s v=""/>
    <s v=""/>
    <s v=""/>
    <s v="SUZANO"/>
    <s v="SP"/>
    <s v="Base de empresas Leads2b"/>
    <s v=""/>
    <s v=""/>
    <s v=""/>
    <s v="Pipeline de Vendas"/>
    <s v="Apresentar Solução (35%)"/>
    <s v=""/>
    <m/>
    <n v="10176"/>
    <n v="2060"/>
    <n v="23"/>
    <s v="Junior Lopes"/>
    <d v="2025-09-10T00:00:00"/>
    <d v="1899-12-30T15:53:14"/>
    <s v=""/>
    <s v="Perdido"/>
    <d v="2025-10-03T00:00:00"/>
    <d v="1899-12-30T09:59:47"/>
    <s v="Não houve aprovação financeira"/>
    <s v="Após proposta cliente não respondeu mais"/>
    <s v=""/>
    <x v="114"/>
    <s v=""/>
    <x v="122"/>
    <s v=""/>
    <m/>
    <m/>
    <s v=""/>
    <s v=""/>
    <s v=""/>
    <s v=""/>
    <n v="1"/>
  </r>
  <r>
    <x v="0"/>
    <n v="577"/>
    <m/>
    <n v="2502"/>
    <s v=""/>
    <s v=""/>
    <x v="248"/>
    <m/>
    <s v=""/>
    <s v="Lara"/>
    <s v="(19) 99985-2953"/>
    <s v=""/>
    <s v="lfabian.pereira@gmail.com"/>
    <s v=""/>
    <s v=""/>
    <s v=""/>
    <s v="Pedreira"/>
    <s v=""/>
    <s v="Site"/>
    <s v=""/>
    <s v=""/>
    <s v="Contato"/>
    <s v="Pipeline de Vendas"/>
    <s v="Em negociação (75%)"/>
    <s v=""/>
    <m/>
    <m/>
    <m/>
    <n v="0"/>
    <s v="Paulo Souza"/>
    <d v="2025-09-10T00:00:00"/>
    <d v="1899-12-30T15:54:51"/>
    <s v=""/>
    <s v="Perdido"/>
    <d v="2025-09-10T00:00:00"/>
    <d v="1899-12-30T15:56:27"/>
    <s v="Preço muito alto - fora do budget de investimento"/>
    <s v=""/>
    <s v=""/>
    <x v="115"/>
    <s v="Paulo Souza"/>
    <x v="123"/>
    <s v=""/>
    <m/>
    <m/>
    <s v=""/>
    <s v=""/>
    <s v=""/>
    <s v=""/>
    <n v="1"/>
  </r>
  <r>
    <x v="0"/>
    <n v="578"/>
    <m/>
    <n v="2515"/>
    <s v=""/>
    <s v=""/>
    <x v="249"/>
    <m/>
    <s v=""/>
    <s v="Sidney Stabile"/>
    <s v="(11) 98122-0797"/>
    <s v=""/>
    <s v="sidneysmr1@gmail.com"/>
    <s v=""/>
    <s v=""/>
    <s v=""/>
    <s v="São Paulo"/>
    <s v=""/>
    <s v="Site"/>
    <s v=""/>
    <s v=""/>
    <s v="Solicita demo"/>
    <s v="Pipeline de Vendas"/>
    <s v="Apresentar Proposta (50%)"/>
    <s v=""/>
    <m/>
    <m/>
    <m/>
    <n v="0"/>
    <s v="Paulo Souza"/>
    <d v="2025-09-11T00:00:00"/>
    <d v="1899-12-30T08:35:20"/>
    <s v=""/>
    <s v="Perdido"/>
    <d v="2025-09-11T00:00:00"/>
    <d v="1899-12-30T08:38:05"/>
    <s v="Preço muito alto - fora do budget de investimento"/>
    <s v=""/>
    <s v=""/>
    <x v="116"/>
    <s v=""/>
    <x v="124"/>
    <s v=""/>
    <m/>
    <m/>
    <s v=""/>
    <s v=""/>
    <s v=""/>
    <s v=""/>
    <n v="1"/>
  </r>
  <r>
    <x v="1"/>
    <n v="582"/>
    <m/>
    <n v="2555"/>
    <s v="O projeto só avançará após o ERP entrar em produção. É necessário alinhar com o Mário e o Fernando para confirmar a data exata de go-live, pois o projeto permanece aguardando essa etapa da implantação para seguir com as próximas fases."/>
    <s v=""/>
    <x v="150"/>
    <n v="32921219000110"/>
    <s v=""/>
    <s v="MDL Import - Cloud"/>
    <s v="1190695515"/>
    <s v=""/>
    <s v="janaina@mdlimport.com.br"/>
    <s v=""/>
    <s v=""/>
    <s v=""/>
    <s v=""/>
    <s v=""/>
    <s v=""/>
    <s v=""/>
    <s v=""/>
    <s v="80%"/>
    <s v="Pipeline de Vendas"/>
    <s v="Em Fechamento (100%)"/>
    <s v=""/>
    <d v="2026-02-02T00:00:00"/>
    <n v="1600"/>
    <n v="256856"/>
    <n v="231"/>
    <s v="Junior Lopes"/>
    <d v="2025-09-11T00:00:00"/>
    <d v="1899-12-30T13:00:08"/>
    <s v=""/>
    <s v="Perdido"/>
    <d v="2026-04-30T00:00:00"/>
    <d v="1899-12-30T14:30:32"/>
    <s v="Não quer mudar a solução atual"/>
    <s v="esta em uso de servidor próprio"/>
    <s v=""/>
    <x v="117"/>
    <s v="Junior Lopes"/>
    <x v="125"/>
    <s v=""/>
    <d v="2025-12-12T00:00:00"/>
    <n v="80"/>
    <s v=""/>
    <s v=""/>
    <s v=""/>
    <s v=""/>
    <n v="1"/>
  </r>
  <r>
    <x v="0"/>
    <n v="583"/>
    <m/>
    <n v="578"/>
    <s v="A empresa está enfrentando uma situação delicada com a Receita Federal e, por isso, decidiu aguardar antes de assinar o contrato, já que não sabe se manterá a operação de atacado. O plano é retomar o contato na primeira semana de janeiro de 2026._x000a_06/02 A Michele me ligou retomando o projeto, agora estamos na fase de negociação."/>
    <s v="Futuro Brasil Importacao E Exportacao Ltda"/>
    <x v="250"/>
    <n v="7664689000289"/>
    <s v=""/>
    <s v="Futuro Brasil Importacao E Exportacao Ltda"/>
    <s v="(11) 3312-3990"/>
    <s v=""/>
    <s v="financeiro.michele@futurobrasil.com"/>
    <s v=""/>
    <s v=""/>
    <s v=""/>
    <s v="EXTREMA"/>
    <s v="MG"/>
    <s v="Base de empresas Leads2b"/>
    <s v=""/>
    <s v=""/>
    <s v="30%;Pausado"/>
    <s v="Pipeline de Vendas"/>
    <s v="Em negociação (75%)"/>
    <s v=""/>
    <d v="2026-04-30T00:00:00"/>
    <n v="100800"/>
    <n v="5484"/>
    <n v="249"/>
    <s v="Paulo Souza"/>
    <d v="2025-09-11T00:00:00"/>
    <d v="1899-12-30T15:56:45"/>
    <s v=""/>
    <s v="Perdido"/>
    <d v="2026-05-18T00:00:00"/>
    <d v="1899-12-30T16:49:23"/>
    <s v="Projeto adiado / sem prazo definido"/>
    <s v=""/>
    <s v=""/>
    <x v="118"/>
    <s v="Paulo Souza"/>
    <x v="126"/>
    <s v=""/>
    <d v="2026-03-31T00:00:00"/>
    <n v="30"/>
    <s v="504"/>
    <s v="ERP, AFV, ADICIONAIS, CLOUD, WMS"/>
    <s v="R$ 100.800"/>
    <s v="R$ 5.484"/>
    <n v="1"/>
  </r>
  <r>
    <x v="1"/>
    <n v="585"/>
    <m/>
    <n v="2557"/>
    <s v=""/>
    <s v=""/>
    <x v="251"/>
    <m/>
    <s v=""/>
    <s v="Fantoys comércio de brinquedos ltda"/>
    <s v="44999841977"/>
    <s v=""/>
    <s v="Fantoyscomercial@gmail.com"/>
    <s v=""/>
    <s v=""/>
    <s v=""/>
    <s v=""/>
    <s v=""/>
    <s v=""/>
    <s v=""/>
    <s v=""/>
    <s v=""/>
    <s v="Pipeline de Vendas"/>
    <s v="Apresentar Proposta (50%)"/>
    <s v=""/>
    <m/>
    <n v="58088"/>
    <n v="645602"/>
    <n v="13"/>
    <s v="Junior Lopes"/>
    <d v="2025-09-12T00:00:00"/>
    <d v="1899-12-30T14:48:47"/>
    <s v=""/>
    <s v="Perdido"/>
    <d v="2025-09-25T00:00:00"/>
    <d v="1899-12-30T16:14:01"/>
    <s v="Não houve aprovação financeira"/>
    <s v="cliente achou investimento muito alto"/>
    <s v=""/>
    <x v="119"/>
    <s v=""/>
    <x v="127"/>
    <s v=""/>
    <m/>
    <m/>
    <s v=""/>
    <s v=""/>
    <s v=""/>
    <s v=""/>
    <n v="1"/>
  </r>
  <r>
    <x v="2"/>
    <n v="587"/>
    <m/>
    <n v="2559"/>
    <s v=""/>
    <s v=""/>
    <x v="252"/>
    <m/>
    <s v=""/>
    <s v="Junior"/>
    <s v="19987126669"/>
    <s v=""/>
    <s v="null"/>
    <s v=""/>
    <s v=""/>
    <s v=""/>
    <s v=""/>
    <s v=""/>
    <s v=""/>
    <s v=""/>
    <s v=""/>
    <s v=""/>
    <s v="Pipeline de Vendas"/>
    <s v="Em Fechamento (100%)"/>
    <s v=""/>
    <m/>
    <n v="64200"/>
    <n v="254344"/>
    <n v="78"/>
    <s v="Rayssa Karapeticov"/>
    <d v="2025-09-15T00:00:00"/>
    <d v="1899-12-30T10:48:08"/>
    <s v=""/>
    <s v="Ganho"/>
    <d v="2025-12-02T00:00:00"/>
    <d v="1899-12-30T11:19:47"/>
    <s v=""/>
    <s v=""/>
    <s v=""/>
    <x v="120"/>
    <s v=""/>
    <x v="128"/>
    <s v="17/09/2025 00:00"/>
    <m/>
    <m/>
    <s v=""/>
    <s v=""/>
    <s v=""/>
    <s v=""/>
    <n v="1"/>
  </r>
  <r>
    <x v="1"/>
    <n v="589"/>
    <m/>
    <n v="2561"/>
    <s v=""/>
    <s v=""/>
    <x v="253"/>
    <n v="7548592000120"/>
    <s v=""/>
    <s v="KAIQUE ARAUJO"/>
    <s v="(67) 99250-3056"/>
    <s v=""/>
    <s v="comercial.centralracoes@hotmail.com"/>
    <s v=""/>
    <s v=""/>
    <s v=""/>
    <s v="CAMPO GRANDE"/>
    <s v="MS"/>
    <s v="Site"/>
    <s v=""/>
    <s v=""/>
    <s v="Solicita demo"/>
    <s v="Pipeline de Vendas"/>
    <s v="Apresentar Proposta (50%)"/>
    <s v=""/>
    <m/>
    <n v="103032"/>
    <n v="696032"/>
    <n v="30"/>
    <s v="Paulo Souza"/>
    <d v="2025-09-16T00:00:00"/>
    <d v="1899-12-30T09:41:24"/>
    <s v=""/>
    <s v="Perdido"/>
    <d v="2025-10-16T00:00:00"/>
    <d v="1899-12-30T12:01:25"/>
    <s v="Projeto adiado / sem prazo definido"/>
    <s v="informações salvo em notas"/>
    <s v=""/>
    <x v="121"/>
    <s v="Junior Lopes"/>
    <x v="129"/>
    <s v="30/09/2025"/>
    <m/>
    <m/>
    <s v=""/>
    <s v=""/>
    <s v=""/>
    <s v=""/>
    <n v="1"/>
  </r>
  <r>
    <x v="1"/>
    <n v="590"/>
    <m/>
    <n v="2561"/>
    <s v=""/>
    <s v=""/>
    <x v="254"/>
    <n v="7548592000120"/>
    <s v=""/>
    <s v="KAIQUE ARAUJO"/>
    <s v="(67) 99250-3056"/>
    <s v=""/>
    <s v="comercial.centralracoes@hotmail.com"/>
    <s v=""/>
    <s v=""/>
    <s v=""/>
    <s v="CAMPO GRANDE"/>
    <s v="MS"/>
    <s v="Site"/>
    <s v=""/>
    <s v=""/>
    <s v="Solicita demo"/>
    <s v="Pipeline de Vendas"/>
    <s v="Agendamento (0%)"/>
    <s v=""/>
    <m/>
    <m/>
    <m/>
    <n v="0"/>
    <s v="Junior Lopes"/>
    <d v="2025-09-16T00:00:00"/>
    <d v="1899-12-30T09:45:26"/>
    <s v=""/>
    <s v="Perdido"/>
    <d v="2025-09-16T00:00:00"/>
    <d v="1899-12-30T09:58:11"/>
    <s v="Fora do porte mínimo (sem fit estrutural)"/>
    <s v="cadastro duplicado"/>
    <s v=""/>
    <x v="0"/>
    <s v=""/>
    <x v="0"/>
    <s v=""/>
    <m/>
    <m/>
    <s v=""/>
    <s v=""/>
    <s v=""/>
    <s v=""/>
    <n v="1"/>
  </r>
  <r>
    <x v="1"/>
    <n v="597"/>
    <m/>
    <n v="2571"/>
    <s v=""/>
    <s v="Ilumac Industria Comercio E Servicos Ltda"/>
    <x v="255"/>
    <n v="49872306000127"/>
    <s v=""/>
    <s v="Ilumac Industria Comercio E Servicos Ltda"/>
    <s v="(14) 3213-1100"/>
    <s v=""/>
    <s v="direcao@safeway.ind.br"/>
    <s v=""/>
    <s v=""/>
    <s v=""/>
    <s v="BAURU"/>
    <s v="SP"/>
    <s v="Base de empresas Leads2b"/>
    <s v=""/>
    <s v=""/>
    <s v=""/>
    <s v="Pipeline de Vendas"/>
    <s v="Apresentar Proposta (50%)"/>
    <s v=""/>
    <m/>
    <n v="7021439"/>
    <n v="37362"/>
    <n v="14"/>
    <s v="Junior Lopes"/>
    <d v="2025-09-19T00:00:00"/>
    <d v="1899-12-30T15:49:06"/>
    <s v=""/>
    <s v="Perdido"/>
    <d v="2025-10-03T00:00:00"/>
    <d v="1899-12-30T09:41:38"/>
    <s v="Não quer mudar a solução atual"/>
    <s v="cliente não responde as mensagens e ligações"/>
    <s v=""/>
    <x v="114"/>
    <s v=""/>
    <x v="130"/>
    <s v=""/>
    <m/>
    <m/>
    <s v=""/>
    <s v=""/>
    <s v=""/>
    <s v=""/>
    <n v="1"/>
  </r>
  <r>
    <x v="0"/>
    <n v="600"/>
    <m/>
    <n v="2477"/>
    <s v=""/>
    <s v=""/>
    <x v="256"/>
    <m/>
    <s v=""/>
    <s v="Lucas"/>
    <s v="(11) 98527-7256"/>
    <s v=""/>
    <s v="marketing@mewoof.com.br"/>
    <s v=""/>
    <s v=""/>
    <s v=""/>
    <s v="São Paulo"/>
    <s v=""/>
    <s v="Site"/>
    <s v=""/>
    <s v=""/>
    <s v="Solicita demo"/>
    <s v="Pipeline de Vendas"/>
    <s v="Em negociação (75%)"/>
    <s v=""/>
    <m/>
    <m/>
    <m/>
    <n v="43"/>
    <s v="Paulo Souza"/>
    <d v="2025-09-23T00:00:00"/>
    <d v="1899-12-30T16:50:25"/>
    <s v=""/>
    <s v="Perdido"/>
    <d v="2025-11-05T00:00:00"/>
    <d v="1899-12-30T09:56:42"/>
    <s v="Fora do porte mínimo (sem fit estrutural)"/>
    <s v=""/>
    <s v=""/>
    <x v="108"/>
    <s v="Paulo Souza"/>
    <x v="131"/>
    <s v=""/>
    <m/>
    <m/>
    <s v=""/>
    <s v=""/>
    <s v=""/>
    <s v=""/>
    <n v="1"/>
  </r>
  <r>
    <x v="1"/>
    <n v="601"/>
    <m/>
    <n v="2579"/>
    <s v=""/>
    <s v=""/>
    <x v="257"/>
    <m/>
    <s v=""/>
    <s v="Fantoys Brinquedos - Cloud"/>
    <s v="44999841977"/>
    <s v=""/>
    <s v="Fantoyscomercial@gmail.com"/>
    <s v=""/>
    <s v=""/>
    <s v=""/>
    <s v=""/>
    <s v=""/>
    <s v=""/>
    <s v=""/>
    <s v=""/>
    <s v=""/>
    <s v="Pipeline de Vendas"/>
    <s v="Apresentar Proposta (50%)"/>
    <s v=""/>
    <m/>
    <n v="1600"/>
    <n v="2396"/>
    <n v="1"/>
    <s v="Junior Lopes"/>
    <d v="2025-09-24T00:00:00"/>
    <d v="1899-12-30T09:48:02"/>
    <s v=""/>
    <s v="Perdido"/>
    <d v="2025-09-25T00:00:00"/>
    <d v="1899-12-30T16:14:54"/>
    <s v="Não houve aprovação financeira"/>
    <s v="cliente achou investimento muito  alto"/>
    <s v=""/>
    <x v="119"/>
    <s v=""/>
    <x v="127"/>
    <s v=""/>
    <m/>
    <m/>
    <s v=""/>
    <s v=""/>
    <s v=""/>
    <s v=""/>
    <n v="1"/>
  </r>
  <r>
    <x v="1"/>
    <n v="602"/>
    <m/>
    <n v="2582"/>
    <s v=""/>
    <s v="Principios Representacoes De Artigos De Uso Domestico Ltda"/>
    <x v="258"/>
    <n v="11392803000155"/>
    <s v=""/>
    <s v="Principios Representacoes De Artigos De Uso Domestico Ltda"/>
    <s v="(48) 9123-3777"/>
    <s v=""/>
    <s v="fabiane.principios@gmail.com"/>
    <s v=""/>
    <s v=""/>
    <s v=""/>
    <s v="ARARANGUA"/>
    <s v="SC"/>
    <s v="Base de empresas Leads2b"/>
    <s v=""/>
    <s v=""/>
    <s v=""/>
    <s v="Pipeline de Vendas"/>
    <s v="Apresentar Proposta (50%)"/>
    <s v=""/>
    <m/>
    <m/>
    <m/>
    <n v="42"/>
    <s v="Junior Lopes"/>
    <d v="2025-09-24T00:00:00"/>
    <d v="1899-12-30T14:10:49"/>
    <s v=""/>
    <s v="Perdido"/>
    <d v="2025-11-05T00:00:00"/>
    <d v="1899-12-30T09:29:11"/>
    <s v="Projeto adiado / sem prazo definido"/>
    <s v="cliente Rep Mais"/>
    <s v=""/>
    <x v="0"/>
    <s v=""/>
    <x v="118"/>
    <s v=""/>
    <m/>
    <m/>
    <s v=""/>
    <s v=""/>
    <s v=""/>
    <s v=""/>
    <n v="1"/>
  </r>
  <r>
    <x v="1"/>
    <n v="603"/>
    <m/>
    <n v="2581"/>
    <s v=""/>
    <s v=""/>
    <x v="259"/>
    <n v="8019257000105"/>
    <s v=""/>
    <s v="Ramão"/>
    <s v=""/>
    <s v=""/>
    <s v="diego.barcelli@guaranisistemas.com.br"/>
    <s v=""/>
    <s v=""/>
    <s v=""/>
    <s v="Brumadinho"/>
    <s v=""/>
    <s v="Indicação"/>
    <s v=""/>
    <s v=""/>
    <s v=""/>
    <s v="Pipeline de Vendas"/>
    <s v="Agendamento (0%)"/>
    <s v=""/>
    <m/>
    <m/>
    <m/>
    <n v="13"/>
    <s v="Paulo Souza"/>
    <d v="2025-09-24T00:00:00"/>
    <d v="1899-12-30T16:01:16"/>
    <s v=""/>
    <s v="Perdido"/>
    <d v="2025-10-07T00:00:00"/>
    <d v="1899-12-30T14:43:39"/>
    <s v="Não quer mudar a solução atual"/>
    <s v="Sem retorno dos contatos"/>
    <s v=""/>
    <x v="0"/>
    <s v="Junior Lopes"/>
    <x v="132"/>
    <s v=""/>
    <m/>
    <m/>
    <s v=""/>
    <s v=""/>
    <s v=""/>
    <s v=""/>
    <n v="1"/>
  </r>
  <r>
    <x v="1"/>
    <n v="604"/>
    <m/>
    <n v="2580"/>
    <s v="Todos os dados preenchidos:_x000a_name: Ramão _x000a_phone: 67 9 9169-7702 _x000a_email: ramaodlara@gmail.com _x000a_nome_da_empresa_indicada: LUZIA LARA GUILHEN- MEI _x000a_field_6: Guarani ERP, PDV _x000a_nome_de_quem_indica: Diego Luis Barcelli _x000a_e_mail_de_quem_indica: diego.barcelli@guaranisistemas.com.br _x000a_telefone_de_quem_indica: 16 9 9265-3506 _x000a_Quais_produtos_Guarani_você_indica_para_essa_empresa?: Guarani ERP, PDV _x000a_0: Guarani ERP, PDV"/>
    <s v=""/>
    <x v="260"/>
    <m/>
    <s v=""/>
    <s v="Ramão"/>
    <s v="67 9 9169-7702"/>
    <s v=""/>
    <s v="ramaodlara@gmail.com"/>
    <s v=""/>
    <s v=""/>
    <s v=""/>
    <s v=""/>
    <s v=""/>
    <s v="Indicação"/>
    <s v=""/>
    <s v=""/>
    <s v=""/>
    <s v="Pipeline de Vendas"/>
    <s v="Agendamento (0%)"/>
    <s v=""/>
    <m/>
    <m/>
    <m/>
    <n v="13"/>
    <s v="Paulo Souza"/>
    <d v="2025-09-24T00:00:00"/>
    <d v="1899-12-30T16:02:08"/>
    <s v=""/>
    <s v="Perdido"/>
    <d v="2025-10-07T00:00:00"/>
    <d v="1899-12-30T09:36:27"/>
    <s v="Não quer mudar a solução atual"/>
    <s v="não responde ao contato"/>
    <s v=""/>
    <x v="0"/>
    <s v="Junior Lopes"/>
    <x v="132"/>
    <s v=""/>
    <m/>
    <m/>
    <s v=""/>
    <s v=""/>
    <s v=""/>
    <s v=""/>
    <n v="1"/>
  </r>
  <r>
    <x v="1"/>
    <n v="607"/>
    <m/>
    <n v="2590"/>
    <s v=""/>
    <s v=""/>
    <x v="261"/>
    <n v="1099426000107"/>
    <s v=""/>
    <s v="Chame Rio (Cloud)"/>
    <s v="21996087296"/>
    <s v=""/>
    <s v="leon@chamerio.com.br"/>
    <s v=""/>
    <s v=""/>
    <s v=""/>
    <s v=""/>
    <s v=""/>
    <s v=""/>
    <s v=""/>
    <s v=""/>
    <s v=""/>
    <s v="Pipeline de Vendas"/>
    <s v="Em negociação (75%)"/>
    <s v=""/>
    <m/>
    <n v="1600"/>
    <n v="3360"/>
    <n v="62"/>
    <s v="Junior Lopes"/>
    <d v="2025-09-25T00:00:00"/>
    <d v="1899-12-30T15:54:00"/>
    <s v=""/>
    <s v="Perdido"/>
    <d v="2025-11-26T00:00:00"/>
    <d v="1899-12-30T14:16:02"/>
    <s v="Projeto adiado / sem prazo definido"/>
    <s v="Aguardar ativação das lojas"/>
    <s v=""/>
    <x v="122"/>
    <s v=""/>
    <x v="133"/>
    <s v=""/>
    <m/>
    <m/>
    <s v=""/>
    <s v=""/>
    <s v=""/>
    <s v=""/>
    <n v="1"/>
  </r>
  <r>
    <x v="1"/>
    <n v="608"/>
    <m/>
    <n v="2591"/>
    <s v=""/>
    <s v=""/>
    <x v="262"/>
    <n v="6302372000159"/>
    <s v=""/>
    <s v="DVidros (CNPJ)"/>
    <s v="31992324071"/>
    <s v=""/>
    <s v="comercial@dvidros.com.br"/>
    <s v=""/>
    <s v=""/>
    <s v=""/>
    <s v=""/>
    <s v=""/>
    <s v=""/>
    <s v=""/>
    <s v=""/>
    <s v=""/>
    <s v="Pipeline de Vendas"/>
    <s v="Em Fechamento (100%)"/>
    <s v=""/>
    <m/>
    <n v="260148"/>
    <n v="0"/>
    <n v="0"/>
    <s v="Junior Lopes"/>
    <d v="2025-09-25T00:00:00"/>
    <d v="1899-12-30T16:03:28"/>
    <s v=""/>
    <s v="Ganho"/>
    <d v="2025-09-25T00:00:00"/>
    <d v="1899-12-30T16:12:47"/>
    <s v=""/>
    <s v=""/>
    <s v=""/>
    <x v="115"/>
    <s v=""/>
    <x v="123"/>
    <s v=""/>
    <m/>
    <m/>
    <s v=""/>
    <s v=""/>
    <s v=""/>
    <s v=""/>
    <n v="1"/>
  </r>
  <r>
    <x v="1"/>
    <n v="609"/>
    <m/>
    <n v="2592"/>
    <s v=""/>
    <s v=""/>
    <x v="263"/>
    <n v="7548592000120"/>
    <s v=""/>
    <s v="Central Rações - BI"/>
    <s v="67992503056"/>
    <s v=""/>
    <s v="comercial.centralracoes@hotmail.com"/>
    <s v=""/>
    <s v=""/>
    <s v=""/>
    <s v="CAMPO GRANDE"/>
    <s v="MS"/>
    <s v=""/>
    <s v=""/>
    <s v=""/>
    <s v=""/>
    <s v="Pipeline de Vendas"/>
    <s v="Apresentar Proposta (50%)"/>
    <s v=""/>
    <m/>
    <n v="16200"/>
    <n v="2160"/>
    <n v="21"/>
    <s v="Junior Lopes"/>
    <d v="2025-09-25T00:00:00"/>
    <d v="1899-12-30T16:39:10"/>
    <s v=""/>
    <s v="Perdido"/>
    <d v="2025-10-16T00:00:00"/>
    <d v="1899-12-30T12:02:57"/>
    <s v="Projeto adiado / sem prazo definido"/>
    <s v="informações salvo em notas"/>
    <s v=""/>
    <x v="121"/>
    <s v=""/>
    <x v="134"/>
    <s v=""/>
    <m/>
    <m/>
    <s v=""/>
    <s v=""/>
    <s v=""/>
    <s v=""/>
    <n v="1"/>
  </r>
  <r>
    <x v="1"/>
    <n v="610"/>
    <m/>
    <n v="2595"/>
    <s v=""/>
    <s v=""/>
    <x v="264"/>
    <n v="7548592000120"/>
    <s v=""/>
    <s v="Central Rações - Cloud"/>
    <s v="67992503056"/>
    <s v=""/>
    <s v="comercial.centralracoes@hotmail.com"/>
    <s v=""/>
    <s v=""/>
    <s v=""/>
    <s v="CAMPO GRANDE"/>
    <s v="MS"/>
    <s v=""/>
    <s v=""/>
    <s v=""/>
    <s v=""/>
    <s v="Pipeline de Vendas"/>
    <s v="Apresentar Proposta (50%)"/>
    <s v=""/>
    <m/>
    <n v="1600"/>
    <n v="405552"/>
    <n v="21"/>
    <s v="Junior Lopes"/>
    <d v="2025-09-25T00:00:00"/>
    <d v="1899-12-30T16:41:53"/>
    <s v=""/>
    <s v="Perdido"/>
    <d v="2025-10-16T00:00:00"/>
    <d v="1899-12-30T12:02:06"/>
    <s v="Projeto adiado / sem prazo definido"/>
    <s v="informações salvo em notas"/>
    <s v=""/>
    <x v="121"/>
    <s v=""/>
    <x v="134"/>
    <s v=""/>
    <m/>
    <m/>
    <s v=""/>
    <s v=""/>
    <s v=""/>
    <s v=""/>
    <n v="1"/>
  </r>
  <r>
    <x v="2"/>
    <n v="611"/>
    <m/>
    <n v="2598"/>
    <s v=""/>
    <s v=""/>
    <x v="265"/>
    <n v="11861121000306"/>
    <s v=""/>
    <s v="Emerson Silva"/>
    <s v="(55) 11941-3524"/>
    <s v=""/>
    <s v="operacional@facinato.com.br"/>
    <s v=""/>
    <s v=""/>
    <s v=""/>
    <s v="São Paulo"/>
    <s v=""/>
    <s v="Site"/>
    <s v=""/>
    <s v=""/>
    <s v="Solicita demo"/>
    <s v="Pipeline de Vendas"/>
    <s v="Apresentar Proposta (50%)"/>
    <s v=""/>
    <m/>
    <m/>
    <m/>
    <n v="28"/>
    <s v="Paulo Souza"/>
    <d v="2025-09-26T00:00:00"/>
    <d v="1899-12-30T10:12:27"/>
    <s v=""/>
    <s v="Perdido"/>
    <d v="2025-10-24T00:00:00"/>
    <d v="1899-12-30T12:02:58"/>
    <s v="Preço muito alto - fora do budget de investimento"/>
    <s v=""/>
    <s v=""/>
    <x v="0"/>
    <s v="Rayssa Karapeticov"/>
    <x v="135"/>
    <s v=""/>
    <m/>
    <m/>
    <s v=""/>
    <s v=""/>
    <s v=""/>
    <s v=""/>
    <n v="1"/>
  </r>
  <r>
    <x v="1"/>
    <n v="613"/>
    <m/>
    <n v="2600"/>
    <s v="11:51, 06/01/2026 Junior Lopes: lá Wilkerson, bom dia_x000a_11:51, 06/01/2026 Junior Lopes: Um Feliz 2026 para vc e toda equipe 🙏🙏_x000a_11:51, 06/01/2026 Junior Lopes: Me recebe aí para discutirmos sobre a proposta comercial?_x000a_15:32, 23/01/2026 Junior Lopes: Olá Wilkerson, boa tarde_x000a_13:34, 27/01/2026 Wilkerson Plasbrin: Ola_x000a_13:34, 27/01/2026 Wilkerson Plasbrin: Estou analisando a proposta sina_x000a_13:34, 27/01/2026 Wilkerson Plasbrin: Ainda_x000a_13:35, 27/01/2026 Wilkerson Plasbrin: Creio que em fevereiro te contato sobre uma negociação_x000a_13:36, 27/01/2026 Junior Lopes: Olá meu amigo! Ótimo _x000a_Veja o que precisa para fecharmos! Nossa solução vai ajudar muito em seus processos _x000a_Te aguardo 👊_x000a_14:25, 27/01/2026 Wilkerson Plasbrin: Pode deixar_x000a_14:25, 27/01/2026 Wilkerson Plasbrin: Vamos avaliar_x000a_08:53, 24/02/2026 Junior Lopes: Olá Wilkerson, bom dia , Td bem ?_x000a_08:54, 24/02/2026 Junior Lopes: Vamos agendar um bate papo para próxima semana ? _x000a_Se sim vou até você !"/>
    <s v=""/>
    <x v="266"/>
    <n v="221294000181"/>
    <s v=""/>
    <s v="PlasBink"/>
    <s v="11997580006"/>
    <s v=""/>
    <s v="falgat@terra.com.br"/>
    <s v=""/>
    <s v=""/>
    <s v=""/>
    <s v="CABREUVA"/>
    <s v="SP"/>
    <s v=""/>
    <s v=""/>
    <s v=""/>
    <s v="50%"/>
    <s v="Pipeline de Vendas"/>
    <s v="Em negociação (75%)"/>
    <s v=""/>
    <d v="2026-03-31T00:00:00"/>
    <n v="81786"/>
    <n v="79654"/>
    <n v="233"/>
    <s v="Junior Lopes"/>
    <d v="2025-09-29T00:00:00"/>
    <d v="1899-12-30T11:41:56"/>
    <s v=""/>
    <s v="Ativo"/>
    <m/>
    <m/>
    <s v=""/>
    <s v=""/>
    <s v="08/10/2025"/>
    <x v="123"/>
    <s v="Junior Lopes"/>
    <x v="118"/>
    <s v=""/>
    <d v="2026-02-24T00:00:00"/>
    <n v="50"/>
    <s v=""/>
    <s v=""/>
    <s v=""/>
    <s v=""/>
    <n v="1"/>
  </r>
  <r>
    <x v="0"/>
    <n v="614"/>
    <m/>
    <n v="2603"/>
    <s v="Indefinido se vamos ou não seguir . O Wellington esta em analise se vamos evoluir!_x000a_Esta oportunidade encontra-se pausado durante 2026._x000a_07/02 Por motivo de gerenciamento do meu CRM, estou declinando a proposta e futuramente quando o cliente demonstrar interesse novamente retornamos com a proposta."/>
    <s v=""/>
    <x v="267"/>
    <n v="9517464000144"/>
    <s v=""/>
    <s v="Wellington"/>
    <s v=""/>
    <s v=""/>
    <s v="well@wellmix.com.br"/>
    <s v=""/>
    <s v=""/>
    <s v=""/>
    <s v=""/>
    <s v=""/>
    <s v=""/>
    <s v=""/>
    <s v=""/>
    <s v="30%;Pausado"/>
    <s v="Pipeline de Vendas"/>
    <s v="Em negociação (75%)"/>
    <s v=""/>
    <d v="2026-03-31T00:00:00"/>
    <n v="254760"/>
    <n v="1578632"/>
    <n v="131"/>
    <s v="Paulo Souza"/>
    <d v="2025-09-29T00:00:00"/>
    <d v="1899-12-30T17:19:09"/>
    <s v=""/>
    <s v="Perdido"/>
    <d v="2026-02-07T00:00:00"/>
    <d v="1899-12-30T08:47:53"/>
    <s v="Não quer mudar a solução atual"/>
    <s v="07/02 Por motivo de gerenciamento do meu CRM, estou declinando a proposta e futuramente quando o cliente demonstrar interesse novamente retornamos com a proposta."/>
    <s v=""/>
    <x v="124"/>
    <s v="Paulo Souza"/>
    <x v="136"/>
    <s v=""/>
    <d v="2026-02-07T00:00:00"/>
    <n v="30"/>
    <s v=""/>
    <s v=""/>
    <s v=""/>
    <s v=""/>
    <n v="1"/>
  </r>
  <r>
    <x v="0"/>
    <n v="615"/>
    <m/>
    <n v="2604"/>
    <s v=""/>
    <s v=""/>
    <x v="268"/>
    <n v="73114894000114"/>
    <s v=""/>
    <s v="Sidney"/>
    <s v=""/>
    <s v=""/>
    <s v="sidney@unikhome.com.br"/>
    <s v=""/>
    <s v=""/>
    <s v=""/>
    <s v=""/>
    <s v=""/>
    <s v=""/>
    <s v=""/>
    <s v=""/>
    <s v=""/>
    <s v="Pipeline de Vendas"/>
    <s v="Em negociação (75%)"/>
    <s v=""/>
    <m/>
    <m/>
    <m/>
    <n v="0"/>
    <s v="Paulo Souza"/>
    <d v="2025-09-29T00:00:00"/>
    <d v="1899-12-30T17:22:41"/>
    <s v=""/>
    <s v="Perdido"/>
    <d v="2025-09-29T00:00:00"/>
    <d v="1899-12-30T17:22:55"/>
    <s v="Preço muito alto - fora do budget de investimento"/>
    <s v=""/>
    <s v=""/>
    <x v="125"/>
    <s v="Paulo Souza"/>
    <x v="137"/>
    <s v=""/>
    <m/>
    <m/>
    <s v=""/>
    <s v=""/>
    <s v=""/>
    <s v=""/>
    <n v="1"/>
  </r>
  <r>
    <x v="0"/>
    <n v="616"/>
    <m/>
    <n v="2605"/>
    <s v=""/>
    <s v=""/>
    <x v="269"/>
    <n v="18628799000120"/>
    <s v=""/>
    <s v="Gabeirl"/>
    <s v="(11) 3567-5470"/>
    <s v=""/>
    <s v="atendimento@dolcehome.com.br"/>
    <s v=""/>
    <s v=""/>
    <s v=""/>
    <s v="SAO PAULO"/>
    <s v="SP"/>
    <s v=""/>
    <s v=""/>
    <s v=""/>
    <s v=""/>
    <s v="Pipeline de Vendas"/>
    <s v="Em negociação (75%)"/>
    <s v=""/>
    <m/>
    <m/>
    <m/>
    <n v="37"/>
    <s v="Paulo Souza"/>
    <d v="2025-09-29T00:00:00"/>
    <d v="1899-12-30T17:28:50"/>
    <s v=""/>
    <s v="Perdido"/>
    <d v="2025-11-05T00:00:00"/>
    <d v="1899-12-30T09:54:48"/>
    <s v="Fora do porte mínimo (sem fit estrutural)"/>
    <s v=""/>
    <s v=""/>
    <x v="126"/>
    <s v="Paulo Souza"/>
    <x v="136"/>
    <s v=""/>
    <m/>
    <m/>
    <s v=""/>
    <s v=""/>
    <s v=""/>
    <s v=""/>
    <n v="1"/>
  </r>
  <r>
    <x v="1"/>
    <n v="618"/>
    <m/>
    <n v="2609"/>
    <s v=""/>
    <s v=""/>
    <x v="270"/>
    <n v="49872306000127"/>
    <s v=""/>
    <s v="Illumac Industria - Cloud"/>
    <s v="1432131100"/>
    <s v=""/>
    <s v="direcao@safeway.ind.br"/>
    <s v=""/>
    <s v=""/>
    <s v=""/>
    <s v="BAURU"/>
    <s v="SP"/>
    <s v=""/>
    <s v=""/>
    <s v=""/>
    <s v=""/>
    <s v="Pipeline de Vendas"/>
    <s v="Apresentar Proposta (50%)"/>
    <s v=""/>
    <m/>
    <n v="1600"/>
    <n v="2468"/>
    <n v="3"/>
    <s v="Junior Lopes"/>
    <d v="2025-09-30T00:00:00"/>
    <d v="1899-12-30T14:38:16"/>
    <s v=""/>
    <s v="Perdido"/>
    <d v="2025-10-03T00:00:00"/>
    <d v="1899-12-30T09:42:31"/>
    <s v="Não quer mudar a solução atual"/>
    <s v="cliente não responde as mensagens e ligações"/>
    <s v=""/>
    <x v="114"/>
    <s v=""/>
    <x v="130"/>
    <s v=""/>
    <m/>
    <m/>
    <s v=""/>
    <s v=""/>
    <s v=""/>
    <s v=""/>
    <n v="1"/>
  </r>
  <r>
    <x v="1"/>
    <n v="619"/>
    <m/>
    <n v="2614"/>
    <s v=""/>
    <s v=""/>
    <x v="271"/>
    <n v="1099426000107"/>
    <s v=""/>
    <s v="Chame Rio - Horas"/>
    <s v="21996087296"/>
    <s v=""/>
    <s v="leon@chamerio.com.br"/>
    <s v=""/>
    <s v=""/>
    <s v=""/>
    <s v=""/>
    <s v=""/>
    <s v=""/>
    <s v=""/>
    <s v=""/>
    <s v=""/>
    <s v="Pipeline de Vendas"/>
    <s v="Em Fechamento (100%)"/>
    <s v=""/>
    <m/>
    <n v="2527318"/>
    <n v="0"/>
    <n v="29"/>
    <s v="Junior Lopes"/>
    <d v="2025-09-30T00:00:00"/>
    <d v="1899-12-30T15:58:34"/>
    <s v=""/>
    <s v="Ganho"/>
    <d v="2025-10-29T00:00:00"/>
    <d v="1899-12-30T10:50:59"/>
    <s v=""/>
    <s v=""/>
    <s v=""/>
    <x v="127"/>
    <s v=""/>
    <x v="0"/>
    <s v=""/>
    <m/>
    <m/>
    <s v=""/>
    <s v=""/>
    <s v=""/>
    <s v=""/>
    <n v="1"/>
  </r>
  <r>
    <x v="0"/>
    <n v="620"/>
    <m/>
    <n v="2615"/>
    <s v=""/>
    <s v=""/>
    <x v="272"/>
    <n v="5856090000130"/>
    <s v=""/>
    <s v="José Luiz Gomes Junior"/>
    <s v=""/>
    <s v=""/>
    <s v="controladoria@bionov.com.br"/>
    <s v=""/>
    <s v=""/>
    <s v=""/>
    <s v=""/>
    <s v=""/>
    <s v=""/>
    <s v=""/>
    <s v=""/>
    <s v=""/>
    <s v="Pipeline de Vendas"/>
    <s v="Em negociação (75%)"/>
    <s v=""/>
    <m/>
    <m/>
    <m/>
    <n v="36"/>
    <s v="Paulo Souza"/>
    <d v="2025-09-30T00:00:00"/>
    <d v="1899-12-30T16:04:40"/>
    <s v=""/>
    <s v="Perdido"/>
    <d v="2025-11-05T00:00:00"/>
    <d v="1899-12-30T09:53:42"/>
    <s v="Preço muito alto - fora do budget de investimento"/>
    <s v=""/>
    <s v=""/>
    <x v="128"/>
    <s v="Paulo Souza"/>
    <x v="138"/>
    <s v=""/>
    <m/>
    <m/>
    <s v=""/>
    <s v=""/>
    <s v=""/>
    <s v=""/>
    <n v="1"/>
  </r>
  <r>
    <x v="1"/>
    <n v="621"/>
    <m/>
    <n v="2616"/>
    <s v=""/>
    <s v=""/>
    <x v="273"/>
    <m/>
    <s v=""/>
    <s v="Vitoria cortinas - Horas"/>
    <s v="35999594857"/>
    <s v=""/>
    <s v="financeiro@vitoriacortinas.com.br"/>
    <s v=""/>
    <s v=""/>
    <s v=""/>
    <s v=""/>
    <s v=""/>
    <s v=""/>
    <s v=""/>
    <s v=""/>
    <s v=""/>
    <s v="Pipeline de Vendas"/>
    <s v="Em Fechamento (100%)"/>
    <s v=""/>
    <m/>
    <n v="5406"/>
    <n v="0"/>
    <n v="0"/>
    <s v="Junior Lopes"/>
    <d v="2025-09-30T00:00:00"/>
    <d v="1899-12-30T16:31:01"/>
    <s v=""/>
    <s v="Ganho"/>
    <d v="2025-09-30T00:00:00"/>
    <d v="1899-12-30T16:32:13"/>
    <s v=""/>
    <s v=""/>
    <s v=""/>
    <x v="121"/>
    <s v=""/>
    <x v="0"/>
    <s v=""/>
    <m/>
    <m/>
    <s v=""/>
    <s v=""/>
    <s v=""/>
    <s v=""/>
    <n v="1"/>
  </r>
  <r>
    <x v="1"/>
    <n v="622"/>
    <m/>
    <n v="2617"/>
    <s v=""/>
    <s v=""/>
    <x v="274"/>
    <m/>
    <s v=""/>
    <s v="Casa Bonitta - Cloud"/>
    <s v="1142923358"/>
    <s v=""/>
    <s v="catocontabilidade@gmail.com"/>
    <s v=""/>
    <s v=""/>
    <s v=""/>
    <s v=""/>
    <s v=""/>
    <s v=""/>
    <s v=""/>
    <s v=""/>
    <s v=""/>
    <s v="Pipeline de Vendas"/>
    <s v="Apresentar Solução (35%)"/>
    <s v=""/>
    <m/>
    <n v="1600"/>
    <n v="2468"/>
    <n v="3"/>
    <s v="Junior Lopes"/>
    <d v="2025-09-30T00:00:00"/>
    <d v="1899-12-30T16:35:41"/>
    <s v=""/>
    <s v="Perdido"/>
    <d v="2025-10-03T00:00:00"/>
    <d v="1899-12-30T09:59:20"/>
    <s v="Não houve aprovação financeira"/>
    <s v="Após proposta cliente não respondeu mais"/>
    <s v=""/>
    <x v="114"/>
    <s v=""/>
    <x v="122"/>
    <s v=""/>
    <m/>
    <m/>
    <s v=""/>
    <s v=""/>
    <s v=""/>
    <s v=""/>
    <n v="1"/>
  </r>
  <r>
    <x v="1"/>
    <n v="623"/>
    <m/>
    <n v="2618"/>
    <s v=""/>
    <s v=""/>
    <x v="275"/>
    <m/>
    <s v=""/>
    <s v="Casa Bonitta - PDV"/>
    <s v="1142923358"/>
    <s v=""/>
    <s v="catocontabilidade@gmail.com"/>
    <s v=""/>
    <s v=""/>
    <s v=""/>
    <s v=""/>
    <s v=""/>
    <s v=""/>
    <s v=""/>
    <s v=""/>
    <s v=""/>
    <s v="Pipeline de Vendas"/>
    <s v="Apresentar Solução (35%)"/>
    <s v=""/>
    <m/>
    <n v="59360"/>
    <n v="27562"/>
    <n v="3"/>
    <s v="Junior Lopes"/>
    <d v="2025-09-30T00:00:00"/>
    <d v="1899-12-30T16:38:47"/>
    <s v=""/>
    <s v="Perdido"/>
    <d v="2025-10-03T00:00:00"/>
    <d v="1899-12-30T09:58:51"/>
    <s v="Não houve aprovação financeira"/>
    <s v="Após proposta cliente não respondeu mais"/>
    <s v=""/>
    <x v="114"/>
    <s v=""/>
    <x v="122"/>
    <s v=""/>
    <m/>
    <m/>
    <s v=""/>
    <s v=""/>
    <s v=""/>
    <s v=""/>
    <n v="1"/>
  </r>
  <r>
    <x v="0"/>
    <n v="624"/>
    <m/>
    <n v="2619"/>
    <s v=""/>
    <s v=""/>
    <x v="276"/>
    <m/>
    <s v=""/>
    <s v="Hussein"/>
    <s v="96170057610"/>
    <s v=""/>
    <s v="null"/>
    <s v=""/>
    <s v=""/>
    <s v=""/>
    <s v=""/>
    <s v=""/>
    <s v=""/>
    <s v=""/>
    <s v=""/>
    <s v=""/>
    <s v="Pipeline de Vendas"/>
    <s v="Em negociação (75%)"/>
    <s v=""/>
    <m/>
    <m/>
    <m/>
    <n v="36"/>
    <s v="Paulo Souza"/>
    <d v="2025-09-30T00:00:00"/>
    <d v="1899-12-30T17:35:39"/>
    <s v=""/>
    <s v="Perdido"/>
    <d v="2025-11-05T00:00:00"/>
    <d v="1899-12-30T09:51:43"/>
    <s v="Projeto adiado / sem prazo definido"/>
    <s v=""/>
    <s v=""/>
    <x v="128"/>
    <s v="Paulo Souza"/>
    <x v="138"/>
    <s v=""/>
    <m/>
    <m/>
    <s v=""/>
    <s v=""/>
    <s v=""/>
    <s v=""/>
    <n v="1"/>
  </r>
  <r>
    <x v="1"/>
    <n v="628"/>
    <m/>
    <n v="2622"/>
    <s v=""/>
    <s v=""/>
    <x v="277"/>
    <m/>
    <s v=""/>
    <s v="Leandro carlos gonçalves"/>
    <s v="(16) 99270-3152"/>
    <s v=""/>
    <s v="solpratae@gmail.com"/>
    <s v=""/>
    <s v=""/>
    <s v=""/>
    <s v="São Carlos"/>
    <s v=""/>
    <s v="Site"/>
    <s v=""/>
    <s v=""/>
    <s v="Solicita demo"/>
    <s v="Pipeline de Vendas"/>
    <s v="Qualificação de Vendas (SQL) (25%)"/>
    <s v=""/>
    <m/>
    <m/>
    <m/>
    <n v="4"/>
    <s v="Paulo Souza"/>
    <d v="2025-10-03T00:00:00"/>
    <d v="1899-12-30T11:10:44"/>
    <s v=""/>
    <s v="Perdido"/>
    <d v="2025-10-07T00:00:00"/>
    <d v="1899-12-30T09:34:17"/>
    <s v="Nossa solução não atende - falta funcionalidade"/>
    <s v="cliente fora do perfil"/>
    <s v=""/>
    <x v="0"/>
    <s v="Junior Lopes"/>
    <x v="0"/>
    <s v=""/>
    <m/>
    <m/>
    <s v=""/>
    <s v=""/>
    <s v=""/>
    <s v=""/>
    <n v="1"/>
  </r>
  <r>
    <x v="1"/>
    <n v="634"/>
    <m/>
    <n v="2631"/>
    <s v=""/>
    <s v="Artesanato Uni-art Industria E Comercio Ltda"/>
    <x v="278"/>
    <n v="43400571000126"/>
    <s v=""/>
    <s v="Artesanato Uni-art Industria E Comercio Ltda"/>
    <s v="(19) 3876-4260"/>
    <s v=""/>
    <s v="thiago@uniartrelogios.com.br"/>
    <s v=""/>
    <s v=""/>
    <s v=""/>
    <s v="VINHEDO"/>
    <s v="SP"/>
    <s v="Base de empresas Leads2b"/>
    <s v=""/>
    <s v=""/>
    <s v=""/>
    <s v="Pipeline de Vendas"/>
    <s v="Apresentar Proposta (50%)"/>
    <s v=""/>
    <m/>
    <n v="7021439"/>
    <n v="417338"/>
    <n v="20"/>
    <s v="Junior Lopes"/>
    <d v="2025-10-09T00:00:00"/>
    <d v="1899-12-30T15:47:08"/>
    <s v=""/>
    <s v="Perdido"/>
    <d v="2025-10-29T00:00:00"/>
    <d v="1899-12-30T10:23:53"/>
    <s v="Projeto adiado / sem prazo definido"/>
    <s v="sem retorno do cliente"/>
    <s v=""/>
    <x v="129"/>
    <s v=""/>
    <x v="139"/>
    <s v=""/>
    <m/>
    <m/>
    <s v=""/>
    <s v=""/>
    <s v=""/>
    <s v=""/>
    <n v="1"/>
  </r>
  <r>
    <x v="1"/>
    <n v="638"/>
    <m/>
    <n v="2640"/>
    <s v=""/>
    <s v=""/>
    <x v="279"/>
    <m/>
    <s v=""/>
    <s v="Star Distribuidora (WMS)"/>
    <s v="17996266970"/>
    <s v=""/>
    <s v="null"/>
    <s v=""/>
    <s v=""/>
    <s v=""/>
    <s v=""/>
    <s v=""/>
    <s v=""/>
    <s v=""/>
    <s v=""/>
    <s v=""/>
    <s v="Pipeline de Vendas"/>
    <s v="Em negociação (75%)"/>
    <s v=""/>
    <m/>
    <m/>
    <m/>
    <n v="62"/>
    <s v="Junior Lopes"/>
    <d v="2025-10-10T00:00:00"/>
    <d v="1899-12-30T15:25:31"/>
    <s v=""/>
    <s v="Perdido"/>
    <d v="2025-12-11T00:00:00"/>
    <d v="1899-12-30T15:22:39"/>
    <s v="Projeto adiado / sem prazo definido"/>
    <s v=""/>
    <s v=""/>
    <x v="0"/>
    <s v=""/>
    <x v="139"/>
    <s v=""/>
    <m/>
    <m/>
    <s v=""/>
    <s v=""/>
    <s v=""/>
    <s v=""/>
    <n v="1"/>
  </r>
  <r>
    <x v="0"/>
    <n v="639"/>
    <m/>
    <n v="2644"/>
    <s v=""/>
    <s v=""/>
    <x v="280"/>
    <m/>
    <s v=""/>
    <s v="Alexsandro"/>
    <s v="75988472625"/>
    <s v=""/>
    <s v="null"/>
    <s v=""/>
    <s v=""/>
    <s v=""/>
    <s v=""/>
    <s v=""/>
    <s v=""/>
    <s v=""/>
    <s v=""/>
    <s v=""/>
    <s v="Pipeline de Vendas"/>
    <s v="Em negociação (75%)"/>
    <s v=""/>
    <m/>
    <m/>
    <m/>
    <n v="33"/>
    <s v="Paulo Souza"/>
    <d v="2025-10-15T00:00:00"/>
    <d v="1899-12-30T17:33:19"/>
    <s v=""/>
    <s v="Perdido"/>
    <d v="2025-11-17T00:00:00"/>
    <d v="1899-12-30T15:27:20"/>
    <s v="Não houve aprovação financeira"/>
    <s v=""/>
    <s v=""/>
    <x v="130"/>
    <s v="Paulo Souza"/>
    <x v="140"/>
    <s v=""/>
    <m/>
    <m/>
    <s v=""/>
    <s v=""/>
    <s v=""/>
    <s v=""/>
    <n v="1"/>
  </r>
  <r>
    <x v="1"/>
    <n v="640"/>
    <m/>
    <n v="2646"/>
    <s v=""/>
    <s v=""/>
    <x v="281"/>
    <m/>
    <s v=""/>
    <s v="Preciza Import"/>
    <s v="11947600755"/>
    <s v=""/>
    <s v="financeiro@precizaimports.com.br"/>
    <s v=""/>
    <s v=""/>
    <s v=""/>
    <s v=""/>
    <s v=""/>
    <s v=""/>
    <s v=""/>
    <s v=""/>
    <s v=""/>
    <s v="Pipeline de Vendas"/>
    <s v="Em Fechamento (100%)"/>
    <s v=""/>
    <m/>
    <n v="1380825"/>
    <n v="0"/>
    <n v="0"/>
    <s v="Junior Lopes"/>
    <d v="2025-10-16T00:00:00"/>
    <d v="1899-12-30T14:48:50"/>
    <s v=""/>
    <s v="Ganho"/>
    <d v="2025-10-16T00:00:00"/>
    <d v="1899-12-30T14:51:47"/>
    <s v=""/>
    <s v=""/>
    <s v=""/>
    <x v="131"/>
    <s v=""/>
    <x v="0"/>
    <s v=""/>
    <m/>
    <m/>
    <s v=""/>
    <s v=""/>
    <s v=""/>
    <s v=""/>
    <n v="1"/>
  </r>
  <r>
    <x v="1"/>
    <n v="641"/>
    <m/>
    <n v="2647"/>
    <s v=""/>
    <s v=""/>
    <x v="282"/>
    <m/>
    <s v=""/>
    <s v="Artesanato Uni-art Ind.- Cloud"/>
    <s v="1938764260"/>
    <s v=""/>
    <s v="thiago@uniartrelogios.com.br"/>
    <s v=""/>
    <s v=""/>
    <s v=""/>
    <s v=""/>
    <s v=""/>
    <s v=""/>
    <s v=""/>
    <s v=""/>
    <s v=""/>
    <s v="Pipeline de Vendas"/>
    <s v="Apresentar Proposta (50%)"/>
    <s v=""/>
    <m/>
    <n v="1600"/>
    <n v="3695"/>
    <n v="13"/>
    <s v="Junior Lopes"/>
    <d v="2025-10-16T00:00:00"/>
    <d v="1899-12-30T16:42:09"/>
    <s v=""/>
    <s v="Perdido"/>
    <d v="2025-10-29T00:00:00"/>
    <d v="1899-12-30T10:25:19"/>
    <s v="Projeto adiado / sem prazo definido"/>
    <s v="cliente não atende aos contatos"/>
    <s v=""/>
    <x v="129"/>
    <s v=""/>
    <x v="139"/>
    <s v=""/>
    <m/>
    <m/>
    <s v=""/>
    <s v=""/>
    <s v=""/>
    <s v=""/>
    <n v="1"/>
  </r>
  <r>
    <x v="1"/>
    <n v="642"/>
    <m/>
    <n v="2648"/>
    <s v="11:51, 06/01/2026 Junior Lopes: lá Wilkerson, bom dia_x000a_11:51, 06/01/2026 Junior Lopes: Um Feliz 2026 para vc e toda equipe 🙏🙏_x000a_11:51, 06/01/2026 Junior Lopes: Me recebe aí para discutirmos sobre a proposta comercial?_x000a_15:32, 23/01/2026 Junior Lopes: Olá Wilkerson, boa tarde_x000a_13:34, 27/01/2026 Wilkerson Plasbrin: Ola_x000a_13:34, 27/01/2026 Wilkerson Plasbrin: Estou analisando a proposta sina_x000a_13:34, 27/01/2026 Wilkerson Plasbrin: Ainda_x000a_13:35, 27/01/2026 Wilkerson Plasbrin: Creio que em fevereiro te contato sobre uma negociação_x000a_13:36, 27/01/2026 Junior Lopes: Olá meu amigo! Ótimo _x000a_Veja o que precisa para fecharmos! Nossa solução vai ajudar muito em seus processos _x000a_Te aguardo 👊_x000a_14:25, 27/01/2026 Wilkerson Plasbrin: Pode deixar_x000a_14:25, 27/01/2026 Wilkerson Plasbrin: Vamos avaliar_x000a_08:53, 24/02/2026 Junior Lopes: Olá Wilkerson, bom dia , Td bem ?_x000a_08:54, 24/02/2026 Junior Lopes: Vamos agendar um bate papo para próxima semana ? _x000a_Se sim vou até você !"/>
    <s v=""/>
    <x v="283"/>
    <m/>
    <s v=""/>
    <s v="Plasbrink Embalagens Plasticas Ltda - Cloud"/>
    <s v="11997580006"/>
    <s v=""/>
    <s v="falgat@terra.com.br"/>
    <s v=""/>
    <s v=""/>
    <s v=""/>
    <s v=""/>
    <s v=""/>
    <s v=""/>
    <s v=""/>
    <s v=""/>
    <s v="50%"/>
    <s v="Pipeline de Vendas"/>
    <s v="Em negociação (75%)"/>
    <s v=""/>
    <d v="2026-03-31T00:00:00"/>
    <n v="1600"/>
    <n v="335607"/>
    <n v="215"/>
    <s v="Junior Lopes"/>
    <d v="2025-10-17T00:00:00"/>
    <d v="1899-12-30T09:45:53"/>
    <s v=""/>
    <s v="Ativo"/>
    <m/>
    <m/>
    <s v=""/>
    <s v=""/>
    <s v=""/>
    <x v="123"/>
    <s v="Junior Lopes"/>
    <x v="141"/>
    <s v=""/>
    <d v="2026-02-24T00:00:00"/>
    <n v="50"/>
    <s v=""/>
    <s v=""/>
    <s v=""/>
    <s v=""/>
    <n v="1"/>
  </r>
  <r>
    <x v="1"/>
    <n v="643"/>
    <m/>
    <n v="2649"/>
    <s v="O cliente está utilizando o módulo em período de degustação de 7 dias, com término em 16/12/2025. Após essa data, ele deverá decidir se seguirá com a contratação ou se irá declinar."/>
    <s v=""/>
    <x v="284"/>
    <n v="43028557000143"/>
    <s v=""/>
    <s v="Preciza Import - Boleto WhatsApp"/>
    <s v="11947600755"/>
    <s v=""/>
    <s v="financeiro@precizaimports.com.br"/>
    <s v=""/>
    <s v=""/>
    <s v=""/>
    <s v=""/>
    <s v=""/>
    <s v=""/>
    <s v=""/>
    <s v=""/>
    <s v="80%"/>
    <s v="Pipeline de Vendas"/>
    <s v="Em Fechamento (100%)"/>
    <s v=""/>
    <d v="2025-11-28T00:00:00"/>
    <n v="0"/>
    <n v="3564"/>
    <n v="129"/>
    <s v="Junior Lopes"/>
    <d v="2025-10-17T00:00:00"/>
    <d v="1899-12-30T09:48:43"/>
    <s v=""/>
    <s v="Perdido"/>
    <d v="2026-02-23T00:00:00"/>
    <d v="1899-12-30T10:22:57"/>
    <s v="Projeto adiado / sem prazo definido"/>
    <s v="cliente não assinou contrato"/>
    <s v=""/>
    <x v="132"/>
    <s v="Junior Lopes"/>
    <x v="142"/>
    <s v=""/>
    <d v="2025-12-12T00:00:00"/>
    <n v="80"/>
    <s v=""/>
    <s v=""/>
    <s v=""/>
    <s v=""/>
    <n v="1"/>
  </r>
  <r>
    <x v="1"/>
    <n v="644"/>
    <m/>
    <n v="2650"/>
    <s v="Após a apresentação de 10/12/2025, ficou definido que a equipe da Marka Têxtil se reunirá para decidir sobre a continuidade do projeto. Farei um follow-up em 15/12/2025 para obter a definição._x000a_16:22, 27/01/2026 Junior Lopes: Olá Regina ! Boa tarde_x000a_16:22, 27/01/2026 Regina Chagas: Boa tarde_x000a_16:27, 27/01/2026 Junior Lopes: Como está a evolução do projeto?_x000a_16:29, 27/01/2026 Junior Lopes: Sei que vcs estão em contato com outras ferramentas! E que está tudo bem _x000a_Porém fico preocupado com valor que já negociamos! A proposta é do ano passado ! Viramos a nossa tabela _x000a_Estou segurando os valores aqui ! Mas preciso de um feedback_x000a_16:49, 27/01/2026 Regina Chagas: Entendo, acredito que até sexta feira eu te dou um retorno final_x000a_(03/02/2026) em contato com a Bruna na feira Abup informou que decidiu seguir com ERP que apresentou uma proposta mais atrativa em questão de valores ! abaixo mensagem da Regina com mesmo contexto : _x000a_07:57, 09/02/2026 Regina Chagas: Bom dia Junior, desculpe a demora no retorno._x000a_Fechamos com outra empresa, em reunião foi decidido que seria mais vantajoso além do custo/beneficio._x000a_Muito obrigada pelo seu ótimo atendimento_x000a_08:59, 09/02/2026 Junior Lopes: Olá Regina bom dia ! Falei com a Bruna na feira _x000a_Desejo sucesso para vocês"/>
    <s v=""/>
    <x v="285"/>
    <n v="62499934000177"/>
    <s v=""/>
    <s v="Marka Textil"/>
    <s v="11975444564"/>
    <s v=""/>
    <s v="brunaantonelli@markatextil.com.br"/>
    <s v=""/>
    <s v=""/>
    <s v=""/>
    <s v="GUARAREMA"/>
    <s v="SP"/>
    <s v=""/>
    <s v=""/>
    <s v=""/>
    <s v="80%"/>
    <s v="Pipeline de Vendas"/>
    <s v="Em negociação (75%)"/>
    <s v=""/>
    <d v="2026-02-28T00:00:00"/>
    <n v="118908"/>
    <n v="1304844"/>
    <n v="117"/>
    <s v="Junior Lopes"/>
    <d v="2025-10-17T00:00:00"/>
    <d v="1899-12-30T10:09:46"/>
    <s v=""/>
    <s v="Perdido"/>
    <d v="2026-02-11T00:00:00"/>
    <d v="1899-12-30T17:32:54"/>
    <s v="Fechou com o concorrente - preço"/>
    <s v="fechou por preço"/>
    <s v=""/>
    <x v="133"/>
    <s v="Junior Lopes"/>
    <x v="142"/>
    <s v="05/11/2025"/>
    <d v="2026-02-03T00:00:00"/>
    <n v="80"/>
    <s v=""/>
    <s v=""/>
    <s v=""/>
    <s v=""/>
    <n v="1"/>
  </r>
  <r>
    <x v="1"/>
    <n v="645"/>
    <m/>
    <n v="2654"/>
    <s v="Após a apresentação de 10/12/2025, ficou definido que a equipe da Marka Têxtil se reunirá para decidir sobre a continuidade do projeto. Farei um follow-up em 15/12/2025 para obter a definição._x000a_16:22, 27/01/2026 Junior Lopes: Olá Regina ! Boa tarde_x000a_16:22, 27/01/2026 Regina Chagas: Boa tarde_x000a_16:27, 27/01/2026 Junior Lopes: Como está a evolução do projeto?_x000a_16:29, 27/01/2026 Junior Lopes: Sei que vcs estão em contato com outras ferramentas! E que está tudo bem _x000a_Porém fico preocupado com valor que já negociamos! A proposta é do ano passado ! Viramos a nossa tabela _x000a_Estou segurando os valores aqui ! Mas preciso de um feedback_x000a_16:49, 27/01/2026 Regina Chagas: Entendo, acredito que até sexta feira eu te dou um retorno final_x000a_(03/02/2026) em contato com a Bruna na feira Abup informou que decidiu seguir com ERP que apresentou uma proposta mais atrativa em questão de valores ! abaixo mensagem da Regina com mesmo contexto : _x000a_07:57, 09/02/2026 Regina Chagas: Bom dia Junior, desculpe a demora no retorno._x000a_Fechamos com outra empresa, em reunião foi decidido que seria mais vantajoso além do custo/beneficio._x000a_Muito obrigada pelo seu ótimo atendimento_x000a_08:59, 09/02/2026 Junior Lopes: Olá Regina bom dia ! Falei com a Bruna na feira _x000a_Desejo sucesso para vocês"/>
    <s v=""/>
    <x v="286"/>
    <n v="62499934000177"/>
    <s v=""/>
    <s v="Marka Textil - Cloud"/>
    <s v="11975444564"/>
    <s v=""/>
    <s v="brunaantonelli@markatextil.com.br"/>
    <s v=""/>
    <s v=""/>
    <s v=""/>
    <s v="GUARAREMA"/>
    <s v="SP"/>
    <s v=""/>
    <s v=""/>
    <s v=""/>
    <s v="80%"/>
    <s v="Pipeline de Vendas"/>
    <s v="Em negociação (75%)"/>
    <s v=""/>
    <d v="2026-02-28T00:00:00"/>
    <n v="1600"/>
    <n v="68466"/>
    <n v="117"/>
    <s v="Junior Lopes"/>
    <d v="2025-10-17T00:00:00"/>
    <d v="1899-12-30T10:12:49"/>
    <s v=""/>
    <s v="Perdido"/>
    <d v="2026-02-11T00:00:00"/>
    <d v="1899-12-30T17:34:29"/>
    <s v="Fechou com o concorrente - preço"/>
    <s v="fechou por preço"/>
    <s v=""/>
    <x v="134"/>
    <s v="Junior Lopes"/>
    <x v="143"/>
    <s v=""/>
    <d v="2026-02-03T00:00:00"/>
    <n v="80"/>
    <s v=""/>
    <s v=""/>
    <s v=""/>
    <s v=""/>
    <n v="1"/>
  </r>
  <r>
    <x v="1"/>
    <n v="656"/>
    <m/>
    <n v="2261"/>
    <s v=""/>
    <s v="Imprime Industria E Comercio De Plasticos Ltda"/>
    <x v="287"/>
    <n v="37905383000157"/>
    <s v=""/>
    <s v="Imprime Industria E Comercio De Plasticos Ltda"/>
    <s v="(11) 4552-8400"/>
    <s v=""/>
    <s v="sac@ascampoli.com.br"/>
    <s v=""/>
    <s v=""/>
    <s v=""/>
    <s v="SAO PAULO"/>
    <s v="SP"/>
    <s v="Base de empresas Leads2b"/>
    <s v=""/>
    <s v=""/>
    <s v=""/>
    <s v="Pipeline de Vendas"/>
    <s v="Apresentar Solução (35%)"/>
    <s v=""/>
    <m/>
    <m/>
    <m/>
    <n v="34"/>
    <s v="Junior Lopes"/>
    <d v="2025-10-22T00:00:00"/>
    <d v="1899-12-30T17:04:38"/>
    <s v=""/>
    <s v="Perdido"/>
    <d v="2025-11-25T00:00:00"/>
    <d v="1899-12-30T16:56:11"/>
    <s v="Não quer mudar a solução atual"/>
    <s v=""/>
    <s v=""/>
    <x v="0"/>
    <s v=""/>
    <x v="0"/>
    <s v=""/>
    <m/>
    <m/>
    <s v=""/>
    <s v=""/>
    <s v=""/>
    <s v=""/>
    <n v="1"/>
  </r>
  <r>
    <x v="1"/>
    <n v="657"/>
    <m/>
    <n v="2659"/>
    <s v=""/>
    <s v=""/>
    <x v="288"/>
    <m/>
    <s v=""/>
    <s v="Jones da Costa Grance"/>
    <s v="(67) 99147-9660"/>
    <s v=""/>
    <s v="distribuidoraprime067@gmail.com"/>
    <s v=""/>
    <s v=""/>
    <s v=""/>
    <s v="Campo Grande"/>
    <s v=""/>
    <s v="Site"/>
    <s v=""/>
    <s v=""/>
    <s v="Solicita demo"/>
    <s v="Pipeline de Vendas"/>
    <s v="Apresentar Solução (35%)"/>
    <s v=""/>
    <m/>
    <n v="38380"/>
    <n v="107526"/>
    <n v="32"/>
    <s v="Paulo Souza"/>
    <d v="2025-10-23T00:00:00"/>
    <d v="1899-12-30T15:08:08"/>
    <s v=""/>
    <s v="Perdido"/>
    <d v="2025-11-24T00:00:00"/>
    <d v="1899-12-30T16:49:44"/>
    <s v="Preço muito alto - fora do budget de investimento"/>
    <s v="cliente não esta no tempo certo, achou investimento muito alto"/>
    <s v=""/>
    <x v="123"/>
    <s v="Junior Lopes"/>
    <x v="144"/>
    <s v=""/>
    <m/>
    <m/>
    <s v=""/>
    <s v=""/>
    <s v=""/>
    <s v=""/>
    <n v="1"/>
  </r>
  <r>
    <x v="1"/>
    <n v="659"/>
    <m/>
    <n v="2680"/>
    <s v=""/>
    <s v=""/>
    <x v="289"/>
    <m/>
    <s v=""/>
    <s v="Karam kaiss"/>
    <s v="(11) 98348-6116"/>
    <s v=""/>
    <s v="mbcontatokaram@gmail.com"/>
    <s v=""/>
    <s v=""/>
    <s v=""/>
    <s v="São Paulo"/>
    <s v=""/>
    <s v="Site"/>
    <s v=""/>
    <s v=""/>
    <s v="Solicita demo"/>
    <s v="Pipeline de Vendas"/>
    <s v="Qualificação de Vendas (SQL) (25%)"/>
    <s v=""/>
    <m/>
    <m/>
    <m/>
    <n v="9"/>
    <s v="Paulo Souza"/>
    <d v="2025-10-27T00:00:00"/>
    <d v="1899-12-30T15:37:34"/>
    <s v=""/>
    <s v="Perdido"/>
    <d v="2025-11-05T00:00:00"/>
    <d v="1899-12-30T09:12:53"/>
    <s v="Nossa solução não atende - falta funcionalidade"/>
    <s v="cliente busca apenas módulo de compras"/>
    <s v=""/>
    <x v="0"/>
    <s v="Junior Lopes"/>
    <x v="0"/>
    <s v=""/>
    <m/>
    <m/>
    <s v=""/>
    <s v=""/>
    <s v=""/>
    <s v=""/>
    <n v="1"/>
  </r>
  <r>
    <x v="1"/>
    <n v="662"/>
    <m/>
    <n v="2684"/>
    <s v="(16/01/2026) Bruno decidiu por não fazer o investimento nesse momento ! esta estruturando a equipe de vendas"/>
    <s v="Sevilha Comercio Internacional Ltda"/>
    <x v="290"/>
    <n v="44628219000105"/>
    <s v=""/>
    <s v="Sevilha Comercio Internacional Ltda"/>
    <s v="(11) 4115-0797"/>
    <s v=""/>
    <s v="diego@gruposevilha.com"/>
    <s v=""/>
    <s v=""/>
    <s v=""/>
    <s v="NAVEGANTES"/>
    <s v="SC"/>
    <s v="Base de empresas Leads2b"/>
    <s v=""/>
    <s v=""/>
    <s v="30%"/>
    <s v="Pipeline de Vendas"/>
    <s v="Em negociação (75%)"/>
    <s v=""/>
    <d v="2026-01-30T00:00:00"/>
    <n v="38380"/>
    <n v="107526"/>
    <n v="80"/>
    <s v="Junior Lopes"/>
    <d v="2025-10-28T00:00:00"/>
    <d v="1899-12-30T10:15:43"/>
    <s v=""/>
    <s v="Perdido"/>
    <d v="2026-01-16T00:00:00"/>
    <d v="1899-12-30T15:59:13"/>
    <s v="Não houve aprovação financeira"/>
    <s v="(16/01/2026) Bruno decidiu por não fazer o investimento nesse momento ! esta estruturando a equipe de vendas"/>
    <s v=""/>
    <x v="135"/>
    <s v=""/>
    <x v="145"/>
    <s v=""/>
    <d v="2026-01-16T00:00:00"/>
    <m/>
    <s v=""/>
    <s v=""/>
    <s v=""/>
    <s v=""/>
    <n v="1"/>
  </r>
  <r>
    <x v="1"/>
    <n v="665"/>
    <m/>
    <n v="2692"/>
    <s v="(16/01/2026) Bruno decidiu por não fazer o investimento nesse momento ! esta estruturando a equipe de vendas"/>
    <s v=""/>
    <x v="291"/>
    <m/>
    <s v=""/>
    <s v="Sevilha Trade - Cloud"/>
    <s v="1141150797"/>
    <s v=""/>
    <s v="diego@gruposevilha.com"/>
    <s v=""/>
    <s v=""/>
    <s v=""/>
    <s v=""/>
    <s v=""/>
    <s v=""/>
    <s v=""/>
    <s v=""/>
    <s v="30%"/>
    <s v="Pipeline de Vendas"/>
    <s v="Em negociação (75%)"/>
    <s v=""/>
    <d v="2026-01-30T00:00:00"/>
    <n v="1600"/>
    <n v="2174"/>
    <n v="79"/>
    <s v="Junior Lopes"/>
    <d v="2025-10-29T00:00:00"/>
    <d v="1899-12-30T17:01:18"/>
    <s v=""/>
    <s v="Perdido"/>
    <d v="2026-01-16T00:00:00"/>
    <d v="1899-12-30T16:00:32"/>
    <s v="Não houve aprovação financeira"/>
    <s v="(16/01/2026) Bruno decidiu por não fazer o investimento nesse momento ! esta estruturando a equipe de vendas"/>
    <s v=""/>
    <x v="135"/>
    <s v=""/>
    <x v="145"/>
    <s v=""/>
    <d v="2026-01-16T00:00:00"/>
    <m/>
    <s v=""/>
    <s v=""/>
    <s v=""/>
    <s v=""/>
    <n v="1"/>
  </r>
  <r>
    <x v="1"/>
    <n v="667"/>
    <m/>
    <n v="2698"/>
    <s v=""/>
    <s v=""/>
    <x v="292"/>
    <m/>
    <s v=""/>
    <s v="Distribuidora Prime - Cloud"/>
    <s v="67991479660"/>
    <s v=""/>
    <s v="distribuidoraprime067@gmail.com"/>
    <s v=""/>
    <s v=""/>
    <s v=""/>
    <s v=""/>
    <s v=""/>
    <s v=""/>
    <s v=""/>
    <s v=""/>
    <s v=""/>
    <s v="Pipeline de Vendas"/>
    <s v="Apresentar Solução (35%)"/>
    <s v=""/>
    <m/>
    <n v="1600"/>
    <n v="21746"/>
    <n v="25"/>
    <s v="Junior Lopes"/>
    <d v="2025-10-30T00:00:00"/>
    <d v="1899-12-30T10:55:07"/>
    <s v=""/>
    <s v="Perdido"/>
    <d v="2025-11-24T00:00:00"/>
    <d v="1899-12-30T16:50:34"/>
    <s v="Preço muito alto - fora do budget de investimento"/>
    <s v="cliente não esta no tempo certo, achou investimento muito alto"/>
    <s v=""/>
    <x v="123"/>
    <s v=""/>
    <x v="144"/>
    <s v=""/>
    <m/>
    <m/>
    <s v=""/>
    <s v=""/>
    <s v=""/>
    <s v=""/>
    <n v="1"/>
  </r>
  <r>
    <x v="1"/>
    <n v="669"/>
    <m/>
    <n v="2718"/>
    <s v=""/>
    <s v=""/>
    <x v="293"/>
    <m/>
    <s v=""/>
    <s v="Tritec - Proposta Web"/>
    <s v="4791025652"/>
    <s v=""/>
    <s v="null"/>
    <s v=""/>
    <s v=""/>
    <s v=""/>
    <s v=""/>
    <s v=""/>
    <s v=""/>
    <s v=""/>
    <s v=""/>
    <s v=""/>
    <s v="Pipeline de Vendas"/>
    <s v="Apresentar Proposta (50%)"/>
    <s v=""/>
    <m/>
    <n v="0"/>
    <n v="2185"/>
    <n v="26"/>
    <s v="Junior Lopes"/>
    <d v="2025-10-31T00:00:00"/>
    <d v="1899-12-30T11:46:34"/>
    <s v=""/>
    <s v="Perdido"/>
    <d v="2025-11-26T00:00:00"/>
    <d v="1899-12-30T14:03:26"/>
    <s v="Projeto adiado / sem prazo definido"/>
    <s v="por enquanto nao vai adicionar proposta web"/>
    <s v=""/>
    <x v="133"/>
    <s v=""/>
    <x v="146"/>
    <s v=""/>
    <m/>
    <m/>
    <s v=""/>
    <s v=""/>
    <s v=""/>
    <s v=""/>
    <n v="1"/>
  </r>
  <r>
    <x v="2"/>
    <n v="672"/>
    <m/>
    <n v="2729"/>
    <s v="Realizei hoje, 12/12/2025, a apresentação do AFV para os gerentes comerciais e atualizei a proposta com os valores de licença do APP. O próximo passo será negociar a proposta, o que deve ocorrer somente na primeira quinzena de janeiro._x000a_05.02 Iniciaram a importação agora,previsão permace para março_x000a_18.03 tinham previsão para iniciar as importações, mas ainda não deu certo, retomar o contato daqui 3 meses"/>
    <s v=""/>
    <x v="294"/>
    <m/>
    <s v=""/>
    <s v="Lucas Pivetta"/>
    <s v="15996012600"/>
    <s v=""/>
    <s v="null"/>
    <s v=""/>
    <s v=""/>
    <s v=""/>
    <s v=""/>
    <s v=""/>
    <s v="Indicação"/>
    <s v=""/>
    <s v=""/>
    <s v="50%"/>
    <s v="Pipeline de Vendas"/>
    <s v="Em negociação (75%)"/>
    <s v=""/>
    <d v="2026-06-30T00:00:00"/>
    <n v="46200"/>
    <n v="146047"/>
    <n v="191"/>
    <s v="Rayssa Karapeticov"/>
    <d v="2025-11-03T00:00:00"/>
    <d v="1899-12-30T15:43:05"/>
    <s v=""/>
    <s v="Perdido"/>
    <d v="2026-05-13T00:00:00"/>
    <d v="1899-12-30T09:39:49"/>
    <s v="Projeto adiado / sem prazo definido"/>
    <s v=""/>
    <s v=""/>
    <x v="136"/>
    <s v="Rayssa Karapeticov"/>
    <x v="147"/>
    <s v="12/12/2025"/>
    <d v="2026-03-16T00:00:00"/>
    <n v="50"/>
    <s v=""/>
    <s v=""/>
    <s v=""/>
    <s v=""/>
    <n v="1"/>
  </r>
  <r>
    <x v="0"/>
    <n v="673"/>
    <m/>
    <n v="2730"/>
    <s v="Feito vários contatos com o cliente sem sucesso. _x000a_12/01/2026_x000a_23-01 Fiz Fups com o Jairo hoje para saber se ele vai seguir ou não com o projeto. Caso não me responda vou encerrar a oportunidade , prazo 31/01._x000a_06/02 Fiz FUP com  o Jairo e por falta de interesse estou declinando a proposta._x000a_07/02 Jairo me respondeu e avisou que vai implantar o Totvs lá. E futuramente retorna a falar comigo sobre Força de Venda."/>
    <s v=""/>
    <x v="295"/>
    <n v="22949063000121"/>
    <s v=""/>
    <s v="MEDIHOSP"/>
    <s v="(11) 2506-6323/ (11) 2506-6589"/>
    <s v=""/>
    <s v="medihosp@medihosp.com.br"/>
    <s v=""/>
    <s v=""/>
    <s v=""/>
    <s v="SAO PAULO"/>
    <s v="SP"/>
    <s v="Outbound"/>
    <s v=""/>
    <s v=""/>
    <s v="30%"/>
    <s v="Pipeline de Vendas"/>
    <s v="Em negociação (75%)"/>
    <s v=""/>
    <d v="2026-01-31T00:00:00"/>
    <n v="20000"/>
    <n v="5880"/>
    <n v="94"/>
    <s v="Paulo Souza"/>
    <d v="2025-11-05T00:00:00"/>
    <d v="1899-12-30T10:49:02"/>
    <s v=""/>
    <s v="Perdido"/>
    <d v="2026-02-07T00:00:00"/>
    <d v="1899-12-30T08:42:30"/>
    <s v="Fechou com o concorrente - preço"/>
    <s v="07/02 Jairo me respondeu e avisou que vai implantar o Totvs lá. E futuramente retorna a falar comigo sobre Força de Venda."/>
    <s v=""/>
    <x v="137"/>
    <s v="Paulo Souza"/>
    <x v="148"/>
    <s v=""/>
    <d v="2026-01-23T00:00:00"/>
    <n v="30"/>
    <s v=""/>
    <s v=""/>
    <s v=""/>
    <s v=""/>
    <n v="1"/>
  </r>
  <r>
    <x v="1"/>
    <n v="674"/>
    <m/>
    <n v="2733"/>
    <s v=""/>
    <s v="Salopet Embalagens Plasticas Ltda"/>
    <x v="296"/>
    <n v="4911908000370"/>
    <s v=""/>
    <s v="Salopet Embalagens Plasticas Ltda"/>
    <s v="(11) 2575-1800"/>
    <s v=""/>
    <s v="paralegal10@mgcontecnica.com.br"/>
    <s v=""/>
    <s v=""/>
    <s v=""/>
    <s v="EMBU DAS ARTES"/>
    <s v="SP"/>
    <s v="Base de empresas Leads2b"/>
    <s v=""/>
    <s v=""/>
    <s v=""/>
    <s v="Pipeline de Vendas"/>
    <s v="Apresentar Proposta (50%)"/>
    <s v=""/>
    <m/>
    <n v="81786"/>
    <n v="914979"/>
    <n v="21"/>
    <s v="Junior Lopes"/>
    <d v="2025-11-05T00:00:00"/>
    <d v="1899-12-30T15:31:21"/>
    <s v=""/>
    <s v="Perdido"/>
    <d v="2025-11-26T00:00:00"/>
    <d v="1899-12-30T12:30:08"/>
    <s v="Não quer mudar a solução atual"/>
    <s v="estou descartando por falta de atividades do André, já agendou varias vezes e não aparece nas reuniões _x000a_Fala chefe, boa tarde _x000a_Está uma loucura esse final de ano_x000a_Mais vamos lá_x000a_Hoje uso o sistema Areco ele é gigante e tem tudo o que precisamos mais está em falta com o suporte e o preço está ficando alto_x000a_Vou tentar finalizar algumas coisa e na sexta-feira na parte da manhã estarei mais tranquilo ai chamo pra que possamos conversar"/>
    <s v=""/>
    <x v="134"/>
    <s v=""/>
    <x v="149"/>
    <s v=""/>
    <m/>
    <m/>
    <s v=""/>
    <s v=""/>
    <s v=""/>
    <s v=""/>
    <n v="1"/>
  </r>
  <r>
    <x v="1"/>
    <n v="680"/>
    <m/>
    <n v="2755"/>
    <s v=""/>
    <s v=""/>
    <x v="297"/>
    <m/>
    <s v=""/>
    <s v="Tecelegam Castilho - MDFe"/>
    <s v="62993609476"/>
    <s v=""/>
    <s v="dayane.tecelagemcastilho@gmail.com"/>
    <s v=""/>
    <s v=""/>
    <s v=""/>
    <s v=""/>
    <s v=""/>
    <s v=""/>
    <s v=""/>
    <s v=""/>
    <s v=""/>
    <s v="Pipeline de Vendas"/>
    <s v="Em Fechamento (100%)"/>
    <s v=""/>
    <m/>
    <n v="0"/>
    <n v="3564"/>
    <n v="13"/>
    <s v="Junior Lopes"/>
    <d v="2025-11-12T00:00:00"/>
    <d v="1899-12-30T10:20:21"/>
    <s v=""/>
    <s v="Ganho"/>
    <d v="2025-11-25T00:00:00"/>
    <d v="1899-12-30T15:23:44"/>
    <s v=""/>
    <s v=""/>
    <s v=""/>
    <x v="138"/>
    <s v=""/>
    <x v="149"/>
    <s v=""/>
    <m/>
    <m/>
    <s v=""/>
    <s v=""/>
    <s v=""/>
    <s v=""/>
    <n v="1"/>
  </r>
  <r>
    <x v="1"/>
    <n v="681"/>
    <m/>
    <n v="2756"/>
    <s v="O projeto já está fechado e o contrato está com o cliente aguardando assinatura. O follow-up está sendo feito diariamente e a previsão de fechamento é até 19/12/2025."/>
    <s v=""/>
    <x v="298"/>
    <n v="43252675000130"/>
    <s v=""/>
    <s v="Atacadão MOntebello"/>
    <s v="(19) 3377-2746 / (19) 3426-1450"/>
    <s v=""/>
    <s v="administracao@atacadaoamontebello.com.br"/>
    <s v=""/>
    <s v=""/>
    <s v=""/>
    <s v="PIRACICABA"/>
    <s v="SP"/>
    <s v=""/>
    <s v=""/>
    <s v=""/>
    <s v="80%"/>
    <s v="Pipeline de Vendas"/>
    <s v="Em Fechamento (100%)"/>
    <s v=""/>
    <d v="2025-12-31T00:00:00"/>
    <n v="22000"/>
    <n v="1800"/>
    <n v="54"/>
    <s v="Junior Lopes"/>
    <d v="2025-11-12T00:00:00"/>
    <d v="1899-12-30T14:32:23"/>
    <s v=""/>
    <s v="Ganho"/>
    <d v="2026-01-05T00:00:00"/>
    <d v="1899-12-30T14:51:32"/>
    <s v=""/>
    <s v=""/>
    <s v=""/>
    <x v="138"/>
    <s v="Junior Lopes"/>
    <x v="149"/>
    <s v="28/11/2025"/>
    <d v="2025-12-12T00:00:00"/>
    <m/>
    <s v=""/>
    <s v=""/>
    <s v=""/>
    <s v=""/>
    <n v="1"/>
  </r>
  <r>
    <x v="1"/>
    <n v="684"/>
    <m/>
    <n v="2760"/>
    <s v=""/>
    <s v=""/>
    <x v="299"/>
    <m/>
    <s v=""/>
    <s v="NewBaby - ERP"/>
    <s v="11979734057"/>
    <s v=""/>
    <s v="dani@3lrepresentacoes.com.br"/>
    <s v=""/>
    <s v=""/>
    <s v=""/>
    <s v=""/>
    <s v=""/>
    <s v=""/>
    <s v=""/>
    <s v=""/>
    <s v="30%"/>
    <s v="Pipeline de Vendas"/>
    <s v="Apresentar Proposta (50%)"/>
    <s v=""/>
    <m/>
    <n v="106400"/>
    <n v="1419164"/>
    <n v="13"/>
    <s v="Junior Lopes"/>
    <d v="2025-11-13T00:00:00"/>
    <d v="1899-12-30T12:09:17"/>
    <s v=""/>
    <s v="Perdido"/>
    <d v="2025-11-26T00:00:00"/>
    <d v="1899-12-30T12:48:22"/>
    <s v="Projeto adiado / sem prazo definido"/>
    <s v="Em contato com Dani ! _x000a_eles só queriam a priori uma estimativa de investimento nas soluções Guarani ! a ideia é aos poucos convencer a Giselia na troca do sistema"/>
    <s v=""/>
    <x v="139"/>
    <s v=""/>
    <x v="150"/>
    <s v=""/>
    <m/>
    <m/>
    <s v=""/>
    <s v=""/>
    <s v=""/>
    <s v=""/>
    <n v="1"/>
  </r>
  <r>
    <x v="2"/>
    <n v="685"/>
    <m/>
    <n v="2761"/>
    <s v=""/>
    <s v="Kitay Industria E Comercio De Alimentos Ltda"/>
    <x v="300"/>
    <n v="42517186000109"/>
    <s v=""/>
    <s v="Kitay Industria E Comercio De Alimentos Ltda"/>
    <s v="(11) 4018-3764"/>
    <s v=""/>
    <s v="claudiorcsalles@gmail.com"/>
    <s v=""/>
    <s v=""/>
    <s v=""/>
    <s v="VARGEM GRANDE PAULISTA"/>
    <s v="SP"/>
    <s v="Base de empresas Leads2b"/>
    <s v=""/>
    <s v=""/>
    <s v=""/>
    <s v="Pipeline de Vendas"/>
    <s v="Agendamento (0%)"/>
    <s v=""/>
    <m/>
    <m/>
    <m/>
    <n v="0"/>
    <s v="Rayssa Karapeticov"/>
    <d v="2025-11-13T00:00:00"/>
    <d v="1899-12-30T16:09:55"/>
    <s v=""/>
    <s v="Perdido"/>
    <d v="2025-11-13T00:00:00"/>
    <d v="1899-12-30T16:12:25"/>
    <s v="Preço muito alto - fora do budget de investimento"/>
    <s v=""/>
    <s v=""/>
    <x v="0"/>
    <s v="Rayssa Karapeticov"/>
    <x v="0"/>
    <s v=""/>
    <m/>
    <m/>
    <s v=""/>
    <s v=""/>
    <s v=""/>
    <s v=""/>
    <n v="1"/>
  </r>
  <r>
    <x v="1"/>
    <n v="690"/>
    <m/>
    <n v="2872"/>
    <s v=""/>
    <s v=""/>
    <x v="301"/>
    <m/>
    <s v=""/>
    <s v="MDL - WMS"/>
    <s v="11910695515"/>
    <s v=""/>
    <s v="null"/>
    <s v=""/>
    <s v=""/>
    <s v=""/>
    <s v=""/>
    <s v=""/>
    <s v=""/>
    <s v=""/>
    <s v=""/>
    <s v="90%"/>
    <s v="Pipeline de Vendas"/>
    <s v="Em Fechamento (100%)"/>
    <s v=""/>
    <d v="2025-11-26T00:00:00"/>
    <n v="0"/>
    <n v="114048"/>
    <n v="16"/>
    <s v="Junior Lopes"/>
    <d v="2025-11-24T00:00:00"/>
    <d v="1899-12-30T16:53:16"/>
    <s v=""/>
    <s v="Ganho"/>
    <d v="2025-12-10T00:00:00"/>
    <d v="1899-12-30T10:14:04"/>
    <s v=""/>
    <s v=""/>
    <s v=""/>
    <x v="140"/>
    <s v=""/>
    <x v="151"/>
    <s v=""/>
    <m/>
    <m/>
    <s v=""/>
    <s v=""/>
    <s v=""/>
    <s v=""/>
    <n v="1"/>
  </r>
  <r>
    <x v="1"/>
    <n v="692"/>
    <m/>
    <n v="2880"/>
    <s v=""/>
    <s v=""/>
    <x v="302"/>
    <m/>
    <s v=""/>
    <s v="NewBaby - Cloud"/>
    <s v="11979734057"/>
    <s v=""/>
    <s v="dani@3lrepresentacoes.com.br"/>
    <s v=""/>
    <s v=""/>
    <s v=""/>
    <s v=""/>
    <s v=""/>
    <s v=""/>
    <s v=""/>
    <s v=""/>
    <s v="30%"/>
    <s v="Pipeline de Vendas"/>
    <s v="Apresentar Proposta (50%)"/>
    <s v=""/>
    <m/>
    <n v="1600"/>
    <n v="860304"/>
    <n v="1"/>
    <s v="Junior Lopes"/>
    <d v="2025-11-25T00:00:00"/>
    <d v="1899-12-30T15:03:40"/>
    <s v=""/>
    <s v="Perdido"/>
    <d v="2025-11-26T00:00:00"/>
    <d v="1899-12-30T12:49:30"/>
    <s v="Projeto adiado / sem prazo definido"/>
    <s v="Em contato com Dani ! _x000a_eles só queriam a priori uma estimativa de investimento nas soluções Guarani ! a ideia é aos poucos convencer a Giselia na troca do sistema"/>
    <s v=""/>
    <x v="139"/>
    <s v=""/>
    <x v="150"/>
    <s v=""/>
    <m/>
    <m/>
    <s v=""/>
    <s v=""/>
    <s v=""/>
    <s v=""/>
    <n v="1"/>
  </r>
  <r>
    <x v="1"/>
    <n v="693"/>
    <m/>
    <n v="2881"/>
    <s v=""/>
    <s v=""/>
    <x v="303"/>
    <m/>
    <s v=""/>
    <s v="Baag - Incl.CNPJ"/>
    <s v="7530217768"/>
    <s v=""/>
    <s v="null"/>
    <s v=""/>
    <s v=""/>
    <s v=""/>
    <s v=""/>
    <s v=""/>
    <s v=""/>
    <s v=""/>
    <s v=""/>
    <s v=""/>
    <s v="Pipeline de Vendas"/>
    <s v="Agendamento (0%)"/>
    <s v=""/>
    <m/>
    <n v="330714"/>
    <n v="0"/>
    <n v="0"/>
    <s v="Junior Lopes"/>
    <d v="2025-11-25T00:00:00"/>
    <d v="1899-12-30T15:44:44"/>
    <s v=""/>
    <s v="Ganho"/>
    <d v="2025-11-25T00:00:00"/>
    <d v="1899-12-30T15:47:26"/>
    <s v=""/>
    <s v=""/>
    <s v=""/>
    <x v="141"/>
    <s v=""/>
    <x v="152"/>
    <s v=""/>
    <m/>
    <m/>
    <s v=""/>
    <s v=""/>
    <s v=""/>
    <s v=""/>
    <n v="1"/>
  </r>
  <r>
    <x v="1"/>
    <n v="694"/>
    <m/>
    <n v="2882"/>
    <s v=""/>
    <s v=""/>
    <x v="304"/>
    <m/>
    <s v=""/>
    <s v="E.S Maia"/>
    <s v="11969325678"/>
    <s v=""/>
    <s v="null"/>
    <s v=""/>
    <s v=""/>
    <s v=""/>
    <s v=""/>
    <s v=""/>
    <s v=""/>
    <s v=""/>
    <s v=""/>
    <s v="30%"/>
    <s v="Pipeline de Vendas"/>
    <s v="Apresentar Proposta (50%)"/>
    <s v=""/>
    <d v="2026-01-01T00:00:00"/>
    <n v="16960"/>
    <n v="450"/>
    <n v="15"/>
    <s v="Junior Lopes"/>
    <d v="2025-11-25T00:00:00"/>
    <d v="1899-12-30T15:59:24"/>
    <s v=""/>
    <s v="Perdido"/>
    <d v="2025-12-10T00:00:00"/>
    <d v="1899-12-30T09:26:00"/>
    <s v="Projeto adiado / sem prazo definido"/>
    <s v="nao esta no momento certo"/>
    <s v=""/>
    <x v="134"/>
    <s v=""/>
    <x v="143"/>
    <s v=""/>
    <m/>
    <m/>
    <s v=""/>
    <s v=""/>
    <s v=""/>
    <s v=""/>
    <n v="1"/>
  </r>
  <r>
    <x v="1"/>
    <n v="695"/>
    <m/>
    <n v="2883"/>
    <s v=""/>
    <s v=""/>
    <x v="305"/>
    <n v="57524096000104"/>
    <s v=""/>
    <s v="Phabllo Parambu Atacado - ERP"/>
    <s v="88996365702"/>
    <s v=""/>
    <s v="phabllo2022@gmail.com"/>
    <s v=""/>
    <s v=""/>
    <s v=""/>
    <s v="COCAL"/>
    <s v="PI"/>
    <s v=""/>
    <s v=""/>
    <s v=""/>
    <s v="30%"/>
    <s v="Pipeline de Vendas"/>
    <s v="Apresentar Solução (35%)"/>
    <s v=""/>
    <m/>
    <m/>
    <m/>
    <n v="8"/>
    <s v="Junior Lopes"/>
    <d v="2025-11-25T00:00:00"/>
    <d v="1899-12-30T16:25:17"/>
    <s v=""/>
    <s v="Perdido"/>
    <d v="2025-12-03T00:00:00"/>
    <d v="1899-12-30T15:53:51"/>
    <s v="Projeto adiado / sem prazo definido"/>
    <s v="Cliente não tem tempo para fazermos apresentação"/>
    <s v=""/>
    <x v="142"/>
    <s v=""/>
    <x v="153"/>
    <s v=""/>
    <m/>
    <m/>
    <s v=""/>
    <s v=""/>
    <s v=""/>
    <s v=""/>
    <n v="1"/>
  </r>
  <r>
    <x v="1"/>
    <n v="696"/>
    <m/>
    <n v="2885"/>
    <s v=""/>
    <s v=""/>
    <x v="306"/>
    <n v="57524096000104"/>
    <s v=""/>
    <s v="Phabllo Parambu Atacado - Cloud"/>
    <s v="88996365702"/>
    <s v=""/>
    <s v="phabllo2022@gmail.com"/>
    <s v=""/>
    <s v=""/>
    <s v=""/>
    <s v=""/>
    <s v=""/>
    <s v=""/>
    <s v=""/>
    <s v=""/>
    <s v="30%"/>
    <s v="Pipeline de Vendas"/>
    <s v="Apresentar Solução (35%)"/>
    <s v=""/>
    <m/>
    <m/>
    <m/>
    <n v="8"/>
    <s v="Junior Lopes"/>
    <d v="2025-11-25T00:00:00"/>
    <d v="1899-12-30T16:48:26"/>
    <s v=""/>
    <s v="Perdido"/>
    <d v="2025-12-03T00:00:00"/>
    <d v="1899-12-30T15:53:19"/>
    <s v="Projeto adiado / sem prazo definido"/>
    <s v="Cliente não tem tempo para fazermos apresentação"/>
    <s v=""/>
    <x v="142"/>
    <s v=""/>
    <x v="153"/>
    <s v=""/>
    <m/>
    <m/>
    <s v=""/>
    <s v=""/>
    <s v=""/>
    <s v=""/>
    <n v="1"/>
  </r>
  <r>
    <x v="1"/>
    <n v="697"/>
    <m/>
    <n v="2887"/>
    <s v=""/>
    <s v=""/>
    <x v="307"/>
    <m/>
    <s v=""/>
    <s v="Salopet Embalagens Plasticas - Cloud"/>
    <s v="1125751800"/>
    <s v=""/>
    <s v="paralegal10@mgcontecnica.com.br"/>
    <s v=""/>
    <s v=""/>
    <s v=""/>
    <s v=""/>
    <s v=""/>
    <s v=""/>
    <s v=""/>
    <s v=""/>
    <s v=""/>
    <s v="Pipeline de Vendas"/>
    <s v="Apresentar Solução (35%)"/>
    <s v=""/>
    <m/>
    <n v="1600"/>
    <n v="335607"/>
    <n v="1"/>
    <s v="Junior Lopes"/>
    <d v="2025-11-25T00:00:00"/>
    <d v="1899-12-30T17:07:06"/>
    <s v=""/>
    <s v="Perdido"/>
    <d v="2025-11-26T00:00:00"/>
    <d v="1899-12-30T12:32:26"/>
    <s v="Não quer mudar a solução atual"/>
    <s v="estou descartando por falta de atividades do André, já agendou varias vezes e não aparece nas reuniões _x000a_Fala chefe, boa tarde _x000a_Está uma loucura esse final de ano_x000a_Mais vamos lá_x000a_Hoje uso o sistema Areco ele é gigante e tem tudo o que precisamos mais está em falta com o suporte e o preço está ficando alto_x000a_Vou tentar finalizar algumas coisa e na sexta-feira na parte da manhã estarei mais tranquilo ai chamo pra que possamos conversar"/>
    <s v=""/>
    <x v="134"/>
    <s v=""/>
    <x v="149"/>
    <s v=""/>
    <m/>
    <m/>
    <s v=""/>
    <s v=""/>
    <s v=""/>
    <s v=""/>
    <n v="1"/>
  </r>
  <r>
    <x v="0"/>
    <n v="700"/>
    <m/>
    <n v="2874"/>
    <s v=""/>
    <s v=""/>
    <x v="308"/>
    <m/>
    <s v=""/>
    <s v="Samuel Ferreira"/>
    <s v="(38) 99741-8594"/>
    <s v=""/>
    <s v="lojastem.financeiro@gmail.com"/>
    <s v=""/>
    <s v=""/>
    <s v=""/>
    <s v="Montes Claros"/>
    <s v=""/>
    <s v="Site"/>
    <s v=""/>
    <s v=""/>
    <s v="30%;Solicita demo"/>
    <s v="Pipeline de Vendas"/>
    <s v="Apresentar Proposta (50%)"/>
    <s v=""/>
    <d v="2026-01-31T00:00:00"/>
    <m/>
    <m/>
    <n v="14"/>
    <s v="Paulo Souza"/>
    <d v="2025-11-26T00:00:00"/>
    <d v="1899-12-30T11:24:38"/>
    <s v=""/>
    <s v="Perdido"/>
    <d v="2025-12-10T00:00:00"/>
    <d v="1899-12-30T23:13:47"/>
    <s v="Não houve aprovação financeira"/>
    <s v=""/>
    <s v=""/>
    <x v="143"/>
    <s v="Paulo Souza"/>
    <x v="154"/>
    <s v=""/>
    <m/>
    <m/>
    <s v=""/>
    <s v=""/>
    <s v=""/>
    <s v=""/>
    <n v="1"/>
  </r>
  <r>
    <x v="0"/>
    <n v="701"/>
    <m/>
    <n v="2829"/>
    <s v="Cobrei a Luciana sobre a sequência do projeto ou não (09/01/2026)_x000a_23/01 - Fiz FUPs hoje com a Lucimeire, chamando ela para retomar as negociações, aguardar ele responder para saber se vamos seguir ou não? R: Ela retornou avisando que a negociação está pausada por enquanto."/>
    <s v=""/>
    <x v="309"/>
    <n v="5825017000100"/>
    <s v=""/>
    <s v="Lucimeire Jardim"/>
    <s v="(17) 99270-5941"/>
    <s v=""/>
    <s v="gerencia.adm@belaflor.com.br"/>
    <s v=""/>
    <s v=""/>
    <s v=""/>
    <s v="São José do Rio Preto"/>
    <s v=""/>
    <s v="Site"/>
    <s v=""/>
    <s v=""/>
    <s v="30%;Pausado;Solicita demo"/>
    <s v="Pipeline de Vendas"/>
    <s v="Em negociação (75%)"/>
    <s v=""/>
    <d v="2026-03-31T00:00:00"/>
    <n v="130600"/>
    <n v="1680982"/>
    <n v="173"/>
    <s v="Paulo Souza"/>
    <d v="2025-11-26T00:00:00"/>
    <d v="1899-12-30T11:25:27"/>
    <s v=""/>
    <s v="Perdido"/>
    <d v="2026-05-18T00:00:00"/>
    <d v="1899-12-30T16:51:17"/>
    <s v="Projeto adiado / sem prazo definido"/>
    <s v=""/>
    <s v=""/>
    <x v="143"/>
    <s v="Paulo Souza"/>
    <x v="154"/>
    <s v=""/>
    <d v="2026-03-31T00:00:00"/>
    <n v="30"/>
    <s v="653"/>
    <s v="ERP, AFV, BI, WMS"/>
    <s v="R$ 130.600"/>
    <s v="R$ 16.809,82"/>
    <n v="1"/>
  </r>
  <r>
    <x v="0"/>
    <n v="702"/>
    <m/>
    <n v="2890"/>
    <s v="Falei com Rodrigo CFO, e vamos negociar a proposta na semana do dia 12/01/2025._x000a_Falei hoje 12/01 com Rodrigo cobrando um aposição dele._x000a_14/01 - Hoje o Jeferson TI me ligou avisando que a diretoria reprovou o valor mensal. Porém a equipe interna gostou muito do sistema e esta batalhando para seguir. Com isso ele apresentou um valor base de R$60,00 por usuário estou estudando uma estratégia para responder. Acionei o Fábio._x000a_19/01: No dia 15/01 foi resolvido a questão da proposta. A pendência agora é em relação a integração com Sênior, ou seja, Jeferson esta fazendo orçamento com pessoal da Sênior, só após daremos andamento. Previsto uma conversa para sexta-feira próxima, dia 23/01."/>
    <s v=""/>
    <x v="310"/>
    <m/>
    <s v=""/>
    <s v="Wellington"/>
    <s v="43996624014"/>
    <s v=""/>
    <s v="null"/>
    <s v=""/>
    <s v=""/>
    <s v=""/>
    <s v=""/>
    <s v=""/>
    <s v=""/>
    <s v=""/>
    <s v=""/>
    <s v="90%;Fabio Indica"/>
    <s v="Pipeline de Vendas"/>
    <s v="Em Fechamento (100%)"/>
    <s v=""/>
    <d v="2026-01-31T00:00:00"/>
    <n v="16000"/>
    <n v="5880"/>
    <n v="57"/>
    <s v="Paulo Souza"/>
    <d v="2025-11-26T00:00:00"/>
    <d v="1899-12-30T11:28:10"/>
    <s v=""/>
    <s v="Perdido"/>
    <d v="2026-01-22T00:00:00"/>
    <d v="1899-12-30T16:27:10"/>
    <s v="Não houve aprovação financeira"/>
    <s v="A diretoria não aprovou o projeto devido o total da implantação ficar na casa dos 32k. Somando o projeto do Sênior 15-20k e Guarani 16k"/>
    <s v=""/>
    <x v="144"/>
    <s v="Paulo Souza"/>
    <x v="155"/>
    <s v=""/>
    <d v="2026-01-09T00:00:00"/>
    <m/>
    <s v=""/>
    <s v=""/>
    <s v=""/>
    <s v=""/>
    <n v="1"/>
  </r>
  <r>
    <x v="0"/>
    <n v="703"/>
    <m/>
    <n v="2891"/>
    <s v="Falei hoje com o Abdallah, o mesmo esta fora do Brasil. Combinamos de falar na sua volta que é em 15/01/2026!_x000a_23/01 - Após conversa com o Abdallah, o mesmo ainda continua fora do brasil e em nossa conversa falou que não tem resposta se vai ou não mudar. Com base no histórico das conversa ele não tem interesse de mudança no curto prazo. Sendo assim, estou declinando a proposta e futuramente voltamos a falar."/>
    <s v=""/>
    <x v="311"/>
    <n v="7728812000105"/>
    <s v=""/>
    <s v="Abdallah"/>
    <s v="(11) 3228-9751"/>
    <s v=""/>
    <s v="aihfinanceiro@gmail.com"/>
    <s v=""/>
    <s v=""/>
    <s v=""/>
    <s v="SAO PAULO"/>
    <s v="SP"/>
    <s v=""/>
    <s v=""/>
    <s v=""/>
    <s v="30%"/>
    <s v="Pipeline de Vendas"/>
    <s v="Em negociação (75%)"/>
    <s v=""/>
    <d v="2026-01-23T00:00:00"/>
    <n v="72000"/>
    <n v="8045"/>
    <n v="58"/>
    <s v="Paulo Souza"/>
    <d v="2025-11-26T00:00:00"/>
    <d v="1899-12-30T11:30:14"/>
    <s v=""/>
    <s v="Perdido"/>
    <d v="2026-01-23T00:00:00"/>
    <d v="1899-12-30T11:38:34"/>
    <s v="Projeto adiado / sem prazo definido"/>
    <s v=""/>
    <s v=""/>
    <x v="48"/>
    <s v="Paulo Souza"/>
    <x v="156"/>
    <s v=""/>
    <d v="2026-01-23T00:00:00"/>
    <m/>
    <s v=""/>
    <s v=""/>
    <s v=""/>
    <s v=""/>
    <n v="1"/>
  </r>
  <r>
    <x v="0"/>
    <n v="704"/>
    <m/>
    <n v="2894"/>
    <s v="Hoje foi realizada a apresentação do PDV do ERP ao cliente. O fechamento está previsto para ocorrer até 19/12/2025."/>
    <s v=""/>
    <x v="312"/>
    <n v="3761404000196"/>
    <s v=""/>
    <s v="Jose Eduardo"/>
    <s v="(19) 3492-9944"/>
    <s v=""/>
    <s v="adm@plastcap.com.br"/>
    <s v=""/>
    <s v=""/>
    <s v=""/>
    <s v="CAPIVARI"/>
    <s v="SP"/>
    <s v=""/>
    <s v=""/>
    <s v=""/>
    <s v="90%"/>
    <s v="Pipeline de Vendas"/>
    <s v="Em Fechamento (100%)"/>
    <s v=""/>
    <d v="2026-01-15T00:00:00"/>
    <n v="17829"/>
    <n v="83997"/>
    <n v="44"/>
    <s v="Paulo Souza"/>
    <d v="2025-11-26T00:00:00"/>
    <d v="1899-12-30T11:36:11"/>
    <s v=""/>
    <s v="Ganho"/>
    <d v="2026-01-09T00:00:00"/>
    <d v="1899-12-30T14:02:37"/>
    <s v=""/>
    <s v=""/>
    <s v=""/>
    <x v="145"/>
    <s v="Paulo Souza"/>
    <x v="154"/>
    <s v=""/>
    <d v="2025-12-12T00:00:00"/>
    <m/>
    <s v=""/>
    <s v=""/>
    <s v=""/>
    <s v=""/>
    <n v="1"/>
  </r>
  <r>
    <x v="0"/>
    <n v="705"/>
    <m/>
    <n v="2896"/>
    <s v="Não vai seguir com esse projeto no momento! Primeiro vai fazer a reciclagem e no meio do ano de 2026, voltamos a falar."/>
    <s v=""/>
    <x v="313"/>
    <n v="3761404000196"/>
    <s v=""/>
    <s v="Jose Eduardo"/>
    <s v="(19) 3492-9944"/>
    <s v=""/>
    <s v="adm@plastcap.com.br"/>
    <s v=""/>
    <s v=""/>
    <s v=""/>
    <s v="CAPIVARI"/>
    <s v="SP"/>
    <s v=""/>
    <s v=""/>
    <s v=""/>
    <s v="30%"/>
    <s v="Pipeline de Vendas"/>
    <s v="Em negociação (75%)"/>
    <s v=""/>
    <d v="2025-12-31T00:00:00"/>
    <n v="1600"/>
    <n v="384454"/>
    <n v="44"/>
    <s v="Paulo Souza"/>
    <d v="2025-11-26T00:00:00"/>
    <d v="1899-12-30T11:54:10"/>
    <s v=""/>
    <s v="Perdido"/>
    <d v="2026-01-09T00:00:00"/>
    <d v="1899-12-30T14:22:58"/>
    <s v="Projeto adiado / sem prazo definido"/>
    <s v=""/>
    <s v=""/>
    <x v="143"/>
    <s v="Paulo Souza"/>
    <x v="154"/>
    <s v=""/>
    <d v="2026-01-09T00:00:00"/>
    <m/>
    <s v=""/>
    <s v=""/>
    <s v=""/>
    <s v=""/>
    <n v="1"/>
  </r>
  <r>
    <x v="0"/>
    <n v="706"/>
    <m/>
    <n v="2897"/>
    <s v=""/>
    <s v=""/>
    <x v="314"/>
    <m/>
    <s v=""/>
    <s v="Kaue Prado"/>
    <s v="49998169464"/>
    <s v=""/>
    <s v="null"/>
    <s v=""/>
    <s v=""/>
    <s v=""/>
    <s v=""/>
    <s v=""/>
    <s v=""/>
    <s v=""/>
    <s v=""/>
    <s v=""/>
    <s v="Pipeline de Vendas"/>
    <s v="Em negociação (75%)"/>
    <s v=""/>
    <d v="2026-01-15T00:00:00"/>
    <n v="50000"/>
    <n v="2355"/>
    <n v="14"/>
    <s v="Paulo Souza"/>
    <d v="2025-11-26T00:00:00"/>
    <d v="1899-12-30T11:57:13"/>
    <s v=""/>
    <s v="Perdido"/>
    <d v="2025-12-10T00:00:00"/>
    <d v="1899-12-30T17:18:17"/>
    <s v="Não houve aprovação financeira"/>
    <s v=""/>
    <s v=""/>
    <x v="146"/>
    <s v="Paulo Souza"/>
    <x v="157"/>
    <s v=""/>
    <m/>
    <m/>
    <s v=""/>
    <s v=""/>
    <s v=""/>
    <s v=""/>
    <n v="1"/>
  </r>
  <r>
    <x v="0"/>
    <n v="707"/>
    <m/>
    <n v="2898"/>
    <s v="Após retorno do Jeferson fui informado que ele não vai seguir com o projeto no momento."/>
    <s v=""/>
    <x v="315"/>
    <m/>
    <s v=""/>
    <s v="Jeferson"/>
    <s v="83998878069"/>
    <s v=""/>
    <s v="null"/>
    <s v=""/>
    <s v=""/>
    <s v=""/>
    <s v=""/>
    <s v=""/>
    <s v="Outbound"/>
    <s v=""/>
    <s v=""/>
    <s v="90%"/>
    <s v="Pipeline de Vendas"/>
    <s v="Em negociação (75%)"/>
    <s v=""/>
    <d v="2026-01-31T00:00:00"/>
    <n v="14400"/>
    <n v="185328"/>
    <n v="47"/>
    <s v="Paulo Souza"/>
    <d v="2025-11-26T00:00:00"/>
    <d v="1899-12-30T11:59:12"/>
    <s v=""/>
    <s v="Perdido"/>
    <d v="2026-01-12T00:00:00"/>
    <d v="1899-12-30T22:24:16"/>
    <s v="Projeto adiado / sem prazo definido"/>
    <s v=""/>
    <s v=""/>
    <x v="147"/>
    <s v="Paulo Souza"/>
    <x v="158"/>
    <s v=""/>
    <d v="2026-01-12T00:00:00"/>
    <m/>
    <s v=""/>
    <s v=""/>
    <s v=""/>
    <s v=""/>
    <n v="1"/>
  </r>
  <r>
    <x v="0"/>
    <n v="708"/>
    <m/>
    <n v="2899"/>
    <s v=""/>
    <s v=""/>
    <x v="236"/>
    <m/>
    <s v=""/>
    <s v="Fabiana"/>
    <s v="16996352359"/>
    <s v=""/>
    <s v="null"/>
    <s v=""/>
    <s v=""/>
    <s v=""/>
    <s v=""/>
    <s v=""/>
    <s v=""/>
    <s v=""/>
    <s v=""/>
    <s v=""/>
    <s v="Pipeline de Vendas"/>
    <s v="Em Fechamento (100%)"/>
    <s v=""/>
    <m/>
    <m/>
    <m/>
    <n v="12"/>
    <s v="Paulo Souza"/>
    <d v="2025-11-26T00:00:00"/>
    <d v="1899-12-30T12:01:20"/>
    <s v=""/>
    <s v="Ganho"/>
    <d v="2025-12-08T00:00:00"/>
    <d v="1899-12-30T13:53:33"/>
    <s v=""/>
    <s v=""/>
    <s v=""/>
    <x v="148"/>
    <s v="Paulo Souza"/>
    <x v="159"/>
    <s v=""/>
    <m/>
    <m/>
    <s v=""/>
    <s v=""/>
    <s v=""/>
    <s v=""/>
    <n v="1"/>
  </r>
  <r>
    <x v="0"/>
    <n v="709"/>
    <m/>
    <n v="2900"/>
    <s v=""/>
    <s v=""/>
    <x v="316"/>
    <m/>
    <s v=""/>
    <s v="Gustavo"/>
    <s v="16996352359"/>
    <s v=""/>
    <s v="null"/>
    <s v=""/>
    <s v=""/>
    <s v=""/>
    <s v=""/>
    <s v=""/>
    <s v=""/>
    <s v=""/>
    <s v=""/>
    <s v=""/>
    <s v="Pipeline de Vendas"/>
    <s v="Em Fechamento (100%)"/>
    <s v=""/>
    <m/>
    <m/>
    <m/>
    <n v="12"/>
    <s v="Paulo Souza"/>
    <d v="2025-11-26T00:00:00"/>
    <d v="1899-12-30T12:02:41"/>
    <s v=""/>
    <s v="Ganho"/>
    <d v="2025-12-08T00:00:00"/>
    <d v="1899-12-30T14:21:05"/>
    <s v=""/>
    <s v=""/>
    <s v=""/>
    <x v="149"/>
    <s v="Paulo Souza"/>
    <x v="160"/>
    <s v=""/>
    <m/>
    <m/>
    <s v=""/>
    <s v=""/>
    <s v=""/>
    <s v=""/>
    <n v="1"/>
  </r>
  <r>
    <x v="1"/>
    <n v="711"/>
    <m/>
    <n v="2902"/>
    <s v="O próximo passo é Junior Lopes contatar a Tânia para confirmar o envio do vídeo do armazém e obter uma data definida para isso. Ele também deve atualizar no sistema o campo “O que falta para atingir o objetivo” com os requisitos pendentes e registrar um próximo passo com data, como analisar o vídeo ou agendar uma reunião para discutir sua avaliação."/>
    <s v=""/>
    <x v="317"/>
    <m/>
    <s v=""/>
    <s v="FaFa Import - WMS"/>
    <s v="86188758539"/>
    <s v=""/>
    <s v="null"/>
    <s v=""/>
    <s v=""/>
    <s v=""/>
    <s v=""/>
    <s v=""/>
    <s v=""/>
    <s v=""/>
    <s v=""/>
    <s v="50%"/>
    <s v="Pipeline de Vendas"/>
    <s v="Em Fechamento (100%)"/>
    <s v=""/>
    <d v="2026-02-09T00:00:00"/>
    <n v="235848"/>
    <n v="14256"/>
    <n v="65"/>
    <s v="Junior Lopes"/>
    <d v="2025-11-26T00:00:00"/>
    <d v="1899-12-30T15:05:11"/>
    <s v=""/>
    <s v="Perdido"/>
    <d v="2026-01-30T00:00:00"/>
    <d v="1899-12-30T15:36:59"/>
    <s v="Projeto adiado / sem prazo definido"/>
    <s v="sem retorno"/>
    <s v=""/>
    <x v="132"/>
    <s v="Junior Lopes"/>
    <x v="153"/>
    <s v=""/>
    <d v="2025-12-12T00:00:00"/>
    <m/>
    <s v=""/>
    <s v=""/>
    <s v=""/>
    <s v=""/>
    <n v="1"/>
  </r>
  <r>
    <x v="1"/>
    <n v="714"/>
    <m/>
    <n v="2910"/>
    <s v=""/>
    <s v=""/>
    <x v="318"/>
    <m/>
    <s v=""/>
    <s v="Tecelagem Castilho - Proposta Web"/>
    <s v="6293622662"/>
    <s v=""/>
    <s v="null"/>
    <s v=""/>
    <s v=""/>
    <s v=""/>
    <s v=""/>
    <s v=""/>
    <s v=""/>
    <s v=""/>
    <s v=""/>
    <s v=""/>
    <s v="Pipeline de Vendas"/>
    <s v="Em negociação (75%)"/>
    <s v=""/>
    <m/>
    <n v="0"/>
    <n v="209"/>
    <n v="12"/>
    <s v="Junior Lopes"/>
    <d v="2025-11-28T00:00:00"/>
    <d v="1899-12-30T14:27:28"/>
    <s v=""/>
    <s v="Perdido"/>
    <d v="2025-12-10T00:00:00"/>
    <d v="1899-12-30T10:00:03"/>
    <s v="Não quer mudar a solução atual"/>
    <s v="por enquanto vai fazer as aprovações via ERP"/>
    <s v=""/>
    <x v="142"/>
    <s v=""/>
    <x v="161"/>
    <s v=""/>
    <m/>
    <m/>
    <s v=""/>
    <s v=""/>
    <s v=""/>
    <s v=""/>
    <n v="1"/>
  </r>
  <r>
    <x v="0"/>
    <n v="717"/>
    <m/>
    <n v="2945"/>
    <s v="Falei hoje 09/01/2026 com o Mario para saber se seguiremos. Ele está fora do brasil retomar contato em 15/01._x000a_23/01 fazer proposta e enviar ao mario._x000a_06/02 Fiz FUP e não evoluiu a conversa pois o Mario está estruturando a empresa e nesse momento vai aguardar."/>
    <s v=""/>
    <x v="319"/>
    <m/>
    <s v=""/>
    <s v="Mario Perez"/>
    <s v="(11) 99471-3332"/>
    <s v=""/>
    <s v="mariovperez@hotmail.com"/>
    <s v=""/>
    <s v=""/>
    <s v=""/>
    <s v="São Paulo"/>
    <s v=""/>
    <s v="Site"/>
    <s v=""/>
    <s v=""/>
    <s v="30%"/>
    <s v="Pipeline de Vendas"/>
    <s v="Apresentar Proposta (50%)"/>
    <s v=""/>
    <d v="2026-01-31T00:00:00"/>
    <m/>
    <m/>
    <n v="68"/>
    <s v="Paulo Souza"/>
    <d v="2025-12-01T00:00:00"/>
    <d v="1899-12-30T15:50:11"/>
    <s v=""/>
    <s v="Perdido"/>
    <d v="2026-02-07T00:00:00"/>
    <d v="1899-12-30T08:22:44"/>
    <s v="Não quer mudar a solução atual"/>
    <s v=""/>
    <s v=""/>
    <x v="150"/>
    <s v="Paulo Souza"/>
    <x v="162"/>
    <s v=""/>
    <d v="2026-01-23T00:00:00"/>
    <n v="30"/>
    <s v=""/>
    <s v=""/>
    <s v=""/>
    <s v=""/>
    <n v="1"/>
  </r>
  <r>
    <x v="0"/>
    <n v="718"/>
    <m/>
    <n v="2913"/>
    <s v="Falei com a Valeria hoje 09/01/26 para saber sobre a retomada do projeto._x000a_23/01 Fiz FUP hoje com a Valeria cobrando se seguiremos ou não com o projeto, prazo para declinar 31/01."/>
    <s v=""/>
    <x v="320"/>
    <m/>
    <s v=""/>
    <s v="Valéria Honorato da Silva"/>
    <s v="(45) 99903-2312"/>
    <s v=""/>
    <s v="valeriahonoratomkt@gmail.com"/>
    <s v=""/>
    <s v=""/>
    <s v=""/>
    <s v="Santa Tereza do Oeste"/>
    <s v=""/>
    <s v="Site"/>
    <s v=""/>
    <s v=""/>
    <s v="30%;Pausado;Solicita demo"/>
    <s v="Pipeline de Vendas"/>
    <s v="Qualificação de Vendas (SQL) (25%)"/>
    <s v=""/>
    <d v="2026-04-30T00:00:00"/>
    <m/>
    <m/>
    <n v="161"/>
    <s v="Paulo Souza"/>
    <d v="2025-12-01T00:00:00"/>
    <d v="1899-12-30T16:23:02"/>
    <s v=""/>
    <s v="Perdido"/>
    <d v="2026-05-11T00:00:00"/>
    <d v="1899-12-30T11:55:42"/>
    <s v="Projeto adiado / sem prazo definido"/>
    <s v=""/>
    <s v=""/>
    <x v="151"/>
    <s v="Paulo Souza"/>
    <x v="162"/>
    <s v=""/>
    <d v="2026-04-10T00:00:00"/>
    <n v="30"/>
    <s v=""/>
    <s v=""/>
    <s v=""/>
    <s v=""/>
    <n v="1"/>
  </r>
  <r>
    <x v="0"/>
    <n v="719"/>
    <m/>
    <n v="2904"/>
    <s v="Falei com a Kelly hoje que me passou as informações que faltava para formular a proposta. Agora e falar com o Fernando e montar a proposta e apresentar._x000a_23/01 Falei com a Kelly em 19/01, e ela avisou que estava de férias e que retorno essa semana , e que só vai conseguir analisar a proposta na semana do dia 26/01, quando retornarei o contato._x000a_07/02 Fiz FUP com a Kelly e perguntei se ela vai ou não seguir com o projeto, não retornou ainda._x000a_12/03 12/03 Fiz FUP com a Kelly e a mesma esta analisando a proposta. Como esta semana ela tá fazendo compra de natal, vai conseguir parar e ver a proposta amanhã 13/03._x000a_20/03 Cobrando a Kelly para ir para o fechamento."/>
    <s v=""/>
    <x v="321"/>
    <n v="3674537000125"/>
    <s v=""/>
    <s v="kelly"/>
    <s v="(12) 97403-0134"/>
    <s v=""/>
    <s v="mkt@valport.com.br"/>
    <s v=""/>
    <s v=""/>
    <s v=""/>
    <s v="São Paulo"/>
    <s v=""/>
    <s v="Site"/>
    <s v=""/>
    <s v=""/>
    <s v="50%;Solicita demo"/>
    <s v="Pipeline de Vendas"/>
    <s v="Em negociação (75%)"/>
    <s v=""/>
    <d v="2026-03-31T00:00:00"/>
    <n v="104490"/>
    <n v="111957"/>
    <n v="130"/>
    <s v="Paulo Souza"/>
    <d v="2025-12-01T00:00:00"/>
    <d v="1899-12-30T16:37:54"/>
    <s v=""/>
    <s v="Perdido"/>
    <d v="2026-04-10T00:00:00"/>
    <d v="1899-12-30T15:54:49"/>
    <s v="Projeto adiado / sem prazo definido"/>
    <s v=""/>
    <s v=""/>
    <x v="151"/>
    <s v="Paulo Souza"/>
    <x v="163"/>
    <s v=""/>
    <d v="2026-03-20T00:00:00"/>
    <n v="30"/>
    <s v="416"/>
    <s v="ERP, AFV, BI, PDV, ADICIONAIS"/>
    <s v="R$ 104.490"/>
    <s v="R$ 11.195,70"/>
    <n v="1"/>
  </r>
  <r>
    <x v="0"/>
    <n v="725"/>
    <m/>
    <n v="2970"/>
    <s v="Cobrei hoje 09/01 o Alex, para saber sobre a evolução do projeto em 2026._x000a_14/01 - O Alex me ligou hoje avisando que a empresa optou pelo mais barato e fechou com a RioSoft."/>
    <s v=""/>
    <x v="322"/>
    <m/>
    <s v=""/>
    <s v="Alex"/>
    <s v="1799137617"/>
    <s v=""/>
    <s v="null"/>
    <s v=""/>
    <s v=""/>
    <s v=""/>
    <s v=""/>
    <s v=""/>
    <s v=""/>
    <s v=""/>
    <s v=""/>
    <s v="30%;Pausado"/>
    <s v="Pipeline de Vendas"/>
    <s v="Em negociação (75%)"/>
    <s v=""/>
    <d v="2026-03-31T00:00:00"/>
    <n v="315000"/>
    <n v="32575"/>
    <n v="37"/>
    <s v="Paulo Souza"/>
    <d v="2025-12-08T00:00:00"/>
    <d v="1899-12-30T13:58:57"/>
    <s v=""/>
    <s v="Perdido"/>
    <d v="2026-01-14T00:00:00"/>
    <d v="1899-12-30T18:52:38"/>
    <s v="Fechou com o concorrente - preço"/>
    <s v="O Alex me ligou hoje avisando que a empresa optou pelo mais barato e fechou com a RioSoft."/>
    <s v=""/>
    <x v="151"/>
    <s v="Paulo Souza"/>
    <x v="164"/>
    <s v=""/>
    <d v="2026-01-09T00:00:00"/>
    <m/>
    <s v=""/>
    <s v=""/>
    <s v=""/>
    <s v=""/>
    <n v="1"/>
  </r>
  <r>
    <x v="0"/>
    <n v="726"/>
    <m/>
    <n v="2971"/>
    <s v=""/>
    <s v=""/>
    <x v="323"/>
    <m/>
    <s v=""/>
    <s v="Raymond"/>
    <s v="11982685555"/>
    <s v=""/>
    <s v="null"/>
    <s v=""/>
    <s v=""/>
    <s v=""/>
    <s v=""/>
    <s v=""/>
    <s v=""/>
    <s v=""/>
    <s v=""/>
    <s v=""/>
    <s v="Pipeline de Vendas"/>
    <s v="Em Fechamento (100%)"/>
    <s v=""/>
    <m/>
    <n v="0"/>
    <n v="57024"/>
    <n v="0"/>
    <s v="Paulo Souza"/>
    <d v="2025-12-08T00:00:00"/>
    <d v="1899-12-30T14:06:46"/>
    <s v=""/>
    <s v="Ganho"/>
    <d v="2025-12-08T00:00:00"/>
    <d v="1899-12-30T14:09:01"/>
    <s v=""/>
    <s v=""/>
    <s v=""/>
    <x v="152"/>
    <s v="Paulo Souza"/>
    <x v="162"/>
    <s v=""/>
    <m/>
    <m/>
    <s v=""/>
    <s v=""/>
    <s v=""/>
    <s v=""/>
    <n v="1"/>
  </r>
  <r>
    <x v="0"/>
    <n v="727"/>
    <m/>
    <n v="2969"/>
    <s v="Hoje 09/01/26 cobrei a Michelli para saber se ela vai seguir ou não com o projeto._x000a_23/01 - Fiz FUp com a Michelle hoje para saber se vamos ou não seguir com o projeto. _x000a_R: Falou que a proposta esta sobe analise da diretoria e que para a próxima semana já terá um retorno. _x000a_07/02 Fiz FUP com a Michelle e ela me posicionou que não vai trocar de sistema por enquanto."/>
    <s v=""/>
    <x v="324"/>
    <m/>
    <s v=""/>
    <s v="MICHELE"/>
    <s v="(12) 99635-6502"/>
    <s v=""/>
    <s v="flavia.honorato@hotmail.com"/>
    <s v=""/>
    <s v=""/>
    <s v=""/>
    <s v="Guaratinguetá"/>
    <s v=""/>
    <s v="Site"/>
    <s v=""/>
    <s v=""/>
    <s v="30%;Solicita demo"/>
    <s v="Pipeline de Vendas"/>
    <s v="Em negociação (75%)"/>
    <s v=""/>
    <d v="2026-01-31T00:00:00"/>
    <n v="47200"/>
    <n v="22981"/>
    <n v="60"/>
    <s v="Paulo Souza"/>
    <d v="2025-12-09T00:00:00"/>
    <d v="1899-12-30T14:14:17"/>
    <s v=""/>
    <s v="Perdido"/>
    <d v="2026-02-07T00:00:00"/>
    <d v="1899-12-30T08:55:56"/>
    <s v="Não quer mudar a solução atual"/>
    <s v="07/02 Fiz FUP com a Michelle e ela me posicionou que não vai trocar de sistema por enquanto."/>
    <s v=""/>
    <x v="153"/>
    <s v="Paulo Souza"/>
    <x v="165"/>
    <s v=""/>
    <d v="2026-02-07T00:00:00"/>
    <n v="30"/>
    <s v=""/>
    <s v=""/>
    <s v=""/>
    <s v=""/>
    <n v="1"/>
  </r>
  <r>
    <x v="0"/>
    <n v="728"/>
    <m/>
    <n v="2973"/>
    <s v="Falei com a Kelly hoje que me passou as informações que faltava para formular a proposta. Agora e falar com o Fernando e montar a proposta e apresentar._x000a_13/01/2026 - Apresentar proposta_x000a_23/01 Falei com a Kelly em 19/01, e ela avisou que estava de férias e que retorno essa semana , e que só vai conseguir analisar a proposta na semana do dia 26/01, quando retornarei o contato._x000a_07/02 Fiz FUP com a Kelly e perguntei se ela vai ou não seguir com o projeto, não retornou ainda._x000a_12/03 12/03 Fiz FUP com a Kelly e a mesma esta analisando a proposta. Como esta semana ela tá fazendo compra de natal, vai conseguir parar e ver a proposta amanhã 13/03._x000a_20/03 Cobrando a Kelly para ir para o fechamento."/>
    <s v=""/>
    <x v="325"/>
    <n v="3674537000125"/>
    <s v=""/>
    <s v="Kelly"/>
    <s v="(12) 3204-5200"/>
    <s v=""/>
    <s v="financeiro@valport.com.br"/>
    <s v=""/>
    <s v=""/>
    <s v=""/>
    <s v="SAO JOSE DOS CAMPOS"/>
    <s v="SP"/>
    <s v="Outbound"/>
    <s v=""/>
    <s v=""/>
    <s v="50%"/>
    <s v="Pipeline de Vendas"/>
    <s v="Em negociação (75%)"/>
    <s v=""/>
    <d v="2026-03-31T00:00:00"/>
    <n v="1700"/>
    <n v="13100"/>
    <n v="121"/>
    <s v="Paulo Souza"/>
    <d v="2025-12-10T00:00:00"/>
    <d v="1899-12-30T17:33:41"/>
    <s v=""/>
    <s v="Perdido"/>
    <d v="2026-04-10T00:00:00"/>
    <d v="1899-12-30T15:55:20"/>
    <s v="Projeto adiado / sem prazo definido"/>
    <s v=""/>
    <s v=""/>
    <x v="153"/>
    <s v="Paulo Souza"/>
    <x v="165"/>
    <s v=""/>
    <d v="2026-03-20T00:00:00"/>
    <n v="30"/>
    <s v="80"/>
    <s v="B2B"/>
    <s v="R$ 13.100"/>
    <s v="R$ 1.700"/>
    <n v="1"/>
  </r>
  <r>
    <x v="0"/>
    <n v="729"/>
    <m/>
    <n v="2972"/>
    <s v="Falei com o Dalvan que esta devendo os dados para fazer a proposta. Segundo ele até o dia 09/01/26 ele termina de preencher. Após receber fazer proposta junto ao Fernando._x000a_23/01 Fiz FUP hoje com o DALVAN, o bicho é enrolado não responde os questionamentos que preciso para fazer a proposta._x000a_06/02 Estou declinando a proposta por falta de interação. o Dalvan, não me responde."/>
    <s v=""/>
    <x v="326"/>
    <m/>
    <s v=""/>
    <s v="Dalvan barros"/>
    <s v="(99) 98265-8209"/>
    <s v=""/>
    <s v="atualmiix@gmail.com"/>
    <s v=""/>
    <s v=""/>
    <s v=""/>
    <s v="Porto Franco"/>
    <s v=""/>
    <s v="Site"/>
    <s v=""/>
    <s v=""/>
    <s v="30%;Solicita demo"/>
    <s v="Pipeline de Vendas"/>
    <s v="Apresentar Proposta (50%)"/>
    <s v=""/>
    <d v="2026-01-31T00:00:00"/>
    <m/>
    <m/>
    <n v="59"/>
    <s v="Paulo Souza"/>
    <d v="2025-12-10T00:00:00"/>
    <d v="1899-12-30T22:55:29"/>
    <s v=""/>
    <s v="Perdido"/>
    <d v="2026-02-07T00:00:00"/>
    <d v="1899-12-30T08:20:54"/>
    <s v="Projeto adiado / sem prazo definido"/>
    <s v="06/02 Estou declinando a proposta por falta de interação. o Dalvan, não me responde."/>
    <s v=""/>
    <x v="154"/>
    <s v="Paulo Souza"/>
    <x v="166"/>
    <s v=""/>
    <d v="2026-02-06T00:00:00"/>
    <n v="30"/>
    <s v=""/>
    <s v=""/>
    <s v=""/>
    <s v=""/>
    <n v="1"/>
  </r>
  <r>
    <x v="1"/>
    <n v="730"/>
    <m/>
    <n v="2977"/>
    <s v="(07/01/2026) visita comercial _x000a_(14/01/2026) Visita apresentação com Max _x000a_(29/01/2026) cliente esta ligando para nossos clientes  _x000a_(24/04/2026) Bassel não responde , não esta no momento certo"/>
    <s v="Vic Import, Comercio, Importacao E Exportacao De Brinquedos E Utilidades Em Geral Ltda"/>
    <x v="327"/>
    <n v="50828915000168"/>
    <s v=""/>
    <s v="Vic Import, Comercio, Importacao E Exportacao De Brinquedos E Utilidades Em Geral Ltda"/>
    <s v="(11) 2171-0800"/>
    <s v=""/>
    <s v="legal@vrscontabil.com.br"/>
    <s v=""/>
    <s v=""/>
    <s v=""/>
    <s v="SAO PAULO"/>
    <s v="SP"/>
    <s v="Base de empresas Leads2b"/>
    <s v=""/>
    <s v=""/>
    <s v="50%;Fabio Indica"/>
    <s v="Pipeline de Vendas"/>
    <s v="Em negociação (75%)"/>
    <s v=""/>
    <d v="2026-02-28T00:00:00"/>
    <n v="44000"/>
    <n v="13781"/>
    <n v="134"/>
    <s v="Junior Lopes"/>
    <d v="2025-12-11T00:00:00"/>
    <d v="1899-12-30T10:06:06"/>
    <s v=""/>
    <s v="Perdido"/>
    <d v="2026-04-24T00:00:00"/>
    <d v="1899-12-30T09:24:13"/>
    <s v="Projeto adiado / sem prazo definido"/>
    <s v="(24/04/2026) Bassel não responde , não esta no momento certo"/>
    <s v=""/>
    <x v="155"/>
    <s v="Junior Lopes"/>
    <x v="167"/>
    <s v="14/01/2026"/>
    <d v="2026-04-24T00:00:00"/>
    <n v="50"/>
    <s v=""/>
    <s v=""/>
    <s v=""/>
    <s v=""/>
    <n v="1"/>
  </r>
  <r>
    <x v="1"/>
    <n v="731"/>
    <m/>
    <n v="2980"/>
    <s v=""/>
    <s v=""/>
    <x v="328"/>
    <m/>
    <s v=""/>
    <s v="Vic Import - AFV"/>
    <s v="1121710800"/>
    <s v=""/>
    <s v="legal@vrscontabil.com.br"/>
    <s v=""/>
    <s v=""/>
    <s v=""/>
    <s v=""/>
    <s v=""/>
    <s v=""/>
    <s v=""/>
    <s v=""/>
    <s v="50%"/>
    <s v="Pipeline de Vendas"/>
    <s v="Em negociação (75%)"/>
    <s v=""/>
    <d v="2026-01-31T00:00:00"/>
    <n v="8000"/>
    <n v="19642"/>
    <n v="49"/>
    <s v="Junior Lopes"/>
    <d v="2025-12-11T00:00:00"/>
    <d v="1899-12-30T10:21:27"/>
    <s v=""/>
    <s v="Perdido"/>
    <d v="2026-01-29T00:00:00"/>
    <d v="1899-12-30T15:51:08"/>
    <s v="Não quer mudar a solução atual"/>
    <s v="seguindo com ERP"/>
    <s v=""/>
    <x v="156"/>
    <s v=""/>
    <x v="168"/>
    <s v=""/>
    <d v="2026-01-09T00:00:00"/>
    <m/>
    <s v=""/>
    <s v=""/>
    <s v=""/>
    <s v=""/>
    <n v="1"/>
  </r>
  <r>
    <x v="1"/>
    <n v="732"/>
    <m/>
    <n v="2981"/>
    <s v="(07/01/2026) visita comercial _x000a_(14/01/2026) Visita apresentação com Max _x000a_(29/01/2026) cliente esta ligando para nossos clientes"/>
    <s v=""/>
    <x v="329"/>
    <m/>
    <s v=""/>
    <s v="Vic Import - Cloud"/>
    <s v="1121710800"/>
    <s v=""/>
    <s v="legal@vrscontabil.com.br"/>
    <s v=""/>
    <s v=""/>
    <s v=""/>
    <s v=""/>
    <s v=""/>
    <s v=""/>
    <s v=""/>
    <s v=""/>
    <s v="50%"/>
    <s v="Pipeline de Vendas"/>
    <s v="Em negociação (75%)"/>
    <s v=""/>
    <d v="2026-02-28T00:00:00"/>
    <n v="1600"/>
    <n v="34428"/>
    <n v="134"/>
    <s v="Junior Lopes"/>
    <d v="2025-12-11T00:00:00"/>
    <d v="1899-12-30T10:23:08"/>
    <s v=""/>
    <s v="Perdido"/>
    <d v="2026-04-24T00:00:00"/>
    <d v="1899-12-30T09:35:19"/>
    <s v="Projeto adiado / sem prazo definido"/>
    <s v="(24/04/2026) Bassel não responde , não esta no momento certo"/>
    <s v=""/>
    <x v="155"/>
    <s v="Junior Lopes"/>
    <x v="167"/>
    <s v="14/01/2026"/>
    <d v="2026-04-24T00:00:00"/>
    <n v="50"/>
    <s v=""/>
    <s v=""/>
    <s v=""/>
    <s v=""/>
    <n v="1"/>
  </r>
  <r>
    <x v="1"/>
    <n v="733"/>
    <m/>
    <n v="2982"/>
    <s v=""/>
    <s v="Conthey Presentes E Decoracoes Ltda"/>
    <x v="330"/>
    <n v="96280292000809"/>
    <s v=""/>
    <s v="Conthey Presentes E Decoracoes Ltda"/>
    <s v="(11) 2081-7750"/>
    <s v=""/>
    <s v="sc@conthey.com.br"/>
    <s v=""/>
    <s v=""/>
    <s v=""/>
    <s v="PALHOCA"/>
    <s v="SC"/>
    <s v="Base de empresas Leads2b"/>
    <s v=""/>
    <s v=""/>
    <s v="90%;Fabio Indica"/>
    <s v="Pipeline de Vendas"/>
    <s v="Em Fechamento (100%)"/>
    <s v=""/>
    <d v="2026-02-28T00:00:00"/>
    <n v="580005"/>
    <n v="7230"/>
    <n v="62"/>
    <s v="Junior Lopes"/>
    <d v="2025-12-11T00:00:00"/>
    <d v="1899-12-30T11:21:41"/>
    <s v=""/>
    <s v="Ganho"/>
    <d v="2026-02-11T00:00:00"/>
    <d v="1899-12-30T17:49:12"/>
    <s v=""/>
    <s v=""/>
    <s v=""/>
    <x v="157"/>
    <s v="Junior Lopes"/>
    <x v="169"/>
    <s v=""/>
    <d v="2026-01-16T00:00:00"/>
    <n v="90"/>
    <s v=""/>
    <s v=""/>
    <s v=""/>
    <s v=""/>
    <n v="1"/>
  </r>
  <r>
    <x v="1"/>
    <n v="734"/>
    <m/>
    <n v="2985"/>
    <s v="fechamos ERP , estou descartando essa oportunidade"/>
    <s v=""/>
    <x v="331"/>
    <m/>
    <s v=""/>
    <s v="Conthey - AFV"/>
    <s v="11982163176"/>
    <s v=""/>
    <s v="sc@conthey.com.br"/>
    <s v=""/>
    <s v=""/>
    <s v=""/>
    <s v=""/>
    <s v=""/>
    <s v=""/>
    <s v=""/>
    <s v=""/>
    <s v="50%"/>
    <s v="Pipeline de Vendas"/>
    <s v="Em negociação (75%)"/>
    <s v=""/>
    <d v="2026-01-16T00:00:00"/>
    <n v="0"/>
    <n v="19642"/>
    <n v="47"/>
    <s v="Junior Lopes"/>
    <d v="2025-12-11T00:00:00"/>
    <d v="1899-12-30T11:31:04"/>
    <s v=""/>
    <s v="Perdido"/>
    <d v="2026-01-27T00:00:00"/>
    <d v="1899-12-30T16:32:05"/>
    <s v="Cliente não quer contato LGPD"/>
    <s v="fechamos ERP , estou descartando essa oportunidade"/>
    <s v=""/>
    <x v="157"/>
    <s v=""/>
    <x v="169"/>
    <s v=""/>
    <d v="2026-01-27T00:00:00"/>
    <m/>
    <s v=""/>
    <s v=""/>
    <s v=""/>
    <s v=""/>
    <n v="1"/>
  </r>
  <r>
    <x v="1"/>
    <n v="735"/>
    <m/>
    <n v="2986"/>
    <s v="(24/04/2026) Conthey vai manter o servidor local , em breve caso necessário irá migrar para cloud"/>
    <s v=""/>
    <x v="332"/>
    <m/>
    <s v=""/>
    <s v="Conthey - Cloud"/>
    <s v="11982163176"/>
    <s v=""/>
    <s v="sc@conthey.com.br"/>
    <s v=""/>
    <s v=""/>
    <s v=""/>
    <s v=""/>
    <s v=""/>
    <s v=""/>
    <s v=""/>
    <s v=""/>
    <s v="80%"/>
    <s v="Pipeline de Vendas"/>
    <s v="Em Fechamento (100%)"/>
    <s v=""/>
    <d v="2026-01-16T00:00:00"/>
    <n v="1600"/>
    <n v="524246"/>
    <n v="134"/>
    <s v="Junior Lopes"/>
    <d v="2025-12-11T00:00:00"/>
    <d v="1899-12-30T11:33:08"/>
    <s v=""/>
    <s v="Perdido"/>
    <d v="2026-04-24T00:00:00"/>
    <d v="1899-12-30T09:04:14"/>
    <s v="Não quer mudar a solução atual"/>
    <s v="(24/04/2026) Conthey vai manter o servidor local , em breve caso necessário irá migrar para cloud"/>
    <s v=""/>
    <x v="157"/>
    <s v="Junior Lopes"/>
    <x v="169"/>
    <s v=""/>
    <d v="2026-04-24T00:00:00"/>
    <n v="80"/>
    <s v=""/>
    <s v=""/>
    <s v=""/>
    <s v=""/>
    <n v="1"/>
  </r>
  <r>
    <x v="1"/>
    <n v="736"/>
    <m/>
    <n v="2988"/>
    <s v=""/>
    <s v=""/>
    <x v="333"/>
    <m/>
    <s v=""/>
    <s v="Star - B2B"/>
    <s v="17997793113"/>
    <s v=""/>
    <s v="comercial@distribuidorastar.com.br"/>
    <s v=""/>
    <s v=""/>
    <s v=""/>
    <s v=""/>
    <s v=""/>
    <s v=""/>
    <s v=""/>
    <s v=""/>
    <s v="30%"/>
    <s v="Pipeline de Vendas"/>
    <s v="Em negociação (75%)"/>
    <s v=""/>
    <d v="2025-12-17T00:00:00"/>
    <n v="26200"/>
    <n v="3400"/>
    <n v="50"/>
    <s v="Junior Lopes"/>
    <d v="2025-12-11T00:00:00"/>
    <d v="1899-12-30T15:26:26"/>
    <s v=""/>
    <s v="Perdido"/>
    <d v="2026-01-30T00:00:00"/>
    <d v="1899-12-30T15:36:18"/>
    <s v="Projeto adiado / sem prazo definido"/>
    <s v="sem retorno"/>
    <s v=""/>
    <x v="158"/>
    <s v=""/>
    <x v="170"/>
    <s v="15/12/2025"/>
    <d v="2026-01-09T00:00:00"/>
    <m/>
    <s v=""/>
    <s v=""/>
    <s v=""/>
    <s v=""/>
    <n v="1"/>
  </r>
  <r>
    <x v="1"/>
    <n v="737"/>
    <m/>
    <n v="2989"/>
    <s v=""/>
    <s v=""/>
    <x v="334"/>
    <m/>
    <s v=""/>
    <s v="Tecelagem Castilho - Contábil"/>
    <s v="62993609476"/>
    <s v=""/>
    <s v="null"/>
    <s v=""/>
    <s v=""/>
    <s v=""/>
    <s v=""/>
    <s v=""/>
    <s v=""/>
    <s v=""/>
    <s v=""/>
    <s v="30%"/>
    <s v="Pipeline de Vendas"/>
    <s v="Em negociação (75%)"/>
    <s v=""/>
    <d v="2025-12-17T00:00:00"/>
    <n v="22824"/>
    <n v="68904"/>
    <n v="1"/>
    <s v="Junior Lopes"/>
    <d v="2025-12-11T00:00:00"/>
    <d v="1899-12-30T15:56:07"/>
    <s v=""/>
    <s v="Perdido"/>
    <d v="2025-12-12T00:00:00"/>
    <d v="1899-12-30T16:41:43"/>
    <s v="Projeto adiado / sem prazo definido"/>
    <s v="rto, obrigada_x000a_Dayane ! O módulo contábil faz sentido para vocês  ?_x000a_No momento não_x000a_Olá Dayane ! perfeito , ficamos a disposição ! um ótimo final de semana"/>
    <s v=""/>
    <x v="157"/>
    <s v=""/>
    <x v="171"/>
    <s v=""/>
    <d v="2025-12-12T00:00:00"/>
    <m/>
    <s v=""/>
    <s v=""/>
    <s v=""/>
    <s v=""/>
    <n v="1"/>
  </r>
  <r>
    <x v="1"/>
    <n v="739"/>
    <m/>
    <n v="2991"/>
    <s v=""/>
    <s v=""/>
    <x v="335"/>
    <m/>
    <s v=""/>
    <s v="Erca Alumínio - Imp.XML"/>
    <s v="19999989392"/>
    <s v=""/>
    <s v="null"/>
    <s v=""/>
    <s v=""/>
    <s v=""/>
    <s v=""/>
    <s v=""/>
    <s v=""/>
    <s v=""/>
    <s v=""/>
    <s v="30%"/>
    <s v="Pipeline de Vendas"/>
    <s v="Apresentar Proposta (50%)"/>
    <s v=""/>
    <d v="2025-12-31T00:00:00"/>
    <n v="3392"/>
    <n v="3564"/>
    <n v="76"/>
    <s v="Junior Lopes"/>
    <d v="2025-12-12T00:00:00"/>
    <d v="1899-12-30T12:21:40"/>
    <s v=""/>
    <s v="Perdido"/>
    <d v="2026-02-26T00:00:00"/>
    <d v="1899-12-30T09:21:39"/>
    <s v="Projeto adiado / sem prazo definido"/>
    <s v="sem retorno do cliente"/>
    <s v=""/>
    <x v="159"/>
    <s v="Junior Lopes"/>
    <x v="172"/>
    <s v=""/>
    <d v="2025-12-12T00:00:00"/>
    <n v="30"/>
    <s v=""/>
    <s v=""/>
    <s v=""/>
    <s v=""/>
    <n v="1"/>
  </r>
  <r>
    <x v="0"/>
    <n v="740"/>
    <m/>
    <n v="2994"/>
    <s v="Em conversa com o Valter ficou combinado de falar no dia 19/01, pois ele esta em viagem._x000a_23/01 Fiz contato com o Walter hoje para cobrar ele nossa agenda para a próxima semana._x000a_11/03 Fiz FUP com Valter, ele tem resistência em aceitar a proposta devido aos valores._x000a_20/03 Após tentativas de negociar não evoluiu porque o preço ficou fora do que o cliente gostaria de investir."/>
    <s v=""/>
    <x v="336"/>
    <m/>
    <s v=""/>
    <s v="Valter"/>
    <s v="11996577830"/>
    <s v=""/>
    <s v="vppeliciari@gmail.com"/>
    <s v=""/>
    <s v=""/>
    <s v=""/>
    <s v=""/>
    <s v=""/>
    <s v="Campanha"/>
    <s v=""/>
    <s v=""/>
    <s v="30%;Dentro Perfil;Instagram"/>
    <s v="Pipeline de Vendas"/>
    <s v="Em negociação (75%)"/>
    <s v=""/>
    <d v="2026-03-31T00:00:00"/>
    <n v="115520"/>
    <n v="65721"/>
    <n v="94"/>
    <s v="Paulo Souza"/>
    <d v="2025-12-16T00:00:00"/>
    <d v="1899-12-30T12:13:29"/>
    <s v=""/>
    <s v="Perdido"/>
    <d v="2026-03-20T00:00:00"/>
    <d v="1899-12-30T16:59:02"/>
    <s v="Preço muito alto - fora do budget de investimento"/>
    <s v=""/>
    <s v=""/>
    <x v="160"/>
    <s v="Paulo Souza"/>
    <x v="173"/>
    <s v=""/>
    <d v="2026-03-20T00:00:00"/>
    <n v="30"/>
    <s v=""/>
    <s v="ERP, PCP"/>
    <s v=""/>
    <s v=""/>
    <n v="1"/>
  </r>
  <r>
    <x v="1"/>
    <n v="741"/>
    <m/>
    <n v="2995"/>
    <s v="(16/01/2026) Entrei em contato com Allan ! segundo ele esta verificando com a diretoria sobre a sequencia no projeto ! informei que nossa proposta está vencida e que preciso de uma decisão urgente para nao  perdemos o valor _x000a_16/01/2026 em contato com Allan ! decidiu por nao dar sequencia nesse momento ! o motivo é por conta do investimento"/>
    <s v=""/>
    <x v="337"/>
    <m/>
    <s v=""/>
    <s v="Allan Kaynã Vargas"/>
    <s v="(49) 99929-0242"/>
    <s v=""/>
    <s v="comercial2@topten.net.br"/>
    <s v=""/>
    <s v=""/>
    <s v=""/>
    <s v="Guarujá do Sul"/>
    <s v=""/>
    <s v="Site"/>
    <s v=""/>
    <s v=""/>
    <s v="30%;Solicita demo"/>
    <s v="Pipeline de Vendas"/>
    <s v="Em negociação (75%)"/>
    <s v=""/>
    <d v="2026-01-31T00:00:00"/>
    <n v="44000"/>
    <n v="110248"/>
    <n v="31"/>
    <s v="Junior Lopes"/>
    <d v="2025-12-16T00:00:00"/>
    <d v="1899-12-30T17:29:27"/>
    <s v=""/>
    <s v="Perdido"/>
    <d v="2026-01-16T00:00:00"/>
    <d v="1899-12-30T15:55:46"/>
    <s v="Não houve aprovação financeira"/>
    <s v="16/01/2026 em contato com Allan ! decidiu por nao dar sequencia nesse momento ! o motivo é por conta do investimento"/>
    <s v=""/>
    <x v="161"/>
    <s v=""/>
    <x v="174"/>
    <s v="19/12/2025"/>
    <d v="2026-01-16T00:00:00"/>
    <m/>
    <s v=""/>
    <s v=""/>
    <s v=""/>
    <s v=""/>
    <n v="1"/>
  </r>
  <r>
    <x v="1"/>
    <n v="742"/>
    <m/>
    <n v="2996"/>
    <s v="(16/01/2026) Entrei em contato com Allan ! segundo ele esta verificando com a diretoria sobre a sequencia no projeto ! informei que nossa proposta está vencida e que preciso de uma decisão urgente para nao  perdemos o valor _x000a_16/01/2026 em contato com Allan ! decidiu por nao dar sequencia nesse momento ! o motivo é por conta do investimento"/>
    <s v=""/>
    <x v="338"/>
    <m/>
    <s v=""/>
    <s v="TopTem - AFV"/>
    <s v="49999290242"/>
    <s v=""/>
    <s v="comercial2@topten.net.br"/>
    <s v=""/>
    <s v=""/>
    <s v=""/>
    <s v=""/>
    <s v=""/>
    <s v=""/>
    <s v=""/>
    <s v=""/>
    <s v="30%"/>
    <s v="Pipeline de Vendas"/>
    <s v="Em negociação (75%)"/>
    <s v=""/>
    <d v="2026-01-31T00:00:00"/>
    <n v="8000"/>
    <n v="186599"/>
    <n v="31"/>
    <s v="Junior Lopes"/>
    <d v="2025-12-16T00:00:00"/>
    <d v="1899-12-30T17:31:43"/>
    <s v=""/>
    <s v="Perdido"/>
    <d v="2026-01-16T00:00:00"/>
    <d v="1899-12-30T15:56:44"/>
    <s v="Não houve aprovação financeira"/>
    <s v="16/01/2026 em contato com Allan ! decidiu por nao dar sequencia nesse momento ! o motivo é por conta do investimento"/>
    <s v=""/>
    <x v="161"/>
    <s v=""/>
    <x v="174"/>
    <s v="19/12/2025"/>
    <d v="2026-01-16T00:00:00"/>
    <m/>
    <s v=""/>
    <s v=""/>
    <s v=""/>
    <s v=""/>
    <n v="1"/>
  </r>
  <r>
    <x v="1"/>
    <n v="746"/>
    <m/>
    <n v="3004"/>
    <s v=""/>
    <s v=""/>
    <x v="339"/>
    <m/>
    <s v=""/>
    <s v="Atacado Sibras 1.99"/>
    <s v="4191190775"/>
    <s v=""/>
    <s v="andrearnpauli@hotmail.com"/>
    <s v=""/>
    <s v=""/>
    <s v=""/>
    <s v=""/>
    <s v=""/>
    <s v="Campanha"/>
    <s v=""/>
    <s v=""/>
    <s v="Fora Perfil;Instagram"/>
    <s v="Pipeline de Vendas"/>
    <s v="Agendamento (0%)"/>
    <s v=""/>
    <m/>
    <m/>
    <m/>
    <n v="135"/>
    <s v="Junior Lopes"/>
    <d v="2025-12-22T00:00:00"/>
    <d v="1899-12-30T08:30:48"/>
    <s v=""/>
    <s v="Perdido"/>
    <d v="2026-05-06T00:00:00"/>
    <d v="1899-12-30T16:31:41"/>
    <s v="Fora do porte mínimo (sem fit estrutural)"/>
    <s v="lojista"/>
    <s v=""/>
    <x v="0"/>
    <s v=""/>
    <x v="0"/>
    <s v=""/>
    <m/>
    <m/>
    <s v=""/>
    <s v=""/>
    <s v=""/>
    <s v=""/>
    <n v="1"/>
  </r>
  <r>
    <x v="1"/>
    <n v="747"/>
    <m/>
    <n v="3003"/>
    <s v=""/>
    <s v=""/>
    <x v="340"/>
    <m/>
    <s v=""/>
    <s v="BJ Engenharia"/>
    <s v="6195770926"/>
    <s v=""/>
    <s v="eduaniceto@engenhariabomjesus.com.br"/>
    <s v=""/>
    <s v=""/>
    <s v=""/>
    <s v=""/>
    <s v=""/>
    <s v="Campanha"/>
    <s v=""/>
    <s v=""/>
    <s v="Fora Perfil;Instagram"/>
    <s v="Pipeline de Vendas"/>
    <s v="Agendamento (0%)"/>
    <s v=""/>
    <m/>
    <m/>
    <m/>
    <n v="138"/>
    <s v="Junior Lopes"/>
    <d v="2025-12-22T00:00:00"/>
    <d v="1899-12-30T08:35:32"/>
    <s v=""/>
    <s v="Perdido"/>
    <d v="2026-05-09T00:00:00"/>
    <d v="1899-12-30T08:04:32"/>
    <s v="Fora do segmento atendido"/>
    <s v=""/>
    <s v=""/>
    <x v="0"/>
    <s v=""/>
    <x v="0"/>
    <s v=""/>
    <m/>
    <m/>
    <s v=""/>
    <s v=""/>
    <s v=""/>
    <s v=""/>
    <n v="1"/>
  </r>
  <r>
    <x v="1"/>
    <n v="748"/>
    <m/>
    <n v="3011"/>
    <s v="Lead entrou em contato no Whatsapp Business do Damián._x000a_(21/01/2026) 09:14, 21/01/2026 Junior Lopes: Olá Dário ! Bom dia , Td bem ?_x000a_09:30, 21/01/2026 Chavetas: Bom dia Júnior, td bem ? Estou a analisar as diversas empresas que tive contato, os prós e contras, porém com calma, para fazer algo que realmente atenda a necessidades._x000a_(21/01/2026) além do material que enviei para Dário , sugeri a ele uma visita comercial para apresentar nossas soluções _x000a_(29/01/2026) Estou alinhando com Dário mais uma rodada de apresentação ! ele esta indeciso em algumas opções concorrentes _x000a_(02/03/2026) em contato com Dário _x000a_Esta em analise com alguns ERPs, porem nada com previsão imediata devido a outras prioridades ! estou descartando e manterei contato via WhatsApp"/>
    <s v=""/>
    <x v="341"/>
    <n v="9260618000165"/>
    <s v=""/>
    <s v="Chavetas Comércio de Peças e Ferramentas Ltda."/>
    <s v="(11) 98183-5003"/>
    <s v=""/>
    <s v="dario@chavetasecia.com.br"/>
    <s v=""/>
    <s v=""/>
    <s v=""/>
    <s v=""/>
    <s v=""/>
    <s v="Campanha"/>
    <s v=""/>
    <s v=""/>
    <s v="30%;Dentro Perfil;Instagram"/>
    <s v="Pipeline de Vendas"/>
    <s v="Apresentar Solução (35%)"/>
    <s v=""/>
    <d v="2026-01-31T00:00:00"/>
    <m/>
    <m/>
    <n v="62"/>
    <s v="Junior Lopes"/>
    <d v="2025-12-30T00:00:00"/>
    <d v="1899-12-30T11:08:44"/>
    <s v=""/>
    <s v="Perdido"/>
    <d v="2026-03-02T00:00:00"/>
    <d v="1899-12-30T11:31:09"/>
    <s v="Não quer mudar a solução atual"/>
    <s v="(02/03/2026) em contato com Dário _x000a_Esta em analise com alguns ERPs, porem nada com previsão imediata devido a outras prioridades ! estou descartando e manterei contato via WhatsApp"/>
    <s v=""/>
    <x v="0"/>
    <s v="Junior Lopes"/>
    <x v="167"/>
    <s v=""/>
    <d v="2026-03-02T00:00:00"/>
    <n v="30"/>
    <s v=""/>
    <s v=""/>
    <s v=""/>
    <s v=""/>
    <n v="1"/>
  </r>
  <r>
    <x v="1"/>
    <n v="749"/>
    <m/>
    <n v="3006"/>
    <s v="(21/01/2026) em contato com Edilson _x000a_pediu para retornar contato no dia 26/01 pois esta bem corrido devido a um feriado na cidade ! ele pediu para enviar material sobre nossas soluções _x000a_(29/01/2026) Cliente esta analisando demais ferramentas ! estamos organizando apresentação do AFV _x000a_(18/02/2026) Edilson declinou por conta do valor acima da expectativa de investimento ! não ofertou contra proposta pq valor estava bem acima do esperado"/>
    <s v=""/>
    <x v="342"/>
    <n v="34667612000154"/>
    <s v=""/>
    <s v="ColorUnhas"/>
    <s v="(44) 9706-9580"/>
    <s v=""/>
    <s v="colorunhas@uol.com.br"/>
    <s v=""/>
    <s v=""/>
    <s v=""/>
    <s v="TELEMACO BORBA"/>
    <s v="PR"/>
    <s v="Campanha"/>
    <s v=""/>
    <s v=""/>
    <s v="30%;Dentro Perfil;Instagram"/>
    <s v="Pipeline de Vendas"/>
    <s v="Apresentar Proposta (50%)"/>
    <s v=""/>
    <d v="2026-02-28T00:00:00"/>
    <n v="1117015"/>
    <n v="468739"/>
    <n v="50"/>
    <s v="Junior Lopes"/>
    <d v="2025-12-30T00:00:00"/>
    <d v="1899-12-30T11:28:58"/>
    <s v=""/>
    <s v="Perdido"/>
    <d v="2026-02-18T00:00:00"/>
    <d v="1899-12-30T08:52:33"/>
    <s v="Não houve aprovação financeira"/>
    <s v="(18/02/2026) Edilson declinou por conta do valor acima da expectativa de investimento ! não ofertou contra proposta pq valor estava bem acima do esperado"/>
    <s v=""/>
    <x v="162"/>
    <s v="Junior Lopes"/>
    <x v="175"/>
    <s v="05/02/2026"/>
    <d v="2026-02-18T00:00:00"/>
    <n v="30"/>
    <s v=""/>
    <s v=""/>
    <s v=""/>
    <s v=""/>
    <n v="1"/>
  </r>
  <r>
    <x v="2"/>
    <n v="750"/>
    <m/>
    <n v="3016"/>
    <s v="Reunião agendada para o dia 23/01 _x000a_17-02 Cliente deu negativa no avanço do projeto,pois o valor ficou fora do que estão planejando _x000a_E receberam uma proposta comercial de 30mil de implantação e 4mil de mensalidade do sistema webmais_x000a_https://webmaissistemas.com.br/"/>
    <s v=""/>
    <x v="343"/>
    <n v="1574467000108"/>
    <s v=""/>
    <s v="Doce festa"/>
    <s v="17981152060"/>
    <s v=""/>
    <s v="paulopedroso@produtosdocefesta.com.br"/>
    <s v=""/>
    <s v=""/>
    <s v=""/>
    <s v=""/>
    <s v=""/>
    <s v="Campanha"/>
    <s v=""/>
    <s v=""/>
    <s v="50%;Dentro Perfil;Instagram"/>
    <s v="Pipeline de Vendas"/>
    <s v="Em negociação (75%)"/>
    <s v=""/>
    <d v="2026-03-31T00:00:00"/>
    <n v="12996348"/>
    <n v="860884"/>
    <n v="43"/>
    <s v="Rayssa Karapeticov"/>
    <d v="2026-01-05T00:00:00"/>
    <d v="1899-12-30T11:50:01"/>
    <s v=""/>
    <s v="Perdido"/>
    <d v="2026-02-17T00:00:00"/>
    <d v="1899-12-30T16:19:52"/>
    <s v="Preço muito alto - fora do budget de investimento"/>
    <s v=""/>
    <s v=""/>
    <x v="0"/>
    <s v="Rayssa Karapeticov"/>
    <x v="167"/>
    <s v="05/02/2026"/>
    <d v="2026-02-05T00:00:00"/>
    <n v="50"/>
    <s v=""/>
    <s v=""/>
    <s v=""/>
    <s v=""/>
    <n v="1"/>
  </r>
  <r>
    <x v="2"/>
    <n v="754"/>
    <m/>
    <n v="3017"/>
    <s v="Proposta feita,aguardando agenda do cliente para apresentar_x000a_Oi, Rayssa, tudo bem?_x000a_Estamos em processo de mudança de local e, por isso, essa semana está bem corrida por aqui. Acabei ficando sem tempo para conseguir conversar com calma agora."/>
    <s v="Irriga House Irrigacao Comercial Agricola Ltda"/>
    <x v="344"/>
    <n v="61516270000144"/>
    <s v=""/>
    <s v="Irriga house"/>
    <s v="11973112176"/>
    <s v=""/>
    <s v="vendas@irrigahouse.com.br"/>
    <s v=""/>
    <s v=""/>
    <s v=""/>
    <s v="JUNDIAI"/>
    <s v="SP"/>
    <s v="Campanha"/>
    <s v=""/>
    <s v=""/>
    <s v="30%;Dentro Perfil;Instagram"/>
    <s v="Pipeline de Vendas"/>
    <s v="Apresentar Proposta (50%)"/>
    <s v=""/>
    <d v="2026-04-30T00:00:00"/>
    <m/>
    <m/>
    <n v="13"/>
    <s v="Rayssa Karapeticov"/>
    <d v="2026-01-07T00:00:00"/>
    <d v="1899-12-30T10:16:04"/>
    <s v=""/>
    <s v="Perdido"/>
    <d v="2026-01-20T00:00:00"/>
    <d v="1899-12-30T17:15:42"/>
    <s v="Não quer mudar a solução atual"/>
    <s v=""/>
    <s v=""/>
    <x v="163"/>
    <s v="Rayssa Karapeticov"/>
    <x v="176"/>
    <s v=""/>
    <d v="2026-01-19T00:00:00"/>
    <m/>
    <s v=""/>
    <s v=""/>
    <s v=""/>
    <s v=""/>
    <n v="1"/>
  </r>
  <r>
    <x v="0"/>
    <n v="757"/>
    <m/>
    <n v="3046"/>
    <s v="Hoje (12/01/26) cobrei o Allan se ele tem interesse nas soluções da Guarani Sim ou Não. Por ele não atende minhas ligações. (13/01 - Chamei e liguei para o Allan, sem retorno._x000a_12/01 Fiz FUP, com Allan, fechou com uma empresa de menor e falou que se não se adaptar volta a fazer contato."/>
    <s v=""/>
    <x v="345"/>
    <m/>
    <s v=""/>
    <s v="Allan"/>
    <s v="12982018157"/>
    <s v=""/>
    <s v="e.mazala@hotmail.com"/>
    <s v=""/>
    <s v=""/>
    <s v=""/>
    <s v=""/>
    <s v=""/>
    <s v="Campanha"/>
    <s v=""/>
    <s v=""/>
    <s v="30%;Dentro Perfil;Instagram"/>
    <s v="Pipeline de Vendas"/>
    <s v="Qualificação de Vendas (SQL) (25%)"/>
    <s v=""/>
    <d v="2026-01-12T00:00:00"/>
    <m/>
    <m/>
    <n v="15"/>
    <s v="Paulo Souza"/>
    <d v="2026-01-08T00:00:00"/>
    <d v="1899-12-30T15:56:57"/>
    <s v=""/>
    <s v="Perdido"/>
    <d v="2026-01-23T00:00:00"/>
    <d v="1899-12-30T17:53:36"/>
    <s v="Fechou com o concorrente - preço"/>
    <s v="optou por uma empresa menor neste momento."/>
    <s v=""/>
    <x v="0"/>
    <s v="Paulo Souza"/>
    <x v="0"/>
    <s v=""/>
    <d v="2026-01-12T00:00:00"/>
    <m/>
    <s v=""/>
    <s v=""/>
    <s v=""/>
    <s v=""/>
    <n v="1"/>
  </r>
  <r>
    <x v="0"/>
    <n v="758"/>
    <m/>
    <n v="3048"/>
    <s v="Liberado em degustação por 7 dias e depois efetivar vendas ._x000a_Liberado a degustação em 12/01._x000a_19/01: Cobrei o Mario pra saber se esta tudo ok. E se iremos seguir ou não com a contratação._x000a_23/01 - Em conversa com o Mario, o suporte ainda esta configurando e após vai treinar e assim vou conseguir contabilizar os 7 dias de degustação e fechar o negocio._x000a_26/02 Não avançou."/>
    <s v=""/>
    <x v="346"/>
    <m/>
    <s v=""/>
    <s v="Mario"/>
    <s v="11982243773"/>
    <s v=""/>
    <s v="vendas1.jpdistribuidora@gmail.com"/>
    <s v=""/>
    <s v=""/>
    <s v=""/>
    <s v=""/>
    <s v=""/>
    <s v=""/>
    <s v=""/>
    <s v=""/>
    <s v="50%"/>
    <s v="Pipeline de Vendas"/>
    <s v="Em negociação (75%)"/>
    <s v=""/>
    <d v="2026-02-26T00:00:00"/>
    <n v="0"/>
    <n v="66"/>
    <n v="49"/>
    <s v="Paulo Souza"/>
    <d v="2026-01-08T00:00:00"/>
    <d v="1899-12-30T16:54:28"/>
    <s v=""/>
    <s v="Perdido"/>
    <d v="2026-02-26T00:00:00"/>
    <d v="1899-12-30T22:15:54"/>
    <s v="Não houve aprovação financeira"/>
    <s v=""/>
    <s v=""/>
    <x v="164"/>
    <s v="Paulo Souza"/>
    <x v="177"/>
    <s v=""/>
    <d v="2026-02-26T00:00:00"/>
    <n v="50"/>
    <s v="2"/>
    <s v="ADICIONAIS"/>
    <s v="R$ 0"/>
    <s v="R$ 66"/>
    <n v="1"/>
  </r>
  <r>
    <x v="0"/>
    <n v="759"/>
    <m/>
    <n v="3049"/>
    <s v="Fechado."/>
    <s v=""/>
    <x v="347"/>
    <n v="10345472000130"/>
    <s v=""/>
    <s v="Walter"/>
    <s v="19983040748"/>
    <s v=""/>
    <s v="walter@akitembembarato.com"/>
    <s v=""/>
    <s v=""/>
    <s v=""/>
    <s v=""/>
    <s v=""/>
    <s v=""/>
    <s v=""/>
    <s v=""/>
    <s v="90%"/>
    <s v="Pipeline de Vendas"/>
    <s v="Em Fechamento (100%)"/>
    <s v=""/>
    <d v="2026-01-31T00:00:00"/>
    <n v="1505387"/>
    <n v="27562"/>
    <n v="4"/>
    <s v="Paulo Souza"/>
    <d v="2026-01-08T00:00:00"/>
    <d v="1899-12-30T17:14:43"/>
    <s v=""/>
    <s v="Ganho"/>
    <d v="2026-01-12T00:00:00"/>
    <d v="1899-12-30T14:36:45"/>
    <s v=""/>
    <s v=""/>
    <s v=""/>
    <x v="164"/>
    <s v="Paulo Souza"/>
    <x v="177"/>
    <s v=""/>
    <m/>
    <m/>
    <s v=""/>
    <s v=""/>
    <s v=""/>
    <s v=""/>
    <n v="1"/>
  </r>
  <r>
    <x v="0"/>
    <n v="760"/>
    <m/>
    <n v="3050"/>
    <s v="Falei com o Robson hoje , questionando sobre a proposta e se tem alguma dúvida._x000a_23/01 - Fiz FUPs hoje com o Robson :_x000a_R: Bom dia Paulo, fiz umas considerações na proposta e farei uma reunia com os diretores para apresentação, na sequência quero marcar uma reunião com vocês para conversarmos._x000a_Eu espero te posicionar na próxima terça-feira._x000a_26/02 Alinhar com o Fernando a sequência dos itens que será abordados. E qual item já foi entregue e horas consumidas!_x000a_12/03 O projeto já iniciou e o combinado é que vai cobrar conforme entrega de etapas._x000a_12/03 O projeto já iniciou e o combinado é que vai cobrar conforme entrega de etapas._x000a_20/03 Após alinhamento foi criado pela implantação 10 etapas no projeto, para o acompanhamento e posterior fechamento de horas."/>
    <s v=""/>
    <x v="348"/>
    <n v="3204281000192"/>
    <s v=""/>
    <s v="Robson"/>
    <s v="(11) 4677-6249/ (11) 4677-6250"/>
    <s v=""/>
    <s v="contato@aluminionacional.com.br"/>
    <s v=""/>
    <s v=""/>
    <s v=""/>
    <s v="FERRAZ DE VASCONCELOS"/>
    <s v="SP"/>
    <s v=""/>
    <s v=""/>
    <s v=""/>
    <s v="90%"/>
    <s v="Pipeline de Vendas"/>
    <s v="Em Fechamento (100%)"/>
    <s v=""/>
    <d v="2026-03-31T00:00:00"/>
    <n v="58000"/>
    <n v="0"/>
    <n v="132"/>
    <s v="Paulo Souza"/>
    <d v="2026-01-08T00:00:00"/>
    <d v="1899-12-30T17:22:05"/>
    <s v=""/>
    <s v="Ativo"/>
    <m/>
    <m/>
    <s v=""/>
    <s v=""/>
    <s v=""/>
    <x v="165"/>
    <s v="Paulo Souza"/>
    <x v="178"/>
    <s v=""/>
    <d v="2026-03-20T00:00:00"/>
    <n v="90"/>
    <s v="290"/>
    <s v="TREINAMENTO"/>
    <s v="R$ 58.000,00"/>
    <s v="R$ 0"/>
    <n v="1"/>
  </r>
  <r>
    <x v="0"/>
    <n v="761"/>
    <m/>
    <n v="3053"/>
    <s v="Falei com a Enila e cobrei uma posição se vamos avançar ou não com o projeto. Ela ficou de conversar com o Glayson e me dar um retorno até 12/01/2026."/>
    <s v=""/>
    <x v="349"/>
    <n v="12585697000199"/>
    <s v=""/>
    <s v="Enila"/>
    <s v="(16) 3412-8794"/>
    <s v=""/>
    <s v="operacao@pcp.eng.br"/>
    <s v=""/>
    <s v=""/>
    <s v=""/>
    <s v="SAO CARLOS"/>
    <s v="SP"/>
    <s v=""/>
    <s v=""/>
    <s v=""/>
    <s v=""/>
    <s v="Pipeline de Vendas"/>
    <s v="Em negociação (75%)"/>
    <s v=""/>
    <d v="2026-01-31T00:00:00"/>
    <n v="8100"/>
    <n v="1080"/>
    <n v="4"/>
    <s v="Paulo Souza"/>
    <d v="2026-01-08T00:00:00"/>
    <d v="1899-12-30T17:28:40"/>
    <s v=""/>
    <s v="Perdido"/>
    <d v="2026-01-12T00:00:00"/>
    <d v="1899-12-30T14:31:42"/>
    <s v="Não quer mudar a solução atual"/>
    <s v=""/>
    <s v=""/>
    <x v="164"/>
    <s v="Paulo Souza"/>
    <x v="177"/>
    <s v=""/>
    <d v="2026-01-09T00:00:00"/>
    <m/>
    <s v=""/>
    <s v=""/>
    <s v=""/>
    <s v=""/>
    <n v="1"/>
  </r>
  <r>
    <x v="0"/>
    <n v="762"/>
    <m/>
    <n v="3040"/>
    <s v="Falei com o Ivan hoje que não me deu atenção avisou que estava no transito e não podia atender. Falou para chamar ele no zap e combinar um horário semana que vem. 13/01 - Retomei contato com o IVan e não obtive retorno._x000a_23/01 declinei a proposta por falta de interesse por parte do cliente, não me atendeu e nem respondeu meus contatos."/>
    <s v=""/>
    <x v="350"/>
    <m/>
    <s v=""/>
    <s v="Ivan"/>
    <s v="11930305063"/>
    <s v=""/>
    <s v="liraivan2000@yahoo.com.br"/>
    <s v=""/>
    <s v=""/>
    <s v=""/>
    <s v=""/>
    <s v=""/>
    <s v="Campanha"/>
    <s v=""/>
    <s v=""/>
    <s v="30%;Fora Perfil;Instagram"/>
    <s v="Pipeline de Vendas"/>
    <s v="Qualificação de Vendas (SQL) (25%)"/>
    <s v=""/>
    <d v="2026-01-23T00:00:00"/>
    <m/>
    <m/>
    <n v="15"/>
    <s v="Paulo Souza"/>
    <d v="2026-01-08T00:00:00"/>
    <d v="1899-12-30T17:34:33"/>
    <s v=""/>
    <s v="Perdido"/>
    <d v="2026-01-23T00:00:00"/>
    <d v="1899-12-30T17:56:12"/>
    <s v="Fora do porte mínimo (sem fit estrutural)"/>
    <s v=""/>
    <s v=""/>
    <x v="0"/>
    <s v="Paulo Souza"/>
    <x v="0"/>
    <s v=""/>
    <d v="2026-01-23T00:00:00"/>
    <m/>
    <s v=""/>
    <s v=""/>
    <s v=""/>
    <s v=""/>
    <n v="1"/>
  </r>
  <r>
    <x v="1"/>
    <n v="763"/>
    <m/>
    <n v="3058"/>
    <s v="(12/01/2026) Em contato com Bruno realizamos uma apresentação do força de vendas em 12/01/2026 e falamos um pouco sobre nosso ERP ! logo pediu uma ideia de investimento para seguir _x000a_(29/01/2026) Após envio de proposta cliente não respondeu mais"/>
    <s v=""/>
    <x v="351"/>
    <n v="55042933000133"/>
    <s v=""/>
    <s v="Folha Dourada Tabacos Ltda"/>
    <s v="(32) 8408-3586"/>
    <s v=""/>
    <s v="atacabaco@gmail.com"/>
    <s v=""/>
    <s v=""/>
    <s v=""/>
    <s v="JUIZ DE FORA"/>
    <s v="MG"/>
    <s v="Campanha"/>
    <s v=""/>
    <s v=""/>
    <s v="30%;Dentro Perfil;Instagram"/>
    <s v="Pipeline de Vendas"/>
    <s v="Apresentar Solução (35%)"/>
    <s v=""/>
    <d v="2026-01-31T00:00:00"/>
    <n v="61904"/>
    <n v="13156"/>
    <n v="20"/>
    <s v="Junior Lopes"/>
    <d v="2026-01-09T00:00:00"/>
    <d v="1899-12-30T11:15:37"/>
    <s v=""/>
    <s v="Perdido"/>
    <d v="2026-01-29T00:00:00"/>
    <d v="1899-12-30T14:30:59"/>
    <s v="Projeto adiado / sem prazo definido"/>
    <s v="(29/01/2026) Após envio de proposta cliente não respondeu mais"/>
    <s v=""/>
    <x v="166"/>
    <s v=""/>
    <x v="179"/>
    <s v=""/>
    <d v="2026-01-29T00:00:00"/>
    <m/>
    <s v=""/>
    <s v=""/>
    <s v=""/>
    <s v=""/>
    <n v="1"/>
  </r>
  <r>
    <x v="2"/>
    <n v="764"/>
    <m/>
    <n v="3007"/>
    <s v="Realizamos a apresentação do ERP junto com o  Max seguindo o documento deles de chekilist d aderencia do software, tiraram duvidas dos processos e seguiemos para uma segunda apresentação do AFV e Do BI_x000a_26/01 Video do AFV encaminhado ao cliente, _x000a_Precisamos de mais uma agenda para demonstração das demais soluções_x000a_26.01 - aguardando Fernando passar horas do projeto_x000a_05.02 estou tentando falar com o cliente a algum tempo,fizemos uma reunião para discutir pontos sobre o ERP. E após isso cliente pediu uma proposta comercial, porém para seguir eu precisava levantar alguns dados que não me foram enviados e depois de várias tentativas cliente não me respondeu_x000a_Após nossa reunião sobre o ERP, preparei os pontos necessários para avançarmos com a proposta comercial. No entanto, não recebi os dados solicitados para dar continuidade e, sem eles, não conseguimos evoluir._x000a_Gostaria de reforçar que esta solução representa uma oportunidade única de crescimento e ganho de eficiência para sua empresa. Cada semana de Como não tive nenhum retorno, entendo que não há interesse em seguir neste momento e encerrarei o processo. Ainda assim, permanecerei à disposição para retomar quando considerar oportuno._x000a_Atenciosamente,"/>
    <s v=""/>
    <x v="352"/>
    <n v="51776465000170"/>
    <s v=""/>
    <s v="CLS Química"/>
    <s v="16996298460"/>
    <s v=""/>
    <s v="keila.graciele@clsquimica.com.br"/>
    <s v=""/>
    <s v=""/>
    <s v=""/>
    <s v=""/>
    <s v=""/>
    <s v="Campanha"/>
    <s v=""/>
    <s v=""/>
    <s v="30%;Dentro Perfil;Instagram"/>
    <s v="Pipeline de Vendas"/>
    <s v="Apresentar Proposta (50%)"/>
    <s v=""/>
    <d v="2026-03-31T00:00:00"/>
    <m/>
    <m/>
    <n v="120"/>
    <s v="Rayssa Karapeticov"/>
    <d v="2026-01-09T00:00:00"/>
    <d v="1899-12-30T11:44:25"/>
    <s v=""/>
    <s v="Perdido"/>
    <d v="2026-05-09T00:00:00"/>
    <d v="1899-12-30T08:32:37"/>
    <s v="Não quer mudar a solução atual"/>
    <s v=""/>
    <s v=""/>
    <x v="0"/>
    <s v="Rayssa Karapeticov"/>
    <x v="180"/>
    <s v=""/>
    <d v="2026-01-28T00:00:00"/>
    <m/>
    <s v=""/>
    <s v=""/>
    <s v=""/>
    <s v=""/>
    <n v="1"/>
  </r>
  <r>
    <x v="0"/>
    <n v="766"/>
    <m/>
    <n v="3063"/>
    <s v="Tiago, retorna apena no dia 15/01, data que retomo o contato com ele._x000a_23/01 - Fechamos negocio."/>
    <s v=""/>
    <x v="353"/>
    <m/>
    <s v=""/>
    <s v="Tiago"/>
    <s v="11971597112"/>
    <s v=""/>
    <s v="null"/>
    <s v=""/>
    <s v=""/>
    <s v=""/>
    <s v=""/>
    <s v=""/>
    <s v=""/>
    <s v=""/>
    <s v=""/>
    <s v="90%;Fabio Indica"/>
    <s v="Pipeline de Vendas"/>
    <s v="Em Fechamento (100%)"/>
    <s v=""/>
    <d v="2026-01-15T00:00:00"/>
    <n v="56100"/>
    <n v="67334"/>
    <n v="14"/>
    <s v="Paulo Souza"/>
    <d v="2026-01-09T00:00:00"/>
    <d v="1899-12-30T15:28:21"/>
    <s v=""/>
    <s v="Ganho"/>
    <d v="2026-01-23T00:00:00"/>
    <d v="1899-12-30T11:05:59"/>
    <s v=""/>
    <s v=""/>
    <s v=""/>
    <x v="164"/>
    <s v="Paulo Souza"/>
    <x v="181"/>
    <s v=""/>
    <d v="2026-01-15T00:00:00"/>
    <m/>
    <s v=""/>
    <s v=""/>
    <s v=""/>
    <s v=""/>
    <n v="1"/>
  </r>
  <r>
    <x v="0"/>
    <n v="767"/>
    <m/>
    <n v="3064"/>
    <s v="Cobrei o André hoje aguardando o retorno sobre a evolução do projeto._x000a_19/01 Fiz FUP com o Andre ele me posicionou que o presidente esta afastado por motivos de saúde e que como ele que decide, só na volta dele para avança. A previsão e que ele retorne na semana do dia 26/1._x000a_07/02 Fiz fup hoje com o André e aguardo a posição dele se a diretoria retornou e se vamos seguir ou não com o projeto._x000a_27/02 Por falta de retorno por parte do cliente, estou declinando a proposta."/>
    <s v=""/>
    <x v="354"/>
    <m/>
    <s v=""/>
    <s v="Andre"/>
    <s v="11982745856"/>
    <s v=""/>
    <s v="andrefelipone@olealimentos.com.br"/>
    <s v=""/>
    <s v=""/>
    <s v=""/>
    <s v=""/>
    <s v=""/>
    <s v=""/>
    <s v=""/>
    <s v=""/>
    <s v="30%;Fabio Indica"/>
    <s v="Pipeline de Vendas"/>
    <s v="Em negociação (75%)"/>
    <s v=""/>
    <d v="2026-01-31T00:00:00"/>
    <n v="16000"/>
    <n v="18330"/>
    <n v="49"/>
    <s v="Paulo Souza"/>
    <d v="2026-01-09T00:00:00"/>
    <d v="1899-12-30T15:38:45"/>
    <s v=""/>
    <s v="Perdido"/>
    <d v="2026-02-27T00:00:00"/>
    <d v="1899-12-30T21:22:05"/>
    <s v="Preço muito alto - fora do budget de investimento"/>
    <s v=""/>
    <s v=""/>
    <x v="167"/>
    <s v="Paulo Souza"/>
    <x v="178"/>
    <s v=""/>
    <d v="2026-01-19T00:00:00"/>
    <n v="30"/>
    <s v="80"/>
    <s v="AFV"/>
    <s v="R$ 16.000"/>
    <s v="R$ 18.330"/>
    <n v="1"/>
  </r>
  <r>
    <x v="2"/>
    <n v="768"/>
    <m/>
    <n v="2107"/>
    <s v="11:25, 1/13/2026 +55 47 8834-5510: Bom dia Rayssa. Tudo bem?_x000a_11:25, 1/13/2026 +55 47 8834-5510: Aguarde um pouco antes de continuar a RFP._x000a_11:25, 1/13/2026 Rayssa Karapeticov - Comercial - Guarani Sistemas: Tudo otimo e  você?_x000a_Blzinha_x000a_11:28, 1/13/2026 +55 47 8834-5510: Existem alguns itens que observei e conversei com as áreas envolvidas, e que são difícil de negociar, comparado com outros fabricantes que já estão também participando._x000a_11:29, 1/13/2026 +55 47 8834-5510: Vamos deixar nesse momento suspenso o processo de RFP com vcs, e caso ocorra alguma mudança muito grande com aqueles que estão participando, eu aviso a necessidade de retomar ok?_x000a_11:29, 1/13/2026 +55 47 8834-5510: Agradeço demais seu tempo até aqui, e é realmente para evitar um trabalho maior agora, que tz não seja possível avançar depois._x000a_11:30, 1/13/2026 +55 47 8834-5510: 🙏🏻🙏🏻🙏🏻🙏🏻_x000a_11:30, 1/13/2026 Rayssa Karapeticov - Comercial - Guarani Sistemas: Entendo perfeitamente, para resgistro de feedback, quais são esses pontos?_x000a_11:32, 1/13/2026 +55 47 8834-5510: Em especial itens de tecnologia, e alguns pontos das áreas de negócio já preenchidas. _x000a_Fiz um bate papo com a equipe para olharmos oq já foi preenchido, e relacionamos com os demais fabricantes que estão participando._x000a_11:33, 1/13/2026 Rayssa Karapeticov - Comercial - Guarani Sistemas: Certo, fico a disposição aqui caso queira continuar. _x000a_Qualquer duvida também pode me chamar_x000a_11:33, 1/13/2026 +55 47 8834-5510: Como o objetivo é seguir a prox fase com no máx 3 fabricantes, outros fabricantes já se enquadraram melhor no que estamos buscando._x000a_11:33, 1/13/2026 +55 47 8834-5510: Mas se algo mudar durante o processo, eu aviso. Muito obrigadoooo!!!_x000a_11:34, 1/13/2026 Rayssa Karapeticov - Comercial - Guarani Sistemas: Combinado"/>
    <s v="Maral Industria E Comercio De Brinquedos Ltda"/>
    <x v="355"/>
    <n v="10469551000152"/>
    <s v=""/>
    <s v="Carlos Alberto Kuehl"/>
    <s v="(47) 3387-5400/ (47) 3394-0982"/>
    <s v=""/>
    <s v="contato@maral.ind.br"/>
    <s v=""/>
    <s v=""/>
    <s v=""/>
    <s v="POMERODE"/>
    <s v="SC"/>
    <s v="Base de empresas Leads2b"/>
    <s v=""/>
    <s v=""/>
    <s v="30%;Dentro Perfil;Feiras"/>
    <s v="Pipeline de Vendas"/>
    <s v="Qualificação de Vendas (SQL) (25%)"/>
    <s v=""/>
    <d v="2026-04-30T00:00:00"/>
    <m/>
    <m/>
    <n v="11"/>
    <s v="Rayssa Karapeticov"/>
    <d v="2026-01-09T00:00:00"/>
    <d v="1899-12-30T16:53:32"/>
    <s v=""/>
    <s v="Perdido"/>
    <d v="2026-01-20T00:00:00"/>
    <d v="1899-12-30T17:10:21"/>
    <s v="Fechou com o concorrente - preço"/>
    <s v=""/>
    <s v=""/>
    <x v="0"/>
    <s v=""/>
    <x v="0"/>
    <s v=""/>
    <d v="2026-01-13T00:00:00"/>
    <m/>
    <s v=""/>
    <s v=""/>
    <s v=""/>
    <s v=""/>
    <n v="1"/>
  </r>
  <r>
    <x v="0"/>
    <n v="769"/>
    <m/>
    <n v="2997"/>
    <s v="Falei com o Kleber hoje novamente e estou aguardando ele me dar um retorno sobre agenda. 13/01 - Fiz contato com o Kleber para saber se tem interesse ou não em seguir,"/>
    <s v=""/>
    <x v="356"/>
    <m/>
    <s v=""/>
    <s v="Kleber"/>
    <s v="11991898161"/>
    <s v=""/>
    <s v="kleber.ppbh@gmail.com"/>
    <s v=""/>
    <s v=""/>
    <s v=""/>
    <s v=""/>
    <s v=""/>
    <s v="Campanha"/>
    <s v=""/>
    <s v=""/>
    <s v="30%;Dentro Perfil;Instagram"/>
    <s v="Pipeline de Vendas"/>
    <s v="Qualificação de Vendas (SQL) (25%)"/>
    <s v=""/>
    <d v="2026-01-31T00:00:00"/>
    <m/>
    <m/>
    <n v="1"/>
    <s v="Paulo Souza"/>
    <d v="2026-01-12T00:00:00"/>
    <d v="1899-12-30T17:30:01"/>
    <s v=""/>
    <s v="Perdido"/>
    <d v="2026-01-13T00:00:00"/>
    <d v="1899-12-30T17:30:51"/>
    <s v="Não quer mudar a solução atual"/>
    <s v=""/>
    <s v=""/>
    <x v="0"/>
    <s v="Paulo Souza"/>
    <x v="0"/>
    <s v=""/>
    <m/>
    <m/>
    <s v=""/>
    <s v=""/>
    <s v=""/>
    <s v=""/>
    <n v="1"/>
  </r>
  <r>
    <x v="0"/>
    <n v="770"/>
    <m/>
    <n v="3005"/>
    <s v="Falei Com Omar hoje 12/01 e ele falou que retorna de viagem dia 15/01 e é para procurá-lo._x000a_23/01 Fiz FUP hoje como o Omar, para avançar com uma agenda na quinta ou sexta da semana do dia 26/01. Aguardando o retorno do cleinte._x000a_09/02/26 Fiz fup e ele acabou fechando com um sistema pequeno."/>
    <s v=""/>
    <x v="357"/>
    <n v="18190972000151"/>
    <s v=""/>
    <s v="Zini home"/>
    <s v="12997937887"/>
    <s v=""/>
    <s v="omar@zinihome.com.br"/>
    <s v=""/>
    <s v=""/>
    <s v=""/>
    <s v=""/>
    <s v=""/>
    <s v="Campanha"/>
    <s v=""/>
    <s v=""/>
    <s v="30%;Dentro Perfil;Instagram"/>
    <s v="Pipeline de Vendas"/>
    <s v="Qualificação de Vendas (SQL) (25%)"/>
    <s v=""/>
    <d v="2026-01-31T00:00:00"/>
    <m/>
    <m/>
    <n v="38"/>
    <s v="Paulo Souza"/>
    <d v="2026-01-12T00:00:00"/>
    <d v="1899-12-30T17:33:46"/>
    <s v=""/>
    <s v="Perdido"/>
    <d v="2026-02-19T00:00:00"/>
    <d v="1899-12-30T17:50:16"/>
    <s v="Fechou com o concorrente - preço"/>
    <s v=""/>
    <s v=""/>
    <x v="0"/>
    <s v="Paulo Souza"/>
    <x v="0"/>
    <s v=""/>
    <d v="2026-01-23T00:00:00"/>
    <n v="30"/>
    <s v=""/>
    <s v=""/>
    <s v=""/>
    <s v=""/>
    <n v="1"/>
  </r>
  <r>
    <x v="0"/>
    <n v="771"/>
    <m/>
    <n v="3001"/>
    <s v="Fernando , esta de féria e só vamos conseguir realizar o bate-papo após o seu retorno. O previsto é no dia 16/01/2026._x000a_23/01 Fiz FUP hoje com o Fernando para agendar uma reunião na semana que vem , na quarta ou quinta._x000a_05/02 Fiz FUP hoje com o Fernando, e ele cancelou a nossa reunião das 10h. Fiz uma nova agenda para o dia 11/02 às 15h!_x000a_12/03  Fiz FUP com o Fernando afim de saber se ele vai querer continuar ou nao._x000a_12/03 Por falta de interesse estou declinando o lead. Após apresentar a solução o cliente esfriou e sumiu não dando retorno._x000a_20/03 Fiz FUP e cobrei o Fernando se seguiremos ou não com o projeto."/>
    <s v=""/>
    <x v="358"/>
    <m/>
    <s v=""/>
    <s v="Russa Diatribuidora"/>
    <s v="11991303160"/>
    <s v=""/>
    <s v="fernando@russadistribuidora.com.br"/>
    <s v=""/>
    <s v=""/>
    <s v=""/>
    <s v=""/>
    <s v=""/>
    <s v="Campanha"/>
    <s v=""/>
    <s v=""/>
    <s v="30%;Dentro Perfil;Instagram"/>
    <s v="Pipeline de Vendas"/>
    <s v="Em negociação (75%)"/>
    <s v=""/>
    <d v="2026-03-31T00:00:00"/>
    <n v="6840289"/>
    <n v="44907"/>
    <n v="126"/>
    <s v="Paulo Souza"/>
    <d v="2026-01-12T00:00:00"/>
    <d v="1899-12-30T17:38:29"/>
    <s v=""/>
    <s v="Perdido"/>
    <d v="2026-05-18T00:00:00"/>
    <d v="1899-12-30T16:52:10"/>
    <s v="Não era o decisor - sem acesso"/>
    <s v=""/>
    <s v=""/>
    <x v="168"/>
    <s v="Paulo Souza"/>
    <x v="182"/>
    <s v=""/>
    <d v="2026-04-20T00:00:00"/>
    <n v="30"/>
    <s v=""/>
    <s v="ERP, AFV"/>
    <s v=""/>
    <s v=""/>
    <n v="1"/>
  </r>
  <r>
    <x v="0"/>
    <n v="772"/>
    <m/>
    <n v="3008"/>
    <s v="Após conversa com Everaldo ele informou que el loja de varejo e não vamos atender varejo em 2026"/>
    <s v=""/>
    <x v="359"/>
    <m/>
    <s v=""/>
    <s v="Everaldo"/>
    <s v="(21) 96439-0742"/>
    <s v=""/>
    <s v="e.leonardojr@hotmail.com"/>
    <s v=""/>
    <s v=""/>
    <s v=""/>
    <s v="Rio de Janeiro"/>
    <s v=""/>
    <s v="Site"/>
    <s v=""/>
    <s v=""/>
    <s v="30%"/>
    <s v="Pipeline de Vendas"/>
    <s v="Qualificação de Vendas (SQL) (25%)"/>
    <s v=""/>
    <d v="2026-01-31T00:00:00"/>
    <m/>
    <m/>
    <n v="0"/>
    <s v="Paulo Souza"/>
    <d v="2026-01-12T00:00:00"/>
    <d v="1899-12-30T17:43:14"/>
    <s v=""/>
    <s v="Perdido"/>
    <d v="2026-01-12T00:00:00"/>
    <d v="1899-12-30T22:28:23"/>
    <s v="Fora do porte mínimo (sem fit estrutural)"/>
    <s v=""/>
    <s v=""/>
    <x v="0"/>
    <s v="Paulo Souza"/>
    <x v="0"/>
    <s v=""/>
    <m/>
    <m/>
    <s v=""/>
    <s v=""/>
    <s v=""/>
    <s v=""/>
    <n v="1"/>
  </r>
  <r>
    <x v="0"/>
    <n v="773"/>
    <m/>
    <n v="3000"/>
    <s v="Falei com o Joao hoje 12/01 e combinamos de conversa na segunda dia 15/01._x000a_23/01 Fiz FUP hoje com o João para agendar uma apresentação na próxima semana."/>
    <s v=""/>
    <x v="360"/>
    <m/>
    <s v=""/>
    <s v="João"/>
    <s v="(17) 98126-9337"/>
    <s v=""/>
    <s v="joao@stokfrios.com.br"/>
    <s v=""/>
    <s v=""/>
    <s v=""/>
    <s v="São José do Rio Preto"/>
    <s v=""/>
    <s v="Site"/>
    <s v=""/>
    <s v=""/>
    <s v="30%;Contato;Solicita demo"/>
    <s v="Inbound"/>
    <s v="Novos Leads (0%)"/>
    <s v=""/>
    <d v="2026-01-31T00:00:00"/>
    <m/>
    <m/>
    <n v="128"/>
    <s v="Paulo Souza"/>
    <d v="2026-01-12T00:00:00"/>
    <d v="1899-12-30T17:46:12"/>
    <s v=""/>
    <s v="Ativo"/>
    <m/>
    <m/>
    <s v=""/>
    <s v=""/>
    <s v=""/>
    <x v="0"/>
    <s v="Paulo Souza"/>
    <x v="0"/>
    <s v=""/>
    <d v="2026-01-23T00:00:00"/>
    <n v="30"/>
    <s v=""/>
    <s v=""/>
    <s v=""/>
    <s v=""/>
    <n v="1"/>
  </r>
  <r>
    <x v="1"/>
    <n v="774"/>
    <m/>
    <n v="3067"/>
    <s v="(14/01/2026)Em contato com Marcelo para entender mais sobre sua empresa e necessidades _x000a_(20/01/2026) em contato com André, sua confecção é de camisetas, uniformes, bonés ! existem algumas particularidades que necessitam no software como grades de cores e tamanhos e algumas particularidades para confecção ! atende cliente final B2C ! cliente de operação pequena que não esta na hora de embarcar com Guarani devido ao valor de investimento"/>
    <s v=""/>
    <x v="361"/>
    <m/>
    <s v=""/>
    <s v="Atacado Delfino"/>
    <s v="51986006121"/>
    <s v=""/>
    <s v="dhcamisetas@terra.com.br"/>
    <s v=""/>
    <s v=""/>
    <s v=""/>
    <s v=""/>
    <s v=""/>
    <s v="Campanha"/>
    <s v=""/>
    <s v=""/>
    <s v="30%;Fora Perfil;Instagram"/>
    <s v="Pipeline de Vendas"/>
    <s v="Qualificação de Vendas (SQL) (25%)"/>
    <s v=""/>
    <d v="2026-01-31T00:00:00"/>
    <m/>
    <m/>
    <n v="26"/>
    <s v="Paulo Souza"/>
    <d v="2026-01-12T00:00:00"/>
    <d v="1899-12-30T21:53:02"/>
    <s v=""/>
    <s v="Perdido"/>
    <d v="2026-02-07T00:00:00"/>
    <d v="1899-12-30T07:42:39"/>
    <s v="Fora do porte mínimo (sem fit estrutural)"/>
    <s v=""/>
    <s v=""/>
    <x v="0"/>
    <s v="Junior Lopes"/>
    <x v="0"/>
    <s v=""/>
    <d v="2026-01-20T00:00:00"/>
    <m/>
    <s v=""/>
    <s v=""/>
    <s v=""/>
    <s v=""/>
    <n v="1"/>
  </r>
  <r>
    <x v="1"/>
    <n v="775"/>
    <m/>
    <n v="3069"/>
    <s v="(14/01/2026) Após tentativa por ligação foi efetuado tentativa de contato via WhatsApp conforme mensagem abaixo : _x000a_(16/01/2026) tentei novamente contato via telefone com Nykollas porem sem retorno ! estou declinando oportunidade_x000a_16:31, 12/01/2026 Junior Lopes: Olá Nycollas , boa tarde_x000a_16:32, 12/01/2026 Junior Lopes: Sou Junior Lopes da Guarani sistemas! Td bem ?_x000a_11:56, 14/01/2026 Junior Lopes: Olá Boa tarde !  _x000a_Estamos retornando seu contato sobre nossas soluções em ERP ! Qual melhor horário para falarmos ?"/>
    <s v=""/>
    <x v="362"/>
    <m/>
    <s v=""/>
    <s v="BK COMÉRCIO LTDA"/>
    <s v="92988541804"/>
    <s v=""/>
    <s v="nykollaskelvyn86@gmail.com"/>
    <s v=""/>
    <s v=""/>
    <s v=""/>
    <s v=""/>
    <s v=""/>
    <s v="Campanha"/>
    <s v=""/>
    <s v=""/>
    <s v="30%;Fora Perfil;Instagram"/>
    <s v="Pipeline de Vendas"/>
    <s v="Qualificação de Vendas (SQL) (25%)"/>
    <s v=""/>
    <d v="2026-01-31T00:00:00"/>
    <m/>
    <m/>
    <n v="26"/>
    <s v="Paulo Souza"/>
    <d v="2026-01-12T00:00:00"/>
    <d v="1899-12-30T21:53:50"/>
    <s v=""/>
    <s v="Perdido"/>
    <d v="2026-02-07T00:00:00"/>
    <d v="1899-12-30T07:50:15"/>
    <s v="Fora do porte mínimo (sem fit estrutural)"/>
    <s v=""/>
    <s v=""/>
    <x v="0"/>
    <s v="Junior Lopes"/>
    <x v="0"/>
    <s v=""/>
    <d v="2026-01-16T00:00:00"/>
    <m/>
    <s v=""/>
    <s v=""/>
    <s v=""/>
    <s v=""/>
    <n v="1"/>
  </r>
  <r>
    <x v="2"/>
    <n v="776"/>
    <m/>
    <n v="3041"/>
    <s v="Não consegui retorno nem contato"/>
    <s v=""/>
    <x v="363"/>
    <m/>
    <s v=""/>
    <s v="Fisiohosp"/>
    <s v="6596658787"/>
    <s v=""/>
    <s v="contabilfisio2024@gmail.com"/>
    <s v=""/>
    <s v=""/>
    <s v=""/>
    <s v=""/>
    <s v=""/>
    <s v="Campanha"/>
    <s v=""/>
    <s v=""/>
    <s v="30%;Fora Perfil;Instagram"/>
    <s v="Pipeline de Vendas"/>
    <s v="Qualificação de Vendas (SQL) (25%)"/>
    <s v=""/>
    <d v="2026-01-31T00:00:00"/>
    <m/>
    <m/>
    <n v="105"/>
    <s v="Paulo Souza"/>
    <d v="2026-01-12T00:00:00"/>
    <d v="1899-12-30T21:57:54"/>
    <s v=""/>
    <s v="Perdido"/>
    <d v="2026-04-27T00:00:00"/>
    <d v="1899-12-30T16:00:34"/>
    <s v="Fora do porte mínimo (sem fit estrutural)"/>
    <s v=""/>
    <s v=""/>
    <x v="0"/>
    <s v="Junior Lopes"/>
    <x v="0"/>
    <s v=""/>
    <d v="2026-04-13T00:00:00"/>
    <n v="30"/>
    <s v=""/>
    <s v=""/>
    <s v=""/>
    <s v=""/>
    <n v="1"/>
  </r>
  <r>
    <x v="2"/>
    <n v="777"/>
    <m/>
    <n v="3047"/>
    <s v="cliente marcou uma reunião na sexta porém não entrou no link estou tentando reagendar mas não deu retorno"/>
    <s v=""/>
    <x v="364"/>
    <m/>
    <s v=""/>
    <s v="Vida Fitness"/>
    <s v="71996614629"/>
    <s v=""/>
    <s v="vidafitness@outlook.com.br"/>
    <s v=""/>
    <s v=""/>
    <s v=""/>
    <s v=""/>
    <s v=""/>
    <s v="Campanha"/>
    <s v=""/>
    <s v=""/>
    <s v="30%;Fora Perfil;Instagram"/>
    <s v="Pipeline de Vendas"/>
    <s v="Qualificação de Vendas (SQL) (25%)"/>
    <s v=""/>
    <d v="2026-01-31T00:00:00"/>
    <m/>
    <m/>
    <n v="26"/>
    <s v="Paulo Souza"/>
    <d v="2026-01-12T00:00:00"/>
    <d v="1899-12-30T21:58:55"/>
    <s v=""/>
    <s v="Perdido"/>
    <d v="2026-02-07T00:00:00"/>
    <d v="1899-12-30T07:47:45"/>
    <s v="Fora do porte mínimo (sem fit estrutural)"/>
    <s v=""/>
    <s v=""/>
    <x v="0"/>
    <s v="Rayssa Karapeticov"/>
    <x v="0"/>
    <s v=""/>
    <d v="2026-01-16T00:00:00"/>
    <m/>
    <s v=""/>
    <s v=""/>
    <s v=""/>
    <s v=""/>
    <n v="1"/>
  </r>
  <r>
    <x v="2"/>
    <n v="778"/>
    <m/>
    <n v="3059"/>
    <s v="Bom dia Luan, como vai?_x000a_Estou tentando contato com você para entender sua solicitação para conhecer nossos sistemas._x000a_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_x000a_Vou deixar uma apresentação de nossa empresa e quando tiver um tempo disponivel por retornar o contato"/>
    <s v=""/>
    <x v="365"/>
    <n v="30250062000112"/>
    <s v=""/>
    <s v="HORTODASACACIAS"/>
    <s v="21966014543"/>
    <s v=""/>
    <s v="financeiro1@hortodasacacias.com.br"/>
    <s v=""/>
    <s v=""/>
    <s v=""/>
    <s v="RIO DE JANEIRO"/>
    <s v="RJ"/>
    <s v="Campanha"/>
    <s v=""/>
    <s v=""/>
    <s v="30%;Fora Perfil;Instagram"/>
    <s v="Pipeline de Vendas"/>
    <s v="Qualificação de Vendas (SQL) (25%)"/>
    <s v=""/>
    <d v="2026-01-31T00:00:00"/>
    <m/>
    <m/>
    <n v="2"/>
    <s v="Paulo Souza"/>
    <d v="2026-01-12T00:00:00"/>
    <d v="1899-12-30T22:00:47"/>
    <s v=""/>
    <s v="Perdido"/>
    <d v="2026-01-14T00:00:00"/>
    <d v="1899-12-30T11:54:09"/>
    <s v="Fora do porte mínimo (sem fit estrutural)"/>
    <s v=""/>
    <s v=""/>
    <x v="0"/>
    <s v="Rayssa Karapeticov"/>
    <x v="0"/>
    <s v=""/>
    <d v="2026-01-13T00:00:00"/>
    <m/>
    <s v=""/>
    <s v=""/>
    <s v=""/>
    <s v=""/>
    <n v="1"/>
  </r>
  <r>
    <x v="2"/>
    <n v="779"/>
    <m/>
    <n v="3066"/>
    <s v="Empresa fora do perfil, vendem produto porta a porta e o contato é  vendedor"/>
    <s v=""/>
    <x v="366"/>
    <n v="22422233000115"/>
    <s v=""/>
    <s v="Devons Hair"/>
    <s v="(41) 9900-2255 / (41) 8428-6900 / (18) 3361-4423"/>
    <s v=""/>
    <s v="denilribeiro@gmail.com"/>
    <s v=""/>
    <s v=""/>
    <s v=""/>
    <s v="CAMPO LARGO"/>
    <s v="PR"/>
    <s v="Campanha"/>
    <s v=""/>
    <s v=""/>
    <s v="30%;Fora Perfil;Instagram"/>
    <s v="Pipeline de Vendas"/>
    <s v="Qualificação de Vendas (SQL) (25%)"/>
    <s v=""/>
    <d v="2026-01-31T00:00:00"/>
    <m/>
    <m/>
    <n v="4"/>
    <s v="Paulo Souza"/>
    <d v="2026-01-12T00:00:00"/>
    <d v="1899-12-30T22:01:35"/>
    <s v=""/>
    <s v="Perdido"/>
    <d v="2026-01-16T00:00:00"/>
    <d v="1899-12-30T09:34:44"/>
    <s v="Fora do porte mínimo (sem fit estrutural)"/>
    <s v=""/>
    <s v=""/>
    <x v="0"/>
    <s v="Rayssa Karapeticov"/>
    <x v="0"/>
    <s v=""/>
    <d v="2026-01-16T00:00:00"/>
    <m/>
    <s v=""/>
    <s v=""/>
    <s v=""/>
    <s v=""/>
    <n v="1"/>
  </r>
  <r>
    <x v="0"/>
    <n v="780"/>
    <m/>
    <n v="3068"/>
    <s v="Hoje 13/01 busquei agenda com o Ricardo sem sucesso._x000a_23/01 Fiz FUP hoje com o Ricardo para saber se ele quer ou nao seguir , pois ele não retorna os mus contatos._x000a_23/01 o numero estava errado , consegui o numero certo e retomei os contatos sem sucesso no retorno ainda. _x000a_07/02 Após diversas tentativa de contato com o Ricardo sem sucesso estou declinando a oportunidade."/>
    <s v=""/>
    <x v="367"/>
    <m/>
    <s v=""/>
    <s v="Deltamed Comércio e Servicos Ltda"/>
    <s v="51997766708"/>
    <s v=""/>
    <s v="rrnnaa@gmail.com"/>
    <s v=""/>
    <s v=""/>
    <s v=""/>
    <s v=""/>
    <s v=""/>
    <s v="Campanha"/>
    <s v=""/>
    <s v=""/>
    <s v="30%;Fora Perfil;Instagram"/>
    <s v="Pipeline de Vendas"/>
    <s v="Qualificação de Vendas (SQL) (25%)"/>
    <s v=""/>
    <d v="2026-01-31T00:00:00"/>
    <m/>
    <m/>
    <n v="26"/>
    <s v="Paulo Souza"/>
    <d v="2026-01-12T00:00:00"/>
    <d v="1899-12-30T22:02:28"/>
    <s v=""/>
    <s v="Perdido"/>
    <d v="2026-02-07T00:00:00"/>
    <d v="1899-12-30T07:27:31"/>
    <s v="Fora do porte mínimo (sem fit estrutural)"/>
    <s v="07/02 Após diversas tentativa de contato com o Ricardo sem sucesso estou declinando a oportunidade."/>
    <s v=""/>
    <x v="0"/>
    <s v="Paulo Souza"/>
    <x v="0"/>
    <s v=""/>
    <d v="2026-01-23T00:00:00"/>
    <n v="30"/>
    <s v=""/>
    <s v=""/>
    <s v=""/>
    <s v=""/>
    <n v="1"/>
  </r>
  <r>
    <x v="2"/>
    <n v="781"/>
    <m/>
    <n v="3070"/>
    <s v="Bom dia Adelita, como vai?_x000a_Estou tentando contato com você para entender sua solicitação para conhecer nossos sistemas._x000a_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_x000a_Vou deixar uma apresentação de nossa empresa e quando tiver um tempo disponivel por retornar o contato_x000a_tentie contato no celular cadastrado e no telefone fixo da empresa 35) 3067-8566"/>
    <s v=""/>
    <x v="368"/>
    <n v="29495831000163"/>
    <s v=""/>
    <s v="Alpinpro"/>
    <s v="(35) 9125-9412"/>
    <s v=""/>
    <s v="adelita@alpinpro.com.br"/>
    <s v=""/>
    <s v=""/>
    <s v=""/>
    <s v="VARGINHA"/>
    <s v="MG"/>
    <s v="Campanha"/>
    <s v=""/>
    <s v=""/>
    <s v="30%;Fora Perfil;Instagram"/>
    <s v="Pipeline de Vendas"/>
    <s v="Qualificação de Vendas (SQL) (25%)"/>
    <s v=""/>
    <d v="2026-01-31T00:00:00"/>
    <m/>
    <m/>
    <n v="101"/>
    <s v="Paulo Souza"/>
    <d v="2026-01-12T00:00:00"/>
    <d v="1899-12-30T22:03:10"/>
    <s v=""/>
    <s v="Perdido"/>
    <d v="2026-04-23T00:00:00"/>
    <d v="1899-12-30T09:18:28"/>
    <s v="Fora do porte mínimo (sem fit estrutural)"/>
    <s v=""/>
    <s v=""/>
    <x v="0"/>
    <s v="Rayssa Karapeticov"/>
    <x v="0"/>
    <s v=""/>
    <d v="2026-04-23T00:00:00"/>
    <m/>
    <s v=""/>
    <s v=""/>
    <s v=""/>
    <s v=""/>
    <n v="1"/>
  </r>
  <r>
    <x v="2"/>
    <n v="782"/>
    <m/>
    <n v="3009"/>
    <s v=""/>
    <s v=""/>
    <x v="369"/>
    <n v="10942276000142"/>
    <s v=""/>
    <s v="Suprema"/>
    <s v="4130959299"/>
    <s v=""/>
    <s v="ordelo01@jotmail.com"/>
    <s v=""/>
    <s v=""/>
    <s v=""/>
    <s v=""/>
    <s v=""/>
    <s v="Campanha"/>
    <s v=""/>
    <s v=""/>
    <s v="Fora Perfil;Instagram"/>
    <s v="Pipeline de Vendas"/>
    <s v="Agendamento (0%)"/>
    <s v=""/>
    <m/>
    <m/>
    <m/>
    <n v="0"/>
    <s v="Paulo Souza"/>
    <d v="2026-01-12T00:00:00"/>
    <d v="1899-12-30T22:36:32"/>
    <s v=""/>
    <s v="Perdido"/>
    <d v="2026-01-12T00:00:00"/>
    <d v="1899-12-30T22:36:54"/>
    <s v="Fora do porte mínimo (sem fit estrutural)"/>
    <s v=""/>
    <s v=""/>
    <x v="0"/>
    <s v="Rayssa Karapeticov"/>
    <x v="0"/>
    <s v=""/>
    <m/>
    <m/>
    <s v=""/>
    <s v=""/>
    <s v=""/>
    <s v=""/>
    <n v="1"/>
  </r>
  <r>
    <x v="0"/>
    <n v="783"/>
    <m/>
    <n v="3010"/>
    <s v=""/>
    <s v=""/>
    <x v="370"/>
    <m/>
    <s v=""/>
    <s v="Carlinhos Doces Artesanais"/>
    <s v="41997238911"/>
    <s v=""/>
    <s v="carlinhosrepresentacao24@gmail.com"/>
    <s v=""/>
    <s v=""/>
    <s v=""/>
    <s v=""/>
    <s v=""/>
    <s v="Campanha"/>
    <s v=""/>
    <s v=""/>
    <s v="Fora Perfil;Instagram"/>
    <s v="Pipeline de Vendas"/>
    <s v="Agendamento (0%)"/>
    <s v=""/>
    <m/>
    <m/>
    <m/>
    <n v="0"/>
    <s v="Paulo Souza"/>
    <d v="2026-01-12T00:00:00"/>
    <d v="1899-12-30T22:37:42"/>
    <s v=""/>
    <s v="Perdido"/>
    <d v="2026-01-12T00:00:00"/>
    <d v="1899-12-30T22:37:58"/>
    <s v="Fora do porte mínimo (sem fit estrutural)"/>
    <s v=""/>
    <s v=""/>
    <x v="0"/>
    <s v="Rayssa Karapeticov"/>
    <x v="0"/>
    <s v=""/>
    <m/>
    <m/>
    <s v=""/>
    <s v=""/>
    <s v=""/>
    <s v=""/>
    <n v="1"/>
  </r>
  <r>
    <x v="0"/>
    <n v="784"/>
    <m/>
    <n v="3015"/>
    <s v=""/>
    <s v=""/>
    <x v="371"/>
    <m/>
    <s v=""/>
    <s v="Kuff Consultoria"/>
    <s v="42998191259"/>
    <s v=""/>
    <s v="thiagokuf@hotmail.com"/>
    <s v=""/>
    <s v=""/>
    <s v=""/>
    <s v=""/>
    <s v=""/>
    <s v="Campanha"/>
    <s v=""/>
    <s v=""/>
    <s v="Fora Perfil;Instagram"/>
    <s v="Pipeline de Vendas"/>
    <s v="Agendamento (0%)"/>
    <s v=""/>
    <m/>
    <m/>
    <m/>
    <n v="0"/>
    <s v="Paulo Souza"/>
    <d v="2026-01-12T00:00:00"/>
    <d v="1899-12-30T22:38:54"/>
    <s v=""/>
    <s v="Perdido"/>
    <d v="2026-01-12T00:00:00"/>
    <d v="1899-12-30T22:39:05"/>
    <s v="Fora do porte mínimo (sem fit estrutural)"/>
    <s v=""/>
    <s v=""/>
    <x v="0"/>
    <s v="Junior Lopes"/>
    <x v="0"/>
    <s v=""/>
    <m/>
    <m/>
    <s v=""/>
    <s v=""/>
    <s v=""/>
    <s v=""/>
    <n v="1"/>
  </r>
  <r>
    <x v="0"/>
    <n v="785"/>
    <m/>
    <n v="2669"/>
    <s v=""/>
    <s v=""/>
    <x v="372"/>
    <m/>
    <s v=""/>
    <s v="RENATO DE MATTOS MALAQUIAS"/>
    <s v="(21) 99470-2428"/>
    <s v=""/>
    <s v="representacoesvendas02@gmail.com"/>
    <s v=""/>
    <s v=""/>
    <s v=""/>
    <s v="Nova Iguaçu"/>
    <s v=""/>
    <s v="Site"/>
    <s v=""/>
    <s v=""/>
    <s v="Contato;Fora Perfil;Instagram"/>
    <s v="Pipeline de Vendas"/>
    <s v="Agendamento (0%)"/>
    <s v=""/>
    <m/>
    <m/>
    <m/>
    <n v="0"/>
    <s v="Paulo Souza"/>
    <d v="2026-01-12T00:00:00"/>
    <d v="1899-12-30T22:39:38"/>
    <s v=""/>
    <s v="Perdido"/>
    <d v="2026-01-12T00:00:00"/>
    <d v="1899-12-30T22:39:50"/>
    <s v="Fora do porte mínimo (sem fit estrutural)"/>
    <s v=""/>
    <s v=""/>
    <x v="0"/>
    <s v="Junior Lopes"/>
    <x v="0"/>
    <s v=""/>
    <m/>
    <m/>
    <s v=""/>
    <s v=""/>
    <s v=""/>
    <s v=""/>
    <n v="1"/>
  </r>
  <r>
    <x v="0"/>
    <n v="786"/>
    <m/>
    <n v="3045"/>
    <s v=""/>
    <s v=""/>
    <x v="373"/>
    <m/>
    <s v=""/>
    <s v="Ana Maria Fonseca Garcia"/>
    <s v="18998215566"/>
    <s v=""/>
    <s v="garciacontabilidade15@gmail.com"/>
    <s v=""/>
    <s v=""/>
    <s v=""/>
    <s v=""/>
    <s v=""/>
    <s v="Campanha"/>
    <s v=""/>
    <s v=""/>
    <s v="Fora Perfil;Instagram"/>
    <s v="Pipeline de Vendas"/>
    <s v="Agendamento (0%)"/>
    <s v=""/>
    <m/>
    <m/>
    <m/>
    <n v="0"/>
    <s v="Paulo Souza"/>
    <d v="2026-01-12T00:00:00"/>
    <d v="1899-12-30T22:40:26"/>
    <s v=""/>
    <s v="Perdido"/>
    <d v="2026-01-12T00:00:00"/>
    <d v="1899-12-30T22:40:38"/>
    <s v="Fora do porte mínimo (sem fit estrutural)"/>
    <s v=""/>
    <s v=""/>
    <x v="0"/>
    <s v="Junior Lopes"/>
    <x v="0"/>
    <s v=""/>
    <m/>
    <m/>
    <s v=""/>
    <s v=""/>
    <s v=""/>
    <s v=""/>
    <n v="1"/>
  </r>
  <r>
    <x v="1"/>
    <n v="787"/>
    <m/>
    <n v="3057"/>
    <s v=""/>
    <s v=""/>
    <x v="374"/>
    <n v="10269690000132"/>
    <s v=""/>
    <s v="Ricieri Locacoes e Serviços"/>
    <s v="27999479659"/>
    <s v=""/>
    <s v="diego@ricieri.net.br"/>
    <s v=""/>
    <s v=""/>
    <s v=""/>
    <s v=""/>
    <s v=""/>
    <s v="Campanha"/>
    <s v=""/>
    <s v=""/>
    <s v="Fora Perfil;Instagram"/>
    <s v="Pipeline de Vendas"/>
    <s v="Agendamento (0%)"/>
    <s v=""/>
    <m/>
    <m/>
    <m/>
    <n v="117"/>
    <s v="Paulo Souza"/>
    <d v="2026-01-12T00:00:00"/>
    <d v="1899-12-30T22:41:13"/>
    <s v=""/>
    <s v="Perdido"/>
    <d v="2026-05-09T00:00:00"/>
    <d v="1899-12-30T08:08:37"/>
    <s v="Fora do segmento atendido"/>
    <s v=""/>
    <s v=""/>
    <x v="0"/>
    <s v="Junior Lopes"/>
    <x v="0"/>
    <s v=""/>
    <m/>
    <m/>
    <s v=""/>
    <s v=""/>
    <s v=""/>
    <s v=""/>
    <n v="1"/>
  </r>
  <r>
    <x v="2"/>
    <n v="788"/>
    <m/>
    <n v="3083"/>
    <s v="Cliente entrou em contato pedindo apresentação de nossas solução de AFV _x000a_Reuão agendada para segunda as 14h_x000a_26-01 proposta está em analise pela diretoria _x000a_29-01 Boa tarde, Tiago! Espero que esteja bem._x000a_No dia 19/01 encaminhamos à sua equipe a proposta comercial da Guarani Sistemas, que contempla uma condição exclusiva para evolução tecnológica e automação da força de vendas._x000a_Com o Guarani AFV, aliado à assistente virtual Iara e ao módulo de orçamento web, sua empresa terá:_x000a_Automação completa da equipe de vendas, com acompanhamento de objetivos e indicadores em tempo real;_x000a_Aumento de produtividade e faturamento, reduzindo rupturas no ponto de venda;_x000a_Dashboard inteligente para análise de desempenho e curva ABC de produtos;_x000a_Integração simplificada com o ERP, garantindo maior agilidade e menos retrabalho._x000a_Além disso, oferecemos condições comerciais diferenciadas, incluindo implantação com mentoria especializada e mensalidade ajustada ao perfil da sua operação._x000a_Diante de todos esses benefícios, gostaria de entender: o que falta para avançarmos juntos e garantir essas vantagens para sua equipe?_x000a_05.02Retornou que estão em analise pela diretoria previsão de retorno para proxima semana _x000a_18.03 - Estão tratando internamento com o ERP, porque precisam entende rse o sistema atual terá capacidade de atender a necessidade deles para integrar com o AFV_x000a_15.04 09:24, 15/04/2026 Rayssa Karapeticov - Comercial - Guarani Sistemas: Oi Tiago, como você está.?_x000a_Na última troca, você comentou que eles devem manter o sistema atual por mais tempo, e eu fiquei de marcar uma reunião presencial para detalharmos a integração e forma de trabalho._x000a_Queria entender contigo se ainda faz sentido seguirmos com esse alinhamento agora. Se sim, me indica por favor dois horários que funcionem para você"/>
    <s v="Alfa Seven Embalagens Industria E Comercio Ltda"/>
    <x v="375"/>
    <n v="14078994000254"/>
    <s v=""/>
    <s v="Alfa Seven Embalagens Industria E Comercio Ltda"/>
    <s v="(35) 3435-2255"/>
    <s v=""/>
    <s v="luizhenrique@julianicontabilidade.com.br"/>
    <s v=""/>
    <s v=""/>
    <s v=""/>
    <s v="EXTREMA"/>
    <s v="MG"/>
    <s v="Base de empresas Leads2b"/>
    <s v=""/>
    <s v=""/>
    <s v="50%;Dentro Perfil"/>
    <s v="Pipeline de Vendas"/>
    <s v="Em negociação (75%)"/>
    <s v=""/>
    <d v="2026-04-30T00:00:00"/>
    <n v="16800"/>
    <n v="73717"/>
    <n v="120"/>
    <s v="Rayssa Karapeticov"/>
    <d v="2026-01-13T00:00:00"/>
    <d v="1899-12-30T16:09:19"/>
    <s v=""/>
    <s v="Perdido"/>
    <d v="2026-05-13T00:00:00"/>
    <d v="1899-12-30T10:51:39"/>
    <s v="Não quer mudar a solução atual"/>
    <s v=""/>
    <s v=""/>
    <x v="163"/>
    <s v="Rayssa Karapeticov"/>
    <x v="183"/>
    <s v="02/03/2026"/>
    <d v="2026-05-13T00:00:00"/>
    <n v="50"/>
    <s v=""/>
    <s v="AFV"/>
    <s v=""/>
    <s v=""/>
    <n v="1"/>
  </r>
  <r>
    <x v="0"/>
    <n v="789"/>
    <m/>
    <n v="3084"/>
    <s v="Fernando, esta avaliando outros produtos e terei um retorno na próxima semana dia 15/01, que decide é a Luciana._x000a_23/01 Fiz FUP hoje com o Fernando o mesmo ainda não respondeu, perguntei o que nos impede de seguir?_x000a_26/02 Fernando me procurou essa semana , pedido atualização de informações sobre o projeto. Hoje fiz novo FUP solicitando informações se seguiremos ou não com o projeto._x000a_20/03 Fernando me passou que a proposta ainda continua na direção sem definição."/>
    <s v=""/>
    <x v="376"/>
    <n v="31507103000176"/>
    <s v=""/>
    <s v="Fernando e Luciana"/>
    <s v="18997715980"/>
    <s v=""/>
    <s v="comercial@casamiga.com.br"/>
    <s v=""/>
    <s v=""/>
    <s v=""/>
    <s v=""/>
    <s v=""/>
    <s v=""/>
    <s v=""/>
    <s v=""/>
    <s v="50%"/>
    <s v="Pipeline de Vendas"/>
    <s v="Em negociação (75%)"/>
    <s v=""/>
    <d v="2026-03-31T00:00:00"/>
    <n v="13100"/>
    <n v="1700"/>
    <n v="87"/>
    <s v="Paulo Souza"/>
    <d v="2026-01-13T00:00:00"/>
    <d v="1899-12-30T16:12:50"/>
    <s v=""/>
    <s v="Perdido"/>
    <d v="2026-04-10T00:00:00"/>
    <d v="1899-12-30T17:16:03"/>
    <s v="Nossa solução não atende - falta funcionalidade"/>
    <s v=""/>
    <s v=""/>
    <x v="169"/>
    <s v="Paulo Souza"/>
    <x v="184"/>
    <s v=""/>
    <d v="2026-03-20T00:00:00"/>
    <n v="50"/>
    <s v="80"/>
    <s v="B2B"/>
    <s v="R$ 13.100"/>
    <s v="R$ 1.700"/>
    <n v="1"/>
  </r>
  <r>
    <x v="1"/>
    <n v="790"/>
    <m/>
    <n v="3071"/>
    <s v="em contato com Sr. Barbosa !_x000a_atualmente tem 02 lojas físicas e esta fora do nosso perfil de atendimento"/>
    <s v=""/>
    <x v="377"/>
    <m/>
    <s v=""/>
    <s v="Casa bom dia bricolagem ltda"/>
    <s v="16981830404"/>
    <s v=""/>
    <s v="casabomdiabricolagem@gmail.com"/>
    <s v=""/>
    <s v=""/>
    <s v=""/>
    <s v=""/>
    <s v=""/>
    <s v="Campanha"/>
    <s v=""/>
    <s v=""/>
    <s v="Fora Perfil;Instagram"/>
    <s v="Pipeline de Vendas"/>
    <s v="Qualificação de Vendas (SQL) (25%)"/>
    <s v=""/>
    <d v="2026-01-31T00:00:00"/>
    <m/>
    <m/>
    <n v="23"/>
    <s v="Paulo Souza"/>
    <d v="2026-01-13T00:00:00"/>
    <d v="1899-12-30T16:54:22"/>
    <s v=""/>
    <s v="Perdido"/>
    <d v="2026-02-05T00:00:00"/>
    <d v="1899-12-30T14:15:34"/>
    <s v="Fora do porte mínimo (sem fit estrutural)"/>
    <s v=""/>
    <s v=""/>
    <x v="0"/>
    <s v="Junior Lopes"/>
    <x v="0"/>
    <s v=""/>
    <d v="2026-01-16T00:00:00"/>
    <m/>
    <s v=""/>
    <s v=""/>
    <s v=""/>
    <s v=""/>
    <n v="1"/>
  </r>
  <r>
    <x v="2"/>
    <n v="792"/>
    <m/>
    <n v="3072"/>
    <s v="Boa tarde Rogério, como vai? _x000a_Meu nome é Rayssa, sou do setor comercial e relacionamento da Guarani Sistemas._x000a_Recebi seu contato interessado em nossas soluções, você prefere que eu te ligue ou quer tratar por aqui?_x000a_Aguardando retorno,liguei e não atendeu_x000a_13.02 novamente disse que não podia falar que era para entrar em contato em outro momento"/>
    <s v=""/>
    <x v="378"/>
    <n v="6037707000230"/>
    <s v=""/>
    <s v="WB Engenharia"/>
    <s v="67999299440"/>
    <s v=""/>
    <s v="rogerio@wbmanutencao.com.br"/>
    <s v=""/>
    <s v=""/>
    <s v=""/>
    <s v=""/>
    <s v=""/>
    <s v="Campanha"/>
    <s v=""/>
    <s v=""/>
    <s v="Fora Perfil;Instagram"/>
    <s v="Pipeline de Vendas"/>
    <s v="Qualificação de Vendas (SQL) (25%)"/>
    <s v=""/>
    <d v="2026-01-31T00:00:00"/>
    <m/>
    <m/>
    <n v="31"/>
    <s v="Paulo Souza"/>
    <d v="2026-01-13T00:00:00"/>
    <d v="1899-12-30T16:56:09"/>
    <s v=""/>
    <s v="Perdido"/>
    <d v="2026-02-13T00:00:00"/>
    <d v="1899-12-30T11:46:12"/>
    <s v="Fora do porte mínimo (sem fit estrutural)"/>
    <s v=""/>
    <s v=""/>
    <x v="0"/>
    <s v="Rayssa Karapeticov"/>
    <x v="0"/>
    <s v=""/>
    <d v="2026-02-12T00:00:00"/>
    <n v="30"/>
    <s v=""/>
    <s v=""/>
    <s v=""/>
    <s v=""/>
    <n v="1"/>
  </r>
  <r>
    <x v="0"/>
    <n v="793"/>
    <m/>
    <n v="3082"/>
    <s v="Fiz contato hoje mais o cliente já não estava na empresa, vamos falar amanha 14/01_x000a_23/01 Fiz FUp hoje com a Jessica, para buscar agenda na proxima semana._x000a_19/02 Fiz varias tentativa sem retorno e por isso declinei a proposta."/>
    <s v=""/>
    <x v="379"/>
    <m/>
    <s v=""/>
    <s v="JESSICA"/>
    <s v="(38) 99730-0736"/>
    <s v=""/>
    <s v="centraleletricasolar@gmail.com"/>
    <s v=""/>
    <s v=""/>
    <s v=""/>
    <s v="São Paulo"/>
    <s v=""/>
    <s v="Site"/>
    <s v=""/>
    <s v=""/>
    <s v="30%;Solicita demo"/>
    <s v="Pipeline de Vendas"/>
    <s v="Qualificação de Vendas (SQL) (25%)"/>
    <s v=""/>
    <d v="2026-01-31T00:00:00"/>
    <m/>
    <m/>
    <n v="37"/>
    <s v="Paulo Souza"/>
    <d v="2026-01-13T00:00:00"/>
    <d v="1899-12-30T16:59:23"/>
    <s v=""/>
    <s v="Perdido"/>
    <d v="2026-02-19T00:00:00"/>
    <d v="1899-12-30T17:51:50"/>
    <s v="Fora do porte mínimo (sem fit estrutural)"/>
    <s v=""/>
    <s v=""/>
    <x v="0"/>
    <s v="Paulo Souza"/>
    <x v="0"/>
    <s v=""/>
    <d v="2026-01-23T00:00:00"/>
    <n v="30"/>
    <s v=""/>
    <s v=""/>
    <s v=""/>
    <s v=""/>
    <n v="1"/>
  </r>
  <r>
    <x v="2"/>
    <n v="794"/>
    <m/>
    <n v="3086"/>
    <s v="Falei com o cliente ele possui uma loja de embalagens (estilo Plasticap), levantei as informações dele e agendamos uma demonstração para amanhã as 9h_x000a_19/01- Olá Ederaldo, tudo bem?_x000a_No dia 15/01 encaminhamos a proposta de investimento para o Guarani ERP, contemplando os serviços de ERP + PDV, com foco na evolução tecnológica e no crescimento da sua empresa._x000a_Para avançarmos, gostaria de entender como foi sua análise e qual o investimento previsto para o software, assim conseguimos alinhar expectativas e próximos passos._x000a_Quando seria um bom momento para conversarmos?_x000a_26/01 - Após envio e apresentação da proposta comercial cliente não deu retorno. _x000a_Encerrando contato_x000a_Oi Ederaldo, tudo bem?_x000a_No dia 15/01 te enviei uma proposta que poderia mudar os rumos do seu negócio. Como não tivemos retorno, estou encerrando nosso contato._x000a_Quero deixar claro: essa não era apenas mais uma oferta, mas uma oportunidade única que dificilmente vai se repetir. Ao não avançar, você está deixando escapar aquilo que poderia ser o divisor de águas para sua empresa._x000a_Desejo sucesso nos seus próximos passos!"/>
    <s v=""/>
    <x v="380"/>
    <m/>
    <s v=""/>
    <s v="Marques Embalagens"/>
    <s v="16992159372"/>
    <s v=""/>
    <s v="marquesembalagens@hotmail.com"/>
    <s v=""/>
    <s v=""/>
    <s v=""/>
    <s v=""/>
    <s v=""/>
    <s v="Campanha"/>
    <s v=""/>
    <s v=""/>
    <s v="Dentro Perfil;Instagram"/>
    <s v="Pipeline de Vendas"/>
    <s v="Apresentar Proposta (50%)"/>
    <s v=""/>
    <d v="2026-01-31T00:00:00"/>
    <n v="6168744"/>
    <n v="149828"/>
    <n v="13"/>
    <s v="Paulo Souza"/>
    <d v="2026-01-13T00:00:00"/>
    <d v="1899-12-30T17:42:00"/>
    <s v=""/>
    <s v="Perdido"/>
    <d v="2026-01-26T00:00:00"/>
    <d v="1899-12-30T09:26:12"/>
    <s v="Preço muito alto - fora do budget de investimento"/>
    <s v=""/>
    <s v=""/>
    <x v="170"/>
    <s v="Rayssa Karapeticov"/>
    <x v="180"/>
    <s v=""/>
    <d v="2026-01-26T00:00:00"/>
    <m/>
    <s v=""/>
    <s v=""/>
    <s v=""/>
    <s v=""/>
    <n v="1"/>
  </r>
  <r>
    <x v="0"/>
    <n v="795"/>
    <m/>
    <n v="3088"/>
    <s v="Falei com a Kelly hoje que me passou as informações que faltava para formular a proposta. Agora e falar com o Fernando e montar a proposta e apresentar._x000a_23/01 Falei com a Kelly em 19/01, e ela avisou que estava de férias e que retorno essa semana , e que só vai conseguir analisar a proposta na semana do dia 26/01, quando retornarei o contato._x000a_07/02 Fiz FUP com a Kelly e perguntei se ela vai ou não seguir com o projeto, não retornou ainda._x000a_12/03 12/03 Fiz FUP com a Kelly e a mesma esta analisando a proposta. Como esta semana ela tá fazendo compra de natal, vai conseguir parar e ver a proposta amanhã 13/03._x000a_20/03 Cobrei a Kelly a evolução da negociação."/>
    <s v=""/>
    <x v="381"/>
    <n v="3674537000125"/>
    <s v=""/>
    <s v="Kelly"/>
    <s v="12974030134"/>
    <s v=""/>
    <s v="MKT@VALPORT.COM.BR"/>
    <s v=""/>
    <s v=""/>
    <s v=""/>
    <s v=""/>
    <s v=""/>
    <s v=""/>
    <s v=""/>
    <s v=""/>
    <s v="50%"/>
    <s v="Pipeline de Vendas"/>
    <s v="Em negociação (75%)"/>
    <s v=""/>
    <d v="2026-03-31T00:00:00"/>
    <n v="1600"/>
    <n v="384454"/>
    <n v="87"/>
    <s v="Paulo Souza"/>
    <d v="2026-01-13T00:00:00"/>
    <d v="1899-12-30T22:55:41"/>
    <s v=""/>
    <s v="Perdido"/>
    <d v="2026-04-10T00:00:00"/>
    <d v="1899-12-30T15:55:43"/>
    <s v="Projeto adiado / sem prazo definido"/>
    <s v=""/>
    <s v=""/>
    <x v="0"/>
    <s v="Paulo Souza"/>
    <x v="0"/>
    <s v=""/>
    <d v="2026-03-20T00:00:00"/>
    <n v="30"/>
    <s v="7"/>
    <s v="CLOUD"/>
    <s v="R$ 1.600"/>
    <s v="R$ 3.844,54"/>
    <n v="1"/>
  </r>
  <r>
    <x v="0"/>
    <n v="796"/>
    <m/>
    <n v="3087"/>
    <s v="Feito contato com o Vinicius afim de qualificar o LEAD._x000a_23/01 Fiz FUp hoje com o Vinicius para saber se e possível a nossa agenda na semana que vem na quinta feira._x000a_07/02 Fiz FUP com o Vinicius e avise que por falta de contato estou declinando a oportunidade e em caso de interesse retornamos o contato."/>
    <s v=""/>
    <x v="382"/>
    <m/>
    <s v=""/>
    <s v="MVF Lavadoras"/>
    <s v="35998687836"/>
    <s v=""/>
    <s v="ti@mvflavadoras.com.br"/>
    <s v=""/>
    <s v=""/>
    <s v=""/>
    <s v=""/>
    <s v=""/>
    <s v="Campanha"/>
    <s v=""/>
    <s v=""/>
    <s v="Dentro Perfil;Instagram"/>
    <s v="Pipeline de Vendas"/>
    <s v="Qualificação de Vendas (SQL) (25%)"/>
    <s v=""/>
    <d v="2026-01-31T00:00:00"/>
    <m/>
    <m/>
    <n v="24"/>
    <s v="Paulo Souza"/>
    <d v="2026-01-14T00:00:00"/>
    <d v="1899-12-30T10:15:54"/>
    <s v=""/>
    <s v="Perdido"/>
    <d v="2026-02-07T00:00:00"/>
    <d v="1899-12-30T07:35:17"/>
    <s v="Fora do porte mínimo (sem fit estrutural)"/>
    <s v="07/02 Fiz FUP com o Vinicius e avise que por falta de contato estou declinando a oportunidade e em caso de interesse retornamos o contato."/>
    <s v=""/>
    <x v="0"/>
    <s v="Paulo Souza"/>
    <x v="0"/>
    <s v=""/>
    <d v="2026-02-07T00:00:00"/>
    <n v="30"/>
    <s v=""/>
    <s v=""/>
    <s v=""/>
    <s v=""/>
    <n v="1"/>
  </r>
  <r>
    <x v="0"/>
    <n v="799"/>
    <m/>
    <n v="3091"/>
    <s v="Visita amanha em São Paulo no cliente_x000a_23/01 - fechamos negocio."/>
    <s v=""/>
    <x v="383"/>
    <m/>
    <s v=""/>
    <s v="Tiago"/>
    <s v="11971597112"/>
    <s v=""/>
    <s v="null"/>
    <s v=""/>
    <s v=""/>
    <s v=""/>
    <s v=""/>
    <s v=""/>
    <s v=""/>
    <s v=""/>
    <s v=""/>
    <s v="90%;Fabio Indica"/>
    <s v="Pipeline de Vendas"/>
    <s v="Em Fechamento (100%)"/>
    <s v=""/>
    <d v="2026-01-15T00:00:00"/>
    <n v="1600"/>
    <n v="252471"/>
    <n v="9"/>
    <s v="Paulo Souza"/>
    <d v="2026-01-14T00:00:00"/>
    <d v="1899-12-30T18:55:04"/>
    <s v=""/>
    <s v="Ganho"/>
    <d v="2026-01-23T00:00:00"/>
    <d v="1899-12-30T11:04:46"/>
    <s v=""/>
    <s v=""/>
    <s v="14/01/2026 00:00"/>
    <x v="171"/>
    <s v="Paulo Souza"/>
    <x v="185"/>
    <s v=""/>
    <d v="2026-01-15T00:00:00"/>
    <m/>
    <s v=""/>
    <s v=""/>
    <s v=""/>
    <s v=""/>
    <n v="1"/>
  </r>
  <r>
    <x v="2"/>
    <n v="800"/>
    <m/>
    <n v="3092"/>
    <s v=""/>
    <s v=""/>
    <x v="384"/>
    <n v="9205460000120"/>
    <s v=""/>
    <s v="Panveiga"/>
    <s v="(83) 3343-3391 / (83) 3343-3391"/>
    <s v=""/>
    <s v="null"/>
    <s v=""/>
    <s v=""/>
    <s v=""/>
    <s v="CAMPINA GRANDE"/>
    <s v="PB"/>
    <s v="Campanha"/>
    <s v=""/>
    <s v=""/>
    <s v="Fora Perfil;Instagram"/>
    <s v="Pipeline de Vendas"/>
    <s v="Agendamento (0%)"/>
    <s v=""/>
    <d v="2026-01-31T00:00:00"/>
    <m/>
    <m/>
    <n v="7"/>
    <s v="Paulo Souza"/>
    <d v="2026-01-16T00:00:00"/>
    <d v="1899-12-30T09:31:20"/>
    <s v=""/>
    <s v="Perdido"/>
    <d v="2026-01-23T00:00:00"/>
    <d v="1899-12-30T17:12:19"/>
    <s v="Fora do porte mínimo (sem fit estrutural)"/>
    <s v=""/>
    <s v=""/>
    <x v="0"/>
    <s v="Rayssa Karapeticov"/>
    <x v="0"/>
    <s v=""/>
    <d v="2026-01-23T00:00:00"/>
    <m/>
    <s v=""/>
    <s v=""/>
    <s v=""/>
    <s v=""/>
    <n v="1"/>
  </r>
  <r>
    <x v="1"/>
    <n v="803"/>
    <m/>
    <n v="3094"/>
    <s v="(20/01/2026) efetuei tentativa de ligação e mensagem no WhatsApp a fim de alinhar em bate papo com Ismael e entender suas necessidades , porem cliente não responde aos contatos"/>
    <s v=""/>
    <x v="385"/>
    <m/>
    <s v=""/>
    <s v="Autônomo"/>
    <s v="27999362925"/>
    <s v=""/>
    <s v="continente.of@gmail.com"/>
    <s v=""/>
    <s v=""/>
    <s v=""/>
    <s v=""/>
    <s v=""/>
    <s v="Campanha"/>
    <s v=""/>
    <s v=""/>
    <s v="Fora Perfil;Instagram"/>
    <s v="Pipeline de Vendas"/>
    <s v="Qualificação de Vendas (SQL) (25%)"/>
    <s v=""/>
    <d v="2026-01-31T00:00:00"/>
    <m/>
    <m/>
    <n v="113"/>
    <s v="Paulo Souza"/>
    <d v="2026-01-16T00:00:00"/>
    <d v="1899-12-30T16:05:09"/>
    <s v=""/>
    <s v="Perdido"/>
    <d v="2026-05-09T00:00:00"/>
    <d v="1899-12-30T07:39:04"/>
    <s v="Fora do porte mínimo (sem fit estrutural)"/>
    <s v=""/>
    <s v=""/>
    <x v="0"/>
    <s v="Junior Lopes"/>
    <x v="0"/>
    <s v=""/>
    <d v="2026-01-20T00:00:00"/>
    <m/>
    <s v=""/>
    <s v=""/>
    <s v=""/>
    <s v=""/>
    <n v="1"/>
  </r>
  <r>
    <x v="2"/>
    <n v="804"/>
    <m/>
    <n v="3099"/>
    <s v=""/>
    <s v=""/>
    <x v="386"/>
    <n v="33036815000180"/>
    <s v=""/>
    <s v="Haller Farmacêutica"/>
    <s v="21994011336"/>
    <s v=""/>
    <s v="marcelo.uchoa@haller.ind.br"/>
    <s v=""/>
    <s v=""/>
    <s v=""/>
    <s v=""/>
    <s v=""/>
    <s v="Campanha"/>
    <s v=""/>
    <s v=""/>
    <s v="Fora Perfil;Instagram"/>
    <s v="Pipeline de Vendas"/>
    <s v="Agendamento (0%)"/>
    <s v=""/>
    <d v="2026-01-31T00:00:00"/>
    <m/>
    <m/>
    <n v="5"/>
    <s v="Paulo Souza"/>
    <d v="2026-01-16T00:00:00"/>
    <d v="1899-12-30T16:06:39"/>
    <s v=""/>
    <s v="Perdido"/>
    <d v="2026-01-21T00:00:00"/>
    <d v="1899-12-30T11:42:22"/>
    <s v="Fora do porte mínimo (sem fit estrutural)"/>
    <s v=""/>
    <s v=""/>
    <x v="0"/>
    <s v="Rayssa Karapeticov"/>
    <x v="0"/>
    <s v=""/>
    <d v="2026-01-21T00:00:00"/>
    <m/>
    <s v=""/>
    <s v=""/>
    <s v=""/>
    <s v=""/>
    <n v="1"/>
  </r>
  <r>
    <x v="1"/>
    <n v="805"/>
    <m/>
    <n v="3093"/>
    <s v="(20/01/2026)  09:04, 20/01/2026 Junior Lopes: Olá Cláudio ! Bom dia_x000a_17:23, 27/01/2026 Claudio Teixeira: Boa tarde essa semana estou fora da empresa_x000a_17:23, 27/01/2026 Claudio Teixeira: Semana que vem falamos_x000a_17:32, 27/01/2026 Junior Lopes: Perfeito Claudio ! abraço _x000a_09:06, 20/01/2026 Claudio Teixeira: Bom dia_x000a_09:07, 20/01/2026 Junior Lopes: Td bem ? Vc entrou em contato com a Guarani sistemas, gostaria de marcar um horário para batermos um papo e entender melhor suas necessidades_x000a_09:08, 20/01/2026 Junior Lopes: Qual melhor horário para você?_x000a_09:08, 20/01/2026 Claudio Teixeira: Pode ser às 11:30_x000a_09:10, 20/01/2026 Junior Lopes: Ótimo, vou Estar terminando uma apresentação! Pode ser que atrase uns 15 minutos para ligar_x000a_09:11, 20/01/2026 Claudio Teixeira: Ok_x000a_Perfeito Cláudio ! Abraço_x000a_Olá Cláudio! Como vai ?_x000a_Olá Cláudio Td bem ? _x000a_Como não recebi seu retorno nos últimos dias, entendo que talvez não seja o melhor momento para seguirmos com projeto Guarani _x000a_Para nao lotar seu WhatsApp de mensagens estou encerrando o contato! _x000a_Caso suas prioridades mudem sigo a disposição _x000a_Abraço"/>
    <s v=""/>
    <x v="387"/>
    <n v="53629067000156"/>
    <s v=""/>
    <s v="Claudio Teixeira"/>
    <s v="(43) 99669-3593"/>
    <s v=""/>
    <s v="claudioteixeirasap@hotmail.com"/>
    <s v=""/>
    <s v=""/>
    <s v=""/>
    <s v="CONSELHEIRO MAIRINCK"/>
    <s v="PR"/>
    <s v="Site"/>
    <s v=""/>
    <s v=""/>
    <s v="Solicita demo"/>
    <s v="Pipeline de Vendas"/>
    <s v="Apresentar Proposta (50%)"/>
    <s v=""/>
    <d v="2026-01-31T00:00:00"/>
    <n v="72080"/>
    <n v="18676"/>
    <n v="52"/>
    <s v="Paulo Souza"/>
    <d v="2026-01-16T00:00:00"/>
    <d v="1899-12-30T16:08:11"/>
    <s v=""/>
    <s v="Perdido"/>
    <d v="2026-03-09T00:00:00"/>
    <d v="1899-12-30T11:02:30"/>
    <s v="Projeto adiado / sem prazo definido"/>
    <s v="Perfeito Cláudio ! Abraço_x000a_Olá Cláudio! Como vai ?_x000a_Olá Cláudio Td bem ? _x000a_Como não recebi seu retorno nos últimos dias, entendo que talvez não seja o melhor momento para seguirmos com projeto Guarani _x000a_Para nao lotar seu WhatsApp de mensagens estou encerrando o contato! _x000a_Caso suas prioridades mudem sigo a disposição _x000a_Abraço"/>
    <s v=""/>
    <x v="172"/>
    <s v="Junior Lopes"/>
    <x v="186"/>
    <s v=""/>
    <d v="2026-02-09T00:00:00"/>
    <m/>
    <s v=""/>
    <s v=""/>
    <s v=""/>
    <s v=""/>
    <n v="1"/>
  </r>
  <r>
    <x v="2"/>
    <n v="818"/>
    <m/>
    <n v="3101"/>
    <s v="Apresentação agendada para 27/01/2026 - 15:00 horas_x000a_26/01 - reunião agendada para amanhã, aguardand confirmação_x000a_27/01 - cliente não confirmou nem entrou na reunião_x000a_28/01 - Oi Renato, tudo bem?_x000a_No dia 27/01 tinhamos uma agenda de apresentação que poderia mudar os rumos do seu negócio. Como não tivemos retorno, estou encerrando nosso contato._x000a_Quero deixar claro: essa não era apenas mais uma oferta, mas uma oportunidade única que dificilmente vai se repetir. Ao não avançar, você está deixando escapar aquilo que poderia ser o divisor de águas para sua empresa._x000a_Desejo sucesso nos seus próximos passos!"/>
    <s v=""/>
    <x v="388"/>
    <m/>
    <s v=""/>
    <s v="Recanto Agricola"/>
    <s v="17999791171"/>
    <s v=""/>
    <s v="recantoagricola@gmail.com"/>
    <s v=""/>
    <s v=""/>
    <s v=""/>
    <s v=""/>
    <s v=""/>
    <s v="Campanha"/>
    <s v=""/>
    <s v=""/>
    <s v="Dentro Perfil;Instagram"/>
    <s v="Pipeline de Vendas"/>
    <s v="Apresentar Solução (35%)"/>
    <s v=""/>
    <d v="2026-03-31T00:00:00"/>
    <m/>
    <m/>
    <n v="9"/>
    <s v="Paulo Souza"/>
    <d v="2026-01-19T00:00:00"/>
    <d v="1899-12-30T11:30:57"/>
    <s v=""/>
    <s v="Perdido"/>
    <d v="2026-01-28T00:00:00"/>
    <d v="1899-12-30T16:29:00"/>
    <s v="Não quer mudar a solução atual"/>
    <s v=""/>
    <s v=""/>
    <x v="0"/>
    <s v="Rayssa Karapeticov"/>
    <x v="0"/>
    <s v=""/>
    <d v="2026-01-28T00:00:00"/>
    <m/>
    <s v=""/>
    <s v=""/>
    <s v=""/>
    <s v=""/>
    <n v="1"/>
  </r>
  <r>
    <x v="1"/>
    <n v="819"/>
    <m/>
    <n v="3102"/>
    <s v="(19/01/2026) reunião de apresentação agendada para 20/01/2026_x000a_(26/01/2026) _x000a_Olá Mauricio ! tudo bem ?_x000a_Como não recebi o seu retorno sobre o questionário após nossa apresentação, imagino que as prioridades tenham mudado por aí ou que este não seja o momento ideal para avançarmos com a proposta da Guarani Sistemas._x000a_Para não sobrecarregar sua caixa de entrada, estou encerrando o seu processo aqui no meu sistema por enquanto._x000a_Caso seus planos mudem no futuro, meus contatos continuam os mesmos. Desejo sucesso em seus projetos._x000a_Após mensagem enviada Mauricio compartilhou áudio dizendo que achou investimento muito alto e que no futuro vamos voltar a falar"/>
    <s v=""/>
    <x v="389"/>
    <n v="49827202000109"/>
    <s v=""/>
    <s v="Maurício Jorge lima"/>
    <s v="(93) 8406-4995"/>
    <s v=""/>
    <s v="mauriciojlatm@gmail.com"/>
    <s v=""/>
    <s v=""/>
    <s v=""/>
    <s v="ITAITUBA"/>
    <s v="PA"/>
    <s v="Site"/>
    <s v=""/>
    <s v=""/>
    <s v="Contato;Dentro Perfil"/>
    <s v="Pipeline de Vendas"/>
    <s v="Apresentar Solução (35%)"/>
    <s v=""/>
    <d v="2026-01-31T00:00:00"/>
    <n v="72080"/>
    <n v="881079"/>
    <n v="17"/>
    <s v="Paulo Souza"/>
    <d v="2026-01-19T00:00:00"/>
    <d v="1899-12-30T11:33:47"/>
    <s v=""/>
    <s v="Perdido"/>
    <d v="2026-02-05T00:00:00"/>
    <d v="1899-12-30T14:12:46"/>
    <s v="Preço muito alto - fora do budget de investimento"/>
    <s v=": Preço muito alto"/>
    <s v=""/>
    <x v="172"/>
    <s v="Junior Lopes"/>
    <x v="183"/>
    <s v=""/>
    <d v="2026-01-26T00:00:00"/>
    <m/>
    <s v=""/>
    <s v=""/>
    <s v=""/>
    <s v=""/>
    <n v="1"/>
  </r>
  <r>
    <x v="2"/>
    <n v="820"/>
    <m/>
    <n v="3103"/>
    <s v=""/>
    <s v=""/>
    <x v="390"/>
    <m/>
    <s v=""/>
    <s v="Max club"/>
    <s v="3194371833"/>
    <s v=""/>
    <s v="willian.portodasilva8@gmail.com"/>
    <s v=""/>
    <s v=""/>
    <s v=""/>
    <s v=""/>
    <s v=""/>
    <s v="Campanha"/>
    <s v=""/>
    <s v=""/>
    <s v="Fora Perfil;Instagram"/>
    <s v="Pipeline de Vendas"/>
    <s v="Agendamento (0%)"/>
    <s v=""/>
    <d v="2026-01-31T00:00:00"/>
    <m/>
    <m/>
    <n v="19"/>
    <s v="Paulo Souza"/>
    <d v="2026-01-19T00:00:00"/>
    <d v="1899-12-30T11:34:55"/>
    <s v=""/>
    <s v="Perdido"/>
    <d v="2026-02-07T00:00:00"/>
    <d v="1899-12-30T07:45:07"/>
    <s v="Fora do porte mínimo (sem fit estrutural)"/>
    <s v=""/>
    <s v=""/>
    <x v="0"/>
    <s v="Rayssa Karapeticov"/>
    <x v="0"/>
    <s v=""/>
    <d v="2026-01-27T00:00:00"/>
    <m/>
    <s v=""/>
    <s v=""/>
    <s v=""/>
    <s v=""/>
    <n v="1"/>
  </r>
  <r>
    <x v="0"/>
    <n v="821"/>
    <m/>
    <n v="3119"/>
    <s v="Liguei para o Gerson o mesmo não atendeu deixei msg no whatsapp._x000a_23/01 Foi feito apresentação para o cliente do institucional e AFV.  em resumo, a apresentação foi direcionada para a importadora DINATALE (Diego). Porém entrou na reunião a CASAART (William) e também o Mauricio cuja a empresa ainda não conheço. O Gerson (consultor0 que esta conduzindo o projeto participou e informou que são 5 empresa no total, a ideia é conseguir colocar o sistema nas 5 empresas. _x000a_O próximo passo é fazer uma nova agenda para a semana do dia 26/01, para apresentar o sistema novamente para uma equipe maior e expandido com o módulo OCMEX, ERP, REP+ E CONTABIL._x000a_13/02 Esse negócio está sendo tratado nas proposta da Iracema, Dinatale, Casart e MCFlores."/>
    <s v=""/>
    <x v="391"/>
    <n v="7658378000126"/>
    <s v=""/>
    <s v="Gerson Baesso"/>
    <s v="(49) 98872-0298"/>
    <s v=""/>
    <s v="consultor01@visionway.com.br"/>
    <s v=""/>
    <s v=""/>
    <s v=""/>
    <s v="Nova Aurora"/>
    <s v=""/>
    <s v="Site"/>
    <s v=""/>
    <s v=""/>
    <s v="30%;Solicita demo"/>
    <s v="Pipeline de Vendas"/>
    <s v="Apresentar Solução (35%)"/>
    <s v=""/>
    <d v="2026-01-31T00:00:00"/>
    <m/>
    <m/>
    <n v="24"/>
    <s v="Paulo Souza"/>
    <d v="2026-01-20T00:00:00"/>
    <d v="1899-12-30T08:41:55"/>
    <s v=""/>
    <s v="Perdido"/>
    <d v="2026-02-13T00:00:00"/>
    <d v="1899-12-30T17:34:46"/>
    <s v="Projeto adiado / sem prazo definido"/>
    <s v=""/>
    <s v=""/>
    <x v="173"/>
    <s v="Paulo Souza"/>
    <x v="187"/>
    <s v=""/>
    <d v="2026-01-23T00:00:00"/>
    <n v="30"/>
    <s v=""/>
    <s v="ERP, AFV, BI"/>
    <s v=""/>
    <s v=""/>
    <n v="1"/>
  </r>
  <r>
    <x v="2"/>
    <n v="823"/>
    <m/>
    <n v="3118"/>
    <s v="29/01 - retornar após o carnaval_x000a_18.03 - agendando um contato para negociação, sugeri hoje as 16:30_x000a_30.03 Boa tarde, Helena. Espero que esteja bem._x000a_Conversamos anteriormente sobre o software de gestão da Guarani Sistemas, empresa consolidada e referência no mercado de utilidades e abastecimento de artigos para o lar._x000a_Acreditamos que, com o potencial da sua empresa aliado à experiência da Guarani, seria possível alcançar resultados ainda mais expressivos. No entanto, após diversas tentativas de contato, não obtivemos retorno para avançar com esse projeto._x000a_Diante disso, estamos encerrando nosso contato neste momento, entendendo que não há interesse da Purai Suvinirs em seguir com essa oportunidade de crescimento. Permaneço à disposição para retomar a conversa quando fizer sentido para vocês._x000a_Atenciosamente,"/>
    <s v=""/>
    <x v="392"/>
    <n v="44530589000105"/>
    <s v=""/>
    <s v="Helena reis"/>
    <s v="(47) 3344-3239"/>
    <s v=""/>
    <s v="vendas@diceart.com.br"/>
    <s v=""/>
    <s v=""/>
    <s v=""/>
    <s v="ITAJAI"/>
    <s v="SC"/>
    <s v="Site"/>
    <s v=""/>
    <s v=""/>
    <s v="30%;Dentro Perfil"/>
    <s v="Pipeline de Vendas"/>
    <s v="Em negociação (75%)"/>
    <s v=""/>
    <d v="2026-05-31T00:00:00"/>
    <n v="579843"/>
    <n v="28845"/>
    <n v="69"/>
    <s v="Paulo Souza"/>
    <d v="2026-01-20T00:00:00"/>
    <d v="1899-12-30T08:46:51"/>
    <s v=""/>
    <s v="Perdido"/>
    <d v="2026-03-30T00:00:00"/>
    <d v="1899-12-30T15:47:48"/>
    <s v="Projeto adiado / sem prazo definido"/>
    <s v=""/>
    <s v=""/>
    <x v="174"/>
    <s v="Rayssa Karapeticov"/>
    <x v="188"/>
    <s v="12/03/2026"/>
    <d v="2026-03-30T00:00:00"/>
    <n v="30"/>
    <s v=""/>
    <s v="ERP, AFV"/>
    <s v=""/>
    <s v=""/>
    <n v="1"/>
  </r>
  <r>
    <x v="2"/>
    <n v="847"/>
    <m/>
    <n v="3129"/>
    <s v="Telefone cadastrado eé de um mercado"/>
    <s v=""/>
    <x v="393"/>
    <m/>
    <s v=""/>
    <s v="Bem bom pescados"/>
    <s v="6233899200"/>
    <s v=""/>
    <s v="edinho@grupo3ebr.com.br"/>
    <s v=""/>
    <s v=""/>
    <s v=""/>
    <s v=""/>
    <s v=""/>
    <s v="Campanha"/>
    <s v=""/>
    <s v=""/>
    <s v="Fora Perfil;Instagram"/>
    <s v="Pipeline de Vendas"/>
    <s v="Agendamento (0%)"/>
    <s v=""/>
    <d v="2026-01-31T00:00:00"/>
    <m/>
    <m/>
    <n v="0"/>
    <s v="Paulo Souza"/>
    <d v="2026-01-21T00:00:00"/>
    <d v="1899-12-30T10:51:15"/>
    <s v=""/>
    <s v="Perdido"/>
    <d v="2026-01-21T00:00:00"/>
    <d v="1899-12-30T11:14:02"/>
    <s v="Fora do porte mínimo (sem fit estrutural)"/>
    <s v=""/>
    <s v=""/>
    <x v="0"/>
    <s v="Rayssa Karapeticov"/>
    <x v="0"/>
    <s v=""/>
    <m/>
    <m/>
    <s v=""/>
    <s v=""/>
    <s v=""/>
    <s v=""/>
    <n v="1"/>
  </r>
  <r>
    <x v="1"/>
    <n v="848"/>
    <m/>
    <n v="3148"/>
    <s v="(23/01/2026) Sérgio não respondeu as minhas mensagens ! estou descartando de falta de retorno do cliente"/>
    <s v=""/>
    <x v="394"/>
    <m/>
    <s v=""/>
    <s v="Possani mix"/>
    <s v="11971375421"/>
    <s v=""/>
    <s v="possanimix@gmail.com"/>
    <s v=""/>
    <s v=""/>
    <s v=""/>
    <s v=""/>
    <s v=""/>
    <s v="Campanha"/>
    <s v=""/>
    <s v=""/>
    <s v="Fora Perfil;Instagram"/>
    <s v="Pipeline de Vendas"/>
    <s v="Agendamento (0%)"/>
    <s v=""/>
    <d v="2026-01-31T00:00:00"/>
    <m/>
    <m/>
    <n v="108"/>
    <s v="Paulo Souza"/>
    <d v="2026-01-21T00:00:00"/>
    <d v="1899-12-30T10:54:34"/>
    <s v=""/>
    <s v="Perdido"/>
    <d v="2026-05-09T00:00:00"/>
    <d v="1899-12-30T08:48:17"/>
    <s v="Fora do segmento atendido"/>
    <s v=""/>
    <s v=""/>
    <x v="0"/>
    <s v="Junior Lopes"/>
    <x v="0"/>
    <s v=""/>
    <d v="2026-01-23T00:00:00"/>
    <m/>
    <s v=""/>
    <s v=""/>
    <s v=""/>
    <s v=""/>
    <n v="1"/>
  </r>
  <r>
    <x v="2"/>
    <n v="849"/>
    <m/>
    <n v="3149"/>
    <s v=""/>
    <s v=""/>
    <x v="395"/>
    <n v="27343071000143"/>
    <s v=""/>
    <s v="Bombemi"/>
    <s v="11959925385"/>
    <s v=""/>
    <s v="adminitrativo@bombemi.com.br"/>
    <s v=""/>
    <s v=""/>
    <s v=""/>
    <s v=""/>
    <s v=""/>
    <s v="Campanha"/>
    <s v=""/>
    <s v=""/>
    <s v="Fora Perfil;Instagram"/>
    <s v="Pipeline de Vendas"/>
    <s v="Agendamento (0%)"/>
    <s v=""/>
    <d v="2026-01-31T00:00:00"/>
    <m/>
    <m/>
    <n v="17"/>
    <s v="Paulo Souza"/>
    <d v="2026-01-21T00:00:00"/>
    <d v="1899-12-30T12:23:03"/>
    <s v=""/>
    <s v="Perdido"/>
    <d v="2026-02-07T00:00:00"/>
    <d v="1899-12-30T07:43:30"/>
    <s v="Fora do porte mínimo (sem fit estrutural)"/>
    <s v=""/>
    <s v=""/>
    <x v="0"/>
    <s v="Rayssa Karapeticov"/>
    <x v="0"/>
    <s v=""/>
    <m/>
    <m/>
    <s v=""/>
    <s v=""/>
    <s v=""/>
    <s v=""/>
    <n v="1"/>
  </r>
  <r>
    <x v="2"/>
    <n v="850"/>
    <m/>
    <n v="3150"/>
    <s v=""/>
    <s v=""/>
    <x v="395"/>
    <n v="27343071000143"/>
    <s v=""/>
    <s v="MILENE DIAS"/>
    <s v="(11) 95992-5385"/>
    <s v=""/>
    <s v="administrativo@bombemi.com.br"/>
    <s v=""/>
    <s v=""/>
    <s v=""/>
    <s v="São Paulo"/>
    <s v=""/>
    <s v="Site"/>
    <s v=""/>
    <s v=""/>
    <s v="Dentro Perfil;Solicita demo"/>
    <s v="Pipeline de Vendas"/>
    <s v="Qualificação de Vendas (SQL) (25%)"/>
    <s v=""/>
    <d v="2026-01-31T00:00:00"/>
    <m/>
    <m/>
    <n v="1"/>
    <s v="Paulo Souza"/>
    <d v="2026-01-21T00:00:00"/>
    <d v="1899-12-30T12:24:02"/>
    <s v=""/>
    <s v="Perdido"/>
    <d v="2026-01-22T00:00:00"/>
    <d v="1899-12-30T10:03:56"/>
    <s v="Preço muito alto - fora do budget de investimento"/>
    <s v=""/>
    <s v=""/>
    <x v="0"/>
    <s v="Rayssa Karapeticov"/>
    <x v="0"/>
    <s v=""/>
    <m/>
    <m/>
    <s v=""/>
    <s v=""/>
    <s v=""/>
    <s v=""/>
    <n v="1"/>
  </r>
  <r>
    <x v="1"/>
    <n v="851"/>
    <m/>
    <n v="3151"/>
    <s v="14:08, 21/01/2026 Junior Lopes: Olá Edmilson, boa tarde ! Aqui é Junior da Guarani sistemas, Td bem ?_x000a_(26/01/2026) Ola Edmilson, bom dia tudo bem ? _x000a_Sobre as soluções em software ERP e Força de vendas Guarani ! Tem interesse em conhecer? _x000a_21/01/2026 - envio de Aúdio me apresentando e solicitando data para falarmos _x000a_15:30, 23/01/2026 Junior Lopes: Olá Edmilson, boa tarde_x000a_17:08, 27/01/2026 Junior Lopes: Olá, Edmilson! Como não conseguimos evoluir nossa conversa nos últimos dias, entendo que talvez este não seja o momento ideal para focarmos na Solução ERP e Força de vendas. Estou encerrando o seu processo por aqui para não lotar sua caixa de entrada. Vou deixar seu contato salvo e, assim que suas prioridades mudarem, sinta-se à vontade para me chamar_x000a_(18/05/2026) Após varias tentativas de contato , sem sucesso ! estou declinando oportunidade"/>
    <s v=""/>
    <x v="396"/>
    <m/>
    <s v=""/>
    <s v="Édy Distribuidora de Alimentos"/>
    <s v="12997313349"/>
    <s v=""/>
    <s v="edmilson.goulart1@gmail.com"/>
    <s v=""/>
    <s v=""/>
    <s v=""/>
    <s v=""/>
    <s v=""/>
    <s v="Campanha"/>
    <s v=""/>
    <s v=""/>
    <s v="Dentro Perfil;Instagram"/>
    <s v="Pipeline de Vendas"/>
    <s v="Qualificação de Vendas (SQL) (25%)"/>
    <s v=""/>
    <d v="2026-01-31T00:00:00"/>
    <m/>
    <m/>
    <n v="117"/>
    <s v="Paulo Souza"/>
    <d v="2026-01-21T00:00:00"/>
    <d v="1899-12-30T12:30:13"/>
    <s v=""/>
    <s v="Perdido"/>
    <d v="2026-05-18T00:00:00"/>
    <d v="1899-12-30T14:43:41"/>
    <s v="Sem qualificação — contato não atende ligações nem responde msg"/>
    <s v="(18/05/2026) Após varias tentativas de contato , sem sucesso ! estou declinando oportunidade"/>
    <s v=""/>
    <x v="0"/>
    <s v="Junior Lopes"/>
    <x v="0"/>
    <s v=""/>
    <d v="2026-05-18T00:00:00"/>
    <m/>
    <s v=""/>
    <s v=""/>
    <s v=""/>
    <s v=""/>
    <n v="1"/>
  </r>
  <r>
    <x v="2"/>
    <n v="853"/>
    <m/>
    <n v="3154"/>
    <s v="22/01/2026 Rayssa Karapeticov - Comercial - Guarani Sistemas: Bom dia Roberto, como vai? _x000a_29/01 Ok, entendi o objeto. Vejo que não estaremos aptos a fazer o investimento com a sua empresa._x000a_Fica agradecido._x000a_Obrigado pela franqueza e informações._x000a_É a Rayssa da Guarani Sistemas _x000a_recebi seu contato para falar de nossas soluções, você prefere que eu te ligue ou trate por aqui?_x000a_12:34, 22/01/2026 +55 62 8181-2473: Bom dia!_x000a_Pode ser por aqui..._x000a_15:40, 22/01/2026 Rayssa Karapeticov - Comercial - Guarani Sistemas: Perfeito, me passa o que esta procurando de solução de software e como posso te ajudar?_x000a_26/01/2026 Rayssa Karapeticov - Comercial - Guarani Sistemas: Bom dia Roberto como vai?_x000a_Para que possamos avançar, preciso entende um pouco da sua empresa e como as soluções da Guarani Sistemas podem potencializar seus processos e faturamento. _x000a_Podemos conversar?_x000a_27-01 Bom dia Roberto, tudo bem?_x000a_Ainda tem interesse em seguir com uma solução técnologica para sua empresa?_x000a_28/01 Somos uma empresa distribuição de secos e molhados._x000a_Faturamento médio de 350 mil mês_x000a_Trabalhamos com venda direta e pré-venda._x000a_7 vendedores externos_x000a_5 usuário do ERP interno._x000a_Certo, quantos CNPJs?_x000a_2 CNPJ_x000a_vocês precisam controlar lote e validade?_x000a_É interessante, embora não estamos fazendo. Por isso a mudança de ERP..."/>
    <s v=""/>
    <x v="397"/>
    <n v="8439142000161"/>
    <s v=""/>
    <s v="MSRAC"/>
    <s v="62981812473"/>
    <s v=""/>
    <s v="roberto@msrac.com.br"/>
    <s v=""/>
    <s v=""/>
    <s v=""/>
    <s v=""/>
    <s v=""/>
    <s v="Campanha"/>
    <s v=""/>
    <s v=""/>
    <s v="Dentro Perfil;Instagram"/>
    <s v="Pipeline de Vendas"/>
    <s v="Apresentar Proposta (50%)"/>
    <s v=""/>
    <d v="2026-03-31T00:00:00"/>
    <n v="58800"/>
    <n v="873144"/>
    <n v="8"/>
    <s v="Paulo Souza"/>
    <d v="2026-01-21T00:00:00"/>
    <d v="1899-12-30T21:58:26"/>
    <s v=""/>
    <s v="Perdido"/>
    <d v="2026-01-29T00:00:00"/>
    <d v="1899-12-30T16:08:35"/>
    <s v="Preço muito alto - fora do budget de investimento"/>
    <s v=""/>
    <s v=""/>
    <x v="175"/>
    <s v="Rayssa Karapeticov"/>
    <x v="189"/>
    <s v="29/01/2026"/>
    <d v="2026-01-28T00:00:00"/>
    <m/>
    <s v=""/>
    <s v=""/>
    <s v=""/>
    <s v=""/>
    <n v="1"/>
  </r>
  <r>
    <x v="2"/>
    <n v="854"/>
    <m/>
    <n v="3155"/>
    <s v=""/>
    <s v=""/>
    <x v="398"/>
    <m/>
    <s v=""/>
    <s v="Mundo Das Águas Turismo"/>
    <s v="4599648080"/>
    <s v=""/>
    <s v="mundodasaguasturismo@gmail.com"/>
    <s v=""/>
    <s v=""/>
    <s v=""/>
    <s v=""/>
    <s v=""/>
    <s v="Campanha"/>
    <s v=""/>
    <s v=""/>
    <s v="Fora Perfil;Instagram"/>
    <s v="Pipeline de Vendas"/>
    <s v="Agendamento (0%)"/>
    <s v=""/>
    <d v="2026-01-22T00:00:00"/>
    <m/>
    <m/>
    <n v="0"/>
    <s v="Paulo Souza"/>
    <d v="2026-01-22T00:00:00"/>
    <d v="1899-12-30T15:01:30"/>
    <s v=""/>
    <s v="Perdido"/>
    <d v="2026-01-22T00:00:00"/>
    <d v="1899-12-30T15:42:36"/>
    <s v="Fora do porte mínimo (sem fit estrutural)"/>
    <s v=""/>
    <s v=""/>
    <x v="0"/>
    <s v="Rayssa Karapeticov"/>
    <x v="0"/>
    <s v=""/>
    <m/>
    <m/>
    <s v=""/>
    <s v=""/>
    <s v=""/>
    <s v=""/>
    <n v="1"/>
  </r>
  <r>
    <x v="1"/>
    <n v="860"/>
    <m/>
    <n v="3164"/>
    <s v="23/01/2026 Enviei mensagem para Adriano me apresentando, aguardando resposta para agendar um bate papo _x000a_(26/01/2026) buscando contato, enviei áudio buscando o melhor momento para falarmos sobre as soluções _x000a_(29/01/2026) Após tentativas de contato sem sucesso estou desacatando oportunidade !_x000a_Olá Adriano ! Td bem ? _x000a_Tentei contato com você sobre nossas soluções ! Porém não tivemos sucesso no contato, acredito que você esteja com outras prioridades nesse momento _x000a_Para não ficar incomodando vou descartar nosso contato por aqui ! Vou deixar seu contato salvo se suas prioridades mudarem me chame por favor _x000a_Abraço"/>
    <s v=""/>
    <x v="399"/>
    <n v="1399482000167"/>
    <s v=""/>
    <s v="Bral-Max Ind.Com.Plasticos Ltda"/>
    <s v="24999136531"/>
    <s v=""/>
    <s v="adriano@bral-max.com.br"/>
    <s v=""/>
    <s v=""/>
    <s v=""/>
    <s v=""/>
    <s v=""/>
    <s v="Campanha"/>
    <s v=""/>
    <s v=""/>
    <s v="Dentro Perfil;Instagram"/>
    <s v="Pipeline de Vendas"/>
    <s v="Qualificação de Vendas (SQL) (25%)"/>
    <s v=""/>
    <d v="2026-01-31T00:00:00"/>
    <m/>
    <m/>
    <n v="106"/>
    <s v="Paulo Souza"/>
    <d v="2026-01-23T00:00:00"/>
    <d v="1899-12-30T10:04:40"/>
    <s v=""/>
    <s v="Perdido"/>
    <d v="2026-05-09T00:00:00"/>
    <d v="1899-12-30T07:44:36"/>
    <s v="Sem qualificação — contato não atende ligações nem responde msg"/>
    <s v=""/>
    <s v=""/>
    <x v="0"/>
    <s v="Junior Lopes"/>
    <x v="0"/>
    <s v=""/>
    <d v="2026-01-29T00:00:00"/>
    <m/>
    <s v=""/>
    <s v=""/>
    <s v=""/>
    <s v=""/>
    <n v="1"/>
  </r>
  <r>
    <x v="2"/>
    <n v="861"/>
    <m/>
    <n v="3165"/>
    <s v="tentativa de contato_x000a_26/01 - Faz venda porta a porta e tem PDV _x000a_13.02 Tentei contato por ligação e não atendeu_x000a_É um cliente que eu já havia conversado e faz venda PAP, atualmente o Guarani não atende ao que procura _x000a_Fora do perfil"/>
    <s v=""/>
    <x v="400"/>
    <m/>
    <s v=""/>
    <s v="Multiple business service"/>
    <s v="19971619676"/>
    <s v=""/>
    <s v="thomazdistribuidora@gmail.com"/>
    <s v=""/>
    <s v=""/>
    <s v=""/>
    <s v=""/>
    <s v=""/>
    <s v="Campanha"/>
    <s v=""/>
    <s v=""/>
    <s v="Fora Perfil;Instagram"/>
    <s v="Pipeline de Vendas"/>
    <s v="Agendamento (0%)"/>
    <s v=""/>
    <d v="2026-01-31T00:00:00"/>
    <m/>
    <m/>
    <n v="21"/>
    <s v="Paulo Souza"/>
    <d v="2026-01-23T00:00:00"/>
    <d v="1899-12-30T10:37:23"/>
    <s v=""/>
    <s v="Perdido"/>
    <d v="2026-02-13T00:00:00"/>
    <d v="1899-12-30T17:25:09"/>
    <s v="Fora do porte mínimo (sem fit estrutural)"/>
    <s v=""/>
    <s v=""/>
    <x v="0"/>
    <s v="Rayssa Karapeticov"/>
    <x v="0"/>
    <s v=""/>
    <d v="2026-02-13T00:00:00"/>
    <m/>
    <s v=""/>
    <s v=""/>
    <s v=""/>
    <s v=""/>
    <n v="1"/>
  </r>
  <r>
    <x v="0"/>
    <n v="862"/>
    <m/>
    <n v="3166"/>
    <s v="23/01 Apresentar o sistema ERP + AFV hoje as 14h para o Gerson (consultor)_x000a_23/01 23/01 Foi feito apresentação para o cliente do institucional e AFV.  em resumo, a apresentação foi direcionada para a importadora DINATALE (Diego). Porém entrou na reunião a CASAART (William) e também o Mauricio cuja a empresa ainda não conheço. O Gerson (consultor0 que esta conduzindo o projeto participou e informou que são 5 empresa no total, a ideia é conseguir colocar o sistema nas 5 empresas. _x000a_O próximo passo é fazer uma nova agenda para a semana do dia 26/01, para apresentar o sistema novamente para uma equipe maior e expandido com o módulo OCMEX, ERP, REP+ E CONTABIL._x000a_06/02 Fiz FUP hoje com o Gerson consultor e apresentei a proposta.  Na sequência ele vai falar com o a diretoria para agendar uma nova reunião de discursão de valores."/>
    <s v=""/>
    <x v="401"/>
    <n v="82808122000173"/>
    <s v=""/>
    <s v="Gerson"/>
    <s v="(49) 9945-2608"/>
    <s v=""/>
    <s v="contabilizar.atendimento@gmail.com"/>
    <s v=""/>
    <s v=""/>
    <s v=""/>
    <s v="FLOR DO SERTAO"/>
    <s v="SC"/>
    <s v=""/>
    <s v=""/>
    <s v=""/>
    <s v="50%"/>
    <s v="Pipeline de Vendas"/>
    <s v="Em negociação (75%)"/>
    <s v=""/>
    <d v="2026-02-28T00:00:00"/>
    <n v="987029"/>
    <n v="1811884"/>
    <n v="34"/>
    <s v="Paulo Souza"/>
    <d v="2026-01-23T00:00:00"/>
    <d v="1899-12-30T11:23:43"/>
    <s v=""/>
    <s v="Ganho"/>
    <d v="2026-02-26T00:00:00"/>
    <d v="1899-12-30T21:52:56"/>
    <s v=""/>
    <s v=""/>
    <s v=""/>
    <x v="118"/>
    <s v="Paulo Souza"/>
    <x v="126"/>
    <s v=""/>
    <d v="2026-02-27T00:00:00"/>
    <n v="50"/>
    <s v="270"/>
    <s v="ERP, AFV, BI, WMS, COMEX, ADICIONAIS"/>
    <s v="R$ 65.502,90"/>
    <s v="R$ 17.071,80"/>
    <n v="1"/>
  </r>
  <r>
    <x v="0"/>
    <n v="864"/>
    <m/>
    <n v="3169"/>
    <s v="23/01 Fiz FUP hoje com o Junior e o mesmo mencionou que a diretoria achou o valor da mensalidade alta. falou que tem contrato fechado com a GETT com mensal de R$900,00._x000a_Falar com o Fábio e negociar melhor essa questão._x000a_20/03 Hoje foi aberto um ticket para acompanhar dar apoio nas configurações do comex para que o pessoal consiga usar."/>
    <s v=""/>
    <x v="402"/>
    <m/>
    <s v=""/>
    <s v="Junior"/>
    <s v="19987126669"/>
    <s v=""/>
    <s v="junior@tiinfra.com.br"/>
    <s v=""/>
    <s v=""/>
    <s v=""/>
    <s v=""/>
    <s v=""/>
    <s v="BaseGua"/>
    <s v=""/>
    <s v=""/>
    <s v="30%"/>
    <s v="Pipeline de Vendas"/>
    <s v="Em Fechamento (100%)"/>
    <s v=""/>
    <d v="2026-01-31T00:00:00"/>
    <n v="10000"/>
    <n v="2000"/>
    <n v="117"/>
    <s v="Paulo Souza"/>
    <d v="2026-01-23T00:00:00"/>
    <d v="1899-12-30T16:24:12"/>
    <s v=""/>
    <s v="Ativo"/>
    <m/>
    <m/>
    <s v=""/>
    <s v=""/>
    <s v=""/>
    <x v="176"/>
    <s v="Paulo Souza"/>
    <x v="190"/>
    <s v=""/>
    <d v="2026-03-20T00:00:00"/>
    <n v="30"/>
    <s v="20"/>
    <s v="COMEX"/>
    <s v="R$ 10.000"/>
    <s v="R$ 2.000"/>
    <n v="1"/>
  </r>
  <r>
    <x v="0"/>
    <n v="865"/>
    <m/>
    <n v="3170"/>
    <s v="23/01 Fiz FUP com a Simone e o próximo asso e fazer a proposta._x000a_A principal dor do cliente é centralizar a operação em um único sistema, garantindo maior fluidez nos processos, redução de falhas de integração e ganho de produtividade, principalmente nas áreas comercial, faturamento e backoffice._x000a_06/02 Foi apresentado a proposta, que esta sob-analsie da diretoria._x000a_26/02 Fiz FUP com a Simone para saber se vamos seguir ou não._x000a_20/03 Estou cobrando a Simone se vamos seguir ou não."/>
    <s v=""/>
    <x v="403"/>
    <n v="13303103000172"/>
    <s v=""/>
    <s v="Simone"/>
    <s v="(49) 3322-8576 / (49) 3644-0850"/>
    <s v=""/>
    <s v="toyehome@toyehome.com.br"/>
    <s v=""/>
    <s v=""/>
    <s v=""/>
    <s v="CHAPECO"/>
    <s v="SC"/>
    <s v="Inbound"/>
    <s v=""/>
    <s v=""/>
    <s v="50%"/>
    <s v="Pipeline de Vendas"/>
    <s v="Em negociação (75%)"/>
    <s v=""/>
    <d v="2026-03-31T00:00:00"/>
    <n v="59184"/>
    <n v="488139"/>
    <n v="77"/>
    <s v="Paulo Souza"/>
    <d v="2026-01-23T00:00:00"/>
    <d v="1899-12-30T16:52:07"/>
    <s v=""/>
    <s v="Perdido"/>
    <d v="2026-04-10T00:00:00"/>
    <d v="1899-12-30T17:22:13"/>
    <s v="Projeto adiado / sem prazo definido"/>
    <s v=""/>
    <s v=""/>
    <x v="176"/>
    <s v="Paulo Souza"/>
    <x v="190"/>
    <s v=""/>
    <d v="2026-03-20T00:00:00"/>
    <n v="50"/>
    <s v="320"/>
    <s v="ERP, AFV, ADICIONAIS"/>
    <s v="R$ 79.311,16"/>
    <s v="R$ 6.145,44"/>
    <n v="1"/>
  </r>
  <r>
    <x v="2"/>
    <n v="866"/>
    <m/>
    <n v="3177"/>
    <s v="26/01 - é uma industria e esta buscando software de gestão da empresa. _x000a_Estou tentando marcar reunião mas o cliente não atende_x000a_27/01 - Bom dia Micael, tudo bem?_x000a_Ainda tem interesse em seguir com uma solução técnologica para sua empresa?"/>
    <s v=""/>
    <x v="404"/>
    <m/>
    <s v=""/>
    <s v="Lcosmeticos"/>
    <s v="11957608058"/>
    <s v=""/>
    <s v="carriaomicael@gmail.com"/>
    <s v=""/>
    <s v=""/>
    <s v=""/>
    <s v=""/>
    <s v=""/>
    <s v="Campanha"/>
    <s v=""/>
    <s v=""/>
    <s v="Dentro Perfil;Instagram"/>
    <s v="Pipeline de Vendas"/>
    <s v="Agendamento (0%)"/>
    <s v=""/>
    <d v="2026-01-31T00:00:00"/>
    <m/>
    <m/>
    <n v="3"/>
    <s v="Paulo Souza"/>
    <d v="2026-01-26T00:00:00"/>
    <d v="1899-12-30T13:12:42"/>
    <s v=""/>
    <s v="Perdido"/>
    <d v="2026-01-29T00:00:00"/>
    <d v="1899-12-30T16:04:41"/>
    <s v="Não houve aprovação financeira"/>
    <s v=""/>
    <s v=""/>
    <x v="0"/>
    <s v="Rayssa Karapeticov"/>
    <x v="0"/>
    <s v=""/>
    <d v="2026-01-27T00:00:00"/>
    <m/>
    <s v=""/>
    <s v=""/>
    <s v=""/>
    <s v=""/>
    <n v="1"/>
  </r>
  <r>
    <x v="1"/>
    <n v="867"/>
    <m/>
    <n v="3176"/>
    <s v="(27/01/2026) em contato com Thales , ficamos de falar por telefone as 11;30 horas do dia 27/01_x000a_(27/01/2026) Reunião de apresentação primeira Etapa AFV em 28/01/2026 as 14 horas _x000a_(28/01/2026) apresentação do força de vendas na integra e vídeos do força de vendas _x000a_cliente pediu para seguirmos com proposta comercial para ver se está dentro do sua previsão de investimento _x000a_(19/02/2026) Thales achou valor acima para o momento"/>
    <s v=""/>
    <x v="405"/>
    <n v="16743404000105"/>
    <s v=""/>
    <s v="MINAS MIX"/>
    <s v="3194143043"/>
    <s v=""/>
    <s v="thales_david@hotmail.com"/>
    <s v=""/>
    <s v=""/>
    <s v=""/>
    <s v="BELO HORIZONTE"/>
    <s v="MG"/>
    <s v="Campanha"/>
    <s v=""/>
    <s v=""/>
    <s v="30%;Dentro Perfil;Instagram"/>
    <s v="Pipeline de Vendas"/>
    <s v="Apresentar Proposta (50%)"/>
    <s v=""/>
    <d v="2026-02-28T00:00:00"/>
    <n v="61904"/>
    <n v="10192"/>
    <n v="24"/>
    <s v="Paulo Souza"/>
    <d v="2026-01-26T00:00:00"/>
    <d v="1899-12-30T13:15:19"/>
    <s v=""/>
    <s v="Perdido"/>
    <d v="2026-02-19T00:00:00"/>
    <d v="1899-12-30T16:36:15"/>
    <s v="Não houve aprovação financeira"/>
    <s v="(19/02/2026) Thales achou valor acima para o momento"/>
    <s v=""/>
    <x v="175"/>
    <s v="Junior Lopes"/>
    <x v="191"/>
    <s v=""/>
    <d v="2026-02-19T00:00:00"/>
    <n v="30"/>
    <s v=""/>
    <s v=""/>
    <s v=""/>
    <s v=""/>
    <n v="1"/>
  </r>
  <r>
    <x v="2"/>
    <n v="868"/>
    <m/>
    <n v="3174"/>
    <s v="Usa o sistema da Linx, é um armazem de bebida e fazvendas por Zé delivery e Ifood."/>
    <s v=""/>
    <x v="406"/>
    <m/>
    <s v=""/>
    <s v="Brasa e Malte"/>
    <s v="31997703979"/>
    <s v=""/>
    <s v="jsamaurin@gmail.com"/>
    <s v=""/>
    <s v=""/>
    <s v=""/>
    <s v=""/>
    <s v=""/>
    <s v="Campanha"/>
    <s v=""/>
    <s v=""/>
    <s v="Fora Perfil;Instagram"/>
    <s v="Pipeline de Vendas"/>
    <s v="Agendamento (0%)"/>
    <s v=""/>
    <d v="2026-01-31T00:00:00"/>
    <m/>
    <m/>
    <n v="0"/>
    <s v="Paulo Souza"/>
    <d v="2026-01-26T00:00:00"/>
    <d v="1899-12-30T13:17:49"/>
    <s v=""/>
    <s v="Perdido"/>
    <d v="2026-01-26T00:00:00"/>
    <d v="1899-12-30T14:29:56"/>
    <s v="Fora do porte mínimo (sem fit estrutural)"/>
    <s v=""/>
    <s v=""/>
    <x v="0"/>
    <s v="Rayssa Karapeticov"/>
    <x v="0"/>
    <s v=""/>
    <m/>
    <m/>
    <s v=""/>
    <s v=""/>
    <s v=""/>
    <s v=""/>
    <n v="1"/>
  </r>
  <r>
    <x v="1"/>
    <n v="869"/>
    <m/>
    <n v="3175"/>
    <s v="17:09, 26/01/2026 Junior Lopes: Olá Leonan ! Boa tarde _x000a_Sou Junior Lopes da Guarani sistemas, Td bem ?_x000a_17:11, 26/01/2026 Leonan: opa boa tarde_x000a_09:05, 27/01/2026 Junior Lopes: Olá Leonan, bom dia tudo bem ?_x000a_09:06, 27/01/2026 Junior Lopes: podemos bater um papo por telefone hoje as 14 horas ? a ideia é entender suas necessidades e te apresentar uma solução para te ajudar_x000a_17:25, 27/01/2026 Junior Lopes: Olá, Leonan! Como não conseguimos evoluir nossa conversa nos últimos dias, entendo que talvez este não seja o momento ideal para focarmos na Solução ERP e Força de vendas. Estou encerrando o seu processo por aqui para não lotar sua caixa de entrada. Vou deixar seu contato salvo e, assim que suas prioridades mudarem, sinta-se à vontade para me chamar"/>
    <s v=""/>
    <x v="407"/>
    <m/>
    <s v=""/>
    <s v="Leme"/>
    <s v="11976239673"/>
    <s v=""/>
    <s v="leonamj@gmail.com"/>
    <s v=""/>
    <s v=""/>
    <s v=""/>
    <s v=""/>
    <s v=""/>
    <s v="Campanha"/>
    <s v=""/>
    <s v=""/>
    <s v="Dentro Perfil;Instagram"/>
    <s v="Pipeline de Vendas"/>
    <s v="Agendamento (0%)"/>
    <s v=""/>
    <d v="2026-01-31T00:00:00"/>
    <m/>
    <m/>
    <n v="103"/>
    <s v="Paulo Souza"/>
    <d v="2026-01-26T00:00:00"/>
    <d v="1899-12-30T13:19:44"/>
    <s v=""/>
    <s v="Perdido"/>
    <d v="2026-05-09T00:00:00"/>
    <d v="1899-12-30T08:11:38"/>
    <s v="Sem qualificação — contato não atende ligações nem responde msg"/>
    <s v=""/>
    <s v=""/>
    <x v="0"/>
    <s v="Junior Lopes"/>
    <x v="0"/>
    <s v=""/>
    <d v="2026-01-27T00:00:00"/>
    <m/>
    <s v=""/>
    <s v=""/>
    <s v=""/>
    <s v=""/>
    <n v="1"/>
  </r>
  <r>
    <x v="2"/>
    <n v="870"/>
    <m/>
    <n v="3173"/>
    <s v="14:32, 1/26/2026 Rayssa Karapeticov - Comercial - Guarani Sistemas: Boa tarde, Adriano, como vai? _x000a_É a Rayssa da Guarani Sistemas _x000a_recebi seu contato para falar de nossas soluções, você prefere que eu te ligue ou trate por aqui?_x000a_15:53, 1/26/2026 +55 16 99614-4458: AMANHÃ ENTRO EM CONTATO_x000a_15:54, 1/26/2026 Rayssa Karapeticov - Comercial - Guarani Sistemas: Perfeito, aguardo retorno_x000a_09:53, 1/27/2026 Rayssa Karapeticov - Comercial - Guarani Sistemas: Bom dia Adriano, tudo bem? _x000a_Conseguimos falar hoje?_x000a_05.02 - Sem retorno do cliente Sem retorno do cliente _x000a_17.02Usa um  sistema do Rio grande do Sul Nova gestor e tem duas dificuldades _x000a_Não comunica com o banco C6Bank _x000a_Ordem de produção _x000a_São uma indústria química por batelada _x000a_Várias tipos de embalagem _x000a_Adesivos industriais _x000a_Minas Gerais - _x000a_8 RCA _x000a_3 pessoas _x000a_Atualmente pagar R$290,00 por mes com todos esses acessos, então fica inviavel a contratação"/>
    <s v=""/>
    <x v="408"/>
    <m/>
    <s v=""/>
    <s v="Kicollaadesivos.com.br"/>
    <s v="16996144458"/>
    <s v=""/>
    <s v="adrianosoaresm@yahoo.com.br"/>
    <s v=""/>
    <s v=""/>
    <s v=""/>
    <s v=""/>
    <s v=""/>
    <s v="Campanha"/>
    <s v=""/>
    <s v=""/>
    <s v="30%;Dentro Perfil;Instagram"/>
    <s v="Pipeline de Vendas"/>
    <s v="Qualificação de Vendas (SQL) (25%)"/>
    <s v=""/>
    <d v="2026-01-31T00:00:00"/>
    <m/>
    <m/>
    <n v="22"/>
    <s v="Paulo Souza"/>
    <d v="2026-01-26T00:00:00"/>
    <d v="1899-12-30T13:21:08"/>
    <s v=""/>
    <s v="Perdido"/>
    <d v="2026-02-17T00:00:00"/>
    <d v="1899-12-30T16:11:30"/>
    <s v="Preço muito alto - fora do budget de investimento"/>
    <s v=""/>
    <s v=""/>
    <x v="0"/>
    <s v="Rayssa Karapeticov"/>
    <x v="0"/>
    <s v=""/>
    <d v="2026-02-17T00:00:00"/>
    <n v="30"/>
    <s v=""/>
    <s v=""/>
    <s v=""/>
    <s v=""/>
    <n v="1"/>
  </r>
  <r>
    <x v="0"/>
    <n v="871"/>
    <m/>
    <n v="3172"/>
    <s v="contato realizado com o Alexanre, sem sucesso. Deixei msg no zap para faalrmos amanha!_x000a_28/01 Fiz FUP hoje com o Alexandre, sem sucesso. Deixei novamente recado no whatsapp e e-mail!_x000a_12/03 Por falta de retorno e interesse estou declinando o lead foi feita diversas tentativa de comunicação sem sucesso."/>
    <s v=""/>
    <x v="409"/>
    <n v="19933187000104"/>
    <s v=""/>
    <s v="Giacom Distribuidora Ltda"/>
    <s v="11918764203"/>
    <s v=""/>
    <s v="alexandre@giacomdistribuidora.com.br"/>
    <s v=""/>
    <s v=""/>
    <s v=""/>
    <s v=""/>
    <s v=""/>
    <s v="Campanha"/>
    <s v=""/>
    <s v=""/>
    <s v="30%;Dentro Perfil;Instagram"/>
    <s v="Pipeline de Vendas"/>
    <s v="Qualificação de Vendas (SQL) (25%)"/>
    <s v=""/>
    <d v="2026-01-31T00:00:00"/>
    <m/>
    <m/>
    <n v="45"/>
    <s v="Paulo Souza"/>
    <d v="2026-01-26T00:00:00"/>
    <d v="1899-12-30T13:21:53"/>
    <s v=""/>
    <s v="Perdido"/>
    <d v="2026-03-12T00:00:00"/>
    <d v="1899-12-30T17:29:31"/>
    <s v="Fora do porte mínimo (sem fit estrutural)"/>
    <s v=""/>
    <s v=""/>
    <x v="0"/>
    <s v="Paulo Souza"/>
    <x v="0"/>
    <s v=""/>
    <d v="2026-03-12T00:00:00"/>
    <n v="30"/>
    <s v=""/>
    <s v=""/>
    <s v=""/>
    <s v=""/>
    <n v="1"/>
  </r>
  <r>
    <x v="0"/>
    <n v="872"/>
    <m/>
    <n v="3178"/>
    <s v="Fiz o primeiro contato com a Maria e agendamos amanhã às 14h._x000a_28/01 Fiz FUP hoje com a maria sem sucesso. Liguei não atendeu , deixei recado no whats app e estou aguardando retorno._x000a_28/01 Consegui fazer a apresentação institucional para a Maria. O próximo passo é enviar a proposta !_x000a_06/02 Fiz uma reunião onde apresentei a proposta. A Maria, foi bem objetiva e falou que o valor ficou bem acima dos demais concorrentes, mesmo assim ela vai ter uma reunião com a diretoria na próxima semana e me retorna se seguiremos ou não!_x000a_26/02 Fiz FUP com a Maria cobrando uma posição se seguiremos ou não._x000a_27/02 Por falta de interação e retorno do cliente estou declinando a proposta."/>
    <s v=""/>
    <x v="410"/>
    <m/>
    <s v=""/>
    <s v="Maria"/>
    <s v="(11) 97129-2472"/>
    <s v=""/>
    <s v="financeiro@autovolth.com.br"/>
    <s v=""/>
    <s v=""/>
    <s v=""/>
    <s v="São Paulo"/>
    <s v=""/>
    <s v="Site"/>
    <s v=""/>
    <s v=""/>
    <s v="50%;Solicita demo"/>
    <s v="Pipeline de Vendas"/>
    <s v="Em negociação (75%)"/>
    <s v=""/>
    <d v="2026-02-28T00:00:00"/>
    <n v="701343"/>
    <n v="17345"/>
    <n v="32"/>
    <s v="Paulo Souza"/>
    <d v="2026-01-26T00:00:00"/>
    <d v="1899-12-30T17:09:40"/>
    <s v=""/>
    <s v="Perdido"/>
    <d v="2026-02-27T00:00:00"/>
    <d v="1899-12-30T21:20:57"/>
    <s v="Projeto adiado / sem prazo definido"/>
    <s v=""/>
    <s v=""/>
    <x v="177"/>
    <s v="Paulo Souza"/>
    <x v="192"/>
    <s v=""/>
    <d v="2026-02-26T00:00:00"/>
    <n v="50"/>
    <s v="330"/>
    <s v="ERP, PCP, ADICIONAIS"/>
    <s v="R$ 66.000"/>
    <s v="R$ 5.868,80"/>
    <n v="1"/>
  </r>
  <r>
    <x v="1"/>
    <n v="873"/>
    <m/>
    <n v="3179"/>
    <s v="(27/01/2026) Olá Fábio ! Bom dia _x000a_Sou Junior Lopes da Guarani sistemas, Td bem ?_x000a_acrescentei um áudio me apresentando e sugerindo um bate papo hoje as 14 horas _x000a_(29/01/2026) tentativa de contato sem retorno do Fabio !_x000a_Olá Fábio ! Estou tentando contato para falarmos sobre as soluções Guarani ! _x000a_Porém devido a falta de retorno acredito que você está com outras prioridades _x000a_Vou deixar seu contato salvo caso em breve queira conversar _x000a_Um grande abraço"/>
    <s v=""/>
    <x v="411"/>
    <m/>
    <s v=""/>
    <s v="FB dis"/>
    <s v="11992758370"/>
    <s v=""/>
    <s v="fabiojb80@gmail.com"/>
    <s v=""/>
    <s v=""/>
    <s v=""/>
    <s v=""/>
    <s v=""/>
    <s v="Campanha"/>
    <s v=""/>
    <s v=""/>
    <s v="Dentro Perfil;Instagram"/>
    <s v="Pipeline de Vendas"/>
    <s v="Agendamento (0%)"/>
    <s v=""/>
    <m/>
    <m/>
    <m/>
    <n v="102"/>
    <s v="Paulo Souza"/>
    <d v="2026-01-27T00:00:00"/>
    <d v="1899-12-30T08:39:12"/>
    <s v=""/>
    <s v="Perdido"/>
    <d v="2026-05-09T00:00:00"/>
    <d v="1899-12-30T08:13:07"/>
    <s v="Sem qualificação — contato não atende ligações nem responde msg"/>
    <s v=""/>
    <s v=""/>
    <x v="0"/>
    <s v="Junior Lopes"/>
    <x v="0"/>
    <s v=""/>
    <d v="2026-01-29T00:00:00"/>
    <m/>
    <s v=""/>
    <s v=""/>
    <s v=""/>
    <s v=""/>
    <n v="1"/>
  </r>
  <r>
    <x v="2"/>
    <n v="874"/>
    <m/>
    <n v="3180"/>
    <s v=""/>
    <s v=""/>
    <x v="412"/>
    <m/>
    <s v=""/>
    <s v="Scientech Ambiental"/>
    <s v="11999733410"/>
    <s v=""/>
    <s v="luissscaro@hotmail.com"/>
    <s v=""/>
    <s v=""/>
    <s v=""/>
    <s v=""/>
    <s v=""/>
    <s v="Campanha"/>
    <s v=""/>
    <s v=""/>
    <s v="Fora Perfil;Instagram"/>
    <s v="Pipeline de Vendas"/>
    <s v="Agendamento (0%)"/>
    <s v=""/>
    <d v="2026-01-31T00:00:00"/>
    <m/>
    <m/>
    <n v="2"/>
    <s v="Paulo Souza"/>
    <d v="2026-01-27T00:00:00"/>
    <d v="1899-12-30T08:40:17"/>
    <s v=""/>
    <s v="Perdido"/>
    <d v="2026-01-29T00:00:00"/>
    <d v="1899-12-30T15:59:33"/>
    <s v="Fora do porte mínimo (sem fit estrutural)"/>
    <s v=""/>
    <s v=""/>
    <x v="0"/>
    <s v="Rayssa Karapeticov"/>
    <x v="0"/>
    <s v=""/>
    <m/>
    <m/>
    <s v=""/>
    <s v=""/>
    <s v=""/>
    <s v=""/>
    <n v="1"/>
  </r>
  <r>
    <x v="1"/>
    <n v="876"/>
    <m/>
    <n v="3182"/>
    <s v=""/>
    <s v="Orbhes Espumas E Colchoes Ltda"/>
    <x v="413"/>
    <n v="5937946000100"/>
    <s v=""/>
    <s v="Orbhes Espumas E Colchoes Ltda"/>
    <s v="(47) 3376-8400"/>
    <s v=""/>
    <s v="orbhes@orbhes.com.br"/>
    <s v=""/>
    <s v=""/>
    <s v=""/>
    <s v="JARAGUA DO SUL"/>
    <s v="SC"/>
    <s v="Base de empresas Leads2b"/>
    <s v=""/>
    <s v=""/>
    <s v="80%"/>
    <s v="Pipeline de Vendas"/>
    <s v="Em Fechamento (100%)"/>
    <s v=""/>
    <d v="2026-02-28T00:00:00"/>
    <n v="16960"/>
    <n v="32775"/>
    <n v="16"/>
    <s v="Junior Lopes"/>
    <d v="2026-01-28T00:00:00"/>
    <d v="1899-12-30T09:06:40"/>
    <s v=""/>
    <s v="Ganho"/>
    <d v="2026-02-13T00:00:00"/>
    <d v="1899-12-30T12:16:48"/>
    <s v=""/>
    <s v=""/>
    <s v=""/>
    <x v="178"/>
    <s v="Junior Lopes"/>
    <x v="193"/>
    <s v=""/>
    <m/>
    <n v="80"/>
    <s v=""/>
    <s v=""/>
    <s v=""/>
    <s v=""/>
    <n v="1"/>
  </r>
  <r>
    <x v="0"/>
    <n v="877"/>
    <m/>
    <n v="3187"/>
    <s v="28/01 Apresentar o sistema B2B para Clevis o responsável de TI e Alessandro gerente de loja. _x000a_05/02/2026 Fiz apresentação do produto e da proposta, agora negociado._x000a_26/02 Fiz FUP com o CLEVIS, hoje cobrando a reunião para negociar!_x000a_10/03 Fiz reunião ontem com o Clevis e expliquei que o que e possível em relação a isenção da mensalidade é : 4 meses da assinatura ou qdo sistema em produção._x000a_12/03 Negociando o fechamento reunião técnica para o dia 17/03 as 15h._x000a_12/03 Fiz FUP hoje com o Clevis para firmar uma agenda de uma conversa técnica para terça feira dia 17/03 as 15h. Será feito nessa reunião um alinhamento de integração do nosso B2B com o JJsistema  . _x000a_A proposta ficou em 13k e a mensalidade iniciar com com 4 meses da assinatura do contrato ou sistema em produção._x000a_20/03 Esta na fase de coleta de documentação para assinar o contrato."/>
    <s v=""/>
    <x v="414"/>
    <m/>
    <s v=""/>
    <s v="Clevis"/>
    <s v="47992119052"/>
    <s v=""/>
    <s v="null"/>
    <s v=""/>
    <s v=""/>
    <s v=""/>
    <s v=""/>
    <s v=""/>
    <s v="BaseGua"/>
    <s v=""/>
    <s v=""/>
    <s v="90%"/>
    <s v="Pipeline de Vendas"/>
    <s v="Em Fechamento (100%)"/>
    <s v=""/>
    <d v="2026-03-31T00:00:00"/>
    <n v="12000"/>
    <n v="1700"/>
    <n v="110"/>
    <s v="Paulo Souza"/>
    <d v="2026-01-28T00:00:00"/>
    <d v="1899-12-30T15:54:53"/>
    <s v=""/>
    <s v="Perdido"/>
    <d v="2026-05-18T00:00:00"/>
    <d v="1899-12-30T17:08:31"/>
    <s v="Não houve aprovação financeira"/>
    <s v=""/>
    <s v=""/>
    <x v="118"/>
    <s v="Paulo Souza"/>
    <x v="194"/>
    <s v=""/>
    <d v="2026-03-20T00:00:00"/>
    <n v="80"/>
    <s v="24"/>
    <s v="B2B"/>
    <s v="R$ 0,00"/>
    <s v="R$ 0,00"/>
    <n v="1"/>
  </r>
  <r>
    <x v="1"/>
    <n v="879"/>
    <m/>
    <n v="3192"/>
    <s v="(29/01/2026) feito ligação para Marcelo para explicar valores da proposta comercial"/>
    <s v="Portal Importacao E Exportacao De Equipamentos De Informatica Ltda"/>
    <x v="415"/>
    <n v="42371959000183"/>
    <s v=""/>
    <s v="Portal Importacao E Exportacao De Equipamentos De Informatica Ltda"/>
    <s v="(11) 8444-8642"/>
    <s v=""/>
    <s v="portal@gmail.com"/>
    <s v=""/>
    <s v=""/>
    <s v=""/>
    <s v="GUARULHOS"/>
    <s v="SP"/>
    <s v="Base de empresas Leads2b"/>
    <s v=""/>
    <s v=""/>
    <s v="30%"/>
    <s v="Pipeline de Vendas"/>
    <s v="Apresentar Proposta (50%)"/>
    <s v=""/>
    <d v="2026-02-28T00:00:00"/>
    <n v="79958"/>
    <n v="45432"/>
    <n v="25"/>
    <s v="Junior Lopes"/>
    <d v="2026-01-29T00:00:00"/>
    <d v="1899-12-30T09:56:25"/>
    <s v=""/>
    <s v="Perdido"/>
    <d v="2026-02-23T00:00:00"/>
    <d v="1899-12-30T15:07:05"/>
    <s v="Não houve aprovação financeira"/>
    <s v="cliente declinou após recebimento da proposta comercial"/>
    <s v=""/>
    <x v="175"/>
    <s v="Junior Lopes"/>
    <x v="189"/>
    <s v=""/>
    <m/>
    <n v="30"/>
    <s v=""/>
    <s v=""/>
    <s v=""/>
    <s v=""/>
    <n v="1"/>
  </r>
  <r>
    <x v="1"/>
    <n v="882"/>
    <m/>
    <n v="3199"/>
    <s v="em contato na feira Abcasa , vai seguir com AFV"/>
    <s v=""/>
    <x v="416"/>
    <m/>
    <s v=""/>
    <s v="Plasberg - ERP"/>
    <s v="75981412000"/>
    <s v=""/>
    <s v="null"/>
    <s v=""/>
    <s v=""/>
    <s v=""/>
    <s v=""/>
    <s v=""/>
    <s v=""/>
    <s v=""/>
    <s v=""/>
    <s v="50%"/>
    <s v="Pipeline de Vendas"/>
    <s v="Em negociação (75%)"/>
    <s v=""/>
    <d v="2026-02-28T00:00:00"/>
    <n v="90000"/>
    <n v="921279"/>
    <n v="15"/>
    <s v="Junior Lopes"/>
    <d v="2026-01-29T00:00:00"/>
    <d v="1899-12-30T16:10:26"/>
    <s v=""/>
    <s v="Perdido"/>
    <d v="2026-02-13T00:00:00"/>
    <d v="1899-12-30T12:24:12"/>
    <s v="Não quer mudar a solução atual"/>
    <s v="em contato na feira Abcasa , vai seguir com AFV"/>
    <s v=""/>
    <x v="179"/>
    <s v="Junior Lopes"/>
    <x v="175"/>
    <s v=""/>
    <d v="2026-02-13T00:00:00"/>
    <n v="50"/>
    <s v=""/>
    <s v=""/>
    <s v=""/>
    <s v=""/>
    <n v="1"/>
  </r>
  <r>
    <x v="1"/>
    <n v="883"/>
    <m/>
    <n v="3200"/>
    <s v="em contato na feira Abcasa , vai seguir com AFV"/>
    <s v=""/>
    <x v="113"/>
    <m/>
    <s v=""/>
    <s v="Plasberg - AFV"/>
    <s v="75981412000"/>
    <s v=""/>
    <s v="null"/>
    <s v=""/>
    <s v=""/>
    <s v=""/>
    <s v=""/>
    <s v=""/>
    <s v=""/>
    <s v=""/>
    <s v=""/>
    <s v="50%"/>
    <s v="Pipeline de Vendas"/>
    <s v="Em negociação (75%)"/>
    <s v=""/>
    <d v="2026-02-28T00:00:00"/>
    <n v="1600"/>
    <n v="599515"/>
    <n v="15"/>
    <s v="Junior Lopes"/>
    <d v="2026-01-29T00:00:00"/>
    <d v="1899-12-30T16:20:50"/>
    <s v=""/>
    <s v="Perdido"/>
    <d v="2026-02-13T00:00:00"/>
    <d v="1899-12-30T12:25:47"/>
    <s v="Não quer mudar a solução atual"/>
    <s v="em contato na feira Abcasa , vai seguir com AFV"/>
    <s v=""/>
    <x v="179"/>
    <s v="Junior Lopes"/>
    <x v="175"/>
    <s v=""/>
    <d v="2026-02-13T00:00:00"/>
    <n v="50"/>
    <s v=""/>
    <s v=""/>
    <s v=""/>
    <s v=""/>
    <n v="1"/>
  </r>
  <r>
    <x v="1"/>
    <n v="884"/>
    <m/>
    <n v="3202"/>
    <s v="10:21, 09/03/2026 Junior Lopes: Olá Breno ! Como vai ?_x000a_11:06, 09/03/2026 Breno Plasberg: Bom dia_x000a_11:07, 09/03/2026 Junior Lopes: tudo bem meu amigo ! sobre a sequencia do projeto, alguma novidade ?"/>
    <s v=""/>
    <x v="417"/>
    <m/>
    <s v=""/>
    <s v="Plasberg - AFV"/>
    <s v="75981412000"/>
    <s v=""/>
    <s v="null"/>
    <s v=""/>
    <s v=""/>
    <s v=""/>
    <s v=""/>
    <s v=""/>
    <s v=""/>
    <s v=""/>
    <s v=""/>
    <s v="50%"/>
    <s v="Pipeline de Vendas"/>
    <s v="Em Fechamento (100%)"/>
    <s v=""/>
    <d v="2026-03-31T00:00:00"/>
    <n v="149248"/>
    <n v="29499"/>
    <n v="62"/>
    <s v="Junior Lopes"/>
    <d v="2026-01-29T00:00:00"/>
    <d v="1899-12-30T16:37:42"/>
    <s v=""/>
    <s v="Ganho"/>
    <d v="2026-04-01T00:00:00"/>
    <d v="1899-12-30T15:31:20"/>
    <s v=""/>
    <s v=""/>
    <s v=""/>
    <x v="175"/>
    <s v="Junior Lopes"/>
    <x v="175"/>
    <s v="11/02/2026"/>
    <d v="2026-02-09T00:00:00"/>
    <n v="50"/>
    <s v=""/>
    <s v=""/>
    <s v=""/>
    <s v=""/>
    <n v="1"/>
  </r>
  <r>
    <x v="1"/>
    <n v="885"/>
    <m/>
    <n v="3205"/>
    <s v="(29/01/2026) em contato com Artur, esta em analise interna"/>
    <s v=""/>
    <x v="418"/>
    <n v="4312818000109"/>
    <s v=""/>
    <s v="Pino lar"/>
    <s v=""/>
    <s v=""/>
    <s v=""/>
    <s v=""/>
    <s v=""/>
    <s v=""/>
    <s v="SAO PAULO"/>
    <s v="SP"/>
    <s v=""/>
    <s v=""/>
    <s v=""/>
    <s v="30%"/>
    <s v="Pipeline de Vendas"/>
    <s v="Em negociação (75%)"/>
    <s v=""/>
    <d v="2026-02-28T00:00:00"/>
    <n v="1600"/>
    <n v="384454"/>
    <n v="20"/>
    <s v="Junior Lopes"/>
    <d v="2026-01-30T00:00:00"/>
    <d v="1899-12-30T14:50:39"/>
    <s v=""/>
    <s v="Perdido"/>
    <d v="2026-02-19T00:00:00"/>
    <d v="1899-12-30T16:32:59"/>
    <s v="Não quer mudar a solução atual"/>
    <s v="11:13, 13/02/2026 Artur Pino Pino Lar: Bom dia_x000a_11:13, 13/02/2026 Artur Pino Pino Lar: Tudo bem ?_x000a_11:13, 13/02/2026 Artur Pino Pino Lar: Optei em fechar com a Penso_x000a_11:13, 13/02/2026 Artur Pino Pino Lar: Nossa empresa de TI_x000a_11:14, 13/02/2026 Artur Pino Pino Lar: O valor , pelo pacote que temos ficou muito atrativo_x000a_11:14, 13/02/2026 Artur Pino Pino Lar: Próxima semana já vamos iniciar a carga de dados_x000a_11:14, 13/02/2026 Artur Pino Pino Lar: Mas …… obrigado !_x000a_11:16, 13/02/2026 Junior Lopes: Olá Artur , perfeito!  Vou comunicar o Fernando por aqui"/>
    <s v=""/>
    <x v="172"/>
    <s v="Junior Lopes"/>
    <x v="0"/>
    <s v=""/>
    <d v="2026-02-19T00:00:00"/>
    <n v="30"/>
    <s v=""/>
    <s v=""/>
    <s v=""/>
    <s v=""/>
    <n v="1"/>
  </r>
  <r>
    <x v="1"/>
    <n v="886"/>
    <m/>
    <n v="3207"/>
    <s v="Perfeito Cláudio ! Abraço_x000a_Olá Cláudio! Como vai ?_x000a_Olá Cláudio Td bem ? _x000a_Como não recebi seu retorno nos últimos dias, entendo que talvez não seja o melhor momento para seguirmos com projeto Guarani _x000a_Para nao lotar seu WhatsApp de mensagens estou encerrando o contato! _x000a_Caso suas prioridades mudem sigo a disposição _x000a_Abraço"/>
    <s v=""/>
    <x v="419"/>
    <m/>
    <s v=""/>
    <s v="Claudio Teixeira"/>
    <s v="43996693593"/>
    <s v=""/>
    <s v="claudioteixeirasap@hotmail.com"/>
    <s v=""/>
    <s v=""/>
    <s v=""/>
    <s v=""/>
    <s v=""/>
    <s v=""/>
    <s v=""/>
    <s v=""/>
    <s v="Dentro Perfil;Instagram"/>
    <s v="Pipeline de Vendas"/>
    <s v="Apresentar Proposta (50%)"/>
    <s v=""/>
    <m/>
    <n v="1600"/>
    <n v="252471"/>
    <n v="38"/>
    <s v="Junior Lopes"/>
    <d v="2026-01-30T00:00:00"/>
    <d v="1899-12-30T15:24:23"/>
    <s v=""/>
    <s v="Perdido"/>
    <d v="2026-03-09T00:00:00"/>
    <d v="1899-12-30T11:03:54"/>
    <s v="Projeto adiado / sem prazo definido"/>
    <s v="Perfeito Cláudio ! Abraço_x000a_Olá Cláudio! Como vai ?_x000a_Olá Cláudio Td bem ? _x000a_Como não recebi seu retorno nos últimos dias, entendo que talvez não seja o melhor momento para seguirmos com projeto Guarani _x000a_Para nao lotar seu WhatsApp de mensagens estou encerrando o contato! _x000a_Caso suas prioridades mudem sigo a disposição _x000a_Abraço"/>
    <s v=""/>
    <x v="172"/>
    <s v=""/>
    <x v="0"/>
    <s v=""/>
    <d v="2026-02-09T00:00:00"/>
    <m/>
    <s v=""/>
    <s v=""/>
    <s v=""/>
    <s v=""/>
    <n v="1"/>
  </r>
  <r>
    <x v="1"/>
    <n v="887"/>
    <m/>
    <n v="3208"/>
    <s v=""/>
    <s v=""/>
    <x v="420"/>
    <m/>
    <s v=""/>
    <s v="Mauricio Jorge Lima - Cloud"/>
    <s v="9384064995"/>
    <s v=""/>
    <s v="mauriciojlatm@gmail.com"/>
    <s v=""/>
    <s v=""/>
    <s v=""/>
    <s v=""/>
    <s v=""/>
    <s v=""/>
    <s v=""/>
    <s v=""/>
    <s v="Dentro Perfil"/>
    <s v="Pipeline de Vendas"/>
    <s v="Apresentar Solução (35%)"/>
    <s v=""/>
    <m/>
    <n v="1600"/>
    <n v="254271"/>
    <n v="6"/>
    <s v="Junior Lopes"/>
    <d v="2026-01-30T00:00:00"/>
    <d v="1899-12-30T15:57:59"/>
    <s v=""/>
    <s v="Perdido"/>
    <d v="2026-02-05T00:00:00"/>
    <d v="1899-12-30T14:13:46"/>
    <s v="Preço muito alto - fora do budget de investimento"/>
    <s v=": Preço muito alto"/>
    <s v=""/>
    <x v="172"/>
    <s v=""/>
    <x v="183"/>
    <s v=""/>
    <d v="2026-01-26T00:00:00"/>
    <m/>
    <s v=""/>
    <s v=""/>
    <s v=""/>
    <s v=""/>
    <n v="1"/>
  </r>
  <r>
    <x v="1"/>
    <n v="888"/>
    <m/>
    <n v="3209"/>
    <s v=""/>
    <s v=""/>
    <x v="421"/>
    <m/>
    <s v=""/>
    <s v="Folha dourada tabacos - Cloud"/>
    <s v="3284083586"/>
    <s v=""/>
    <s v="atacabaco@gmail.com"/>
    <s v=""/>
    <s v=""/>
    <s v=""/>
    <s v=""/>
    <s v=""/>
    <s v=""/>
    <s v=""/>
    <s v=""/>
    <s v="Dentro Perfil;Instagram"/>
    <s v="Pipeline de Vendas"/>
    <s v="Apresentar Solução (35%)"/>
    <s v=""/>
    <m/>
    <n v="1600"/>
    <n v="252471"/>
    <n v="6"/>
    <s v="Junior Lopes"/>
    <d v="2026-01-30T00:00:00"/>
    <d v="1899-12-30T16:09:17"/>
    <s v=""/>
    <s v="Perdido"/>
    <d v="2026-02-05T00:00:00"/>
    <d v="1899-12-30T12:21:51"/>
    <s v="Não houve aprovação financeira"/>
    <s v="valor acima da expectativa"/>
    <s v=""/>
    <x v="166"/>
    <s v=""/>
    <x v="176"/>
    <s v=""/>
    <d v="2026-01-29T00:00:00"/>
    <m/>
    <s v=""/>
    <s v=""/>
    <s v=""/>
    <s v=""/>
    <n v="1"/>
  </r>
  <r>
    <x v="1"/>
    <n v="889"/>
    <m/>
    <n v="3210"/>
    <s v="(19/02/2026) Thales achou valor acima para o momento"/>
    <s v=""/>
    <x v="422"/>
    <m/>
    <s v=""/>
    <s v="Minas Mix - Cloud"/>
    <s v="3194143043"/>
    <s v=""/>
    <s v="thales_david@hotmail.com"/>
    <s v=""/>
    <s v=""/>
    <s v=""/>
    <s v=""/>
    <s v=""/>
    <s v=""/>
    <s v=""/>
    <s v=""/>
    <s v="30%;Dentro Perfil;Instagram"/>
    <s v="Pipeline de Vendas"/>
    <s v="Apresentar Proposta (50%)"/>
    <s v=""/>
    <m/>
    <n v="1600"/>
    <n v="252471"/>
    <n v="20"/>
    <s v="Junior Lopes"/>
    <d v="2026-01-30T00:00:00"/>
    <d v="1899-12-30T16:40:37"/>
    <s v=""/>
    <s v="Perdido"/>
    <d v="2026-02-19T00:00:00"/>
    <d v="1899-12-30T16:37:47"/>
    <s v="Não houve aprovação financeira"/>
    <s v="(19/02/2026) Thales achou valor acima para o momento"/>
    <s v=""/>
    <x v="175"/>
    <s v="Junior Lopes"/>
    <x v="191"/>
    <s v=""/>
    <d v="2026-02-19T00:00:00"/>
    <n v="30"/>
    <s v=""/>
    <s v=""/>
    <s v=""/>
    <s v=""/>
    <n v="1"/>
  </r>
  <r>
    <x v="1"/>
    <n v="890"/>
    <m/>
    <n v="3190"/>
    <s v="16:53, 30/01/2026 Junior Lopes: ani sistemas, Td bem ?_x000a_17:35, 30/01/2026 Leonardo Form: Boa tarde tudo e vc ?_x000a_16:53, 02/02/2026 Junior Lopes: Olá Leonardo, boa tarde  ! tem interesse em conhecer nossas soluções ?"/>
    <s v=""/>
    <x v="423"/>
    <n v="747901000222"/>
    <s v=""/>
    <s v="Tenneco"/>
    <s v="19995356201"/>
    <s v=""/>
    <s v="ltavares@tenneco.com"/>
    <s v=""/>
    <s v=""/>
    <s v=""/>
    <s v=""/>
    <s v=""/>
    <s v="Campanha"/>
    <s v=""/>
    <s v=""/>
    <s v="30%;Dentro Perfil;Instagram"/>
    <s v="Pipeline de Vendas"/>
    <s v="Apresentar Solução (35%)"/>
    <s v=""/>
    <d v="2026-02-28T00:00:00"/>
    <m/>
    <m/>
    <n v="99"/>
    <s v="Paulo Souza"/>
    <d v="2026-01-30T00:00:00"/>
    <d v="1899-12-30T16:49:56"/>
    <s v=""/>
    <s v="Perdido"/>
    <d v="2026-05-09T00:00:00"/>
    <d v="1899-12-30T08:34:33"/>
    <s v="Sem qualificação — contato não atende ligações nem responde msg"/>
    <s v=""/>
    <s v=""/>
    <x v="0"/>
    <s v="Junior Lopes"/>
    <x v="0"/>
    <s v=""/>
    <d v="2026-03-09T00:00:00"/>
    <n v="30"/>
    <s v=""/>
    <s v=""/>
    <s v=""/>
    <s v=""/>
    <n v="1"/>
  </r>
  <r>
    <x v="2"/>
    <n v="891"/>
    <m/>
    <n v="3191"/>
    <s v="18.02 - Tentativa de contato realizado por telefone e-mail"/>
    <s v=""/>
    <x v="424"/>
    <m/>
    <s v=""/>
    <s v="Certo"/>
    <s v="3335294949"/>
    <s v=""/>
    <s v="ti@grupocerto.com.br"/>
    <s v=""/>
    <s v=""/>
    <s v=""/>
    <s v=""/>
    <s v=""/>
    <s v="Campanha"/>
    <s v=""/>
    <s v=""/>
    <s v="30%;Dentro Perfil;Instagram"/>
    <s v="Pipeline de Vendas"/>
    <s v="Apresentar Proposta (50%)"/>
    <s v=""/>
    <d v="2026-02-28T00:00:00"/>
    <m/>
    <m/>
    <n v="26"/>
    <s v="Paulo Souza"/>
    <d v="2026-01-30T00:00:00"/>
    <d v="1899-12-30T16:51:49"/>
    <s v=""/>
    <s v="Perdido"/>
    <d v="2026-02-25T00:00:00"/>
    <d v="1899-12-30T10:30:05"/>
    <s v="Cliente não quer contato LGPD"/>
    <s v=""/>
    <s v=""/>
    <x v="0"/>
    <s v="Rayssa Karapeticov"/>
    <x v="0"/>
    <s v=""/>
    <d v="2026-02-18T00:00:00"/>
    <n v="30"/>
    <s v=""/>
    <s v=""/>
    <s v=""/>
    <s v=""/>
    <n v="1"/>
  </r>
  <r>
    <x v="1"/>
    <n v="892"/>
    <m/>
    <n v="3196"/>
    <s v="(30/01/2026) Sou Junior Lopes da Guarani sistemas_x000a_16:56, 30/01/2026 Junior Lopes: Td bem ?_x000a_17:01, 30/01/2026 Orlando: Tudo_x000a_17:08, 30/01/2026 Orlando: Descreve alguma coisa do seu sistema_x000a_17:29, 30/01/2026 Orlando: Qual o valor mensal?_x000a_Este valor mensal posso incluir quantas empresas?_x000a_16:49, 02/02/2026 Junior Lopes: Olá Orlando , tem interesse em dar continuidade no contato ?_x000a_Hj um investimento em um ERP Guarani controlando sua empresa de ponta a ponta desde a produção passando pelos módulos financeiro a pagar e receber, comercial, compras, Fiscal, logística/expedicao (WMS) e Força de vendas ! Fica dentro de uma expectativa entre (60 mil a 90 mil) de investimento em implantação e treinamentos !_x000a_A mensalidade é por usuário sendo R$ 280,00 do ERP e R$ 115,00 do AFV_x000a_Caso queira um orçamento mais preciso, podemos nos reunir para entender melhor suas necessidades_x000a_O que seria AFV?  (enviei =áudio explicando)_x000a_(11/02/2026) retornei contato com Orlando buscando continuidade no atendimento _x000a_10:07, 19/02/2026 Orlando: Falamos mais tarde_x000a_10:08, 19/02/2026 Orlando: Estou viajando, melhor poderia me chamar na segunda feira?_x000a_10:17, 19/02/2026 Junior Lopes: Estou viajando, melhor poderia me chamar na segunda feira?_x000a_Sim ! Te chamo segunda-feira_x000a_(16/03/2026) em contato com Orlando ! acredito que não esta no momento certo ! Orlando um pouco confuso"/>
    <s v=""/>
    <x v="425"/>
    <n v="54888350000165"/>
    <s v=""/>
    <s v="Plastilando Ind e Com"/>
    <s v="21999778181"/>
    <s v=""/>
    <s v="orlando@plastianna.com.br"/>
    <s v=""/>
    <s v=""/>
    <s v=""/>
    <s v=""/>
    <s v=""/>
    <s v="Campanha"/>
    <s v=""/>
    <s v=""/>
    <s v="30%;Dentro Perfil;Instagram"/>
    <s v="Pipeline de Vendas"/>
    <s v="Em negociação (75%)"/>
    <s v=""/>
    <d v="2026-03-31T00:00:00"/>
    <n v="1148572"/>
    <n v="71924"/>
    <n v="99"/>
    <s v="Paulo Souza"/>
    <d v="2026-01-30T00:00:00"/>
    <d v="1899-12-30T16:53:38"/>
    <s v=""/>
    <s v="Perdido"/>
    <d v="2026-05-09T00:00:00"/>
    <d v="1899-12-30T08:30:36"/>
    <s v="Não houve aprovação financeira"/>
    <s v=""/>
    <s v=""/>
    <x v="180"/>
    <s v="Junior Lopes"/>
    <x v="195"/>
    <s v=""/>
    <d v="2026-03-16T00:00:00"/>
    <n v="30"/>
    <s v=""/>
    <s v=""/>
    <s v=""/>
    <s v=""/>
    <n v="1"/>
  </r>
  <r>
    <x v="0"/>
    <n v="893"/>
    <m/>
    <n v="3203"/>
    <s v="17/02 Feito apresentação institucional e vídeos do ERP . _x000a_10/03 Fiz FUP com o Henrique e ele recebeu a proposta e esta sobre analise. Temos um reunião de apresentação de WMS na sexta-feira proxima para ele conhecer este módulo e seguirmos._x000a_20/03 Aguardando o Henrique se reunir com o time de ERP atual para decidir se vai trocar ou não o sistema."/>
    <s v=""/>
    <x v="426"/>
    <n v="10258712000169"/>
    <s v=""/>
    <s v="HENRIQUE CARVALHO SANTOS"/>
    <s v="(31) 99987-1034"/>
    <s v=""/>
    <s v="henrique@armandonacionais.com.br"/>
    <s v=""/>
    <s v=""/>
    <s v=""/>
    <s v="São Paulo"/>
    <s v=""/>
    <s v="Site"/>
    <s v=""/>
    <s v=""/>
    <s v="90%;Dentro Perfil;Solicita demo"/>
    <s v="Pipeline de Vendas"/>
    <s v="Em Fechamento (100%)"/>
    <s v=""/>
    <d v="2026-03-31T00:00:00"/>
    <n v="1301786"/>
    <n v="2713706"/>
    <n v="70"/>
    <s v="Paulo Souza"/>
    <d v="2026-01-30T00:00:00"/>
    <d v="1899-12-30T17:03:26"/>
    <s v=""/>
    <s v="Perdido"/>
    <d v="2026-04-10T00:00:00"/>
    <d v="1899-12-30T15:57:04"/>
    <s v="Não quer mudar a solução atual"/>
    <s v=""/>
    <s v=""/>
    <x v="168"/>
    <s v="Paulo Souza"/>
    <x v="182"/>
    <s v=""/>
    <d v="2026-03-20T00:00:00"/>
    <n v="30"/>
    <s v=""/>
    <s v="ERP, AFV, PDV, TREINAMENTO"/>
    <s v=""/>
    <s v=""/>
    <n v="1"/>
  </r>
  <r>
    <x v="0"/>
    <n v="894"/>
    <m/>
    <n v="3204"/>
    <s v="26/02 Foi feito FUP com o Wilson e ele optou pela concorrência devido a valor."/>
    <s v=""/>
    <x v="427"/>
    <m/>
    <s v=""/>
    <s v="Mobal"/>
    <s v="13997072312"/>
    <s v=""/>
    <s v="alumiglass.peruibe@gmail.com"/>
    <s v=""/>
    <s v=""/>
    <s v=""/>
    <s v=""/>
    <s v=""/>
    <s v="Campanha"/>
    <s v=""/>
    <s v=""/>
    <s v="30%;Dentro Perfil;Instagram"/>
    <s v="Pipeline de Vendas"/>
    <s v="Agendamento (0%)"/>
    <s v=""/>
    <d v="2026-02-28T00:00:00"/>
    <m/>
    <m/>
    <n v="27"/>
    <s v="Paulo Souza"/>
    <d v="2026-01-30T00:00:00"/>
    <d v="1899-12-30T17:06:43"/>
    <s v=""/>
    <s v="Perdido"/>
    <d v="2026-02-26T00:00:00"/>
    <d v="1899-12-30T18:31:38"/>
    <s v="Fechou com o concorrente - preço"/>
    <s v="26/02 Foi feito FUP com o Wilson e ele optou pela concorrência devido a valor."/>
    <s v=""/>
    <x v="0"/>
    <s v="Paulo Souza"/>
    <x v="0"/>
    <s v=""/>
    <d v="2026-02-26T00:00:00"/>
    <n v="30"/>
    <s v=""/>
    <s v="ERP"/>
    <s v=""/>
    <s v=""/>
    <n v="1"/>
  </r>
  <r>
    <x v="2"/>
    <n v="895"/>
    <m/>
    <n v="3201"/>
    <s v="07.04 cliente ainda imaturo para os processos"/>
    <s v="Fabiano Aparecido Vaine"/>
    <x v="428"/>
    <n v="28229707000193"/>
    <s v=""/>
    <s v="Fabiano Aparecido Vaine"/>
    <s v="(16) 9701-3510"/>
    <s v=""/>
    <s v="fabianovaine@terra.com.br"/>
    <s v=""/>
    <s v=""/>
    <s v=""/>
    <s v="SAO CARLOS"/>
    <s v="SP"/>
    <s v="Base de empresas Leads2b"/>
    <s v=""/>
    <s v=""/>
    <s v="30%;Dentro Perfil"/>
    <s v="Pipeline de Vendas"/>
    <s v="Apresentar Solução (35%)"/>
    <s v=""/>
    <d v="2026-04-30T00:00:00"/>
    <m/>
    <m/>
    <n v="64"/>
    <s v="Rayssa Karapeticov"/>
    <d v="2026-02-02T00:00:00"/>
    <d v="1899-12-30T09:47:17"/>
    <s v=""/>
    <s v="Perdido"/>
    <d v="2026-04-07T00:00:00"/>
    <d v="1899-12-30T10:56:50"/>
    <s v="Não quer mudar a solução atual"/>
    <s v=""/>
    <s v=""/>
    <x v="0"/>
    <s v="Rayssa Karapeticov"/>
    <x v="196"/>
    <s v=""/>
    <d v="2026-02-17T00:00:00"/>
    <n v="30"/>
    <s v=""/>
    <s v="ERP, AFV, PCP, WMS"/>
    <s v=""/>
    <s v=""/>
    <n v="1"/>
  </r>
  <r>
    <x v="2"/>
    <n v="901"/>
    <m/>
    <n v="3218"/>
    <s v="05/02 - Possui uma loja de peças de moto, onde presta serviço de conserto também. _x000a_Fora do perfil"/>
    <s v=""/>
    <x v="429"/>
    <m/>
    <s v=""/>
    <s v="RG moto peças"/>
    <s v="87988082642"/>
    <s v=""/>
    <s v="regisandes10@outlook.com"/>
    <s v=""/>
    <s v=""/>
    <s v=""/>
    <s v=""/>
    <s v=""/>
    <s v="Campanha"/>
    <s v=""/>
    <s v=""/>
    <s v="30%;Fora Perfil;Instagram"/>
    <s v="Pipeline de Vendas"/>
    <s v="Qualificação de Vendas (SQL) (25%)"/>
    <s v=""/>
    <d v="2026-02-28T00:00:00"/>
    <m/>
    <m/>
    <n v="2"/>
    <s v="Paulo Souza"/>
    <d v="2026-02-05T00:00:00"/>
    <d v="1899-12-30T08:33:37"/>
    <s v=""/>
    <s v="Perdido"/>
    <d v="2026-02-07T00:00:00"/>
    <d v="1899-12-30T21:31:00"/>
    <s v="Fora do porte mínimo (sem fit estrutural)"/>
    <s v=""/>
    <s v=""/>
    <x v="0"/>
    <s v="Rayssa Karapeticov"/>
    <x v="0"/>
    <s v=""/>
    <m/>
    <n v="30"/>
    <s v=""/>
    <s v=""/>
    <s v=""/>
    <s v=""/>
    <n v="1"/>
  </r>
  <r>
    <x v="1"/>
    <n v="902"/>
    <m/>
    <n v="3211"/>
    <s v=""/>
    <s v=""/>
    <x v="430"/>
    <n v="7324070000144"/>
    <s v=""/>
    <s v="SOLIMP"/>
    <s v="8391128022"/>
    <s v=""/>
    <s v="oliveiraeulalio@yahoo.com.br"/>
    <s v=""/>
    <s v=""/>
    <s v=""/>
    <s v="CAMPINA GRANDE"/>
    <s v="PB"/>
    <s v="Campanha"/>
    <s v=""/>
    <s v=""/>
    <s v="30%;Dentro Perfil;Instagram"/>
    <s v="Pipeline de Vendas"/>
    <s v="Qualificação de Vendas (SQL) (25%)"/>
    <s v=""/>
    <d v="2026-02-28T00:00:00"/>
    <m/>
    <m/>
    <n v="93"/>
    <s v="Paulo Souza"/>
    <d v="2026-02-05T00:00:00"/>
    <d v="1899-12-30T08:35:26"/>
    <s v=""/>
    <s v="Perdido"/>
    <d v="2026-05-09T00:00:00"/>
    <d v="1899-12-30T07:45:34"/>
    <s v="Sem qualificação — contato não atende ligações nem responde msg"/>
    <s v=""/>
    <s v=""/>
    <x v="0"/>
    <s v="Junior Lopes"/>
    <x v="0"/>
    <s v=""/>
    <d v="2026-02-19T00:00:00"/>
    <n v="30"/>
    <s v=""/>
    <s v=""/>
    <s v=""/>
    <s v=""/>
    <n v="1"/>
  </r>
  <r>
    <x v="0"/>
    <n v="903"/>
    <m/>
    <n v="3217"/>
    <s v="17/02 Após vários FUPs não obtive retorno do cliente sobre a sequência do projeto. Encerrei por falta de interesse."/>
    <s v=""/>
    <x v="431"/>
    <m/>
    <s v=""/>
    <s v="Monteiro"/>
    <s v="6184085792"/>
    <s v=""/>
    <s v="saff71@hotmail.com"/>
    <s v=""/>
    <s v=""/>
    <s v=""/>
    <s v=""/>
    <s v=""/>
    <s v="Campanha"/>
    <s v=""/>
    <s v=""/>
    <s v="30%;Dentro Perfil;Instagram"/>
    <s v="Pipeline de Vendas"/>
    <s v="Qualificação de Vendas (SQL) (25%)"/>
    <s v=""/>
    <d v="2026-02-28T00:00:00"/>
    <m/>
    <m/>
    <n v="93"/>
    <s v="Paulo Souza"/>
    <d v="2026-02-05T00:00:00"/>
    <d v="1899-12-30T08:40:25"/>
    <s v=""/>
    <s v="Perdido"/>
    <d v="2026-05-09T00:00:00"/>
    <d v="1899-12-30T07:46:56"/>
    <s v="Sem qualificação — contato não atende ligações nem responde msg"/>
    <s v=""/>
    <s v=""/>
    <x v="0"/>
    <s v="Paulo Souza"/>
    <x v="0"/>
    <s v=""/>
    <m/>
    <n v="30"/>
    <s v=""/>
    <s v=""/>
    <s v=""/>
    <s v=""/>
    <n v="1"/>
  </r>
  <r>
    <x v="0"/>
    <n v="906"/>
    <m/>
    <n v="3226"/>
    <s v="03/03 Após diversas tentativa de FUP não tive retorno e por falta de interação estou declinando o lead."/>
    <s v=""/>
    <x v="432"/>
    <m/>
    <s v=""/>
    <s v="2VO"/>
    <s v="11985858558"/>
    <s v=""/>
    <s v="wasques@uol.com.br"/>
    <s v=""/>
    <s v=""/>
    <s v=""/>
    <s v=""/>
    <s v=""/>
    <s v="Campanha"/>
    <s v=""/>
    <s v=""/>
    <s v="30%;Dentro Perfil;Instagram"/>
    <s v="Pipeline de Vendas"/>
    <s v="Apresentar Solução (35%)"/>
    <s v=""/>
    <d v="2026-02-28T00:00:00"/>
    <m/>
    <m/>
    <n v="24"/>
    <s v="Paulo Souza"/>
    <d v="2026-02-07T00:00:00"/>
    <d v="1899-12-30T07:04:06"/>
    <s v=""/>
    <s v="Perdido"/>
    <d v="2026-03-03T00:00:00"/>
    <d v="1899-12-30T21:33:22"/>
    <s v="Fora do porte mínimo (sem fit estrutural)"/>
    <s v=""/>
    <s v=""/>
    <x v="0"/>
    <s v="Paulo Souza"/>
    <x v="0"/>
    <s v=""/>
    <m/>
    <n v="30"/>
    <s v=""/>
    <s v="ERP, AFV"/>
    <s v=""/>
    <s v=""/>
    <n v="1"/>
  </r>
  <r>
    <x v="0"/>
    <n v="907"/>
    <m/>
    <n v="3222"/>
    <s v="13/02 Fiz FUP hoje com a Andressa, mas não atendeu deixei recado."/>
    <s v=""/>
    <x v="433"/>
    <m/>
    <s v=""/>
    <s v="Andresa Aparecida Carvalho"/>
    <s v="(11) 94468-8676"/>
    <s v=""/>
    <s v="andresacarvalho55@gmail.com"/>
    <s v=""/>
    <s v=""/>
    <s v=""/>
    <s v="São Paulo"/>
    <s v=""/>
    <s v="Site"/>
    <s v=""/>
    <s v=""/>
    <s v="30%;Solicita demo"/>
    <s v="Pipeline de Vendas"/>
    <s v="Apresentar Solução (35%)"/>
    <s v=""/>
    <d v="2026-02-28T00:00:00"/>
    <m/>
    <m/>
    <n v="12"/>
    <s v="Paulo Souza"/>
    <d v="2026-02-07T00:00:00"/>
    <d v="1899-12-30T07:13:56"/>
    <s v=""/>
    <s v="Perdido"/>
    <d v="2026-02-19T00:00:00"/>
    <d v="1899-12-30T17:31:05"/>
    <s v="Projeto adiado / sem prazo definido"/>
    <s v="Rayssa, atendendo"/>
    <s v=""/>
    <x v="0"/>
    <s v="Paulo Souza"/>
    <x v="187"/>
    <s v=""/>
    <m/>
    <n v="30"/>
    <s v=""/>
    <s v=""/>
    <s v=""/>
    <s v=""/>
    <n v="1"/>
  </r>
  <r>
    <x v="0"/>
    <n v="908"/>
    <m/>
    <n v="3228"/>
    <s v="06/02 Feito a apresentação da proposta em fase de negociação._x000a_13/02 Foi feito uma visita em São Paulo no Grupo Iracema, onde falamos com os sócios , e o cabeça o Mauricio. A proposta foi reformulada e ajustada e estamos na faze de negociação. Próximo passo, quarta-feira apresentar o WMS."/>
    <s v=""/>
    <x v="434"/>
    <m/>
    <s v=""/>
    <s v="Gerson"/>
    <s v="49988720298"/>
    <s v=""/>
    <s v="null"/>
    <s v=""/>
    <s v=""/>
    <s v=""/>
    <s v=""/>
    <s v=""/>
    <s v="Indicação"/>
    <s v=""/>
    <s v=""/>
    <s v="50%"/>
    <s v="Pipeline de Vendas"/>
    <s v="Em negociação (75%)"/>
    <s v=""/>
    <d v="2026-02-28T00:00:00"/>
    <n v="987029"/>
    <n v="1228454"/>
    <n v="19"/>
    <s v="Paulo Souza"/>
    <d v="2026-02-07T00:00:00"/>
    <d v="1899-12-30T09:59:21"/>
    <s v=""/>
    <s v="Ganho"/>
    <d v="2026-02-26T00:00:00"/>
    <d v="1899-12-30T21:55:21"/>
    <s v=""/>
    <s v=""/>
    <s v=""/>
    <x v="118"/>
    <s v="Paulo Souza"/>
    <x v="126"/>
    <s v=""/>
    <d v="2026-02-26T00:00:00"/>
    <n v="50"/>
    <s v="270"/>
    <s v="ERP, AFV, BI, WMS, COMEX, ADICIONAIS"/>
    <s v="R$ 89.502,90"/>
    <s v="R$ 12.883,50"/>
    <n v="1"/>
  </r>
  <r>
    <x v="0"/>
    <n v="909"/>
    <m/>
    <n v="3229"/>
    <s v="06/02 Feito a apresentação da proposta em fase de negociação._x000a_13/02 Foi feito uma visita em São Paulo no Grupo Iracema, onde falamos com os sócios , e o cabeça o Mauricio. A proposta foi reformulada e ajustada e estamos na faze de negociação. Próximo passo, quarta-feira apresentar o WMS._x000a_13/02 Foi feito uma visita em São Paulo no Grupo Iracema, onde falamos com os sócios , e o cabeça o Mauricio. A proposta foi reformulada e ajustada e estamos na faze de negociação. Próximo passo, quarta-feira apresentar o WMS."/>
    <s v=""/>
    <x v="435"/>
    <m/>
    <s v=""/>
    <s v="Willaim"/>
    <s v="49998015654"/>
    <s v=""/>
    <s v="null"/>
    <s v=""/>
    <s v=""/>
    <s v=""/>
    <s v=""/>
    <s v=""/>
    <s v=""/>
    <s v=""/>
    <s v=""/>
    <s v="50%"/>
    <s v="Pipeline de Vendas"/>
    <s v="Em Fechamento (100%)"/>
    <s v=""/>
    <d v="2026-02-28T00:00:00"/>
    <n v="7470289"/>
    <n v="1038848"/>
    <n v="19"/>
    <s v="Paulo Souza"/>
    <d v="2026-02-07T00:00:00"/>
    <d v="1899-12-30T10:00:29"/>
    <s v=""/>
    <s v="Ganho"/>
    <d v="2026-02-26T00:00:00"/>
    <d v="1899-12-30T21:48:31"/>
    <s v=""/>
    <s v=""/>
    <s v=""/>
    <x v="181"/>
    <s v="Paulo Souza"/>
    <x v="197"/>
    <s v=""/>
    <d v="2026-02-26T00:00:00"/>
    <n v="50"/>
    <s v="150"/>
    <s v="ERP, AFV, BI, WMS, COMEX, ADICIONAIS"/>
    <s v="R$ 65.502,90"/>
    <s v="R$ 11.334,84"/>
    <n v="1"/>
  </r>
  <r>
    <x v="1"/>
    <n v="912"/>
    <m/>
    <n v="3248"/>
    <s v="(11/02/2026) Contato feira ABcasa ! agendamos apresentação para sexta feira dia 20/02_x000a_10:05, 20/02/2026 Junior Lopes: Entendo ! Vamos organizar nova data_x000a_10:06, 20/02/2026 Junior Lopes: Segunda feira , é possível?_x000a_10:13, 20/02/2026 Fabio Oliveira Nina Enc: eu consigo te atender, mas vamos precisar remarcar um pouco mais para frente, eu quero muito te atender e realmente preciso, porem nesse momento ta dificil_x000a_(09/03/2026) buscando data para apresentação _x000a_(14/04/2026) em contato com Fabio a fim de agendarmos apresentação _x000a_09:58, 14/04/2026 Junior Lopes: Olá Fábio, bom dia_x000a_10:01, 14/04/2026 Fabio Oliveira Nina Enc: Bom dia meu amigo, tudo certo ?_x000a_10:02, 14/04/2026 Junior Lopes: Opa td certo 🙏_x000a_Vamos programar apresentação?_x000a_10:04, 14/04/2026 Fabio Oliveira Nina Enc: o meu amigo, esta semana nao vou ter como te atender, estamos organizando muita coisa na empresa, na quarta feira meu pai vai para china, mas acho que na outra semana a gente consegue, na quinta ou sexta da semana que vem_x000a_10:05, 14/04/2026 Junior Lopes: Perfeito Fábio ! Aí te chamo no começo da semana para alinharmos_x000a_10:05, 14/04/2026 Fabio Oliveira Nina Enc: combinado"/>
    <s v="Sebastiao Cardoso Comercio Atacadista De Ferramentas Ltda"/>
    <x v="436"/>
    <n v="12391174000101"/>
    <s v=""/>
    <s v="Sebastiao Cardoso Comercio Atacadista De Ferramentas Ltda"/>
    <s v="(47) 3368-3065"/>
    <s v=""/>
    <s v="ninaencartelados@gmail.com"/>
    <s v=""/>
    <s v=""/>
    <s v=""/>
    <s v="ITAPEMA"/>
    <s v="SC"/>
    <s v="Base de empresas Leads2b"/>
    <s v=""/>
    <s v=""/>
    <s v=""/>
    <s v="Pipeline de Vendas"/>
    <s v="Apresentar Proposta (50%)"/>
    <s v=""/>
    <d v="2026-05-31T00:00:00"/>
    <n v="748805"/>
    <n v="53071"/>
    <n v="92"/>
    <s v="Junior Lopes"/>
    <d v="2026-02-11T00:00:00"/>
    <d v="1899-12-30T09:59:48"/>
    <s v=""/>
    <s v="Perdido"/>
    <d v="2026-05-14T00:00:00"/>
    <d v="1899-12-30T14:48:33"/>
    <s v="Não houve aprovação financeira"/>
    <s v="14/05/2026 : _x000a_09:02, 13/05/2026 Fabio Oliveira Nina Enc: Consegui sim, teu sistema é maravilhoso, muito bom mesmo _x000a_porem eu passei pro pessoal aqui, e no momento, nosso faturamaento nao condiz com o investimento a ser feito_x000a_09:03, 13/05/2026 Fabio Oliveira Nina Enc: espero que logo possamos mudar isso_x000a_09:05, 13/05/2026 Junior Lopes: Entendo Fábio ! _x000a_ O que está pegando mais na proposta ? O projeto ou as mensalidades?_x000a_09:08, 13/05/2026 Fabio Oliveira Nina Enc: na verdade é um pouco dos dois, hj nosso sistema nos custa 6 mil por ano, claro que ele nao tem a mesma eficiencia do seu, mas para a quantidade de vendas nossa, no atual momento ele nos atende bem_x000a_09:21, 13/05/2026 Junior Lopes: Entendo ! Gostaria de pensar aí e nos fazer uma contra proposta ?_x000a_09:22, 13/05/2026 Fabio Oliveira Nina Enc: no momento vamos deixar em off_x000a_09:22, 13/05/2026 Fabio Oliveira Nina Enc: obrigado pela atençao_x000a_09:28, 13/05/2026 Junior Lopes: Ta joia meu amigo_x000a_09:29, 13/05/2026 Junior Lopes: Ficamos a disposição! Tenho certeza que podemos ajudar muito no crescimento da Nina encartelados _x000a_Um abraço_x000a_09:29, 13/05/2026 Fabio Oliveira Nina Enc: abraço"/>
    <s v=""/>
    <x v="182"/>
    <s v=""/>
    <x v="198"/>
    <s v="05/05/2026"/>
    <d v="2026-05-14T00:00:00"/>
    <n v="50"/>
    <s v=""/>
    <s v=""/>
    <s v=""/>
    <s v=""/>
    <n v="1"/>
  </r>
  <r>
    <x v="1"/>
    <n v="915"/>
    <m/>
    <n v="3253"/>
    <s v="(11/02/2026) Vídeo demonstrativo enviado para analise   _x000a_(11/02/2026) Proposta enviada"/>
    <s v=""/>
    <x v="437"/>
    <m/>
    <s v=""/>
    <s v="Ad &amp; Ad (Comex)"/>
    <s v="14996930353"/>
    <s v=""/>
    <s v="daniel@adimportacao.com.br"/>
    <s v=""/>
    <s v=""/>
    <s v=""/>
    <s v=""/>
    <s v=""/>
    <s v=""/>
    <s v=""/>
    <s v=""/>
    <s v="30%"/>
    <s v="Pipeline de Vendas"/>
    <s v="Apresentar Proposta (50%)"/>
    <s v=""/>
    <d v="2026-04-30T00:00:00"/>
    <n v="10240"/>
    <n v="2000"/>
    <n v="82"/>
    <s v="Junior Lopes"/>
    <d v="2026-02-11T00:00:00"/>
    <d v="1899-12-30T10:27:04"/>
    <s v=""/>
    <s v="Perdido"/>
    <d v="2026-05-04T00:00:00"/>
    <d v="1899-12-30T08:59:14"/>
    <s v="Projeto adiado / sem prazo definido"/>
    <s v="vai aguardar um pouco mais"/>
    <s v=""/>
    <x v="183"/>
    <s v=""/>
    <x v="196"/>
    <s v=""/>
    <d v="2026-05-04T00:00:00"/>
    <n v="30"/>
    <s v=""/>
    <s v=""/>
    <s v=""/>
    <s v=""/>
    <n v="1"/>
  </r>
  <r>
    <x v="0"/>
    <n v="919"/>
    <m/>
    <n v="3227"/>
    <s v="26/02 Fiz FUP com o Jader e ele tem uma ferramentaria. Entendi o processo e agora preciso falar com o Fernando, para ver se conseguirmos atender ele ou não. na sequência vou passar uma proposta. _x000a_12/03 - Encerrei o lead por falta de retorno, futuramente se ele demonstrar interesse falamos."/>
    <s v=""/>
    <x v="438"/>
    <m/>
    <s v=""/>
    <s v="Jader Silva"/>
    <s v="17996751231"/>
    <s v=""/>
    <s v="jader.reobote@outlook.com"/>
    <s v=""/>
    <s v=""/>
    <s v=""/>
    <s v=""/>
    <s v=""/>
    <s v="Campanha"/>
    <s v=""/>
    <s v=""/>
    <s v="Dentro Perfil;Instagram"/>
    <s v="Pipeline de Vendas"/>
    <s v="Apresentar Solução (35%)"/>
    <s v=""/>
    <m/>
    <m/>
    <m/>
    <n v="29"/>
    <s v="Paulo Souza"/>
    <d v="2026-02-11T00:00:00"/>
    <d v="1899-12-30T11:21:33"/>
    <s v=""/>
    <s v="Perdido"/>
    <d v="2026-03-12T00:00:00"/>
    <d v="1899-12-30T17:24:16"/>
    <s v="Fora do porte mínimo (sem fit estrutural)"/>
    <s v=""/>
    <s v=""/>
    <x v="168"/>
    <s v="Paulo Souza"/>
    <x v="182"/>
    <s v=""/>
    <d v="2026-03-31T00:00:00"/>
    <n v="30"/>
    <s v=""/>
    <s v="ERP"/>
    <s v=""/>
    <s v=""/>
    <n v="1"/>
  </r>
  <r>
    <x v="2"/>
    <n v="920"/>
    <m/>
    <n v="3230"/>
    <s v="12.02 - cliente agendou hoje as 9h não entrou na reunião, estou tentando contato para reagendar"/>
    <s v=""/>
    <x v="439"/>
    <n v="36377920000170"/>
    <s v=""/>
    <s v="RG distribuidora de bebidas ltda"/>
    <s v="(37) 3213-0306"/>
    <s v=""/>
    <s v="rgdistribuidoraltda@hotmail.com"/>
    <s v=""/>
    <s v=""/>
    <s v=""/>
    <s v="DIVINOPOLIS"/>
    <s v="MG"/>
    <s v="Campanha"/>
    <s v=""/>
    <s v=""/>
    <s v="Dentro Perfil;Instagram"/>
    <s v="Pipeline de Vendas"/>
    <s v="Apresentar Proposta (50%)"/>
    <s v=""/>
    <d v="2026-04-30T00:00:00"/>
    <n v="7784244"/>
    <n v="144748"/>
    <n v="14"/>
    <s v="Paulo Souza"/>
    <d v="2026-02-11T00:00:00"/>
    <d v="1899-12-30T11:22:26"/>
    <s v=""/>
    <s v="Perdido"/>
    <d v="2026-02-25T00:00:00"/>
    <d v="1899-12-30T10:28:11"/>
    <s v="Preço muito alto - fora do budget de investimento"/>
    <s v=""/>
    <s v=""/>
    <x v="184"/>
    <s v="Rayssa Karapeticov"/>
    <x v="199"/>
    <s v=""/>
    <d v="2026-02-24T00:00:00"/>
    <n v="30"/>
    <s v=""/>
    <s v="ERP, AFV"/>
    <s v=""/>
    <s v=""/>
    <n v="1"/>
  </r>
  <r>
    <x v="0"/>
    <n v="921"/>
    <m/>
    <n v="3231"/>
    <s v="26/02 Fiz FUP hoje com o Antônio, sem sucesso. Após minhas ligações ele não atendeu , deixei recado no Whatsapp. _x000a_27/02 Após diversas FUps sem sucesso e sem retorno do lead, estou declinando a oportunidade."/>
    <s v=""/>
    <x v="440"/>
    <m/>
    <s v=""/>
    <s v="Loja da construção"/>
    <s v="85996031544"/>
    <s v=""/>
    <s v="ajs.antoniojose@hotmail.com"/>
    <s v=""/>
    <s v=""/>
    <s v=""/>
    <s v=""/>
    <s v=""/>
    <s v="Campanha"/>
    <s v=""/>
    <s v=""/>
    <s v="Fora Perfil;Instagram"/>
    <s v="Pipeline de Vendas"/>
    <s v="Qualificação de Vendas (SQL) (25%)"/>
    <s v=""/>
    <d v="2026-02-28T00:00:00"/>
    <m/>
    <m/>
    <n v="16"/>
    <s v="Paulo Souza"/>
    <d v="2026-02-11T00:00:00"/>
    <d v="1899-12-30T11:23:49"/>
    <s v=""/>
    <s v="Perdido"/>
    <d v="2026-02-27T00:00:00"/>
    <d v="1899-12-30T21:32:33"/>
    <s v="Fora do porte mínimo (sem fit estrutural)"/>
    <s v=""/>
    <s v=""/>
    <x v="0"/>
    <s v="Paulo Souza"/>
    <x v="0"/>
    <s v=""/>
    <d v="2026-02-26T00:00:00"/>
    <n v="30"/>
    <s v=""/>
    <s v=""/>
    <s v=""/>
    <s v=""/>
    <n v="1"/>
  </r>
  <r>
    <x v="0"/>
    <n v="922"/>
    <m/>
    <n v="3232"/>
    <s v="27/02 Fiz diversos FUP sem retorno, por isso estou declinando o contato."/>
    <s v=""/>
    <x v="441"/>
    <m/>
    <s v=""/>
    <s v="Zzzz"/>
    <s v="41987097843"/>
    <s v=""/>
    <s v="gipatelini@hotmail.com"/>
    <s v=""/>
    <s v=""/>
    <s v=""/>
    <s v=""/>
    <s v=""/>
    <s v="Campanha"/>
    <s v=""/>
    <s v=""/>
    <s v="Dentro Perfil;Instagram"/>
    <s v="Pipeline de Vendas"/>
    <s v="Apresentar Solução (35%)"/>
    <s v=""/>
    <d v="2026-02-27T00:00:00"/>
    <m/>
    <m/>
    <n v="16"/>
    <s v="Paulo Souza"/>
    <d v="2026-02-11T00:00:00"/>
    <d v="1899-12-30T11:24:41"/>
    <s v=""/>
    <s v="Perdido"/>
    <d v="2026-02-27T00:00:00"/>
    <d v="1899-12-30T21:27:11"/>
    <s v="Fora do porte mínimo (sem fit estrutural)"/>
    <s v=""/>
    <s v=""/>
    <x v="0"/>
    <s v="Paulo Souza"/>
    <x v="0"/>
    <s v=""/>
    <m/>
    <n v="30"/>
    <s v=""/>
    <s v=""/>
    <s v=""/>
    <s v=""/>
    <n v="1"/>
  </r>
  <r>
    <x v="2"/>
    <n v="923"/>
    <m/>
    <n v="3236"/>
    <s v=""/>
    <s v=""/>
    <x v="442"/>
    <m/>
    <s v=""/>
    <s v="Gs atacado"/>
    <s v="61984251198"/>
    <s v=""/>
    <s v="gsatacado69@gmail.com"/>
    <s v=""/>
    <s v=""/>
    <s v=""/>
    <s v=""/>
    <s v=""/>
    <s v="Campanha"/>
    <s v=""/>
    <s v=""/>
    <s v="Dentro Perfil;Instagram"/>
    <s v="Pipeline de Vendas"/>
    <s v="Qualificação de Vendas (SQL) (25%)"/>
    <s v=""/>
    <d v="2026-04-30T00:00:00"/>
    <m/>
    <m/>
    <n v="16"/>
    <s v="Paulo Souza"/>
    <d v="2026-02-11T00:00:00"/>
    <d v="1899-12-30T11:27:12"/>
    <s v=""/>
    <s v="Perdido"/>
    <d v="2026-02-27T00:00:00"/>
    <d v="1899-12-30T17:23:25"/>
    <s v="Preço muito alto - fora do budget de investimento"/>
    <s v=""/>
    <s v=""/>
    <x v="0"/>
    <s v="Rayssa Karapeticov"/>
    <x v="200"/>
    <s v=""/>
    <d v="2026-02-25T00:00:00"/>
    <n v="30"/>
    <s v=""/>
    <s v="ERP, PDV, AFV"/>
    <s v=""/>
    <s v=""/>
    <n v="1"/>
  </r>
  <r>
    <x v="1"/>
    <n v="924"/>
    <m/>
    <n v="3238"/>
    <s v="(11/02/2026) tentativa de ligação nao atendida _x000a_17:03, 11/02/2026 Junior Lopes: Olá Gabriel , boa tarde_x000a_17:03, 11/02/2026 Junior Lopes: sou Junior Lopes da Guarani sistemas ! td bem ?_x000a_(19/02/2026) apresar de não ter resposta do cliente ! em pesquise verifiquei que LM é um deposito de bebidas que acaba fugindo do perfil"/>
    <s v=""/>
    <x v="443"/>
    <m/>
    <s v=""/>
    <s v="lm bebidas"/>
    <s v="11910369959"/>
    <s v=""/>
    <s v="gelucinaro@hotmail.com"/>
    <s v=""/>
    <s v=""/>
    <s v=""/>
    <s v=""/>
    <s v=""/>
    <s v="Campanha"/>
    <s v=""/>
    <s v=""/>
    <s v="Fora Perfil;Instagram"/>
    <s v="Pipeline de Vendas"/>
    <s v="Qualificação de Vendas (SQL) (25%)"/>
    <s v=""/>
    <m/>
    <m/>
    <m/>
    <n v="15"/>
    <s v="Paulo Souza"/>
    <d v="2026-02-11T00:00:00"/>
    <d v="1899-12-30T11:29:47"/>
    <s v=""/>
    <s v="Perdido"/>
    <d v="2026-02-26T00:00:00"/>
    <d v="1899-12-30T23:08:40"/>
    <s v="Fora do porte mínimo (sem fit estrutural)"/>
    <s v=""/>
    <s v=""/>
    <x v="0"/>
    <s v=""/>
    <x v="0"/>
    <s v=""/>
    <d v="2026-02-19T00:00:00"/>
    <n v="30"/>
    <s v=""/>
    <s v=""/>
    <s v=""/>
    <s v=""/>
    <n v="1"/>
  </r>
  <r>
    <x v="1"/>
    <n v="925"/>
    <m/>
    <n v="3244"/>
    <s v="(11/02/2026) tentativa de ligação não atendida _x000a_16:48, 11/02/2026 Junior Lopes: Olá Kariello, boa tarde !_x000a_16:48, 11/02/2026 Junior Lopes: sou Junior Lopes da Guarani sistemas, tudo bem ?_x000a_(19/02/2026) buscando data para apresentação _x000a_(23/02/2026) Vamos Agendar apresentação do força de vendas para amanhã ?_x000a_10 ou 14 horas ! O que fica melhor?_x000a_Vamos marca na primeira semana de março_x000a_Fechamento do mês é complicado_x000a_Sim ! Vamos deixar uma agenda para dia 4/03 quarta feira! Se sim já te envio um link do Meet_x000a_Ok_x000a_Apresentação Guarani (AFV) _x000a_Quarta-feira, 4 de março · 10:00 – 11:30_x000a_Fuso horário: America/Sao_Paulo_x000a_Como participar do Google Meet_x000a_Link da videochamada: https://meet.google.com/dsp-gfgz-nyv_x000a_09:54, 04/03/2026 KARIELLO COELHO: Tive um imprevisto_x000a_09:54, 04/03/2026 KARIELLO COELHO: Teremos que remarcar_x000a_09:55, 04/03/2026 Junior Lopes: Td bem meu amigo , sem problemas_x000a_12:41, 04/03/2026 KARIELLO COELHO: Até sexta agora_x000a_12:42, 04/03/2026 Junior Lopes: 10 horas é um bom horário?_x000a_12:45, 04/03/2026 KARIELLO COELHO: 11h_x000a_12:46, 04/03/2026 Junior Lopes: Joia! Vou gerar um link_x000a_12:50, 04/03/2026 Junior Lopes: Apresentação Guarani AFV - CK Hospitalar_x000a_Sexta-feira, 6 de março · 11:00 – 12:15_x000a_Fuso horário: America/Sao_Paulo_x000a_Como participar do Google Meet_x000a_Link da videochamada: https://meet.google.com/zum-xcty-mab_x000a_(09/03/2026) Após Kariello desmarcar a reunião de apresentação , não respondeu mais aos contatos"/>
    <s v=""/>
    <x v="444"/>
    <n v="32534969000139"/>
    <s v=""/>
    <s v="CK HOSPITALAR"/>
    <s v="6392247104"/>
    <s v=""/>
    <s v="diretoria@ckhospitalar.com.br"/>
    <s v=""/>
    <s v=""/>
    <s v=""/>
    <s v=""/>
    <s v="Palmas"/>
    <s v="Inbound"/>
    <s v=""/>
    <s v=""/>
    <s v="Dentro Perfil;Instagram"/>
    <s v="Pipeline de Vendas"/>
    <s v="Apresentar Proposta (50%)"/>
    <s v=""/>
    <d v="2026-04-30T00:00:00"/>
    <n v="16960"/>
    <n v="32775"/>
    <n v="41"/>
    <s v="Paulo Souza"/>
    <d v="2026-02-11T00:00:00"/>
    <d v="1899-12-30T11:30:31"/>
    <s v=""/>
    <s v="Perdido"/>
    <d v="2026-03-24T00:00:00"/>
    <d v="1899-12-30T16:03:55"/>
    <s v="Projeto adiado / sem prazo definido"/>
    <s v="(09/03/2026) Após Kariello desmarcar a reunião de apresentação , não respondeu mais aos contatos"/>
    <s v=""/>
    <x v="185"/>
    <s v=""/>
    <x v="196"/>
    <s v="04/03/2026"/>
    <d v="2026-03-09T00:00:00"/>
    <n v="30"/>
    <s v=""/>
    <s v=""/>
    <s v=""/>
    <s v=""/>
    <n v="1"/>
  </r>
  <r>
    <x v="1"/>
    <n v="926"/>
    <m/>
    <n v="3237"/>
    <s v="(11/02/2026) tentativa de ligação não atendida ! mensagem em seguida _x000a_16:43, 11/02/2026 Junior Lopes: Olá Renato ! boa tarde_x000a_16:43, 11/02/2026 Junior Lopes: sou Junior Lopes da Guarani sistemas ! tudo bem ?"/>
    <s v=""/>
    <x v="445"/>
    <m/>
    <s v=""/>
    <s v="Rp pisos"/>
    <s v="81996498759"/>
    <s v=""/>
    <s v="renatosouzarp2018@gmail.com"/>
    <s v=""/>
    <s v=""/>
    <s v=""/>
    <s v=""/>
    <s v=""/>
    <s v="Campanha"/>
    <s v=""/>
    <s v=""/>
    <s v="Fora Perfil;Instagram"/>
    <s v="Pipeline de Vendas"/>
    <s v="Qualificação de Vendas (SQL) (25%)"/>
    <s v=""/>
    <m/>
    <m/>
    <m/>
    <n v="87"/>
    <s v="Paulo Souza"/>
    <d v="2026-02-11T00:00:00"/>
    <d v="1899-12-30T11:42:17"/>
    <s v=""/>
    <s v="Perdido"/>
    <d v="2026-05-09T00:00:00"/>
    <d v="1899-12-30T07:47:47"/>
    <s v="Sem qualificação — contato não atende ligações nem responde msg"/>
    <s v=""/>
    <s v=""/>
    <x v="0"/>
    <s v=""/>
    <x v="0"/>
    <s v=""/>
    <d v="2026-02-19T00:00:00"/>
    <n v="30"/>
    <s v=""/>
    <s v=""/>
    <s v=""/>
    <s v=""/>
    <n v="1"/>
  </r>
  <r>
    <x v="2"/>
    <n v="927"/>
    <m/>
    <n v="3239"/>
    <s v="13.02 é uma loja de auto peças, prouca PDV, fora do perfil"/>
    <s v=""/>
    <x v="446"/>
    <m/>
    <s v=""/>
    <s v="Dede Acessorios"/>
    <s v="6596196462"/>
    <s v=""/>
    <s v="lu_kawakami@msn.com"/>
    <s v=""/>
    <s v=""/>
    <s v=""/>
    <s v=""/>
    <s v=""/>
    <s v="Campanha"/>
    <s v=""/>
    <s v=""/>
    <s v="Fora Perfil;Instagram"/>
    <s v="Pipeline de Vendas"/>
    <s v="Agendamento (0%)"/>
    <s v=""/>
    <m/>
    <m/>
    <m/>
    <n v="2"/>
    <s v="Paulo Souza"/>
    <d v="2026-02-11T00:00:00"/>
    <d v="1899-12-30T11:44:32"/>
    <s v=""/>
    <s v="Perdido"/>
    <d v="2026-02-13T00:00:00"/>
    <d v="1899-12-30T17:27:41"/>
    <s v="Fora do porte mínimo (sem fit estrutural)"/>
    <s v=""/>
    <s v=""/>
    <x v="0"/>
    <s v="Rayssa Karapeticov"/>
    <x v="0"/>
    <s v=""/>
    <d v="2026-02-13T00:00:00"/>
    <n v="30"/>
    <s v=""/>
    <s v=""/>
    <s v=""/>
    <s v=""/>
    <n v="1"/>
  </r>
  <r>
    <x v="1"/>
    <n v="928"/>
    <m/>
    <n v="3242"/>
    <s v="(11/02/2026) ligação efetuada - Anderson pediu para retornar ! vamos dar sequencia no whatsapp_x000a_(18/02/2026) buscando contato com Anderson ! sem resposta até o momento"/>
    <s v=""/>
    <x v="384"/>
    <n v="9205460000120"/>
    <s v=""/>
    <s v="Panveiga"/>
    <s v="(83) 3343-3391 / (83) 3343-3391"/>
    <s v=""/>
    <s v=""/>
    <s v=""/>
    <s v=""/>
    <s v=""/>
    <s v="CAMPINA GRANDE"/>
    <s v="PB"/>
    <s v="Inbound"/>
    <s v=""/>
    <s v=""/>
    <s v="Dentro Perfil;Instagram"/>
    <s v="Pipeline de Vendas"/>
    <s v="Qualificação de Vendas (SQL) (25%)"/>
    <s v=""/>
    <m/>
    <m/>
    <m/>
    <n v="8"/>
    <s v="Paulo Souza"/>
    <d v="2026-02-11T00:00:00"/>
    <d v="1899-12-30T11:51:24"/>
    <s v=""/>
    <s v="Perdido"/>
    <d v="2026-02-19T00:00:00"/>
    <d v="1899-12-30T09:53:04"/>
    <s v="Nossa solução não atende - falta funcionalidade"/>
    <s v="cliente precisa que o força de vendas atenda em pronta entrega"/>
    <s v=""/>
    <x v="0"/>
    <s v=""/>
    <x v="0"/>
    <s v=""/>
    <d v="2026-02-18T00:00:00"/>
    <n v="30"/>
    <s v=""/>
    <s v=""/>
    <s v=""/>
    <s v=""/>
    <n v="1"/>
  </r>
  <r>
    <x v="1"/>
    <n v="929"/>
    <m/>
    <n v="3235"/>
    <s v="Conversa extraida do áudio enviado em 12/03/2026_x000a_ 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
    <s v=""/>
    <x v="447"/>
    <m/>
    <s v=""/>
    <s v="kayo calil marques"/>
    <s v="(14) 99854-9863"/>
    <s v=""/>
    <s v="kayocalil@hotmail.com"/>
    <s v=""/>
    <s v=""/>
    <s v=""/>
    <s v="Tupã"/>
    <s v=""/>
    <s v="Site"/>
    <s v=""/>
    <s v=""/>
    <s v="Solicita demo"/>
    <s v="Pipeline de Vendas"/>
    <s v="Em negociação (75%)"/>
    <s v=""/>
    <m/>
    <n v="41040"/>
    <n v="384858"/>
    <n v="29"/>
    <s v="Paulo Souza"/>
    <d v="2026-02-11T00:00:00"/>
    <d v="1899-12-30T11:53:14"/>
    <s v=""/>
    <s v="Perdido"/>
    <d v="2026-03-12T00:00:00"/>
    <d v="1899-12-30T14:14:05"/>
    <s v="Não quer mudar a solução atual"/>
    <s v="Conversa extraida do áudio enviado em 12/03/2026_x000a_ 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
    <s v=""/>
    <x v="186"/>
    <s v=""/>
    <x v="201"/>
    <s v="19/02/2026"/>
    <d v="2026-03-12T00:00:00"/>
    <n v="30"/>
    <s v=""/>
    <s v=""/>
    <s v=""/>
    <s v=""/>
    <n v="1"/>
  </r>
  <r>
    <x v="2"/>
    <n v="930"/>
    <m/>
    <n v="3243"/>
    <s v="12.02 - é uma importadora de Ribeirão Preto e veio por indicação da Simone (QFestas) são do mesmo seguimento_x000a_Disse que já havia feito contato um tempo atrás mas na época achou muito caro, então não avançou_x000a_Esta retomando o contato agora e gostaria de receber uma proposta comercial antes, já que já conhece o sistema, já recebeu várias indicações de importadores, e representantes. _x000a_18.03 - estou tentando contato, mas esta em feira _x000a_30.03 Achou que não é o momento certo para avançar"/>
    <s v=""/>
    <x v="448"/>
    <n v="14590342000113"/>
    <s v=""/>
    <s v="Leandro"/>
    <s v="(16) 98237-0011"/>
    <s v=""/>
    <s v="leandro@bazarimportadora.com.br"/>
    <s v=""/>
    <s v=""/>
    <s v=""/>
    <s v="Ribeirão Preto"/>
    <s v=""/>
    <s v="Site"/>
    <s v=""/>
    <s v=""/>
    <s v="Contato;Dentro Perfil"/>
    <s v="Pipeline de Vendas"/>
    <s v="Apresentar Proposta (50%)"/>
    <s v=""/>
    <m/>
    <m/>
    <m/>
    <n v="47"/>
    <s v="Paulo Souza"/>
    <d v="2026-02-11T00:00:00"/>
    <d v="1899-12-30T11:54:00"/>
    <s v=""/>
    <s v="Perdido"/>
    <d v="2026-03-30T00:00:00"/>
    <d v="1899-12-30T15:50:03"/>
    <s v="Projeto adiado / sem prazo definido"/>
    <s v=""/>
    <s v=""/>
    <x v="0"/>
    <s v="Rayssa Karapeticov"/>
    <x v="202"/>
    <s v=""/>
    <d v="2026-03-30T00:00:00"/>
    <n v="30"/>
    <s v=""/>
    <s v="AFV, ERP"/>
    <s v=""/>
    <s v=""/>
    <n v="1"/>
  </r>
  <r>
    <x v="1"/>
    <n v="931"/>
    <m/>
    <n v="3233"/>
    <s v="11/02/2026) cliente com necessidades especificas _x000a_Rastreabilidade avançada de coletas e devoluções (fluxo de logística reversa e conferência de avarias);_x000a_Gestão flexível de Kits (desmembramento dinâmico de itens no ato da manutenção);"/>
    <s v=""/>
    <x v="449"/>
    <n v="36096287000142"/>
    <s v=""/>
    <s v="Fernando Ramalho"/>
    <s v="(21) 98655-6912"/>
    <s v=""/>
    <s v="fernando.ramalho@superzinca.com.br"/>
    <s v=""/>
    <s v=""/>
    <s v=""/>
    <s v="Ibirité"/>
    <s v=""/>
    <s v="Site"/>
    <s v=""/>
    <s v=""/>
    <s v="Fora Perfil;Solicita demo"/>
    <s v="Pipeline de Vendas"/>
    <s v="Qualificação de Vendas (SQL) (25%)"/>
    <s v=""/>
    <m/>
    <m/>
    <m/>
    <n v="0"/>
    <s v="Paulo Souza"/>
    <d v="2026-02-11T00:00:00"/>
    <d v="1899-12-30T11:55:55"/>
    <s v=""/>
    <s v="Perdido"/>
    <d v="2026-02-11T00:00:00"/>
    <d v="1899-12-30T15:28:53"/>
    <s v="Fora do porte mínimo (sem fit estrutural)"/>
    <s v="cliente fora do perfil"/>
    <s v=""/>
    <x v="0"/>
    <s v=""/>
    <x v="0"/>
    <s v=""/>
    <m/>
    <n v="30"/>
    <s v=""/>
    <s v=""/>
    <s v=""/>
    <s v=""/>
    <n v="1"/>
  </r>
  <r>
    <x v="2"/>
    <n v="932"/>
    <m/>
    <n v="3234"/>
    <s v="12.02 ligação realizada no dia 12.02 as 11:13, não atendeu. Enviei mensagem no whatsapp, para tentar um novo horario para ligação_x000a_13.02 Cliente é uma industria de copos de liquidificador estão sempre na ABUP e vieram por indicação da Arthi _x000a_Usam um sistema interno - mas futuramente querem trocar o sistema, explicou que a principio querem conhecer nosso AFV, porque foi uma indicação e o sistema atual possui esse módulo mas libera muitas informações que eles não querem disponibilizar para os RCAs, porém não podem editar ou bloquear_x000a_Não enviar estoque _x000a_Tabelas de preço - Explicou que possuem várias tabelas de preço por faixa de valor, informei que o sistema atende essa necessidade e quem podem ter uma unica tabela com uma regra comercial de desconto por faixar de valor amarrada ao pedido_x000a_Imagens de produtos - quer que o cliente tenha acesso a imagem do produto, expliquei que sim, e que pode gerar o catalogo em PDF para o cliente_x000a_Descrição - ficha técnica do produto e descrição do item_x000a_Uso de sistemas na feira - usar leitor de código de produto_x000a_Envio de orçamento - envio de cópia de orçamentos por PDF, link ou excel, e explicar funções em feira _x000a_Isis vai verificar com a gerente uma data para apresentação do AFV_x000a_18.02 - apresentação agendada para amanhã _x000a_18.03 Negociação finalizada, aguardando documentação para seguir com contrato_x000a_15.04 09:24, 15/04/2026 Rayssa Karapeticov - Comercial - Guarani Sistemas: Oi Isis, como você está.?_x000a_Na última troca, você comentou que eles devem manter o sistema atual por mais tempo, e eu fiquei de marcar uma reunião presencial para detalharmos a integração e forma de trabalho._x000a_Queria entender contigo se ainda faz sentido seguirmos com esse alinhamento agora. Se sim, me indica por favor dois horários que funcionem para você."/>
    <s v=""/>
    <x v="450"/>
    <n v="1498495000193"/>
    <s v=""/>
    <s v="Isis Miguelette"/>
    <s v="(11) 91290-8574"/>
    <s v=""/>
    <s v="isismiguelette@micromaxindustria.com.br"/>
    <s v=""/>
    <s v=""/>
    <s v=""/>
    <s v="Itatiba"/>
    <s v=""/>
    <s v="Site"/>
    <s v=""/>
    <s v=""/>
    <s v="Dentro Perfil;Solicita demo"/>
    <s v="Pipeline de Vendas"/>
    <s v="Em negociação (75%)"/>
    <s v=""/>
    <d v="2026-04-30T00:00:00"/>
    <n v="16143"/>
    <n v="690"/>
    <n v="70"/>
    <s v="Paulo Souza"/>
    <d v="2026-02-11T00:00:00"/>
    <d v="1899-12-30T11:56:36"/>
    <s v=""/>
    <s v="Perdido"/>
    <d v="2026-04-22T00:00:00"/>
    <d v="1899-12-30T17:19:39"/>
    <s v="Preço muito alto - fora do budget de investimento"/>
    <s v=""/>
    <s v=""/>
    <x v="185"/>
    <s v="Rayssa Karapeticov"/>
    <x v="203"/>
    <s v=""/>
    <d v="2026-04-15T00:00:00"/>
    <n v="30"/>
    <s v=""/>
    <s v="AFV"/>
    <s v=""/>
    <s v=""/>
    <n v="1"/>
  </r>
  <r>
    <x v="1"/>
    <n v="933"/>
    <m/>
    <n v="3262"/>
    <s v=""/>
    <s v="Startools Ferramentas, Comercio, Importacao E Exportacao Ltda"/>
    <x v="451"/>
    <n v="35754976000215"/>
    <s v=""/>
    <s v="Startools Ferramentas, Comercio, Importacao E Exportacao Ltda"/>
    <s v="(11) 8472-4282"/>
    <s v=""/>
    <s v="controladoria@startoolsferramentas.com.br"/>
    <s v=""/>
    <s v=""/>
    <s v=""/>
    <s v="ARAQUARI"/>
    <s v="SC"/>
    <s v="Base de empresas Leads2b"/>
    <s v=""/>
    <s v=""/>
    <s v=""/>
    <s v="Pipeline de Vendas"/>
    <s v="Apresentar Solução (35%)"/>
    <s v=""/>
    <m/>
    <n v="0"/>
    <n v="0"/>
    <n v="98"/>
    <s v="Junior Lopes"/>
    <d v="2026-02-11T00:00:00"/>
    <d v="1899-12-30T18:07:55"/>
    <s v=""/>
    <s v="Ativo"/>
    <m/>
    <m/>
    <s v=""/>
    <s v=""/>
    <s v=""/>
    <x v="0"/>
    <s v=""/>
    <x v="204"/>
    <s v=""/>
    <d v="2026-05-08T00:00:00"/>
    <n v="50"/>
    <s v=""/>
    <s v=""/>
    <s v=""/>
    <s v=""/>
    <n v="1"/>
  </r>
  <r>
    <x v="1"/>
    <n v="934"/>
    <m/>
    <n v="3263"/>
    <s v="(03/03/2026) Visita apresentação _x000a_(05/03/2026)  buscando fechamento"/>
    <s v="Cleantech Solucoes Industria, Distribuidora, Comercio, Importacao E Exportacao De Produtos Quimicos Ltda"/>
    <x v="452"/>
    <n v="51540058000169"/>
    <s v=""/>
    <s v="Cleantech Solucoes Industria, Distribuidora, Comercio, Importacao E Exportacao De Produtos Quimicos Ltda"/>
    <s v="(11) 91564-2482"/>
    <s v=""/>
    <s v=""/>
    <s v=""/>
    <s v=""/>
    <s v=""/>
    <s v="SAO PAULO"/>
    <s v="SP"/>
    <s v="Base de empresas Leads2b"/>
    <s v=""/>
    <s v=""/>
    <s v=""/>
    <s v="Pipeline de Vendas"/>
    <s v="Em Fechamento (100%)"/>
    <s v=""/>
    <m/>
    <n v="68400"/>
    <n v="114607"/>
    <n v="49"/>
    <s v="Junior Lopes"/>
    <d v="2026-02-11T00:00:00"/>
    <d v="1899-12-30T18:19:45"/>
    <s v=""/>
    <s v="Ganho"/>
    <d v="2026-04-01T00:00:00"/>
    <d v="1899-12-30T10:36:11"/>
    <s v=""/>
    <s v=""/>
    <s v=""/>
    <x v="183"/>
    <s v=""/>
    <x v="196"/>
    <s v="03/03/2026"/>
    <d v="2026-03-05T00:00:00"/>
    <n v="70"/>
    <s v=""/>
    <s v=""/>
    <s v=""/>
    <s v=""/>
    <n v="1"/>
  </r>
  <r>
    <x v="0"/>
    <n v="935"/>
    <m/>
    <n v="3259"/>
    <s v="13/02 Fiz FUP hoje com a Pamela e o perfil identificado é de cliente emergente para investir no momento. E por isso foi declinado."/>
    <s v=""/>
    <x v="453"/>
    <m/>
    <s v=""/>
    <s v="PAMELA CRISTINA DA FONSECA"/>
    <s v="(46) 99984-1338"/>
    <s v=""/>
    <s v="importacao.azul@hotmail.com"/>
    <s v=""/>
    <s v=""/>
    <s v=""/>
    <s v="Fazenda Rio Grande"/>
    <s v=""/>
    <s v="Site"/>
    <s v=""/>
    <s v=""/>
    <s v="Solicita demo"/>
    <s v="Pipeline de Vendas"/>
    <s v="Qualificação de Vendas (SQL) (25%)"/>
    <s v=""/>
    <d v="2026-02-28T00:00:00"/>
    <m/>
    <m/>
    <n v="1"/>
    <s v="Paulo Souza"/>
    <d v="2026-02-12T00:00:00"/>
    <d v="1899-12-30T02:29:04"/>
    <s v=""/>
    <s v="Perdido"/>
    <d v="2026-02-13T00:00:00"/>
    <d v="1899-12-30T17:22:46"/>
    <s v="Preço muito alto - fora do budget de investimento"/>
    <s v=""/>
    <s v=""/>
    <x v="0"/>
    <s v="Paulo Souza"/>
    <x v="187"/>
    <s v=""/>
    <m/>
    <n v="30"/>
    <s v=""/>
    <s v="ERP, AFV"/>
    <s v=""/>
    <s v=""/>
    <n v="1"/>
  </r>
  <r>
    <x v="1"/>
    <n v="936"/>
    <m/>
    <n v="3268"/>
    <s v="(20/02/2026) Buscando fechamento _x000a_Conversa extraida do áudio enviado em 12/03/2026_x000a_ 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
    <s v=""/>
    <x v="454"/>
    <m/>
    <s v=""/>
    <s v="Atacadão das Tripas"/>
    <s v="14998549863"/>
    <s v=""/>
    <s v="kayocalil@hotmail.com"/>
    <s v=""/>
    <s v=""/>
    <s v=""/>
    <s v=""/>
    <s v=""/>
    <s v=""/>
    <s v=""/>
    <s v=""/>
    <s v=""/>
    <s v="Pipeline de Vendas"/>
    <s v="Em negociação (75%)"/>
    <s v=""/>
    <m/>
    <m/>
    <m/>
    <n v="27"/>
    <s v="Junior Lopes"/>
    <d v="2026-02-13T00:00:00"/>
    <d v="1899-12-30T14:52:42"/>
    <s v=""/>
    <s v="Perdido"/>
    <d v="2026-03-12T00:00:00"/>
    <d v="1899-12-30T14:12:42"/>
    <s v="Não quer mudar a solução atual"/>
    <s v="Conversa extraida do áudio enviado em 12/03/2026_x000a_ 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
    <s v=""/>
    <x v="0"/>
    <s v=""/>
    <x v="187"/>
    <s v=""/>
    <d v="2026-03-12T00:00:00"/>
    <n v="50"/>
    <s v=""/>
    <s v=""/>
    <s v=""/>
    <s v=""/>
    <n v="1"/>
  </r>
  <r>
    <x v="1"/>
    <n v="937"/>
    <m/>
    <n v="3267"/>
    <s v="(19/02/2026) descartando por falta de interação _x000a_09:44, 19/02/2026 Junior Lopes: Oi, Edenilson Tentei contato algumas vezes, mas não consegui falar com você. Imagino que sua rotina esteja corrida. Vou encerrar seu atendimento por aqui para não lotar sua caixa de entrada, mas sigo à disposição caso queira retomar o assunto no futuro"/>
    <s v=""/>
    <x v="455"/>
    <n v="3318893000106"/>
    <s v=""/>
    <s v="Eletro Fort Poste Padrão"/>
    <s v="19974151604"/>
    <s v=""/>
    <s v="compras@eletrofortlimeira.com.br"/>
    <s v=""/>
    <s v=""/>
    <s v=""/>
    <s v=""/>
    <s v=""/>
    <s v="Campanha"/>
    <s v=""/>
    <s v=""/>
    <s v="Dentro Perfil;Instagram"/>
    <s v="Pipeline de Vendas"/>
    <s v="Qualificação de Vendas (SQL) (25%)"/>
    <s v=""/>
    <d v="2026-02-28T00:00:00"/>
    <m/>
    <m/>
    <n v="13"/>
    <s v="Paulo Souza"/>
    <d v="2026-02-13T00:00:00"/>
    <d v="1899-12-30T21:58:18"/>
    <s v=""/>
    <s v="Perdido"/>
    <d v="2026-02-26T00:00:00"/>
    <d v="1899-12-30T23:10:17"/>
    <s v="Fora do porte mínimo (sem fit estrutural)"/>
    <s v=""/>
    <s v=""/>
    <x v="0"/>
    <s v="Junior Lopes"/>
    <x v="0"/>
    <s v=""/>
    <d v="2026-02-19T00:00:00"/>
    <n v="30"/>
    <s v=""/>
    <s v=""/>
    <s v=""/>
    <s v=""/>
    <n v="1"/>
  </r>
  <r>
    <x v="0"/>
    <n v="938"/>
    <m/>
    <n v="3266"/>
    <s v="19/02 Fiz FUP com o cliente e liguei para o Luis e ao entender o processo dele verifique que não atendemos. Pois ele quer que o vendedor no momento do pedido já emita a NF."/>
    <s v=""/>
    <x v="456"/>
    <n v="11994847000155"/>
    <s v=""/>
    <s v="Luís Fernando"/>
    <s v="(15) 99839-1786"/>
    <s v=""/>
    <s v="luismendesjr@cafecarneiro.com.br"/>
    <s v=""/>
    <s v=""/>
    <s v=""/>
    <s v="Itapeva"/>
    <s v=""/>
    <s v="Site"/>
    <s v=""/>
    <s v=""/>
    <s v="Contato"/>
    <s v="Pipeline de Vendas"/>
    <s v="Apresentar Solução (35%)"/>
    <s v=""/>
    <d v="2026-02-28T00:00:00"/>
    <m/>
    <m/>
    <n v="6"/>
    <s v="Paulo Souza"/>
    <d v="2026-02-13T00:00:00"/>
    <d v="1899-12-30T22:00:55"/>
    <s v=""/>
    <s v="Perdido"/>
    <d v="2026-02-19T00:00:00"/>
    <d v="1899-12-30T17:25:13"/>
    <s v="Nossa solução não atende - falta funcionalidade"/>
    <s v="19/02 Fiz FUP com o cliente e liguei para o Luis e ao entender o processo dele verifique que não atendemos. Pois ele quer que o vendedor no momento do pedido já emita a NF."/>
    <s v=""/>
    <x v="0"/>
    <s v="Paulo Souza"/>
    <x v="0"/>
    <s v=""/>
    <m/>
    <n v="30"/>
    <s v=""/>
    <s v=""/>
    <s v=""/>
    <s v=""/>
    <n v="1"/>
  </r>
  <r>
    <x v="2"/>
    <n v="945"/>
    <m/>
    <n v="3271"/>
    <s v=""/>
    <s v=""/>
    <x v="457"/>
    <m/>
    <s v=""/>
    <s v="Angel"/>
    <s v="(45) 99828-7178"/>
    <s v=""/>
    <s v="lucaangel20@hotmail.com"/>
    <s v=""/>
    <s v=""/>
    <s v=""/>
    <s v="Toledo"/>
    <s v=""/>
    <s v="Site"/>
    <s v=""/>
    <s v=""/>
    <s v="Solicita demo"/>
    <s v="Pipeline de Vendas"/>
    <s v="Agendamento (0%)"/>
    <s v=""/>
    <m/>
    <m/>
    <m/>
    <n v="2"/>
    <s v="Paulo Souza"/>
    <d v="2026-02-17T00:00:00"/>
    <d v="1899-12-30T17:47:51"/>
    <s v=""/>
    <s v="Perdido"/>
    <d v="2026-02-19T00:00:00"/>
    <d v="1899-12-30T09:05:02"/>
    <s v="Cliente não quer contato LGPD"/>
    <s v=""/>
    <s v=""/>
    <x v="0"/>
    <s v="Rayssa Karapeticov"/>
    <x v="0"/>
    <s v=""/>
    <d v="2026-02-18T00:00:00"/>
    <n v="30"/>
    <s v=""/>
    <s v="ERP"/>
    <s v=""/>
    <s v=""/>
    <n v="1"/>
  </r>
  <r>
    <x v="0"/>
    <n v="946"/>
    <m/>
    <n v="3270"/>
    <s v="26/02 Fiz FUP hoje com o Diego após varias tentativas de ligação ele não atendeu, envie e-mail para ver se consigo outro canal de conversa._x000a_12/03 Diego optou por uma solução local e se não der certo retorna o contato."/>
    <s v=""/>
    <x v="458"/>
    <m/>
    <s v=""/>
    <s v="Cia atacadista"/>
    <s v="71982084451"/>
    <s v=""/>
    <s v="ailtonsrocha@hotmail.com"/>
    <s v=""/>
    <s v=""/>
    <s v=""/>
    <s v=""/>
    <s v=""/>
    <s v="Campanha"/>
    <s v=""/>
    <s v=""/>
    <s v="Dentro Perfil;Instagram"/>
    <s v="Pipeline de Vendas"/>
    <s v="Qualificação de Vendas (SQL) (25%)"/>
    <s v=""/>
    <d v="2026-03-31T00:00:00"/>
    <m/>
    <m/>
    <n v="82"/>
    <s v="Paulo Souza"/>
    <d v="2026-02-18T00:00:00"/>
    <d v="1899-12-30T08:51:33"/>
    <s v=""/>
    <s v="Perdido"/>
    <d v="2026-05-11T00:00:00"/>
    <d v="1899-12-30T11:54:40"/>
    <s v="Fechou com o concorrente - preço"/>
    <s v="optou por uma solução local, senão atende-lo volta o contato."/>
    <s v=""/>
    <x v="0"/>
    <s v="Paulo Souza"/>
    <x v="0"/>
    <s v=""/>
    <d v="2026-03-12T00:00:00"/>
    <n v="30"/>
    <s v=""/>
    <s v="ERP, AFV"/>
    <s v=""/>
    <s v=""/>
    <n v="1"/>
  </r>
  <r>
    <x v="1"/>
    <n v="948"/>
    <m/>
    <n v="3278"/>
    <s v="(19/02/2026) em contato com Andreia ! atualmente usa ERP Linx e busca ferramenta de força de vendas _x000a_estamos alinhando data de apresentação _x000a_(09/03/2026) Após envio da proposta comercial Andréa não respondeu mais ! dois pontos de atenção com relacçao ao seu ramo de atividade , por ser um fabrica de roupas e ERP Linx"/>
    <s v=""/>
    <x v="459"/>
    <m/>
    <s v=""/>
    <s v="Ama"/>
    <s v="21995112577"/>
    <s v=""/>
    <s v="andreiamattosaeb@mail.com"/>
    <s v=""/>
    <s v=""/>
    <s v=""/>
    <s v=""/>
    <s v=""/>
    <s v="Campanha"/>
    <s v=""/>
    <s v=""/>
    <s v="Dentro Perfil;Instagram"/>
    <s v="Pipeline de Vendas"/>
    <s v="Apresentar Proposta (50%)"/>
    <s v=""/>
    <d v="2026-02-28T00:00:00"/>
    <n v="16960"/>
    <n v="575"/>
    <n v="21"/>
    <s v="Paulo Souza"/>
    <d v="2026-02-19T00:00:00"/>
    <d v="1899-12-30T08:14:29"/>
    <s v=""/>
    <s v="Perdido"/>
    <d v="2026-03-12T00:00:00"/>
    <d v="1899-12-30T15:22:14"/>
    <s v="Não houve aprovação financeira"/>
    <s v="investimento alto"/>
    <s v=""/>
    <x v="184"/>
    <s v="Junior Lopes"/>
    <x v="205"/>
    <s v=""/>
    <d v="2026-03-09T00:00:00"/>
    <n v="31"/>
    <s v=""/>
    <s v=""/>
    <s v=""/>
    <s v=""/>
    <n v="1"/>
  </r>
  <r>
    <x v="2"/>
    <n v="949"/>
    <m/>
    <n v="3279"/>
    <s v=""/>
    <s v=""/>
    <x v="363"/>
    <m/>
    <s v=""/>
    <s v="Fisiohosp"/>
    <s v="06596658787"/>
    <s v=""/>
    <s v="cmag2017@gmail.com"/>
    <s v=""/>
    <s v=""/>
    <s v=""/>
    <s v=""/>
    <s v="Cuiabá mt"/>
    <s v="Inbound"/>
    <s v=""/>
    <s v=""/>
    <s v="Fora Perfil;Instagram"/>
    <s v="Pipeline de Vendas"/>
    <s v="Agendamento (0%)"/>
    <s v=""/>
    <d v="2026-02-28T00:00:00"/>
    <m/>
    <m/>
    <n v="4"/>
    <s v="Paulo Souza"/>
    <d v="2026-02-19T00:00:00"/>
    <d v="1899-12-30T08:15:39"/>
    <s v=""/>
    <s v="Perdido"/>
    <d v="2026-02-23T00:00:00"/>
    <d v="1899-12-30T16:11:43"/>
    <s v="Fora do porte mínimo (sem fit estrutural)"/>
    <s v=""/>
    <s v=""/>
    <x v="0"/>
    <s v="Rayssa Karapeticov"/>
    <x v="0"/>
    <s v=""/>
    <m/>
    <n v="30"/>
    <s v=""/>
    <s v=""/>
    <s v=""/>
    <s v=""/>
    <n v="1"/>
  </r>
  <r>
    <x v="2"/>
    <n v="950"/>
    <m/>
    <n v="3280"/>
    <s v="19.02 devido o feriado de carnaval estã retornando hoje._x000a_Combinamos de falar amanhã 20/02 as 09h"/>
    <s v=""/>
    <x v="460"/>
    <n v="3459449000100"/>
    <s v=""/>
    <s v="San marcus industrial"/>
    <s v="75998542317"/>
    <s v=""/>
    <s v="marcos@sanmarcus.com.br"/>
    <s v=""/>
    <s v=""/>
    <s v=""/>
    <s v=""/>
    <s v=""/>
    <s v="Campanha"/>
    <s v=""/>
    <s v=""/>
    <s v="Dentro Perfil;Instagram"/>
    <s v="Pipeline de Vendas"/>
    <s v="Apresentar Solução (35%)"/>
    <s v=""/>
    <d v="2026-04-30T00:00:00"/>
    <m/>
    <m/>
    <n v="22"/>
    <s v="Paulo Souza"/>
    <d v="2026-02-19T00:00:00"/>
    <d v="1899-12-30T08:17:18"/>
    <s v=""/>
    <s v="Perdido"/>
    <d v="2026-03-13T00:00:00"/>
    <d v="1899-12-30T10:35:07"/>
    <s v="Não quer mudar a solução atual"/>
    <s v=""/>
    <s v=""/>
    <x v="0"/>
    <s v="Rayssa Karapeticov"/>
    <x v="0"/>
    <s v=""/>
    <d v="2026-03-13T00:00:00"/>
    <n v="31"/>
    <s v=""/>
    <s v="ERP, PCP, AFV"/>
    <s v=""/>
    <s v=""/>
    <n v="1"/>
  </r>
  <r>
    <x v="1"/>
    <n v="951"/>
    <m/>
    <n v="3282"/>
    <s v="(19/02/2026) ligação não atendida ! na sequencia envio de mensagem _x000a_(19/02/2026) em contato com Carolla , a empresa é uma loja de doces , fora do perfil _x000a_08:56, 19/02/2026 Junior Lopes: OLá Carolla, bom dia !_x000a_08:56, 19/02/2026 Junior Lopes: sou Junior Lopes da Guarani sistemas td bem ?_x000a_08:57, 19/02/2026 Junior Lopes: estou retornando um contato que você fez conosco"/>
    <s v=""/>
    <x v="461"/>
    <m/>
    <s v=""/>
    <s v="Fa de doces"/>
    <s v="16993027000"/>
    <s v=""/>
    <s v="carollafinancas@gmail.com"/>
    <s v=""/>
    <s v=""/>
    <s v=""/>
    <s v=""/>
    <s v=""/>
    <s v="Campanha"/>
    <s v=""/>
    <s v=""/>
    <s v="Fora Perfil;Instagram"/>
    <s v="Pipeline de Vendas"/>
    <s v="Qualificação de Vendas (SQL) (25%)"/>
    <s v=""/>
    <d v="2026-02-19T00:00:00"/>
    <m/>
    <m/>
    <n v="7"/>
    <s v="Paulo Souza"/>
    <d v="2026-02-19T00:00:00"/>
    <d v="1899-12-30T08:18:43"/>
    <s v=""/>
    <s v="Perdido"/>
    <d v="2026-02-26T00:00:00"/>
    <d v="1899-12-30T23:09:28"/>
    <s v="Fora do porte mínimo (sem fit estrutural)"/>
    <s v=""/>
    <s v=""/>
    <x v="0"/>
    <s v="Junior Lopes"/>
    <x v="0"/>
    <s v=""/>
    <m/>
    <n v="30"/>
    <s v=""/>
    <s v=""/>
    <s v=""/>
    <s v=""/>
    <n v="1"/>
  </r>
  <r>
    <x v="0"/>
    <n v="952"/>
    <m/>
    <n v="3283"/>
    <s v="26/02 Fiz FUP com Alessandro e combinamos de falar na segunda-feira as 9h_x000a_12/03 Fiz FUP com o Alessandro e combinamos uma apresentação amanhã as 8h _x000a_20/03 Fiz FUP com o Alessandro para saber se ele vai seguir ou não._x000a_20/03 Cliente achou o preço muito alto para investir agora."/>
    <s v=""/>
    <x v="462"/>
    <m/>
    <s v=""/>
    <s v="Alessandro"/>
    <s v="49999890528"/>
    <s v=""/>
    <s v="ale@metaladm.com.br"/>
    <s v=""/>
    <s v=""/>
    <s v=""/>
    <s v=""/>
    <s v=""/>
    <s v="Campanha"/>
    <s v=""/>
    <s v=""/>
    <s v="Dentro Perfil;Instagram"/>
    <s v="Pipeline de Vendas"/>
    <s v="Em negociação (75%)"/>
    <s v=""/>
    <d v="2026-03-31T00:00:00"/>
    <n v="862043"/>
    <n v="34937"/>
    <n v="40"/>
    <s v="Paulo Souza"/>
    <d v="2026-02-19T00:00:00"/>
    <d v="1899-12-30T08:19:46"/>
    <s v=""/>
    <s v="Perdido"/>
    <d v="2026-03-31T00:00:00"/>
    <d v="1899-12-30T16:31:50"/>
    <s v="Preço muito alto - fora do budget de investimento"/>
    <s v=""/>
    <s v=""/>
    <x v="187"/>
    <s v="Paulo Souza"/>
    <x v="0"/>
    <s v=""/>
    <d v="2026-03-20T00:00:00"/>
    <n v="30"/>
    <s v=""/>
    <s v="ERP, AFV"/>
    <s v=""/>
    <s v=""/>
    <n v="1"/>
  </r>
  <r>
    <x v="0"/>
    <n v="953"/>
    <m/>
    <n v="3284"/>
    <s v="26/02 Fiz FUP com a Fernanda e ela não atendeu, deixei recado para falarmos._x000a_02/02 Fiz FUP e cliente falou que vai analisar"/>
    <s v=""/>
    <x v="463"/>
    <m/>
    <s v=""/>
    <s v="NEW"/>
    <s v="1140227929"/>
    <s v=""/>
    <s v="ferramentarianws@gmail.com"/>
    <s v=""/>
    <s v=""/>
    <s v=""/>
    <s v=""/>
    <s v=""/>
    <s v="Campanha"/>
    <s v=""/>
    <s v=""/>
    <s v="Fora Perfil;Instagram"/>
    <s v="Pipeline de Vendas"/>
    <s v="Qualificação de Vendas (SQL) (25%)"/>
    <s v=""/>
    <d v="2026-02-28T00:00:00"/>
    <m/>
    <m/>
    <n v="12"/>
    <s v="Paulo Souza"/>
    <d v="2026-02-19T00:00:00"/>
    <d v="1899-12-30T08:20:37"/>
    <s v=""/>
    <s v="Perdido"/>
    <d v="2026-03-03T00:00:00"/>
    <d v="1899-12-30T21:25:01"/>
    <s v="Fora do porte mínimo (sem fit estrutural)"/>
    <s v=""/>
    <s v=""/>
    <x v="0"/>
    <s v="Paulo Souza"/>
    <x v="0"/>
    <s v=""/>
    <m/>
    <n v="32"/>
    <s v=""/>
    <s v=""/>
    <s v=""/>
    <s v=""/>
    <n v="1"/>
  </r>
  <r>
    <x v="2"/>
    <n v="956"/>
    <m/>
    <n v="3286"/>
    <s v="esta atrás de parceiria para revenda do sistema"/>
    <s v=""/>
    <x v="464"/>
    <m/>
    <s v=""/>
    <s v="Grupo Alves Consultoria Empresarial"/>
    <s v="92992307944"/>
    <s v=""/>
    <s v="tayanxpmartins@hotmail.com"/>
    <s v=""/>
    <s v=""/>
    <s v=""/>
    <s v=""/>
    <s v=""/>
    <s v="Campanha"/>
    <s v=""/>
    <s v=""/>
    <s v="Fora Perfil;Instagram"/>
    <s v="Pipeline de Vendas"/>
    <s v="Agendamento (0%)"/>
    <s v=""/>
    <d v="2026-02-28T00:00:00"/>
    <m/>
    <m/>
    <n v="3"/>
    <s v="Paulo Souza"/>
    <d v="2026-02-20T00:00:00"/>
    <d v="1899-12-30T13:53:53"/>
    <s v=""/>
    <s v="Perdido"/>
    <d v="2026-02-23T00:00:00"/>
    <d v="1899-12-30T16:07:54"/>
    <s v="Fora do porte mínimo (sem fit estrutural)"/>
    <s v=""/>
    <s v=""/>
    <x v="0"/>
    <s v="Rayssa Karapeticov"/>
    <x v="0"/>
    <s v=""/>
    <d v="2026-02-23T00:00:00"/>
    <n v="30"/>
    <s v=""/>
    <s v=""/>
    <s v=""/>
    <s v=""/>
    <n v="1"/>
  </r>
  <r>
    <x v="2"/>
    <n v="959"/>
    <m/>
    <n v="3298"/>
    <s v="Cliente é um representante da Oster e outras marcas, a ideia de negociação é do AFV, mas no dia sexta-feira, 20 de fevereiro de 2026_x000a_11:00 - 12:00 (BRT) - realizamos uma apresentação do AFv, durante a reunião pediu uma proposta do ERP também para avaliar uma possivel troca. _x000a_Após a reunião fizemos uma segunda ruenião de apresentação da proposta comercial no dia 24/02_x000a_Após isso cliente ficou de me passar uma contra proposta para negociação, porém ele esta em feria no EUA, e ainda não retornoul_x000a_Falei com ele hoje 18/03 e ainda esta em feira e pediu para retornar na sexta oferecendo um login e senha. _x000a_Vou retornar o contato na sexta para entender(provavelemente é do AFV) mas dar sequencia no atendimento_x000a_24.03 Estou marcando uma reunião presencial, porém essa semana esta em SC"/>
    <s v=""/>
    <x v="465"/>
    <m/>
    <s v=""/>
    <s v="André Feldman"/>
    <s v="11988461881"/>
    <s v=""/>
    <s v="andre@homebrands.com.br"/>
    <s v=""/>
    <s v=""/>
    <s v=""/>
    <s v=""/>
    <s v=""/>
    <s v=""/>
    <s v=""/>
    <s v=""/>
    <s v=""/>
    <s v="Pipeline de Vendas"/>
    <s v="Em negociação (75%)"/>
    <s v=""/>
    <d v="2026-05-31T00:00:00"/>
    <n v="963186"/>
    <n v="62062"/>
    <n v="79"/>
    <s v="Rayssa Karapeticov"/>
    <d v="2026-02-23T00:00:00"/>
    <d v="1899-12-30T11:51:24"/>
    <s v=""/>
    <s v="Perdido"/>
    <d v="2026-05-13T00:00:00"/>
    <d v="1899-12-30T10:42:53"/>
    <s v="Projeto adiado / sem prazo definido"/>
    <s v=""/>
    <s v=""/>
    <x v="188"/>
    <s v="Rayssa Karapeticov"/>
    <x v="206"/>
    <s v=""/>
    <d v="2026-05-13T00:00:00"/>
    <n v="30"/>
    <s v=""/>
    <s v="ERP"/>
    <s v=""/>
    <s v=""/>
    <n v="1"/>
  </r>
  <r>
    <x v="2"/>
    <n v="960"/>
    <m/>
    <n v="3299"/>
    <s v="Cliente é um representante da Oster e outras marcas, a ideia de negociação é do AFV, mas no dia sexta-feira, 20 de fevereiro de 2026_x000a_11:00 - 12:00 (BRT) - realizamos uma apresentação do AFv, durante a reunião pediu uma proposta do ERP também para avaliar uma possivel troca. _x000a_Após a reunião fizemos uma segunda ruenião de apresentação da proposta comercial no dia 24/02_x000a_Após isso cliente ficou de me passar uma contra proposta para negociação, porém ele esta em feria no EUA, e ainda não retornoul_x000a_Falei com ele hoje 18/03 e ainda esta em feira e pediu para retornar na sexta oferecendo um login e senha. _x000a_Vou retornar o contato na sexta para entender(provavelemente é do AFV) mas dar sequencia no atendimento_x000a_24.03 Estou marcando uma reunião presencial, porém essa semana esta em SC."/>
    <s v=""/>
    <x v="466"/>
    <m/>
    <s v=""/>
    <s v="Andre"/>
    <s v="11988461881"/>
    <s v=""/>
    <s v="andre@homebrands.com.br"/>
    <s v=""/>
    <s v=""/>
    <s v=""/>
    <s v=""/>
    <s v=""/>
    <s v=""/>
    <s v=""/>
    <s v=""/>
    <s v=""/>
    <s v="Pipeline de Vendas"/>
    <s v="Em negociação (75%)"/>
    <s v=""/>
    <d v="2026-04-30T00:00:00"/>
    <n v="27150"/>
    <n v="3450"/>
    <n v="79"/>
    <s v="Rayssa Karapeticov"/>
    <d v="2026-02-23T00:00:00"/>
    <d v="1899-12-30T12:12:37"/>
    <s v=""/>
    <s v="Perdido"/>
    <d v="2026-05-13T00:00:00"/>
    <d v="1899-12-30T10:53:23"/>
    <s v="Não quer mudar a solução atual"/>
    <s v=""/>
    <s v=""/>
    <x v="188"/>
    <s v="Rayssa Karapeticov"/>
    <x v="206"/>
    <s v=""/>
    <d v="2026-05-13T00:00:00"/>
    <n v="30"/>
    <s v=""/>
    <s v="AFV"/>
    <s v=""/>
    <s v=""/>
    <n v="1"/>
  </r>
  <r>
    <x v="1"/>
    <n v="961"/>
    <m/>
    <n v="3287"/>
    <s v="12:26, 24/02/2026 Junior Lopes: lá Valdir, bom dia_x000a_12:26, 24/02/2026 Junior Lopes: aqui é Junior Lopes da Guarani sistemas tudo bem ?_x000a_12:39, 24/02/2026 +55 19 99218-9262: Boa tarde._x000a_Tudo bem e você?_x000a_Estou em um pregão eletrônico,  assim que acabar te chamo_x000a_13:02, 25/02/2026 +55 19 99218-9262: Preciso de um erp que controle 2 cnpj._x000a_Tenha:_x000a_Controle de O.S. com emissão de produto junto._x000a_Atualização com marketplace hoje, ML, Amazon, Shopee e Magazine Luiza._x000a_Controle de contratos _x000a_Ecomerce._x000a_Vendas por WhatsApp, Instagram, etc._x000a_Quando fazer venda na loja física, podendo colocar produtos das duas empresas e depois fazer as nfe de acordo com os produtos adequados._x000a_13:02, 25/02/2026 Junior Lopes: Olá Valdir , boa tarde_x000a_13:03, 25/02/2026 Junior Lopes: Assim que finalizar meu almoço , verifico sua mensagem e te respondo_x000a_13:03, 25/02/2026 Junior Lopes: Um abraço_x000a_13:03, 25/02/2026 +55 19 99218-9262: Estou no médico tambem agora, kkkk_x000a_13:03, 25/02/2026 +55 19 99218-9262: No aguardo_x000a_14:02, 25/02/2026 Junior Lopes: Olá Valdir, td bem ? fiz uma analise sobre as necessidades que você solicitou_x000a_14:02, 25/02/2026 Junior Lopes: Para o cenário da Compuleme, que exige uma frente de caixa (PDV) para loja física e integração direta com redes sociais e marketplaces, informamos que a Guarani não é a solução ideal._x000a_Embora sejamos fortes no controle de múltiplos CNPJs, O.S. e contratos, nosso sistema não opera com vendas de varejo físico ou integração de canais de atendimento (WhatsApp/Instagram). Preferimos ser transparentes para que vocês possam focar em uma ferramenta que já possua esse ecossistema de vendas integrado nativamente"/>
    <s v=""/>
    <x v="467"/>
    <n v="56556830000154"/>
    <s v=""/>
    <s v="Compuleme"/>
    <s v="19992189262"/>
    <s v=""/>
    <s v="valdir@compuleme.com.br"/>
    <s v=""/>
    <s v=""/>
    <s v=""/>
    <s v=""/>
    <s v=""/>
    <s v="Campanha"/>
    <s v=""/>
    <s v=""/>
    <s v="Fora Perfil;Instagram"/>
    <s v="Pipeline de Vendas"/>
    <s v="Qualificação de Vendas (SQL) (25%)"/>
    <s v=""/>
    <d v="2026-02-28T00:00:00"/>
    <m/>
    <m/>
    <n v="2"/>
    <s v="Paulo Souza"/>
    <d v="2026-02-24T00:00:00"/>
    <d v="1899-12-30T09:39:07"/>
    <s v=""/>
    <s v="Perdido"/>
    <d v="2026-02-26T00:00:00"/>
    <d v="1899-12-30T23:10:53"/>
    <s v="Fora do porte mínimo (sem fit estrutural)"/>
    <s v=""/>
    <s v=""/>
    <x v="0"/>
    <s v="Junior Lopes"/>
    <x v="0"/>
    <s v=""/>
    <d v="2026-02-25T00:00:00"/>
    <n v="30"/>
    <s v=""/>
    <s v=""/>
    <s v=""/>
    <s v=""/>
    <n v="1"/>
  </r>
  <r>
    <x v="2"/>
    <n v="962"/>
    <m/>
    <n v="3290"/>
    <s v="Perfil da Empresa_x000a_Setor: Tecnologia e segurança_x000a_Atuação: Distribuidora e empresa de tecnologia_x000a_Marcas representadas: Motorola, 3M_x000a_Produtos e Serviços_x000a_Vendas de produtos:_x000a_Via rádio de segurança_x000a_Formato de vendas para clientes recorrentes_x000a_Indicação pelo próprio representante_x000a_Equipe interna de vendas com 10 pessoas_x000a_Locação de produtos_x000a_Serviços complementares (não especificados, mas mencionados)_x000a_Estrutura Comercial_x000a_Equipe de vendas: 10 pessoas_x000a_Canais de vendas:_x000a_Representantes_x000a_Indicações_x000a_Equipe interna_x000a_Necessidade Atual_x000a_Implementar uma solução que:_x000a_Crie indicadores de desempenho para a equipe de vendas_x000a_Disponibilize um CRM para gestão de clientes e processos"/>
    <s v=""/>
    <x v="468"/>
    <m/>
    <s v=""/>
    <s v="São Paulo"/>
    <s v="11991241336"/>
    <s v=""/>
    <s v="dario@trivaletecnologia.com.br"/>
    <s v=""/>
    <s v=""/>
    <s v=""/>
    <s v=""/>
    <s v=""/>
    <s v="Campanha"/>
    <s v=""/>
    <s v=""/>
    <s v="Dentro Perfil;Instagram"/>
    <s v="Pipeline de Vendas"/>
    <s v="Agendamento (0%)"/>
    <s v=""/>
    <d v="2026-02-28T00:00:00"/>
    <m/>
    <m/>
    <n v="74"/>
    <s v="Paulo Souza"/>
    <d v="2026-02-24T00:00:00"/>
    <d v="1899-12-30T09:42:24"/>
    <s v=""/>
    <s v="Perdido"/>
    <d v="2026-05-09T00:00:00"/>
    <d v="1899-12-30T08:49:05"/>
    <s v="Fora do segmento atendido"/>
    <s v=""/>
    <s v=""/>
    <x v="0"/>
    <s v="Rayssa Karapeticov"/>
    <x v="0"/>
    <s v=""/>
    <d v="2026-02-26T00:00:00"/>
    <n v="30"/>
    <s v=""/>
    <s v=""/>
    <s v=""/>
    <s v=""/>
    <n v="1"/>
  </r>
  <r>
    <x v="0"/>
    <n v="963"/>
    <m/>
    <n v="3293"/>
    <s v="26/02 Fiz FUP com o Anderson e ele possui 3 lojas de roupa e esta fora do perfil."/>
    <s v=""/>
    <x v="469"/>
    <m/>
    <s v=""/>
    <s v="Anderson Brandão"/>
    <s v="13981286699"/>
    <s v=""/>
    <s v="anderson.melro@hotmail.com"/>
    <s v=""/>
    <s v=""/>
    <s v=""/>
    <s v=""/>
    <s v=""/>
    <s v="Campanha"/>
    <s v=""/>
    <s v=""/>
    <s v="Fora Perfil;Instagram"/>
    <s v="Pipeline de Vendas"/>
    <s v="Agendamento (0%)"/>
    <s v=""/>
    <d v="2026-02-28T00:00:00"/>
    <m/>
    <m/>
    <n v="2"/>
    <s v="Paulo Souza"/>
    <d v="2026-02-24T00:00:00"/>
    <d v="1899-12-30T09:46:02"/>
    <s v=""/>
    <s v="Perdido"/>
    <d v="2026-02-26T00:00:00"/>
    <d v="1899-12-30T17:30:38"/>
    <s v="Fora do porte mínimo (sem fit estrutural)"/>
    <s v="26/02 Fiz FUP com o Anderson e ele possui 3 lojas de roupa e esta fora do perfil."/>
    <s v=""/>
    <x v="0"/>
    <s v="Paulo Souza"/>
    <x v="0"/>
    <s v=""/>
    <m/>
    <n v="30"/>
    <s v=""/>
    <s v="PDV"/>
    <s v=""/>
    <s v=""/>
    <n v="1"/>
  </r>
  <r>
    <x v="0"/>
    <n v="964"/>
    <m/>
    <n v="3294"/>
    <s v="26/02 Fiz FUP com a Leticia ela não pode atender pois estava saindo para buscar o filho na escola, ficamos de falar amanha._x000a_12/03 Apos ligar e não ser atendido estou declinando a aliança."/>
    <s v=""/>
    <x v="470"/>
    <m/>
    <s v=""/>
    <s v="Leticia"/>
    <s v="(62) 99953-7500"/>
    <s v=""/>
    <s v="leticiarsouza1@gmail.com"/>
    <s v=""/>
    <s v=""/>
    <s v=""/>
    <s v="Goiânia"/>
    <s v=""/>
    <s v="Site"/>
    <s v=""/>
    <s v=""/>
    <s v="Dentro Perfil;Fora Perfil;Solicita demo"/>
    <s v="Pipeline de Vendas"/>
    <s v="Qualificação de Vendas (SQL) (25%)"/>
    <s v=""/>
    <d v="2026-02-28T00:00:00"/>
    <m/>
    <m/>
    <n v="16"/>
    <s v="Paulo Souza"/>
    <d v="2026-02-24T00:00:00"/>
    <d v="1899-12-30T09:48:17"/>
    <s v=""/>
    <s v="Perdido"/>
    <d v="2026-03-12T00:00:00"/>
    <d v="1899-12-30T17:30:42"/>
    <s v="Fora do porte mínimo (sem fit estrutural)"/>
    <s v=""/>
    <s v=""/>
    <x v="0"/>
    <s v="Paulo Souza"/>
    <x v="200"/>
    <s v=""/>
    <d v="2026-03-12T00:00:00"/>
    <n v="30"/>
    <s v=""/>
    <s v=""/>
    <s v=""/>
    <s v=""/>
    <n v="1"/>
  </r>
  <r>
    <x v="1"/>
    <n v="965"/>
    <m/>
    <n v="3295"/>
    <s v="(24/02/20260 Tentativa de ligação não atendia ! enviei mensagem a fim de contato com Geaze ! _x000a_em busca sobre a empresa usando IA do Google :_x000a_A Infraloc é uma empresa especializada na locação e venda de móveis corporativos e equipamentos, com forte atuação no setor de construção civil, canteiros de obras e eventos. _x000a_Informações de Contato e Localização_x000a_Endereço: R. José Miranda, 143 - Afogados, Recife - PE._x000a_WhatsApp: (81) 98297-2897._x000a_Site Oficial: infraloc.com.br. _x000a_Principais Produtos e Serviços_x000a_A empresa oferece soluções completas para canteiros, escritórios e refeitórios, incluindo:_x000a_Móveis Corporativos: Mesas de reunião, mesas e cadeiras de escritório, armários roupeiros e estações de trabalho._x000a_Equipamentos: Bebedouros industriais, cafeteiras expressas, impressoras a laser e máquinas para construção._x000a_Estruturas para Eventos: Locação de toldos, mesas e cadeiras de PVC para festas e eventos em gera_x000a_(25/02/2026) cliente trabalha com locação de equipamento , é necessário controle e contrato de locação manutenção (Fora do perfil )"/>
    <s v=""/>
    <x v="471"/>
    <m/>
    <s v=""/>
    <s v="Infraloc"/>
    <s v="81986574539"/>
    <s v=""/>
    <s v="geazemiranda@yahoo.com.br"/>
    <s v=""/>
    <s v=""/>
    <s v=""/>
    <s v=""/>
    <s v=""/>
    <s v="Campanha"/>
    <s v=""/>
    <s v=""/>
    <s v="Fora Perfil;Instagram"/>
    <s v="Pipeline de Vendas"/>
    <s v="Qualificação de Vendas (SQL) (25%)"/>
    <s v=""/>
    <d v="2026-02-28T00:00:00"/>
    <m/>
    <m/>
    <n v="1"/>
    <s v="Paulo Souza"/>
    <d v="2026-02-24T00:00:00"/>
    <d v="1899-12-30T09:49:20"/>
    <s v=""/>
    <s v="Perdido"/>
    <d v="2026-02-25T00:00:00"/>
    <d v="1899-12-30T10:58:00"/>
    <s v="Fora do porte mínimo (sem fit estrutural)"/>
    <s v="(25/02/2026) cliente trabalha com locação de equipamento , é necessário controle e contrato de locação manutenção (Fora do perfil )"/>
    <s v=""/>
    <x v="0"/>
    <s v="Junior Lopes"/>
    <x v="0"/>
    <s v=""/>
    <d v="2026-02-25T00:00:00"/>
    <n v="30"/>
    <s v=""/>
    <s v=""/>
    <s v=""/>
    <s v=""/>
    <n v="1"/>
  </r>
  <r>
    <x v="2"/>
    <n v="966"/>
    <m/>
    <n v="3296"/>
    <s v=""/>
    <s v=""/>
    <x v="472"/>
    <m/>
    <s v=""/>
    <s v="Centrolar"/>
    <s v="62992132212"/>
    <s v=""/>
    <s v="ubiratanrosania@gmail.com"/>
    <s v=""/>
    <s v=""/>
    <s v=""/>
    <s v=""/>
    <s v=""/>
    <s v="Campanha"/>
    <s v=""/>
    <s v=""/>
    <s v="Fora Perfil;Instagram"/>
    <s v="Pipeline de Vendas"/>
    <s v="Agendamento (0%)"/>
    <s v=""/>
    <d v="2026-03-31T00:00:00"/>
    <m/>
    <m/>
    <n v="74"/>
    <s v="Paulo Souza"/>
    <d v="2026-02-24T00:00:00"/>
    <d v="1899-12-30T09:50:49"/>
    <s v=""/>
    <s v="Perdido"/>
    <d v="2026-05-09T00:00:00"/>
    <d v="1899-12-30T21:11:15"/>
    <s v="Sem qualificação — contato não atende ligações nem responde msg"/>
    <s v=""/>
    <s v=""/>
    <x v="0"/>
    <s v="Rayssa Karapeticov"/>
    <x v="0"/>
    <s v=""/>
    <d v="2026-03-09T00:00:00"/>
    <n v="30"/>
    <s v=""/>
    <s v=""/>
    <s v=""/>
    <s v=""/>
    <n v="1"/>
  </r>
  <r>
    <x v="1"/>
    <n v="967"/>
    <m/>
    <n v="3300"/>
    <s v="(24/02/2026) em contato com Daniel _x000a_A empresa Vitta Estrutural está iniciando as operação, sua operação esta focada em recarga de extintores e revenda de produtos através de venda balcão e representante externo ! um ponto especifico é o controle de lote e validade dos extintores informando a data que está vencendo no ambiente do cliente _x000a_Daniel solicitou uma previsão de investimento para seguirmos _x000a_(25/02/2026) enviando previsão de investimento para analise do cliente e viabilidade  _x000a_10:50, 25/02/2026 Junior Lopes: valores na pagina 27 com resumo na pagina 28_x000a_10:53, 25/02/2026 Junior Lopes: perfeito ! ficamos a disposição para apresentação completa da solução_x000a_10:41, 09/03/2026 Junior Lopes: Olá Daniel, bom dia _x000a_Sobre o projeto ERP Guarani ! Vamos da sequência meu amigo?_x000a_10:41, 09/03/2026 Junior Lopes: Olá Daniel, bom dia _x000a_Sobre o projeto ERP Guarani ! Vamos da sequência meu amigo?_x000a_10:42, 09/03/2026 +55 67 9207-9099: Bom dia, agradeço por enquanto.,_x000a_10:45, 09/03/2026 Junior Lopes: Obrigado pelo retorno! Sucesso para vcs"/>
    <s v=""/>
    <x v="473"/>
    <m/>
    <s v=""/>
    <s v="Vitta Estrutural"/>
    <s v="67992079099"/>
    <s v=""/>
    <s v="dgruschel@hotmail.com"/>
    <s v=""/>
    <s v=""/>
    <s v=""/>
    <s v=""/>
    <s v=""/>
    <s v="Campanha"/>
    <s v=""/>
    <s v=""/>
    <s v="30%;Dentro Perfil;Instagram"/>
    <s v="Pipeline de Vendas"/>
    <s v="Apresentar Proposta (50%)"/>
    <s v=""/>
    <d v="2026-03-30T00:00:00"/>
    <n v="758068"/>
    <n v="9596"/>
    <n v="13"/>
    <s v="Paulo Souza"/>
    <d v="2026-02-24T00:00:00"/>
    <d v="1899-12-30T09:52:13"/>
    <s v=""/>
    <s v="Perdido"/>
    <d v="2026-03-09T00:00:00"/>
    <d v="1899-12-30T10:46:44"/>
    <s v="Projeto adiado / sem prazo definido"/>
    <s v="10:41, 09/03/2026 Junior Lopes: Olá Daniel, bom dia _x000a_Sobre o projeto ERP Guarani ! Vamos da sequência meu amigo?_x000a_10:42, 09/03/2026 +55 67 9207-9099: Bom dia, agradeço por enquanto.,_x000a_10:45, 09/03/2026 Junior Lopes: Obrigado pelo retorno! Sucesso para vcs"/>
    <s v=""/>
    <x v="184"/>
    <s v="Junior Lopes"/>
    <x v="199"/>
    <s v=""/>
    <d v="2026-03-09T00:00:00"/>
    <n v="30"/>
    <s v=""/>
    <s v=""/>
    <s v=""/>
    <s v=""/>
    <n v="1"/>
  </r>
  <r>
    <x v="0"/>
    <n v="968"/>
    <m/>
    <n v="3288"/>
    <s v="26/02 Fiz FUP hoje com o Fábio ele não atendeu a ligação, deixei novo recado no Whatasapp."/>
    <s v=""/>
    <x v="474"/>
    <m/>
    <s v=""/>
    <s v="Flávio Storino"/>
    <s v="(19) 99667-2002"/>
    <s v=""/>
    <s v="flaviostorino@gmail.com"/>
    <s v=""/>
    <s v=""/>
    <s v=""/>
    <s v="Porto Ferreira"/>
    <s v=""/>
    <s v="Site"/>
    <s v=""/>
    <s v=""/>
    <s v="Contato"/>
    <s v="Pipeline de Vendas"/>
    <s v="Qualificação de Vendas (SQL) (25%)"/>
    <s v=""/>
    <d v="2026-02-28T00:00:00"/>
    <m/>
    <m/>
    <n v="2"/>
    <s v="Paulo Souza"/>
    <d v="2026-02-24T00:00:00"/>
    <d v="1899-12-30T09:54:16"/>
    <s v=""/>
    <s v="Perdido"/>
    <d v="2026-02-26T00:00:00"/>
    <d v="1899-12-30T18:33:13"/>
    <s v="Fora do porte mínimo (sem fit estrutural)"/>
    <s v=""/>
    <s v=""/>
    <x v="0"/>
    <s v="Paulo Souza"/>
    <x v="0"/>
    <s v=""/>
    <m/>
    <n v="30"/>
    <s v=""/>
    <s v=""/>
    <s v=""/>
    <s v=""/>
    <n v="1"/>
  </r>
  <r>
    <x v="2"/>
    <n v="969"/>
    <m/>
    <n v="3304"/>
    <s v=""/>
    <s v=""/>
    <x v="475"/>
    <n v="64688089000103"/>
    <s v=""/>
    <s v="Lucas"/>
    <s v="(11) 1111-1111"/>
    <s v=""/>
    <s v="contato@lucassecco.com.br"/>
    <s v=""/>
    <s v=""/>
    <s v=""/>
    <s v="ITAJAI"/>
    <s v="SC"/>
    <s v=""/>
    <s v=""/>
    <s v=""/>
    <s v=""/>
    <s v="Pipeline de Vendas"/>
    <s v="Apresentar Proposta (50%)"/>
    <s v=""/>
    <d v="2026-06-30T00:00:00"/>
    <n v="5191686"/>
    <n v="50562"/>
    <n v="16"/>
    <s v="Rayssa Karapeticov"/>
    <d v="2026-02-24T00:00:00"/>
    <d v="1899-12-30T12:41:49"/>
    <s v=""/>
    <s v="Perdido"/>
    <d v="2026-03-12T00:00:00"/>
    <d v="1899-12-30T17:14:44"/>
    <s v="Preço muito alto - fora do budget de investimento"/>
    <s v=""/>
    <s v=""/>
    <x v="189"/>
    <s v="Rayssa Karapeticov"/>
    <x v="207"/>
    <s v=""/>
    <d v="2026-03-12T00:00:00"/>
    <n v="30"/>
    <s v=""/>
    <s v="ERP, AFV"/>
    <s v=""/>
    <s v=""/>
    <n v="1"/>
  </r>
  <r>
    <x v="2"/>
    <n v="971"/>
    <m/>
    <n v="3303"/>
    <s v=""/>
    <s v=""/>
    <x v="476"/>
    <n v="1397620000179"/>
    <s v=""/>
    <s v="Sunred confecções"/>
    <s v="37988006012"/>
    <s v=""/>
    <s v="atendimento@sunred.com.br"/>
    <s v=""/>
    <s v=""/>
    <s v=""/>
    <s v=""/>
    <s v=""/>
    <s v="Campanha"/>
    <s v=""/>
    <s v=""/>
    <s v="Fora Perfil;Instagram"/>
    <s v="Pipeline de Vendas"/>
    <s v="Agendamento (0%)"/>
    <s v=""/>
    <d v="2026-02-28T00:00:00"/>
    <m/>
    <m/>
    <n v="73"/>
    <s v="Paulo Souza"/>
    <d v="2026-02-25T00:00:00"/>
    <d v="1899-12-30T15:32:36"/>
    <s v=""/>
    <s v="Perdido"/>
    <d v="2026-05-09T00:00:00"/>
    <d v="1899-12-30T08:49:28"/>
    <s v="Fora do segmento atendido"/>
    <s v=""/>
    <s v=""/>
    <x v="0"/>
    <s v="Rayssa Karapeticov"/>
    <x v="0"/>
    <s v=""/>
    <m/>
    <n v="27"/>
    <s v=""/>
    <s v=""/>
    <s v=""/>
    <s v=""/>
    <n v="1"/>
  </r>
  <r>
    <x v="1"/>
    <n v="972"/>
    <m/>
    <n v="3305"/>
    <s v="25/02/2026) em contato com Rogério _x000a_aoós tentativa de ligação nos falamos via WhatsApp conforme abaixo : _x000a_15:40, 25/02/2026 Junior Lopes: Olá Rogério , boa tarde_x000a_15:40, 25/02/2026 Junior Lopes: Sou Junior Lopes da Guarani sistemas! Td bem ?_x000a_15:40, 25/02/2026 Teodoro Cosmeticos: Boa tarde Júnior_x000a_15:41, 25/02/2026 Teodoro Cosmeticos: Bem graças a Deus_x000a_15:41, 25/02/2026 Junior Lopes: Que bom_x000a_15:41, 25/02/2026 Junior Lopes: Estou retornando um contato que vc fez conosco, relacionado ao nosso software_x000a_através de um áudio pedi para me falar um pouco mais sonbre sua empresa e dores _x000a_(25/02/2026) Agenda de apresentação AFV _x000a_(12/03/2026) Rogério achou investimento alto para o momento  atual"/>
    <s v=""/>
    <x v="477"/>
    <n v="51119265000144"/>
    <s v=""/>
    <s v="Teodoro cosméticos"/>
    <s v="(14) 3541-6311"/>
    <s v=""/>
    <s v="agilassessoriacontabil@otmail.com"/>
    <s v=""/>
    <s v=""/>
    <s v=""/>
    <s v="PROMISSAO"/>
    <s v="SP"/>
    <s v="Campanha"/>
    <s v=""/>
    <s v=""/>
    <s v="Dentro Perfil;Instagram"/>
    <s v="Pipeline de Vendas"/>
    <s v="Apresentar Proposta (50%)"/>
    <s v=""/>
    <d v="2026-02-25T00:00:00"/>
    <n v="5842744"/>
    <n v="145888"/>
    <n v="15"/>
    <s v="Paulo Souza"/>
    <d v="2026-02-25T00:00:00"/>
    <d v="1899-12-30T15:33:31"/>
    <s v=""/>
    <s v="Perdido"/>
    <d v="2026-03-12T00:00:00"/>
    <d v="1899-12-30T10:52:05"/>
    <s v="Não houve aprovação financeira"/>
    <s v="(12/03/2026) Rogério achou investimento alto para o momento  atual"/>
    <s v=""/>
    <x v="190"/>
    <s v="Junior Lopes"/>
    <x v="200"/>
    <s v=""/>
    <d v="2026-03-12T00:00:00"/>
    <n v="30"/>
    <s v=""/>
    <s v=""/>
    <s v=""/>
    <s v=""/>
    <n v="1"/>
  </r>
  <r>
    <x v="1"/>
    <n v="973"/>
    <m/>
    <n v="3309"/>
    <s v="(26/02/2026) Tentativa de ligação não atendida _x000a_09:13, 26/02/2026 Junior Lopes: Olá Junior, bom dia_x000a_09:13, 26/02/2026 Junior Lopes: aqui é Junior Lopes da Guarani sistemas, tudo bem ?_x000a_09:14, 26/02/2026 Junior Lopes: estou retornando um contato que você fez relacionado ao sistema Guarani_x000a_(26/02/2026) cliente não retorna aos contatos ! em breve pesquisa sobre a Revisão autopeças identifiquei que loja balcão ficando fora do perfil _x000a_estou declinando"/>
    <s v=""/>
    <x v="478"/>
    <n v="13994329000167"/>
    <s v=""/>
    <s v="Revisao Autopeças"/>
    <s v="(31) 8705-9607"/>
    <s v=""/>
    <s v="pratesctb@gmail.com"/>
    <s v=""/>
    <s v=""/>
    <s v=""/>
    <s v="CONTAGEM"/>
    <s v="MG"/>
    <s v="Inbound"/>
    <s v=""/>
    <s v=""/>
    <s v="Fora Perfil;Instagram"/>
    <s v="Pipeline de Vendas"/>
    <s v="Qualificação de Vendas (SQL) (25%)"/>
    <s v=""/>
    <d v="2026-02-28T00:00:00"/>
    <m/>
    <m/>
    <n v="1"/>
    <s v="Paulo Souza"/>
    <d v="2026-02-25T00:00:00"/>
    <d v="1899-12-30T21:31:37"/>
    <s v=""/>
    <s v="Perdido"/>
    <d v="2026-02-26T00:00:00"/>
    <d v="1899-12-30T23:08:09"/>
    <s v="Fora do porte mínimo (sem fit estrutural)"/>
    <s v=""/>
    <s v=""/>
    <x v="0"/>
    <s v="Junior Lopes"/>
    <x v="0"/>
    <s v=""/>
    <m/>
    <n v="30"/>
    <s v=""/>
    <s v=""/>
    <s v=""/>
    <s v=""/>
    <n v="1"/>
  </r>
  <r>
    <x v="2"/>
    <n v="974"/>
    <m/>
    <n v="3312"/>
    <s v=""/>
    <s v=""/>
    <x v="479"/>
    <m/>
    <s v=""/>
    <s v="Jlj transportes e locações"/>
    <s v="3196677652"/>
    <s v=""/>
    <s v="jairocesar@jllcomserv.com.br"/>
    <s v=""/>
    <s v=""/>
    <s v=""/>
    <s v=""/>
    <s v=""/>
    <s v="Campanha"/>
    <s v=""/>
    <s v=""/>
    <s v="Fora Perfil;Instagram"/>
    <s v="Pipeline de Vendas"/>
    <s v="Agendamento (0%)"/>
    <s v=""/>
    <d v="2026-05-31T00:00:00"/>
    <m/>
    <m/>
    <n v="72"/>
    <s v="Paulo Souza"/>
    <d v="2026-02-26T00:00:00"/>
    <d v="1899-12-30T09:29:58"/>
    <s v=""/>
    <s v="Perdido"/>
    <d v="2026-05-09T00:00:00"/>
    <d v="1899-12-30T08:49:59"/>
    <s v="Fora do segmento atendido"/>
    <s v=""/>
    <s v=""/>
    <x v="0"/>
    <s v="Rayssa Karapeticov"/>
    <x v="0"/>
    <s v=""/>
    <d v="2026-03-03T00:00:00"/>
    <n v="30"/>
    <s v=""/>
    <s v=""/>
    <s v=""/>
    <s v=""/>
    <n v="1"/>
  </r>
  <r>
    <x v="0"/>
    <n v="976"/>
    <m/>
    <n v="3314"/>
    <s v="26/02 Fiz Fiz FUP hoje com o Matheus e agendamos uma apresentação para quinta-feira dia 05/03 às 15h._x000a_05/03 Fiz FUP com o Matheus e hoje temos uma apresentação as 15h par afalar de sistema. Ele tem uma distribuidora de alimentação animal. _x000a_Tem 7 vendedores. já ancorei 50k de investimento_x000a_12/03 Fiz FUP hoje com o Matheus para saber se ele tem interesse em seguir _x000a_20/03 Fiz contato com o Matues muitas vezes sem retorno e por falta de comunicação estou encerrado a oportunidade."/>
    <s v=""/>
    <x v="480"/>
    <n v="22228036000160"/>
    <s v=""/>
    <s v="Matheus"/>
    <s v="(15) 3553-1307 / (15) 3553-1308"/>
    <s v=""/>
    <s v="matheusmarmodossantoslima@gmail.com"/>
    <s v=""/>
    <s v=""/>
    <s v=""/>
    <s v="RIBEIRAO BRANCO"/>
    <s v="SP"/>
    <s v="Site"/>
    <s v=""/>
    <s v=""/>
    <s v="Dentro Perfil;Solicita demo"/>
    <s v="Pipeline de Vendas"/>
    <s v="Apresentar Proposta (50%)"/>
    <s v=""/>
    <d v="2026-03-31T00:00:00"/>
    <m/>
    <m/>
    <n v="22"/>
    <s v="Paulo Souza"/>
    <d v="2026-02-26T00:00:00"/>
    <d v="1899-12-30T15:46:38"/>
    <s v=""/>
    <s v="Perdido"/>
    <d v="2026-03-20T00:00:00"/>
    <d v="1899-12-30T17:21:26"/>
    <s v="Projeto adiado / sem prazo definido"/>
    <s v=""/>
    <s v=""/>
    <x v="168"/>
    <s v="Paulo Souza"/>
    <x v="182"/>
    <s v=""/>
    <d v="2026-03-20T00:00:00"/>
    <n v="32"/>
    <s v=""/>
    <s v="ERP, AFV"/>
    <s v=""/>
    <s v=""/>
    <n v="1"/>
  </r>
  <r>
    <x v="0"/>
    <n v="977"/>
    <m/>
    <n v="3318"/>
    <s v="10/03 uilian me retornou avisou que vai manter a Mercos , devido a urgência que precisa referente a abertura da unidade São Paulo. Após essa necessidade ser atendida voltaremos a falar!"/>
    <s v=""/>
    <x v="481"/>
    <n v="82270893000150"/>
    <s v=""/>
    <s v="uilian"/>
    <s v="(44) 3045-3700"/>
    <s v=""/>
    <s v="uilian.gurjon@prats.com.br"/>
    <s v=""/>
    <s v=""/>
    <s v=""/>
    <s v="PARANAVAI"/>
    <s v="PR"/>
    <s v=""/>
    <s v=""/>
    <s v=""/>
    <s v=""/>
    <s v="Pipeline de Vendas"/>
    <s v="Em Fechamento (100%)"/>
    <s v=""/>
    <d v="2026-02-28T00:00:00"/>
    <n v="35870"/>
    <n v="5290"/>
    <n v="12"/>
    <s v="Paulo Souza"/>
    <d v="2026-02-26T00:00:00"/>
    <d v="1899-12-30T15:48:32"/>
    <s v=""/>
    <s v="Perdido"/>
    <d v="2026-03-10T00:00:00"/>
    <d v="1899-12-30T11:44:09"/>
    <s v="Não quer mudar a solução atual"/>
    <s v=""/>
    <s v=""/>
    <x v="168"/>
    <s v="Paulo Souza"/>
    <x v="199"/>
    <s v=""/>
    <m/>
    <n v="30"/>
    <s v="100"/>
    <s v="AFV"/>
    <s v=""/>
    <s v=""/>
    <n v="1"/>
  </r>
  <r>
    <x v="1"/>
    <n v="978"/>
    <m/>
    <n v="3323"/>
    <s v="(12/03/2026) Rogério achou investimento alto para o momento  atual"/>
    <s v=""/>
    <x v="482"/>
    <m/>
    <s v=""/>
    <s v="Teodoro cosméticos - AFV"/>
    <s v="1435416311"/>
    <s v=""/>
    <s v="agilassessoriacontabil@otmail.com"/>
    <s v=""/>
    <s v=""/>
    <s v=""/>
    <s v=""/>
    <s v=""/>
    <s v=""/>
    <s v=""/>
    <s v=""/>
    <s v=""/>
    <s v="Pipeline de Vendas"/>
    <s v="Apresentar Proposta (50%)"/>
    <s v=""/>
    <m/>
    <n v="1105989"/>
    <n v="29463"/>
    <n v="14"/>
    <s v="Junior Lopes"/>
    <d v="2026-02-26T00:00:00"/>
    <d v="1899-12-30T17:20:40"/>
    <s v=""/>
    <s v="Perdido"/>
    <d v="2026-03-12T00:00:00"/>
    <d v="1899-12-30T10:53:12"/>
    <s v="Não houve aprovação financeira"/>
    <s v="(12/03/2026) Rogério achou investimento alto para o momento  atual"/>
    <s v=""/>
    <x v="190"/>
    <s v=""/>
    <x v="200"/>
    <s v=""/>
    <d v="2026-03-13T00:00:00"/>
    <n v="30"/>
    <s v=""/>
    <s v=""/>
    <s v=""/>
    <s v=""/>
    <n v="1"/>
  </r>
  <r>
    <x v="1"/>
    <n v="979"/>
    <m/>
    <n v="3324"/>
    <s v="(12/03/2026) Rogério achou investimento alto para o momento  atual"/>
    <s v=""/>
    <x v="483"/>
    <m/>
    <s v=""/>
    <s v="Teodoro cosméticos - Cloud"/>
    <s v="1435416311"/>
    <s v=""/>
    <s v="agilassessoriacontabil@otmail.com"/>
    <s v=""/>
    <s v=""/>
    <s v=""/>
    <s v=""/>
    <s v=""/>
    <s v=""/>
    <s v=""/>
    <s v=""/>
    <s v=""/>
    <s v="Pipeline de Vendas"/>
    <s v="Apresentar Proposta (50%)"/>
    <s v=""/>
    <m/>
    <n v="1600"/>
    <n v="252471"/>
    <n v="14"/>
    <s v="Junior Lopes"/>
    <d v="2026-02-26T00:00:00"/>
    <d v="1899-12-30T17:35:15"/>
    <s v=""/>
    <s v="Perdido"/>
    <d v="2026-03-12T00:00:00"/>
    <d v="1899-12-30T10:50:51"/>
    <s v="Não houve aprovação financeira"/>
    <s v="(12/03/2026) Rogério achou investimento alto para o momento  atual"/>
    <s v="12/03/2026"/>
    <x v="190"/>
    <s v=""/>
    <x v="0"/>
    <s v=""/>
    <m/>
    <n v="30"/>
    <s v=""/>
    <s v=""/>
    <s v=""/>
    <s v=""/>
    <n v="1"/>
  </r>
  <r>
    <x v="0"/>
    <n v="980"/>
    <m/>
    <n v="3325"/>
    <s v=""/>
    <s v=""/>
    <x v="484"/>
    <n v="23059521000110"/>
    <s v=""/>
    <s v="Cristiana"/>
    <s v="(49) 3665-3004"/>
    <s v=""/>
    <s v=""/>
    <s v=""/>
    <s v=""/>
    <s v=""/>
    <s v="IRACEMINHA"/>
    <s v="SC"/>
    <s v=""/>
    <s v=""/>
    <s v=""/>
    <s v=""/>
    <s v="Pipeline de Vendas"/>
    <s v="Em Fechamento (100%)"/>
    <s v=""/>
    <d v="2026-02-28T00:00:00"/>
    <n v="7470289"/>
    <n v="1221612"/>
    <n v="0"/>
    <s v="Paulo Souza"/>
    <d v="2026-02-26T00:00:00"/>
    <d v="1899-12-30T21:58:14"/>
    <s v=""/>
    <s v="Ganho"/>
    <d v="2026-02-26T00:00:00"/>
    <d v="1899-12-30T22:03:35"/>
    <s v=""/>
    <s v=""/>
    <s v=""/>
    <x v="190"/>
    <s v="Paulo Souza"/>
    <x v="208"/>
    <s v=""/>
    <m/>
    <n v="90"/>
    <s v=""/>
    <s v="ERP, AFV, ADICIONAIS, BI"/>
    <s v="R$ 74.702,90"/>
    <s v="R$ 12.216,08"/>
    <n v="1"/>
  </r>
  <r>
    <x v="1"/>
    <n v="981"/>
    <m/>
    <n v="3328"/>
    <s v=""/>
    <s v=""/>
    <x v="485"/>
    <m/>
    <s v=""/>
    <s v="Encartelados Nina - Cloud"/>
    <s v="4733683065"/>
    <s v=""/>
    <s v="ninaencartelados@gmail.com"/>
    <s v=""/>
    <s v=""/>
    <s v=""/>
    <s v=""/>
    <s v=""/>
    <s v=""/>
    <s v=""/>
    <s v=""/>
    <s v=""/>
    <s v="Pipeline de Vendas"/>
    <s v="Apresentar Proposta (50%)"/>
    <s v=""/>
    <m/>
    <n v="0"/>
    <n v="1900"/>
    <n v="76"/>
    <s v="Junior Lopes"/>
    <d v="2026-02-27T00:00:00"/>
    <d v="1899-12-30T10:58:33"/>
    <s v=""/>
    <s v="Perdido"/>
    <d v="2026-05-14T00:00:00"/>
    <d v="1899-12-30T14:49:37"/>
    <s v="Não houve aprovação financeira"/>
    <s v="14/05/2026 : _x000a_09:02, 13/05/2026 Fabio Oliveira Nina Enc: Consegui sim, teu sistema é maravilhoso, muito bom mesmo _x000a_porem eu passei pro pessoal aqui, e no momento, nosso faturamaento nao condiz com o investimento a ser feito_x000a_09:03, 13/05/2026 Fabio Oliveira Nina Enc: espero que logo possamos mudar isso_x000a_09:05, 13/05/2026 Junior Lopes: Entendo Fábio ! _x000a_ O que está pegando mais na proposta ? O projeto ou as mensalidades?_x000a_09:08, 13/05/2026 Fabio Oliveira Nina Enc: na verdade é um pouco dos dois, hj nosso sistema nos custa 6 mil por ano, claro que ele nao tem a mesma eficiencia do seu, mas para a quantidade de vendas nossa, no atual momento ele nos atende bem_x000a_09:21, 13/05/2026 Junior Lopes: Entendo ! Gostaria de pensar aí e nos fazer uma contra proposta ?_x000a_09:22, 13/05/2026 Fabio Oliveira Nina Enc: no momento vamos deixar em off_x000a_09:22, 13/05/2026 Fabio Oliveira Nina Enc: obrigado pela atençao_x000a_09:28, 13/05/2026 Junior Lopes: Ta joia meu amigo_x000a_09:29, 13/05/2026 Junior Lopes: Ficamos a disposição! Tenho certeza que podemos ajudar muito no crescimento da Nina encartelados _x000a_Um abraço_x000a_09:29, 13/05/2026 Fabio Oliveira Nina Enc: abraço"/>
    <s v=""/>
    <x v="182"/>
    <s v=""/>
    <x v="198"/>
    <s v="05/05/2026"/>
    <d v="2026-05-14T00:00:00"/>
    <n v="30"/>
    <s v=""/>
    <s v=""/>
    <s v=""/>
    <s v=""/>
    <n v="1"/>
  </r>
  <r>
    <x v="1"/>
    <n v="982"/>
    <m/>
    <n v="3329"/>
    <s v=""/>
    <s v=""/>
    <x v="486"/>
    <m/>
    <s v=""/>
    <s v="Atavadão das Tripas - Cloud"/>
    <s v="14998549863"/>
    <s v=""/>
    <s v="kayocalil@hotmail.com"/>
    <s v=""/>
    <s v=""/>
    <s v=""/>
    <s v=""/>
    <s v=""/>
    <s v=""/>
    <s v=""/>
    <s v=""/>
    <s v=""/>
    <s v="Pipeline de Vendas"/>
    <s v="Em negociação (75%)"/>
    <s v=""/>
    <m/>
    <n v="1600"/>
    <n v="252471"/>
    <n v="56"/>
    <s v="Junior Lopes"/>
    <d v="2026-02-27T00:00:00"/>
    <d v="1899-12-30T12:19:18"/>
    <s v=""/>
    <s v="Perdido"/>
    <d v="2026-04-24T00:00:00"/>
    <d v="1899-12-30T09:13:40"/>
    <s v="Não houve aprovação financeira"/>
    <s v="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
    <s v=""/>
    <x v="191"/>
    <s v=""/>
    <x v="196"/>
    <s v="19/02/2026"/>
    <m/>
    <n v="30"/>
    <s v=""/>
    <s v=""/>
    <s v=""/>
    <s v=""/>
    <n v="1"/>
  </r>
  <r>
    <x v="1"/>
    <n v="983"/>
    <m/>
    <n v="3330"/>
    <s v=""/>
    <s v=""/>
    <x v="487"/>
    <m/>
    <s v=""/>
    <s v="Clean tech - Cloud"/>
    <s v="11915642482"/>
    <s v=""/>
    <s v="null"/>
    <s v=""/>
    <s v=""/>
    <s v=""/>
    <s v=""/>
    <s v=""/>
    <s v=""/>
    <s v=""/>
    <s v=""/>
    <s v=""/>
    <s v="Pipeline de Vendas"/>
    <s v="Em Fechamento (100%)"/>
    <s v=""/>
    <m/>
    <n v="0"/>
    <n v="384454"/>
    <n v="33"/>
    <s v="Junior Lopes"/>
    <d v="2026-02-27T00:00:00"/>
    <d v="1899-12-30T13:04:33"/>
    <s v=""/>
    <s v="Ganho"/>
    <d v="2026-04-01T00:00:00"/>
    <d v="1899-12-30T10:40:31"/>
    <s v=""/>
    <s v=""/>
    <s v=""/>
    <x v="183"/>
    <s v=""/>
    <x v="0"/>
    <s v=""/>
    <m/>
    <n v="30"/>
    <s v=""/>
    <s v=""/>
    <s v=""/>
    <s v=""/>
    <n v="1"/>
  </r>
  <r>
    <x v="1"/>
    <n v="984"/>
    <m/>
    <n v="3331"/>
    <s v=""/>
    <s v=""/>
    <x v="488"/>
    <m/>
    <s v=""/>
    <s v="StarTools - Cloud"/>
    <s v="1184724282"/>
    <s v=""/>
    <s v="controladoria@startoolsferramentas.com.br"/>
    <s v=""/>
    <s v=""/>
    <s v=""/>
    <s v=""/>
    <s v=""/>
    <s v=""/>
    <s v=""/>
    <s v=""/>
    <s v=""/>
    <s v="Pipeline de Vendas"/>
    <s v="Apresentar Solução (35%)"/>
    <s v=""/>
    <m/>
    <n v="0"/>
    <n v="0"/>
    <n v="82"/>
    <s v="Junior Lopes"/>
    <d v="2026-02-27T00:00:00"/>
    <d v="1899-12-30T13:09:06"/>
    <s v=""/>
    <s v="Ativo"/>
    <m/>
    <m/>
    <s v=""/>
    <s v=""/>
    <s v=""/>
    <x v="0"/>
    <s v=""/>
    <x v="209"/>
    <s v=""/>
    <d v="2026-04-29T00:00:00"/>
    <n v="30"/>
    <s v=""/>
    <s v=""/>
    <s v=""/>
    <s v=""/>
    <n v="1"/>
  </r>
  <r>
    <x v="0"/>
    <n v="985"/>
    <m/>
    <n v="3332"/>
    <s v="27/02 Fiz apresentação do sistema e proposta para o cliente._x000a_12/03 Fiz FUP hoje com Pamela para saber se seguiremos ou não._x000a_20/03 Cobrando a Pamela para fazer o fechamento do projeto."/>
    <s v=""/>
    <x v="489"/>
    <m/>
    <s v=""/>
    <s v="Pamela"/>
    <s v="4699841338"/>
    <s v=""/>
    <s v="importacao.azul@hotmail.com"/>
    <s v=""/>
    <s v=""/>
    <s v=""/>
    <s v=""/>
    <s v=""/>
    <s v=""/>
    <s v=""/>
    <s v=""/>
    <s v=""/>
    <s v="Pipeline de Vendas"/>
    <s v="Em Fechamento (100%)"/>
    <s v=""/>
    <d v="2026-03-31T00:00:00"/>
    <n v="5007058"/>
    <n v="268966"/>
    <n v="42"/>
    <s v="Paulo Souza"/>
    <d v="2026-02-27T00:00:00"/>
    <d v="1899-12-30T14:36:39"/>
    <s v=""/>
    <s v="Perdido"/>
    <d v="2026-04-10T00:00:00"/>
    <d v="1899-12-30T16:01:47"/>
    <s v="Não quer mudar a solução atual"/>
    <s v=""/>
    <s v=""/>
    <x v="168"/>
    <s v="Paulo Souza"/>
    <x v="182"/>
    <s v=""/>
    <d v="2026-03-12T00:00:00"/>
    <n v="30"/>
    <s v="280"/>
    <s v="ERP, AFV"/>
    <s v=""/>
    <s v=""/>
    <n v="1"/>
  </r>
  <r>
    <x v="0"/>
    <n v="987"/>
    <m/>
    <n v="3334"/>
    <s v="26/02 Fiz FUP e agendei uma apresentação._x000a_20/03 Buscando nova agenda com o Alexandre para o dia 27/03."/>
    <s v=""/>
    <x v="490"/>
    <n v="7730144000142"/>
    <s v=""/>
    <s v="Breno"/>
    <s v="11994558029"/>
    <s v=""/>
    <s v="suporte.ti@kopermax.com.br"/>
    <s v=""/>
    <s v=""/>
    <s v=""/>
    <s v=""/>
    <s v=""/>
    <s v=""/>
    <s v=""/>
    <s v=""/>
    <s v=""/>
    <s v="Pipeline de Vendas"/>
    <s v="Em negociação (75%)"/>
    <s v=""/>
    <d v="2026-03-31T00:00:00"/>
    <n v="29800"/>
    <n v="4600"/>
    <n v="80"/>
    <s v="Paulo Souza"/>
    <d v="2026-02-27T00:00:00"/>
    <d v="1899-12-30T21:24:36"/>
    <s v=""/>
    <s v="Perdido"/>
    <d v="2026-05-18T00:00:00"/>
    <d v="1899-12-30T16:54:32"/>
    <s v="Projeto adiado / sem prazo definido"/>
    <s v=""/>
    <s v=""/>
    <x v="101"/>
    <s v="Paulo Souza"/>
    <x v="210"/>
    <s v=""/>
    <d v="2026-03-20T00:00:00"/>
    <n v="30"/>
    <s v=""/>
    <s v="AFV"/>
    <s v=""/>
    <s v=""/>
    <n v="1"/>
  </r>
  <r>
    <x v="2"/>
    <n v="990"/>
    <m/>
    <n v="3335"/>
    <s v="19.03 Entrei em contato com a Karen, apresentação agendada para quarta as 9:30 _x000a_31.03 não tenho consultor disponivel para seguir com uma agenda com o cliente_x000a_07.04 - não tenho consultor disponivel para seguir com uma agenda com o cliente"/>
    <s v=""/>
    <x v="491"/>
    <n v="15497764000616"/>
    <s v=""/>
    <s v="KAREN STANGE"/>
    <s v="(42) 3025-6309"/>
    <s v=""/>
    <s v="karen.stang@hotmail.com"/>
    <s v=""/>
    <s v=""/>
    <s v=""/>
    <s v="MAFRA"/>
    <s v="SC"/>
    <s v="Site"/>
    <s v=""/>
    <s v=""/>
    <s v="Dentro Perfil;Solicita demo"/>
    <s v="Pipeline de Vendas"/>
    <s v="Apresentar Solução (35%)"/>
    <s v=""/>
    <d v="2026-06-30T00:00:00"/>
    <m/>
    <m/>
    <n v="35"/>
    <s v="Paulo Souza"/>
    <d v="2026-03-03T00:00:00"/>
    <d v="1899-12-30T21:22:22"/>
    <s v=""/>
    <s v="Perdido"/>
    <d v="2026-04-07T00:00:00"/>
    <d v="1899-12-30T10:59:30"/>
    <s v="Projeto adiado / sem prazo definido"/>
    <s v=""/>
    <s v=""/>
    <x v="0"/>
    <s v="Rayssa Karapeticov"/>
    <x v="0"/>
    <s v=""/>
    <d v="2026-04-07T00:00:00"/>
    <n v="30"/>
    <s v=""/>
    <s v="ERP"/>
    <s v=""/>
    <s v=""/>
    <n v="1"/>
  </r>
  <r>
    <x v="1"/>
    <n v="991"/>
    <m/>
    <n v="3339"/>
    <s v="17:05, 04/03/2026 Junior Lopes: Olá Marcelo ! Boa tarde_x000a_17:05, 04/03/2026 Junior Lopes: Junior da Guarani sistemas por aqui , Td bem ?_x000a_17:07, 04/03/2026 Junior Lopes: Estou retornando um contato que vc fez conosco ! Qual melhor horário para falarmos ?_x000a_17:14, 04/03/2026 Marcelo Plug Lar: opa blz._x000a_17:14, 04/03/2026 Marcelo Plug Lar: joia junior_x000a_17:15, 04/03/2026 Junior Lopes: Td joia Marcelo_x000a_17:18, 04/03/2026 Marcelo Plug Lar: eu queria conhecer + sobre o sistema de vocês._x000a_17:18, 04/03/2026 Marcelo Plug Lar: eu procuro algo básico_x000a_(09/03/2026) Buscando contato com Marcelo a fim de darmos sequencia _x000a_(09/03/2026) Marcelo busca um software mais simples e com custo menor!"/>
    <s v=""/>
    <x v="492"/>
    <n v="5137778000160"/>
    <s v=""/>
    <s v="Marcelo Camargo"/>
    <s v="(19) 99623-4303"/>
    <s v=""/>
    <s v="marcelo@pluglar.com.br"/>
    <s v=""/>
    <s v=""/>
    <s v=""/>
    <s v="Rio Claro"/>
    <s v=""/>
    <s v="Site"/>
    <s v=""/>
    <s v=""/>
    <s v="Dentro Perfil;Solicita demo"/>
    <s v="Pipeline de Vendas"/>
    <s v="Apresentar Solução (35%)"/>
    <s v=""/>
    <d v="2026-03-31T00:00:00"/>
    <n v="1104172"/>
    <n v="656776"/>
    <n v="20"/>
    <s v="Paulo Souza"/>
    <d v="2026-03-04T00:00:00"/>
    <d v="1899-12-30T16:37:48"/>
    <s v=""/>
    <s v="Perdido"/>
    <d v="2026-03-24T00:00:00"/>
    <d v="1899-12-30T15:30:09"/>
    <s v="Não houve aprovação financeira"/>
    <s v="(09/03/2026) Marcelo busca um software mais simples e com custo menor!"/>
    <s v=""/>
    <x v="192"/>
    <s v="Junior Lopes"/>
    <x v="188"/>
    <s v=""/>
    <d v="2026-03-09T00:00:00"/>
    <n v="30"/>
    <s v=""/>
    <s v="B2B"/>
    <s v=""/>
    <s v=""/>
    <n v="1"/>
  </r>
  <r>
    <x v="0"/>
    <n v="993"/>
    <m/>
    <n v="3342"/>
    <s v="11/03 Foi feito a apresentação hoje do institucional e Guarani AFV._x000a_Resumo:_x000a_Produtos : ERP + AFV + Televendas + MDe _x000a_Opcionais: Comex, Cloud, CRM , B2B, HUB_x000a_Próximo passos: enviar uma proposta._x000a_20/03 Fiz contato com o Ericson para saber se vamos seguir ou não."/>
    <s v=""/>
    <x v="493"/>
    <n v="43191819000196"/>
    <s v=""/>
    <s v="Ericson"/>
    <s v="(43) 3056-3780"/>
    <s v=""/>
    <s v="escritorio@damiaoefilhos.com.br"/>
    <s v=""/>
    <s v=""/>
    <s v=""/>
    <s v="ARAPONGAS"/>
    <s v="PR"/>
    <s v=""/>
    <s v=""/>
    <s v=""/>
    <s v=""/>
    <s v="Pipeline de Vendas"/>
    <s v="Em negociação (75%)"/>
    <s v=""/>
    <d v="2026-03-31T00:00:00"/>
    <n v="895843"/>
    <n v="395308"/>
    <n v="36"/>
    <s v="Paulo Souza"/>
    <d v="2026-03-05T00:00:00"/>
    <d v="1899-12-30T08:51:53"/>
    <s v=""/>
    <s v="Perdido"/>
    <d v="2026-04-10T00:00:00"/>
    <d v="1899-12-30T17:25:45"/>
    <s v="Preço muito alto - fora do budget de investimento"/>
    <s v=""/>
    <s v=""/>
    <x v="187"/>
    <s v="Paulo Souza"/>
    <x v="211"/>
    <s v=""/>
    <d v="2026-03-20T00:00:00"/>
    <n v="30"/>
    <s v=""/>
    <s v="ERP, AFV, ADICIONAIS"/>
    <s v=""/>
    <s v=""/>
    <n v="1"/>
  </r>
  <r>
    <x v="2"/>
    <n v="994"/>
    <m/>
    <n v="3347"/>
    <s v="24.03 cliente enviou um documento de aderencia, porém a MArilia pediu uma reunião para falar sobre o documento e funcionalidades_x000a_15.04 Ficou fora da empresa esses 15 dias, acredita que hoje consegue avaliar todo material que mandei, retornar o contato na segunda"/>
    <s v="Industria E Comercio Jolitex Ltda"/>
    <x v="494"/>
    <n v="61808531000523"/>
    <s v=""/>
    <s v="Industria E Comercio Jolitex Ltda"/>
    <s v="(11) 3254-7100"/>
    <s v=""/>
    <s v="atendimento@jolitex.com"/>
    <s v=""/>
    <s v=""/>
    <s v=""/>
    <s v="SAO PAULO"/>
    <s v="SP"/>
    <s v="Base de empresas Leads2b"/>
    <s v=""/>
    <s v=""/>
    <s v=""/>
    <s v="Pipeline de Vendas"/>
    <s v="Apresentar Proposta (50%)"/>
    <s v=""/>
    <d v="2026-04-30T00:00:00"/>
    <m/>
    <m/>
    <n v="76"/>
    <s v="Rayssa Karapeticov"/>
    <d v="2026-03-05T00:00:00"/>
    <d v="1899-12-30T17:24:09"/>
    <s v=""/>
    <s v="Ativo"/>
    <m/>
    <m/>
    <s v=""/>
    <s v=""/>
    <s v=""/>
    <x v="0"/>
    <s v="Rayssa Karapeticov"/>
    <x v="195"/>
    <s v="12/03/2026"/>
    <d v="2026-04-23T00:00:00"/>
    <n v="30"/>
    <s v=""/>
    <s v="AFV"/>
    <s v=""/>
    <s v=""/>
    <n v="1"/>
  </r>
  <r>
    <x v="1"/>
    <n v="995"/>
    <m/>
    <n v="3348"/>
    <s v="16:28, 06/03/2026 Valdinei vaeso: Entendi mas esta fora do que pretendo investir_x000a_16:28, 06/03/2026 Valdinei vaeso: Te agradeço_x000a_16:46, 06/03/2026 Junior Lopes: Qual é a sua ideia de investimento?_x000a_16:47, 06/03/2026 Valdinei vaeso: Não vou nem fazer proposta porque a proposta veio com valores altos de implementação e mentoria_x000a_16:47, 06/03/2026 Valdinei vaeso: Sistema parece intuitivo_x000a_16:47, 06/03/2026 Valdinei vaeso: E vi ontem e gostei_x000a_16:47, 06/03/2026 Valdinei vaeso: Preciso de força de vendas_x000a_16:56, 06/03/2026 Valdinei vaeso: Ok"/>
    <s v="Vaeso Comercial Ltda"/>
    <x v="495"/>
    <n v="58092341000114"/>
    <s v=""/>
    <s v="Vaeso Comercial Ltda"/>
    <s v="(47) 9946-6330"/>
    <s v=""/>
    <s v="administrativo@qscontabilidade.com.br"/>
    <s v=""/>
    <s v=""/>
    <s v=""/>
    <s v="JOINVILLE"/>
    <s v="SC"/>
    <s v="Base de empresas Leads2b"/>
    <s v=""/>
    <s v=""/>
    <s v=""/>
    <s v="Pipeline de Vendas"/>
    <s v="Apresentar Proposta (50%)"/>
    <s v=""/>
    <m/>
    <n v="686343"/>
    <n v="36781"/>
    <n v="3"/>
    <s v="Junior Lopes"/>
    <d v="2026-03-06T00:00:00"/>
    <d v="1899-12-30T12:33:31"/>
    <s v=""/>
    <s v="Perdido"/>
    <d v="2026-03-09T00:00:00"/>
    <d v="1899-12-30T09:35:35"/>
    <s v="Não houve aprovação financeira"/>
    <s v="16:28, 06/03/2026 Valdinei vaeso: Entendi mas esta fora do que pretendo investir_x000a_16:28, 06/03/2026 Valdinei vaeso: Te agradeço_x000a_16:46, 06/03/2026 Junior Lopes: Qual é a sua ideia de investimento?_x000a_16:47, 06/03/2026 Valdinei vaeso: Não vou nem fazer proposta porque a proposta veio com valores altos de implementação e mentoria_x000a_16:47, 06/03/2026 Valdinei vaeso: Sistema parece intuitivo_x000a_16:47, 06/03/2026 Valdinei vaeso: E vi ontem e gostei_x000a_16:47, 06/03/2026 Valdinei vaeso: Preciso de força de vendas_x000a_16:56, 06/03/2026 Valdinei vaeso: Ok"/>
    <s v=""/>
    <x v="193"/>
    <s v=""/>
    <x v="212"/>
    <s v=""/>
    <d v="2026-03-06T00:00:00"/>
    <n v="50"/>
    <s v=""/>
    <s v=""/>
    <s v=""/>
    <s v=""/>
    <n v="1"/>
  </r>
  <r>
    <x v="1"/>
    <n v="996"/>
    <m/>
    <n v="3351"/>
    <s v="(10/03/2026) Agenda para apresentação do ERP 12/03 _x000a_10:07, 14/04/2026 Luccas Globalmix: Bom dia meu amigo, tudo bem? _x000a_Desculpe não te responder. Estou com alguns problemas de família e estive meio ausente. _x000a_Analisamos sua proposta e infelizmente ficou muito acima do que estávamos planejando nesse momento. _x000a_Desculpe a minha ignorância, mas não consegui compreender o motivo de um custo tão alto para a implementação de um ERP já existente. O custo que você me passou é basicamente o de desenvolver um novo sistema próprio. _x000a_Infelizmente nessas condições é inviável para nós nesse momento. _x000a_Agradeço pelo seu atendimento nas últimas semanas, foi extremamente atencioso. Espero que compreenda. _x000a_Obrigado_x000a_10:15, 14/04/2026 Junior Lopes: Bom dia, Luccas, tudo bem?_x000a_Primeiro, espero que as coisas com sua família se resolvam da melhor forma possível. Fica tranquilo quanto ao retorno, eu entendo perfeitamente._x000a_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_x000a_O que está incluso nesse investimento é justamente o que vai fazer o sistema “virar realidade” dentro da Globalmix:_x000a_– entendimento dos processos de vocês;_x000a_– parametrização do ERP para a realidade da empresa;_x000a_– construção/ajuste dos relatórios que vocês precisam;_x000a_– validação e homologação do funcionamento antes de ir para produção;_x000a_– integração com a Lisa Log;_x000a_– e, principalmente, treinamento da equipe e acompanhamento na virada, para que todo mundo use da forma correta e o projeto traga resultado._x000a_Sem essa etapa de consultoria, o risco é ter um sistema bom, mas mal configurado ou pouco usado, o que acaba gerando retrabalho e perda de confiança na ferramenta – e é justamente isso que queremos evitar._x000a_Dito isso, eu entendo totalmente a questão de orçamento. Se fizer sentido para você, eu posso:_x000a_1) rever o escopo para enxugar etapas e tentar adequar o investimento ao momento da Globalmix; ou_x000a_2) pensar em uma implantação por fases, começando pelo essencial (comercial + força de vendas + básico de estoque) e deixando integrações e aprofundamentos para uma segunda etapa._x000a_Você se sentiria confortável em me dizer qual faixa de investimento vocês tinham planejado, para eu ver o que é possível ajustar com transparência?"/>
    <s v="Crx Comercio, Importacao E Exportacao Ltda"/>
    <x v="496"/>
    <n v="27672869000139"/>
    <s v=""/>
    <s v="GlobalMIx"/>
    <s v="(11) 9999-9999"/>
    <s v=""/>
    <s v="contabilgrupocrx@gmail.com"/>
    <s v=""/>
    <s v=""/>
    <s v=""/>
    <s v="ITAJAI"/>
    <s v="SC"/>
    <s v=""/>
    <s v=""/>
    <s v=""/>
    <s v=""/>
    <s v="Pipeline de Vendas"/>
    <s v="Apresentar Solução (35%)"/>
    <s v=""/>
    <m/>
    <n v="7305558"/>
    <n v="143186"/>
    <n v="40"/>
    <s v="Junior Lopes"/>
    <d v="2026-03-06T00:00:00"/>
    <d v="1899-12-30T17:07:19"/>
    <s v=""/>
    <s v="Perdido"/>
    <d v="2026-04-15T00:00:00"/>
    <d v="1899-12-30T09:35:15"/>
    <s v="Não houve aprovação financeira"/>
    <s v="10:07, 14/04/2026 Luccas Globalmix: Bom dia meu amigo, tudo bem? _x000a_Desculpe não te responder. Estou com alguns problemas de família e estive meio ausente. _x000a_Analisamos sua proposta e infelizmente ficou muito acima do que estávamos planejando nesse momento. _x000a_Desculpe a minha ignorância, mas não consegui compreender o motivo de um custo tão alto para a implementação de um ERP já existente. O custo que você me passou é basicamente o de desenvolver um novo sistema próprio. _x000a_Infelizmente nessas condições é inviável para nós nesse momento. _x000a_Agradeço pelo seu atendimento nas últimas semanas, foi extremamente atencioso. Espero que compreenda. _x000a_Obrigado_x000a_10:15, 14/04/2026 Junior Lopes: Bom dia, Luccas, tudo bem?_x000a_Primeiro, espero que as coisas com sua família se resolvam da melhor forma possível. Fica tranquilo quanto ao retorno, eu entendo perfeitamente._x000a_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_x000a_O que está incluso nesse investimento é justamente o que vai fazer o sistema “virar realidade” dentro da Globalmix:_x000a_– entendimento dos processos de vocês;_x000a_– parametrização do ERP para a realidade da empresa;_x000a_– construção/ajuste dos relatórios que vocês precisam;_x000a_– validação e homologação do funcionamento antes de ir para produção;_x000a_– integração com a Lisa Log;_x000a_– e, principalmente, treinamento da equipe e acompanhamento na virada, para que todo mundo use da forma correta e o projeto traga resultado._x000a_Sem essa etapa de consultoria, o risco é ter um sistema bom, mas mal configurado ou pouco usado, o que acaba gerando retrabalho e perda de confiança na ferramenta – e é justamente isso que queremos evitar._x000a_Dito isso, eu entendo totalmente a questão de orçamento. Se fizer sentido para você, eu posso:_x000a_1) rever o escopo para enxugar etapas e tentar adequar o investimento ao momento da Globalmix; ou_x000a_2) pensar em uma implantação por fases, começando pelo essencial (comercial + força de vendas + básico de estoque) e deixando integrações e aprofundamentos para uma segunda etapa._x000a_Você se sentiria confortável em me dizer qual faixa de investimento vocês tinham planejado, para eu ver o que é possível ajustar com transparência?"/>
    <s v=""/>
    <x v="194"/>
    <s v=""/>
    <x v="195"/>
    <s v=""/>
    <d v="2026-04-15T00:00:00"/>
    <n v="30"/>
    <s v=""/>
    <s v=""/>
    <s v=""/>
    <s v=""/>
    <n v="1"/>
  </r>
  <r>
    <x v="2"/>
    <n v="997"/>
    <m/>
    <n v="3341"/>
    <s v=""/>
    <s v=""/>
    <x v="497"/>
    <m/>
    <s v=""/>
    <s v="Irmãos Capuci"/>
    <s v="67999772326"/>
    <s v=""/>
    <s v="joaoliloc@gmail.com"/>
    <s v=""/>
    <s v=""/>
    <s v=""/>
    <s v=""/>
    <s v=""/>
    <s v="Campanha"/>
    <s v=""/>
    <s v=""/>
    <s v="Fora Perfil;Instagram"/>
    <s v="Pipeline de Vendas"/>
    <s v="Agendamento (0%)"/>
    <s v=""/>
    <d v="2026-03-31T00:00:00"/>
    <m/>
    <m/>
    <n v="1"/>
    <s v="Paulo Souza"/>
    <d v="2026-03-09T00:00:00"/>
    <d v="1899-12-30T14:16:23"/>
    <s v=""/>
    <s v="Perdido"/>
    <d v="2026-03-10T00:00:00"/>
    <d v="1899-12-30T10:03:18"/>
    <s v="Fora do porte mínimo (sem fit estrutural)"/>
    <s v=""/>
    <s v=""/>
    <x v="0"/>
    <s v="Rayssa Karapeticov"/>
    <x v="0"/>
    <s v=""/>
    <m/>
    <n v="30"/>
    <s v=""/>
    <s v=""/>
    <s v=""/>
    <s v=""/>
    <n v="1"/>
  </r>
  <r>
    <x v="1"/>
    <n v="999"/>
    <m/>
    <n v="3360"/>
    <s v="(10/03/2026) em contato com Fernando _x000a_11:24, 11/03/2026 Junior Lopes: Olá Fernando! Td bem ? _x000a_Você tem interesse sem seguir com informações sobre a solução Guarani sistemas?"/>
    <s v=""/>
    <x v="498"/>
    <m/>
    <s v=""/>
    <s v="Fcabrasil"/>
    <s v="19974124080"/>
    <s v=""/>
    <s v="fernando@fcabrasil.com.br"/>
    <s v=""/>
    <s v=""/>
    <s v=""/>
    <s v=""/>
    <s v=""/>
    <s v="Campanha"/>
    <s v=""/>
    <s v=""/>
    <s v="Fora Perfil;Instagram"/>
    <s v="Pipeline de Vendas"/>
    <s v="Qualificação de Vendas (SQL) (25%)"/>
    <s v=""/>
    <d v="2026-03-31T00:00:00"/>
    <m/>
    <m/>
    <n v="29"/>
    <s v="Paulo Souza"/>
    <d v="2026-03-10T00:00:00"/>
    <d v="1899-12-30T09:07:12"/>
    <s v=""/>
    <s v="Perdido"/>
    <d v="2026-04-08T00:00:00"/>
    <d v="1899-12-30T17:25:42"/>
    <s v="Fora do porte mínimo (sem fit estrutural)"/>
    <s v=") declinando por falta de interação por parte do cliente"/>
    <s v=""/>
    <x v="0"/>
    <s v="Junior Lopes"/>
    <x v="0"/>
    <s v=""/>
    <d v="2026-03-19T00:00:00"/>
    <n v="30"/>
    <s v=""/>
    <s v=""/>
    <s v=""/>
    <s v=""/>
    <n v="1"/>
  </r>
  <r>
    <x v="0"/>
    <n v="1000"/>
    <m/>
    <n v="3358"/>
    <s v="10/03 Fiz contato e não obtive retorno deixei recado._x000a_11/03 Fiz FUP hoje com o Ridalvo Donizeti sem sucesso._x000a_12/3 Fiz varias ligações sem sucesso. Por falta de retorno encerrei o lead,."/>
    <s v=""/>
    <x v="499"/>
    <m/>
    <s v=""/>
    <s v="Ridalvo Donizeti"/>
    <s v="16991945630"/>
    <s v=""/>
    <s v="ridalvo.rossi@brdbtasil.com.br"/>
    <s v=""/>
    <s v=""/>
    <s v=""/>
    <s v=""/>
    <s v=""/>
    <s v="Campanha"/>
    <s v=""/>
    <s v=""/>
    <s v="Dentro Perfil;Instagram"/>
    <s v="Pipeline de Vendas"/>
    <s v="Qualificação de Vendas (SQL) (25%)"/>
    <s v=""/>
    <d v="2026-03-31T00:00:00"/>
    <m/>
    <m/>
    <n v="2"/>
    <s v="Paulo Souza"/>
    <d v="2026-03-10T00:00:00"/>
    <d v="1899-12-30T09:19:04"/>
    <s v=""/>
    <s v="Perdido"/>
    <d v="2026-03-12T00:00:00"/>
    <d v="1899-12-30T17:27:22"/>
    <s v="Fora do porte mínimo (sem fit estrutural)"/>
    <s v=""/>
    <s v=""/>
    <x v="0"/>
    <s v="Paulo Souza"/>
    <x v="0"/>
    <s v=""/>
    <d v="2026-03-12T00:00:00"/>
    <n v="30"/>
    <s v=""/>
    <s v=""/>
    <s v=""/>
    <s v=""/>
    <n v="1"/>
  </r>
  <r>
    <x v="2"/>
    <n v="1001"/>
    <m/>
    <n v="3357"/>
    <s v="18.03 proposta apresentada no dia de hoje _x000a_24.03 - não atendeu"/>
    <s v=""/>
    <x v="500"/>
    <m/>
    <s v=""/>
    <s v="Artur Decker"/>
    <s v="(47) 99699-9700"/>
    <s v=""/>
    <s v="artur@assessoriadecker.com"/>
    <s v=""/>
    <s v=""/>
    <s v=""/>
    <s v="Blumenau"/>
    <s v=""/>
    <s v="Site"/>
    <s v=""/>
    <s v=""/>
    <s v="Dentro Perfil;Solicita demo"/>
    <s v="Pipeline de Vendas"/>
    <s v="Em negociação (75%)"/>
    <s v=""/>
    <d v="2026-05-31T00:00:00"/>
    <n v="16800"/>
    <n v="12600"/>
    <n v="71"/>
    <s v="Paulo Souza"/>
    <d v="2026-03-10T00:00:00"/>
    <d v="1899-12-30T09:20:36"/>
    <s v=""/>
    <s v="Ativo"/>
    <m/>
    <m/>
    <s v=""/>
    <s v=""/>
    <s v=""/>
    <x v="195"/>
    <s v="Rayssa Karapeticov"/>
    <x v="213"/>
    <s v=""/>
    <d v="2026-05-13T00:00:00"/>
    <n v="30"/>
    <s v=""/>
    <s v=""/>
    <s v=""/>
    <s v=""/>
    <n v="1"/>
  </r>
  <r>
    <x v="1"/>
    <n v="1002"/>
    <m/>
    <n v="3356"/>
    <s v="(10/03/2026) Em contato com Maxwel _x000a_(27/03/2026) após analise cliente fica fora do perfil ! estamparia de camisetas, canecas e brindes em geral"/>
    <s v=""/>
    <x v="501"/>
    <m/>
    <s v=""/>
    <s v="Terra Brasil"/>
    <s v="11989296453"/>
    <s v=""/>
    <s v="max.vendas@terrabrasilbrindes.com.br"/>
    <s v=""/>
    <s v=""/>
    <s v=""/>
    <s v=""/>
    <s v=""/>
    <s v="Campanha"/>
    <s v=""/>
    <s v=""/>
    <s v="Fora Perfil;Instagram"/>
    <s v="Pipeline de Vendas"/>
    <s v="Qualificação de Vendas (SQL) (25%)"/>
    <s v=""/>
    <d v="2026-03-31T00:00:00"/>
    <m/>
    <m/>
    <n v="17"/>
    <s v="Paulo Souza"/>
    <d v="2026-03-10T00:00:00"/>
    <d v="1899-12-30T09:44:38"/>
    <s v=""/>
    <s v="Perdido"/>
    <d v="2026-03-27T00:00:00"/>
    <d v="1899-12-30T14:24:00"/>
    <s v="Fora do porte mínimo (sem fit estrutural)"/>
    <s v="(27/03/2026) após analise cliente fica fora do perfil ! estamparia de camisetas, canecas e brindes em geral"/>
    <s v=""/>
    <x v="0"/>
    <s v="Junior Lopes"/>
    <x v="0"/>
    <s v=""/>
    <d v="2026-03-27T00:00:00"/>
    <n v="30"/>
    <s v=""/>
    <s v=""/>
    <s v=""/>
    <s v=""/>
    <n v="1"/>
  </r>
  <r>
    <x v="2"/>
    <n v="1003"/>
    <m/>
    <n v="3355"/>
    <s v=""/>
    <s v=""/>
    <x v="502"/>
    <m/>
    <s v=""/>
    <s v="Farmacia Boa Sorte"/>
    <s v="74999642551"/>
    <s v=""/>
    <s v="farmaboasorte@gmail.com"/>
    <s v=""/>
    <s v=""/>
    <s v=""/>
    <s v=""/>
    <s v=""/>
    <s v="Campanha"/>
    <s v=""/>
    <s v=""/>
    <s v="Fora Perfil;Instagram"/>
    <s v="Pipeline de Vendas"/>
    <s v="Agendamento (0%)"/>
    <s v=""/>
    <d v="2026-03-31T00:00:00"/>
    <m/>
    <m/>
    <n v="0"/>
    <s v="Paulo Souza"/>
    <d v="2026-03-10T00:00:00"/>
    <d v="1899-12-30T09:46:18"/>
    <s v=""/>
    <s v="Perdido"/>
    <d v="2026-03-10T00:00:00"/>
    <d v="1899-12-30T10:23:45"/>
    <s v="Fora do porte mínimo (sem fit estrutural)"/>
    <s v=""/>
    <s v=""/>
    <x v="0"/>
    <s v="Rayssa Karapeticov"/>
    <x v="0"/>
    <s v=""/>
    <m/>
    <n v="30"/>
    <s v=""/>
    <s v=""/>
    <s v=""/>
    <s v=""/>
    <n v="1"/>
  </r>
  <r>
    <x v="0"/>
    <n v="1004"/>
    <m/>
    <n v="3353"/>
    <s v="15/03 Feio FUP da apresentação da proposta._x000a_20/03 Fiz FUP hoje com o Sergio cobrando ele sobre a proposta WMS se seguiremos._x000a_20/03 Sergio me passou que o investimento ficou alto para o momento e que nao vai seguir."/>
    <s v=""/>
    <x v="503"/>
    <n v="5291214000188"/>
    <s v=""/>
    <s v="Sergio cdp"/>
    <s v="(38) 99831-2605"/>
    <s v=""/>
    <s v="sergio.cdp00@gmail.com"/>
    <s v=""/>
    <s v=""/>
    <s v=""/>
    <s v="MONTES CLAROS"/>
    <s v="MG"/>
    <s v="Site"/>
    <s v=""/>
    <s v=""/>
    <s v="Solicita demo"/>
    <s v="Pipeline de Vendas"/>
    <s v="Em negociação (75%)"/>
    <s v=""/>
    <d v="2026-03-31T00:00:00"/>
    <n v="22800"/>
    <n v="14256"/>
    <n v="10"/>
    <s v="Paulo Souza"/>
    <d v="2026-03-10T00:00:00"/>
    <d v="1899-12-30T09:52:59"/>
    <s v=""/>
    <s v="Perdido"/>
    <d v="2026-03-20T00:00:00"/>
    <d v="1899-12-30T17:17:39"/>
    <s v="Preço muito alto - fora do budget de investimento"/>
    <s v=""/>
    <s v=""/>
    <x v="174"/>
    <s v="Paulo Souza"/>
    <x v="214"/>
    <s v=""/>
    <d v="2026-03-20T00:00:00"/>
    <n v="30"/>
    <s v=""/>
    <s v="WMS"/>
    <s v=""/>
    <s v=""/>
    <n v="1"/>
  </r>
  <r>
    <x v="2"/>
    <n v="1005"/>
    <m/>
    <n v="3354"/>
    <s v="Reunião realizada 08.04.2024 presencial no cliente_x000a_04.05 - Estou avançando a negociação com o client,e porém ele não concorda com o rejuste de no minimo 5% do contrato"/>
    <s v=""/>
    <x v="504"/>
    <n v="59578948000171"/>
    <s v=""/>
    <s v="3D"/>
    <s v="11983479931"/>
    <s v=""/>
    <s v="tufano@maquimp.com.br"/>
    <s v=""/>
    <s v=""/>
    <s v=""/>
    <s v="SAO PAULO"/>
    <s v="SP"/>
    <s v="Campanha"/>
    <s v=""/>
    <s v=""/>
    <s v="Dentro Perfil;Instagram"/>
    <s v="Pipeline de Vendas"/>
    <s v="Em negociação (75%)"/>
    <s v=""/>
    <d v="2026-06-30T00:00:00"/>
    <n v="58800"/>
    <n v="55164"/>
    <n v="71"/>
    <s v="Paulo Souza"/>
    <d v="2026-03-10T00:00:00"/>
    <d v="1899-12-30T09:55:28"/>
    <s v=""/>
    <s v="Ativo"/>
    <m/>
    <m/>
    <s v=""/>
    <s v=""/>
    <s v=""/>
    <x v="196"/>
    <s v="Rayssa Karapeticov"/>
    <x v="215"/>
    <s v="08/04/2026"/>
    <d v="2026-05-15T00:00:00"/>
    <n v="30"/>
    <s v=""/>
    <s v="ERP"/>
    <s v=""/>
    <s v=""/>
    <n v="1"/>
  </r>
  <r>
    <x v="1"/>
    <n v="1006"/>
    <m/>
    <n v="3343"/>
    <s v="(10/03/2026) em contato com Bruno _x000a_(10/03/2026) cliente informa que já fechou projeto com a Mercos"/>
    <s v=""/>
    <x v="505"/>
    <n v="36882195000198"/>
    <s v=""/>
    <s v="Bruno"/>
    <s v="(11) 94075-6696"/>
    <s v=""/>
    <s v="bruno.arouca@brotacompany.com.br"/>
    <s v=""/>
    <s v=""/>
    <s v=""/>
    <s v="São Paulo"/>
    <s v=""/>
    <s v="Site"/>
    <s v=""/>
    <s v=""/>
    <s v="Dentro Perfil;Solicita demo"/>
    <s v="Pipeline de Vendas"/>
    <s v="Qualificação de Vendas (SQL) (25%)"/>
    <s v=""/>
    <m/>
    <m/>
    <m/>
    <n v="0"/>
    <s v="Paulo Souza"/>
    <d v="2026-03-10T00:00:00"/>
    <d v="1899-12-30T09:59:38"/>
    <s v=""/>
    <s v="Perdido"/>
    <d v="2026-03-10T00:00:00"/>
    <d v="1899-12-30T16:59:56"/>
    <s v="Fechou com o concorrente - preço"/>
    <s v="(10/03/2026) cliente informa que já fechou projeto com a Mercos"/>
    <s v=""/>
    <x v="0"/>
    <s v="Junior Lopes"/>
    <x v="0"/>
    <s v=""/>
    <m/>
    <n v="30"/>
    <s v=""/>
    <s v="AFV"/>
    <s v=""/>
    <s v=""/>
    <n v="1"/>
  </r>
  <r>
    <x v="2"/>
    <n v="1007"/>
    <m/>
    <n v="3344"/>
    <s v="Falei com o Rodrigo, são umdistribuidor de autopeças de Bauru, vieram por inidicação da Ad&amp;Ad. _x000a_Atualmente as vendas são por MKPlace e mercado livre, e possuem vendas internas telemarketing_x000a_Trabalha com a parte especial, falamos sobre financeiro, fiscal, estoque. e pedidos decompras _x000a_Pediu uma estimativa de valores, porque atualmente é ele e um sócio, e precisa discutir com o Sócio para ver se vai avançar por causa do investimento, só que o sócio não esta essa semana _x000a_Então combinamos de falar na proxima semana (23/03)"/>
    <s v=""/>
    <x v="506"/>
    <m/>
    <s v=""/>
    <s v="rodrigo"/>
    <s v="(14) 99701-3009"/>
    <s v=""/>
    <s v="compras@s4distribuidora.com.br"/>
    <s v=""/>
    <s v=""/>
    <s v=""/>
    <s v="Bauru"/>
    <s v=""/>
    <s v="Site"/>
    <s v=""/>
    <s v=""/>
    <s v="Dentro Perfil;Solicita demo"/>
    <s v="Pipeline de Vendas"/>
    <s v="Apresentar Solução (35%)"/>
    <s v=""/>
    <d v="2026-08-31T00:00:00"/>
    <m/>
    <m/>
    <n v="28"/>
    <s v="Paulo Souza"/>
    <d v="2026-03-10T00:00:00"/>
    <d v="1899-12-30T10:01:14"/>
    <s v=""/>
    <s v="Perdido"/>
    <d v="2026-04-07T00:00:00"/>
    <d v="1899-12-30T10:52:27"/>
    <s v="Preço muito alto - fora do budget de investimento"/>
    <s v=""/>
    <s v=""/>
    <x v="0"/>
    <s v="Rayssa Karapeticov"/>
    <x v="0"/>
    <s v=""/>
    <d v="2026-04-07T00:00:00"/>
    <n v="30"/>
    <s v=""/>
    <s v="ERP, ADICIONAIS, CLOUD"/>
    <s v=""/>
    <s v=""/>
    <n v="1"/>
  </r>
  <r>
    <x v="0"/>
    <n v="1008"/>
    <m/>
    <n v="3346"/>
    <s v=""/>
    <s v=""/>
    <x v="507"/>
    <n v="27672869000139"/>
    <s v=""/>
    <s v="Luccas Nassif"/>
    <s v="(11) 98873-6515"/>
    <s v=""/>
    <s v="luccas.nassif@globalmix.com.br"/>
    <s v=""/>
    <s v=""/>
    <s v=""/>
    <s v="São Paulo"/>
    <s v=""/>
    <s v="Site"/>
    <s v=""/>
    <s v=""/>
    <s v="Solicita demo"/>
    <s v="Pipeline de Vendas"/>
    <s v="Agendamento (0%)"/>
    <s v=""/>
    <d v="2026-03-31T00:00:00"/>
    <m/>
    <m/>
    <n v="0"/>
    <s v="Paulo Souza"/>
    <d v="2026-03-10T00:00:00"/>
    <d v="1899-12-30T10:02:20"/>
    <s v=""/>
    <s v="Perdido"/>
    <d v="2026-03-10T00:00:00"/>
    <d v="1899-12-30T10:27:02"/>
    <s v="Fora do porte mínimo (sem fit estrutural)"/>
    <s v=""/>
    <s v=""/>
    <x v="0"/>
    <s v="Paulo Souza"/>
    <x v="0"/>
    <s v=""/>
    <m/>
    <n v="30"/>
    <s v=""/>
    <s v=""/>
    <s v=""/>
    <s v=""/>
    <n v="1"/>
  </r>
  <r>
    <x v="1"/>
    <n v="1009"/>
    <m/>
    <n v="3361"/>
    <s v="(11/03/2026) Agenda de apresentação para 17/03/2026_x000a_(30/03/2026) Alinhando visita presencial com Thiago"/>
    <s v="Banana Toys Ltda"/>
    <x v="508"/>
    <n v="8878994000155"/>
    <s v=""/>
    <s v="Banana Toys Ltda"/>
    <s v="(15) 3283-5196"/>
    <s v=""/>
    <s v="faturamento@bananatoys.com.br"/>
    <s v=""/>
    <s v=""/>
    <s v=""/>
    <s v="LARANJAL PAULISTA"/>
    <s v="SP"/>
    <s v="Base de empresas Leads2b"/>
    <s v=""/>
    <s v=""/>
    <s v=""/>
    <s v="Pipeline de Vendas"/>
    <s v="Em negociação (75%)"/>
    <s v=""/>
    <d v="2026-03-31T00:00:00"/>
    <n v="11390346"/>
    <n v="384882"/>
    <n v="71"/>
    <s v="Junior Lopes"/>
    <d v="2026-03-10T00:00:00"/>
    <d v="1899-12-30T16:23:30"/>
    <s v=""/>
    <s v="Ativo"/>
    <m/>
    <m/>
    <s v=""/>
    <s v=""/>
    <s v=""/>
    <x v="197"/>
    <s v=""/>
    <x v="214"/>
    <s v="17/03/2026"/>
    <d v="2026-03-30T00:00:00"/>
    <n v="50"/>
    <s v=""/>
    <s v=""/>
    <s v=""/>
    <s v=""/>
    <n v="1"/>
  </r>
  <r>
    <x v="0"/>
    <n v="1011"/>
    <m/>
    <n v="3365"/>
    <s v="20/03 Cobrei o Everton sobre a posição sobre a proposta comercial e se seguiremos e se existe algum impedimento."/>
    <s v=""/>
    <x v="509"/>
    <n v="7865166000110"/>
    <s v=""/>
    <s v="EVERTON MARINI GAVIAO"/>
    <s v="(17) 3342-1605"/>
    <s v=""/>
    <s v="comercialgaviao@bol.com.br"/>
    <s v=""/>
    <s v=""/>
    <s v=""/>
    <s v="BEBEDOURO"/>
    <s v="SP"/>
    <s v="Site"/>
    <s v=""/>
    <s v=""/>
    <s v="Solicita demo"/>
    <s v="Pipeline de Vendas"/>
    <s v="Em Fechamento (100%)"/>
    <s v=""/>
    <d v="2026-03-31T00:00:00"/>
    <n v="870636"/>
    <n v="434528"/>
    <n v="70"/>
    <s v="Paulo Souza"/>
    <d v="2026-03-11T00:00:00"/>
    <d v="1899-12-30T11:51:21"/>
    <s v=""/>
    <s v="Ativo"/>
    <m/>
    <m/>
    <s v=""/>
    <s v=""/>
    <s v=""/>
    <x v="187"/>
    <s v="Paulo Souza"/>
    <x v="216"/>
    <s v=""/>
    <d v="2026-05-18T00:00:00"/>
    <n v="30"/>
    <s v=""/>
    <s v="ERP, AFV"/>
    <s v=""/>
    <s v=""/>
    <n v="1"/>
  </r>
  <r>
    <x v="1"/>
    <n v="1012"/>
    <m/>
    <n v="3345"/>
    <s v="(20/03/2026) contato com  Ramos a fim de seguirmos com negociações _x000a_09:22, 06/05/2026 Junior Lopes: Olá Danilo ! Td bem meu amigo _x000a_Ficamos de fazer uma agenda de apresentação para seu sócio ! _x000a_Vamos agendar para próxima semana ?_x000a_10:07, 06/05/2026 Danilo Euroquad: Bom dia_x000a_10:08, 06/05/2026 Danilo Euroquad: Tudo bem e vc?_x000a_10:08, 06/05/2026 Danilo Euroquad: Estou na china volto no final do mês_x000a_10:08, 06/05/2026 Danilo Euroquad: Quando chegar marcamos_x000a_11:35, 06/05/2026 Junior Lopes: Perfeito Danilo, ótimos negocios por ai"/>
    <s v="Euroquadros Industria Importacao E Exportacao Ltda"/>
    <x v="510"/>
    <n v="72770225000561"/>
    <s v=""/>
    <s v="Euroquadros Industria Importacao E Exportacao Ltda"/>
    <s v="(47) 3515-3000"/>
    <s v=""/>
    <s v="contabil@fratelliinox.com.br"/>
    <s v=""/>
    <s v=""/>
    <s v=""/>
    <s v="BARRA VELHA"/>
    <s v="SC"/>
    <s v="Base de empresas Leads2b"/>
    <s v=""/>
    <s v=""/>
    <s v=""/>
    <s v="Pipeline de Vendas"/>
    <s v="Em negociação (75%)"/>
    <s v=""/>
    <m/>
    <n v="52702"/>
    <n v="17020"/>
    <n v="70"/>
    <s v="Junior Lopes"/>
    <d v="2026-03-11T00:00:00"/>
    <d v="1899-12-30T16:07:58"/>
    <s v=""/>
    <s v="Ativo"/>
    <m/>
    <m/>
    <s v=""/>
    <s v=""/>
    <s v=""/>
    <x v="195"/>
    <s v=""/>
    <x v="217"/>
    <s v="18/03/2026"/>
    <d v="2026-05-06T00:00:00"/>
    <n v="50"/>
    <s v=""/>
    <s v=""/>
    <s v=""/>
    <s v=""/>
    <n v="1"/>
  </r>
  <r>
    <x v="2"/>
    <n v="1013"/>
    <m/>
    <n v="3368"/>
    <s v="30.03 Lidi, boa tarde!_x000a_Vamos agendar quarta às 15h_x000a_Meu gerente de projetos que vai fazer, assim já consigo matar WMS, ERP, PDV, todo processo de estoque futuro e importação_x000a_07.04 2° parte da reunião ficou para sexta 10/04_x000a_13.04 apresentação realizada, proxima etapa apresentação da proposta, aguardar avaliação do Paulo quanto ao serviço de cloud"/>
    <s v="Simao Distribuidora De Embalagens Descartaveis Ltda"/>
    <x v="511"/>
    <n v="10649489000180"/>
    <s v=""/>
    <s v="Simao Distribuidora De Embalagens Descartaveis Ltda"/>
    <s v="(24) 3325-7650"/>
    <s v=""/>
    <s v="legalizacao@mastermaxcontabilidade.com.br"/>
    <s v=""/>
    <s v=""/>
    <s v=""/>
    <s v="RIO DE JANEIRO"/>
    <s v="RJ"/>
    <s v="Base de empresas Leads2b"/>
    <s v=""/>
    <s v=""/>
    <s v=""/>
    <s v="Pipeline de Vendas"/>
    <s v="Apresentar Proposta (50%)"/>
    <s v=""/>
    <d v="2026-09-30T00:00:00"/>
    <m/>
    <m/>
    <n v="69"/>
    <s v="Rayssa Karapeticov"/>
    <d v="2026-03-12T00:00:00"/>
    <d v="1899-12-30T10:07:51"/>
    <s v=""/>
    <s v="Ativo"/>
    <m/>
    <m/>
    <s v=""/>
    <s v=""/>
    <s v=""/>
    <x v="198"/>
    <s v="Rayssa Karapeticov"/>
    <x v="218"/>
    <s v="10/04/2026"/>
    <d v="2026-05-13T00:00:00"/>
    <n v="30"/>
    <s v=""/>
    <s v="ERP, AFV"/>
    <s v=""/>
    <s v=""/>
    <n v="1"/>
  </r>
  <r>
    <x v="0"/>
    <n v="1014"/>
    <m/>
    <n v="3371"/>
    <s v="12/03 Fiz FUP com o Renan e ele avisou que a Vera esta em viagem retornando vamos agendar uma apresentação._x000a_12/03 Fiz FUP com o cliente e marcamos reunião para dia 18/03 as 15h._x000a_20/03 Conversei com o Renan para saber qual a nova data para fazer a apresentação."/>
    <s v=""/>
    <x v="512"/>
    <n v="10633099000112"/>
    <s v=""/>
    <s v="Vera Lucia"/>
    <s v="(47) 3075-0552"/>
    <s v=""/>
    <s v="financeiro@mundialimpexp.com.br"/>
    <s v=""/>
    <s v=""/>
    <s v=""/>
    <s v="ITAJAI"/>
    <s v="SC"/>
    <s v=""/>
    <s v=""/>
    <s v=""/>
    <s v="Pausado"/>
    <s v="Pipeline de Vendas"/>
    <s v="Apresentar Solução (35%)"/>
    <s v=""/>
    <d v="2026-03-30T00:00:00"/>
    <m/>
    <m/>
    <n v="60"/>
    <s v="Paulo Souza"/>
    <d v="2026-03-12T00:00:00"/>
    <d v="1899-12-30T12:10:28"/>
    <s v=""/>
    <s v="Perdido"/>
    <d v="2026-05-11T00:00:00"/>
    <d v="1899-12-30T11:56:15"/>
    <s v="Projeto adiado / sem prazo definido"/>
    <s v=""/>
    <s v=""/>
    <x v="0"/>
    <s v="Paulo Souza"/>
    <x v="0"/>
    <s v=""/>
    <d v="2026-04-10T00:00:00"/>
    <n v="30"/>
    <s v=""/>
    <s v="ERP, AFV"/>
    <s v=""/>
    <s v=""/>
    <n v="1"/>
  </r>
  <r>
    <x v="1"/>
    <n v="1015"/>
    <m/>
    <n v="3375"/>
    <s v="(16/03/2026) Agenda de apresentação para dia 17/03/2026"/>
    <s v=""/>
    <x v="513"/>
    <n v="35417169000126"/>
    <s v=""/>
    <s v="Brisa Artes"/>
    <s v="11992558277"/>
    <s v=""/>
    <s v="marcos@mairinckcontabil.com.br"/>
    <s v=""/>
    <s v=""/>
    <s v=""/>
    <s v="RIBEIRAO PIRES"/>
    <s v="SP"/>
    <s v=""/>
    <s v=""/>
    <s v=""/>
    <s v=""/>
    <s v="Pipeline de Vendas"/>
    <s v="Apresentar Solução (35%)"/>
    <s v=""/>
    <m/>
    <m/>
    <m/>
    <n v="69"/>
    <s v="Junior Lopes"/>
    <d v="2026-03-12T00:00:00"/>
    <d v="1899-12-30T15:11:14"/>
    <s v=""/>
    <s v="Ativo"/>
    <m/>
    <m/>
    <s v=""/>
    <s v=""/>
    <s v=""/>
    <x v="0"/>
    <s v=""/>
    <x v="0"/>
    <s v=""/>
    <d v="2026-03-16T00:00:00"/>
    <n v="30"/>
    <s v=""/>
    <s v=""/>
    <s v=""/>
    <s v=""/>
    <n v="1"/>
  </r>
  <r>
    <x v="1"/>
    <n v="1016"/>
    <m/>
    <n v="3373"/>
    <s v="09:04, 13/03/2026 Junior Lopes: Olá Victor, bom dia_x000a_09:04, 13/03/2026 Junior Lopes: sou Junior Lopes da Guarani sistemas, td bem ?_x000a_09:05, 13/03/2026 Junior Lopes: estou retornando um contato que vc fez conosco relacionado ao nosso software de gestão Guarani sistemas_x000a_(13/03/2026) Aós tentativa de ligação e contato ! nenhuma respondida _x000a_estou descartando a oportunidade pois o nome da empresa mencionado não existe e demais informações preenchidas sem dados concretos ! por informar que tem um faturamento abaixo de 200K mensal fica fora do nosso perfil"/>
    <s v=""/>
    <x v="514"/>
    <m/>
    <s v=""/>
    <s v="Nemoaprds"/>
    <s v="38998244039"/>
    <s v=""/>
    <s v="vitorborgessilva333@gmail.com"/>
    <s v=""/>
    <s v=""/>
    <s v=""/>
    <s v=""/>
    <s v=""/>
    <s v="Campanha"/>
    <s v=""/>
    <s v=""/>
    <s v="Fora Perfil;Instagram"/>
    <s v="Pipeline de Vendas"/>
    <s v="Qualificação de Vendas (SQL) (25%)"/>
    <s v=""/>
    <d v="2026-03-31T00:00:00"/>
    <m/>
    <m/>
    <n v="58"/>
    <s v="Paulo Souza"/>
    <d v="2026-03-12T00:00:00"/>
    <d v="1899-12-30T17:35:46"/>
    <s v=""/>
    <s v="Perdido"/>
    <d v="2026-05-09T00:00:00"/>
    <d v="1899-12-30T07:56:21"/>
    <s v="Sem qualificação — contato não atende ligações nem responde msg"/>
    <s v=""/>
    <s v=""/>
    <x v="0"/>
    <s v="Junior Lopes"/>
    <x v="0"/>
    <s v=""/>
    <d v="2026-03-13T00:00:00"/>
    <n v="30"/>
    <s v=""/>
    <s v=""/>
    <s v=""/>
    <s v=""/>
    <n v="1"/>
  </r>
  <r>
    <x v="2"/>
    <n v="1017"/>
    <m/>
    <n v="3374"/>
    <s v="17/03 - Nova Maringa - Amazonia Sistemas_x000a_Empresa de vendas e locação de maquinas agricolas, procura um softaware onde possa acompanhar a svedas, criar promnoções/campanhas, realizar OS para manutenções das maquinas. _x000a_Possui PDV _x000a_Apresentação agendada para terça 24/03 as 15h_x000a_25/03 achou o valor de investimento alto"/>
    <s v=""/>
    <x v="515"/>
    <n v="33947903000133"/>
    <s v=""/>
    <s v="Giovani luiz Agrorural Ltda"/>
    <s v="(66) 8101-6884"/>
    <s v=""/>
    <s v="soberanaagrorural@hotmail.com"/>
    <s v=""/>
    <s v=""/>
    <s v=""/>
    <s v="NOVA MARINGA"/>
    <s v="MT"/>
    <s v="Campanha"/>
    <s v=""/>
    <s v=""/>
    <s v="Fora Perfil;Instagram"/>
    <s v="Pipeline de Vendas"/>
    <s v="Apresentar Solução (35%)"/>
    <s v=""/>
    <d v="2026-07-31T00:00:00"/>
    <m/>
    <m/>
    <n v="13"/>
    <s v="Paulo Souza"/>
    <d v="2026-03-12T00:00:00"/>
    <d v="1899-12-30T17:37:00"/>
    <s v=""/>
    <s v="Perdido"/>
    <d v="2026-03-25T00:00:00"/>
    <d v="1899-12-30T10:06:43"/>
    <s v="Preço muito alto - fora do budget de investimento"/>
    <s v=""/>
    <s v=""/>
    <x v="0"/>
    <s v="Rayssa Karapeticov"/>
    <x v="219"/>
    <s v=""/>
    <d v="2026-03-25T00:00:00"/>
    <n v="31"/>
    <s v=""/>
    <s v=""/>
    <s v=""/>
    <s v=""/>
    <n v="1"/>
  </r>
  <r>
    <x v="1"/>
    <n v="1018"/>
    <m/>
    <n v="3379"/>
    <s v="(13/03/2026) em contato com Juraci a fim de retomar assunto sobre força de vendas _x000a_(12/03/2026) em contato com Juraci, informou que vamos voltar a falar no final do ano ! devido a sua alta demanda de vendas nesse período inviabilizou o projeto nesse momento"/>
    <s v=""/>
    <x v="185"/>
    <n v="28646036000166"/>
    <s v=""/>
    <s v="Gola Comercial"/>
    <s v="11938010304"/>
    <s v=""/>
    <s v="juraci@goalcomercial.com.br"/>
    <s v=""/>
    <s v=""/>
    <s v=""/>
    <s v="SAO CAETANO DO SUL"/>
    <s v="SP"/>
    <s v=""/>
    <s v=""/>
    <s v=""/>
    <s v=""/>
    <s v="Pipeline de Vendas"/>
    <s v="Apresentar Solução (35%)"/>
    <s v=""/>
    <m/>
    <n v="1696"/>
    <n v="6400"/>
    <n v="17"/>
    <s v="Junior Lopes"/>
    <d v="2026-03-13T00:00:00"/>
    <d v="1899-12-30T09:34:40"/>
    <s v=""/>
    <s v="Perdido"/>
    <d v="2026-03-30T00:00:00"/>
    <d v="1899-12-30T17:12:25"/>
    <s v="Projeto adiado / sem prazo definido"/>
    <s v="cliente não tem mais tempo para mudança esse ano , ficará para final do ano 2026"/>
    <s v=""/>
    <x v="84"/>
    <s v=""/>
    <x v="213"/>
    <s v=""/>
    <d v="2026-03-12T00:00:00"/>
    <n v="30"/>
    <s v=""/>
    <s v=""/>
    <s v=""/>
    <s v=""/>
    <n v="1"/>
  </r>
  <r>
    <x v="2"/>
    <n v="1019"/>
    <m/>
    <n v="3381"/>
    <s v="18.03 apresentação agendada para segunda 24/03_x000a_30.03 - como é uma empresa pequena de 1 ano, não consegue dar andamento agora _x000a_mas vão estudar para o futuro"/>
    <s v="Verti Flores E Plantas Permanentes Ltda"/>
    <x v="516"/>
    <n v="55841149000195"/>
    <s v=""/>
    <s v="Verti Flores E Plantas Permanentes Ltda"/>
    <s v="(47) 9214-8117"/>
    <s v=""/>
    <s v="societario@rmxcontabilidade.com.br"/>
    <s v=""/>
    <s v=""/>
    <s v=""/>
    <s v="ITAPEMA"/>
    <s v="SC"/>
    <s v="Base de empresas Leads2b"/>
    <s v=""/>
    <s v=""/>
    <s v=""/>
    <s v="Pipeline de Vendas"/>
    <s v="Apresentar Solução (35%)"/>
    <s v=""/>
    <d v="2026-07-31T00:00:00"/>
    <n v="58800"/>
    <n v="2525"/>
    <n v="17"/>
    <s v="Rayssa Karapeticov"/>
    <d v="2026-03-13T00:00:00"/>
    <d v="1899-12-30T14:52:20"/>
    <s v=""/>
    <s v="Perdido"/>
    <d v="2026-03-30T00:00:00"/>
    <d v="1899-12-30T16:07:14"/>
    <s v="Preço muito alto - fora do budget de investimento"/>
    <s v=""/>
    <s v=""/>
    <x v="199"/>
    <s v="Rayssa Karapeticov"/>
    <x v="220"/>
    <s v=""/>
    <d v="2026-03-30T00:00:00"/>
    <n v="30"/>
    <s v=""/>
    <s v="ERP"/>
    <s v=""/>
    <s v=""/>
    <n v="1"/>
  </r>
  <r>
    <x v="1"/>
    <n v="1020"/>
    <m/>
    <n v="3378"/>
    <s v="(17/03/2026) em contato com Junior ! A Otmiza busca um software para gerenciamento de obras com controle de contratos e ordens de serviço"/>
    <s v=""/>
    <x v="517"/>
    <m/>
    <s v=""/>
    <s v="Otimiza"/>
    <s v="6399999235"/>
    <s v=""/>
    <s v="pelissari.otimiza@gmail.com"/>
    <s v=""/>
    <s v=""/>
    <s v=""/>
    <s v=""/>
    <s v=""/>
    <s v="Campanha"/>
    <s v=""/>
    <s v=""/>
    <s v="Fora Perfil;Instagram"/>
    <s v="Pipeline de Vendas"/>
    <s v="Qualificação de Vendas (SQL) (25%)"/>
    <s v=""/>
    <d v="2026-03-31T00:00:00"/>
    <m/>
    <m/>
    <n v="1"/>
    <s v="Paulo Souza"/>
    <d v="2026-03-16T00:00:00"/>
    <d v="1899-12-30T13:47:29"/>
    <s v=""/>
    <s v="Perdido"/>
    <d v="2026-03-17T00:00:00"/>
    <d v="1899-12-30T09:38:46"/>
    <s v="Fora do porte mínimo (sem fit estrutural)"/>
    <s v="(17/03/2026) em contato com Junior ! A Otmiza busca um software para gerenciamento de obras com controle de contratos e ordens de serviço"/>
    <s v=""/>
    <x v="0"/>
    <s v="Junior Lopes"/>
    <x v="0"/>
    <s v=""/>
    <d v="2026-03-17T00:00:00"/>
    <n v="30"/>
    <s v=""/>
    <s v=""/>
    <s v=""/>
    <s v=""/>
    <n v="1"/>
  </r>
  <r>
    <x v="2"/>
    <n v="1021"/>
    <m/>
    <n v="3384"/>
    <s v="19.03 Pediu uma estimativa de valor, e achou o investimento muito alto para o faturamento anual da empresa"/>
    <s v=""/>
    <x v="518"/>
    <m/>
    <s v=""/>
    <s v="Javeh"/>
    <s v="11947270946"/>
    <s v=""/>
    <s v="atadeu7@gmail.com"/>
    <s v=""/>
    <s v=""/>
    <s v=""/>
    <s v=""/>
    <s v=""/>
    <s v="Campanha"/>
    <s v=""/>
    <s v=""/>
    <s v="Fora Perfil;Instagram"/>
    <s v="Pipeline de Vendas"/>
    <s v="Qualificação de Vendas (SQL) (25%)"/>
    <s v=""/>
    <d v="2026-03-31T00:00:00"/>
    <m/>
    <m/>
    <n v="3"/>
    <s v="Paulo Souza"/>
    <d v="2026-03-16T00:00:00"/>
    <d v="1899-12-30T13:48:48"/>
    <s v=""/>
    <s v="Perdido"/>
    <d v="2026-03-19T00:00:00"/>
    <d v="1899-12-30T11:31:26"/>
    <s v="Preço muito alto - fora do budget de investimento"/>
    <s v=""/>
    <s v=""/>
    <x v="0"/>
    <s v="Rayssa Karapeticov"/>
    <x v="0"/>
    <s v=""/>
    <d v="2026-03-17T00:00:00"/>
    <n v="30"/>
    <s v=""/>
    <s v=""/>
    <s v=""/>
    <s v=""/>
    <n v="1"/>
  </r>
  <r>
    <x v="1"/>
    <n v="1022"/>
    <m/>
    <n v="3385"/>
    <s v="(17/03/2026) em contato com Diego ! a Biricutico é um deposito de bebidas com venda balcão para pessoa física"/>
    <s v=""/>
    <x v="519"/>
    <m/>
    <s v=""/>
    <s v="Biricutico"/>
    <s v="21964945088"/>
    <s v=""/>
    <s v="diegosart@gmail.com"/>
    <s v=""/>
    <s v=""/>
    <s v=""/>
    <s v=""/>
    <s v=""/>
    <s v="Campanha"/>
    <s v=""/>
    <s v=""/>
    <s v="Fora Perfil;Instagram"/>
    <s v="Pipeline de Vendas"/>
    <s v="Qualificação de Vendas (SQL) (25%)"/>
    <s v=""/>
    <d v="2026-03-31T00:00:00"/>
    <m/>
    <m/>
    <n v="1"/>
    <s v="Paulo Souza"/>
    <d v="2026-03-16T00:00:00"/>
    <d v="1899-12-30T13:49:55"/>
    <s v=""/>
    <s v="Perdido"/>
    <d v="2026-03-17T00:00:00"/>
    <d v="1899-12-30T09:41:15"/>
    <s v="Fora do porte mínimo (sem fit estrutural)"/>
    <s v="(17/03/2026) em contato com Diego ! a Biricutico é um deposito de bebidas com venda balcão para pessoa física"/>
    <s v=""/>
    <x v="0"/>
    <s v="Junior Lopes"/>
    <x v="0"/>
    <s v=""/>
    <d v="2026-03-17T00:00:00"/>
    <n v="30"/>
    <s v=""/>
    <s v=""/>
    <s v=""/>
    <s v=""/>
    <n v="1"/>
  </r>
  <r>
    <x v="2"/>
    <n v="1023"/>
    <m/>
    <n v="3386"/>
    <s v="Falei com o Marcelo são uma distribuidora de descartaveis e estão buscando um software. _x000a_30.03 - esta viajando, pediu retorno na proxima semana_x000a_Passei informações sobre a Guarani, e enviei nossa apresentação, hoje vão ter uma reunião interna para saber quais sistemas que vão 18/03 agendar uma apresentação _x000a_30.03 - Falou que esta em viagem, pediu para retornar_x000a_07.03 - não estou tendo nenhum retorno"/>
    <s v=""/>
    <x v="520"/>
    <n v="57769346000176"/>
    <s v=""/>
    <s v="Plus atacadista"/>
    <s v="(62) 8318-2116/ (0000) 0000-0000"/>
    <s v=""/>
    <s v="diretor@staratacadista.com.br"/>
    <s v=""/>
    <s v=""/>
    <s v=""/>
    <s v="GOIANIA"/>
    <s v="GO"/>
    <s v="Campanha"/>
    <s v=""/>
    <s v=""/>
    <s v="Dentro Perfil;Instagram"/>
    <s v="Pipeline de Vendas"/>
    <s v="Apresentar Solução (35%)"/>
    <s v=""/>
    <d v="2026-07-31T00:00:00"/>
    <m/>
    <m/>
    <n v="22"/>
    <s v="Paulo Souza"/>
    <d v="2026-03-16T00:00:00"/>
    <d v="1899-12-30T13:51:06"/>
    <s v=""/>
    <s v="Perdido"/>
    <d v="2026-04-07T00:00:00"/>
    <d v="1899-12-30T10:45:40"/>
    <s v="Fora do porte mínimo (sem fit estrutural)"/>
    <s v=""/>
    <s v=""/>
    <x v="187"/>
    <s v="Rayssa Karapeticov"/>
    <x v="215"/>
    <s v=""/>
    <d v="2026-04-07T00:00:00"/>
    <n v="30"/>
    <s v=""/>
    <s v=""/>
    <s v=""/>
    <s v=""/>
    <n v="1"/>
  </r>
  <r>
    <x v="0"/>
    <n v="1024"/>
    <m/>
    <n v="3388"/>
    <s v="18/03 Liguei para o Tiago não atendeu. Deixei recado no whatsapp !_x000a_18/03 Tiago retorno por audio e falou que essa semana está ocupado e não consegue falar. Vai me retornar ate o fim da semana._x000a_20/03 Após conversa com o Tiago ele avisou que essa semana esta inviável para falar que conversamos semana que vem."/>
    <s v=""/>
    <x v="521"/>
    <m/>
    <s v=""/>
    <s v="Tiago"/>
    <s v="62991537827"/>
    <s v=""/>
    <s v="mastervedacoesind@gmail.com"/>
    <s v=""/>
    <s v=""/>
    <s v=""/>
    <s v=""/>
    <s v=""/>
    <s v="Campanha"/>
    <s v=""/>
    <s v=""/>
    <s v="Dentro Perfil;Instagram"/>
    <s v="Pipeline de Vendas"/>
    <s v="Qualificação de Vendas (SQL) (25%)"/>
    <s v=""/>
    <d v="2026-03-31T00:00:00"/>
    <m/>
    <m/>
    <n v="54"/>
    <s v="Paulo Souza"/>
    <d v="2026-03-16T00:00:00"/>
    <d v="1899-12-30T13:52:07"/>
    <s v=""/>
    <s v="Perdido"/>
    <d v="2026-05-09T00:00:00"/>
    <d v="1899-12-30T07:58:33"/>
    <s v="Sem qualificação — contato não atende ligações nem responde msg"/>
    <s v=""/>
    <s v=""/>
    <x v="0"/>
    <s v="Paulo Souza"/>
    <x v="0"/>
    <s v=""/>
    <d v="2026-03-20T00:00:00"/>
    <n v="30"/>
    <s v=""/>
    <s v=""/>
    <s v=""/>
    <s v=""/>
    <n v="1"/>
  </r>
  <r>
    <x v="0"/>
    <n v="1025"/>
    <m/>
    <n v="3389"/>
    <s v="18/03 Liguei para o Dimitrius e ele estava viajando hoje, vai me retornar ainda esta semana._x000a_18/03 Dimitrius retornou o áudio, avisou que vai me retornar assim que terminar a viagem que faz hoje._x000a_20/03 Fiz uma conversa com Demétrius para entender o cenário dele e alinhamos que ele vai preencher o formulário e depois disso fazer uma apresentação."/>
    <s v=""/>
    <x v="522"/>
    <m/>
    <s v=""/>
    <s v="Dimitrius"/>
    <s v="73988565500"/>
    <s v=""/>
    <s v="dimigrintzos@gmail.com"/>
    <s v=""/>
    <s v=""/>
    <s v=""/>
    <s v=""/>
    <s v=""/>
    <s v="Campanha"/>
    <s v=""/>
    <s v=""/>
    <s v="Dentro Perfil;Instagram"/>
    <s v="Pipeline de Vendas"/>
    <s v="Apresentar Solução (35%)"/>
    <s v=""/>
    <d v="2026-03-31T00:00:00"/>
    <m/>
    <m/>
    <n v="25"/>
    <s v="Paulo Souza"/>
    <d v="2026-03-16T00:00:00"/>
    <d v="1899-12-30T13:53:00"/>
    <s v=""/>
    <s v="Perdido"/>
    <d v="2026-04-10T00:00:00"/>
    <d v="1899-12-30T14:40:40"/>
    <s v="Projeto adiado / sem prazo definido"/>
    <s v=""/>
    <s v=""/>
    <x v="0"/>
    <s v="Paulo Souza"/>
    <x v="0"/>
    <s v=""/>
    <d v="2026-03-20T00:00:00"/>
    <n v="30"/>
    <s v=""/>
    <s v="ERP, AFV"/>
    <s v=""/>
    <s v=""/>
    <n v="1"/>
  </r>
  <r>
    <x v="1"/>
    <n v="1026"/>
    <m/>
    <n v="3390"/>
    <s v="14:10, 16/03/2026 Junior Lopes: Olá Rogerio, boa tarde ! _x000a_(27/03/2026) após varias tentativas sem retorno do Rogério , declinando oportunidade_x000a_Sou Junior Lopes da Guarani sistemas_x000a_14:11, 16/03/2026 Junior Lopes: estou retornando um contato que vc fez conosco_x000a_12:18, 19/03/2026 Junior Lopes: OLá Rogério ! tudo Bem ?_x000a_12:19, 19/03/2026 Junior Lopes: tem interesse em dar continuidade ?_x000a_(06/04/2026) varias tentativas de contato sem retorno"/>
    <s v=""/>
    <x v="523"/>
    <n v="35511300000110"/>
    <s v=""/>
    <s v="Vivazhigienização"/>
    <s v="82993812526"/>
    <s v=""/>
    <s v="progeriogomesxavier@gmail.comp"/>
    <s v=""/>
    <s v=""/>
    <s v=""/>
    <s v=""/>
    <s v=""/>
    <s v="Campanha"/>
    <s v=""/>
    <s v=""/>
    <s v="Dentro Perfil;Instagram"/>
    <s v="Pipeline de Vendas"/>
    <s v="Qualificação de Vendas (SQL) (25%)"/>
    <s v=""/>
    <d v="2026-03-31T00:00:00"/>
    <m/>
    <m/>
    <n v="54"/>
    <s v="Paulo Souza"/>
    <d v="2026-03-16T00:00:00"/>
    <d v="1899-12-30T13:53:57"/>
    <s v=""/>
    <s v="Perdido"/>
    <d v="2026-05-09T00:00:00"/>
    <d v="1899-12-30T07:59:08"/>
    <s v="Sem qualificação — contato não atende ligações nem responde msg"/>
    <s v=""/>
    <s v=""/>
    <x v="0"/>
    <s v="Junior Lopes"/>
    <x v="0"/>
    <s v=""/>
    <d v="2026-04-06T00:00:00"/>
    <n v="30"/>
    <s v=""/>
    <s v=""/>
    <s v=""/>
    <s v=""/>
    <n v="1"/>
  </r>
  <r>
    <x v="2"/>
    <n v="1027"/>
    <m/>
    <n v="3391"/>
    <s v=""/>
    <s v=""/>
    <x v="524"/>
    <m/>
    <s v=""/>
    <s v="Master"/>
    <s v="31994220888"/>
    <s v=""/>
    <s v="anibalsmoura@gmail.com"/>
    <s v=""/>
    <s v=""/>
    <s v=""/>
    <s v=""/>
    <s v=""/>
    <s v="Campanha"/>
    <s v=""/>
    <s v=""/>
    <s v="Dentro Perfil;Instagram"/>
    <s v="Pipeline de Vendas"/>
    <s v="Agendamento (0%)"/>
    <s v=""/>
    <d v="2026-07-31T00:00:00"/>
    <m/>
    <m/>
    <n v="54"/>
    <s v="Paulo Souza"/>
    <d v="2026-03-16T00:00:00"/>
    <d v="1899-12-30T13:54:58"/>
    <s v=""/>
    <s v="Perdido"/>
    <d v="2026-05-09T00:00:00"/>
    <d v="1899-12-30T21:12:46"/>
    <s v="Sem qualificação — contato não atende ligações nem responde msg"/>
    <s v=""/>
    <s v=""/>
    <x v="0"/>
    <s v="Rayssa Karapeticov"/>
    <x v="0"/>
    <s v=""/>
    <d v="2026-03-17T00:00:00"/>
    <n v="30"/>
    <s v=""/>
    <s v=""/>
    <s v=""/>
    <s v=""/>
    <n v="1"/>
  </r>
  <r>
    <x v="2"/>
    <n v="1029"/>
    <m/>
    <n v="3395"/>
    <s v="30.03 Tinhamos agendado uma apresentação na sexta-feira (27/03) porém o Vagner consultor da Guarani Cancelou e não avisaram o setor comercial. _x000a_Ao passar a informação de ultima hora de cancelamento para o cliente, não consegui reverte o atendimento _x000a_Cliente encerrou o contato com a Guarani Sistemas"/>
    <s v=""/>
    <x v="525"/>
    <n v="6864286000130"/>
    <s v=""/>
    <s v="Bruno"/>
    <s v="(48) 99677-1211"/>
    <s v=""/>
    <s v="bruno@alquimya.com.br"/>
    <s v=""/>
    <s v=""/>
    <s v=""/>
    <s v="Florianópolis"/>
    <s v=""/>
    <s v="Site"/>
    <s v=""/>
    <s v=""/>
    <s v=""/>
    <s v="Pipeline de Vendas"/>
    <s v="Apresentar Solução (35%)"/>
    <s v=""/>
    <d v="2026-05-31T00:00:00"/>
    <m/>
    <m/>
    <n v="13"/>
    <s v="Paulo Souza"/>
    <d v="2026-03-17T00:00:00"/>
    <d v="1899-12-30T15:45:42"/>
    <s v=""/>
    <s v="Perdido"/>
    <d v="2026-03-30T00:00:00"/>
    <d v="1899-12-30T15:55:01"/>
    <s v="Fechou com o concorrente - preço"/>
    <s v=""/>
    <s v=""/>
    <x v="0"/>
    <s v="Rayssa Karapeticov"/>
    <x v="0"/>
    <s v=""/>
    <d v="2026-03-30T00:00:00"/>
    <n v="30"/>
    <s v=""/>
    <s v="ERP, AFV, PCP"/>
    <s v=""/>
    <s v=""/>
    <n v="1"/>
  </r>
  <r>
    <x v="1"/>
    <n v="1030"/>
    <m/>
    <n v="3396"/>
    <s v="(23/06/2026) em contato com Leandro , atualmente o perfil é uma padaria e uma fabrica de pequeno porte de pão de alho ! enviei uma estimativa de valores mas achou que para o momento esta muito acima"/>
    <s v=""/>
    <x v="526"/>
    <m/>
    <s v=""/>
    <s v="Pão de alho"/>
    <s v="62985336869"/>
    <s v=""/>
    <s v="therabyte_go@hotmail.com"/>
    <s v=""/>
    <s v=""/>
    <s v=""/>
    <s v=""/>
    <s v=""/>
    <s v="Campanha"/>
    <s v=""/>
    <s v=""/>
    <s v="Fora Perfil;Instagram"/>
    <s v="Pipeline de Vendas"/>
    <s v="Qualificação de Vendas (SQL) (25%)"/>
    <s v=""/>
    <d v="2026-03-31T00:00:00"/>
    <m/>
    <m/>
    <n v="22"/>
    <s v="Paulo Souza"/>
    <d v="2026-03-17T00:00:00"/>
    <d v="1899-12-30T15:47:06"/>
    <s v=""/>
    <s v="Perdido"/>
    <d v="2026-04-08T00:00:00"/>
    <d v="1899-12-30T17:21:21"/>
    <s v="Fora do porte mínimo (sem fit estrutural)"/>
    <s v="(23/06/2026) em contato com Leandro , atualmente o perfil é uma padaria e uma fabrica de pequeno porte de pão de alho ! enviei uma estimativa de valores mas achou que para o momento esta muito acima"/>
    <s v=""/>
    <x v="0"/>
    <s v="Junior Lopes"/>
    <x v="0"/>
    <s v=""/>
    <d v="2026-03-23T00:00:00"/>
    <n v="30"/>
    <s v=""/>
    <s v=""/>
    <s v=""/>
    <s v=""/>
    <n v="1"/>
  </r>
  <r>
    <x v="0"/>
    <n v="1031"/>
    <m/>
    <n v="3397"/>
    <s v="18/03 Liguei para o Celso e ele não atendeu deixei recado no zap."/>
    <s v=""/>
    <x v="527"/>
    <n v="27742655000191"/>
    <s v=""/>
    <s v="Celso"/>
    <s v="21970038782"/>
    <s v=""/>
    <s v="gerencia@inovapet.com.br"/>
    <s v=""/>
    <s v=""/>
    <s v=""/>
    <s v=""/>
    <s v=""/>
    <s v="Campanha"/>
    <s v=""/>
    <s v=""/>
    <s v="Dentro Perfil;Instagram"/>
    <s v="Pipeline de Vendas"/>
    <s v="Qualificação de Vendas (SQL) (25%)"/>
    <s v=""/>
    <d v="2026-03-31T00:00:00"/>
    <m/>
    <m/>
    <n v="3"/>
    <s v="Paulo Souza"/>
    <d v="2026-03-17T00:00:00"/>
    <d v="1899-12-30T15:49:33"/>
    <s v=""/>
    <s v="Perdido"/>
    <d v="2026-03-20T00:00:00"/>
    <d v="1899-12-30T15:43:59"/>
    <s v="Fora do porte mínimo (sem fit estrutural)"/>
    <s v=""/>
    <s v=""/>
    <x v="0"/>
    <s v="Paulo Souza"/>
    <x v="0"/>
    <s v=""/>
    <m/>
    <n v="30"/>
    <s v=""/>
    <s v=""/>
    <s v=""/>
    <s v=""/>
    <n v="1"/>
  </r>
  <r>
    <x v="2"/>
    <n v="1032"/>
    <m/>
    <n v="3402"/>
    <s v="Cliente entrou em contato pelo suporte pedindo contato comercial apra falar sobre software, tentie ligar e mandie msg mas ainda não me retornou _x000a_31.03 - não atendeu,"/>
    <s v=""/>
    <x v="528"/>
    <n v="27742655000191"/>
    <s v=""/>
    <s v="Celso"/>
    <s v="(21) 3451-9599"/>
    <s v=""/>
    <s v="inovapet.adm@gmail.com"/>
    <s v=""/>
    <s v=""/>
    <s v=""/>
    <s v="DUQUE DE CAXIAS"/>
    <s v="RJ"/>
    <s v=""/>
    <s v=""/>
    <s v=""/>
    <s v=""/>
    <s v="Pipeline de Vendas"/>
    <s v="Agendamento (0%)"/>
    <s v=""/>
    <d v="2026-07-31T00:00:00"/>
    <m/>
    <m/>
    <n v="35"/>
    <s v="Rayssa Karapeticov"/>
    <d v="2026-03-18T00:00:00"/>
    <d v="1899-12-30T11:38:25"/>
    <s v=""/>
    <s v="Perdido"/>
    <d v="2026-04-22T00:00:00"/>
    <d v="1899-12-30T17:16:19"/>
    <s v="Não era o decisor - sem acesso"/>
    <s v=""/>
    <s v=""/>
    <x v="0"/>
    <s v="Rayssa Karapeticov"/>
    <x v="0"/>
    <s v=""/>
    <d v="2026-04-22T00:00:00"/>
    <n v="30"/>
    <s v=""/>
    <s v=""/>
    <s v=""/>
    <s v=""/>
    <n v="1"/>
  </r>
  <r>
    <x v="2"/>
    <n v="1033"/>
    <m/>
    <n v="3401"/>
    <s v="19.03 - CLiente estava em reunião, retornar o contato_x000a_20.03 cliente respondeu o formulário tentando agendar uma apresentação do ERp para o dia 31/03_x000a_30/03 - Fiz vários contato com o cliente para agendar uma apresentação e não tive retorno"/>
    <s v=""/>
    <x v="529"/>
    <n v="27251864000132"/>
    <s v=""/>
    <s v="Vinicius Primo"/>
    <s v="(19) 99959-1568"/>
    <s v=""/>
    <s v="engenharia@a2industrial.com.br"/>
    <s v=""/>
    <s v=""/>
    <s v=""/>
    <s v="Rio de Janeiro"/>
    <s v=""/>
    <s v="Site"/>
    <s v=""/>
    <s v=""/>
    <s v="Solicita demo"/>
    <s v="Pipeline de Vendas"/>
    <s v="Apresentar Solução (35%)"/>
    <s v=""/>
    <d v="2026-06-30T00:00:00"/>
    <m/>
    <m/>
    <n v="12"/>
    <s v="Paulo Souza"/>
    <d v="2026-03-18T00:00:00"/>
    <d v="1899-12-30T15:25:11"/>
    <s v=""/>
    <s v="Perdido"/>
    <d v="2026-03-30T00:00:00"/>
    <d v="1899-12-30T15:53:15"/>
    <s v="Projeto adiado / sem prazo definido"/>
    <s v=""/>
    <s v=""/>
    <x v="0"/>
    <s v="Rayssa Karapeticov"/>
    <x v="0"/>
    <s v=""/>
    <d v="2026-03-30T00:00:00"/>
    <n v="30"/>
    <s v=""/>
    <s v="ERP"/>
    <s v=""/>
    <s v=""/>
    <n v="1"/>
  </r>
  <r>
    <x v="1"/>
    <n v="1034"/>
    <m/>
    <n v="3400"/>
    <s v="(27/03/2026) Flavio não responde aos contatos"/>
    <s v=""/>
    <x v="530"/>
    <m/>
    <s v=""/>
    <s v="FM Negocios"/>
    <s v="11987194488"/>
    <s v=""/>
    <s v="fmsallas@gmail.com"/>
    <s v=""/>
    <s v=""/>
    <s v=""/>
    <s v=""/>
    <s v=""/>
    <s v="Campanha"/>
    <s v=""/>
    <s v=""/>
    <s v="Fora Perfil;Instagram"/>
    <s v="Pipeline de Vendas"/>
    <s v="Qualificação de Vendas (SQL) (25%)"/>
    <s v=""/>
    <d v="2026-03-31T00:00:00"/>
    <m/>
    <m/>
    <n v="21"/>
    <s v="Paulo Souza"/>
    <d v="2026-03-18T00:00:00"/>
    <d v="1899-12-30T15:26:48"/>
    <s v=""/>
    <s v="Perdido"/>
    <d v="2026-04-08T00:00:00"/>
    <d v="1899-12-30T17:22:35"/>
    <s v="Fora do porte mínimo (sem fit estrutural)"/>
    <s v="Flavio não responde aos contatos"/>
    <s v=""/>
    <x v="0"/>
    <s v="Junior Lopes"/>
    <x v="0"/>
    <s v=""/>
    <d v="2026-03-27T00:00:00"/>
    <n v="30"/>
    <s v=""/>
    <s v=""/>
    <s v=""/>
    <s v=""/>
    <n v="1"/>
  </r>
  <r>
    <x v="0"/>
    <n v="1035"/>
    <m/>
    <n v="3399"/>
    <s v="18/03 Fiz contato com o Itamar, sem retorno ate o momento._x000a_20/03 Falei com o Itamar esta na unimed ficamos de falar na próxima semana."/>
    <s v=""/>
    <x v="531"/>
    <m/>
    <s v=""/>
    <s v="Concreps"/>
    <s v="62984060714"/>
    <s v=""/>
    <s v="itamarbuenoadv@gmail.com"/>
    <s v=""/>
    <s v=""/>
    <s v=""/>
    <s v=""/>
    <s v=""/>
    <s v="Campanha"/>
    <s v=""/>
    <s v=""/>
    <s v="Dentro Perfil;Instagram"/>
    <s v="Pipeline de Vendas"/>
    <s v="Qualificação de Vendas (SQL) (25%)"/>
    <s v=""/>
    <d v="2026-03-31T00:00:00"/>
    <m/>
    <m/>
    <n v="52"/>
    <s v="Paulo Souza"/>
    <d v="2026-03-18T00:00:00"/>
    <d v="1899-12-30T15:27:53"/>
    <s v=""/>
    <s v="Perdido"/>
    <d v="2026-05-09T00:00:00"/>
    <d v="1899-12-30T08:02:23"/>
    <s v="Sem qualificação — contato não atende ligações nem responde msg"/>
    <s v=""/>
    <s v=""/>
    <x v="0"/>
    <s v="Paulo Souza"/>
    <x v="0"/>
    <s v=""/>
    <d v="2026-03-20T00:00:00"/>
    <n v="30"/>
    <s v=""/>
    <s v=""/>
    <s v=""/>
    <s v=""/>
    <n v="1"/>
  </r>
  <r>
    <x v="2"/>
    <n v="1037"/>
    <m/>
    <n v="3404"/>
    <s v="19.03 - Tentei contato por telefone, ligação por whatsapp e mensagem. _x000a_20.03 Convite enviado para Quarta (25/03) as 15h_x000a_Segue o link também:_x000a_https://teams.microsoft.com/meet/25533981257135?p=HZgs0XbZOVQrxgr3rL_x000a_24/03Realizamos uma apresentação do ERP, mas como o cliente é logista pediu uma previsão de investimento e achou o valor acima"/>
    <s v=""/>
    <x v="532"/>
    <m/>
    <s v=""/>
    <s v="Auto peças taurus"/>
    <s v="61981840031"/>
    <s v=""/>
    <s v="gustavoandreh@yahoo.com.br"/>
    <s v=""/>
    <s v=""/>
    <s v=""/>
    <s v=""/>
    <s v=""/>
    <s v="Campanha"/>
    <s v=""/>
    <s v=""/>
    <s v="Dentro Perfil;Instagram"/>
    <s v="Pipeline de Vendas"/>
    <s v="Apresentar Solução (35%)"/>
    <s v=""/>
    <d v="2026-03-31T00:00:00"/>
    <m/>
    <m/>
    <n v="51"/>
    <s v="Paulo Souza"/>
    <d v="2026-03-19T00:00:00"/>
    <d v="1899-12-30T10:26:22"/>
    <s v=""/>
    <s v="Perdido"/>
    <d v="2026-05-09T00:00:00"/>
    <d v="1899-12-30T21:07:24"/>
    <s v="Preço muito alto - fora do budget de investimento"/>
    <s v=""/>
    <s v=""/>
    <x v="200"/>
    <s v="Rayssa Karapeticov"/>
    <x v="219"/>
    <s v=""/>
    <d v="2026-03-24T00:00:00"/>
    <n v="30"/>
    <s v=""/>
    <s v=""/>
    <s v=""/>
    <s v=""/>
    <n v="1"/>
  </r>
  <r>
    <x v="1"/>
    <n v="1038"/>
    <m/>
    <n v="3405"/>
    <s v="11:55, 19/03/2026 Junior Lopes: Faz sentido para vocês ?_x000a_11:56, 19/03/2026 +55 35 9839-4949: Acredito que nao_x000a_12:02, 19/03/2026 +55 35 9839-4949: Distribuidor_x000a_12:02, 19/03/2026 +55 35 9839-4949: Frutas e legumes_x000a_12:03, 19/03/2026 Junior Lopes: E vc tem vendedores externos ?_x000a_12:09, 19/03/2026 +55 35 9839-4949: Somente 1"/>
    <s v=""/>
    <x v="533"/>
    <m/>
    <s v=""/>
    <s v="Grupo Kimura"/>
    <s v="35998394949"/>
    <s v=""/>
    <s v="veniltonsouza@hotmail.com"/>
    <s v=""/>
    <s v=""/>
    <s v=""/>
    <s v=""/>
    <s v=""/>
    <s v="Campanha"/>
    <s v=""/>
    <s v=""/>
    <s v="Fora Perfil;Instagram"/>
    <s v="Pipeline de Vendas"/>
    <s v="Qualificação de Vendas (SQL) (25%)"/>
    <s v=""/>
    <m/>
    <m/>
    <m/>
    <n v="0"/>
    <s v="Paulo Souza"/>
    <d v="2026-03-19T00:00:00"/>
    <d v="1899-12-30T10:29:59"/>
    <s v=""/>
    <s v="Perdido"/>
    <d v="2026-03-19T00:00:00"/>
    <d v="1899-12-30T12:15:59"/>
    <s v="Fora do porte mínimo (sem fit estrutural)"/>
    <s v="Cliente de porte muito pequeno"/>
    <s v=""/>
    <x v="0"/>
    <s v="Junior Lopes"/>
    <x v="0"/>
    <s v=""/>
    <m/>
    <n v="30"/>
    <s v=""/>
    <s v=""/>
    <s v=""/>
    <s v=""/>
    <n v="1"/>
  </r>
  <r>
    <x v="2"/>
    <n v="1040"/>
    <m/>
    <n v="3408"/>
    <s v="20.03 - Oi Raysa, bem e você?_x000a_Estou em viagem e só volto no final da próxima semana. _x000a_Podemos deixar para o meu retorno?_x000a_23.03 esta em viagem e retorna no final da proxima semana, agendando contato_x000a_31.03 retomamos o contato hoje _x000a_06.04 Eduardo pediu para entrar em contato com o Rafael, preciso entender o negócio deles."/>
    <s v=""/>
    <x v="534"/>
    <n v="40707794000142"/>
    <s v=""/>
    <s v="Aquatrat"/>
    <s v="71999081968"/>
    <s v=""/>
    <s v="eduardo@aquatrat.com.br"/>
    <s v=""/>
    <s v=""/>
    <s v=""/>
    <s v=""/>
    <s v=""/>
    <s v="Campanha"/>
    <s v=""/>
    <s v=""/>
    <s v="Fora Perfil;Instagram"/>
    <s v="Pipeline de Vendas"/>
    <s v="Agendamento (0%)"/>
    <s v=""/>
    <d v="2026-04-30T00:00:00"/>
    <m/>
    <m/>
    <n v="33"/>
    <s v="Paulo Souza"/>
    <d v="2026-03-20T00:00:00"/>
    <d v="1899-12-30T09:22:44"/>
    <s v=""/>
    <s v="Perdido"/>
    <d v="2026-04-22T00:00:00"/>
    <d v="1899-12-30T17:13:52"/>
    <s v="Fora do porte mínimo (sem fit estrutural)"/>
    <s v=""/>
    <s v=""/>
    <x v="0"/>
    <s v="Rayssa Karapeticov"/>
    <x v="0"/>
    <s v=""/>
    <d v="2026-04-22T00:00:00"/>
    <n v="30"/>
    <s v=""/>
    <s v=""/>
    <s v=""/>
    <s v=""/>
    <n v="1"/>
  </r>
  <r>
    <x v="2"/>
    <n v="1041"/>
    <m/>
    <n v="3409"/>
    <s v="20.03 não atendeu_x000a_Boa tarde Jairo, tudo bem?_x000a_Meu nome é Rayssa, sou da Guarani Sistemas, estou retornando seu contato interessado em software para a empresa VENTMAR Ventilação_x000a_podemos falar?_x000a_23.03 achou o investimento alto, é uma loja de bairro"/>
    <s v=""/>
    <x v="535"/>
    <m/>
    <s v=""/>
    <s v="VENTMAR Ventilacao"/>
    <s v="67999748649"/>
    <s v=""/>
    <s v="jairodsm@gmail.com"/>
    <s v=""/>
    <s v=""/>
    <s v=""/>
    <s v=""/>
    <s v=""/>
    <s v="Campanha"/>
    <s v=""/>
    <s v=""/>
    <s v="Fora Perfil;Instagram"/>
    <s v="Pipeline de Vendas"/>
    <s v="Agendamento (0%)"/>
    <s v=""/>
    <m/>
    <m/>
    <m/>
    <n v="50"/>
    <s v="Paulo Souza"/>
    <d v="2026-03-20T00:00:00"/>
    <d v="1899-12-30T15:28:44"/>
    <s v=""/>
    <s v="Perdido"/>
    <d v="2026-05-09T00:00:00"/>
    <d v="1899-12-30T21:09:38"/>
    <s v="Fora do porte mínimo (sem fit estrutural)"/>
    <s v=""/>
    <s v=""/>
    <x v="0"/>
    <s v="Rayssa Karapeticov"/>
    <x v="0"/>
    <s v=""/>
    <d v="2026-03-23T00:00:00"/>
    <n v="30"/>
    <s v=""/>
    <s v=""/>
    <s v=""/>
    <s v=""/>
    <n v="1"/>
  </r>
  <r>
    <x v="1"/>
    <n v="1044"/>
    <m/>
    <n v="3414"/>
    <s v="(27/03/2026) Após varias tentativas de contato com Afabio sem retorno ! estou declinando oportunidade"/>
    <s v=""/>
    <x v="536"/>
    <m/>
    <s v=""/>
    <s v="Vilela &amp; Vilela Ltda"/>
    <s v="9991419327"/>
    <s v=""/>
    <s v="afabio2016@gmail.com"/>
    <s v=""/>
    <s v=""/>
    <s v=""/>
    <s v=""/>
    <s v="Para"/>
    <s v="Inbound"/>
    <s v=""/>
    <s v=""/>
    <s v="Fora Perfil;Instagram;Perfil Indefinido"/>
    <s v="Pipeline de Vendas"/>
    <s v="Qualificação de Vendas (SQL) (25%)"/>
    <s v=""/>
    <d v="2026-03-24T00:00:00"/>
    <m/>
    <m/>
    <n v="16"/>
    <s v="Paulo Souza"/>
    <d v="2026-03-23T00:00:00"/>
    <d v="1899-12-30T13:47:48"/>
    <s v=""/>
    <s v="Perdido"/>
    <d v="2026-04-08T00:00:00"/>
    <d v="1899-12-30T17:20:11"/>
    <s v="Fora do porte mínimo (sem fit estrutural)"/>
    <s v="Após varias tentativas de contato com Afabio sem retorno ! estou declinando oportunidade"/>
    <s v=""/>
    <x v="0"/>
    <s v="Junior Lopes"/>
    <x v="0"/>
    <s v=""/>
    <d v="2026-03-23T00:00:00"/>
    <n v="30"/>
    <s v=""/>
    <s v=""/>
    <s v=""/>
    <s v=""/>
    <n v="1"/>
  </r>
  <r>
    <x v="2"/>
    <n v="1045"/>
    <m/>
    <n v="3412"/>
    <s v="24.03 - não consegui contato_x000a_06.04 - telefone não atende_x000a_11:28, 31/03/2026 Rayssa Karapeticov - Comercial - Guarani Sistemas: Bom dia Lucas, como vai?_x000a_Meu nome é Rayssa, sou da Guarani Sistemas. _x000a_Estou tentando contato com você para entender como as soluções da Guarani Sistemas podem atender a MaisMendes Distribuidora Materiais para construção_x000a_11:56, 06/04/2026 Rayssa Karapeticov - Comercial - Guarani Sistemas: Boa tarde Lucas, tudo bem? _x000a_Meu nome é Rayssa, sou da Guarani Sistemas. _x000a_Ainda faz sentido a procura de uma solução para sua empresa?_x000a_07.4"/>
    <s v=""/>
    <x v="537"/>
    <m/>
    <s v=""/>
    <s v="MaisMendes Distribuidora Materiais para construção"/>
    <s v="62993734302"/>
    <s v=""/>
    <s v="lucasmatheusmendes@outlook.com"/>
    <s v=""/>
    <s v=""/>
    <s v=""/>
    <s v=""/>
    <s v=""/>
    <s v="Campanha"/>
    <s v=""/>
    <s v=""/>
    <s v="Fora Perfil;Instagram"/>
    <s v="Pipeline de Vendas"/>
    <s v="Agendamento (0%)"/>
    <s v=""/>
    <d v="2026-04-30T00:00:00"/>
    <m/>
    <m/>
    <n v="15"/>
    <s v="Paulo Souza"/>
    <d v="2026-03-23T00:00:00"/>
    <d v="1899-12-30T13:49:09"/>
    <s v=""/>
    <s v="Perdido"/>
    <d v="2026-04-07T00:00:00"/>
    <d v="1899-12-30T09:36:31"/>
    <s v="Fora do porte mínimo (sem fit estrutural)"/>
    <s v=""/>
    <s v=""/>
    <x v="0"/>
    <s v="Rayssa Karapeticov"/>
    <x v="0"/>
    <s v=""/>
    <d v="2026-04-07T00:00:00"/>
    <n v="30"/>
    <s v=""/>
    <s v=""/>
    <s v=""/>
    <s v=""/>
    <n v="1"/>
  </r>
  <r>
    <x v="1"/>
    <n v="1046"/>
    <m/>
    <n v="3411"/>
    <s v="(23/03/2026) contato com Rafael _x000a_(27/03/2026) Rafael não responde aos contato"/>
    <s v=""/>
    <x v="538"/>
    <n v="32354207000150"/>
    <s v=""/>
    <s v="DISTRIBOM"/>
    <s v="27999328628"/>
    <s v=""/>
    <s v="rafaeldebossan@gmail.com"/>
    <s v=""/>
    <s v=""/>
    <s v=""/>
    <s v="VILA VELHA"/>
    <s v="ES"/>
    <s v="Campanha"/>
    <s v=""/>
    <s v=""/>
    <s v="Dentro Perfil;Instagram"/>
    <s v="Pipeline de Vendas"/>
    <s v="Qualificação de Vendas (SQL) (25%)"/>
    <s v=""/>
    <d v="2026-03-31T00:00:00"/>
    <m/>
    <m/>
    <n v="47"/>
    <s v="Paulo Souza"/>
    <d v="2026-03-23T00:00:00"/>
    <d v="1899-12-30T13:50:19"/>
    <s v=""/>
    <s v="Perdido"/>
    <d v="2026-05-09T00:00:00"/>
    <d v="1899-12-30T08:02:53"/>
    <s v="Sem qualificação — contato não atende ligações nem responde msg"/>
    <s v=""/>
    <s v=""/>
    <x v="0"/>
    <s v="Junior Lopes"/>
    <x v="0"/>
    <s v=""/>
    <d v="2026-03-27T00:00:00"/>
    <n v="30"/>
    <s v=""/>
    <s v=""/>
    <s v=""/>
    <s v=""/>
    <n v="1"/>
  </r>
  <r>
    <x v="1"/>
    <n v="1047"/>
    <m/>
    <n v="3417"/>
    <s v=""/>
    <s v=""/>
    <x v="539"/>
    <m/>
    <s v=""/>
    <s v="Preciza Imports"/>
    <s v="11947600755"/>
    <s v=""/>
    <s v="financeiro@precizaimports.com.br"/>
    <s v=""/>
    <s v=""/>
    <s v=""/>
    <s v=""/>
    <s v=""/>
    <s v=""/>
    <s v=""/>
    <s v=""/>
    <s v=""/>
    <s v="Pipeline de Vendas"/>
    <s v="Em Fechamento (100%)"/>
    <s v=""/>
    <m/>
    <n v="1652929"/>
    <n v="0"/>
    <n v="0"/>
    <s v="Junior Lopes"/>
    <d v="2026-03-24T00:00:00"/>
    <d v="1899-12-30T16:07:13"/>
    <s v=""/>
    <s v="Ganho"/>
    <d v="2026-03-24T00:00:00"/>
    <d v="1899-12-30T16:09:06"/>
    <s v=""/>
    <s v=""/>
    <s v=""/>
    <x v="84"/>
    <s v=""/>
    <x v="0"/>
    <s v=""/>
    <m/>
    <n v="90"/>
    <s v=""/>
    <s v=""/>
    <s v=""/>
    <s v=""/>
    <n v="1"/>
  </r>
  <r>
    <x v="1"/>
    <n v="1049"/>
    <m/>
    <n v="3420"/>
    <s v="(31/03/2026) Reciclanorte  tem algumas particularidades que fogem do nosso ERP"/>
    <s v=""/>
    <x v="540"/>
    <n v="33582253000170"/>
    <s v=""/>
    <s v="Mateus Ramos"/>
    <s v="(38) 9968-0779"/>
    <s v=""/>
    <s v="reciclanorte2@gmail.com"/>
    <s v=""/>
    <s v=""/>
    <s v=""/>
    <s v="PONTO CHIQUE"/>
    <s v="MG"/>
    <s v="Site"/>
    <s v=""/>
    <s v=""/>
    <s v="Contato;Fora Perfil"/>
    <s v="Pipeline de Vendas"/>
    <s v="Qualificação de Vendas (SQL) (25%)"/>
    <s v=""/>
    <d v="2026-03-31T00:00:00"/>
    <m/>
    <m/>
    <n v="7"/>
    <s v="Paulo Souza"/>
    <d v="2026-03-25T00:00:00"/>
    <d v="1899-12-30T16:31:34"/>
    <s v=""/>
    <s v="Perdido"/>
    <d v="2026-04-01T00:00:00"/>
    <d v="1899-12-30T10:29:40"/>
    <s v="Fora do porte mínimo (sem fit estrutural)"/>
    <s v="(31/03/2026) Reciclanorte  tem algumas particularidades que fogem do nosso ERP"/>
    <s v=""/>
    <x v="0"/>
    <s v="Junior Lopes"/>
    <x v="0"/>
    <s v=""/>
    <d v="2026-03-31T00:00:00"/>
    <n v="30"/>
    <s v=""/>
    <s v=""/>
    <s v=""/>
    <s v=""/>
    <n v="1"/>
  </r>
  <r>
    <x v="1"/>
    <n v="1050"/>
    <m/>
    <n v="3427"/>
    <s v="10:07, 14/04/2026 Luccas Globalmix: Bom dia meu amigo, tudo bem? _x000a_Desculpe não te responder. Estou com alguns problemas de família e estive meio ausente. _x000a_Analisamos sua proposta e infelizmente ficou muito acima do que estávamos planejando nesse momento. _x000a_Desculpe a minha ignorância, mas não consegui compreender o motivo de um custo tão alto para a implementação de um ERP já existente. O custo que você me passou é basicamente o de desenvolver um novo sistema próprio. _x000a_Infelizmente nessas condições é inviável para nós nesse momento. _x000a_Agradeço pelo seu atendimento nas últimas semanas, foi extremamente atencioso. Espero que compreenda. _x000a_Obrigado_x000a_10:15, 14/04/2026 Junior Lopes: Bom dia, Luccas, tudo bem?_x000a_Primeiro, espero que as coisas com sua família se resolvam da melhor forma possível. Fica tranquilo quanto ao retorno, eu entendo perfeitamente._x000a_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_x000a_O que está incluso nesse investimento é justamente o que vai fazer o sistema “virar realidade” dentro da Globalmix:_x000a_– entendimento dos processos de vocês;_x000a_– parametrização do ERP para a realidade da empresa;_x000a_– construção/ajuste dos relatórios que vocês precisam;_x000a_– validação e homologação do funcionamento antes de ir para produção;_x000a_– integração com a Lisa Log;_x000a_– e, principalmente, treinamento da equipe e acompanhamento na virada, para que todo mundo use da forma correta e o projeto traga resultado._x000a_Sem essa etapa de consultoria, o risco é ter um sistema bom, mas mal configurado ou pouco usado, o que acaba gerando retrabalho e perda de confiança na ferramenta – e é justamente isso que queremos evitar._x000a_Dito isso, eu entendo totalmente a questão de orçamento. Se fizer sentido para você, eu posso:_x000a_1) rever o escopo para enxugar etapas e tentar adequar o investimento ao momento da Globalmix; ou_x000a_2) pensar em uma implantação por fases, começando pelo essencial (comercial + força de vendas + básico de estoque) e deixando integrações e aprofundamentos para uma segunda etapa._x000a_Você se sentiria confortável em me dizer qual faixa de investimento vocês tinham planejado, para eu ver o que é possível ajustar com transparência?"/>
    <s v=""/>
    <x v="541"/>
    <m/>
    <s v=""/>
    <s v="GlobalMix - Cloud"/>
    <s v="11988736515"/>
    <s v=""/>
    <s v="contabilgrupocrx@gmail.com"/>
    <s v=""/>
    <s v=""/>
    <s v=""/>
    <s v=""/>
    <s v=""/>
    <s v=""/>
    <s v=""/>
    <s v=""/>
    <s v=""/>
    <s v="Pipeline de Vendas"/>
    <s v="Apresentar Solução (35%)"/>
    <s v=""/>
    <m/>
    <n v="1600"/>
    <n v="252471"/>
    <n v="20"/>
    <s v="Junior Lopes"/>
    <d v="2026-03-26T00:00:00"/>
    <d v="1899-12-30T15:55:09"/>
    <s v=""/>
    <s v="Perdido"/>
    <d v="2026-04-15T00:00:00"/>
    <d v="1899-12-30T09:40:31"/>
    <s v="Não houve aprovação financeira"/>
    <s v="10:07, 14/04/2026 Luccas Globalmix: Bom dia meu amigo, tudo bem? _x000a_Desculpe não te responder. Estou com alguns problemas de família e estive meio ausente. _x000a_Analisamos sua proposta e infelizmente ficou muito acima do que estávamos planejando nesse momento. _x000a_Desculpe a minha ignorância, mas não consegui compreender o motivo de um custo tão alto para a implementação de um ERP já existente. O custo que você me passou é basicamente o de desenvolver um novo sistema próprio. _x000a_Infelizmente nessas condições é inviável para nós nesse momento. _x000a_Agradeço pelo seu atendimento nas últimas semanas, foi extremamente atencioso. Espero que compreenda. _x000a_Obrigado_x000a_10:15, 14/04/2026 Junior Lopes: Bom dia, Luccas, tudo bem?_x000a_Primeiro, espero que as coisas com sua família se resolvam da melhor forma possível. Fica tranquilo quanto ao retorno, eu entendo perfeitamente._x000a_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_x000a_O que está incluso nesse investimento é justamente o que vai fazer o sistema “virar realidade” dentro da Globalmix:_x000a_– entendimento dos processos de vocês;_x000a_– parametrização do ERP para a realidade da empresa;_x000a_– construção/ajuste dos relatórios que vocês precisam;_x000a_– validação e homologação do funcionamento antes de ir para produção;_x000a_– integração com a Lisa Log;_x000a_– e, principalmente, treinamento da equipe e acompanhamento na virada, para que todo mundo use da forma correta e o projeto traga resultado._x000a_Sem essa etapa de consultoria, o risco é ter um sistema bom, mas mal configurado ou pouco usado, o que acaba gerando retrabalho e perda de confiança na ferramenta – e é justamente isso que queremos evitar._x000a_Dito isso, eu entendo totalmente a questão de orçamento. Se fizer sentido para você, eu posso:_x000a_1) rever o escopo para enxugar etapas e tentar adequar o investimento ao momento da Globalmix; ou_x000a_2) pensar em uma implantação por fases, começando pelo essencial (comercial + força de vendas + básico de estoque) e deixando integrações e aprofundamentos para uma segunda etapa._x000a_Você se sentiria confortável em me dizer qual faixa de investimento vocês tinham planejado, para eu ver o que é possível ajustar com transparência?"/>
    <s v=""/>
    <x v="194"/>
    <s v=""/>
    <x v="211"/>
    <s v=""/>
    <d v="2026-04-15T00:00:00"/>
    <n v="50"/>
    <s v=""/>
    <s v=""/>
    <s v=""/>
    <s v=""/>
    <n v="1"/>
  </r>
  <r>
    <x v="1"/>
    <n v="1051"/>
    <m/>
    <n v="3428"/>
    <s v="10:07, 14/04/2026 Luccas Globalmix: Bom dia meu amigo, tudo bem? _x000a_Desculpe não te responder. Estou com alguns problemas de família e estive meio ausente. _x000a_Analisamos sua proposta e infelizmente ficou muito acima do que estávamos planejando nesse momento. _x000a_Desculpe a minha ignorância, mas não consegui compreender o motivo de um custo tão alto para a implementação de um ERP já existente. O custo que você me passou é basicamente o de desenvolver um novo sistema próprio. _x000a_Infelizmente nessas condições é inviável para nós nesse momento. _x000a_Agradeço pelo seu atendimento nas últimas semanas, foi extremamente atencioso. Espero que compreenda. _x000a_Obrigado_x000a_10:15, 14/04/2026 Junior Lopes: Bom dia, Luccas, tudo bem?_x000a_Primeiro, espero que as coisas com sua família se resolvam da melhor forma possível. Fica tranquilo quanto ao retorno, eu entendo perfeitamente._x000a_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_x000a_O que está incluso nesse investimento é justamente o que vai fazer o sistema “virar realidade” dentro da Globalmix:_x000a_– entendimento dos processos de vocês;_x000a_– parametrização do ERP para a realidade da empresa;_x000a_– construção/ajuste dos relatórios que vocês precisam;_x000a_– validação e homologação do funcionamento antes de ir para produção;_x000a_– integração com a Lisa Log;_x000a_– e, principalmente, treinamento da equipe e acompanhamento na virada, para que todo mundo use da forma correta e o projeto traga resultado._x000a_Sem essa etapa de consultoria, o risco é ter um sistema bom, mas mal configurado ou pouco usado, o que acaba gerando retrabalho e perda de confiança na ferramenta – e é justamente isso que queremos evitar._x000a_Dito isso, eu entendo totalmente a questão de orçamento. Se fizer sentido para você, eu posso:_x000a_1) rever o escopo para enxugar etapas e tentar adequar o investimento ao momento da Globalmix; ou_x000a_2) pensar em uma implantação por fases, começando pelo essencial (comercial + força de vendas + básico de estoque) e deixando integrações e aprofundamentos para uma segunda etapa._x000a_Você se sentiria confortável em me dizer qual faixa de investimento vocês tinham planejado, para eu ver o que é possível ajustar com transparência?"/>
    <s v=""/>
    <x v="542"/>
    <m/>
    <s v=""/>
    <s v="GlobalMix - B2B"/>
    <s v="11988736515"/>
    <s v=""/>
    <s v="contabilgrupocrx@gmail.com"/>
    <s v=""/>
    <s v=""/>
    <s v=""/>
    <s v=""/>
    <s v=""/>
    <s v=""/>
    <s v=""/>
    <s v=""/>
    <s v=""/>
    <s v="Pipeline de Vendas"/>
    <s v="Apresentar Solução (35%)"/>
    <s v=""/>
    <m/>
    <n v="13100"/>
    <n v="1800"/>
    <n v="20"/>
    <s v="Junior Lopes"/>
    <d v="2026-03-26T00:00:00"/>
    <d v="1899-12-30T15:59:11"/>
    <s v=""/>
    <s v="Perdido"/>
    <d v="2026-04-15T00:00:00"/>
    <d v="1899-12-30T09:36:41"/>
    <s v="Não houve aprovação financeira"/>
    <s v="10:07, 14/04/2026 Luccas Globalmix: Bom dia meu amigo, tudo bem? _x000a_Desculpe não te responder. Estou com alguns problemas de família e estive meio ausente. _x000a_Analisamos sua proposta e infelizmente ficou muito acima do que estávamos planejando nesse momento. _x000a_Desculpe a minha ignorância, mas não consegui compreender o motivo de um custo tão alto para a implementação de um ERP já existente. O custo que você me passou é basicamente o de desenvolver um novo sistema próprio. _x000a_Infelizmente nessas condições é inviável para nós nesse momento. _x000a_Agradeço pelo seu atendimento nas últimas semanas, foi extremamente atencioso. Espero que compreenda. _x000a_Obrigado_x000a_10:15, 14/04/2026 Junior Lopes: Bom dia, Luccas, tudo bem?_x000a_Primeiro, espero que as coisas com sua família se resolvam da melhor forma possível. Fica tranquilo quanto ao retorno, eu entendo perfeitamente._x000a_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_x000a_O que está incluso nesse investimento é justamente o que vai fazer o sistema “virar realidade” dentro da Globalmix:_x000a_– entendimento dos processos de vocês;_x000a_– parametrização do ERP para a realidade da empresa;_x000a_– construção/ajuste dos relatórios que vocês precisam;_x000a_– validação e homologação do funcionamento antes de ir para produção;_x000a_– integração com a Lisa Log;_x000a_– e, principalmente, treinamento da equipe e acompanhamento na virada, para que todo mundo use da forma correta e o projeto traga resultado._x000a_Sem essa etapa de consultoria, o risco é ter um sistema bom, mas mal configurado ou pouco usado, o que acaba gerando retrabalho e perda de confiança na ferramenta – e é justamente isso que queremos evitar._x000a_Dito isso, eu entendo totalmente a questão de orçamento. Se fizer sentido para você, eu posso:_x000a_1) rever o escopo para enxugar etapas e tentar adequar o investimento ao momento da Globalmix; ou_x000a_2) pensar em uma implantação por fases, começando pelo essencial (comercial + força de vendas + básico de estoque) e deixando integrações e aprofundamentos para uma segunda etapa._x000a_Você se sentiria confortável em me dizer qual faixa de investimento vocês tinham planejado, para eu ver o que é possível ajustar com transparência?"/>
    <s v=""/>
    <x v="194"/>
    <s v=""/>
    <x v="221"/>
    <s v=""/>
    <d v="2026-04-15T00:00:00"/>
    <n v="50"/>
    <s v=""/>
    <s v=""/>
    <s v=""/>
    <s v=""/>
    <n v="1"/>
  </r>
  <r>
    <x v="2"/>
    <n v="1052"/>
    <m/>
    <n v="3423"/>
    <s v="31.03 caixa postal: Bom dia Murilo, como vai?_x000a_Meu nome é Rayssa, sou da Guarani Sistemas. _x000a_Estou tentando contato com você para entender como as soluções da Guarani Sistemas podem atender a JUNDCOAT_x000a_07.04 caixa postal"/>
    <s v=""/>
    <x v="543"/>
    <n v="48440778000148"/>
    <s v=""/>
    <s v="JUNDCOAT"/>
    <s v="11912958843"/>
    <s v=""/>
    <s v="murilo@jundcoat.com.br"/>
    <s v=""/>
    <s v=""/>
    <s v=""/>
    <s v=""/>
    <s v="Itupeva"/>
    <s v="Inbound"/>
    <s v=""/>
    <s v=""/>
    <s v="Dentro Perfil;Instagram"/>
    <s v="Pipeline de Vendas"/>
    <s v="Agendamento (0%)"/>
    <s v=""/>
    <d v="2026-03-31T00:00:00"/>
    <m/>
    <m/>
    <n v="44"/>
    <s v="Paulo Souza"/>
    <d v="2026-03-26T00:00:00"/>
    <d v="1899-12-30T16:53:38"/>
    <s v=""/>
    <s v="Perdido"/>
    <d v="2026-05-09T00:00:00"/>
    <d v="1899-12-30T08:37:27"/>
    <s v="Sem qualificação — contato não atende ligações nem responde msg"/>
    <s v=""/>
    <s v=""/>
    <x v="0"/>
    <s v="Rayssa Karapeticov"/>
    <x v="0"/>
    <s v=""/>
    <d v="2026-04-07T00:00:00"/>
    <n v="30"/>
    <s v=""/>
    <s v=""/>
    <s v=""/>
    <s v=""/>
    <n v="1"/>
  </r>
  <r>
    <x v="1"/>
    <n v="1053"/>
    <m/>
    <n v="3424"/>
    <s v="(26/03/2026) em contato com Joel"/>
    <s v=""/>
    <x v="544"/>
    <n v="4486490000139"/>
    <s v=""/>
    <s v="indukraft"/>
    <s v="47988227474"/>
    <s v=""/>
    <s v="joel@indukraft.com.br"/>
    <s v=""/>
    <s v=""/>
    <s v=""/>
    <s v=""/>
    <s v=""/>
    <s v="Campanha"/>
    <s v=""/>
    <s v=""/>
    <s v="Dentro Perfil;Instagram"/>
    <s v="Pipeline de Vendas"/>
    <s v="Qualificação de Vendas (SQL) (25%)"/>
    <s v=""/>
    <d v="2026-03-26T00:00:00"/>
    <m/>
    <m/>
    <n v="55"/>
    <s v="Paulo Souza"/>
    <d v="2026-03-26T00:00:00"/>
    <d v="1899-12-30T16:56:07"/>
    <s v=""/>
    <s v="Ativo"/>
    <m/>
    <m/>
    <s v=""/>
    <s v=""/>
    <s v=""/>
    <x v="0"/>
    <s v="Junior Lopes"/>
    <x v="0"/>
    <s v=""/>
    <m/>
    <n v="30"/>
    <s v=""/>
    <s v=""/>
    <s v=""/>
    <s v=""/>
    <n v="1"/>
  </r>
  <r>
    <x v="2"/>
    <n v="1054"/>
    <m/>
    <n v="3425"/>
    <s v="30.03 pediu uma apresentação e valores. _x000a_Falei que preciso conhecer a empresa dele e entender a razão de procurar um novo software para empresa_x000a_Estavamos avançando com a conversa_x000a_01.04 - Não atendeu _x000a_Boa tarde Milton, tudo bem?_x000a_Fez sentido para sua operação as informações que passei?_x000a_06.04 - não atende e não retorna contato"/>
    <s v=""/>
    <x v="545"/>
    <m/>
    <s v=""/>
    <s v="B&amp;G Comércio de Sinalização e Materiais de Construção"/>
    <s v="11984731999"/>
    <s v=""/>
    <s v="milton-bernardo@uol.com.br"/>
    <s v=""/>
    <s v=""/>
    <s v=""/>
    <s v=""/>
    <s v="Caieiras"/>
    <s v="Inbound"/>
    <s v=""/>
    <s v=""/>
    <s v="Fora Perfil;Instagram"/>
    <s v="Pipeline de Vendas"/>
    <s v="Agendamento (0%)"/>
    <s v=""/>
    <d v="2026-03-26T00:00:00"/>
    <m/>
    <m/>
    <n v="11"/>
    <s v="Paulo Souza"/>
    <d v="2026-03-26T00:00:00"/>
    <d v="1899-12-30T16:58:49"/>
    <s v=""/>
    <s v="Perdido"/>
    <d v="2026-04-06T00:00:00"/>
    <d v="1899-12-30T12:44:35"/>
    <s v="Fora do porte mínimo (sem fit estrutural)"/>
    <s v=""/>
    <s v=""/>
    <x v="0"/>
    <s v="Rayssa Karapeticov"/>
    <x v="0"/>
    <s v=""/>
    <d v="2026-04-01T00:00:00"/>
    <n v="30"/>
    <s v=""/>
    <s v=""/>
    <s v=""/>
    <s v=""/>
    <n v="1"/>
  </r>
  <r>
    <x v="2"/>
    <n v="1055"/>
    <m/>
    <n v="3429"/>
    <s v="30.03 - lojista de material de construção"/>
    <s v=""/>
    <x v="546"/>
    <m/>
    <s v=""/>
    <s v="Leondilmo mat const ltda"/>
    <s v="61999781085"/>
    <s v=""/>
    <s v="leondilmo@hotmail.com"/>
    <s v=""/>
    <s v=""/>
    <s v=""/>
    <s v=""/>
    <s v=""/>
    <s v="Campanha"/>
    <s v=""/>
    <s v=""/>
    <s v="Fora Perfil;Instagram"/>
    <s v="Pipeline de Vendas"/>
    <s v="Agendamento (0%)"/>
    <s v=""/>
    <d v="2026-03-31T00:00:00"/>
    <m/>
    <m/>
    <n v="3"/>
    <s v="Paulo Souza"/>
    <d v="2026-03-27T00:00:00"/>
    <d v="1899-12-30T10:18:25"/>
    <s v=""/>
    <s v="Perdido"/>
    <d v="2026-03-30T00:00:00"/>
    <d v="1899-12-30T17:43:09"/>
    <s v="Fora do porte mínimo (sem fit estrutural)"/>
    <s v=""/>
    <s v=""/>
    <x v="0"/>
    <s v="Rayssa Karapeticov"/>
    <x v="0"/>
    <s v=""/>
    <d v="2026-03-30T00:00:00"/>
    <n v="30"/>
    <s v=""/>
    <s v=""/>
    <s v=""/>
    <s v=""/>
    <n v="1"/>
  </r>
  <r>
    <x v="1"/>
    <n v="1059"/>
    <m/>
    <n v="3455"/>
    <s v="(30/03/2026) Alinhando visita presencial com Thiago"/>
    <s v=""/>
    <x v="547"/>
    <m/>
    <s v=""/>
    <s v="Banana Toys - Cloud"/>
    <s v="1532835196"/>
    <s v=""/>
    <s v="faturamento@bananatoys.com.br"/>
    <s v=""/>
    <s v=""/>
    <s v=""/>
    <s v=""/>
    <s v=""/>
    <s v=""/>
    <s v=""/>
    <s v=""/>
    <s v=""/>
    <s v="Pipeline de Vendas"/>
    <s v="Em negociação (75%)"/>
    <s v=""/>
    <m/>
    <n v="1600"/>
    <n v="384454"/>
    <n v="51"/>
    <s v="Junior Lopes"/>
    <d v="2026-03-30T00:00:00"/>
    <d v="1899-12-30T15:20:04"/>
    <s v=""/>
    <s v="Ativo"/>
    <m/>
    <m/>
    <s v=""/>
    <s v=""/>
    <s v=""/>
    <x v="197"/>
    <s v=""/>
    <x v="222"/>
    <s v=""/>
    <d v="2026-03-30T00:00:00"/>
    <n v="50"/>
    <s v=""/>
    <s v=""/>
    <s v=""/>
    <s v=""/>
    <n v="1"/>
  </r>
  <r>
    <x v="1"/>
    <n v="1060"/>
    <m/>
    <n v="3460"/>
    <s v=""/>
    <s v=""/>
    <x v="548"/>
    <m/>
    <s v=""/>
    <s v="Util Ud - PCP / WMS"/>
    <s v="19974080034"/>
    <s v=""/>
    <s v="null"/>
    <s v=""/>
    <s v=""/>
    <s v=""/>
    <s v=""/>
    <s v=""/>
    <s v=""/>
    <s v=""/>
    <s v=""/>
    <s v=""/>
    <s v="Pipeline de Vendas"/>
    <s v="Em negociação (75%)"/>
    <s v=""/>
    <m/>
    <n v="34236"/>
    <n v="42768"/>
    <n v="51"/>
    <s v="Junior Lopes"/>
    <d v="2026-03-30T00:00:00"/>
    <d v="1899-12-30T16:14:02"/>
    <s v=""/>
    <s v="Ativo"/>
    <m/>
    <m/>
    <s v=""/>
    <s v=""/>
    <s v=""/>
    <x v="201"/>
    <s v=""/>
    <x v="223"/>
    <s v=""/>
    <m/>
    <n v="50"/>
    <s v=""/>
    <s v=""/>
    <s v=""/>
    <s v=""/>
    <n v="1"/>
  </r>
  <r>
    <x v="1"/>
    <n v="1061"/>
    <m/>
    <n v="3466"/>
    <s v="(24/04/2026) orçamento não aprovado"/>
    <s v=""/>
    <x v="549"/>
    <m/>
    <s v=""/>
    <s v="Weck - Horas"/>
    <s v="11947895866"/>
    <s v=""/>
    <s v="null"/>
    <s v=""/>
    <s v=""/>
    <s v=""/>
    <s v=""/>
    <s v=""/>
    <s v=""/>
    <s v=""/>
    <s v=""/>
    <s v=""/>
    <s v="Pipeline de Vendas"/>
    <s v="Apresentar Proposta (50%)"/>
    <s v=""/>
    <m/>
    <n v="13568"/>
    <n v="0"/>
    <n v="25"/>
    <s v="Junior Lopes"/>
    <d v="2026-03-30T00:00:00"/>
    <d v="1899-12-30T16:39:07"/>
    <s v=""/>
    <s v="Perdido"/>
    <d v="2026-04-24T00:00:00"/>
    <d v="1899-12-30T10:11:23"/>
    <s v="Não houve aprovação financeira"/>
    <s v="(24/04/2026) orçamento não aprovado"/>
    <s v=""/>
    <x v="202"/>
    <s v=""/>
    <x v="224"/>
    <s v=""/>
    <d v="2026-04-24T00:00:00"/>
    <n v="30"/>
    <s v=""/>
    <s v=""/>
    <s v=""/>
    <s v=""/>
    <n v="1"/>
  </r>
  <r>
    <x v="1"/>
    <n v="1062"/>
    <m/>
    <n v="3093"/>
    <s v=""/>
    <s v=""/>
    <x v="550"/>
    <n v="53629067000156"/>
    <s v=""/>
    <s v="Claudio Teixeira"/>
    <s v="(43) 99669-3593"/>
    <s v=""/>
    <s v="claudioteixeirasap@hotmail.com"/>
    <s v=""/>
    <s v=""/>
    <s v=""/>
    <s v="CONSELHEIRO MAIRINCK"/>
    <s v="PR"/>
    <s v="Site"/>
    <s v=""/>
    <s v=""/>
    <s v="Solicita demo"/>
    <s v="Pipeline de Vendas"/>
    <s v="Apresentar Proposta (50%)"/>
    <s v=""/>
    <m/>
    <n v="68743"/>
    <n v="143186"/>
    <n v="0"/>
    <s v="Junior Lopes"/>
    <d v="2026-03-30T00:00:00"/>
    <d v="1899-12-30T17:23:13"/>
    <s v=""/>
    <s v="Perdido"/>
    <d v="2026-03-30T00:00:00"/>
    <d v="1899-12-30T17:46:58"/>
    <s v="Não houve aprovação financeira"/>
    <s v="Claudio achou o valor muito acima para investimento"/>
    <s v=""/>
    <x v="160"/>
    <s v=""/>
    <x v="173"/>
    <s v=""/>
    <m/>
    <n v="30"/>
    <s v=""/>
    <s v=""/>
    <s v=""/>
    <s v=""/>
    <n v="1"/>
  </r>
  <r>
    <x v="1"/>
    <n v="1063"/>
    <m/>
    <n v="3467"/>
    <s v=""/>
    <s v=""/>
    <x v="551"/>
    <m/>
    <s v=""/>
    <s v="Casabella Claudio Teixeira - Cloud"/>
    <s v="43996693593"/>
    <s v=""/>
    <s v="null"/>
    <s v=""/>
    <s v=""/>
    <s v=""/>
    <s v=""/>
    <s v=""/>
    <s v=""/>
    <s v=""/>
    <s v=""/>
    <s v=""/>
    <s v="Pipeline de Vendas"/>
    <s v="Apresentar Proposta (50%)"/>
    <s v=""/>
    <m/>
    <n v="1600"/>
    <n v="252471"/>
    <n v="0"/>
    <s v="Junior Lopes"/>
    <d v="2026-03-30T00:00:00"/>
    <d v="1899-12-30T17:41:36"/>
    <s v=""/>
    <s v="Perdido"/>
    <d v="2026-03-30T00:00:00"/>
    <d v="1899-12-30T17:47:37"/>
    <s v="Não houve aprovação financeira"/>
    <s v="Claudio achou o valor muito acima para investimento"/>
    <s v=""/>
    <x v="203"/>
    <s v=""/>
    <x v="173"/>
    <s v="27/03/2026 00:00"/>
    <m/>
    <n v="30"/>
    <s v=""/>
    <s v=""/>
    <s v=""/>
    <s v=""/>
    <n v="1"/>
  </r>
  <r>
    <x v="2"/>
    <n v="1064"/>
    <m/>
    <n v="3446"/>
    <s v="31.03 - Caixa Postal - Bom dia Anderson, como vai?_x000a_Meu nome é Rayssa, sou da Guarani Sistemas. _x000a_Estou tentando contato com você para entender como as soluções da Guarani Sistemas podem atender a Distribuidora Anderson Corrado_x000a_01.04 - caixa postal_x000a_07.04 encerrando por falta de retorno"/>
    <s v=""/>
    <x v="552"/>
    <m/>
    <s v=""/>
    <s v="Anderson Corrado"/>
    <s v="31971564261"/>
    <s v=""/>
    <s v="andersoncorrado@gmail.com"/>
    <s v=""/>
    <s v=""/>
    <s v=""/>
    <s v=""/>
    <s v=""/>
    <s v="Campanha"/>
    <s v=""/>
    <s v=""/>
    <s v="Fora Perfil;Instagram"/>
    <s v="Pipeline de Vendas"/>
    <s v="Agendamento (0%)"/>
    <s v=""/>
    <d v="2026-04-30T00:00:00"/>
    <m/>
    <m/>
    <n v="7"/>
    <s v="Paulo Souza"/>
    <d v="2026-03-31T00:00:00"/>
    <d v="1899-12-30T10:18:31"/>
    <s v=""/>
    <s v="Perdido"/>
    <d v="2026-04-07T00:00:00"/>
    <d v="1899-12-30T09:12:54"/>
    <s v="Fora do porte mínimo (sem fit estrutural)"/>
    <s v=""/>
    <s v=""/>
    <x v="0"/>
    <s v="Rayssa Karapeticov"/>
    <x v="0"/>
    <s v=""/>
    <d v="2026-04-01T00:00:00"/>
    <n v="30"/>
    <s v=""/>
    <s v=""/>
    <s v=""/>
    <s v=""/>
    <n v="1"/>
  </r>
  <r>
    <x v="1"/>
    <n v="1065"/>
    <m/>
    <n v="3447"/>
    <s v="(31/03/2026) cliente de loja porte pequeno , fora do perfil"/>
    <s v=""/>
    <x v="553"/>
    <m/>
    <s v=""/>
    <s v="nat art papelaria"/>
    <s v="15991197046"/>
    <s v=""/>
    <s v="cricanicolete@gmail.com"/>
    <s v=""/>
    <s v=""/>
    <s v=""/>
    <s v=""/>
    <s v="Sorocaba"/>
    <s v="Inbound"/>
    <s v=""/>
    <s v=""/>
    <s v="Fora Perfil;Instagram"/>
    <s v="Pipeline de Vendas"/>
    <s v="Agendamento (0%)"/>
    <s v=""/>
    <d v="2026-03-31T00:00:00"/>
    <m/>
    <m/>
    <n v="0"/>
    <s v="Paulo Souza"/>
    <d v="2026-03-31T00:00:00"/>
    <d v="1899-12-30T10:23:46"/>
    <s v=""/>
    <s v="Perdido"/>
    <d v="2026-03-31T00:00:00"/>
    <d v="1899-12-30T14:56:07"/>
    <s v="Fora do porte mínimo (sem fit estrutural)"/>
    <s v="(31/03/2026) cliente de loja porte pequeno , fora do perfil"/>
    <s v=""/>
    <x v="0"/>
    <s v="Junior Lopes"/>
    <x v="0"/>
    <s v=""/>
    <m/>
    <n v="30"/>
    <s v=""/>
    <s v=""/>
    <s v=""/>
    <s v=""/>
    <n v="1"/>
  </r>
  <r>
    <x v="1"/>
    <n v="1066"/>
    <m/>
    <n v="3448"/>
    <s v="(31/03/2026) em contato com Fernando _x000a_(06/04/2026) declinando por falta de retorno"/>
    <s v=""/>
    <x v="554"/>
    <n v="4827674000115"/>
    <s v=""/>
    <s v="Forte e Limpo"/>
    <s v="(73) 3027-3546"/>
    <s v=""/>
    <s v="forteelimpo@gmail.com"/>
    <s v=""/>
    <s v=""/>
    <s v=""/>
    <s v="ITABUNA"/>
    <s v="BA"/>
    <s v="Campanha"/>
    <s v=""/>
    <s v=""/>
    <s v="Dentro Perfil;Instagram"/>
    <s v="Pipeline de Vendas"/>
    <s v="Qualificação de Vendas (SQL) (25%)"/>
    <s v=""/>
    <m/>
    <m/>
    <m/>
    <n v="39"/>
    <s v="Paulo Souza"/>
    <d v="2026-03-31T00:00:00"/>
    <d v="1899-12-30T10:32:04"/>
    <s v=""/>
    <s v="Perdido"/>
    <d v="2026-05-09T00:00:00"/>
    <d v="1899-12-30T08:03:53"/>
    <s v="Sem qualificação — contato não atende ligações nem responde msg"/>
    <s v=""/>
    <s v=""/>
    <x v="0"/>
    <s v="Junior Lopes"/>
    <x v="0"/>
    <s v=""/>
    <d v="2026-04-06T00:00:00"/>
    <n v="30"/>
    <s v=""/>
    <s v=""/>
    <s v=""/>
    <s v=""/>
    <n v="1"/>
  </r>
  <r>
    <x v="2"/>
    <n v="1067"/>
    <m/>
    <n v="3468"/>
    <s v="31.03 é uma corretora e agentes de seguros, de planos de previdência complementar e de saúde."/>
    <s v=""/>
    <x v="555"/>
    <n v="50649054000150"/>
    <s v=""/>
    <s v="Finance coop LTDA"/>
    <s v="(21) 9310-5614"/>
    <s v=""/>
    <s v="financecorporacao@gmail.com"/>
    <s v=""/>
    <s v=""/>
    <s v=""/>
    <s v="RIO DE JANEIRO"/>
    <s v="RJ"/>
    <s v="Inbound"/>
    <s v=""/>
    <s v=""/>
    <s v="Fora Perfil;Instagram"/>
    <s v="Pipeline de Vendas"/>
    <s v="Agendamento (0%)"/>
    <s v=""/>
    <m/>
    <m/>
    <m/>
    <n v="0"/>
    <s v="Paulo Souza"/>
    <d v="2026-03-31T00:00:00"/>
    <d v="1899-12-30T10:35:35"/>
    <s v=""/>
    <s v="Perdido"/>
    <d v="2026-03-31T00:00:00"/>
    <d v="1899-12-30T15:20:34"/>
    <s v="Fora do porte mínimo (sem fit estrutural)"/>
    <s v=""/>
    <s v=""/>
    <x v="0"/>
    <s v="Rayssa Karapeticov"/>
    <x v="0"/>
    <s v=""/>
    <m/>
    <n v="30"/>
    <s v=""/>
    <s v=""/>
    <s v=""/>
    <s v=""/>
    <n v="1"/>
  </r>
  <r>
    <x v="1"/>
    <n v="1068"/>
    <m/>
    <n v="3471"/>
    <s v="(20/04/2026) em contato com Edson , informou que Baag vai manter servidor local devido ao alto investimento"/>
    <s v=""/>
    <x v="556"/>
    <m/>
    <s v=""/>
    <s v="Baag - Cloud"/>
    <s v="(75) 3021-7768"/>
    <s v=""/>
    <s v="null"/>
    <s v=""/>
    <s v=""/>
    <s v=""/>
    <s v=""/>
    <s v=""/>
    <s v=""/>
    <s v=""/>
    <s v=""/>
    <s v=""/>
    <s v="Pipeline de Vendas"/>
    <s v="Apresentar Proposta (50%)"/>
    <s v=""/>
    <m/>
    <n v="1600"/>
    <n v="384454"/>
    <n v="20"/>
    <s v="Junior Lopes"/>
    <d v="2026-03-31T00:00:00"/>
    <d v="1899-12-30T15:16:59"/>
    <s v=""/>
    <s v="Perdido"/>
    <d v="2026-04-20T00:00:00"/>
    <d v="1899-12-30T11:51:43"/>
    <s v="Não houve aprovação financeira"/>
    <s v="(20/04/2026) em contato com Edson , informou que Baag vai manter servidor local devido ao alto investimento"/>
    <s v=""/>
    <x v="194"/>
    <s v=""/>
    <x v="218"/>
    <s v=""/>
    <d v="2026-04-20T00:00:00"/>
    <n v="50"/>
    <s v=""/>
    <s v=""/>
    <s v=""/>
    <s v=""/>
    <n v="1"/>
  </r>
  <r>
    <x v="1"/>
    <n v="1069"/>
    <m/>
    <n v="3472"/>
    <s v=""/>
    <s v=""/>
    <x v="557"/>
    <m/>
    <s v=""/>
    <s v="Baag - Televendas"/>
    <s v="7530217768"/>
    <s v=""/>
    <s v="null"/>
    <s v=""/>
    <s v=""/>
    <s v=""/>
    <s v=""/>
    <s v=""/>
    <s v=""/>
    <s v=""/>
    <s v=""/>
    <s v=""/>
    <s v="Pipeline de Vendas"/>
    <s v="Apresentar Proposta (50%)"/>
    <s v=""/>
    <m/>
    <n v="8480"/>
    <n v="3564"/>
    <n v="24"/>
    <s v="Junior Lopes"/>
    <d v="2026-03-31T00:00:00"/>
    <d v="1899-12-30T15:37:28"/>
    <s v=""/>
    <s v="Perdido"/>
    <d v="2026-04-24T00:00:00"/>
    <d v="1899-12-30T10:06:18"/>
    <s v="Não houve aprovação financeira"/>
    <s v="24/04/2026) Edson falou com diretoria e achou valor alto para o momento"/>
    <s v=""/>
    <x v="204"/>
    <s v=""/>
    <x v="225"/>
    <s v=""/>
    <m/>
    <n v="30"/>
    <s v=""/>
    <s v=""/>
    <s v=""/>
    <s v=""/>
    <n v="1"/>
  </r>
  <r>
    <x v="1"/>
    <n v="1072"/>
    <m/>
    <n v="3474"/>
    <s v="(01/04/2026) Badux é uma auto elétrica que que faz manutenção e venda de peças no balcão (lojista)"/>
    <s v=""/>
    <x v="558"/>
    <n v="27728774000190"/>
    <s v=""/>
    <s v="Badux auto eletrica"/>
    <s v="(95) 9142-2588"/>
    <s v=""/>
    <s v="fabianoggsilva@hotmail.com"/>
    <s v=""/>
    <s v=""/>
    <s v=""/>
    <s v="BOA VISTA"/>
    <s v="RR"/>
    <s v="Inbound"/>
    <s v=""/>
    <s v=""/>
    <s v="Fora Perfil;Instagram"/>
    <s v="Pipeline de Vendas"/>
    <s v="Agendamento (0%)"/>
    <s v=""/>
    <m/>
    <m/>
    <m/>
    <n v="0"/>
    <s v="Paulo Souza"/>
    <d v="2026-04-01T00:00:00"/>
    <d v="1899-12-30T11:45:05"/>
    <s v=""/>
    <s v="Perdido"/>
    <d v="2026-04-01T00:00:00"/>
    <d v="1899-12-30T15:25:26"/>
    <s v="Fora do porte mínimo (sem fit estrutural)"/>
    <s v="(01/04/2026) Badux é uma auto elétrica que que faz manutenção e venda de peças no balcão (lojista)"/>
    <s v=""/>
    <x v="0"/>
    <s v="Junior Lopes"/>
    <x v="0"/>
    <s v=""/>
    <m/>
    <n v="30"/>
    <s v=""/>
    <s v=""/>
    <s v=""/>
    <s v=""/>
    <n v="1"/>
  </r>
  <r>
    <x v="1"/>
    <n v="1073"/>
    <m/>
    <n v="3479"/>
    <s v="(07/04/2026) tentativas de contato sem sucesso , em analise sobre verifiquei que é um empresa de lavanderia ! fora do perfil"/>
    <s v=""/>
    <x v="559"/>
    <n v="667476000261"/>
    <s v=""/>
    <s v="Ciape Distribuidora De Peças"/>
    <s v="44988361402"/>
    <s v=""/>
    <s v="rodrigo@lavinorte.com.br"/>
    <s v=""/>
    <s v=""/>
    <s v=""/>
    <s v=""/>
    <s v=""/>
    <s v="Campanha"/>
    <s v=""/>
    <s v=""/>
    <s v="Fora Perfil;Instagram"/>
    <s v="Pipeline de Vendas"/>
    <s v="Qualificação de Vendas (SQL) (25%)"/>
    <s v=""/>
    <m/>
    <m/>
    <m/>
    <n v="1"/>
    <s v="Paulo Souza"/>
    <d v="2026-04-06T00:00:00"/>
    <d v="1899-12-30T11:20:09"/>
    <s v=""/>
    <s v="Perdido"/>
    <d v="2026-04-07T00:00:00"/>
    <d v="1899-12-30T16:31:35"/>
    <s v="Fora do porte mínimo (sem fit estrutural)"/>
    <s v="(07/04/2026) tentativas de contato sem sucesso , em analise sobre verifiquei que é um empresa de lavanderia ! fora do perfil"/>
    <s v=""/>
    <x v="0"/>
    <s v="Junior Lopes"/>
    <x v="0"/>
    <s v=""/>
    <d v="2026-04-07T00:00:00"/>
    <n v="30"/>
    <s v=""/>
    <s v=""/>
    <s v=""/>
    <s v=""/>
    <n v="1"/>
  </r>
  <r>
    <x v="2"/>
    <n v="1074"/>
    <m/>
    <n v="3478"/>
    <s v="06.04 Liguei, pediu para chamar no whatsapp_x000a_Boa tarde Leandro, tudo bem?_x000a_Meu nome é Rayssa, sou da Guarani Sistemas. _x000a_Acabei de te liga rpara entender sua necessidade quanton as soluções da Guarani Sistemas. _x000a_Como posso te ajudar?"/>
    <s v=""/>
    <x v="560"/>
    <n v="34777766000107"/>
    <s v=""/>
    <s v="Tecalhas"/>
    <s v="(32) 3551-6365"/>
    <s v=""/>
    <s v="contato@realcontabilidadevrb.com.br"/>
    <s v=""/>
    <s v=""/>
    <s v=""/>
    <s v="VISCONDE DO RIO BRANCO"/>
    <s v="MG"/>
    <s v="Campanha"/>
    <s v=""/>
    <s v=""/>
    <s v="Fora Perfil;Instagram"/>
    <s v="Pipeline de Vendas"/>
    <s v="Agendamento (0%)"/>
    <s v=""/>
    <m/>
    <m/>
    <m/>
    <n v="33"/>
    <s v="Paulo Souza"/>
    <d v="2026-04-06T00:00:00"/>
    <d v="1899-12-30T11:21:52"/>
    <s v=""/>
    <s v="Perdido"/>
    <d v="2026-05-09T00:00:00"/>
    <d v="1899-12-30T08:38:25"/>
    <s v="Sem qualificação — contato não atende ligações nem responde msg"/>
    <s v=""/>
    <s v=""/>
    <x v="0"/>
    <s v="Rayssa Karapeticov"/>
    <x v="0"/>
    <s v=""/>
    <d v="2026-04-07T00:00:00"/>
    <n v="27"/>
    <s v=""/>
    <s v=""/>
    <s v=""/>
    <s v=""/>
    <n v="1"/>
  </r>
  <r>
    <x v="1"/>
    <n v="1075"/>
    <m/>
    <n v="3480"/>
    <s v="(06/04/2026) em contato com Thamires _x000a_(06/04/2026) Thamires não responde a ligação e e mensagens ! estou descartando o lead , falta muita informação como a razão social do cliente, endereço , CNPJ ! impossível fazer  uma pesquisa sobre o cliente"/>
    <s v=""/>
    <x v="561"/>
    <m/>
    <s v=""/>
    <s v="Eletro+"/>
    <s v="22997047181"/>
    <s v=""/>
    <s v="thamirestelleseriscado@hotmail.com"/>
    <s v=""/>
    <s v=""/>
    <s v=""/>
    <s v=""/>
    <s v=""/>
    <s v="Campanha"/>
    <s v=""/>
    <s v=""/>
    <s v="Fora Perfil;Instagram"/>
    <s v="Pipeline de Vendas"/>
    <s v="Agendamento (0%)"/>
    <s v=""/>
    <m/>
    <m/>
    <m/>
    <n v="0"/>
    <s v="Paulo Souza"/>
    <d v="2026-04-06T00:00:00"/>
    <d v="1899-12-30T11:23:42"/>
    <s v=""/>
    <s v="Perdido"/>
    <d v="2026-04-06T00:00:00"/>
    <d v="1899-12-30T17:17:27"/>
    <s v="Fora do porte mínimo (sem fit estrutural)"/>
    <s v="(06/04/2026) Thamires não responde a ligação e e mensagens ! estou descartando o lead , falta muita informação como a razão social do cliente, endereço , CNPJ ! impossível fazer  uma pesquisa sobre o cliente"/>
    <s v=""/>
    <x v="0"/>
    <s v="Junior Lopes"/>
    <x v="0"/>
    <s v=""/>
    <m/>
    <n v="30"/>
    <s v=""/>
    <s v=""/>
    <s v=""/>
    <s v=""/>
    <n v="1"/>
  </r>
  <r>
    <x v="2"/>
    <n v="1076"/>
    <m/>
    <n v="3482"/>
    <s v="06.04 - telefone errado"/>
    <s v=""/>
    <x v="562"/>
    <m/>
    <s v=""/>
    <s v="pra mim mesmo"/>
    <s v="4694441158"/>
    <s v=""/>
    <s v="t.marcio@hotmail.com"/>
    <s v=""/>
    <s v=""/>
    <s v=""/>
    <s v=""/>
    <s v=""/>
    <s v="Campanha"/>
    <s v=""/>
    <s v=""/>
    <s v="Fora Perfil;Instagram"/>
    <s v="Pipeline de Vendas"/>
    <s v="Agendamento (0%)"/>
    <s v=""/>
    <m/>
    <m/>
    <m/>
    <n v="1"/>
    <s v="Paulo Souza"/>
    <d v="2026-04-06T00:00:00"/>
    <d v="1899-12-30T11:25:26"/>
    <s v=""/>
    <s v="Perdido"/>
    <d v="2026-04-07T00:00:00"/>
    <d v="1899-12-30T09:07:58"/>
    <s v="Fora do porte mínimo (sem fit estrutural)"/>
    <s v=""/>
    <s v=""/>
    <x v="0"/>
    <s v="Rayssa Karapeticov"/>
    <x v="0"/>
    <s v=""/>
    <m/>
    <n v="30"/>
    <s v=""/>
    <s v=""/>
    <s v=""/>
    <s v=""/>
    <n v="1"/>
  </r>
  <r>
    <x v="1"/>
    <n v="1077"/>
    <m/>
    <n v="3483"/>
    <s v="(06/04/2026) Coelhos identificado como fora do perfil , executa trabalhos de automação de portaria e vendas de computadores para cliente pessoa física"/>
    <s v=""/>
    <x v="563"/>
    <n v="2861273000156"/>
    <s v=""/>
    <s v="Coelhos Automação"/>
    <s v="5330256162"/>
    <s v=""/>
    <s v="vilmar@coelhosautomacao.com.br"/>
    <s v=""/>
    <s v=""/>
    <s v=""/>
    <s v=""/>
    <s v=""/>
    <s v="Campanha"/>
    <s v=""/>
    <s v=""/>
    <s v="Fora Perfil;Instagram"/>
    <s v="Pipeline de Vendas"/>
    <s v="Agendamento (0%)"/>
    <s v=""/>
    <m/>
    <m/>
    <m/>
    <n v="0"/>
    <s v="Paulo Souza"/>
    <d v="2026-04-06T00:00:00"/>
    <d v="1899-12-30T11:27:43"/>
    <s v=""/>
    <s v="Perdido"/>
    <d v="2026-04-06T00:00:00"/>
    <d v="1899-12-30T16:59:44"/>
    <s v="Fora do porte mínimo (sem fit estrutural)"/>
    <s v="(06/04/2026) Coelhos identificado como fora do perfil , executa trabalhos de automação de portaria e vendas de computadores para cliente pessoa física"/>
    <s v=""/>
    <x v="0"/>
    <s v="Junior Lopes"/>
    <x v="0"/>
    <s v=""/>
    <m/>
    <n v="28"/>
    <s v=""/>
    <s v=""/>
    <s v=""/>
    <s v=""/>
    <n v="1"/>
  </r>
  <r>
    <x v="1"/>
    <n v="1078"/>
    <m/>
    <n v="3497"/>
    <s v="24/04/2026) Edson falou com diretoria e achou valor alto para o momento"/>
    <s v=""/>
    <x v="564"/>
    <m/>
    <s v=""/>
    <s v="Baag - BI"/>
    <s v="7530217768"/>
    <s v=""/>
    <s v="helpdesk@bahiagrafica.com.br"/>
    <s v=""/>
    <s v=""/>
    <s v=""/>
    <s v=""/>
    <s v=""/>
    <s v=""/>
    <s v=""/>
    <s v=""/>
    <s v=""/>
    <s v="Pipeline de Vendas"/>
    <s v="Apresentar Proposta (50%)"/>
    <s v=""/>
    <m/>
    <n v="8100"/>
    <n v="1080"/>
    <n v="16"/>
    <s v="Junior Lopes"/>
    <d v="2026-04-08T00:00:00"/>
    <d v="1899-12-30T16:50:57"/>
    <s v=""/>
    <s v="Perdido"/>
    <d v="2026-04-24T00:00:00"/>
    <d v="1899-12-30T09:54:24"/>
    <s v="Não houve aprovação financeira"/>
    <s v="24/04/2026) Edson falou com diretoria e achou valor alto para o momento"/>
    <s v=""/>
    <x v="205"/>
    <s v=""/>
    <x v="226"/>
    <s v=""/>
    <d v="2026-04-24T00:00:00"/>
    <n v="50"/>
    <s v=""/>
    <s v=""/>
    <s v=""/>
    <s v=""/>
    <n v="1"/>
  </r>
  <r>
    <x v="1"/>
    <n v="1079"/>
    <m/>
    <n v="3501"/>
    <s v="(09/04/2026) Prospecção , buscando contato para conexão e apresentação das soluções ERP e Força de vendas"/>
    <s v=""/>
    <x v="565"/>
    <n v="48260432000168"/>
    <s v=""/>
    <s v="EDUARDO MARINO COELHO"/>
    <s v=""/>
    <s v=""/>
    <s v=""/>
    <s v=""/>
    <s v=""/>
    <s v=""/>
    <s v=""/>
    <s v=""/>
    <s v="Base de empresas Leads2b"/>
    <s v=""/>
    <s v=""/>
    <s v=""/>
    <s v="Pipeline de Vendas"/>
    <s v="Qualificação de Vendas (SQL) (25%)"/>
    <s v=""/>
    <m/>
    <m/>
    <m/>
    <n v="41"/>
    <s v="Junior Lopes"/>
    <d v="2026-04-09T00:00:00"/>
    <d v="1899-12-30T09:22:10"/>
    <s v=""/>
    <s v="Ativo"/>
    <m/>
    <m/>
    <s v=""/>
    <s v=""/>
    <s v=""/>
    <x v="0"/>
    <s v=""/>
    <x v="0"/>
    <s v=""/>
    <d v="2026-05-06T00:00:00"/>
    <n v="30"/>
    <s v=""/>
    <s v=""/>
    <s v=""/>
    <s v=""/>
    <n v="1"/>
  </r>
  <r>
    <x v="1"/>
    <n v="1080"/>
    <m/>
    <n v="3502"/>
    <s v="(09/04/2026) Em contato com Jaison (TI) _x000a_09:49, 09/04/2026 Junior Lopes: Olá Jaison ! Bom dia meu amigo ! _x000a_Junior da Guarani sistemas por aqui_x000a_09:49, 09/04/2026 Junior Lopes: Há um tempo fizemos uma apresentação da solução de força de vendas para a Unitermi e fiquei curioso para saber como vocês estão hoje com esse tipo de solução._x000a_Estão utilizando alguma ferramenta atualmente?_x000a_Vejo que ainda podemos ajudar bastante na organização dos pedidos, acompanhamento da equipe de vendas em campo e melhoria dos resultados. Se fizer sentido, posso agendar uma conversa rápida para entendermos o momento de vocês e mostrar como podemos apoiar._x000a_Contato com Danieli (Comercial)_x000a_09:51, 09/04/2026 Junior Lopes: Olá Danieli , bom dia _x000a_Junior da Guarani sistemas por aqui ! Td bem ?_x000a_09:52, 09/04/2026 Junior Lopes: Alguns meses atrás apresentei nossa solução de força de vendas para a Unitermi e fiquei pensando em como está hoje o processo comercial de vocês: pedidos, roteiros, acompanhamento da equipe externa etc._x000a_Vocês já estão com alguma solução implantada ou ainda avaliam opções?_x000a_10:12, 09/04/2026 Unitermi Danieli: Jaison Unitermi TI_x000a_10:12, 09/04/2026 Unitermi Danieli: Bom dia_x000a_10:12, 09/04/2026 Unitermi Danieli: Favor contatar o responsável da Ti_x000a_10:12, 09/04/2026 Unitermi Danieli: Obrigada"/>
    <s v=""/>
    <x v="566"/>
    <n v="19398581000190"/>
    <s v=""/>
    <s v="Unitermi indústria"/>
    <s v="48988044437"/>
    <s v=""/>
    <s v="sup.comercial@unitermi.com.br"/>
    <s v=""/>
    <s v=""/>
    <s v=""/>
    <s v="PAULO LOPES"/>
    <s v="SC"/>
    <s v=""/>
    <s v=""/>
    <s v=""/>
    <s v=""/>
    <s v="Pipeline de Vendas"/>
    <s v="Qualificação de Vendas (SQL) (25%)"/>
    <s v=""/>
    <m/>
    <m/>
    <m/>
    <n v="41"/>
    <s v="Junior Lopes"/>
    <d v="2026-04-09T00:00:00"/>
    <d v="1899-12-30T10:11:00"/>
    <s v=""/>
    <s v="Ativo"/>
    <m/>
    <m/>
    <s v=""/>
    <s v=""/>
    <s v=""/>
    <x v="0"/>
    <s v=""/>
    <x v="0"/>
    <s v=""/>
    <d v="2026-05-06T00:00:00"/>
    <n v="30"/>
    <s v=""/>
    <s v=""/>
    <s v=""/>
    <s v=""/>
    <n v="1"/>
  </r>
  <r>
    <x v="1"/>
    <n v="1081"/>
    <m/>
    <n v="3504"/>
    <s v="(09/04/2026) em contato com Daniel _x000a_10:38, 09/04/2026 Junior Lopes: Olá Daniel ! Bom dia , Júnior Lopes da Guarani sistemas por aqui_x000a_10:38, 09/04/2026 Junior Lopes: Algum tempo atrás apresentei nossa solução de força de vendas para Martiplast e fiquei pensando em como está o processo comercial de vocês ?_x000a_10:38, 09/04/2026 Junior Lopes: Que tal rever nossas soluções?"/>
    <s v="Martiplast Industria E Comercio De Plasticos Ltda"/>
    <x v="567"/>
    <n v="73445454000654"/>
    <s v=""/>
    <s v="Martiplast Industria E Comercio De Plasticos Ltda"/>
    <s v="(54) 2101-9090"/>
    <s v=""/>
    <s v="diego.borges@martiplast.com.br"/>
    <s v=""/>
    <s v=""/>
    <s v=""/>
    <s v="SAO PAULO"/>
    <s v="SP"/>
    <s v="Base de empresas Leads2b"/>
    <s v=""/>
    <s v=""/>
    <s v=""/>
    <s v="Pipeline de Vendas"/>
    <s v="Qualificação de Vendas (SQL) (25%)"/>
    <s v=""/>
    <m/>
    <m/>
    <m/>
    <n v="41"/>
    <s v="Junior Lopes"/>
    <d v="2026-04-09T00:00:00"/>
    <d v="1899-12-30T10:44:36"/>
    <s v=""/>
    <s v="Ativo"/>
    <m/>
    <m/>
    <s v=""/>
    <s v=""/>
    <s v=""/>
    <x v="0"/>
    <s v=""/>
    <x v="0"/>
    <s v=""/>
    <d v="2026-05-06T00:00:00"/>
    <n v="30"/>
    <s v=""/>
    <s v=""/>
    <s v=""/>
    <s v=""/>
    <n v="1"/>
  </r>
  <r>
    <x v="2"/>
    <n v="1082"/>
    <m/>
    <n v="3488"/>
    <s v="10.04 Liguei ficou na caixa postal _x000a_Bom dia Vidal, tudo bem?_x000a_meu nome é Rayssa, sou da Guarani Sistemas. _x000a_Tentei contato com você para falarmos das soluções de software para sua empresa. _x000a_Qual melhor horario para te retornar?_x000a_23.04Bom dia Vidal, como vai?_x000a_Estou tentando contato com você para entender sua solicitação para conhecer nossos sistemas._x000a_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_x000a_Vou deixar uma apresentação de nossa empresa e quando tiver um tempo disponivel por retornar o contato"/>
    <s v=""/>
    <x v="568"/>
    <m/>
    <s v=""/>
    <s v="Vidal"/>
    <s v="51981230645"/>
    <s v=""/>
    <s v="g.vidal0220@gmail.com"/>
    <s v=""/>
    <s v=""/>
    <s v=""/>
    <s v=""/>
    <s v=""/>
    <s v="Campanha"/>
    <s v=""/>
    <s v=""/>
    <s v="Fora Perfil;Instagram"/>
    <s v="Pipeline de Vendas"/>
    <s v="Agendamento (0%)"/>
    <s v=""/>
    <d v="2026-04-30T00:00:00"/>
    <m/>
    <m/>
    <n v="29"/>
    <s v="Paulo Souza"/>
    <d v="2026-04-10T00:00:00"/>
    <d v="1899-12-30T08:45:52"/>
    <s v=""/>
    <s v="Perdido"/>
    <d v="2026-05-09T00:00:00"/>
    <d v="1899-12-30T08:38:47"/>
    <s v="Sem qualificação — contato não atende ligações nem responde msg"/>
    <s v=""/>
    <s v=""/>
    <x v="0"/>
    <s v="Rayssa Karapeticov"/>
    <x v="0"/>
    <s v=""/>
    <d v="2026-04-23T00:00:00"/>
    <n v="28"/>
    <s v=""/>
    <s v=""/>
    <s v=""/>
    <s v=""/>
    <n v="1"/>
  </r>
  <r>
    <x v="1"/>
    <n v="1083"/>
    <m/>
    <n v="3491"/>
    <s v="(10/04/2026) Buscando contato com Belmar"/>
    <s v=""/>
    <x v="569"/>
    <n v="91241034000123"/>
    <s v=""/>
    <s v="METALÚRGICA VALENTINI LTDA"/>
    <s v="(54) 3321-5204 / (54) 3321-5204"/>
    <s v=""/>
    <s v="metalvalentini@gmail.com"/>
    <s v=""/>
    <s v=""/>
    <s v=""/>
    <s v="ERECHIM"/>
    <s v="RS"/>
    <s v="Campanha"/>
    <s v=""/>
    <s v=""/>
    <s v="Fora Perfil;Instagram"/>
    <s v="Pipeline de Vendas"/>
    <s v="Agendamento (0%)"/>
    <s v=""/>
    <m/>
    <m/>
    <m/>
    <n v="29"/>
    <s v="Paulo Souza"/>
    <d v="2026-04-10T00:00:00"/>
    <d v="1899-12-30T08:47:32"/>
    <s v=""/>
    <s v="Perdido"/>
    <d v="2026-05-09T00:00:00"/>
    <d v="1899-12-30T08:40:51"/>
    <s v="Sem qualificação — contato não atende ligações nem responde msg"/>
    <s v=""/>
    <s v=""/>
    <x v="0"/>
    <s v="Junior Lopes"/>
    <x v="0"/>
    <s v=""/>
    <m/>
    <n v="30"/>
    <s v=""/>
    <s v=""/>
    <s v=""/>
    <s v=""/>
    <n v="1"/>
  </r>
  <r>
    <x v="1"/>
    <n v="1084"/>
    <m/>
    <n v="3492"/>
    <s v="(10/04/2026) em contato com Danyllo buscando agenda para um bate papo"/>
    <s v=""/>
    <x v="570"/>
    <m/>
    <s v=""/>
    <s v="Camelo distribuidora"/>
    <s v="62991773767"/>
    <s v=""/>
    <s v="danyllogac@hotmail.com"/>
    <s v=""/>
    <s v=""/>
    <s v=""/>
    <s v=""/>
    <s v=""/>
    <s v="Campanha"/>
    <s v=""/>
    <s v=""/>
    <s v="Dentro Perfil;Instagram"/>
    <s v="Pipeline de Vendas"/>
    <s v="Qualificação de Vendas (SQL) (25%)"/>
    <s v=""/>
    <m/>
    <m/>
    <m/>
    <n v="40"/>
    <s v="Paulo Souza"/>
    <d v="2026-04-10T00:00:00"/>
    <d v="1899-12-30T08:49:10"/>
    <s v=""/>
    <s v="Ativo"/>
    <m/>
    <m/>
    <s v=""/>
    <s v=""/>
    <s v=""/>
    <x v="0"/>
    <s v="Junior Lopes"/>
    <x v="0"/>
    <s v=""/>
    <m/>
    <n v="29"/>
    <s v=""/>
    <s v=""/>
    <s v=""/>
    <s v=""/>
    <n v="1"/>
  </r>
  <r>
    <x v="2"/>
    <n v="1085"/>
    <m/>
    <n v="3494"/>
    <s v=""/>
    <s v=""/>
    <x v="571"/>
    <n v="21233195000190"/>
    <s v=""/>
    <s v="Cleber vieira teles"/>
    <s v="(15) 9800-0087"/>
    <s v=""/>
    <s v="vieira_teles@hotmail.com"/>
    <s v=""/>
    <s v=""/>
    <s v=""/>
    <s v="PORTO FELIZ"/>
    <s v="SP"/>
    <s v="Campanha"/>
    <s v=""/>
    <s v=""/>
    <s v="Fora Perfil;Instagram"/>
    <s v="Pipeline de Vendas"/>
    <s v="Agendamento (0%)"/>
    <s v=""/>
    <d v="2026-04-30T00:00:00"/>
    <m/>
    <m/>
    <n v="13"/>
    <s v="Paulo Souza"/>
    <d v="2026-04-10T00:00:00"/>
    <d v="1899-12-30T08:50:25"/>
    <s v=""/>
    <s v="Perdido"/>
    <d v="2026-04-23T00:00:00"/>
    <d v="1899-12-30T11:03:07"/>
    <s v="Fora do porte mínimo (sem fit estrutural)"/>
    <s v=""/>
    <s v=""/>
    <x v="0"/>
    <s v="Rayssa Karapeticov"/>
    <x v="0"/>
    <s v=""/>
    <d v="2026-04-23T00:00:00"/>
    <n v="30"/>
    <s v=""/>
    <s v=""/>
    <s v=""/>
    <s v=""/>
    <n v="1"/>
  </r>
  <r>
    <x v="2"/>
    <n v="1086"/>
    <m/>
    <n v="3496"/>
    <s v="Todos os dados preenchidos:_x000a_empresa: Grupo Marcamix _x000a_name: Ismael Ramos _x000a_cargo: Analista de Sistemas _x000a_whatsapp: 11960590527 _x000a_email: suporte@marcamix.com.br"/>
    <s v=""/>
    <x v="572"/>
    <n v="3634113000137"/>
    <s v=""/>
    <s v="Ismael Ramos"/>
    <s v=""/>
    <s v=""/>
    <s v="suporte@marcamix.com.br"/>
    <s v=""/>
    <s v=""/>
    <s v=""/>
    <s v="Ribeirão Preto"/>
    <s v=""/>
    <s v="Inbound"/>
    <s v=""/>
    <s v=""/>
    <s v="comex"/>
    <s v="Pipeline de Vendas"/>
    <s v="Em negociação (75%)"/>
    <s v=""/>
    <d v="2026-04-10T00:00:00"/>
    <n v="6000"/>
    <n v="2000"/>
    <n v="40"/>
    <s v="Paulo Souza"/>
    <d v="2026-04-10T00:00:00"/>
    <d v="1899-12-30T08:52:00"/>
    <s v=""/>
    <s v="Ativo"/>
    <m/>
    <m/>
    <s v=""/>
    <s v=""/>
    <s v=""/>
    <x v="206"/>
    <s v="Rayssa Karapeticov"/>
    <x v="227"/>
    <s v=""/>
    <d v="2026-05-13T00:00:00"/>
    <n v="30"/>
    <s v=""/>
    <s v=""/>
    <s v=""/>
    <s v=""/>
    <n v="1"/>
  </r>
  <r>
    <x v="0"/>
    <n v="1087"/>
    <m/>
    <n v="3495"/>
    <s v=""/>
    <s v=""/>
    <x v="573"/>
    <m/>
    <s v=""/>
    <s v="Romulo"/>
    <s v="8191451469"/>
    <s v=""/>
    <s v="romulomelo2009@gmai.com"/>
    <s v=""/>
    <s v=""/>
    <s v=""/>
    <s v=""/>
    <s v=""/>
    <s v="Campanha"/>
    <s v=""/>
    <s v=""/>
    <s v="Fora Perfil;Instagram"/>
    <s v="Pipeline de Vendas"/>
    <s v="Agendamento (0%)"/>
    <s v=""/>
    <d v="2026-04-30T00:00:00"/>
    <m/>
    <m/>
    <n v="0"/>
    <s v="Paulo Souza"/>
    <d v="2026-04-10T00:00:00"/>
    <d v="1899-12-30T08:53:42"/>
    <s v=""/>
    <s v="Perdido"/>
    <d v="2026-04-10T00:00:00"/>
    <d v="1899-12-30T14:08:40"/>
    <s v="Preço muito alto - fora do budget de investimento"/>
    <s v=""/>
    <s v=""/>
    <x v="0"/>
    <s v="Paulo Souza"/>
    <x v="0"/>
    <s v=""/>
    <m/>
    <n v="30"/>
    <s v=""/>
    <s v=""/>
    <s v=""/>
    <s v=""/>
    <n v="1"/>
  </r>
  <r>
    <x v="0"/>
    <n v="1088"/>
    <m/>
    <n v="3498"/>
    <s v=""/>
    <s v=""/>
    <x v="574"/>
    <m/>
    <s v=""/>
    <s v="JH Navegação e Logística Ltda"/>
    <s v="92991313828"/>
    <s v=""/>
    <s v="hayliebarbosa1@gmail.com"/>
    <s v=""/>
    <s v=""/>
    <s v=""/>
    <s v=""/>
    <s v=""/>
    <s v="Campanha"/>
    <s v=""/>
    <s v=""/>
    <s v="Fora Perfil;Instagram"/>
    <s v="Pipeline de Vendas"/>
    <s v="Agendamento (0%)"/>
    <s v=""/>
    <m/>
    <m/>
    <m/>
    <n v="29"/>
    <s v="Paulo Souza"/>
    <d v="2026-04-10T00:00:00"/>
    <d v="1899-12-30T08:54:24"/>
    <s v=""/>
    <s v="Perdido"/>
    <d v="2026-05-09T00:00:00"/>
    <d v="1899-12-30T08:41:27"/>
    <s v="Fora do segmento atendido"/>
    <s v=""/>
    <s v=""/>
    <x v="0"/>
    <s v="Paulo Souza"/>
    <x v="0"/>
    <s v=""/>
    <m/>
    <n v="30"/>
    <s v=""/>
    <s v=""/>
    <s v=""/>
    <s v=""/>
    <n v="1"/>
  </r>
  <r>
    <x v="1"/>
    <n v="1089"/>
    <m/>
    <n v="3509"/>
    <s v=""/>
    <s v=""/>
    <x v="575"/>
    <n v="3654966000130"/>
    <s v=""/>
    <s v="Marlim Azul Turismo"/>
    <s v="27999346494"/>
    <s v=""/>
    <s v="heber@marlimazulturismo.com.br"/>
    <s v=""/>
    <s v=""/>
    <s v=""/>
    <s v=""/>
    <s v="Serra ES"/>
    <s v="Inbound"/>
    <s v=""/>
    <s v=""/>
    <s v="Fora Perfil;Instagram"/>
    <s v="Pipeline de Vendas"/>
    <s v="Agendamento (0%)"/>
    <s v=""/>
    <m/>
    <m/>
    <m/>
    <n v="0"/>
    <s v="Paulo Souza"/>
    <d v="2026-04-10T00:00:00"/>
    <d v="1899-12-30T08:55:19"/>
    <s v=""/>
    <s v="Perdido"/>
    <d v="2026-04-10T00:00:00"/>
    <d v="1899-12-30T10:24:21"/>
    <s v="Fora do porte mínimo (sem fit estrutural)"/>
    <s v="empresa fora do perfil"/>
    <s v=""/>
    <x v="0"/>
    <s v="Junior Lopes"/>
    <x v="0"/>
    <s v=""/>
    <m/>
    <n v="30"/>
    <s v=""/>
    <s v=""/>
    <s v=""/>
    <s v=""/>
    <n v="1"/>
  </r>
  <r>
    <x v="2"/>
    <n v="1090"/>
    <m/>
    <n v="3508"/>
    <s v="10.04 - Caixa postal _x000a_Bom dia Claudio , como vai?_x000a_Meu nome é Rayssa, sou da Guarani Sistemas. _x000a_Tentei contato com você para falarmos de sua necessidade de implantação de um novo software para sua empresa._x000a_Qual melhor horario para te retornar?"/>
    <s v=""/>
    <x v="576"/>
    <m/>
    <s v=""/>
    <s v="Mercado do bairro"/>
    <s v="11949454465"/>
    <s v=""/>
    <s v="mercadobairro11@gmail.com"/>
    <s v=""/>
    <s v=""/>
    <s v=""/>
    <s v=""/>
    <s v=""/>
    <s v="Campanha"/>
    <s v=""/>
    <s v=""/>
    <s v="Fora Perfil;Instagram"/>
    <s v="Pipeline de Vendas"/>
    <s v="Agendamento (0%)"/>
    <s v=""/>
    <d v="2026-04-30T00:00:00"/>
    <m/>
    <m/>
    <n v="0"/>
    <s v="Paulo Souza"/>
    <d v="2026-04-10T00:00:00"/>
    <d v="1899-12-30T08:56:18"/>
    <s v=""/>
    <s v="Perdido"/>
    <d v="2026-04-10T00:00:00"/>
    <d v="1899-12-30T10:43:18"/>
    <s v="Fora do porte mínimo (sem fit estrutural)"/>
    <s v="mercado"/>
    <s v=""/>
    <x v="0"/>
    <s v="Rayssa Karapeticov"/>
    <x v="0"/>
    <s v=""/>
    <m/>
    <n v="30"/>
    <s v=""/>
    <s v=""/>
    <s v=""/>
    <s v=""/>
    <n v="1"/>
  </r>
  <r>
    <x v="1"/>
    <n v="1091"/>
    <m/>
    <n v="3507"/>
    <s v="(10/04/2026) em contato com Guri a fim de entender melhor suas necessidades"/>
    <s v=""/>
    <x v="577"/>
    <m/>
    <s v=""/>
    <s v="Guri cervejaria"/>
    <s v="54996551297"/>
    <s v=""/>
    <s v="cervejariaguri@hotmail.com"/>
    <s v=""/>
    <s v=""/>
    <s v=""/>
    <s v=""/>
    <s v=""/>
    <s v="Campanha"/>
    <s v=""/>
    <s v=""/>
    <s v="Fora Perfil;Instagram"/>
    <s v="Pipeline de Vendas"/>
    <s v="Qualificação de Vendas (SQL) (25%)"/>
    <s v=""/>
    <d v="2026-04-30T00:00:00"/>
    <m/>
    <m/>
    <n v="0"/>
    <s v="Paulo Souza"/>
    <d v="2026-04-10T00:00:00"/>
    <d v="1899-12-30T08:57:15"/>
    <s v=""/>
    <s v="Perdido"/>
    <d v="2026-04-10T00:00:00"/>
    <d v="1899-12-30T10:26:02"/>
    <s v="Fora do porte mínimo (sem fit estrutural)"/>
    <s v="Guri cervejaria é basicamente um bar e entretenimento com quadras de futebol, fora do perfil"/>
    <s v=""/>
    <x v="0"/>
    <s v="Junior Lopes"/>
    <x v="0"/>
    <s v=""/>
    <m/>
    <n v="30"/>
    <s v=""/>
    <s v=""/>
    <s v=""/>
    <s v=""/>
    <n v="1"/>
  </r>
  <r>
    <x v="2"/>
    <n v="1092"/>
    <m/>
    <n v="3506"/>
    <s v="28.04 Boa tarde Paulo, como vai?_x000a_Meu nome é Rayssa, sou da Guarani Sistemas, e falei com você uns dias atrás para entender sua necessidade de implantação de um novo software, porém, não consegui mais falar com você._x000a_Ainda está em busca de uma solução tecnologica para a empresa?"/>
    <s v=""/>
    <x v="578"/>
    <n v="34731194000117"/>
    <s v=""/>
    <s v="UP"/>
    <s v="(11) 4199-5100"/>
    <s v=""/>
    <s v="financeiro@up-ib.com.br"/>
    <s v=""/>
    <s v=""/>
    <s v=""/>
    <s v="ARACARIGUAMA"/>
    <s v="SP"/>
    <s v="Inbound"/>
    <s v=""/>
    <s v=""/>
    <s v="Dentro Perfil;Instagram"/>
    <s v="Pipeline de Vendas"/>
    <s v="Apresentar Solução (35%)"/>
    <s v=""/>
    <d v="2026-06-30T00:00:00"/>
    <m/>
    <m/>
    <n v="39"/>
    <s v="Paulo Souza"/>
    <d v="2026-04-10T00:00:00"/>
    <d v="1899-12-30T08:58:12"/>
    <s v=""/>
    <s v="Perdido"/>
    <d v="2026-05-19T00:00:00"/>
    <d v="1899-12-30T11:26:52"/>
    <s v="Projeto adiado / sem prazo definido"/>
    <s v=""/>
    <s v=""/>
    <x v="0"/>
    <s v="Rayssa Karapeticov"/>
    <x v="0"/>
    <s v=""/>
    <d v="2026-05-19T00:00:00"/>
    <n v="30"/>
    <s v=""/>
    <s v=""/>
    <s v=""/>
    <s v=""/>
    <n v="1"/>
  </r>
  <r>
    <x v="2"/>
    <n v="1093"/>
    <m/>
    <n v="3487"/>
    <s v=""/>
    <s v=""/>
    <x v="579"/>
    <n v="9313543000133"/>
    <s v=""/>
    <s v="Aucione Lima da Silva"/>
    <s v="(11) 94035-6615"/>
    <s v=""/>
    <s v="contato@raryplast.com.br"/>
    <s v=""/>
    <s v=""/>
    <s v=""/>
    <s v="Tatuí"/>
    <s v=""/>
    <s v="Site"/>
    <s v=""/>
    <s v=""/>
    <s v="Contato"/>
    <s v="Pipeline de Vendas"/>
    <s v="Agendamento (0%)"/>
    <s v=""/>
    <d v="2026-08-31T00:00:00"/>
    <m/>
    <m/>
    <n v="12"/>
    <s v="Paulo Souza"/>
    <d v="2026-04-10T00:00:00"/>
    <d v="1899-12-30T09:00:23"/>
    <s v=""/>
    <s v="Perdido"/>
    <d v="2026-04-22T00:00:00"/>
    <d v="1899-12-30T17:04:29"/>
    <s v="Não quer mudar a solução atual"/>
    <s v=""/>
    <s v=""/>
    <x v="0"/>
    <s v="Rayssa Karapeticov"/>
    <x v="0"/>
    <s v=""/>
    <d v="2026-04-22T00:00:00"/>
    <n v="30"/>
    <s v=""/>
    <s v=""/>
    <s v=""/>
    <s v=""/>
    <n v="1"/>
  </r>
  <r>
    <x v="0"/>
    <n v="1094"/>
    <m/>
    <n v="3499"/>
    <s v=""/>
    <s v=""/>
    <x v="580"/>
    <m/>
    <s v=""/>
    <s v="Adovanio"/>
    <s v="11947878080"/>
    <s v=""/>
    <s v="cptavaresrepresenta@gmail.com"/>
    <s v=""/>
    <s v=""/>
    <s v=""/>
    <s v=""/>
    <s v=""/>
    <s v="Campanha"/>
    <s v=""/>
    <s v=""/>
    <s v="Dentro Perfil;Instagram"/>
    <s v="Pipeline de Vendas"/>
    <s v="Agendamento (0%)"/>
    <s v=""/>
    <d v="2026-04-30T00:00:00"/>
    <m/>
    <m/>
    <n v="29"/>
    <s v="Paulo Souza"/>
    <d v="2026-04-10T00:00:00"/>
    <d v="1899-12-30T09:01:47"/>
    <s v=""/>
    <s v="Perdido"/>
    <d v="2026-05-09T00:00:00"/>
    <d v="1899-12-30T08:42:12"/>
    <s v="Sem qualificação — contato não atende ligações nem responde msg"/>
    <s v=""/>
    <s v=""/>
    <x v="0"/>
    <s v="Paulo Souza"/>
    <x v="0"/>
    <s v=""/>
    <m/>
    <n v="30"/>
    <s v=""/>
    <s v=""/>
    <s v=""/>
    <s v=""/>
    <n v="1"/>
  </r>
  <r>
    <x v="1"/>
    <n v="1095"/>
    <m/>
    <n v="3489"/>
    <s v="(10/04/2026) Buscando contato com Andrea"/>
    <s v=""/>
    <x v="581"/>
    <n v="18564850000188"/>
    <s v=""/>
    <s v="Gerente Produção"/>
    <s v="(47) 99633-0990"/>
    <s v=""/>
    <s v="gerenteproducaosimas@gmail.com"/>
    <s v=""/>
    <s v=""/>
    <s v=""/>
    <s v="ITAJAI"/>
    <s v="SC"/>
    <s v="Site"/>
    <s v=""/>
    <s v=""/>
    <s v="Solicita demo"/>
    <s v="Pipeline de Vendas"/>
    <s v="Em negociação (75%)"/>
    <s v=""/>
    <d v="2026-04-30T00:00:00"/>
    <n v="16960"/>
    <n v="1150"/>
    <n v="40"/>
    <s v="Paulo Souza"/>
    <d v="2026-04-10T00:00:00"/>
    <d v="1899-12-30T09:02:55"/>
    <s v=""/>
    <s v="Ativo"/>
    <m/>
    <m/>
    <s v=""/>
    <s v=""/>
    <s v=""/>
    <x v="207"/>
    <s v="Junior Lopes"/>
    <x v="228"/>
    <s v="06/05/2026"/>
    <m/>
    <n v="30"/>
    <s v=""/>
    <s v=""/>
    <s v=""/>
    <s v=""/>
    <n v="1"/>
  </r>
  <r>
    <x v="0"/>
    <n v="1096"/>
    <m/>
    <n v="3513"/>
    <s v=""/>
    <s v=""/>
    <x v="582"/>
    <m/>
    <s v=""/>
    <s v="Silvia"/>
    <s v="11996146290"/>
    <s v=""/>
    <s v="null"/>
    <s v=""/>
    <s v=""/>
    <s v=""/>
    <s v=""/>
    <s v=""/>
    <s v=""/>
    <s v=""/>
    <s v=""/>
    <s v=""/>
    <s v="Pipeline de Vendas"/>
    <s v="Em negociação (75%)"/>
    <s v=""/>
    <m/>
    <n v="26350"/>
    <n v="3450"/>
    <n v="38"/>
    <s v="Paulo Souza"/>
    <d v="2026-04-10T00:00:00"/>
    <d v="1899-12-30T09:15:28"/>
    <s v=""/>
    <s v="Perdido"/>
    <d v="2026-05-18T00:00:00"/>
    <d v="1899-12-30T17:01:15"/>
    <s v="Preço muito alto - fora do budget de investimento"/>
    <s v=""/>
    <s v=""/>
    <x v="0"/>
    <s v="Paulo Souza"/>
    <x v="0"/>
    <s v=""/>
    <d v="2026-04-20T00:00:00"/>
    <n v="30"/>
    <s v=""/>
    <s v=""/>
    <s v=""/>
    <s v=""/>
    <n v="1"/>
  </r>
  <r>
    <x v="2"/>
    <n v="1097"/>
    <m/>
    <n v="3514"/>
    <s v=""/>
    <s v="Green Flower Comercio, Importacao E Exportacao Ltda"/>
    <x v="583"/>
    <n v="7382350000109"/>
    <s v=""/>
    <s v="Green Flower Comercio, Importacao E Exportacao Ltda"/>
    <s v="(11) 4395-7650"/>
    <s v=""/>
    <s v="contato@acrosscontabil.com.br"/>
    <s v=""/>
    <s v=""/>
    <s v=""/>
    <s v="SAO PAULO"/>
    <s v="SP"/>
    <s v="Base de empresas Leads2b"/>
    <s v=""/>
    <s v=""/>
    <s v=""/>
    <s v="Pipeline de Vendas"/>
    <s v="Qualificação de Vendas (SQL) (25%)"/>
    <s v=""/>
    <m/>
    <m/>
    <m/>
    <n v="40"/>
    <s v="Rayssa Karapeticov"/>
    <d v="2026-04-10T00:00:00"/>
    <d v="1899-12-30T15:04:34"/>
    <s v=""/>
    <s v="Ativo"/>
    <m/>
    <m/>
    <s v=""/>
    <s v=""/>
    <s v=""/>
    <x v="0"/>
    <s v="Rayssa Karapeticov"/>
    <x v="0"/>
    <s v=""/>
    <d v="2026-05-07T00:00:00"/>
    <n v="30"/>
    <s v=""/>
    <s v=""/>
    <s v=""/>
    <s v=""/>
    <n v="1"/>
  </r>
  <r>
    <x v="2"/>
    <n v="1098"/>
    <m/>
    <n v="3516"/>
    <s v=""/>
    <s v="Santorini Atacadista Ltda"/>
    <x v="584"/>
    <n v="34355470000190"/>
    <s v=""/>
    <s v="Santorini Atacadista Ltda"/>
    <s v="(11) 8284-9672"/>
    <s v=""/>
    <s v="maluciarezende@gmail.com"/>
    <s v=""/>
    <s v=""/>
    <s v=""/>
    <s v="SAO PAULO"/>
    <s v="SP"/>
    <s v="Base de empresas Leads2b"/>
    <s v=""/>
    <s v=""/>
    <s v=""/>
    <s v="Pipeline de Vendas"/>
    <s v="Agendamento (0%)"/>
    <s v=""/>
    <m/>
    <m/>
    <m/>
    <n v="0"/>
    <s v="Rayssa Karapeticov"/>
    <d v="2026-04-10T00:00:00"/>
    <d v="1899-12-30T15:47:11"/>
    <s v=""/>
    <s v="Perdido"/>
    <d v="2026-04-10T00:00:00"/>
    <d v="1899-12-30T15:48:31"/>
    <s v="Fora do porte mínimo (sem fit estrutural)"/>
    <s v=""/>
    <s v=""/>
    <x v="0"/>
    <s v="Rayssa Karapeticov"/>
    <x v="0"/>
    <s v=""/>
    <m/>
    <n v="30"/>
    <s v=""/>
    <s v=""/>
    <s v=""/>
    <s v=""/>
    <n v="1"/>
  </r>
  <r>
    <x v="2"/>
    <n v="1099"/>
    <m/>
    <n v="3518"/>
    <s v=""/>
    <s v="Mabel Comercio De Importados Ltda"/>
    <x v="585"/>
    <n v="527682000195"/>
    <s v=""/>
    <s v="Mabel Comercio De Importados Ltda"/>
    <s v="(11) 3315-0052"/>
    <s v=""/>
    <s v="deptofiscal@mabelimport.com.br"/>
    <s v=""/>
    <s v=""/>
    <s v=""/>
    <s v="SOROCABA"/>
    <s v="SP"/>
    <s v="Base de empresas Leads2b"/>
    <s v=""/>
    <s v=""/>
    <s v=""/>
    <s v="Pipeline de Vendas"/>
    <s v="Qualificação de Vendas (SQL) (25%)"/>
    <s v=""/>
    <m/>
    <m/>
    <m/>
    <n v="27"/>
    <s v="Rayssa Karapeticov"/>
    <d v="2026-04-10T00:00:00"/>
    <d v="1899-12-30T17:12:21"/>
    <s v=""/>
    <s v="Perdido"/>
    <d v="2026-05-07T00:00:00"/>
    <d v="1899-12-30T10:09:44"/>
    <s v="Projeto adiado / sem prazo definido"/>
    <s v=""/>
    <s v=""/>
    <x v="0"/>
    <s v="Rayssa Karapeticov"/>
    <x v="0"/>
    <s v=""/>
    <m/>
    <n v="28"/>
    <s v=""/>
    <s v=""/>
    <s v=""/>
    <s v=""/>
    <n v="1"/>
  </r>
  <r>
    <x v="2"/>
    <n v="1100"/>
    <m/>
    <n v="3522"/>
    <s v=""/>
    <s v="U4 Home Artigos Domesticos Ltda"/>
    <x v="586"/>
    <n v="28516601000170"/>
    <s v=""/>
    <s v="U4 Home Artigos Domesticos Ltda"/>
    <s v="(13) 3303-9200"/>
    <s v=""/>
    <s v="financeiro@u4home.com.br"/>
    <s v=""/>
    <s v=""/>
    <s v=""/>
    <s v="ITANHAEM"/>
    <s v="SP"/>
    <s v="Base de empresas Leads2b"/>
    <s v=""/>
    <s v=""/>
    <s v=""/>
    <s v="Pipeline de Vendas"/>
    <s v="Qualificação de Vendas (SQL) (25%)"/>
    <s v=""/>
    <m/>
    <m/>
    <m/>
    <n v="40"/>
    <s v="Rayssa Karapeticov"/>
    <d v="2026-04-10T00:00:00"/>
    <d v="1899-12-30T17:23:16"/>
    <s v=""/>
    <s v="Ativo"/>
    <m/>
    <m/>
    <s v=""/>
    <s v=""/>
    <s v=""/>
    <x v="0"/>
    <s v="Rayssa Karapeticov"/>
    <x v="0"/>
    <s v=""/>
    <m/>
    <n v="30"/>
    <s v=""/>
    <s v=""/>
    <s v=""/>
    <s v=""/>
    <n v="1"/>
  </r>
  <r>
    <x v="2"/>
    <n v="1101"/>
    <m/>
    <n v="3530"/>
    <s v="16.14 - apresentação realizada"/>
    <s v="Ns Iguacu Eletronicos Ltda"/>
    <x v="587"/>
    <n v="12259254000108"/>
    <s v=""/>
    <s v="Leticia"/>
    <s v="(11) 96978-9804"/>
    <s v=""/>
    <s v="weisc@uol.com.br"/>
    <s v=""/>
    <s v=""/>
    <s v=""/>
    <s v="SAO PAULO"/>
    <s v="SP"/>
    <s v="Base de empresas Leads2b"/>
    <s v=""/>
    <s v=""/>
    <s v=""/>
    <s v="Pipeline de Vendas"/>
    <s v="Apresentar Proposta (50%)"/>
    <s v=""/>
    <d v="2026-07-31T00:00:00"/>
    <m/>
    <m/>
    <n v="37"/>
    <s v="Rayssa Karapeticov"/>
    <d v="2026-04-13T00:00:00"/>
    <d v="1899-12-30T12:31:55"/>
    <s v=""/>
    <s v="Ativo"/>
    <m/>
    <m/>
    <s v=""/>
    <s v=""/>
    <s v=""/>
    <x v="208"/>
    <s v="Rayssa Karapeticov"/>
    <x v="229"/>
    <s v="04/05/2026"/>
    <d v="2026-05-13T00:00:00"/>
    <n v="30"/>
    <s v=""/>
    <s v=""/>
    <s v=""/>
    <s v=""/>
    <n v="1"/>
  </r>
  <r>
    <x v="1"/>
    <n v="1102"/>
    <m/>
    <n v="3533"/>
    <s v="(23/04/2026) em ligação _x000a_adicionou meu numero de WhatsApp para enviar ao gerente comercial _x000a_10:49, 23/04/2026 Amanda Etilux Oliveira: Bom dia, tudo bem ?_x000a_10:50, 23/04/2026 Amanda Etilux Oliveira: Amanda da Etilux_x000a_10:50, 23/04/2026 Junior Lopes: Olá Amanda, bom dia! Tudo bem por aqui. Como posso te ajudar hoje?_x000a_10:57, 23/04/2026 Junior Lopes: Olá ! Muito obrigado_x000a_10:58, 23/04/2026 Amanda Etilux Oliveira: poderia me explicar de novo, para te encaminhar para o setor responsavel_x000a_10:58, 23/04/2026 Junior Lopes: Td bem Amanda ?_x000a_10:59, 23/04/2026 Amanda Etilux Oliveira: sim_x000a_11:01, 23/04/2026 Junior Lopes: Sou Junior Lopes da Guarani sistemas _x000a_A ideia é apresentar nossa soluções para automação da força de vendas _x000a_Nossa solução pode ajudar seu representante a vender mais com recursos de IA acoplado ao aplicativo, vendas B2B feitas pelo próprio representante/vendedor_x000a_11:01, 23/04/2026 Junior Lopes: A ideia é apresentar essa solução para seu gestor comercial_x000a_11:01, 23/04/2026 Junior Lopes: Acredito que seja o Rodrigo Fritoli_x000a_11:03, 23/04/2026 Amanda Etilux Oliveira: Sobre sistemas pode mandar e-mail ewerton.dias@etilux.com.br_x000a_11:04, 23/04/2026 Junior Lopes: Ta joia ! Vou enviar para Ewerton_x000a_11:04, 23/04/2026 Junior Lopes: Acredito que seja o Rodrigo Fritoli_x000a_Vc consegue me enviar o telefone do Rodrigo?_x000a_11:05, 23/04/2026 Amanda Etilux Oliveira: Consigo te enviar o e-mail _x000a_rodrigo.fritoli@etilux.com.br"/>
    <s v="Etilux Importacao E Distribuicao De Artigos De Cutelaria Ltda"/>
    <x v="588"/>
    <n v="50306471000524"/>
    <s v=""/>
    <s v="Etilux Importacao E Distribuicao De Artigos De Cutelaria Ltda"/>
    <s v="(11) 3227-3263"/>
    <s v=""/>
    <s v="askfiscal@askcontabil.com.br"/>
    <s v=""/>
    <s v=""/>
    <s v=""/>
    <s v="GUARULHOS"/>
    <s v="SP"/>
    <s v="Base de empresas Leads2b"/>
    <s v=""/>
    <s v=""/>
    <s v=""/>
    <s v="Pipeline de Vendas"/>
    <s v="Qualificação de Vendas (SQL) (25%)"/>
    <s v=""/>
    <m/>
    <m/>
    <m/>
    <n v="37"/>
    <s v="Junior Lopes"/>
    <d v="2026-04-13T00:00:00"/>
    <d v="1899-12-30T15:14:42"/>
    <s v=""/>
    <s v="Ativo"/>
    <m/>
    <m/>
    <s v=""/>
    <s v=""/>
    <s v=""/>
    <x v="0"/>
    <s v=""/>
    <x v="0"/>
    <s v=""/>
    <d v="2026-04-23T00:00:00"/>
    <n v="30"/>
    <s v=""/>
    <s v=""/>
    <s v="R$ 0,00"/>
    <s v=""/>
    <n v="1"/>
  </r>
  <r>
    <x v="2"/>
    <n v="1103"/>
    <m/>
    <n v="3534"/>
    <s v="14.04 - em ligação com o cliente, já conhecem o Guarani devido a clientes do mesmo segmento, e já tiveram uma conversa conosco a uns 15 anos atrás e não avançaram devido o valor. Retornou o contato pedindo uma apreentação do sistemas para os funcionários da empresa ainda essa semana, porque o diretor que estara presente viaja na proxima semana"/>
    <s v=""/>
    <x v="589"/>
    <n v="8822792000191"/>
    <s v=""/>
    <s v="Ana Cristina"/>
    <s v="(11) 95126-4832"/>
    <s v=""/>
    <s v="financeiro.sqcomercio@gmail.com"/>
    <s v=""/>
    <s v=""/>
    <s v=""/>
    <s v="SAO PAULO"/>
    <s v="SP"/>
    <s v="Site"/>
    <s v=""/>
    <s v=""/>
    <s v="Dentro Perfil;Solicita demo"/>
    <s v="Pipeline de Vendas"/>
    <s v="Em negociação (75%)"/>
    <s v=""/>
    <d v="2026-09-30T00:00:00"/>
    <n v="85600"/>
    <n v="66847"/>
    <n v="29"/>
    <s v="Paulo Souza"/>
    <d v="2026-04-14T00:00:00"/>
    <d v="1899-12-30T10:03:18"/>
    <s v=""/>
    <s v="Perdido"/>
    <d v="2026-05-13T00:00:00"/>
    <d v="1899-12-30T11:16:02"/>
    <s v="Fechou com o concorrente - funcionaliadade"/>
    <s v=""/>
    <s v=""/>
    <x v="208"/>
    <s v="Rayssa Karapeticov"/>
    <x v="230"/>
    <s v=""/>
    <d v="2026-05-13T00:00:00"/>
    <n v="30"/>
    <s v=""/>
    <s v="ERP, AFV, WMS, COMEX, CLOUD"/>
    <s v=""/>
    <s v=""/>
    <n v="1"/>
  </r>
  <r>
    <x v="2"/>
    <n v="1104"/>
    <m/>
    <n v="3527"/>
    <s v="14.04 Cliente vende auto peças, material de construção e ainda presta serviço. é um logista. _x000a_Fora do perfil"/>
    <s v=""/>
    <x v="590"/>
    <m/>
    <s v=""/>
    <s v="Comblocos Materiais de Construção"/>
    <s v="33988611992"/>
    <s v=""/>
    <s v="ittalo.tim@hotmail.com"/>
    <s v=""/>
    <s v=""/>
    <s v=""/>
    <s v=""/>
    <s v="Vvv"/>
    <s v="Inbound"/>
    <s v=""/>
    <s v=""/>
    <s v="Fora Perfil;Instagram"/>
    <s v="Pipeline de Vendas"/>
    <s v="Agendamento (0%)"/>
    <s v=""/>
    <d v="2026-04-30T00:00:00"/>
    <m/>
    <m/>
    <n v="0"/>
    <s v="Paulo Souza"/>
    <d v="2026-04-14T00:00:00"/>
    <d v="1899-12-30T10:05:58"/>
    <s v=""/>
    <s v="Perdido"/>
    <d v="2026-04-14T00:00:00"/>
    <d v="1899-12-30T10:31:19"/>
    <s v="Fora do porte mínimo (sem fit estrutural)"/>
    <s v=""/>
    <s v=""/>
    <x v="0"/>
    <s v="Rayssa Karapeticov"/>
    <x v="0"/>
    <s v=""/>
    <m/>
    <n v="30"/>
    <s v=""/>
    <s v=""/>
    <s v=""/>
    <s v=""/>
    <n v="1"/>
  </r>
  <r>
    <x v="1"/>
    <n v="1105"/>
    <m/>
    <n v="3524"/>
    <s v="(14/04/2026) em contato com Renan _x000a_10:42, 14/04/2026 Junior Lopes: Olá Renan, bom dia ! tudo bem ?_x000a_10:42, 14/04/2026 Junior Lopes: sou Junior Lopes da Guarani sistemas td bem ?_x000a_10:44, 14/04/2026 +55 66 9647-2785: Bom dia Junior_x000a_10:44, 14/04/2026 +55 66 9647-2785: Tudo bem e contigo?_x000a_10:45, 14/04/2026 Junior Lopes: Opa Td joia ! _x000a_Estou retornando para vc um contato que fez conosco sobre nosso software_x000a_11:03, 14/04/2026 +55 66 9647-2785: Vc tem sistema para materiais para construção_x000a_11:03, 14/04/2026 +55 66 9647-2785: ?_x000a_11:27, 14/04/2026 +55 66 9647-2785: A venda somente interna mesmo_x000a_11:27, 14/04/2026 +55 66 9647-2785: Não tem vendedores externos_x000a_11:36, 14/04/2026 Junior Lopes: Fiz uma análise rápida aqui Renan devido alguns pontos não consigo te atender! Ate pq nossa solução é mais focada em distribuição"/>
    <s v=""/>
    <x v="591"/>
    <m/>
    <s v=""/>
    <s v="Araguaia Materiais Para Construcao"/>
    <s v="66996472785"/>
    <s v=""/>
    <s v="renansimon@gmail.com"/>
    <s v=""/>
    <s v=""/>
    <s v=""/>
    <s v=""/>
    <s v=""/>
    <s v="Campanha"/>
    <s v=""/>
    <s v=""/>
    <s v="Fora Perfil;Instagram"/>
    <s v="Pipeline de Vendas"/>
    <s v="Qualificação de Vendas (SQL) (25%)"/>
    <s v=""/>
    <d v="2026-04-14T00:00:00"/>
    <m/>
    <m/>
    <n v="0"/>
    <s v="Paulo Souza"/>
    <d v="2026-04-14T00:00:00"/>
    <d v="1899-12-30T10:08:51"/>
    <s v=""/>
    <s v="Perdido"/>
    <d v="2026-04-14T00:00:00"/>
    <d v="1899-12-30T11:58:52"/>
    <s v="Fora do porte mínimo (sem fit estrutural)"/>
    <s v="em contato com Renan, precisa de um PDV para loja de material de construção com particularidades de entrega parcial e controle de medidas das para venda de terras e pedras"/>
    <s v=""/>
    <x v="0"/>
    <s v="Junior Lopes"/>
    <x v="0"/>
    <s v=""/>
    <m/>
    <n v="30"/>
    <s v=""/>
    <s v=""/>
    <s v=""/>
    <s v=""/>
    <n v="1"/>
  </r>
  <r>
    <x v="1"/>
    <n v="1106"/>
    <m/>
    <n v="3525"/>
    <s v=""/>
    <s v=""/>
    <x v="592"/>
    <m/>
    <s v=""/>
    <s v="Teodoro cosméticos"/>
    <s v="64999291080"/>
    <s v=""/>
    <s v="rogeriojtigo@hotmail.com"/>
    <s v=""/>
    <s v=""/>
    <s v=""/>
    <s v=""/>
    <s v="Jatai goais"/>
    <s v="Inbound"/>
    <s v=""/>
    <s v=""/>
    <s v="Dentro Perfil;Instagram"/>
    <s v="Pipeline de Vendas"/>
    <s v="Qualificação de Vendas (SQL) (25%)"/>
    <s v=""/>
    <d v="2026-04-14T00:00:00"/>
    <m/>
    <m/>
    <n v="36"/>
    <s v="Paulo Souza"/>
    <d v="2026-04-14T00:00:00"/>
    <d v="1899-12-30T10:09:44"/>
    <s v=""/>
    <s v="Ativo"/>
    <m/>
    <m/>
    <s v=""/>
    <s v=""/>
    <s v=""/>
    <x v="0"/>
    <s v="Junior Lopes"/>
    <x v="0"/>
    <s v=""/>
    <m/>
    <n v="30"/>
    <s v=""/>
    <s v=""/>
    <s v=""/>
    <s v=""/>
    <n v="1"/>
  </r>
  <r>
    <x v="1"/>
    <n v="1107"/>
    <m/>
    <n v="3526"/>
    <s v=""/>
    <s v=""/>
    <x v="593"/>
    <n v="52975803000165"/>
    <s v=""/>
    <s v="Dsg"/>
    <s v="85994341515"/>
    <s v=""/>
    <s v="euderi@hotmail.com"/>
    <s v=""/>
    <s v=""/>
    <s v=""/>
    <s v="MARACANAU"/>
    <s v="CE"/>
    <s v="Campanha"/>
    <s v=""/>
    <s v=""/>
    <s v="Fora Perfil;Instagram"/>
    <s v="Pipeline de Vendas"/>
    <s v="Agendamento (0%)"/>
    <s v=""/>
    <d v="2026-04-14T00:00:00"/>
    <m/>
    <m/>
    <n v="25"/>
    <s v="Paulo Souza"/>
    <d v="2026-04-14T00:00:00"/>
    <d v="1899-12-30T10:11:37"/>
    <s v=""/>
    <s v="Perdido"/>
    <d v="2026-05-09T00:00:00"/>
    <d v="1899-12-30T08:42:58"/>
    <s v="Fora do segmento atendido"/>
    <s v=""/>
    <s v=""/>
    <x v="0"/>
    <s v="Junior Lopes"/>
    <x v="0"/>
    <s v=""/>
    <m/>
    <n v="30"/>
    <s v=""/>
    <s v=""/>
    <s v=""/>
    <s v=""/>
    <n v="1"/>
  </r>
  <r>
    <x v="1"/>
    <n v="1113"/>
    <m/>
    <n v="3542"/>
    <s v=""/>
    <s v="Logrosoft Comercio, Importacao, Exportacao E Prestacao De Servicos Ltda"/>
    <x v="594"/>
    <n v="38116840000197"/>
    <s v=""/>
    <s v="Logrosoft Comercio, Importacao, Exportacao E Prestacao De Servicos Ltda"/>
    <s v="(31) 3378-0033"/>
    <s v=""/>
    <s v="supervisoroperacional@logrosoft.com.br"/>
    <s v=""/>
    <s v=""/>
    <s v=""/>
    <s v="BELO HORIZONTE"/>
    <s v="MG"/>
    <s v="Base de empresas Leads2b"/>
    <s v=""/>
    <s v=""/>
    <s v=""/>
    <s v="Pipeline de Vendas"/>
    <s v="Apresentar Solução (35%)"/>
    <s v=""/>
    <m/>
    <n v="13509779"/>
    <n v="899628"/>
    <n v="16"/>
    <s v="Junior Lopes"/>
    <d v="2026-04-14T00:00:00"/>
    <d v="1899-12-30T16:43:47"/>
    <s v=""/>
    <s v="Perdido"/>
    <d v="2026-04-30T00:00:00"/>
    <d v="1899-12-30T15:42:59"/>
    <s v="Não houve aprovação financeira"/>
    <s v="dois pontos que o cliente usou para não seguir ! busca um ERP Mais simples e com valor ,ais em conta"/>
    <s v=""/>
    <x v="209"/>
    <s v=""/>
    <x v="231"/>
    <s v=""/>
    <m/>
    <n v="50"/>
    <s v=""/>
    <s v=""/>
    <s v=""/>
    <s v=""/>
    <n v="1"/>
  </r>
  <r>
    <x v="1"/>
    <n v="1114"/>
    <m/>
    <n v="3544"/>
    <s v=""/>
    <s v=""/>
    <x v="595"/>
    <n v="38116840000197"/>
    <s v=""/>
    <s v="Logrosoft comercio CLOUD"/>
    <s v="3133780033"/>
    <s v=""/>
    <s v="supervisoroperacional@logrosoft.com.br"/>
    <s v=""/>
    <s v=""/>
    <s v=""/>
    <s v="BELO HORIZONTE"/>
    <s v="MG"/>
    <s v=""/>
    <s v=""/>
    <s v=""/>
    <s v=""/>
    <s v="Pipeline de Vendas"/>
    <s v="Em negociação (75%)"/>
    <s v=""/>
    <m/>
    <m/>
    <m/>
    <n v="16"/>
    <s v="Junior Lopes"/>
    <d v="2026-04-14T00:00:00"/>
    <d v="1899-12-30T16:46:18"/>
    <s v=""/>
    <s v="Perdido"/>
    <d v="2026-04-30T00:00:00"/>
    <d v="1899-12-30T15:42:07"/>
    <s v="Não houve aprovação financeira"/>
    <s v="dois pontos que o cliente usou para não seguir ! busca um ERP Mais simples e com valor ,ais em conta"/>
    <s v=""/>
    <x v="209"/>
    <s v=""/>
    <x v="232"/>
    <s v=""/>
    <m/>
    <n v="50"/>
    <s v=""/>
    <s v=""/>
    <s v=""/>
    <s v=""/>
    <n v="1"/>
  </r>
  <r>
    <x v="2"/>
    <n v="1116"/>
    <m/>
    <n v="3545"/>
    <s v="28.04"/>
    <s v=""/>
    <x v="596"/>
    <m/>
    <s v=""/>
    <s v="RK Assessoria Contábil"/>
    <s v="92981527777"/>
    <s v=""/>
    <s v="rcustodio777@gmail.com"/>
    <s v=""/>
    <s v=""/>
    <s v=""/>
    <s v=""/>
    <s v="Amazonas"/>
    <s v="Inbound"/>
    <s v=""/>
    <s v=""/>
    <s v="Dentro Perfil;Instagram"/>
    <s v="Pipeline de Vendas"/>
    <s v="Agendamento (0%)"/>
    <s v=""/>
    <d v="2026-04-15T00:00:00"/>
    <m/>
    <m/>
    <n v="24"/>
    <s v="Paulo Souza"/>
    <d v="2026-04-15T00:00:00"/>
    <d v="1899-12-30T12:27:42"/>
    <s v=""/>
    <s v="Perdido"/>
    <d v="2026-05-09T00:00:00"/>
    <d v="1899-12-30T08:29:42"/>
    <s v="Fora do segmento atendido"/>
    <s v=""/>
    <s v=""/>
    <x v="0"/>
    <s v="Rayssa Karapeticov"/>
    <x v="0"/>
    <s v=""/>
    <d v="2026-04-28T00:00:00"/>
    <n v="30"/>
    <s v=""/>
    <s v=""/>
    <s v=""/>
    <s v=""/>
    <n v="1"/>
  </r>
  <r>
    <x v="1"/>
    <n v="1117"/>
    <m/>
    <n v="3546"/>
    <s v="11:25, 16/04/2026 Junior Lopes: Olá bom dia !_x000a_11:25, 16/04/2026 Junior Lopes: Sou Junior Lopes da Guarani sistemas, Td bem ?_x000a_11:28, 16/04/2026 Junior Lopes: Estou retornando um contato que vc fez conosco_x000a_11:38, 16/04/2026 Big Alimentos: BIG Alimentos  agradece seu contato. Como podemos ajudar?_x000a_14:48, 16/04/2026 Big Alimentos: Olá_x000a_14:49, 16/04/2026 Big Alimentos: Júnior estou na estrada _x000a_Retorno na quarta_x000a_14:49, 16/04/2026 Big Alimentos: Aí falamos_x000a_14:49, 16/04/2026 Big Alimentos: Blz_x000a_14:54, 16/04/2026 Junior Lopes: Boa viagem 👊_x000a_🙏_x000a_(18/05/2026) cliente não responde aos contatos"/>
    <s v=""/>
    <x v="597"/>
    <m/>
    <s v=""/>
    <s v="AutoFoz"/>
    <s v="41991237979"/>
    <s v=""/>
    <s v="b8alimentos@gmail.com"/>
    <s v=""/>
    <s v=""/>
    <s v=""/>
    <s v=""/>
    <s v="Brasil"/>
    <s v="Inbound"/>
    <s v=""/>
    <s v=""/>
    <s v="Dentro Perfil;Instagram"/>
    <s v="Pipeline de Vendas"/>
    <s v="Qualificação de Vendas (SQL) (25%)"/>
    <s v=""/>
    <d v="2026-04-30T00:00:00"/>
    <m/>
    <m/>
    <n v="33"/>
    <s v="Paulo Souza"/>
    <d v="2026-04-15T00:00:00"/>
    <d v="1899-12-30T12:28:31"/>
    <s v=""/>
    <s v="Perdido"/>
    <d v="2026-05-18T00:00:00"/>
    <d v="1899-12-30T15:03:56"/>
    <s v="Sem qualificação — contato não atende ligações nem responde msg"/>
    <s v="inicialmente cliente chegou a responder , logo sumiu e não retorna mais"/>
    <s v=""/>
    <x v="0"/>
    <s v="Junior Lopes"/>
    <x v="0"/>
    <s v=""/>
    <d v="2026-05-18T00:00:00"/>
    <n v="30"/>
    <s v=""/>
    <s v=""/>
    <s v=""/>
    <s v=""/>
    <n v="1"/>
  </r>
  <r>
    <x v="1"/>
    <n v="1120"/>
    <m/>
    <n v="3556"/>
    <s v="14:26, 17/04/2026 Junior Lopes: Olá Danilo ,_x000a_Boa tarde _x000a_Sou Junior Lopes da Guarani sistemas! Td bem ? _x000a_Quem me passou seu contato foi o Jonas_x000a_14:26, 17/04/2026 Danillo Negrao Atac: ola tudo bem??_x000a_14:33, 17/04/2026 Junior Lopes: Imagine que o próprio representante/vendedor pode enviar loja B2B para o cliente dele e administrar essas lojas no dispositivo"/>
    <s v="Ferragens Negrao Comercial Ltda"/>
    <x v="598"/>
    <n v="76639285000339"/>
    <s v=""/>
    <s v="Ferragens Negrao Comercial Ltda"/>
    <s v="(41) 2109-8000"/>
    <s v=""/>
    <s v="fiscal@grupofn.com.br"/>
    <s v=""/>
    <s v=""/>
    <s v=""/>
    <s v="CURITIBA"/>
    <s v="PR"/>
    <s v="Base de empresas Leads2b"/>
    <s v=""/>
    <s v=""/>
    <s v=""/>
    <s v="Pipeline de Vendas"/>
    <s v="Qualificação de Vendas (SQL) (25%)"/>
    <s v=""/>
    <m/>
    <m/>
    <m/>
    <n v="33"/>
    <s v="Junior Lopes"/>
    <d v="2026-04-17T00:00:00"/>
    <d v="1899-12-30T14:41:48"/>
    <s v=""/>
    <s v="Ativo"/>
    <m/>
    <m/>
    <s v=""/>
    <s v=""/>
    <s v=""/>
    <x v="0"/>
    <s v=""/>
    <x v="0"/>
    <s v=""/>
    <m/>
    <n v="30"/>
    <s v=""/>
    <s v=""/>
    <s v=""/>
    <s v=""/>
    <n v="1"/>
  </r>
  <r>
    <x v="1"/>
    <n v="1121"/>
    <m/>
    <n v="3558"/>
    <s v="(23/04/2026 E mail enviado buscando agenda : _x000a_Olá Tito, Tudo bem ? _x000a_ _x000a_Meu nome é Junior Lopes , da Guarani Sistemas. Escrevo para apresentar uma solução que pode transformar a eficiência da equipe de vendas da Bartofil: o Guarani AFV._x000a_ _x000a_Em anexo, envio um folder com todos os detalhes, mas gostaria de destacar três pilares que fazem toda a diferença:_x000a_ _x000a_IA Iara, sua assistente virtual de vendas: Ela atua dentro do app do representante, analisando histórico, ramo de atividade e comportamento de compra para fazer predições e sugestões de venda inteligentes. A Iara aprende com cada cliente e ajuda a impulsionar o mix de produtos ativos, reduzindo rupturas no PDV._x000a_Integração nativa com qualquer ERP: O sistema se conecta perfeitamente ao seu software de gestão atual, seja qual for. Isso garante um fluxo de dados único (pedidos, estoque, clientes) sem retrabalho, duplicidade ou necessidade de mudar toda a operação._x000a_Loja B2B personalizada: Ofereça aos seus clientes um canal de compra 24/7, onde podem fazer pedidos de onde, quando e como quiserem. Isso amplia o ticket médio, libera a equipe de vendas para atividades mais estratégicas e garante que nenhuma oportunidade seja perdida fora do horário comercial._x000a_ _x000a_Além disso, a solução inclui catálogo digital, orçamento e proposta web, roteirização inteligente, controle de estoques em múltiplos locais e indicadores de desempenho em tempo real._x000a_ _x000a_Gostaria de agendar uma apresentação rápida (30–45 minutos) para mostrar, na prática, como o Guarani AFV pode apoiar a equipe da Bartofil e reduzir rupturas no ponto de venda, além de ampliar o mix de produtos ativos em cada cliente._x000a_ _x000a_Você teria disponibilidade na próxima semana, em algum desses horários?_x000a_ _x000a_Segunda-feira dia 27/04 às 10 horas _x000a_Terça-feira dia 28/04 às 14 horas _x000a_ _x000a_Se preferir, posso me adequar ao melhor dia e horário para você._x000a_ _x000a_Fico à disposição e agradeço desde já pela atenção."/>
    <s v="Nova Casa Distribuidora De Materiais Para Construcao S/a"/>
    <x v="599"/>
    <n v="74200403001605"/>
    <s v=""/>
    <s v="Nova Casa Distribuidora De Materiais Para Construcao S/a"/>
    <s v="(61) 3025-9500"/>
    <s v=""/>
    <s v="fiscal@ncdistribuidora.com.br"/>
    <s v=""/>
    <s v=""/>
    <s v=""/>
    <s v="SAO LUIS"/>
    <s v="MA"/>
    <s v="Base de empresas Leads2b"/>
    <s v=""/>
    <s v=""/>
    <s v=""/>
    <s v="Pipeline de Vendas"/>
    <s v="Qualificação de Vendas (SQL) (25%)"/>
    <s v=""/>
    <m/>
    <m/>
    <m/>
    <n v="33"/>
    <s v="Junior Lopes"/>
    <d v="2026-04-17T00:00:00"/>
    <d v="1899-12-30T14:51:26"/>
    <s v=""/>
    <s v="Ativo"/>
    <m/>
    <m/>
    <s v=""/>
    <s v=""/>
    <s v=""/>
    <x v="0"/>
    <s v=""/>
    <x v="0"/>
    <s v=""/>
    <d v="2026-04-23T00:00:00"/>
    <n v="30"/>
    <s v=""/>
    <s v=""/>
    <s v=""/>
    <s v=""/>
    <n v="1"/>
  </r>
  <r>
    <x v="1"/>
    <n v="1122"/>
    <m/>
    <n v="3560"/>
    <s v=""/>
    <s v="Bartofil Distribuidora Sa"/>
    <x v="600"/>
    <n v="23797376005567"/>
    <s v=""/>
    <s v="Bartofil Distribuidora Sa"/>
    <s v="(31) 3819-2000"/>
    <s v=""/>
    <s v="contabilidade@bartofil.com.br"/>
    <s v=""/>
    <s v=""/>
    <s v=""/>
    <s v="NOVA FRIBURGO"/>
    <s v="RJ"/>
    <s v="Base de empresas Leads2b"/>
    <s v=""/>
    <s v=""/>
    <s v=""/>
    <s v="Pipeline de Vendas"/>
    <s v="Qualificação de Vendas (SQL) (25%)"/>
    <s v=""/>
    <m/>
    <m/>
    <m/>
    <n v="33"/>
    <s v="Junior Lopes"/>
    <d v="2026-04-17T00:00:00"/>
    <d v="1899-12-30T15:36:58"/>
    <s v=""/>
    <s v="Ativo"/>
    <m/>
    <m/>
    <s v=""/>
    <s v=""/>
    <s v=""/>
    <x v="0"/>
    <s v=""/>
    <x v="0"/>
    <s v=""/>
    <d v="2026-05-06T00:00:00"/>
    <n v="30"/>
    <s v=""/>
    <s v=""/>
    <s v=""/>
    <s v=""/>
    <n v="1"/>
  </r>
  <r>
    <x v="1"/>
    <n v="1123"/>
    <m/>
    <n v="3562"/>
    <s v=""/>
    <s v="L.l.e. Ferragens Ltda."/>
    <x v="601"/>
    <n v="5953543000147"/>
    <s v=""/>
    <s v="L.l.e. Ferragens Ltda."/>
    <s v="(21) 2131-8511"/>
    <s v=""/>
    <s v="fiscal@grupolle.com.br"/>
    <s v=""/>
    <s v=""/>
    <s v=""/>
    <s v="RIO DE JANEIRO"/>
    <s v="RJ"/>
    <s v="Base de empresas Leads2b"/>
    <s v=""/>
    <s v=""/>
    <s v=""/>
    <s v="Pipeline de Vendas"/>
    <s v="Qualificação de Vendas (SQL) (25%)"/>
    <s v=""/>
    <m/>
    <m/>
    <m/>
    <n v="33"/>
    <s v="Junior Lopes"/>
    <d v="2026-04-17T00:00:00"/>
    <d v="1899-12-30T16:48:26"/>
    <s v=""/>
    <s v="Ativo"/>
    <m/>
    <m/>
    <s v=""/>
    <s v=""/>
    <s v=""/>
    <x v="0"/>
    <s v=""/>
    <x v="0"/>
    <s v=""/>
    <d v="2026-05-06T00:00:00"/>
    <n v="30"/>
    <s v=""/>
    <s v=""/>
    <s v=""/>
    <s v=""/>
    <n v="1"/>
  </r>
  <r>
    <x v="2"/>
    <n v="1126"/>
    <m/>
    <n v="3553"/>
    <s v="22.04 caixa postal_x000a_10:19, 22/04/2026 Rayssa Karapeticov - Comercial - Guarani Sistemas: Bom dia Valéria, tudo bem?_x000a_Meu nome é Rayssa, sou executiva de vendas na Guarani Sistemas_x000a_Estou retornando seu contato com interesse em nossa soluções,_x000a_10:20, 22/04/2026 Rayssa Karapeticov - Comercial - Guarani Sistemas: Para seguirmos com seu atendimento, preciso entender seus processos e mais sobre sua empresa_x000a_Qual a melhor forma para retornar o contato, prefere falar por aqui ou prefere que te ligue?"/>
    <s v=""/>
    <x v="602"/>
    <m/>
    <s v=""/>
    <s v="Brasil Rural"/>
    <s v="17997762600"/>
    <s v=""/>
    <s v="valeria.rod312@gmail.com"/>
    <s v=""/>
    <s v=""/>
    <s v=""/>
    <s v=""/>
    <s v="Brasil"/>
    <s v="Inbound"/>
    <s v=""/>
    <s v=""/>
    <s v="Fora Perfil;Instagram"/>
    <s v="Pipeline de Vendas"/>
    <s v="Agendamento (0%)"/>
    <s v=""/>
    <m/>
    <m/>
    <m/>
    <n v="19"/>
    <s v="Paulo Souza"/>
    <d v="2026-04-20T00:00:00"/>
    <d v="1899-12-30T14:16:55"/>
    <s v=""/>
    <s v="Perdido"/>
    <d v="2026-05-09T00:00:00"/>
    <d v="1899-12-30T08:28:25"/>
    <s v="Sem qualificação — contato não atende ligações nem responde msg"/>
    <s v=""/>
    <s v=""/>
    <x v="0"/>
    <s v="Rayssa Karapeticov"/>
    <x v="0"/>
    <s v=""/>
    <d v="2026-04-30T00:00:00"/>
    <n v="30"/>
    <s v=""/>
    <s v=""/>
    <s v=""/>
    <s v=""/>
    <n v="1"/>
  </r>
  <r>
    <x v="1"/>
    <n v="1127"/>
    <m/>
    <n v="3555"/>
    <s v="e mail enviado _x000a_(30/04/2026) em contato com Manoel vendo melhor data para apresentação _x000a_Olá Manoel ! _x000a_Meu nome é Junior Lopes, sou Executivo de Contas Corporativas na Guarani Sistemas, empresa especializada em soluções de gestão empresarial e comercial para toda a cadeia de abastecimento de artigos para o lar._x000a_ _x000a_Desde 2006, desenvolvemos e implementamos ferramentas que fomentam o crescimento dos nossos clientes. Hoje, contamos com mais de 900 clientes ativos, 40 mil usuários e cerca de 65 mil notas fiscais geradas diariamente em nossa plataforma, mantendo um crescimento médio anual de 20%. Nosso propósito é transformar nossos clientes em referência comercial e operacional em seus mercados, criando em conjunto soluções flexíveis que promovam diretamente o crescimento do negócio._x000a_ _x000a_Atendemos indústrias, importadores, distribuidores, atacadistas e varejistas dos segmentos de utilidades domésticas, brinquedos, presentes, decoração, metalúrgica, química, alimentos, têxtil, agro e outros generalistas. Entre nossos clientes, temos casos de sucesso como Plasútil, Paramount, Ingá Import, Alumínio Nacional e Dolce Home, que ampliaram sua eficiência e cresceram fortemente com o apoio de nossas soluções._x000a_ _x000a_Para a Home Market 24h, enxergamos grande potencial de apoio principalmente em três frentes:_x000a_Gestão integrada da operação, com nosso ERP (on-premise ou em nuvem), módulos de PCP e WMS, garantindo controle de estoques, compras, vendas, faturamento, financeiro e logística em um único ambiente._x000a_Automação da força de vendas, com o Guarani AFV, levando mais produtividade, controle e inteligência comercial para a equipe, com informações em tempo real e apoio à expansão da carteira de clientes._x000a_E-commerce B2B integrado, com o Power B2B, permitindo que seus clientes realizem pedidos de maneira simples, rápida e totalmente integrada ao ERP, ampliando o alcance da Home Market 24h no mercado corporativo._x000a_ _x000a_ _x000a_Gostaria de agendar uma breve conversa para entender melhor o cenário atual da Home Market 24h e apresentar de forma objetiva como a Guarani Sistemas pode contribuir com a operação de vocês?_x000a_ _x000a_Fico à disposição para alinhar o melhor dia e horário._x000a_ _x000a_ _x000a_Atenciosamente,"/>
    <s v=""/>
    <x v="603"/>
    <m/>
    <s v=""/>
    <s v="Comercial O Manoel"/>
    <s v="85999874743"/>
    <s v=""/>
    <s v="comercialomanoel@gmail.com"/>
    <s v=""/>
    <s v=""/>
    <s v=""/>
    <s v=""/>
    <s v="Ceara"/>
    <s v="Inbound"/>
    <s v=""/>
    <s v=""/>
    <s v="Dentro Perfil;Instagram"/>
    <s v="Pipeline de Vendas"/>
    <s v="Qualificação de Vendas (SQL) (25%)"/>
    <s v=""/>
    <m/>
    <m/>
    <m/>
    <n v="30"/>
    <s v="Paulo Souza"/>
    <d v="2026-04-20T00:00:00"/>
    <d v="1899-12-30T14:26:57"/>
    <s v=""/>
    <s v="Ativo"/>
    <m/>
    <m/>
    <s v=""/>
    <s v=""/>
    <s v=""/>
    <x v="0"/>
    <s v="Junior Lopes"/>
    <x v="0"/>
    <s v=""/>
    <d v="2026-04-30T00:00:00"/>
    <n v="30"/>
    <s v=""/>
    <s v=""/>
    <s v=""/>
    <s v=""/>
    <n v="1"/>
  </r>
  <r>
    <x v="2"/>
    <n v="1128"/>
    <m/>
    <n v="3565"/>
    <s v="22.04 Não atendeu _x000a_Bom dia, Sergio. Como vai? _x000a_Meu nome é Rayssa, sou Executiva de Vendas na Guarani Sistemas, e estou retornando seu contato com nossa empresa para conhecer mais sobre nossas soluções_x000a_Para seguirmos preciso entender sua empresa e seus processos. _x000a_Você prefere seguir o atendimento por aqui ou prefere que te ligue?"/>
    <s v=""/>
    <x v="604"/>
    <m/>
    <s v=""/>
    <s v="Garrama com essência eirele"/>
    <s v="11986111998"/>
    <s v=""/>
    <s v="ss.sergiofaertes@gmail.com"/>
    <s v=""/>
    <s v=""/>
    <s v=""/>
    <s v=""/>
    <s v=""/>
    <s v="Campanha"/>
    <s v=""/>
    <s v=""/>
    <s v="Fora Perfil;Instagram"/>
    <s v="Pipeline de Vendas"/>
    <s v="Qualificação de Vendas (SQL) (25%)"/>
    <s v=""/>
    <d v="2026-04-30T00:00:00"/>
    <m/>
    <m/>
    <n v="19"/>
    <s v="Paulo Souza"/>
    <d v="2026-04-20T00:00:00"/>
    <d v="1899-12-30T15:22:35"/>
    <s v=""/>
    <s v="Perdido"/>
    <d v="2026-05-09T00:00:00"/>
    <d v="1899-12-30T08:36:06"/>
    <s v="Sem qualificação — contato não atende ligações nem responde msg"/>
    <s v=""/>
    <s v=""/>
    <x v="0"/>
    <s v="Rayssa Karapeticov"/>
    <x v="0"/>
    <s v=""/>
    <d v="2026-04-24T00:00:00"/>
    <n v="30"/>
    <s v=""/>
    <s v=""/>
    <s v=""/>
    <s v=""/>
    <n v="1"/>
  </r>
  <r>
    <x v="1"/>
    <n v="1129"/>
    <m/>
    <n v="3566"/>
    <s v=""/>
    <s v=""/>
    <x v="605"/>
    <m/>
    <s v=""/>
    <s v="Supermercado Mathur"/>
    <s v="11954971535"/>
    <s v=""/>
    <s v="renato@mathur.com.br"/>
    <s v=""/>
    <s v=""/>
    <s v=""/>
    <s v=""/>
    <s v="Sao paulo"/>
    <s v="Inbound"/>
    <s v=""/>
    <s v=""/>
    <s v="Fora Perfil;Instagram"/>
    <s v="Pipeline de Vendas"/>
    <s v="Agendamento (0%)"/>
    <s v=""/>
    <m/>
    <m/>
    <m/>
    <n v="0"/>
    <s v="Paulo Souza"/>
    <d v="2026-04-20T00:00:00"/>
    <d v="1899-12-30T15:23:29"/>
    <s v=""/>
    <s v="Perdido"/>
    <d v="2026-04-20T00:00:00"/>
    <d v="1899-12-30T16:43:51"/>
    <s v="Fora do porte mínimo (sem fit estrutural)"/>
    <s v="Supermercado, fora do perfil"/>
    <s v=""/>
    <x v="0"/>
    <s v="Junior Lopes"/>
    <x v="0"/>
    <s v=""/>
    <m/>
    <n v="30"/>
    <s v=""/>
    <s v=""/>
    <s v=""/>
    <s v=""/>
    <n v="1"/>
  </r>
  <r>
    <x v="2"/>
    <n v="1130"/>
    <m/>
    <n v="3567"/>
    <s v="Falei com o Arthur,. porem quem esta cuidando disso é o Rodrigo, vai passar meu contato para ele para seguir com o Atendimento"/>
    <s v=""/>
    <x v="606"/>
    <m/>
    <s v=""/>
    <s v="Cafe Santa Monica"/>
    <s v="11981430800"/>
    <s v=""/>
    <s v="arthurmosco@gmail.com"/>
    <s v=""/>
    <s v=""/>
    <s v=""/>
    <s v=""/>
    <s v=""/>
    <s v="Campanha"/>
    <s v=""/>
    <s v=""/>
    <s v="Dentro Perfil;Instagram"/>
    <s v="Pipeline de Vendas"/>
    <s v="Qualificação de Vendas (SQL) (25%)"/>
    <s v=""/>
    <m/>
    <m/>
    <m/>
    <n v="30"/>
    <s v="Paulo Souza"/>
    <d v="2026-04-20T00:00:00"/>
    <d v="1899-12-30T15:25:17"/>
    <s v=""/>
    <s v="Ativo"/>
    <m/>
    <m/>
    <s v=""/>
    <s v=""/>
    <s v=""/>
    <x v="0"/>
    <s v="Rayssa Karapeticov"/>
    <x v="0"/>
    <s v=""/>
    <d v="2026-05-07T00:00:00"/>
    <n v="30"/>
    <s v=""/>
    <s v=""/>
    <s v=""/>
    <s v=""/>
    <n v="1"/>
  </r>
  <r>
    <x v="1"/>
    <n v="1131"/>
    <m/>
    <n v="3568"/>
    <s v="(20/04/2026) em contato com Kamilla"/>
    <s v=""/>
    <x v="607"/>
    <n v="36955063000149"/>
    <s v=""/>
    <s v="NORTH EXPORTACAO"/>
    <s v="(91) 9343-5475"/>
    <s v=""/>
    <s v="northacaifoods@gmail.com"/>
    <s v=""/>
    <s v=""/>
    <s v=""/>
    <s v="BELEM"/>
    <s v="PA"/>
    <s v="Campanha"/>
    <s v=""/>
    <s v=""/>
    <s v="Dentro Perfil;Instagram"/>
    <s v="Pipeline de Vendas"/>
    <s v="Qualificação de Vendas (SQL) (25%)"/>
    <s v=""/>
    <m/>
    <m/>
    <m/>
    <n v="19"/>
    <s v="Paulo Souza"/>
    <d v="2026-04-20T00:00:00"/>
    <d v="1899-12-30T15:26:13"/>
    <s v=""/>
    <s v="Perdido"/>
    <d v="2026-05-09T00:00:00"/>
    <d v="1899-12-30T08:36:50"/>
    <s v="Sem qualificação — contato não atende ligações nem responde msg"/>
    <s v=""/>
    <s v=""/>
    <x v="0"/>
    <s v="Junior Lopes"/>
    <x v="0"/>
    <s v=""/>
    <d v="2026-04-28T00:00:00"/>
    <n v="30"/>
    <s v=""/>
    <s v=""/>
    <s v=""/>
    <s v=""/>
    <n v="1"/>
  </r>
  <r>
    <x v="2"/>
    <n v="1132"/>
    <m/>
    <n v="3569"/>
    <s v="22.04 liguei e deu caixa postal _x000a_Bom dia Rafael, tudo bem? _x000a_Meu nome e Rayssa, sou Executiva de Vendas na Guarani Sistemas, estou retornando seu contato para falar sobre seu interesse em um novo software. _x000a_Para seguirmos com esse contato preciso entender o processo de sua empresa e o que esta buscando _x000a_Como prefere seguir o atendimento, por aqui ou quer que eu te ligue?"/>
    <s v=""/>
    <x v="608"/>
    <m/>
    <s v=""/>
    <s v="Lpx"/>
    <s v="9282770000"/>
    <s v=""/>
    <s v="atakadaoeletrica@gmail.com"/>
    <s v=""/>
    <s v=""/>
    <s v=""/>
    <s v=""/>
    <s v="Brasil"/>
    <s v="Inbound"/>
    <s v=""/>
    <s v=""/>
    <s v="Fora Perfil;Instagram"/>
    <s v="Pipeline de Vendas"/>
    <s v="Agendamento (0%)"/>
    <s v=""/>
    <m/>
    <m/>
    <m/>
    <n v="19"/>
    <s v="Paulo Souza"/>
    <d v="2026-04-20T00:00:00"/>
    <d v="1899-12-30T15:27:43"/>
    <s v=""/>
    <s v="Perdido"/>
    <d v="2026-05-09T00:00:00"/>
    <d v="1899-12-30T08:43:51"/>
    <s v="Sem qualificação — contato não atende ligações nem responde msg"/>
    <s v=""/>
    <s v=""/>
    <x v="0"/>
    <s v="Rayssa Karapeticov"/>
    <x v="0"/>
    <s v=""/>
    <d v="2026-04-29T00:00:00"/>
    <n v="30"/>
    <s v=""/>
    <s v=""/>
    <s v=""/>
    <s v=""/>
    <n v="1"/>
  </r>
  <r>
    <x v="1"/>
    <n v="1133"/>
    <m/>
    <n v="3571"/>
    <s v="16:55, 20/04/2026 Junior Lopes: Olá Marcos , boa tarde_x000a_16:55, 20/04/2026 Junior Lopes: sou Junior lopes da Guarani sistemas, td bem ?_x000a_16:55, 20/04/2026 Junior Lopes: estou retornando contato que vc fez conosco_x000a_17:18, 20/04/2026 +55 18 99701-9440: Olá boa tarde."/>
    <s v=""/>
    <x v="609"/>
    <m/>
    <s v=""/>
    <s v="Governo do Estado de São Paulo"/>
    <s v="18997019440"/>
    <s v=""/>
    <s v="marcosleitao37@hotmail.com"/>
    <s v=""/>
    <s v=""/>
    <s v=""/>
    <s v=""/>
    <s v="Presidente Epitácio Sp"/>
    <s v="Inbound"/>
    <s v=""/>
    <s v=""/>
    <s v="Fora Perfil;Instagram"/>
    <s v="Pipeline de Vendas"/>
    <s v="Agendamento (0%)"/>
    <s v=""/>
    <m/>
    <m/>
    <m/>
    <n v="19"/>
    <s v="Paulo Souza"/>
    <d v="2026-04-20T00:00:00"/>
    <d v="1899-12-30T15:29:11"/>
    <s v=""/>
    <s v="Perdido"/>
    <d v="2026-05-09T00:00:00"/>
    <d v="1899-12-30T08:45:24"/>
    <s v="Fora do segmento atendido"/>
    <s v=""/>
    <s v=""/>
    <x v="0"/>
    <s v="Junior Lopes"/>
    <x v="0"/>
    <s v=""/>
    <m/>
    <n v="30"/>
    <s v=""/>
    <s v=""/>
    <s v=""/>
    <s v=""/>
    <n v="1"/>
  </r>
  <r>
    <x v="0"/>
    <n v="1134"/>
    <m/>
    <n v="3575"/>
    <s v=""/>
    <s v=""/>
    <x v="610"/>
    <n v="67846790000100"/>
    <s v=""/>
    <s v="Andrea"/>
    <s v="(11) 4526-2313"/>
    <s v=""/>
    <s v="financeiro@hoberplasticos.com.br"/>
    <s v=""/>
    <s v=""/>
    <s v=""/>
    <s v="JUNDIAI"/>
    <s v="SP"/>
    <s v=""/>
    <s v=""/>
    <s v=""/>
    <s v=""/>
    <s v="Pipeline de Vendas"/>
    <s v="Em negociação (75%)"/>
    <s v=""/>
    <d v="2026-05-31T00:00:00"/>
    <n v="1364029"/>
    <n v="563118"/>
    <n v="30"/>
    <s v="Paulo Souza"/>
    <d v="2026-04-20T00:00:00"/>
    <d v="1899-12-30T16:00:02"/>
    <s v=""/>
    <s v="Ativo"/>
    <m/>
    <m/>
    <s v=""/>
    <s v=""/>
    <s v=""/>
    <x v="210"/>
    <s v="Paulo Souza"/>
    <x v="233"/>
    <s v=""/>
    <d v="2026-05-18T00:00:00"/>
    <n v="30"/>
    <s v=""/>
    <s v=""/>
    <s v=""/>
    <s v=""/>
    <n v="1"/>
  </r>
  <r>
    <x v="0"/>
    <n v="1135"/>
    <m/>
    <n v="3578"/>
    <s v=""/>
    <s v=""/>
    <x v="490"/>
    <n v="7730144000142"/>
    <s v=""/>
    <s v="Alexandre"/>
    <s v="(11) 4151-2564/ (11) 4551-2554"/>
    <s v=""/>
    <s v="comercial@kopermax.com.br"/>
    <s v=""/>
    <s v=""/>
    <s v=""/>
    <s v="CARAPICUIBA"/>
    <s v="SP"/>
    <s v=""/>
    <s v=""/>
    <s v=""/>
    <s v=""/>
    <s v="Pipeline de Vendas"/>
    <s v="Apresentar Proposta (50%)"/>
    <s v=""/>
    <d v="2026-05-31T00:00:00"/>
    <m/>
    <m/>
    <n v="21"/>
    <s v="Paulo Souza"/>
    <d v="2026-04-20T00:00:00"/>
    <d v="1899-12-30T16:52:52"/>
    <s v=""/>
    <s v="Perdido"/>
    <d v="2026-05-11T00:00:00"/>
    <d v="1899-12-30T11:58:02"/>
    <s v="Projeto adiado / sem prazo definido"/>
    <s v=""/>
    <s v=""/>
    <x v="211"/>
    <s v="Paulo Souza"/>
    <x v="233"/>
    <s v=""/>
    <m/>
    <n v="30"/>
    <s v=""/>
    <s v=""/>
    <s v=""/>
    <s v=""/>
    <n v="1"/>
  </r>
  <r>
    <x v="1"/>
    <n v="1136"/>
    <m/>
    <n v="3582"/>
    <s v="(23/04/2026) em contato com João Netto via telefone _x000a_atualmente busca um software para automação da sua produção e controle de estoque que contempla a gestão financeira e fiscal , sua equipe de venda precisa de um aplicativo para estrada e controle de pedidos"/>
    <s v=""/>
    <x v="611"/>
    <n v="25356414000189"/>
    <s v=""/>
    <s v="Bia alimentos"/>
    <s v="75992608709"/>
    <s v=""/>
    <s v="jjneto28@gmail.com"/>
    <s v=""/>
    <s v=""/>
    <s v=""/>
    <s v="SAO GONCALO DOS CAMPOS"/>
    <s v="BA"/>
    <s v="Campanha"/>
    <s v=""/>
    <s v=""/>
    <s v="Dentro Perfil;Instagram"/>
    <s v="Pipeline de Vendas"/>
    <s v="Apresentar Solução (35%)"/>
    <s v=""/>
    <m/>
    <m/>
    <m/>
    <n v="27"/>
    <s v="Paulo Souza"/>
    <d v="2026-04-23T00:00:00"/>
    <d v="1899-12-30T14:05:58"/>
    <s v=""/>
    <s v="Ativo"/>
    <m/>
    <m/>
    <s v=""/>
    <s v=""/>
    <s v=""/>
    <x v="0"/>
    <s v="Junior Lopes"/>
    <x v="0"/>
    <s v=""/>
    <m/>
    <n v="30"/>
    <s v=""/>
    <s v=""/>
    <s v=""/>
    <s v=""/>
    <n v="1"/>
  </r>
  <r>
    <x v="2"/>
    <n v="1137"/>
    <m/>
    <n v="3581"/>
    <s v=""/>
    <s v=""/>
    <x v="612"/>
    <m/>
    <s v=""/>
    <s v="Quality medical"/>
    <s v="6592542913"/>
    <s v=""/>
    <s v="marcosrobertosilvestre@hotmail.com"/>
    <s v=""/>
    <s v=""/>
    <s v=""/>
    <s v=""/>
    <s v=""/>
    <s v="Campanha"/>
    <s v=""/>
    <s v=""/>
    <s v="Dentro Perfil;Instagram"/>
    <s v="Pipeline de Vendas"/>
    <s v="Qualificação de Vendas (SQL) (25%)"/>
    <s v=""/>
    <m/>
    <m/>
    <m/>
    <n v="27"/>
    <s v="Paulo Souza"/>
    <d v="2026-04-23T00:00:00"/>
    <d v="1899-12-30T14:08:08"/>
    <s v=""/>
    <s v="Ativo"/>
    <m/>
    <m/>
    <s v=""/>
    <s v=""/>
    <s v=""/>
    <x v="0"/>
    <s v="Rayssa Karapeticov"/>
    <x v="0"/>
    <s v=""/>
    <d v="2026-05-07T00:00:00"/>
    <n v="30"/>
    <s v=""/>
    <s v=""/>
    <s v=""/>
    <s v=""/>
    <n v="1"/>
  </r>
  <r>
    <x v="2"/>
    <n v="1138"/>
    <m/>
    <n v="3586"/>
    <s v=""/>
    <s v=""/>
    <x v="613"/>
    <m/>
    <s v=""/>
    <s v="Autônomo"/>
    <s v="94991836683"/>
    <s v=""/>
    <s v="gersondsvasconcelos@gmail.com"/>
    <s v=""/>
    <s v=""/>
    <s v=""/>
    <s v=""/>
    <s v=""/>
    <s v="Campanha"/>
    <s v=""/>
    <s v=""/>
    <s v="Fora Perfil;Instagram"/>
    <s v="Pipeline de Vendas"/>
    <s v="Agendamento (0%)"/>
    <s v=""/>
    <m/>
    <m/>
    <m/>
    <n v="15"/>
    <s v="Paulo Souza"/>
    <d v="2026-04-24T00:00:00"/>
    <d v="1899-12-30T10:11:26"/>
    <s v=""/>
    <s v="Perdido"/>
    <d v="2026-05-09T00:00:00"/>
    <d v="1899-12-30T08:45:54"/>
    <s v="Sem qualificação — contato não atende ligações nem responde msg"/>
    <s v=""/>
    <s v=""/>
    <x v="0"/>
    <s v="Rayssa Karapeticov"/>
    <x v="0"/>
    <s v=""/>
    <m/>
    <n v="30"/>
    <s v=""/>
    <s v=""/>
    <s v=""/>
    <s v=""/>
    <n v="1"/>
  </r>
  <r>
    <x v="1"/>
    <n v="1139"/>
    <m/>
    <n v="3603"/>
    <s v="(27/04/2026) em contato com Carol, Sr. Paulo não estava na empresa ! Carol anotou meu WhatsApp para retorno"/>
    <s v=""/>
    <x v="614"/>
    <n v="7598229000119"/>
    <s v=""/>
    <s v="plaslumy"/>
    <s v="(35) 3232-2223 / (35) 3234-1578 / (35) 3232-2223"/>
    <s v=""/>
    <s v="fiscal@plaslumy.com.br"/>
    <s v=""/>
    <s v=""/>
    <s v=""/>
    <s v="TRES CORACOES"/>
    <s v="MG"/>
    <s v="Inbound"/>
    <s v=""/>
    <s v=""/>
    <s v="Dentro Perfil;Instagram"/>
    <s v="Pipeline de Vendas"/>
    <s v="Qualificação de Vendas (SQL) (25%)"/>
    <s v=""/>
    <m/>
    <m/>
    <m/>
    <n v="23"/>
    <s v="Paulo Souza"/>
    <d v="2026-04-27T00:00:00"/>
    <d v="1899-12-30T15:32:48"/>
    <s v=""/>
    <s v="Ativo"/>
    <m/>
    <m/>
    <s v=""/>
    <s v=""/>
    <s v=""/>
    <x v="0"/>
    <s v="Junior Lopes"/>
    <x v="0"/>
    <s v=""/>
    <m/>
    <n v="30"/>
    <s v=""/>
    <s v=""/>
    <s v=""/>
    <s v=""/>
    <n v="1"/>
  </r>
  <r>
    <x v="2"/>
    <n v="1140"/>
    <m/>
    <n v="3588"/>
    <s v=""/>
    <s v=""/>
    <x v="615"/>
    <n v="7403402000186"/>
    <s v=""/>
    <s v="Shopping do Parafuso"/>
    <s v="31996583027"/>
    <s v=""/>
    <s v="comercial@shoppingdoparafuso.com.br"/>
    <s v=""/>
    <s v=""/>
    <s v=""/>
    <s v=""/>
    <s v=""/>
    <s v="Campanha"/>
    <s v=""/>
    <s v=""/>
    <s v="Fora Perfil;Instagram;Perfil Indefinido"/>
    <s v="Pipeline de Vendas"/>
    <s v="Qualificação de Vendas (SQL) (25%)"/>
    <s v=""/>
    <m/>
    <m/>
    <m/>
    <n v="10"/>
    <s v="Paulo Souza"/>
    <d v="2026-04-27T00:00:00"/>
    <d v="1899-12-30T15:48:50"/>
    <s v=""/>
    <s v="Perdido"/>
    <d v="2026-05-07T00:00:00"/>
    <d v="1899-12-30T10:40:49"/>
    <s v="Fora do porte mínimo (sem fit estrutural)"/>
    <s v=""/>
    <s v=""/>
    <x v="0"/>
    <s v="Rayssa Karapeticov"/>
    <x v="0"/>
    <s v=""/>
    <d v="2026-04-29T00:00:00"/>
    <n v="30"/>
    <s v=""/>
    <s v=""/>
    <s v=""/>
    <s v=""/>
    <n v="1"/>
  </r>
  <r>
    <x v="2"/>
    <n v="1141"/>
    <m/>
    <n v="3589"/>
    <s v=""/>
    <s v=""/>
    <x v="616"/>
    <n v="24094663000180"/>
    <s v=""/>
    <s v="Max LED"/>
    <s v="(11) 2181-1005 / (11) 6735-4750 / (11) 2181-1005"/>
    <s v=""/>
    <s v="alexfelixsantos@hotmail.com"/>
    <s v=""/>
    <s v=""/>
    <s v=""/>
    <s v="SAO PAULO"/>
    <s v="SP"/>
    <s v="Campanha"/>
    <s v=""/>
    <s v=""/>
    <s v="Dentro Perfil;Instagram"/>
    <s v="Pipeline de Vendas"/>
    <s v="Apresentar Solução (35%)"/>
    <s v=""/>
    <m/>
    <m/>
    <m/>
    <n v="23"/>
    <s v="Paulo Souza"/>
    <d v="2026-04-27T00:00:00"/>
    <d v="1899-12-30T15:49:56"/>
    <s v=""/>
    <s v="Ativo"/>
    <m/>
    <m/>
    <s v=""/>
    <s v=""/>
    <s v=""/>
    <x v="0"/>
    <s v="Rayssa Karapeticov"/>
    <x v="234"/>
    <s v=""/>
    <d v="2026-05-18T00:00:00"/>
    <n v="30"/>
    <s v=""/>
    <s v=""/>
    <s v=""/>
    <s v=""/>
    <n v="1"/>
  </r>
  <r>
    <x v="1"/>
    <n v="1142"/>
    <m/>
    <n v="3590"/>
    <s v=""/>
    <s v=""/>
    <x v="617"/>
    <m/>
    <s v=""/>
    <s v="Tres americas alimentos"/>
    <s v="65992888768"/>
    <s v=""/>
    <s v="jctransportess.mt@gmail.com"/>
    <s v=""/>
    <s v=""/>
    <s v=""/>
    <s v=""/>
    <s v=""/>
    <s v="Campanha"/>
    <s v=""/>
    <s v=""/>
    <s v="Dentro Perfil;Instagram"/>
    <s v="Pipeline de Vendas"/>
    <s v="Qualificação de Vendas (SQL) (25%)"/>
    <s v=""/>
    <m/>
    <m/>
    <m/>
    <n v="23"/>
    <s v="Paulo Souza"/>
    <d v="2026-04-27T00:00:00"/>
    <d v="1899-12-30T15:52:31"/>
    <s v=""/>
    <s v="Ativo"/>
    <m/>
    <m/>
    <s v=""/>
    <s v=""/>
    <s v=""/>
    <x v="0"/>
    <s v="Junior Lopes"/>
    <x v="0"/>
    <s v=""/>
    <d v="2026-05-06T00:00:00"/>
    <n v="30"/>
    <s v=""/>
    <s v=""/>
    <s v=""/>
    <s v=""/>
    <n v="1"/>
  </r>
  <r>
    <x v="2"/>
    <n v="1143"/>
    <m/>
    <n v="3591"/>
    <s v="Todos os dados preenchidos:_x000a_empresa: Alexdan _x000a_name: Alexandre Biassio _x000a_cargo: Diretor _x000a_whatsapp: 11982599832 _x000a_email: alexandre@alexdan.com.br _x000a_referrer: https://www.guaranisistemas.com.br/"/>
    <s v=""/>
    <x v="618"/>
    <n v="3098281000155"/>
    <s v=""/>
    <s v="Alexandre Biassio"/>
    <s v=""/>
    <s v=""/>
    <s v="alexandre@alexdan.com.br"/>
    <s v=""/>
    <s v=""/>
    <s v=""/>
    <s v="Santo André"/>
    <s v=""/>
    <s v="Inbound"/>
    <s v=""/>
    <s v=""/>
    <s v=""/>
    <s v="Pipeline de Vendas"/>
    <s v="Apresentar Solução (35%)"/>
    <s v=""/>
    <m/>
    <m/>
    <m/>
    <n v="23"/>
    <s v="Paulo Souza"/>
    <d v="2026-04-27T00:00:00"/>
    <d v="1899-12-30T15:53:51"/>
    <s v=""/>
    <s v="Ativo"/>
    <m/>
    <m/>
    <s v=""/>
    <s v=""/>
    <s v=""/>
    <x v="0"/>
    <s v="Rayssa Karapeticov"/>
    <x v="0"/>
    <s v=""/>
    <d v="2026-05-19T00:00:00"/>
    <n v="30"/>
    <s v=""/>
    <s v=""/>
    <s v=""/>
    <s v=""/>
    <n v="1"/>
  </r>
  <r>
    <x v="1"/>
    <n v="1144"/>
    <m/>
    <n v="3592"/>
    <s v="(28/04/2026) em contato com Janayna"/>
    <s v=""/>
    <x v="619"/>
    <m/>
    <s v=""/>
    <s v="Bitilila Nails"/>
    <s v="17997180789"/>
    <s v=""/>
    <s v="janaynamundial@hotmail.com"/>
    <s v=""/>
    <s v=""/>
    <s v=""/>
    <s v=""/>
    <s v=""/>
    <s v="Campanha"/>
    <s v=""/>
    <s v=""/>
    <s v="Dentro Perfil;Instagram"/>
    <s v="Pipeline de Vendas"/>
    <s v="Agendamento (0%)"/>
    <s v=""/>
    <m/>
    <m/>
    <m/>
    <n v="12"/>
    <s v="Paulo Souza"/>
    <d v="2026-04-27T00:00:00"/>
    <d v="1899-12-30T15:54:58"/>
    <s v=""/>
    <s v="Perdido"/>
    <d v="2026-05-09T00:00:00"/>
    <d v="1899-12-30T08:46:25"/>
    <s v="Sem qualificação — contato não atende ligações nem responde msg"/>
    <s v=""/>
    <s v=""/>
    <x v="0"/>
    <s v="Junior Lopes"/>
    <x v="0"/>
    <s v=""/>
    <d v="2026-05-06T00:00:00"/>
    <n v="32"/>
    <s v=""/>
    <s v=""/>
    <s v=""/>
    <s v=""/>
    <n v="1"/>
  </r>
  <r>
    <x v="2"/>
    <n v="1145"/>
    <m/>
    <n v="3599"/>
    <s v=""/>
    <s v="Abc Internacional Comercio Importacao E Exportacao Ltda"/>
    <x v="620"/>
    <n v="58846435000131"/>
    <s v=""/>
    <s v="Abc Internacional Comercio Importacao E Exportacao Ltda"/>
    <s v="(47) 3021-7932"/>
    <s v=""/>
    <s v="contato@contabilidadestacatarina.com.br"/>
    <s v=""/>
    <s v=""/>
    <s v=""/>
    <s v="SAO PAULO"/>
    <s v="SP"/>
    <s v="Base de empresas Leads2b"/>
    <s v=""/>
    <s v=""/>
    <s v=""/>
    <s v="Pipeline de Vendas"/>
    <s v="Qualificação de Vendas (SQL) (25%)"/>
    <s v=""/>
    <m/>
    <m/>
    <m/>
    <n v="23"/>
    <s v="Rayssa Karapeticov"/>
    <d v="2026-04-27T00:00:00"/>
    <d v="1899-12-30T15:55:21"/>
    <s v=""/>
    <s v="Ativo"/>
    <m/>
    <m/>
    <s v=""/>
    <s v=""/>
    <s v=""/>
    <x v="0"/>
    <s v="Rayssa Karapeticov"/>
    <x v="0"/>
    <s v=""/>
    <d v="2026-05-13T00:00:00"/>
    <n v="30"/>
    <s v=""/>
    <s v="ERP"/>
    <s v=""/>
    <s v=""/>
    <n v="1"/>
  </r>
  <r>
    <x v="2"/>
    <n v="1146"/>
    <m/>
    <n v="3593"/>
    <s v=""/>
    <s v=""/>
    <x v="621"/>
    <m/>
    <s v=""/>
    <s v="Oneclick"/>
    <s v="31999499091"/>
    <s v=""/>
    <s v="hm2matoa@gmail.com"/>
    <s v=""/>
    <s v=""/>
    <s v=""/>
    <s v=""/>
    <s v=""/>
    <s v="Campanha"/>
    <s v=""/>
    <s v=""/>
    <s v="Dentro Perfil;Instagram"/>
    <s v="Pipeline de Vendas"/>
    <s v="Qualificação de Vendas (SQL) (25%)"/>
    <s v=""/>
    <m/>
    <m/>
    <m/>
    <n v="16"/>
    <s v="Paulo Souza"/>
    <d v="2026-04-27T00:00:00"/>
    <d v="1899-12-30T15:56:24"/>
    <s v=""/>
    <s v="Perdido"/>
    <d v="2026-05-13T00:00:00"/>
    <d v="1899-12-30T12:58:25"/>
    <s v="Sem qualificação — contato não atende ligações nem responde msg"/>
    <s v=""/>
    <s v=""/>
    <x v="0"/>
    <s v="Rayssa Karapeticov"/>
    <x v="0"/>
    <s v=""/>
    <d v="2026-05-13T00:00:00"/>
    <n v="30"/>
    <s v=""/>
    <s v=""/>
    <s v=""/>
    <s v=""/>
    <n v="1"/>
  </r>
  <r>
    <x v="1"/>
    <n v="1147"/>
    <m/>
    <n v="3594"/>
    <s v="16:13, 27/04/2026 Junior Lopes: Olá Manuel , boa tarde_x000a_16:14, 27/04/2026 Junior Lopes: Junior da Guarani sistemas por aqui_x000a_(28/04/2026) em contato com Manuel, empresa de construção civil , fora do perfil"/>
    <s v=""/>
    <x v="622"/>
    <m/>
    <s v=""/>
    <s v="JJ SOLUÇÕES INDUSTRIAIS"/>
    <s v="9294614731"/>
    <s v=""/>
    <s v="manuel.rivero@jjsoluempresa.com"/>
    <s v=""/>
    <s v=""/>
    <s v=""/>
    <s v=""/>
    <s v=""/>
    <s v="Campanha"/>
    <s v=""/>
    <s v=""/>
    <s v="Fora Perfil;Instagram"/>
    <s v="Pipeline de Vendas"/>
    <s v="Agendamento (0%)"/>
    <s v=""/>
    <m/>
    <m/>
    <m/>
    <n v="1"/>
    <s v="Paulo Souza"/>
    <d v="2026-04-27T00:00:00"/>
    <d v="1899-12-30T15:57:32"/>
    <s v=""/>
    <s v="Perdido"/>
    <d v="2026-04-28T00:00:00"/>
    <d v="1899-12-30T11:42:44"/>
    <s v="Fora do porte mínimo (sem fit estrutural)"/>
    <s v="construção civil"/>
    <s v=""/>
    <x v="0"/>
    <s v="Junior Lopes"/>
    <x v="0"/>
    <s v=""/>
    <m/>
    <n v="30"/>
    <s v=""/>
    <s v=""/>
    <s v=""/>
    <s v=""/>
    <n v="1"/>
  </r>
  <r>
    <x v="2"/>
    <n v="1148"/>
    <m/>
    <n v="3595"/>
    <s v=""/>
    <s v=""/>
    <x v="623"/>
    <n v="10255338000148"/>
    <s v=""/>
    <s v="JA ind plástica"/>
    <s v="62981282665"/>
    <s v=""/>
    <s v="big@biglixos.com.br"/>
    <s v=""/>
    <s v=""/>
    <s v=""/>
    <s v=""/>
    <s v=""/>
    <s v="Campanha"/>
    <s v=""/>
    <s v=""/>
    <s v="Dentro Perfil;Instagram"/>
    <s v="Pipeline de Vendas"/>
    <s v="Qualificação de Vendas (SQL) (25%)"/>
    <s v=""/>
    <m/>
    <m/>
    <m/>
    <n v="23"/>
    <s v="Paulo Souza"/>
    <d v="2026-04-27T00:00:00"/>
    <d v="1899-12-30T15:58:51"/>
    <s v=""/>
    <s v="Ativo"/>
    <m/>
    <m/>
    <s v=""/>
    <s v=""/>
    <s v=""/>
    <x v="0"/>
    <s v="Rayssa Karapeticov"/>
    <x v="0"/>
    <s v=""/>
    <d v="2026-05-13T00:00:00"/>
    <n v="30"/>
    <s v=""/>
    <s v=""/>
    <s v=""/>
    <s v=""/>
    <n v="1"/>
  </r>
  <r>
    <x v="2"/>
    <n v="1149"/>
    <m/>
    <n v="3596"/>
    <s v=""/>
    <s v=""/>
    <x v="624"/>
    <n v="44922087000120"/>
    <s v=""/>
    <s v="Invictus Soluções Integradas Ltda"/>
    <s v="(34) 3817-8240"/>
    <s v=""/>
    <s v="licitacao.invictus@gmail.com"/>
    <s v=""/>
    <s v=""/>
    <s v=""/>
    <s v="COROMANDEL"/>
    <s v="MG"/>
    <s v="Campanha"/>
    <s v=""/>
    <s v=""/>
    <s v="Fora Perfil;Instagram"/>
    <s v="Pipeline de Vendas"/>
    <s v="Agendamento (0%)"/>
    <s v=""/>
    <m/>
    <m/>
    <m/>
    <n v="12"/>
    <s v="Paulo Souza"/>
    <d v="2026-04-27T00:00:00"/>
    <d v="1899-12-30T16:00:22"/>
    <s v=""/>
    <s v="Perdido"/>
    <d v="2026-05-09T00:00:00"/>
    <d v="1899-12-30T08:50:26"/>
    <s v="Fora do segmento atendido"/>
    <s v=""/>
    <s v=""/>
    <x v="0"/>
    <s v="Rayssa Karapeticov"/>
    <x v="0"/>
    <s v=""/>
    <m/>
    <n v="30"/>
    <s v=""/>
    <s v=""/>
    <s v=""/>
    <s v=""/>
    <n v="1"/>
  </r>
  <r>
    <x v="1"/>
    <n v="1150"/>
    <m/>
    <n v="3597"/>
    <s v="16:36, 27/04/2026 Junior Lopes: Olá Paulo , boa tarde_x000a_16:37, 27/04/2026 Junior Lopes: Junior da Guarani sistemas por aqui_x000a_16:37, 27/04/2026 Junior Lopes: Td bem ?_x000a_11:46, 28/04/2026 Junior Lopes: Paulo , tudo bem ? _x000a_Não tive seu retorno _x000a_De qualquer forma pode me chamar caso queira dar continuidade _x000a_Um abraço"/>
    <s v=""/>
    <x v="625"/>
    <m/>
    <s v=""/>
    <s v="Paulo Sergio"/>
    <s v="(67) 99341-4113"/>
    <s v=""/>
    <s v="paulopedradagua@gmail.com"/>
    <s v=""/>
    <s v=""/>
    <s v=""/>
    <s v="Campo Grande"/>
    <s v=""/>
    <s v="Site"/>
    <s v=""/>
    <s v=""/>
    <s v="Solicita demo"/>
    <s v="Pipeline de Vendas"/>
    <s v="Agendamento (0%)"/>
    <s v=""/>
    <m/>
    <m/>
    <m/>
    <n v="1"/>
    <s v="Paulo Souza"/>
    <d v="2026-04-27T00:00:00"/>
    <d v="1899-12-30T16:01:20"/>
    <s v=""/>
    <s v="Perdido"/>
    <d v="2026-04-28T00:00:00"/>
    <d v="1899-12-30T11:47:45"/>
    <s v="Nossa solução não atende - falta funcionalidade"/>
    <s v="16:36, 27/04/2026 Junior Lopes: Olá Paulo , boa tarde_x000a_16:37, 27/04/2026 Junior Lopes: Junior da Guarani sistemas por aqui_x000a_16:37, 27/04/2026 Junior Lopes: Td bem ?_x000a_11:46, 28/04/2026 Junior Lopes: Paulo , tudo bem ? _x000a_Não tive seu retorno _x000a_De qualquer forma pode me chamar caso queira dar continuidade _x000a_Um abraço"/>
    <s v=""/>
    <x v="0"/>
    <s v="Junior Lopes"/>
    <x v="0"/>
    <s v=""/>
    <m/>
    <n v="30"/>
    <s v=""/>
    <s v=""/>
    <s v=""/>
    <s v=""/>
    <n v="1"/>
  </r>
  <r>
    <x v="1"/>
    <n v="1151"/>
    <m/>
    <n v="3602"/>
    <s v="28/04/2026) tentativa de contato não atendida , em uma busca sobre o lead, percebi que esta fora do perfil , revendedor de têni"/>
    <s v=""/>
    <x v="626"/>
    <m/>
    <s v=""/>
    <s v="GRIJALBA AGUIAR LINHARES"/>
    <s v="85985507327"/>
    <s v=""/>
    <s v="grijalbalinhares@gmail.com"/>
    <s v=""/>
    <s v=""/>
    <s v=""/>
    <s v=""/>
    <s v=""/>
    <s v="Campanha"/>
    <s v=""/>
    <s v=""/>
    <s v="Fora Perfil;Instagram"/>
    <s v="Pipeline de Vendas"/>
    <s v="Agendamento (0%)"/>
    <s v=""/>
    <m/>
    <m/>
    <m/>
    <n v="1"/>
    <s v="Paulo Souza"/>
    <d v="2026-04-27T00:00:00"/>
    <d v="1899-12-30T16:02:02"/>
    <s v=""/>
    <s v="Perdido"/>
    <d v="2026-04-28T00:00:00"/>
    <d v="1899-12-30T11:21:54"/>
    <s v="Fora do porte mínimo (sem fit estrutural)"/>
    <s v="fora do perfil, revendedor de tenis"/>
    <s v=""/>
    <x v="0"/>
    <s v="Junior Lopes"/>
    <x v="0"/>
    <s v=""/>
    <m/>
    <n v="30"/>
    <s v=""/>
    <s v=""/>
    <s v=""/>
    <s v=""/>
    <n v="1"/>
  </r>
  <r>
    <x v="2"/>
    <n v="1152"/>
    <m/>
    <n v="3608"/>
    <s v=""/>
    <s v=""/>
    <x v="627"/>
    <n v="9073191000196"/>
    <s v=""/>
    <s v="Megacenter trading"/>
    <s v="45999334900"/>
    <s v=""/>
    <s v="eduardo@megacenteratacado.com.br"/>
    <s v=""/>
    <s v=""/>
    <s v=""/>
    <s v=""/>
    <s v="Foz do iguaçu"/>
    <s v="Inbound"/>
    <s v=""/>
    <s v=""/>
    <s v="Dentro Perfil;Instagram"/>
    <s v="Pipeline de Vendas"/>
    <s v="Qualificação de Vendas (SQL) (25%)"/>
    <s v=""/>
    <m/>
    <m/>
    <m/>
    <n v="21"/>
    <s v="Paulo Souza"/>
    <d v="2026-04-29T00:00:00"/>
    <d v="1899-12-30T07:28:01"/>
    <s v=""/>
    <s v="Ativo"/>
    <m/>
    <m/>
    <s v=""/>
    <s v=""/>
    <s v=""/>
    <x v="0"/>
    <s v="Rayssa Karapeticov"/>
    <x v="0"/>
    <s v=""/>
    <d v="2026-05-13T00:00:00"/>
    <n v="30"/>
    <s v=""/>
    <s v=""/>
    <s v=""/>
    <s v=""/>
    <n v="1"/>
  </r>
  <r>
    <x v="1"/>
    <n v="1153"/>
    <m/>
    <n v="3609"/>
    <s v=""/>
    <s v=""/>
    <x v="628"/>
    <m/>
    <s v=""/>
    <s v="Distribuidora Robaski"/>
    <s v="51998484595"/>
    <s v=""/>
    <s v="edson@robaski.com.br"/>
    <s v=""/>
    <s v=""/>
    <s v=""/>
    <s v=""/>
    <s v=""/>
    <s v="Campanha"/>
    <s v=""/>
    <s v=""/>
    <s v="Dentro Perfil;Instagram"/>
    <s v="Pipeline de Vendas"/>
    <s v="Qualificação de Vendas (SQL) (25%)"/>
    <s v=""/>
    <m/>
    <m/>
    <m/>
    <n v="21"/>
    <s v="Paulo Souza"/>
    <d v="2026-04-29T00:00:00"/>
    <d v="1899-12-30T07:29:14"/>
    <s v=""/>
    <s v="Ativo"/>
    <m/>
    <m/>
    <s v=""/>
    <s v=""/>
    <s v=""/>
    <x v="0"/>
    <s v="Junior Lopes"/>
    <x v="0"/>
    <s v=""/>
    <d v="2026-05-06T00:00:00"/>
    <n v="30"/>
    <s v=""/>
    <s v=""/>
    <s v=""/>
    <s v=""/>
    <n v="1"/>
  </r>
  <r>
    <x v="2"/>
    <n v="1154"/>
    <m/>
    <n v="3610"/>
    <s v=""/>
    <s v=""/>
    <x v="629"/>
    <n v="8051809000154"/>
    <s v=""/>
    <s v="Rc distribuidora"/>
    <s v="93991455102"/>
    <s v=""/>
    <s v="dis.aliaca@gemai.com"/>
    <s v=""/>
    <s v=""/>
    <s v=""/>
    <s v=""/>
    <s v=""/>
    <s v="Campanha"/>
    <s v=""/>
    <s v=""/>
    <s v="Dentro Perfil;Instagram"/>
    <s v="Pipeline de Vendas"/>
    <s v="Qualificação de Vendas (SQL) (25%)"/>
    <s v=""/>
    <m/>
    <m/>
    <m/>
    <n v="14"/>
    <s v="Paulo Souza"/>
    <d v="2026-04-29T00:00:00"/>
    <d v="1899-12-30T07:30:18"/>
    <s v=""/>
    <s v="Perdido"/>
    <d v="2026-05-13T00:00:00"/>
    <d v="1899-12-30T12:45:34"/>
    <s v="Sem qualificação — contato não atende ligações nem responde msg"/>
    <s v=""/>
    <s v=""/>
    <x v="0"/>
    <s v="Rayssa Karapeticov"/>
    <x v="0"/>
    <s v=""/>
    <d v="2026-05-04T00:00:00"/>
    <n v="30"/>
    <s v=""/>
    <s v=""/>
    <s v=""/>
    <s v=""/>
    <n v="1"/>
  </r>
  <r>
    <x v="1"/>
    <n v="1155"/>
    <m/>
    <n v="3611"/>
    <s v="08:59, 29/04/2026 Junior Lopes: Olá Antonio , bom dia_x000a_09:00, 29/04/2026 Junior Lopes: Junior da Guarani sistemas por aqui_x000a_16:55, 04/05/2026 Junior Lopes: Olá Antonio ! Boa tarde"/>
    <s v=""/>
    <x v="630"/>
    <n v="8962163000167"/>
    <s v=""/>
    <s v="Antonio Rodriguez"/>
    <s v="31992924902"/>
    <s v=""/>
    <s v="ar@linexgel.com.br"/>
    <s v=""/>
    <s v=""/>
    <s v=""/>
    <s v=""/>
    <s v="Contagem"/>
    <s v="Inbound"/>
    <s v=""/>
    <s v=""/>
    <s v="Dentro Perfil;Instagram"/>
    <s v="Pipeline de Vendas"/>
    <s v="Qualificação de Vendas (SQL) (25%)"/>
    <s v=""/>
    <m/>
    <m/>
    <m/>
    <n v="21"/>
    <s v="Paulo Souza"/>
    <d v="2026-04-29T00:00:00"/>
    <d v="1899-12-30T07:31:11"/>
    <s v=""/>
    <s v="Ativo"/>
    <m/>
    <m/>
    <s v=""/>
    <s v=""/>
    <s v=""/>
    <x v="0"/>
    <s v="Junior Lopes"/>
    <x v="0"/>
    <s v=""/>
    <d v="2026-05-04T00:00:00"/>
    <n v="30"/>
    <s v=""/>
    <s v=""/>
    <s v=""/>
    <s v=""/>
    <n v="1"/>
  </r>
  <r>
    <x v="2"/>
    <n v="1156"/>
    <m/>
    <n v="3612"/>
    <s v=""/>
    <s v=""/>
    <x v="631"/>
    <n v="11513572000190"/>
    <s v=""/>
    <s v="Brsafe Comércio de Epis Ltda"/>
    <s v="43999150512"/>
    <s v=""/>
    <s v="comercial@brsafeepi.com.br"/>
    <s v=""/>
    <s v=""/>
    <s v=""/>
    <s v=""/>
    <s v="Arapongas"/>
    <s v="Inbound"/>
    <s v=""/>
    <s v=""/>
    <s v="Dentro Perfil;Instagram"/>
    <s v="Pipeline de Vendas"/>
    <s v="Qualificação de Vendas (SQL) (25%)"/>
    <s v=""/>
    <d v="2026-05-13T00:00:00"/>
    <m/>
    <m/>
    <n v="14"/>
    <s v="Paulo Souza"/>
    <d v="2026-04-29T00:00:00"/>
    <d v="1899-12-30T07:32:06"/>
    <s v=""/>
    <s v="Perdido"/>
    <d v="2026-05-13T00:00:00"/>
    <d v="1899-12-30T12:42:56"/>
    <s v="Sem qualificação — contato não atende ligações nem responde msg"/>
    <s v=""/>
    <s v=""/>
    <x v="0"/>
    <s v="Rayssa Karapeticov"/>
    <x v="0"/>
    <s v=""/>
    <d v="2026-05-04T00:00:00"/>
    <n v="30"/>
    <s v=""/>
    <s v=""/>
    <s v=""/>
    <s v=""/>
    <n v="1"/>
  </r>
  <r>
    <x v="1"/>
    <n v="1159"/>
    <m/>
    <n v="3692"/>
    <s v=""/>
    <s v=""/>
    <x v="632"/>
    <m/>
    <s v=""/>
    <s v="MDL (HOras)"/>
    <s v="11910695515"/>
    <s v=""/>
    <s v="janaina@mdlimport.com.br"/>
    <s v=""/>
    <s v=""/>
    <s v=""/>
    <s v=""/>
    <s v=""/>
    <s v=""/>
    <s v=""/>
    <s v=""/>
    <s v=""/>
    <s v="Pipeline de Vendas"/>
    <s v="Em Fechamento (100%)"/>
    <s v=""/>
    <m/>
    <n v="1485378"/>
    <n v="0"/>
    <n v="14"/>
    <s v="Junior Lopes"/>
    <d v="2026-04-30T00:00:00"/>
    <d v="1899-12-30T14:26:58"/>
    <s v=""/>
    <s v="Ganho"/>
    <d v="2026-05-14T00:00:00"/>
    <d v="1899-12-30T09:17:07"/>
    <s v=""/>
    <s v=""/>
    <s v=""/>
    <x v="212"/>
    <s v=""/>
    <x v="0"/>
    <s v=""/>
    <d v="2026-05-14T00:00:00"/>
    <n v="90"/>
    <s v=""/>
    <s v=""/>
    <s v=""/>
    <s v=""/>
    <n v="1"/>
  </r>
  <r>
    <x v="1"/>
    <n v="1160"/>
    <m/>
    <n v="3693"/>
    <s v="em contato com Dayane, vamos nos reunir na segunda feira dia 18/05"/>
    <s v=""/>
    <x v="633"/>
    <m/>
    <s v=""/>
    <s v="Tecelagem Castilho (E-commerce)"/>
    <s v="62993609476"/>
    <s v=""/>
    <s v="null"/>
    <s v=""/>
    <s v=""/>
    <s v=""/>
    <s v=""/>
    <s v=""/>
    <s v=""/>
    <s v=""/>
    <s v=""/>
    <s v=""/>
    <s v="Pipeline de Vendas"/>
    <s v="Em negociação (75%)"/>
    <s v=""/>
    <m/>
    <n v="4240"/>
    <n v="7128"/>
    <n v="20"/>
    <s v="Junior Lopes"/>
    <d v="2026-04-30T00:00:00"/>
    <d v="1899-12-30T14:36:01"/>
    <s v=""/>
    <s v="Ativo"/>
    <m/>
    <m/>
    <s v=""/>
    <s v=""/>
    <s v=""/>
    <x v="213"/>
    <s v=""/>
    <x v="234"/>
    <s v=""/>
    <d v="2026-05-18T00:00:00"/>
    <n v="50"/>
    <s v=""/>
    <s v=""/>
    <s v=""/>
    <s v=""/>
    <n v="1"/>
  </r>
  <r>
    <x v="1"/>
    <n v="1161"/>
    <m/>
    <n v="3694"/>
    <s v=""/>
    <s v=""/>
    <x v="634"/>
    <m/>
    <s v=""/>
    <s v="Logro Soft - Comex"/>
    <s v="3133780033"/>
    <s v=""/>
    <s v="supervisoroperacional@logrosoft.com.br"/>
    <s v=""/>
    <s v=""/>
    <s v=""/>
    <s v=""/>
    <s v=""/>
    <s v=""/>
    <s v=""/>
    <s v=""/>
    <s v=""/>
    <s v="Pipeline de Vendas"/>
    <s v="Em negociação (75%)"/>
    <s v=""/>
    <m/>
    <n v="6000"/>
    <n v="2000"/>
    <n v="0"/>
    <s v="Junior Lopes"/>
    <d v="2026-04-30T00:00:00"/>
    <d v="1899-12-30T14:59:00"/>
    <s v=""/>
    <s v="Perdido"/>
    <d v="2026-04-30T00:00:00"/>
    <d v="1899-12-30T15:41:47"/>
    <s v="Não houve aprovação financeira"/>
    <s v="dois pontos que o cliente usou para não seguir ! busca um ERP Mais simples e com valor ,ais em conta"/>
    <s v=""/>
    <x v="214"/>
    <s v=""/>
    <x v="231"/>
    <s v=""/>
    <m/>
    <n v="50"/>
    <s v=""/>
    <s v=""/>
    <s v=""/>
    <s v=""/>
    <n v="1"/>
  </r>
  <r>
    <x v="1"/>
    <n v="1162"/>
    <m/>
    <n v="3637"/>
    <s v="Todos os dados preenchidos:empresa: InfinitTec  name: Pedro Paulo cargo: Proprietário  whatsapp: 69981362005 email: adm@infinittec.com.br referrer: https://www.guaranisistemas.com.br/ _x000a_(04/05/2026) em busca sobre o lead ! _x000a_Infinitec é uma casa de software e controladoria financeira"/>
    <s v=""/>
    <x v="635"/>
    <m/>
    <s v=""/>
    <s v="Pedro Paulo"/>
    <s v=""/>
    <s v=""/>
    <s v="adm@infinittec.com.br"/>
    <s v=""/>
    <s v=""/>
    <s v=""/>
    <s v="Cacoal"/>
    <s v=""/>
    <s v="Inbound"/>
    <s v=""/>
    <s v=""/>
    <s v="Fora Perfil"/>
    <s v="Pipeline de Vendas"/>
    <s v="Agendamento (0%)"/>
    <s v=""/>
    <m/>
    <m/>
    <m/>
    <n v="0"/>
    <s v="Paulo Souza"/>
    <d v="2026-05-04T00:00:00"/>
    <d v="1899-12-30T08:07:13"/>
    <s v=""/>
    <s v="Perdido"/>
    <d v="2026-05-04T00:00:00"/>
    <d v="1899-12-30T09:31:01"/>
    <s v="Fora do porte mínimo (sem fit estrutural)"/>
    <s v="casa de software"/>
    <s v=""/>
    <x v="0"/>
    <s v="Junior Lopes"/>
    <x v="0"/>
    <s v=""/>
    <m/>
    <n v="30"/>
    <s v=""/>
    <s v=""/>
    <s v=""/>
    <s v=""/>
    <n v="1"/>
  </r>
  <r>
    <x v="3"/>
    <n v="1163"/>
    <m/>
    <n v="3638"/>
    <s v="Falei com o Chico: a empresa (atacado) possui 4 lojas e está prestes a inaugurar uma nova filial. Conta com 110 colaboradores (incluindo a equipe interna de vendas/televendas) e 6 representantes comerciais. Atualmente utiliza o sistema RP ERP e demonstrou interesse em conhecer novas opções. Também solicitou referências de clientes da região._x000a_Apresentação agendada para 11/05 às 10h._x000a_(18/05) Enviado msg para Chico a fim de agendar um bate-papo."/>
    <s v=""/>
    <x v="636"/>
    <n v="42263870000101"/>
    <s v=""/>
    <s v="eficaz atacadao da limpeza"/>
    <s v="(67) 9895-2961"/>
    <s v=""/>
    <s v="gerentedevendas@eficazatacadaodalimpeza.com.br"/>
    <s v=""/>
    <s v=""/>
    <s v=""/>
    <s v="CAMPO GRANDE"/>
    <s v="MS"/>
    <s v="Campanha"/>
    <s v=""/>
    <s v=""/>
    <s v="Dentro Perfil;Instagram"/>
    <s v="Pipeline de Vendas"/>
    <s v="Qualificação de Vendas (SQL) (25%)"/>
    <s v=""/>
    <m/>
    <m/>
    <m/>
    <n v="16"/>
    <s v="Paulo Souza"/>
    <d v="2026-05-04T00:00:00"/>
    <d v="1899-12-30T08:10:13"/>
    <s v=""/>
    <s v="Ativo"/>
    <m/>
    <m/>
    <s v=""/>
    <s v=""/>
    <s v=""/>
    <x v="0"/>
    <s v="Ronaldo Nascimento"/>
    <x v="0"/>
    <s v=""/>
    <m/>
    <n v="30"/>
    <s v=""/>
    <s v="AFV, ERP"/>
    <s v=""/>
    <s v=""/>
    <n v="1"/>
  </r>
  <r>
    <x v="2"/>
    <n v="1164"/>
    <m/>
    <n v="3695"/>
    <s v=""/>
    <s v=""/>
    <x v="637"/>
    <n v="64508464000196"/>
    <s v=""/>
    <s v="Shirley"/>
    <s v="41998464626"/>
    <s v=""/>
    <s v="zahrahcezar@gmail.com"/>
    <s v=""/>
    <s v=""/>
    <s v=""/>
    <s v="PIRAQUARA"/>
    <s v="PR"/>
    <s v="Campanha"/>
    <s v=""/>
    <s v=""/>
    <s v="Fora Perfil;Instagram"/>
    <s v="Pipeline de Vendas"/>
    <s v="Qualificação de Vendas (SQL) (25%)"/>
    <s v=""/>
    <m/>
    <m/>
    <m/>
    <n v="4"/>
    <s v="Paulo Souza"/>
    <d v="2026-05-04T00:00:00"/>
    <d v="1899-12-30T08:11:30"/>
    <s v=""/>
    <s v="Perdido"/>
    <d v="2026-05-08T00:00:00"/>
    <d v="1899-12-30T10:31:28"/>
    <s v="Fora do porte mínimo (sem fit estrutural)"/>
    <s v=""/>
    <s v=""/>
    <x v="0"/>
    <s v="Rayssa Karapeticov"/>
    <x v="0"/>
    <s v=""/>
    <d v="2026-05-08T00:00:00"/>
    <n v="31"/>
    <s v=""/>
    <s v=""/>
    <s v=""/>
    <s v=""/>
    <n v="1"/>
  </r>
  <r>
    <x v="1"/>
    <n v="1165"/>
    <m/>
    <n v="3698"/>
    <s v=""/>
    <s v=""/>
    <x v="638"/>
    <n v="15725079000195"/>
    <s v=""/>
    <s v="Edu Autoparts"/>
    <s v="8196028924"/>
    <s v=""/>
    <s v="eduardo@edusomautoparts.com.br"/>
    <s v=""/>
    <s v=""/>
    <s v=""/>
    <s v=""/>
    <s v=""/>
    <s v="Campanha"/>
    <s v=""/>
    <s v=""/>
    <s v="Dentro Perfil;Instagram"/>
    <s v="Pipeline de Vendas"/>
    <s v="Qualificação de Vendas (SQL) (25%)"/>
    <s v=""/>
    <m/>
    <m/>
    <m/>
    <n v="10"/>
    <s v="Paulo Souza"/>
    <d v="2026-05-04T00:00:00"/>
    <d v="1899-12-30T08:13:17"/>
    <s v=""/>
    <s v="Perdido"/>
    <d v="2026-05-14T00:00:00"/>
    <d v="1899-12-30T11:31:32"/>
    <s v="Sem qualificação — contato não atende ligações nem responde msg"/>
    <s v="(14/05/2026) cliente não responde aos contatos"/>
    <s v=""/>
    <x v="0"/>
    <s v="Junior Lopes"/>
    <x v="0"/>
    <s v=""/>
    <d v="2026-05-14T00:00:00"/>
    <n v="28"/>
    <s v=""/>
    <s v=""/>
    <s v=""/>
    <s v=""/>
    <n v="1"/>
  </r>
  <r>
    <x v="3"/>
    <n v="1166"/>
    <m/>
    <n v="3699"/>
    <s v="(04/05) Falei com o Leandro. A empresa utiliza o ERP Excellent Sistemas, mas ele relatou insatisfação principalmente nos módulos de compras e controle de estoque. Está em busca de um sistema mais completo._x000a_Solicitou que eu envie mais informações pelo WhatsApp para, em seguida, agendarmos uma reunião._x000a_Atualmente, a equipe conta com 3 representantes e 3 vendedores internos._x000a_(11/05) Enviado e-mail ao Leandro com informações sobre nossas soluções e possíveis ganhos operacionais nas áreas de compras e controle de estoque. Aguardando retorno para agendamento da apresentação._x000a_(18/05) Enviado WhatsApp para Leandro a fim de agendarmos uma apresentação."/>
    <s v=""/>
    <x v="639"/>
    <m/>
    <s v=""/>
    <s v="Bornia Metais Ltda."/>
    <s v="44991022838"/>
    <s v=""/>
    <s v="gallo.bornia@hotmail.com"/>
    <s v=""/>
    <s v=""/>
    <s v=""/>
    <s v=""/>
    <s v=""/>
    <s v="Campanha"/>
    <s v=""/>
    <s v=""/>
    <s v="Dentro Perfil;Instagram"/>
    <s v="Pipeline de Vendas"/>
    <s v="Qualificação de Vendas (SQL) (25%)"/>
    <s v=""/>
    <m/>
    <m/>
    <m/>
    <n v="16"/>
    <s v="Paulo Souza"/>
    <d v="2026-05-04T00:00:00"/>
    <d v="1899-12-30T08:14:23"/>
    <s v=""/>
    <s v="Ativo"/>
    <m/>
    <m/>
    <s v=""/>
    <s v=""/>
    <s v=""/>
    <x v="0"/>
    <s v="Ronaldo Nascimento"/>
    <x v="0"/>
    <s v=""/>
    <d v="2026-05-11T00:00:00"/>
    <n v="30"/>
    <s v=""/>
    <s v=""/>
    <s v=""/>
    <s v=""/>
    <n v="1"/>
  </r>
  <r>
    <x v="2"/>
    <n v="1167"/>
    <m/>
    <n v="3700"/>
    <s v=""/>
    <s v=""/>
    <x v="640"/>
    <m/>
    <s v=""/>
    <s v="Proprietario"/>
    <s v="5591420014"/>
    <s v=""/>
    <s v="lucasmaslonik@hotmail.com"/>
    <s v=""/>
    <s v=""/>
    <s v=""/>
    <s v=""/>
    <s v=""/>
    <s v="Campanha"/>
    <s v=""/>
    <s v=""/>
    <s v="Fora Perfil;Instagram"/>
    <s v="Pipeline de Vendas"/>
    <s v="Qualificação de Vendas (SQL) (25%)"/>
    <s v=""/>
    <m/>
    <m/>
    <m/>
    <n v="4"/>
    <s v="Paulo Souza"/>
    <d v="2026-05-04T00:00:00"/>
    <d v="1899-12-30T08:15:36"/>
    <s v=""/>
    <s v="Perdido"/>
    <d v="2026-05-08T00:00:00"/>
    <d v="1899-12-30T10:29:39"/>
    <s v="Fora do porte mínimo (sem fit estrutural)"/>
    <s v=""/>
    <s v=""/>
    <x v="0"/>
    <s v="Rayssa Karapeticov"/>
    <x v="0"/>
    <s v=""/>
    <d v="2026-05-08T00:00:00"/>
    <n v="30"/>
    <s v=""/>
    <s v=""/>
    <s v=""/>
    <s v=""/>
    <n v="1"/>
  </r>
  <r>
    <x v="2"/>
    <n v="1168"/>
    <m/>
    <n v="3701"/>
    <s v=""/>
    <s v=""/>
    <x v="641"/>
    <m/>
    <s v=""/>
    <s v="BC"/>
    <s v="14999125373"/>
    <s v=""/>
    <s v="jeruzamocluciano@gmail.com"/>
    <s v=""/>
    <s v=""/>
    <s v=""/>
    <s v=""/>
    <s v=""/>
    <s v="Campanha"/>
    <s v=""/>
    <s v=""/>
    <s v="Dentro Perfil;Instagram"/>
    <s v="Pipeline de Vendas"/>
    <s v="Agendamento (0%)"/>
    <s v=""/>
    <m/>
    <m/>
    <m/>
    <n v="5"/>
    <s v="Paulo Souza"/>
    <d v="2026-05-04T00:00:00"/>
    <d v="1899-12-30T08:16:29"/>
    <s v=""/>
    <s v="Perdido"/>
    <d v="2026-05-09T00:00:00"/>
    <d v="1899-12-30T08:46:59"/>
    <s v="Inválido - empresa não existe / dados errados"/>
    <s v=""/>
    <s v=""/>
    <x v="0"/>
    <s v="Rayssa Karapeticov"/>
    <x v="0"/>
    <s v=""/>
    <m/>
    <n v="30"/>
    <s v=""/>
    <s v=""/>
    <s v=""/>
    <s v=""/>
    <n v="1"/>
  </r>
  <r>
    <x v="1"/>
    <n v="1169"/>
    <m/>
    <n v="3702"/>
    <s v="(04/05/2026) em ligação com Paulo Rosa , _x000a_atualmente usa ERP https://www.etoerp.com.br/_x000a_atualmente esta com dificuldade com PCP em controlar insumos para produção ! esto8u enviando material via e -mail para logo seguirmos com apresentação _x000a_(15/05/2026) após envio de material não obtive mais retorno do Paulo"/>
    <s v=""/>
    <x v="642"/>
    <n v="29795322000156"/>
    <s v=""/>
    <s v="Presystem Projetos e Sistemas Eletrônicos"/>
    <s v="(11) 2031-1273"/>
    <s v=""/>
    <s v="contato@bepcontabilidade.com"/>
    <s v=""/>
    <s v=""/>
    <s v=""/>
    <s v="SAO PAULO"/>
    <s v="SP"/>
    <s v="Campanha"/>
    <s v=""/>
    <s v=""/>
    <s v="Dentro Perfil;Instagram"/>
    <s v="Pipeline de Vendas"/>
    <s v="Qualificação de Vendas (SQL) (25%)"/>
    <s v=""/>
    <m/>
    <m/>
    <m/>
    <n v="11"/>
    <s v="Paulo Souza"/>
    <d v="2026-05-04T00:00:00"/>
    <d v="1899-12-30T08:18:58"/>
    <s v=""/>
    <s v="Perdido"/>
    <d v="2026-05-15T00:00:00"/>
    <d v="1899-12-30T16:29:44"/>
    <s v="Sem qualificação — contato não atende ligações nem responde msg"/>
    <s v="no dia 05/05 cheguei a falar com Paulo, porem após envio do material e esboço de investimento  nao tive mais retorno"/>
    <s v=""/>
    <x v="0"/>
    <s v="Junior Lopes"/>
    <x v="0"/>
    <s v=""/>
    <d v="2026-05-15T00:00:00"/>
    <n v="31"/>
    <s v=""/>
    <s v=""/>
    <s v=""/>
    <s v=""/>
    <n v="1"/>
  </r>
  <r>
    <x v="1"/>
    <n v="1170"/>
    <m/>
    <n v="3704"/>
    <s v="Oi_x000a_hj sou socio na magnus transformadores_x000a_cnpj 27.569.814/0001-06_x000a_utilizamos um erp da empresa unicode_x000a_vou iniciar uma nova empresa de forma individual com a mesma atividade fabricação de transformadores_x000a_preciso de um sistema para gerir todas as estapas do processo da empresa_x000a_vendas, compras, produção, financeiro_x000a_(15/05/2026) depois da ultima conversa com Raul , dei um esboço do investimento logo não tivemos mais retorno"/>
    <s v=""/>
    <x v="643"/>
    <m/>
    <s v=""/>
    <s v="Ivan Edson Dias"/>
    <s v="(11) 95811-0104"/>
    <s v=""/>
    <s v="ivanedson77@gmail.com"/>
    <s v=""/>
    <s v=""/>
    <s v=""/>
    <s v="São Paulo"/>
    <s v=""/>
    <s v="Site"/>
    <s v=""/>
    <s v=""/>
    <s v="Dentro Perfil;Solicita demo"/>
    <s v="Pipeline de Vendas"/>
    <s v="Qualificação de Vendas (SQL) (25%)"/>
    <s v=""/>
    <m/>
    <m/>
    <m/>
    <n v="11"/>
    <s v="Paulo Souza"/>
    <d v="2026-05-04T00:00:00"/>
    <d v="1899-12-30T08:20:31"/>
    <s v=""/>
    <s v="Perdido"/>
    <d v="2026-05-15T00:00:00"/>
    <d v="1899-12-30T16:22:29"/>
    <s v="Não houve aprovação financeira"/>
    <s v="(15/05/2026) depois da ultima conversa com Ivan , dei um esboço do investimento logo não tivemos mais retorno"/>
    <s v=""/>
    <x v="0"/>
    <s v="Junior Lopes"/>
    <x v="0"/>
    <s v=""/>
    <d v="2026-05-15T00:00:00"/>
    <n v="30"/>
    <s v=""/>
    <s v=""/>
    <s v=""/>
    <s v=""/>
    <n v="1"/>
  </r>
  <r>
    <x v="3"/>
    <n v="1171"/>
    <m/>
    <n v="3705"/>
    <s v="(04/05) Realizado ligação, porém, caiu na caixa postal. Enviado msg por WhatsApp._x000a_(11/05) Enviado WhatsApp para Raimundo com o objetivo de verificar o melhor horário para realizar contato telefônico."/>
    <s v=""/>
    <x v="644"/>
    <m/>
    <s v=""/>
    <s v="Ellform"/>
    <s v="7187881309"/>
    <s v=""/>
    <s v="racoelhoneto@hotmail.com"/>
    <s v=""/>
    <s v=""/>
    <s v=""/>
    <s v=""/>
    <s v=""/>
    <s v="Campanha"/>
    <s v=""/>
    <s v=""/>
    <s v="Dentro Perfil;Instagram"/>
    <s v="Pipeline de Vendas"/>
    <s v="Qualificação de Vendas (SQL) (25%)"/>
    <s v=""/>
    <m/>
    <m/>
    <m/>
    <n v="14"/>
    <s v="Paulo Souza"/>
    <d v="2026-05-04T00:00:00"/>
    <d v="1899-12-30T08:21:13"/>
    <s v=""/>
    <s v="Perdido"/>
    <d v="2026-05-18T00:00:00"/>
    <d v="1899-12-30T09:31:54"/>
    <s v="Sem qualificação — contato não atende ligações nem responde msg"/>
    <s v="(18/05) Raimundo não retornou meus contatos. Enviei uma mensagem encerrando o atendimento no momento, mas deixei meu contato à disposição para um possível retorno futuro."/>
    <s v=""/>
    <x v="0"/>
    <s v="Ronaldo Nascimento"/>
    <x v="0"/>
    <s v=""/>
    <d v="2026-05-11T00:00:00"/>
    <n v="30"/>
    <s v=""/>
    <s v=""/>
    <s v=""/>
    <s v=""/>
    <n v="1"/>
  </r>
  <r>
    <x v="3"/>
    <n v="1172"/>
    <m/>
    <n v="3706"/>
    <s v="(04/05) Realizado ligação, porém, caiu na caixa postal. Enviado msg por WhatsApp._x000a_(11/05) Enviado WhatsApp para Márcio com o objetivo de verificar o melhor horário para realizar contato telefônico._x000a_(18/05) Tentei contato novamente com Márcio, porém, sem sucesso (Ligação e WhatsApp). Enviado e-mail antes de perder o negócio."/>
    <s v=""/>
    <x v="645"/>
    <n v="32268865000391"/>
    <s v=""/>
    <s v="Morefix"/>
    <s v="19991043105"/>
    <s v=""/>
    <s v="marcio.soares@morefix.com.br"/>
    <s v=""/>
    <s v=""/>
    <s v=""/>
    <s v=""/>
    <s v=""/>
    <s v="Campanha"/>
    <s v=""/>
    <s v=""/>
    <s v="Dentro Perfil;Instagram"/>
    <s v="Pipeline de Vendas"/>
    <s v="Qualificação de Vendas (SQL) (25%)"/>
    <s v=""/>
    <m/>
    <m/>
    <m/>
    <n v="16"/>
    <s v="Paulo Souza"/>
    <d v="2026-05-04T00:00:00"/>
    <d v="1899-12-30T08:22:02"/>
    <s v=""/>
    <s v="Ativo"/>
    <m/>
    <m/>
    <s v=""/>
    <s v=""/>
    <s v=""/>
    <x v="0"/>
    <s v="Ronaldo Nascimento"/>
    <x v="0"/>
    <s v=""/>
    <d v="2026-05-11T00:00:00"/>
    <n v="30"/>
    <s v=""/>
    <s v=""/>
    <s v=""/>
    <s v=""/>
    <n v="1"/>
  </r>
  <r>
    <x v="1"/>
    <n v="1173"/>
    <m/>
    <n v="3707"/>
    <s v="(04/05/2026) tentativa de ligação ! porem numero somente WhatsApp_x000a_(04/05/2026) em contato com Sérgio ! _x000a_em ligação se identificou e já foi cliente Guarani na oportunidade migrou para Winthor ! _x000a_pediu uma ideia de investimento para entender sobre uma eventual mudança ! estou batalhando para nos reunirmos para uma breve apresentação _x000a_Tentativa de contato : _x000a_ 14:51, 04/05/2026 Junior Lopes: Olá Sérgio ! Boa tarde_x000a_14:51, 04/05/2026 Junior Lopes: Junior da Guarani sistemas por aqui ! Td bem ?_x000a_(15/05/2026) tentaiva de ligação não atendia com Sérgio, a ideia é fazer apresentação"/>
    <s v=""/>
    <x v="646"/>
    <n v="1784943000115"/>
    <s v=""/>
    <s v="Astrum Distribuidora"/>
    <s v="38988234018"/>
    <s v=""/>
    <s v="sergio@resendesantos.com.br"/>
    <s v=""/>
    <s v=""/>
    <s v=""/>
    <s v=""/>
    <s v="Montes Claros"/>
    <s v="Inbound"/>
    <s v=""/>
    <s v=""/>
    <s v="Dentro Perfil;Instagram"/>
    <s v="Pipeline de Vendas"/>
    <s v="Qualificação de Vendas (SQL) (25%)"/>
    <s v=""/>
    <m/>
    <m/>
    <m/>
    <n v="16"/>
    <s v="Paulo Souza"/>
    <d v="2026-05-04T00:00:00"/>
    <d v="1899-12-30T08:23:02"/>
    <s v=""/>
    <s v="Ativo"/>
    <m/>
    <m/>
    <s v=""/>
    <s v=""/>
    <s v=""/>
    <x v="0"/>
    <s v="Junior Lopes"/>
    <x v="0"/>
    <s v=""/>
    <d v="2026-05-15T00:00:00"/>
    <n v="30"/>
    <s v=""/>
    <s v=""/>
    <s v=""/>
    <s v=""/>
    <n v="1"/>
  </r>
  <r>
    <x v="3"/>
    <n v="1174"/>
    <m/>
    <n v="3708"/>
    <s v="(04/05) Entrei em contato e falei com Luis. Informou que João estará na empresa à partir das 16h, pediu para retornar neste horário._x000a_(06/05) Entrei em contato com o Luis, que solicitou o envio das informações por e-mail ao João. Ficou combinado retorno amanhã às 11h30._x000a_(11/05) Realizada nova tentativa de contato com João, porém sem sucesso. Enviado e-mail com o objetivo de agendar um bate-papo para apresentação das soluções._x000a_(18/05) Como não tive retorno (ligação), enviado e-mail para João antes de perder o negócio."/>
    <s v=""/>
    <x v="647"/>
    <n v="10667844000144"/>
    <s v=""/>
    <s v="ferragens renova"/>
    <s v="5134904475"/>
    <s v=""/>
    <s v="diretoria@ferragensrenova.com.br"/>
    <s v=""/>
    <s v=""/>
    <s v=""/>
    <s v=""/>
    <s v=""/>
    <s v="Campanha"/>
    <s v=""/>
    <s v=""/>
    <s v="Dentro Perfil;Instagram"/>
    <s v="Pipeline de Vendas"/>
    <s v="Qualificação de Vendas (SQL) (25%)"/>
    <s v=""/>
    <m/>
    <m/>
    <m/>
    <n v="16"/>
    <s v="Paulo Souza"/>
    <d v="2026-05-04T00:00:00"/>
    <d v="1899-12-30T08:23:51"/>
    <s v=""/>
    <s v="Ativo"/>
    <m/>
    <m/>
    <s v=""/>
    <s v=""/>
    <s v=""/>
    <x v="0"/>
    <s v="Ronaldo Nascimento"/>
    <x v="0"/>
    <s v=""/>
    <d v="2026-05-11T00:00:00"/>
    <n v="30"/>
    <s v=""/>
    <s v=""/>
    <s v=""/>
    <s v=""/>
    <n v="1"/>
  </r>
  <r>
    <x v="3"/>
    <n v="1175"/>
    <n v="213"/>
    <n v="3714"/>
    <s v="(04/05) Falei com o Thiago: ele está em fechamento e com dois colaboradores do administrativo em férias. Após essa semana, irá verificar uma agenda para conversarmos. Retornar na segunda-feira._x000a_(11/05) Enviado msg para Thiago a fim de agendar um bate-papo."/>
    <s v=""/>
    <x v="648"/>
    <n v="3670607000177"/>
    <s v="RV DISTRIBUIDORA DE GENEROS ALIMENTICIOS LTDA"/>
    <s v="Thiago Barbosa"/>
    <s v="(16) 98127-4870"/>
    <s v="16981274870"/>
    <s v="rvdistribuidora123@gmail.com"/>
    <s v="Matriz"/>
    <s v=""/>
    <s v="AV LUIZ ALFREDO DE MELO ROSA 460"/>
    <s v="IBATE"/>
    <s v="SP"/>
    <s v="Outbound"/>
    <s v="Outbound"/>
    <s v=""/>
    <s v="Dentro Perfil"/>
    <s v="Pipeline de Vendas"/>
    <s v="Qualificação de Vendas (SQL) (25%)"/>
    <s v=""/>
    <m/>
    <m/>
    <m/>
    <n v="16"/>
    <s v="Paulo Souza"/>
    <d v="2026-05-04T00:00:00"/>
    <d v="1899-12-30T08:43:59"/>
    <s v=""/>
    <s v="Ativo"/>
    <m/>
    <m/>
    <s v=""/>
    <s v=""/>
    <s v=""/>
    <x v="0"/>
    <s v="Ronaldo Nascimento"/>
    <x v="0"/>
    <s v=""/>
    <d v="2026-05-11T00:00:00"/>
    <n v="30"/>
    <s v=""/>
    <s v=""/>
    <s v=""/>
    <s v=""/>
    <n v="1"/>
  </r>
  <r>
    <x v="2"/>
    <n v="1176"/>
    <m/>
    <n v="3716"/>
    <s v=""/>
    <s v=""/>
    <x v="649"/>
    <n v="52696640000181"/>
    <s v=""/>
    <s v="Aparecido Ribeiro Molina Junior"/>
    <s v="(19) 99788-2241"/>
    <s v=""/>
    <s v="gerencia@grupogadulog.com.br"/>
    <s v=""/>
    <s v=""/>
    <s v=""/>
    <s v="DESCALVADO"/>
    <s v="SP"/>
    <s v="Site"/>
    <s v=""/>
    <s v=""/>
    <s v="Fora Perfil;Solicita demo"/>
    <s v="Pipeline de Vendas"/>
    <s v="Qualificação de Vendas (SQL) (25%)"/>
    <s v=""/>
    <m/>
    <m/>
    <m/>
    <n v="4"/>
    <s v="Paulo Souza"/>
    <d v="2026-05-04T00:00:00"/>
    <d v="1899-12-30T15:45:58"/>
    <s v=""/>
    <s v="Perdido"/>
    <d v="2026-05-08T00:00:00"/>
    <d v="1899-12-30T12:09:14"/>
    <s v="Fora do porte mínimo (sem fit estrutural)"/>
    <s v=""/>
    <s v=""/>
    <x v="0"/>
    <s v="Rayssa Karapeticov"/>
    <x v="0"/>
    <s v=""/>
    <d v="2026-05-05T00:00:00"/>
    <n v="30"/>
    <s v=""/>
    <s v=""/>
    <s v=""/>
    <s v=""/>
    <n v="1"/>
  </r>
  <r>
    <x v="1"/>
    <n v="1177"/>
    <m/>
    <n v="3732"/>
    <s v=""/>
    <s v=""/>
    <x v="650"/>
    <n v="36356922000183"/>
    <s v=""/>
    <s v="Istok comércio"/>
    <s v="(11) 2361-7746"/>
    <s v=""/>
    <s v="diogo.contabilidade@yahoo.com.br"/>
    <s v=""/>
    <s v=""/>
    <s v=""/>
    <s v="SAO PAULO"/>
    <s v="SP"/>
    <s v=""/>
    <s v=""/>
    <s v=""/>
    <s v=""/>
    <s v="Pipeline de Vendas"/>
    <s v="Em Fechamento (100%)"/>
    <s v=""/>
    <m/>
    <n v="694512"/>
    <n v="201348"/>
    <n v="14"/>
    <s v="Junior Lopes"/>
    <d v="2026-05-05T00:00:00"/>
    <d v="1899-12-30T16:57:12"/>
    <s v=""/>
    <s v="Ganho"/>
    <d v="2026-05-19T00:00:00"/>
    <d v="1899-12-30T14:28:32"/>
    <s v=""/>
    <s v=""/>
    <s v=""/>
    <x v="215"/>
    <s v=""/>
    <x v="235"/>
    <s v="12/05/2026"/>
    <m/>
    <n v="50"/>
    <s v=""/>
    <s v=""/>
    <s v=""/>
    <s v=""/>
    <n v="1"/>
  </r>
  <r>
    <x v="3"/>
    <n v="1178"/>
    <n v="263"/>
    <n v="3734"/>
    <s v="(11/05) Enviada nova mensagem via LinkedIn para Rodrigo Buzinari. Em 05/05, também foi encaminhado e-mail para Rodrigo Furtado (diretor)._x000a_(18/05) Enviado e-mail para Rodrigo, antes de perder o negócio."/>
    <s v=""/>
    <x v="651"/>
    <n v="20718183000192"/>
    <s v="PETIKO COMERCIO E DISTRIBUICAO DE PRODUTOS PET S.A"/>
    <s v="Rodrigo José Buzinari"/>
    <s v="(16) 33712-3681"/>
    <s v=""/>
    <s v="eucuidoparavoce@doutorcontabil.com.br"/>
    <s v="Matriz"/>
    <s v=""/>
    <s v="R FRANCISCO MARICONDI 254"/>
    <s v="SAO CARLOS"/>
    <s v="SP"/>
    <s v=""/>
    <s v=""/>
    <s v=""/>
    <s v="Dentro Perfil"/>
    <s v="Pipeline de Vendas"/>
    <s v="Qualificação de Vendas (SQL) (25%)"/>
    <s v=""/>
    <m/>
    <m/>
    <m/>
    <n v="15"/>
    <s v="Ronaldo Nascimento"/>
    <d v="2026-05-05T00:00:00"/>
    <d v="1899-12-30T17:25:14"/>
    <s v=""/>
    <s v="Ativo"/>
    <m/>
    <m/>
    <s v=""/>
    <s v=""/>
    <s v=""/>
    <x v="0"/>
    <s v=""/>
    <x v="0"/>
    <s v=""/>
    <d v="2026-05-11T00:00:00"/>
    <n v="30"/>
    <s v=""/>
    <s v=""/>
    <s v=""/>
    <s v=""/>
    <n v="1"/>
  </r>
  <r>
    <x v="3"/>
    <n v="1179"/>
    <m/>
    <n v="3735"/>
    <s v="(06/05) Realizei contato telefônico com Lucianei, que informou não poder falar no momento e que retornaria assim que possível. Também enviei mensagem via WhatsApp para acompanhamento._x000a_(07/05) Realizo novo contato por WhatsApp. (Telefone deu caixa portal)_x000a_(11/05) Realizada nova tentativa de contato com Luciane, porém sem sucesso. Enviada nova mensagem via WhatsApp._x000a_(18/05) Luciane não retornou meus contatos. Enviei uma mensagem encerrando o atendimento no momento, mas deixei meu contato à disposição para um possível retorno futuro."/>
    <s v=""/>
    <x v="652"/>
    <m/>
    <s v=""/>
    <s v="Querosmais"/>
    <s v="41988659245"/>
    <s v=""/>
    <s v="querosmais@ig.com.br"/>
    <s v=""/>
    <s v=""/>
    <s v=""/>
    <s v=""/>
    <s v=""/>
    <s v="Campanha"/>
    <s v=""/>
    <s v=""/>
    <s v="Dentro Perfil;Instagram"/>
    <s v="Pipeline de Vendas"/>
    <s v="Qualificação de Vendas (SQL) (25%)"/>
    <s v=""/>
    <m/>
    <m/>
    <m/>
    <n v="12"/>
    <s v="Paulo Souza"/>
    <d v="2026-05-06T00:00:00"/>
    <d v="1899-12-30T03:15:00"/>
    <s v=""/>
    <s v="Perdido"/>
    <d v="2026-05-18T00:00:00"/>
    <d v="1899-12-30T10:08:21"/>
    <s v="Sem qualificação — contato não atende ligações nem responde msg"/>
    <s v="(18/05) Luciane não retornou meus contatos. Enviei uma mensagem encerrando o atendimento no momento, mas deixei meu contato à disposição para um possível retorno futuro."/>
    <s v=""/>
    <x v="0"/>
    <s v="Ronaldo Nascimento"/>
    <x v="0"/>
    <s v=""/>
    <d v="2026-05-11T00:00:00"/>
    <n v="30"/>
    <s v=""/>
    <s v=""/>
    <s v=""/>
    <s v=""/>
    <n v="1"/>
  </r>
  <r>
    <x v="3"/>
    <n v="1180"/>
    <m/>
    <n v="3718"/>
    <s v="(06/05) Realizei contato telefônico com Marcelo. A empresa utiliza o sistema Sankhya e demonstrou insatisfação. Possuem vendedores internos e representantes comerciais. Apresentação agendada para quinta-feira (07/05), às 15h._x000a_(07/05) Realizada apresentação para o Marcelo. A reunião foi conduzida pelo Paulo, eu acompanhei._x000a_O projeto contempla aproximadamente 13 usuários entre ERP e AFV. Foi enviado o formulário para preenchimento e, posteriormente, será realizada a emissão da proposta._x000a_Obs.: Marcelo está ciente das horas de implantação._x000a_(14/05) Enviado WhatsApp para Marcelo solicitando um retorno sobre a proposta apresentada."/>
    <s v=""/>
    <x v="653"/>
    <n v="4184739000151"/>
    <s v=""/>
    <s v="Fikssar distribuidora LTDA"/>
    <s v="34996787403"/>
    <s v=""/>
    <s v="marcelojsilva@fikssar.com.br"/>
    <s v=""/>
    <s v=""/>
    <s v=""/>
    <s v=""/>
    <s v="Patos  de Minas"/>
    <s v="Inbound"/>
    <s v=""/>
    <s v=""/>
    <s v="Dentro Perfil;Instagram"/>
    <s v="Pipeline de Vendas"/>
    <s v="Em negociação (75%)"/>
    <s v=""/>
    <m/>
    <n v="8585802"/>
    <m/>
    <n v="14"/>
    <s v="Paulo Souza"/>
    <d v="2026-05-06T00:00:00"/>
    <d v="1899-12-30T03:16:48"/>
    <s v=""/>
    <s v="Ativo"/>
    <m/>
    <m/>
    <s v=""/>
    <s v=""/>
    <s v=""/>
    <x v="215"/>
    <s v="Ronaldo Nascimento"/>
    <x v="236"/>
    <s v=""/>
    <d v="2026-05-12T00:00:00"/>
    <n v="50"/>
    <s v=""/>
    <s v="AFV, ERP"/>
    <s v=""/>
    <s v=""/>
    <n v="1"/>
  </r>
  <r>
    <x v="3"/>
    <n v="1181"/>
    <m/>
    <n v="3720"/>
    <s v="(06/05) Tentei contato telefônico, porém a chamada foi direcionada para a caixa postal. Enviei mensagem via WhatsApp para identificar o melhor horário para retorno da ligação._x000a_(07/05) Johnny retornou a mensagem informando que estava em viagem, cuidando da saúde do pai, e que nesta semana não seria possível falarmos. Disse que na próxima semana entrará em contato. Caso isso não ocorra, realizar novo contato._x000a_(18/05) Enviado nova msg para Johnny a fim de verificar melhor horário para ligação."/>
    <s v=""/>
    <x v="654"/>
    <m/>
    <s v=""/>
    <s v="Krieger ind e com fé madeiras"/>
    <s v="66984172640"/>
    <s v=""/>
    <s v="kriegermadeiraspga@gmail.com"/>
    <s v=""/>
    <s v=""/>
    <s v=""/>
    <s v=""/>
    <s v="Porto dos Gaúchos MT"/>
    <s v="Inbound"/>
    <s v=""/>
    <s v=""/>
    <s v="Dentro Perfil;Instagram"/>
    <s v="Pipeline de Vendas"/>
    <s v="Qualificação de Vendas (SQL) (25%)"/>
    <s v=""/>
    <m/>
    <m/>
    <m/>
    <n v="14"/>
    <s v="Paulo Souza"/>
    <d v="2026-05-06T00:00:00"/>
    <d v="1899-12-30T03:17:57"/>
    <s v=""/>
    <s v="Ativo"/>
    <m/>
    <m/>
    <s v=""/>
    <s v=""/>
    <s v=""/>
    <x v="0"/>
    <s v="Ronaldo Nascimento"/>
    <x v="0"/>
    <s v=""/>
    <m/>
    <n v="30"/>
    <s v=""/>
    <s v=""/>
    <s v=""/>
    <s v=""/>
    <n v="1"/>
  </r>
  <r>
    <x v="3"/>
    <n v="1184"/>
    <m/>
    <n v="3737"/>
    <s v="(07/05) Tentei contato telefônico, porém sem sucesso. Foi enviado WhatsApp para Tiago, com o objetivo de verificar o melhor horário para conversarmos."/>
    <s v=""/>
    <x v="655"/>
    <m/>
    <s v=""/>
    <s v="Tiago sandavid"/>
    <s v="93991009174"/>
    <s v=""/>
    <s v="souzamaia2010@hotmail.com"/>
    <s v=""/>
    <s v=""/>
    <s v=""/>
    <s v=""/>
    <s v=""/>
    <s v="Campanha"/>
    <s v=""/>
    <s v=""/>
    <s v="Fora Perfil;Instagram"/>
    <s v="Pipeline de Vendas"/>
    <s v="Qualificação de Vendas (SQL) (25%)"/>
    <s v=""/>
    <m/>
    <m/>
    <m/>
    <n v="0"/>
    <s v="Paulo Souza"/>
    <d v="2026-05-07T00:00:00"/>
    <d v="1899-12-30T08:39:53"/>
    <s v=""/>
    <s v="Perdido"/>
    <d v="2026-05-07T00:00:00"/>
    <d v="1899-12-30T14:21:16"/>
    <s v="Fora do porte mínimo (sem fit estrutural)"/>
    <s v="Empresa de pequeno porte, com 3 vendedores internos._x000a_Atualmente utilizam o sistema Vendr, do Grupo IOB."/>
    <s v=""/>
    <x v="0"/>
    <s v="Ronaldo Nascimento"/>
    <x v="0"/>
    <s v=""/>
    <m/>
    <n v="30"/>
    <s v=""/>
    <s v=""/>
    <s v=""/>
    <s v=""/>
    <n v="1"/>
  </r>
  <r>
    <x v="1"/>
    <n v="1185"/>
    <m/>
    <n v="3741"/>
    <s v="(07/05/2026) tentativa de ligação _x000a_08:45, 07/05/2026 Junior Lopes: Olá Fran , bom dia_x000a_08:45, 07/05/2026 Fran dantas Cafe Espressiata: Espressiata agradece seu contato. Como podemos ajudar?_x000a_08:45, 07/05/2026 Junior Lopes: Sou Junior Lopes da Guarani sistemas! Td bem ?"/>
    <s v=""/>
    <x v="656"/>
    <n v="40904398000105"/>
    <s v=""/>
    <s v="Espressiata Cafés Especiais"/>
    <s v="34999008780"/>
    <s v=""/>
    <s v="franciele@espressiata.com.br"/>
    <s v=""/>
    <s v=""/>
    <s v=""/>
    <s v=""/>
    <s v="Frutal MG"/>
    <s v="Inbound"/>
    <s v=""/>
    <s v=""/>
    <s v="Dentro Perfil;Instagram"/>
    <s v="Pipeline de Vendas"/>
    <s v="Qualificação de Vendas (SQL) (25%)"/>
    <s v=""/>
    <m/>
    <m/>
    <m/>
    <n v="7"/>
    <s v="Paulo Souza"/>
    <d v="2026-05-07T00:00:00"/>
    <d v="1899-12-30T08:41:59"/>
    <s v=""/>
    <s v="Perdido"/>
    <d v="2026-05-14T00:00:00"/>
    <d v="1899-12-30T15:40:42"/>
    <s v="Sem qualificação — contato não atende ligações nem responde msg"/>
    <s v="Olá boa tarde ! Junior da Guarani sistemas por aqui _x000a_Logo que nós tivemos retorno ao contato estou finalizando por aqui ! _x000a_Caso mude de ideia por favor só me chamar _x000a_Sucesso por aí"/>
    <s v=""/>
    <x v="0"/>
    <s v="Junior Lopes"/>
    <x v="0"/>
    <s v=""/>
    <d v="2026-05-14T00:00:00"/>
    <n v="30"/>
    <s v=""/>
    <s v=""/>
    <s v=""/>
    <s v=""/>
    <n v="1"/>
  </r>
  <r>
    <x v="0"/>
    <n v="1186"/>
    <m/>
    <n v="3745"/>
    <s v=""/>
    <s v=""/>
    <x v="657"/>
    <n v="62956379000165"/>
    <s v=""/>
    <s v="Mirian"/>
    <s v="(16) 99705-1588"/>
    <s v=""/>
    <s v="mirian@jcsperfis.com.br"/>
    <s v=""/>
    <s v=""/>
    <s v=""/>
    <s v="SAO CARLOS"/>
    <s v="SP"/>
    <s v="Inbound"/>
    <s v=""/>
    <s v=""/>
    <s v="Dentro Perfil;Instagram"/>
    <s v="Pipeline de Vendas"/>
    <s v="Apresentar Solução (35%)"/>
    <s v=""/>
    <d v="2026-05-31T00:00:00"/>
    <m/>
    <m/>
    <n v="13"/>
    <s v="Paulo Souza"/>
    <d v="2026-05-07T00:00:00"/>
    <d v="1899-12-30T08:43:39"/>
    <s v=""/>
    <s v="Ativo"/>
    <m/>
    <m/>
    <s v=""/>
    <s v=""/>
    <s v=""/>
    <x v="0"/>
    <s v="Paulo Souza"/>
    <x v="0"/>
    <s v=""/>
    <d v="2026-05-18T00:00:00"/>
    <n v="30"/>
    <s v="-1"/>
    <s v=""/>
    <s v=""/>
    <s v=""/>
    <n v="1"/>
  </r>
  <r>
    <x v="2"/>
    <n v="1187"/>
    <m/>
    <n v="3744"/>
    <s v="Todos os dados preenchidos:_x000a_empresa: andreingrati@gmail.com _x000a_name: Andre  _x000a_cargo: andreingrati@gmail.com _x000a_whatsapp: 18997028677 _x000a_email: andreingrati@gmail.com _x000a_referrer: https://www.guaranisistemas.com.br/"/>
    <s v=""/>
    <x v="658"/>
    <m/>
    <s v=""/>
    <s v="Andre"/>
    <s v=""/>
    <s v=""/>
    <s v="andreingrati@gmail.com"/>
    <s v=""/>
    <s v=""/>
    <s v=""/>
    <s v="Andradina"/>
    <s v=""/>
    <s v="Inbound"/>
    <s v=""/>
    <s v=""/>
    <s v="Fora Perfil"/>
    <s v="Pipeline de Vendas"/>
    <s v="Agendamento (0%)"/>
    <s v=""/>
    <m/>
    <m/>
    <m/>
    <n v="0"/>
    <s v="Paulo Souza"/>
    <d v="2026-05-07T00:00:00"/>
    <d v="1899-12-30T08:45:42"/>
    <s v=""/>
    <s v="Perdido"/>
    <d v="2026-05-07T00:00:00"/>
    <d v="1899-12-30T09:53:22"/>
    <s v="Fora do porte mínimo (sem fit estrutural)"/>
    <s v=""/>
    <s v=""/>
    <x v="0"/>
    <s v="Rayssa Karapeticov"/>
    <x v="0"/>
    <s v=""/>
    <m/>
    <n v="30"/>
    <s v=""/>
    <s v=""/>
    <s v=""/>
    <s v=""/>
    <n v="1"/>
  </r>
  <r>
    <x v="2"/>
    <n v="1188"/>
    <m/>
    <n v="3743"/>
    <s v=""/>
    <s v=""/>
    <x v="659"/>
    <m/>
    <s v=""/>
    <s v="GSH Marketing Solutions"/>
    <s v="8496757596"/>
    <s v=""/>
    <s v="gleydson.silva@live.com"/>
    <s v=""/>
    <s v=""/>
    <s v=""/>
    <s v=""/>
    <s v=""/>
    <s v="Campanha"/>
    <s v=""/>
    <s v=""/>
    <s v="Dentro Perfil;Instagram"/>
    <s v="Pipeline de Vendas"/>
    <s v="Agendamento (0%)"/>
    <s v=""/>
    <d v="2026-05-31T00:00:00"/>
    <m/>
    <m/>
    <n v="2"/>
    <s v="Paulo Souza"/>
    <d v="2026-05-07T00:00:00"/>
    <d v="1899-12-30T08:47:19"/>
    <s v=""/>
    <s v="Perdido"/>
    <d v="2026-05-09T00:00:00"/>
    <d v="1899-12-30T08:54:10"/>
    <s v="Nossa solução não atende - falta funcionalidade"/>
    <s v=""/>
    <s v=""/>
    <x v="0"/>
    <s v="Rayssa Karapeticov"/>
    <x v="0"/>
    <s v=""/>
    <m/>
    <n v="30"/>
    <s v=""/>
    <s v=""/>
    <s v=""/>
    <s v=""/>
    <n v="1"/>
  </r>
  <r>
    <x v="1"/>
    <n v="1189"/>
    <m/>
    <n v="3742"/>
    <s v="08:52, 07/05/2026 Junior Lopes: Olá bom dia !_x000a_08:52, 07/05/2026 Junior Lopes: Sou Junior Lopes da Guarani sistemas! Td bem ?_x000a_11:51, 07/05/2026 Junior Lopes: qual o melhor horario para falarmos"/>
    <s v=""/>
    <x v="660"/>
    <m/>
    <s v=""/>
    <s v="Contade"/>
    <s v="4399777609"/>
    <s v=""/>
    <s v="arianagrandepequenasim@gmail.com"/>
    <s v=""/>
    <s v=""/>
    <s v=""/>
    <s v=""/>
    <s v="N sei"/>
    <s v="Inbound"/>
    <s v=""/>
    <s v=""/>
    <s v="Fora Perfil;Instagram"/>
    <s v="Pipeline de Vendas"/>
    <s v="Qualificação de Vendas (SQL) (25%)"/>
    <s v=""/>
    <m/>
    <m/>
    <m/>
    <n v="7"/>
    <s v="Paulo Souza"/>
    <d v="2026-05-07T00:00:00"/>
    <d v="1899-12-30T08:48:50"/>
    <s v=""/>
    <s v="Perdido"/>
    <d v="2026-05-14T00:00:00"/>
    <d v="1899-12-30T15:37:01"/>
    <s v="Inválido - empresa não existe / dados errados"/>
    <s v="(14/05/2026) _x000a_contato não responde _x000a_as informações inseridas não encontram dados da empresa ! ideal exigir CNPJ para uma melhor busca"/>
    <s v=""/>
    <x v="0"/>
    <s v="Junior Lopes"/>
    <x v="0"/>
    <s v=""/>
    <d v="2026-05-14T00:00:00"/>
    <n v="30"/>
    <s v=""/>
    <s v=""/>
    <s v=""/>
    <s v=""/>
    <n v="1"/>
  </r>
  <r>
    <x v="3"/>
    <n v="1190"/>
    <n v="276"/>
    <n v="3748"/>
    <s v="(07/05) Falei com Leila. Eles realizaram recentemente a troca de ERP e estão em busca de um novo CRM. Apresentei as soluções que oferecemos, com foco no AFV._x000a_No momento, estamos aguardando o retorno do Gestor Comercial para avançarmos com o agendamento de uma reunião._x000a_(12/05): Leila gostaria de uma reunião para entender melhor as nossa soluções. Como mudaram recentemente de ERP, a idéia é conhecer o nosso força de vendas e o BI para companhamento das vendas/metas._x000a_A Estilo Ar atua como distribuidora de peças e soluções para ar-condicionado automotivo. Filiais em: Uberlândia/MG (matriz), Belo Horizonte/MG, Juiz de Fora/MG, Montes Claros/MG, Goiânia/GO, Itumbiara/GO, Duque de Caxias/RJ e Cuiabá/MT. Então abrindo a nova filial Cuiabá._x000a_Produros que trabalham: Produtos que trabalham: Peças para ar-condicionado automotivo, Componentes Denso e Delphi, Produtos da marca própria Estilo Ar,  Filtros de cabine, Óleos, Higienizadores, Ferramentas e itens para manutenção automotiva. ERP atual: Sankhya e CRM Kommo integrado._x000a_Paulo: o foco é no AFV e BI, pois estão insatisfeito com o CRM atual. _x000a_(12/05) Reunião agendada para 12/05, as 14h30._x000a_(13/05) Reunião realizada. Leila informou que utilizam o CRM da Sankhya há aproximadamente 3 anos, porém estão insatisfeitos com a usabilidade da ferramenta. Atualmente, contam apenas com vendedores internos, mas a intenção é também trabalhar com representantes comerciais a partir do segundo semestre._x000a_Durante a reunião, foram apresentadas a Guarani Sistemas, as soluções AFV, Loja B2B e BI. Também foi enviado, via WhatsApp, o link do CRM Leads2b , juntamente com nossa apresentação institucional."/>
    <s v=""/>
    <x v="661"/>
    <n v="15338344000182"/>
    <s v="ESTILO AR COMERCIO DE PECAS LTDA"/>
    <s v="Leila Oliveira"/>
    <s v="(34) 3291-9100"/>
    <s v=""/>
    <s v="irpf@aserco.com.br"/>
    <s v="Matriz"/>
    <s v=""/>
    <s v="AV ENGENHEIRO DINIZ 848"/>
    <s v="UBERLANDIA"/>
    <s v="MG"/>
    <s v=""/>
    <s v=""/>
    <s v=""/>
    <s v="Dentro Perfil"/>
    <s v="Pipeline de Vendas"/>
    <s v="Apresentar Solução (35%)"/>
    <s v=""/>
    <m/>
    <m/>
    <m/>
    <n v="7"/>
    <s v="Ronaldo Nascimento"/>
    <d v="2026-05-07T00:00:00"/>
    <d v="1899-12-30T12:06:01"/>
    <s v=""/>
    <s v="Perdido"/>
    <d v="2026-05-14T00:00:00"/>
    <d v="1899-12-30T08:08:53"/>
    <s v="Projeto adiado / sem prazo definido"/>
    <s v="(14/05) Conforme Leila, a ideia é trabalhar com vendedor externo no segundo semestre. Criado atividade para contatar cliente em ago/26."/>
    <s v=""/>
    <x v="0"/>
    <s v=""/>
    <x v="237"/>
    <s v=""/>
    <m/>
    <n v="30"/>
    <s v=""/>
    <s v=""/>
    <s v=""/>
    <s v=""/>
    <n v="1"/>
  </r>
  <r>
    <x v="2"/>
    <n v="1191"/>
    <m/>
    <n v="3749"/>
    <s v=""/>
    <s v=""/>
    <x v="662"/>
    <n v="8333878000150"/>
    <s v=""/>
    <s v="Danielle"/>
    <s v="(74) 8124-8767"/>
    <s v=""/>
    <s v="maristela@kisolpiscinas.com"/>
    <s v=""/>
    <s v=""/>
    <s v=""/>
    <s v="FERNANDOPOLIS"/>
    <s v="SP"/>
    <s v=""/>
    <s v=""/>
    <s v=""/>
    <s v=""/>
    <s v="Pipeline de Vendas"/>
    <s v="Apresentar Solução (35%)"/>
    <s v=""/>
    <m/>
    <m/>
    <m/>
    <n v="13"/>
    <s v="Rayssa Karapeticov"/>
    <d v="2026-05-07T00:00:00"/>
    <d v="1899-12-30T16:38:45"/>
    <s v=""/>
    <s v="Ativo"/>
    <m/>
    <m/>
    <s v=""/>
    <s v=""/>
    <s v=""/>
    <x v="216"/>
    <s v="Rayssa Karapeticov"/>
    <x v="0"/>
    <s v=""/>
    <d v="2026-05-13T00:00:00"/>
    <n v="30"/>
    <s v=""/>
    <s v="ERP"/>
    <s v=""/>
    <s v=""/>
    <n v="1"/>
  </r>
  <r>
    <x v="3"/>
    <n v="1192"/>
    <n v="273"/>
    <n v="3754"/>
    <s v="(08/05) Apresentação agendada para 13/08 às 10h. Conforme informado pelo Milton, a empresa está em busca de um novo sistema de gestão e atualmente não possui uma ferramenta de força de vendas."/>
    <s v=""/>
    <x v="663"/>
    <n v="40220751000138"/>
    <s v="MARDEN MEDICAL LTDA."/>
    <s v="Milton Cavalieri"/>
    <s v="(16) 2121-0858"/>
    <s v=""/>
    <s v="administracao@mardenmedical.com.br"/>
    <s v="Matriz"/>
    <s v=""/>
    <s v="R GASTAO VIEIRA 229"/>
    <s v="SAO CARLOS"/>
    <s v="SP"/>
    <s v=""/>
    <s v=""/>
    <s v=""/>
    <s v="Dentro Perfil"/>
    <s v="Pipeline de Vendas"/>
    <s v="Apresentar Solução (35%)"/>
    <s v=""/>
    <m/>
    <m/>
    <m/>
    <n v="13"/>
    <s v="Ronaldo Nascimento"/>
    <d v="2026-05-07T00:00:00"/>
    <d v="1899-12-30T16:57:47"/>
    <s v=""/>
    <s v="Ativo"/>
    <m/>
    <m/>
    <s v=""/>
    <s v=""/>
    <s v=""/>
    <x v="0"/>
    <s v=""/>
    <x v="238"/>
    <s v=""/>
    <d v="2026-05-13T00:00:00"/>
    <n v="30"/>
    <s v=""/>
    <s v="ERP, AFV"/>
    <s v=""/>
    <s v=""/>
    <n v="1"/>
  </r>
  <r>
    <x v="3"/>
    <n v="1193"/>
    <n v="279"/>
    <m/>
    <s v="(08/05) Enviada mensagem via LinkedIn para Hugo Oliveira (gestor comercial), com o objetivo de apresentar as soluções da Guarani Sistemas e alinhar um possível bate-papo comercial."/>
    <s v=""/>
    <x v="221"/>
    <n v="89738173000115"/>
    <s v="SANREMO S/A"/>
    <s v=""/>
    <s v=""/>
    <s v=""/>
    <s v="bt_contabilidade@bettanin.com.br"/>
    <s v="Matriz"/>
    <s v=""/>
    <s v="AV INDEPENDENCIA 8885"/>
    <s v="ESTEIO"/>
    <s v="RS"/>
    <s v=""/>
    <s v=""/>
    <s v=""/>
    <s v="Dentro Perfil"/>
    <s v="Pipeline de Vendas"/>
    <s v="Agendamento (0%)"/>
    <s v=""/>
    <m/>
    <m/>
    <m/>
    <n v="12"/>
    <s v="Ronaldo Nascimento"/>
    <d v="2026-05-08T00:00:00"/>
    <d v="1899-12-30T10:00:51"/>
    <s v=""/>
    <s v="Ativo"/>
    <m/>
    <m/>
    <s v=""/>
    <s v=""/>
    <s v=""/>
    <x v="0"/>
    <s v=""/>
    <x v="0"/>
    <s v=""/>
    <m/>
    <n v="30"/>
    <s v=""/>
    <s v=""/>
    <s v=""/>
    <s v=""/>
    <n v="1"/>
  </r>
  <r>
    <x v="3"/>
    <n v="1194"/>
    <n v="281"/>
    <m/>
    <s v="(08/05) Enviada mensagem via LinkedIn para Vagner (gestor comercial), com o objetivo de apresentar as soluções da Guarani Sistemas e alinhar um possível bate-papo comercial._x000a_(18/05) Gestor comercial: Paulo Pimentel. Enviado msg a fim de agendar uma apresentação."/>
    <s v=""/>
    <x v="664"/>
    <n v="4381287000106"/>
    <s v="ORDENE S/A"/>
    <s v=""/>
    <s v=""/>
    <s v=""/>
    <s v="bt_contabilidade@bettanin.com.br"/>
    <s v="Matriz"/>
    <s v=""/>
    <s v="RUA GILBERTO TADEU MORAIS S/N"/>
    <s v="ESTEIO"/>
    <s v="RS"/>
    <s v=""/>
    <s v=""/>
    <s v=""/>
    <s v="Dentro Perfil"/>
    <s v="Pipeline de Vendas"/>
    <s v="Qualificação de Vendas (SQL) (25%)"/>
    <s v=""/>
    <m/>
    <m/>
    <m/>
    <n v="12"/>
    <s v="Ronaldo Nascimento"/>
    <d v="2026-05-08T00:00:00"/>
    <d v="1899-12-30T10:07:26"/>
    <s v=""/>
    <s v="Ativo"/>
    <m/>
    <m/>
    <s v=""/>
    <s v=""/>
    <s v=""/>
    <x v="0"/>
    <s v=""/>
    <x v="0"/>
    <s v=""/>
    <m/>
    <n v="30"/>
    <s v=""/>
    <s v=""/>
    <s v=""/>
    <s v=""/>
    <n v="1"/>
  </r>
  <r>
    <x v="3"/>
    <n v="1195"/>
    <n v="282"/>
    <n v="3760"/>
    <s v="(08/05) Enviada mensagem via LinkedIn para Lucimara (gestora comercial), com o objetivo de apresentar as soluções da Guarani Sistemas e alinhar um possível bate-papo comercial._x000a_(11/05) Consegui o contato de WhatsApp do Adm. Felix Carvalho. Enviei mensagem com o objetivo de verificar um melhor horário para realizarmos um bate-papo."/>
    <s v=""/>
    <x v="665"/>
    <n v="43948561000120"/>
    <s v="NIGRO ALUMINIO LTDA"/>
    <s v="Lucimara Zenatti"/>
    <s v="16210844221"/>
    <s v=""/>
    <s v="contabil@nigro.com.br"/>
    <s v="Matriz"/>
    <s v=""/>
    <s v="AV ARCANGELO NIGRO 166"/>
    <s v="ARARAQUARA"/>
    <s v="SP"/>
    <s v=""/>
    <s v=""/>
    <s v=""/>
    <s v="Dentro Perfil"/>
    <s v="Pipeline de Vendas"/>
    <s v="Qualificação de Vendas (SQL) (25%)"/>
    <s v=""/>
    <m/>
    <m/>
    <m/>
    <n v="12"/>
    <s v="Ronaldo Nascimento"/>
    <d v="2026-05-08T00:00:00"/>
    <d v="1899-12-30T10:30:00"/>
    <s v=""/>
    <s v="Ativo"/>
    <m/>
    <m/>
    <s v=""/>
    <s v=""/>
    <s v=""/>
    <x v="0"/>
    <s v=""/>
    <x v="0"/>
    <s v=""/>
    <m/>
    <n v="30"/>
    <s v=""/>
    <s v=""/>
    <s v=""/>
    <s v=""/>
    <n v="1"/>
  </r>
  <r>
    <x v="0"/>
    <n v="1196"/>
    <m/>
    <n v="3746"/>
    <s v=""/>
    <s v=""/>
    <x v="666"/>
    <n v="5659821000239"/>
    <s v=""/>
    <s v="Alexandre"/>
    <s v="11988734899"/>
    <s v=""/>
    <s v="alexandre@emblemax.com.br"/>
    <s v=""/>
    <s v=""/>
    <s v=""/>
    <s v=""/>
    <s v="SP"/>
    <s v="Inbound"/>
    <s v=""/>
    <s v=""/>
    <s v="Dentro Perfil;Instagram"/>
    <s v="Pipeline de Vendas"/>
    <s v="Qualificação de Vendas (SQL) (25%)"/>
    <s v=""/>
    <m/>
    <m/>
    <m/>
    <n v="12"/>
    <s v="Paulo Souza"/>
    <d v="2026-05-08T00:00:00"/>
    <d v="1899-12-30T11:46:39"/>
    <s v=""/>
    <s v="Ativo"/>
    <m/>
    <m/>
    <s v=""/>
    <s v=""/>
    <s v=""/>
    <x v="0"/>
    <s v="Paulo Souza"/>
    <x v="0"/>
    <s v=""/>
    <d v="2026-05-18T00:00:00"/>
    <n v="30"/>
    <s v=""/>
    <s v=""/>
    <s v=""/>
    <s v=""/>
    <n v="1"/>
  </r>
  <r>
    <x v="3"/>
    <n v="1197"/>
    <n v="270"/>
    <m/>
    <s v="(08/05) Enviado WhatsApp para Luiz (amigo pessoal) para entender melhor a estrutura comercial da MMO, incluindo modelo de equipe de vendas (interna e/ou externa) e sistemas utilizados atualmente para gestão e vendas._x000a_(11/05) Enviado msg para Gabriela (filha do Luis e amiga pessoal)."/>
    <s v=""/>
    <x v="667"/>
    <n v="2466212000194"/>
    <s v="MM OPTICS LTDA"/>
    <s v=""/>
    <s v=""/>
    <s v=""/>
    <s v="mmo@com.br"/>
    <s v="Matriz"/>
    <s v=""/>
    <s v="RUA GEMINIANO COSTA 143"/>
    <s v="SAO CARLOS"/>
    <s v="SP"/>
    <s v=""/>
    <s v=""/>
    <s v=""/>
    <s v="Dentro Perfil"/>
    <s v="Pipeline de Vendas"/>
    <s v="Qualificação de Vendas (SQL) (25%)"/>
    <s v=""/>
    <m/>
    <m/>
    <m/>
    <n v="12"/>
    <s v="Ronaldo Nascimento"/>
    <d v="2026-05-08T00:00:00"/>
    <d v="1899-12-30T12:05:35"/>
    <s v=""/>
    <s v="Ativo"/>
    <m/>
    <m/>
    <s v=""/>
    <s v=""/>
    <s v=""/>
    <x v="0"/>
    <s v=""/>
    <x v="0"/>
    <s v=""/>
    <d v="2026-05-11T00:00:00"/>
    <n v="30"/>
    <s v=""/>
    <s v=""/>
    <s v=""/>
    <s v=""/>
    <n v="1"/>
  </r>
  <r>
    <x v="3"/>
    <n v="1198"/>
    <n v="256"/>
    <n v="3773"/>
    <s v="(08/05) Enviado WhatsApp para Fabiana (amiga pessoal) com o objetivo de alinhar e agendar uma apresentação das nossas soluções."/>
    <s v=""/>
    <x v="668"/>
    <n v="20137275000189"/>
    <s v="VOLMED BRASIL EQUIPAMENTOS LTDA"/>
    <s v="Fabiana Voltatódio"/>
    <s v="(16) 3419-1794"/>
    <s v=""/>
    <s v="financeiro@volmed.com.br"/>
    <s v="Matriz"/>
    <s v=""/>
    <s v="RUA FRANCISCO CORREA BUENO 435"/>
    <s v="SAO CARLOS"/>
    <s v="SP"/>
    <s v=""/>
    <s v=""/>
    <s v=""/>
    <s v="TAG1SEM"/>
    <s v="Pipeline de Vendas"/>
    <s v="Agendamento (0%)"/>
    <s v=""/>
    <m/>
    <m/>
    <m/>
    <n v="0"/>
    <s v="Ronaldo Nascimento"/>
    <d v="2026-05-11T00:00:00"/>
    <d v="1899-12-30T09:33:58"/>
    <s v=""/>
    <s v="Perdido"/>
    <d v="2026-05-11T00:00:00"/>
    <d v="1899-12-30T09:35:54"/>
    <s v="Nossa solução não atende - falta funcionalidade"/>
    <s v="Em contato com Fabiana, foi informado que a empresa utiliza ferramentas específicas para o segmento (ERP e Força de Vendas), incluindo validações e exigências da Anvisa."/>
    <s v=""/>
    <x v="0"/>
    <s v=""/>
    <x v="0"/>
    <s v=""/>
    <m/>
    <n v="30"/>
    <s v=""/>
    <s v=""/>
    <s v=""/>
    <s v=""/>
    <n v="1"/>
  </r>
  <r>
    <x v="3"/>
    <n v="1199"/>
    <n v="283"/>
    <n v="3776"/>
    <s v="(08/05) Enviada mensagem via LinkedIn para Nádia (gestora comercial), com o objetivo de apresentar as soluções da Guarani Sistemas e alinhar um possível bate-papo comercial._x000a_(11/05) Nádia aceitou a conexão no LinkedIn. Enviada mensagem inicial apresentando as soluções da Guarani Sistemas."/>
    <s v=""/>
    <x v="669"/>
    <n v="88610191000154"/>
    <s v="MUNDIAL S.A. - PRODUTOS DE CONSUMO"/>
    <s v="Nádia C. da Silva"/>
    <s v="(51) 3358-5000"/>
    <s v=""/>
    <s v="lara.nunes@mundial.com"/>
    <s v="Matriz"/>
    <s v=""/>
    <s v="R DO PARAISO 148"/>
    <s v="SAO JOAO DE MERITI"/>
    <s v="RJ"/>
    <s v=""/>
    <s v=""/>
    <s v=""/>
    <s v="Dentro Perfil"/>
    <s v="Pipeline de Vendas"/>
    <s v="Qualificação de Vendas (SQL) (25%)"/>
    <s v=""/>
    <m/>
    <m/>
    <m/>
    <n v="9"/>
    <s v="Ronaldo Nascimento"/>
    <d v="2026-05-11T00:00:00"/>
    <d v="1899-12-30T10:28:33"/>
    <s v=""/>
    <s v="Ativo"/>
    <m/>
    <m/>
    <s v=""/>
    <s v=""/>
    <s v=""/>
    <x v="0"/>
    <s v=""/>
    <x v="0"/>
    <s v=""/>
    <m/>
    <n v="30"/>
    <s v=""/>
    <s v=""/>
    <s v=""/>
    <s v=""/>
    <n v="1"/>
  </r>
  <r>
    <x v="2"/>
    <n v="1200"/>
    <m/>
    <n v="3777"/>
    <s v=""/>
    <s v=""/>
    <x v="670"/>
    <n v="8821632000128"/>
    <s v=""/>
    <s v="LUCIANO CARBONARO DE OLIVEIRA"/>
    <s v=""/>
    <s v=""/>
    <s v=""/>
    <s v=""/>
    <s v=""/>
    <s v=""/>
    <s v=""/>
    <s v=""/>
    <s v="Campanha"/>
    <s v=""/>
    <s v=""/>
    <s v="Dentro Perfil;Instagram"/>
    <s v="Pipeline de Vendas"/>
    <s v="Qualificação de Vendas (SQL) (25%)"/>
    <s v=""/>
    <d v="2026-05-31T00:00:00"/>
    <m/>
    <m/>
    <n v="9"/>
    <s v="Paulo Souza"/>
    <d v="2026-05-11T00:00:00"/>
    <d v="1899-12-30T11:03:53"/>
    <s v=""/>
    <s v="Ativo"/>
    <m/>
    <m/>
    <s v=""/>
    <s v=""/>
    <s v=""/>
    <x v="0"/>
    <s v="Rayssa Karapeticov"/>
    <x v="0"/>
    <s v=""/>
    <d v="2026-05-13T00:00:00"/>
    <n v="30"/>
    <s v=""/>
    <s v=""/>
    <s v=""/>
    <s v=""/>
    <n v="1"/>
  </r>
  <r>
    <x v="1"/>
    <n v="1201"/>
    <m/>
    <n v="3771"/>
    <s v="(11/05/2026) tentativa de ligação porem o telefone esta bloqueado para chamadas _x000a_contato via WhatsApp_x000a_12:02, 11/05/2026 Junior Lopes: Olá Tone Oliveira, bom dia_x000a_12:02, 11/05/2026 Junior Lopes: sou Junior Lopes da Guarani sistemas_x000a_12:02, 11/05/2026 Junior Lopes: td bem ?_x000a_(14/05/2026) avançando com informações da solução ! direcionando para uma apresentação"/>
    <s v="N. K. Distribuidora Ltda"/>
    <x v="671"/>
    <n v="12084237000187"/>
    <s v=""/>
    <s v="NK Distribuidora De Cosmeticos"/>
    <s v="6699942807"/>
    <s v=""/>
    <s v="toneoliveira@hotmail.com"/>
    <s v=""/>
    <s v=""/>
    <s v=""/>
    <s v="RONDONOPOLIS"/>
    <s v="MT"/>
    <s v="Campanha"/>
    <s v=""/>
    <s v=""/>
    <s v="Dentro Perfil;Instagram"/>
    <s v="Pipeline de Vendas"/>
    <s v="Qualificação de Vendas (SQL) (25%)"/>
    <s v=""/>
    <d v="2026-05-31T00:00:00"/>
    <m/>
    <m/>
    <n v="9"/>
    <s v="Paulo Souza"/>
    <d v="2026-05-11T00:00:00"/>
    <d v="1899-12-30T11:18:41"/>
    <s v=""/>
    <s v="Ativo"/>
    <m/>
    <m/>
    <s v=""/>
    <s v=""/>
    <s v=""/>
    <x v="0"/>
    <s v="Junior Lopes"/>
    <x v="0"/>
    <s v=""/>
    <m/>
    <n v="30"/>
    <s v=""/>
    <s v=""/>
    <s v=""/>
    <s v=""/>
    <n v="1"/>
  </r>
  <r>
    <x v="3"/>
    <n v="1202"/>
    <n v="241"/>
    <n v="3779"/>
    <s v="(11/05) Em contato com Paula, foi informado que a empresa utiliza diferentes sistemas separados por departamento. Solicitou o envio de uma apresentação por e-mail para encaminhamento ao João. Atualmente, a empresa possui equipe de vendas interna e apenas um vendedor externo (João)."/>
    <s v=""/>
    <x v="672"/>
    <n v="6269527000100"/>
    <s v="LA ROCHA INDUSTRIA E COMERCIO DE FIBRAS MINERAIS LTDA"/>
    <s v="Paula Franzin"/>
    <s v="(01) 63911-7784"/>
    <s v=""/>
    <s v=""/>
    <s v="Matriz"/>
    <s v=""/>
    <s v="EST VICINAL VITO GAIA PUOLI, KM 2 + S/N"/>
    <s v="DESCALVADO"/>
    <s v="SP"/>
    <s v=""/>
    <s v=""/>
    <s v=""/>
    <s v="Dentro Perfil"/>
    <s v="Pipeline de Vendas"/>
    <s v="Qualificação de Vendas (SQL) (25%)"/>
    <s v=""/>
    <m/>
    <m/>
    <m/>
    <n v="9"/>
    <s v="Ronaldo Nascimento"/>
    <d v="2026-05-11T00:00:00"/>
    <d v="1899-12-30T11:23:29"/>
    <s v=""/>
    <s v="Ativo"/>
    <m/>
    <m/>
    <s v=""/>
    <s v=""/>
    <s v=""/>
    <x v="0"/>
    <s v=""/>
    <x v="0"/>
    <s v=""/>
    <m/>
    <n v="30"/>
    <s v=""/>
    <s v=""/>
    <s v=""/>
    <s v=""/>
    <n v="1"/>
  </r>
  <r>
    <x v="0"/>
    <n v="1203"/>
    <m/>
    <n v="3770"/>
    <s v=""/>
    <s v=""/>
    <x v="673"/>
    <n v="48579170000107"/>
    <s v=""/>
    <s v="Belapin ind com"/>
    <s v="11970330999"/>
    <s v=""/>
    <s v="junior@arcobello.com.br"/>
    <s v=""/>
    <s v=""/>
    <s v=""/>
    <s v=""/>
    <s v=""/>
    <s v="Campanha"/>
    <s v=""/>
    <s v=""/>
    <s v="Dentro Perfil;Instagram"/>
    <s v="Pipeline de Vendas"/>
    <s v="Qualificação de Vendas (SQL) (25%)"/>
    <s v=""/>
    <d v="2026-05-31T00:00:00"/>
    <m/>
    <m/>
    <n v="9"/>
    <s v="Paulo Souza"/>
    <d v="2026-05-11T00:00:00"/>
    <d v="1899-12-30T11:24:21"/>
    <s v=""/>
    <s v="Ativo"/>
    <m/>
    <m/>
    <s v=""/>
    <s v=""/>
    <s v=""/>
    <x v="0"/>
    <s v="Paulo Souza"/>
    <x v="0"/>
    <s v=""/>
    <m/>
    <n v="30"/>
    <s v=""/>
    <s v=""/>
    <s v=""/>
    <s v=""/>
    <n v="1"/>
  </r>
  <r>
    <x v="3"/>
    <n v="1204"/>
    <n v="231"/>
    <n v="3780"/>
    <s v="(11/05) Falei com Orlei (Compras), que indicou o Rodrigo, da área Comercial, como responsável para continuidade da conversa. Atualmente a empresa utiliza o sistema WBC, desenvolvido para o segmento, porém cada departamento trabalha com um sistema diferente._x000a_Comentou também que, há algum tempo, chegaram a conversar com a TOTVS sobre implantação de ERP, mas o projeto acabou não avançando devido à dificuldade relacionada à migração/estruturação dos dados._x000a_Realizei contato com o Rodrigo, porém a ligação caiu na caixa postal. Enviei mensagem via WhatsApp para tentar agendar um bate-papo."/>
    <s v=""/>
    <x v="674"/>
    <n v="490414000146"/>
    <s v="N S F INDUSTRIA E COMERCIO DE EQUIPAMENTOS PARA INSTALACOES COMERCIAIS LTDA"/>
    <s v="Antonio Marcos Real"/>
    <s v="(16) 3377-9700"/>
    <s v=""/>
    <s v="financeiro@nsf.ind.br"/>
    <s v="Matriz"/>
    <s v=""/>
    <s v="ROD WASHINGTON LUIZ S/N"/>
    <s v="SAO CARLOS"/>
    <s v="SP"/>
    <s v=""/>
    <s v=""/>
    <s v=""/>
    <s v="Dentro Perfil"/>
    <s v="Pipeline de Vendas"/>
    <s v="Qualificação de Vendas (SQL) (25%)"/>
    <s v=""/>
    <m/>
    <m/>
    <m/>
    <n v="9"/>
    <s v="Ronaldo Nascimento"/>
    <d v="2026-05-11T00:00:00"/>
    <d v="1899-12-30T14:29:08"/>
    <s v=""/>
    <s v="Ativo"/>
    <m/>
    <m/>
    <s v=""/>
    <s v=""/>
    <s v=""/>
    <x v="0"/>
    <s v=""/>
    <x v="0"/>
    <s v=""/>
    <m/>
    <n v="30"/>
    <s v=""/>
    <s v=""/>
    <s v=""/>
    <s v=""/>
    <n v="1"/>
  </r>
  <r>
    <x v="3"/>
    <n v="1205"/>
    <n v="252"/>
    <n v="3781"/>
    <s v="(08/05) Enviado WhatsApp para Lana (amiga pessoal), atualmente representante comercial da empresa, solicitando o contato do gestor comercial para possível apresentação das soluções._x000a_(11/05) Falei com a Lana. No momento, a empresa está concentrada na preparação para a Feira Hospitalar, que acontecerá entre os dias 19 e 22 de maio._x000a_Comentou que atualmente utilizam as soluções da Sectra para a área comercial (possivelmente ERP também). Sugeriu retomarmos o contato durante a feira ou após o evento para conversarmos com mais tranquilidade."/>
    <s v=""/>
    <x v="675"/>
    <n v="13459890000146"/>
    <s v="HORTRON INDUSTRIA E COMERCIO DE PRODUTOS ELETRONICOS LTDA"/>
    <s v="Willian Zanon"/>
    <s v="(16) 3419-0892"/>
    <s v=""/>
    <s v="hortron@hortron.com.br"/>
    <s v="Matriz"/>
    <s v=""/>
    <s v="AV GETULIO VARGAS 2831"/>
    <s v="SAO CARLOS"/>
    <s v="SP"/>
    <s v=""/>
    <s v=""/>
    <s v=""/>
    <s v="Dentro Perfil"/>
    <s v="Pipeline de Vendas"/>
    <s v="Qualificação de Vendas (SQL) (25%)"/>
    <s v=""/>
    <m/>
    <m/>
    <m/>
    <n v="9"/>
    <s v="Ronaldo Nascimento"/>
    <d v="2026-05-11T00:00:00"/>
    <d v="1899-12-30T14:44:21"/>
    <s v=""/>
    <s v="Ativo"/>
    <m/>
    <m/>
    <s v=""/>
    <s v=""/>
    <s v=""/>
    <x v="0"/>
    <s v=""/>
    <x v="0"/>
    <s v=""/>
    <m/>
    <n v="30"/>
    <s v=""/>
    <s v=""/>
    <s v=""/>
    <s v=""/>
    <n v="1"/>
  </r>
  <r>
    <x v="3"/>
    <n v="1206"/>
    <n v="226"/>
    <n v="3782"/>
    <s v="(11/05) Falei com Denise (contato pessoal da área de RH). Apresentei brevemente a Guarani Sistemas e algumas das soluções que oferecemos, principalmente na área comercial. Solicitei o contato do gestor/com responsável pela área comercial para apresentar nossa solução de vendas. Aguardando retorno._x000a_(12/05) Falei com a Denise, que me passou o contato (e-mail) do Farid, Gestor Comercial da Hece Máquinas. Denise comentou que a empresa atualmente trabalha com um ERP próprio. Enviado e-mail a fim de agendarmos um bate-papo."/>
    <s v=""/>
    <x v="676"/>
    <n v="59602144000160"/>
    <s v="HECE MAQUINAS LTDA"/>
    <s v="Denise Rodrigues Ferreira"/>
    <s v="(16) 98198-8289"/>
    <s v="16981988289"/>
    <s v="rh@hece.com.br"/>
    <s v="Matriz"/>
    <s v=""/>
    <s v="R JOAO ABDELNUR 99"/>
    <s v="SAO CARLOS"/>
    <s v="SP"/>
    <s v=""/>
    <s v=""/>
    <s v=""/>
    <s v="Dentro Perfil"/>
    <s v="Pipeline de Vendas"/>
    <s v="Qualificação de Vendas (SQL) (25%)"/>
    <s v=""/>
    <m/>
    <m/>
    <m/>
    <n v="9"/>
    <s v="Ronaldo Nascimento"/>
    <d v="2026-05-11T00:00:00"/>
    <d v="1899-12-30T14:54:52"/>
    <s v=""/>
    <s v="Ativo"/>
    <m/>
    <m/>
    <s v=""/>
    <s v=""/>
    <s v=""/>
    <x v="0"/>
    <s v=""/>
    <x v="0"/>
    <s v=""/>
    <d v="2026-05-12T00:00:00"/>
    <n v="30"/>
    <s v=""/>
    <s v=""/>
    <s v=""/>
    <s v=""/>
    <n v="1"/>
  </r>
  <r>
    <x v="3"/>
    <n v="1208"/>
    <n v="255"/>
    <n v="3788"/>
    <s v="(11/05) Enviado msg para Nathalia a fim de agendarmos um bate-papo._x000a_(12/05) Falei com a Nathalia, que me passou o contato (e-mail) da Vanessa, Gerente Comercial da Setormed. Enviado e-mail a fim de agendarmos um bate-papo."/>
    <s v=""/>
    <x v="677"/>
    <n v="13533397000129"/>
    <s v="SETORMED INDUSTRIA E COMERCIO DE EQUIPAMENTOS MEDICOS E ODONTOLOGICOS S.A."/>
    <s v="Nathalia C. S. Santos"/>
    <s v="(16) 34165-3681"/>
    <s v=""/>
    <s v="setormed@setormed.com.br"/>
    <s v="Matriz"/>
    <s v=""/>
    <s v="RUA ARTHUR RODRIGUES DE CASTRO 150"/>
    <s v="SAO CARLOS"/>
    <s v="SP"/>
    <s v=""/>
    <s v=""/>
    <s v=""/>
    <s v="Dentro Perfil"/>
    <s v="Pipeline de Vendas"/>
    <s v="Qualificação de Vendas (SQL) (25%)"/>
    <s v=""/>
    <m/>
    <m/>
    <m/>
    <n v="8"/>
    <s v="Ronaldo Nascimento"/>
    <d v="2026-05-12T00:00:00"/>
    <d v="1899-12-30T11:50:46"/>
    <s v=""/>
    <s v="Ativo"/>
    <m/>
    <m/>
    <s v=""/>
    <s v=""/>
    <s v=""/>
    <x v="0"/>
    <s v=""/>
    <x v="0"/>
    <s v=""/>
    <m/>
    <n v="30"/>
    <s v=""/>
    <s v=""/>
    <s v=""/>
    <s v=""/>
    <n v="1"/>
  </r>
  <r>
    <x v="2"/>
    <n v="1209"/>
    <m/>
    <n v="3786"/>
    <s v="Todos os dados preenchidos:_x000a_empresa: Casa Bonitta _x000a_name: NATALIA GABRIELA DAMACENO MOTA _x000a_cargo: Proprietária _x000a_whatsapp: 11996672094 _x000a_email: naty-gabriela@hotmail.com _x000a_referrer: https://www.guaranisistemas.com.br/"/>
    <s v=""/>
    <x v="678"/>
    <n v="36621794000158"/>
    <s v=""/>
    <s v="NATALIA GABRIELA DAMACENO MOTA"/>
    <s v="(11) 4292-3358"/>
    <s v=""/>
    <s v="naty-gabriela@hotmail.com"/>
    <s v=""/>
    <s v=""/>
    <s v=""/>
    <s v="SUZANO"/>
    <s v="SP"/>
    <s v="Inbound"/>
    <s v=""/>
    <s v=""/>
    <s v="Perfil Indefinido"/>
    <s v="Pipeline de Vendas"/>
    <s v="Apresentar Solução (35%)"/>
    <s v=""/>
    <d v="2026-05-31T00:00:00"/>
    <m/>
    <m/>
    <n v="8"/>
    <s v="Paulo Souza"/>
    <d v="2026-05-12T00:00:00"/>
    <d v="1899-12-30T15:18:03"/>
    <s v=""/>
    <s v="Ativo"/>
    <m/>
    <m/>
    <s v=""/>
    <s v=""/>
    <s v=""/>
    <x v="0"/>
    <s v="Rayssa Karapeticov"/>
    <x v="0"/>
    <s v=""/>
    <d v="2026-05-19T00:00:00"/>
    <n v="30"/>
    <s v=""/>
    <s v=""/>
    <s v=""/>
    <s v=""/>
    <n v="1"/>
  </r>
  <r>
    <x v="3"/>
    <n v="1212"/>
    <n v="291"/>
    <n v="3801"/>
    <s v=""/>
    <s v=""/>
    <x v="679"/>
    <n v="17188274000159"/>
    <s v="UTILIMIX INDUSTRIA E COMERCIO LTDA"/>
    <s v="Bruno"/>
    <s v="(11) 91010-4191"/>
    <s v=""/>
    <s v="utilimix@bol.com.br"/>
    <s v="Matriz"/>
    <s v=""/>
    <s v="RUA ESTADO DE PERNAMBUCO 93"/>
    <s v="SAO PAULO"/>
    <s v="SP"/>
    <s v=""/>
    <s v=""/>
    <s v=""/>
    <s v="Dentro Perfil"/>
    <s v="Pipeline de Vendas"/>
    <s v="Apresentar Solução (35%)"/>
    <s v=""/>
    <m/>
    <m/>
    <m/>
    <n v="5"/>
    <s v="Ronaldo Nascimento"/>
    <d v="2026-05-13T00:00:00"/>
    <d v="1899-12-30T14:07:38"/>
    <s v=""/>
    <s v="Perdido"/>
    <d v="2026-05-18T00:00:00"/>
    <d v="1899-12-30T09:10:54"/>
    <s v="Fora do porte mínimo (sem fit estrutural)"/>
    <s v="Bruno gostou bastante da solução, porém, no momento a estrutura da empresa ainda é pequena para utilização das nossas ferramentas. Deixei meu contato à disposição para, futuramente, caso a empresa cresça ou o perfil da operação mude, avaliarmos uma solução mais robusta."/>
    <s v=""/>
    <x v="0"/>
    <s v=""/>
    <x v="0"/>
    <s v=""/>
    <d v="2026-05-15T00:00:00"/>
    <n v="40"/>
    <s v=""/>
    <s v=""/>
    <s v=""/>
    <s v=""/>
    <n v="1"/>
  </r>
  <r>
    <x v="1"/>
    <n v="1213"/>
    <m/>
    <n v="3802"/>
    <s v="Olá Alexandre boa tarde ! Aqui é Junior Lopes da Guarani sistemas, Td bem ?_x000a_Estou retornando contato que vc fez conosco referente as nossas soluções de ERP e soluções de força de vendas_x000a_Olá Alexandre, bom dia_x000a_Bom dia_x000a_Mandei mensagem para saber sobre valor do sistema e como funciona_x000a_Ok_x000a_Pode deixar_x000a_Não tenho interesse"/>
    <s v="Analu Parafusos Ltda"/>
    <x v="680"/>
    <n v="26991643000138"/>
    <s v=""/>
    <s v="Alexandre"/>
    <s v="17981238345"/>
    <s v=""/>
    <s v="analuparafusos@gmail.com"/>
    <s v=""/>
    <s v=""/>
    <s v=""/>
    <s v="CAMPO GRANDE"/>
    <s v="MS"/>
    <s v="Campanha"/>
    <s v=""/>
    <s v=""/>
    <s v="Dentro Perfil;Instagram"/>
    <s v="Pipeline de Vendas"/>
    <s v="Qualificação de Vendas (SQL) (25%)"/>
    <s v=""/>
    <d v="2026-05-31T00:00:00"/>
    <m/>
    <m/>
    <n v="1"/>
    <s v="Paulo Souza"/>
    <d v="2026-05-13T00:00:00"/>
    <d v="1899-12-30T17:48:05"/>
    <s v=""/>
    <s v="Perdido"/>
    <d v="2026-05-14T00:00:00"/>
    <d v="1899-12-30T11:26:14"/>
    <s v="Cliente não quer contato LGPD"/>
    <s v="Olá Alexandre boa tarde ! Aqui é Junior Lopes da Guarani sistemas, Td bem ?_x000a_Estou retornando contato que vc fez conosco referente as nossas soluções de ERP e soluções de força de vendas_x000a_Olá Alexandre, bom dia_x000a_Bom dia_x000a_Mandei mensagem para saber sobre valor do sistema e como funciona_x000a_Ok_x000a_Pode deixar_x000a_Não tenho interesse"/>
    <s v=""/>
    <x v="0"/>
    <s v="Junior Lopes"/>
    <x v="0"/>
    <s v=""/>
    <d v="2026-05-14T00:00:00"/>
    <n v="30"/>
    <s v=""/>
    <s v=""/>
    <s v=""/>
    <s v=""/>
    <n v="1"/>
  </r>
  <r>
    <x v="2"/>
    <n v="1214"/>
    <m/>
    <n v="3804"/>
    <s v=""/>
    <s v=""/>
    <x v="681"/>
    <n v="68044700000111"/>
    <s v=""/>
    <s v="Belapin Industria E Comercio De Alimenticios Ltda"/>
    <s v="(011) 2726-761"/>
    <s v=""/>
    <s v="null"/>
    <s v=""/>
    <s v=""/>
    <s v=""/>
    <s v="SAO PAULO"/>
    <s v="SP"/>
    <s v="Base de empresas Leads2b"/>
    <s v=""/>
    <s v=""/>
    <s v=""/>
    <s v="Pipeline de Vendas"/>
    <s v="Qualificação de Vendas (SQL) (25%)"/>
    <s v=""/>
    <m/>
    <m/>
    <m/>
    <n v="7"/>
    <s v="Rayssa Karapeticov"/>
    <d v="2026-05-13T00:00:00"/>
    <d v="1899-12-30T18:21:57"/>
    <s v=""/>
    <s v="Ativo"/>
    <m/>
    <m/>
    <s v=""/>
    <s v=""/>
    <s v=""/>
    <x v="0"/>
    <s v=""/>
    <x v="0"/>
    <s v=""/>
    <m/>
    <m/>
    <s v=""/>
    <s v=""/>
    <s v=""/>
    <s v=""/>
    <n v="1"/>
  </r>
  <r>
    <x v="1"/>
    <n v="1215"/>
    <m/>
    <n v="3807"/>
    <s v=""/>
    <s v=""/>
    <x v="682"/>
    <m/>
    <s v=""/>
    <s v="Istok comercio importação (Cloud)"/>
    <s v="1123617746"/>
    <s v=""/>
    <s v="diogo.contabilidade@yahoo.com.br"/>
    <s v=""/>
    <s v=""/>
    <s v=""/>
    <s v=""/>
    <s v=""/>
    <s v=""/>
    <s v=""/>
    <s v=""/>
    <s v=""/>
    <s v="Pipeline de Vendas"/>
    <s v="Em Fechamento (100%)"/>
    <s v=""/>
    <m/>
    <n v="0"/>
    <n v="2400"/>
    <n v="5"/>
    <s v="Junior Lopes"/>
    <d v="2026-05-14T00:00:00"/>
    <d v="1899-12-30T08:46:38"/>
    <s v=""/>
    <s v="Ganho"/>
    <d v="2026-05-19T00:00:00"/>
    <d v="1899-12-30T14:27:54"/>
    <s v=""/>
    <s v=""/>
    <s v=""/>
    <x v="215"/>
    <s v=""/>
    <x v="235"/>
    <s v="12/05/2026"/>
    <m/>
    <n v="90"/>
    <s v=""/>
    <s v=""/>
    <s v=""/>
    <s v=""/>
    <n v="1"/>
  </r>
  <r>
    <x v="3"/>
    <n v="1216"/>
    <n v="289"/>
    <n v="3812"/>
    <s v="(13/05) Conversei com Joel, vendedor da Newlar. Atualmente, eles não possuem sistema de força de vendas via celular, realizando os pedidos de forma online._x000a_Joel me passou o contato do Edinho, gestor comercial. Enviei mensagem com o objetivo de agendarmos uma apresentação da solução._x000a_(14/05) Em ligação, Tatiana (financeiro) informou que a empresa utiliza o ERP Sankhya há cerca de 4 anos. Atualmente não possuem equipe de vendas externa, e o site é utilizado apenas para demonstração dos produtos/pedidos._x000a_Solicitou uma apresentação inicial por e-mail e também deixou o WhatsApp (11 97334-5254) para um novo contato, a fim de apresentarmos nossas soluções._x000a_Comentou ainda que considera a mensalidade atual do ERP elevada."/>
    <s v=""/>
    <x v="683"/>
    <n v="3717565000182"/>
    <s v="NEWLAR DISTRIBUIDORA DE UTILIDADES DOMESTICAS LTDA"/>
    <s v="Edinho"/>
    <s v="(11) 96123-5967"/>
    <s v="11961235967"/>
    <s v="newlar@newlar.com.br"/>
    <s v="Matriz"/>
    <s v=""/>
    <s v="AV VAUTIER 649"/>
    <s v="SAO PAULO"/>
    <s v="SP"/>
    <s v=""/>
    <s v=""/>
    <s v=""/>
    <s v="Dentro Perfil"/>
    <s v="Pipeline de Vendas"/>
    <s v="Qualificação de Vendas (SQL) (25%)"/>
    <s v=""/>
    <m/>
    <m/>
    <m/>
    <n v="6"/>
    <s v="Ronaldo Nascimento"/>
    <d v="2026-05-14T00:00:00"/>
    <d v="1899-12-30T11:56:50"/>
    <s v=""/>
    <s v="Ativo"/>
    <m/>
    <m/>
    <s v=""/>
    <s v=""/>
    <s v=""/>
    <x v="0"/>
    <s v=""/>
    <x v="0"/>
    <s v=""/>
    <m/>
    <n v="30"/>
    <s v=""/>
    <s v=""/>
    <s v=""/>
    <s v=""/>
    <n v="1"/>
  </r>
  <r>
    <x v="2"/>
    <n v="1217"/>
    <m/>
    <n v="3814"/>
    <s v=""/>
    <s v=""/>
    <x v="684"/>
    <n v="11587676000140"/>
    <s v=""/>
    <s v="Gifran Industria De Artigos Texteis Ltda"/>
    <s v="(24) 2255-5069"/>
    <s v=""/>
    <s v="comercial@gifran.com.br"/>
    <s v=""/>
    <s v=""/>
    <s v=""/>
    <s v="TRES RIOS"/>
    <s v="RJ"/>
    <s v="Base de empresas Leads2b"/>
    <s v=""/>
    <s v=""/>
    <s v=""/>
    <s v="Pipeline de Vendas"/>
    <s v="Qualificação de Vendas (SQL) (25%)"/>
    <s v=""/>
    <m/>
    <m/>
    <m/>
    <n v="6"/>
    <s v="Rayssa Karapeticov"/>
    <d v="2026-05-14T00:00:00"/>
    <d v="1899-12-30T14:46:19"/>
    <s v=""/>
    <s v="Ativo"/>
    <m/>
    <m/>
    <s v=""/>
    <s v=""/>
    <s v=""/>
    <x v="0"/>
    <s v=""/>
    <x v="0"/>
    <s v=""/>
    <d v="2026-05-14T00:00:00"/>
    <n v="30"/>
    <s v=""/>
    <s v=""/>
    <s v=""/>
    <s v=""/>
    <n v="1"/>
  </r>
  <r>
    <x v="2"/>
    <n v="1218"/>
    <m/>
    <n v="3817"/>
    <s v=""/>
    <s v=""/>
    <x v="685"/>
    <n v="3640671000105"/>
    <s v=""/>
    <s v="Plasnew Utilidades Domesticas Ltda."/>
    <s v="(19) 3852-9000"/>
    <s v=""/>
    <s v="plasnew@plasnew.ind.br"/>
    <s v=""/>
    <s v=""/>
    <s v=""/>
    <s v="PEDREIRA"/>
    <s v="SP"/>
    <s v="Base de empresas Leads2b"/>
    <s v=""/>
    <s v=""/>
    <s v=""/>
    <s v="Pipeline de Vendas"/>
    <s v="Qualificação de Vendas (SQL) (25%)"/>
    <s v=""/>
    <m/>
    <m/>
    <m/>
    <n v="6"/>
    <s v="Rayssa Karapeticov"/>
    <d v="2026-05-14T00:00:00"/>
    <d v="1899-12-30T14:49:03"/>
    <s v=""/>
    <s v="Ativo"/>
    <m/>
    <m/>
    <s v=""/>
    <s v=""/>
    <s v=""/>
    <x v="0"/>
    <s v=""/>
    <x v="0"/>
    <s v=""/>
    <m/>
    <m/>
    <s v=""/>
    <s v=""/>
    <s v=""/>
    <s v=""/>
    <n v="1"/>
  </r>
  <r>
    <x v="2"/>
    <n v="1219"/>
    <m/>
    <n v="3820"/>
    <s v=""/>
    <s v=""/>
    <x v="686"/>
    <n v="14892407000185"/>
    <s v=""/>
    <s v="Ambiente Verde Industria Ltda"/>
    <s v="(51) 3541-7491"/>
    <s v=""/>
    <s v="ambienteverde@ambienteverde.ind.br"/>
    <s v=""/>
    <s v=""/>
    <s v=""/>
    <s v="IGREJINHA"/>
    <s v="RS"/>
    <s v="Base de empresas Leads2b"/>
    <s v=""/>
    <s v=""/>
    <s v=""/>
    <s v="Pipeline de Vendas"/>
    <s v="Qualificação de Vendas (SQL) (25%)"/>
    <s v=""/>
    <m/>
    <m/>
    <m/>
    <n v="6"/>
    <s v="Rayssa Karapeticov"/>
    <d v="2026-05-14T00:00:00"/>
    <d v="1899-12-30T14:49:45"/>
    <s v=""/>
    <s v="Ativo"/>
    <m/>
    <m/>
    <s v=""/>
    <s v=""/>
    <s v=""/>
    <x v="0"/>
    <s v=""/>
    <x v="0"/>
    <s v=""/>
    <m/>
    <m/>
    <s v=""/>
    <s v=""/>
    <s v=""/>
    <s v=""/>
    <n v="1"/>
  </r>
  <r>
    <x v="1"/>
    <n v="1220"/>
    <m/>
    <n v="3824"/>
    <s v=""/>
    <s v=""/>
    <x v="687"/>
    <m/>
    <s v=""/>
    <s v="Baag - Horas"/>
    <s v="75981337574"/>
    <s v=""/>
    <s v="cleber@baag.com.br"/>
    <s v=""/>
    <s v=""/>
    <s v=""/>
    <s v=""/>
    <s v=""/>
    <s v=""/>
    <s v=""/>
    <s v=""/>
    <s v=""/>
    <s v="Pipeline de Vendas"/>
    <s v="Em negociação (75%)"/>
    <s v=""/>
    <m/>
    <n v="25228"/>
    <n v="0"/>
    <n v="6"/>
    <s v="Junior Lopes"/>
    <d v="2026-05-14T00:00:00"/>
    <d v="1899-12-30T14:51:10"/>
    <s v=""/>
    <s v="Ativo"/>
    <m/>
    <m/>
    <s v=""/>
    <s v=""/>
    <s v=""/>
    <x v="212"/>
    <s v=""/>
    <x v="0"/>
    <s v=""/>
    <m/>
    <n v="50"/>
    <s v=""/>
    <s v=""/>
    <s v=""/>
    <s v=""/>
    <n v="1"/>
  </r>
  <r>
    <x v="2"/>
    <n v="1221"/>
    <m/>
    <n v="3826"/>
    <s v=""/>
    <s v=""/>
    <x v="688"/>
    <n v="79846465000207"/>
    <s v=""/>
    <s v="Goedert Ltda"/>
    <s v="(48) 3205-2140"/>
    <s v=""/>
    <s v="administracao@goedert.com.br"/>
    <s v=""/>
    <s v=""/>
    <s v=""/>
    <s v="PALHOCA"/>
    <s v="SC"/>
    <s v="Base de empresas Leads2b"/>
    <s v=""/>
    <s v=""/>
    <s v=""/>
    <s v="Pipeline de Vendas"/>
    <s v="Qualificação de Vendas (SQL) (25%)"/>
    <s v=""/>
    <m/>
    <m/>
    <m/>
    <n v="6"/>
    <s v="Rayssa Karapeticov"/>
    <d v="2026-05-14T00:00:00"/>
    <d v="1899-12-30T15:23:21"/>
    <s v=""/>
    <s v="Ativo"/>
    <m/>
    <m/>
    <s v=""/>
    <s v=""/>
    <s v=""/>
    <x v="0"/>
    <s v=""/>
    <x v="0"/>
    <s v=""/>
    <m/>
    <m/>
    <s v=""/>
    <s v=""/>
    <s v=""/>
    <s v=""/>
    <n v="1"/>
  </r>
  <r>
    <x v="2"/>
    <n v="1222"/>
    <m/>
    <n v="3827"/>
    <s v=""/>
    <s v=""/>
    <x v="89"/>
    <n v="5670513000123"/>
    <s v=""/>
    <s v="Jlk Industria E Comercio De Plasticos Ltda"/>
    <s v="(11) 2243-0117"/>
    <s v=""/>
    <s v="jlk@jlkplasticos.com.br"/>
    <s v=""/>
    <s v=""/>
    <s v=""/>
    <s v="SAO PAULO"/>
    <s v="SP"/>
    <s v="Base de empresas Leads2b"/>
    <s v=""/>
    <s v=""/>
    <s v=""/>
    <s v="Pipeline de Vendas"/>
    <s v="Agendamento (0%)"/>
    <s v=""/>
    <m/>
    <m/>
    <m/>
    <n v="6"/>
    <s v="Rayssa Karapeticov"/>
    <d v="2026-05-14T00:00:00"/>
    <d v="1899-12-30T15:24:59"/>
    <s v=""/>
    <s v="Ativo"/>
    <m/>
    <m/>
    <s v=""/>
    <s v=""/>
    <s v=""/>
    <x v="0"/>
    <s v=""/>
    <x v="0"/>
    <s v=""/>
    <m/>
    <m/>
    <s v=""/>
    <s v=""/>
    <s v=""/>
    <s v=""/>
    <n v="1"/>
  </r>
  <r>
    <x v="2"/>
    <n v="1223"/>
    <m/>
    <n v="3830"/>
    <s v=""/>
    <s v=""/>
    <x v="689"/>
    <n v="29946937000136"/>
    <s v=""/>
    <s v="Mercapet Comercio De Acessorios Para Animais Ltda"/>
    <s v="(11) 7162-4141"/>
    <s v=""/>
    <s v="marcosmercapet@gmail.com"/>
    <s v=""/>
    <s v=""/>
    <s v=""/>
    <s v="ITAQUAQUECETUBA"/>
    <s v="SP"/>
    <s v="Base de empresas Leads2b"/>
    <s v=""/>
    <s v=""/>
    <s v=""/>
    <s v="Pipeline de Vendas"/>
    <s v="Agendamento (0%)"/>
    <s v=""/>
    <m/>
    <m/>
    <m/>
    <n v="6"/>
    <s v="Rayssa Karapeticov"/>
    <d v="2026-05-14T00:00:00"/>
    <d v="1899-12-30T15:29:49"/>
    <s v=""/>
    <s v="Ativo"/>
    <m/>
    <m/>
    <s v=""/>
    <s v=""/>
    <s v=""/>
    <x v="0"/>
    <s v=""/>
    <x v="0"/>
    <s v=""/>
    <m/>
    <m/>
    <s v=""/>
    <s v=""/>
    <s v=""/>
    <s v=""/>
    <n v="1"/>
  </r>
  <r>
    <x v="2"/>
    <n v="1224"/>
    <m/>
    <n v="3832"/>
    <s v=""/>
    <s v=""/>
    <x v="690"/>
    <n v="90406117000162"/>
    <s v=""/>
    <s v="Future Industria Metalurgica Ltda"/>
    <s v="(54) 3535-8700"/>
    <s v=""/>
    <s v="future@futureutilidades.com.br"/>
    <s v=""/>
    <s v=""/>
    <s v=""/>
    <s v="CAXIAS DO SUL"/>
    <s v="RS"/>
    <s v="Base de empresas Leads2b"/>
    <s v=""/>
    <s v=""/>
    <s v=""/>
    <s v="Pipeline de Vendas"/>
    <s v="Agendamento (0%)"/>
    <s v=""/>
    <m/>
    <m/>
    <m/>
    <n v="6"/>
    <s v="Rayssa Karapeticov"/>
    <d v="2026-05-14T00:00:00"/>
    <d v="1899-12-30T15:31:13"/>
    <s v=""/>
    <s v="Ativo"/>
    <m/>
    <m/>
    <s v=""/>
    <s v=""/>
    <s v=""/>
    <x v="0"/>
    <s v=""/>
    <x v="0"/>
    <s v=""/>
    <m/>
    <m/>
    <s v=""/>
    <s v=""/>
    <s v=""/>
    <s v=""/>
    <n v="1"/>
  </r>
  <r>
    <x v="2"/>
    <n v="1225"/>
    <m/>
    <n v="3835"/>
    <s v=""/>
    <s v=""/>
    <x v="691"/>
    <n v="5020996000110"/>
    <s v=""/>
    <s v="Primavera Industria De Vassouras E Escovas Ltda"/>
    <s v="(54) 3344-1438"/>
    <s v=""/>
    <s v="primavera@primavera.ind.br"/>
    <s v=""/>
    <s v=""/>
    <s v=""/>
    <s v="TAPEJARA"/>
    <s v="RS"/>
    <s v="Base de empresas Leads2b"/>
    <s v=""/>
    <s v=""/>
    <s v=""/>
    <s v="Pipeline de Vendas"/>
    <s v="Agendamento (0%)"/>
    <s v=""/>
    <m/>
    <m/>
    <m/>
    <n v="6"/>
    <s v="Rayssa Karapeticov"/>
    <d v="2026-05-14T00:00:00"/>
    <d v="1899-12-30T15:32:28"/>
    <s v=""/>
    <s v="Ativo"/>
    <m/>
    <m/>
    <s v=""/>
    <s v=""/>
    <s v=""/>
    <x v="0"/>
    <s v=""/>
    <x v="0"/>
    <s v=""/>
    <m/>
    <m/>
    <s v=""/>
    <s v=""/>
    <s v=""/>
    <s v=""/>
    <n v="1"/>
  </r>
  <r>
    <x v="2"/>
    <n v="1226"/>
    <m/>
    <n v="3838"/>
    <s v=""/>
    <s v=""/>
    <x v="692"/>
    <n v="30365926000141"/>
    <s v=""/>
    <s v="Esponjas Evol Clean Ltda"/>
    <s v="(44) 3629-5720"/>
    <s v=""/>
    <s v="esponjasevolclean@gmail.com"/>
    <s v=""/>
    <s v=""/>
    <s v=""/>
    <s v="CIANORTE"/>
    <s v="PR"/>
    <s v="Base de empresas Leads2b"/>
    <s v=""/>
    <s v=""/>
    <s v=""/>
    <s v="Pipeline de Vendas"/>
    <s v="Agendamento (0%)"/>
    <s v=""/>
    <m/>
    <m/>
    <m/>
    <n v="6"/>
    <s v="Rayssa Karapeticov"/>
    <d v="2026-05-14T00:00:00"/>
    <d v="1899-12-30T15:33:49"/>
    <s v=""/>
    <s v="Ativo"/>
    <m/>
    <m/>
    <s v=""/>
    <s v=""/>
    <s v=""/>
    <x v="0"/>
    <s v=""/>
    <x v="0"/>
    <s v=""/>
    <m/>
    <m/>
    <s v=""/>
    <s v=""/>
    <s v=""/>
    <s v=""/>
    <n v="1"/>
  </r>
  <r>
    <x v="2"/>
    <n v="1227"/>
    <m/>
    <n v="3840"/>
    <s v=""/>
    <s v=""/>
    <x v="693"/>
    <n v="1355480000176"/>
    <s v=""/>
    <s v="Uninjet Industria E Comercio De Plasticos Ltda"/>
    <s v="(11) 2521-3011"/>
    <s v=""/>
    <s v="a.garcia@uninjet.com.br"/>
    <s v=""/>
    <s v=""/>
    <s v=""/>
    <s v="SAO PAULO"/>
    <s v="SP"/>
    <s v="Base de empresas Leads2b"/>
    <s v=""/>
    <s v=""/>
    <s v=""/>
    <s v="Pipeline de Vendas"/>
    <s v="Agendamento (0%)"/>
    <s v=""/>
    <m/>
    <m/>
    <m/>
    <n v="6"/>
    <s v="Rayssa Karapeticov"/>
    <d v="2026-05-14T00:00:00"/>
    <d v="1899-12-30T15:34:25"/>
    <s v=""/>
    <s v="Ativo"/>
    <m/>
    <m/>
    <s v=""/>
    <s v=""/>
    <s v=""/>
    <x v="0"/>
    <s v=""/>
    <x v="0"/>
    <s v=""/>
    <m/>
    <m/>
    <s v=""/>
    <s v=""/>
    <s v=""/>
    <s v=""/>
    <n v="1"/>
  </r>
  <r>
    <x v="2"/>
    <n v="1228"/>
    <m/>
    <n v="3877"/>
    <s v=""/>
    <s v=""/>
    <x v="694"/>
    <n v="3959052000188"/>
    <s v=""/>
    <s v="Gioplast Industria E Comercio Ltda"/>
    <s v="(11) 3132-9192"/>
    <s v=""/>
    <s v="contato@produtosgiotto.com.br"/>
    <s v=""/>
    <s v=""/>
    <s v=""/>
    <s v="NAZARE PAULISTA"/>
    <s v="SP"/>
    <s v="Base de empresas Leads2b"/>
    <s v=""/>
    <s v=""/>
    <s v=""/>
    <s v="Pipeline de Vendas"/>
    <s v="Agendamento (0%)"/>
    <s v=""/>
    <m/>
    <m/>
    <m/>
    <n v="6"/>
    <s v="Rayssa Karapeticov"/>
    <d v="2026-05-14T00:00:00"/>
    <d v="1899-12-30T15:51:54"/>
    <s v=""/>
    <s v="Ativo"/>
    <m/>
    <m/>
    <s v=""/>
    <s v=""/>
    <s v=""/>
    <x v="0"/>
    <s v=""/>
    <x v="0"/>
    <s v=""/>
    <m/>
    <m/>
    <s v=""/>
    <s v=""/>
    <s v=""/>
    <s v=""/>
    <n v="1"/>
  </r>
  <r>
    <x v="2"/>
    <n v="1229"/>
    <m/>
    <n v="3881"/>
    <s v=""/>
    <s v=""/>
    <x v="695"/>
    <n v="9149833000193"/>
    <s v=""/>
    <s v="Neoplas Industria E Comercio De Plasticos Ltda"/>
    <s v="(47) 3438-6970"/>
    <s v=""/>
    <s v="neoplas@neoplas.com.br"/>
    <s v=""/>
    <s v=""/>
    <s v=""/>
    <s v="JOINVILLE"/>
    <s v="SC"/>
    <s v="Base de empresas Leads2b"/>
    <s v=""/>
    <s v=""/>
    <s v=""/>
    <s v="Pipeline de Vendas"/>
    <s v="Agendamento (0%)"/>
    <s v=""/>
    <m/>
    <m/>
    <m/>
    <n v="6"/>
    <s v="Rayssa Karapeticov"/>
    <d v="2026-05-14T00:00:00"/>
    <d v="1899-12-30T15:52:32"/>
    <s v=""/>
    <s v="Ativo"/>
    <m/>
    <m/>
    <s v=""/>
    <s v=""/>
    <s v=""/>
    <x v="0"/>
    <s v=""/>
    <x v="0"/>
    <s v=""/>
    <m/>
    <m/>
    <s v=""/>
    <s v=""/>
    <s v=""/>
    <s v=""/>
    <n v="1"/>
  </r>
  <r>
    <x v="2"/>
    <n v="1230"/>
    <m/>
    <n v="3892"/>
    <s v=""/>
    <s v=""/>
    <x v="696"/>
    <n v="8696119000314"/>
    <s v=""/>
    <s v="Mix Sao Paulo Industria E Comercio Ltda"/>
    <s v="(11) 3013-1300"/>
    <s v=""/>
    <s v="contato@plastco.com.br"/>
    <s v=""/>
    <s v=""/>
    <s v=""/>
    <s v="SAO PAULO"/>
    <s v="SP"/>
    <s v="Base de empresas Leads2b"/>
    <s v=""/>
    <s v=""/>
    <s v=""/>
    <s v="Pipeline de Vendas"/>
    <s v="Agendamento (0%)"/>
    <s v=""/>
    <m/>
    <m/>
    <m/>
    <n v="6"/>
    <s v="Rayssa Karapeticov"/>
    <d v="2026-05-14T00:00:00"/>
    <d v="1899-12-30T16:06:06"/>
    <s v=""/>
    <s v="Ativo"/>
    <m/>
    <m/>
    <s v=""/>
    <s v=""/>
    <s v=""/>
    <x v="0"/>
    <s v=""/>
    <x v="0"/>
    <s v=""/>
    <m/>
    <m/>
    <s v=""/>
    <s v=""/>
    <s v=""/>
    <s v=""/>
    <n v="1"/>
  </r>
  <r>
    <x v="2"/>
    <n v="1231"/>
    <m/>
    <n v="3895"/>
    <s v=""/>
    <s v=""/>
    <x v="697"/>
    <n v="8266046000169"/>
    <s v=""/>
    <s v="Forfest Industria De Descartaveis Ltda"/>
    <s v="(48) 3466-2961"/>
    <s v=""/>
    <s v="atendimento@forfest.com.br"/>
    <s v=""/>
    <s v=""/>
    <s v=""/>
    <s v="ORLEANS"/>
    <s v="SC"/>
    <s v="Base de empresas Leads2b"/>
    <s v=""/>
    <s v=""/>
    <s v=""/>
    <s v="Pipeline de Vendas"/>
    <s v="Qualificação de Vendas (SQL) (25%)"/>
    <s v=""/>
    <m/>
    <m/>
    <m/>
    <n v="6"/>
    <s v="Rayssa Karapeticov"/>
    <d v="2026-05-14T00:00:00"/>
    <d v="1899-12-30T16:13:45"/>
    <s v=""/>
    <s v="Ativo"/>
    <m/>
    <m/>
    <s v=""/>
    <s v=""/>
    <s v=""/>
    <x v="0"/>
    <s v=""/>
    <x v="0"/>
    <s v=""/>
    <m/>
    <m/>
    <s v=""/>
    <s v=""/>
    <s v=""/>
    <s v=""/>
    <n v="1"/>
  </r>
  <r>
    <x v="2"/>
    <n v="1232"/>
    <m/>
    <n v="3898"/>
    <s v=""/>
    <s v=""/>
    <x v="698"/>
    <n v="18455453000178"/>
    <s v=""/>
    <s v="Comfort Door Importacao E Distribuicao De Utilidades Domesticas Ltda"/>
    <s v="(43) 3376-3000"/>
    <s v=""/>
    <s v="contato@comfortdoor.com.br"/>
    <s v=""/>
    <s v=""/>
    <s v=""/>
    <s v="LONDRINA"/>
    <s v="PR"/>
    <s v="Base de empresas Leads2b"/>
    <s v=""/>
    <s v=""/>
    <s v=""/>
    <s v="Pipeline de Vendas"/>
    <s v="Qualificação de Vendas (SQL) (25%)"/>
    <s v=""/>
    <m/>
    <m/>
    <m/>
    <n v="6"/>
    <s v="Rayssa Karapeticov"/>
    <d v="2026-05-14T00:00:00"/>
    <d v="1899-12-30T16:14:25"/>
    <s v=""/>
    <s v="Ativo"/>
    <m/>
    <m/>
    <s v=""/>
    <s v=""/>
    <s v=""/>
    <x v="0"/>
    <s v=""/>
    <x v="0"/>
    <s v=""/>
    <m/>
    <m/>
    <s v=""/>
    <s v=""/>
    <s v=""/>
    <s v=""/>
    <n v="1"/>
  </r>
  <r>
    <x v="1"/>
    <n v="1233"/>
    <m/>
    <n v="3918"/>
    <s v=""/>
    <s v=""/>
    <x v="699"/>
    <n v="35754976000215"/>
    <s v=""/>
    <s v="StarTools ferramaentas (Cloud)"/>
    <s v="1184724282"/>
    <s v=""/>
    <s v="controladoria@startoolsferramentas.com.br"/>
    <s v=""/>
    <s v=""/>
    <s v=""/>
    <s v="ARAQUARI"/>
    <s v="SC"/>
    <s v=""/>
    <s v=""/>
    <s v=""/>
    <s v=""/>
    <s v="Pipeline de Vendas"/>
    <s v="Apresentar Solução (35%)"/>
    <s v=""/>
    <m/>
    <m/>
    <m/>
    <n v="5"/>
    <s v="Junior Lopes"/>
    <d v="2026-05-15T00:00:00"/>
    <d v="1899-12-30T11:25:41"/>
    <s v=""/>
    <s v="Ativo"/>
    <m/>
    <m/>
    <s v=""/>
    <s v=""/>
    <s v=""/>
    <x v="0"/>
    <s v=""/>
    <x v="239"/>
    <s v=""/>
    <m/>
    <n v="50"/>
    <s v=""/>
    <s v=""/>
    <s v=""/>
    <s v=""/>
    <n v="1"/>
  </r>
  <r>
    <x v="3"/>
    <n v="1234"/>
    <m/>
    <n v="3917"/>
    <s v="Todos os dados preenchidos:name: William Zanini Brogni field_3: Diretor phone: 45988277667 email: william@abtec.eng.br nome_da_empresa: Abtec field_4: Sudeste site_ou_rede_social_da_empresa: https://abecommerce.com.br/ referrer: https://instagram.com/ _x000a_(15/05) Falei com William, que estava em reunião no momento. Solicitou novo contato na segunda-feira pela manhã."/>
    <s v=""/>
    <x v="700"/>
    <m/>
    <s v=""/>
    <s v="William Zanini Brogni"/>
    <s v="(45) 98827-7667"/>
    <s v=""/>
    <s v="william@abtec.eng.br"/>
    <s v=""/>
    <s v=""/>
    <s v=""/>
    <s v="Cascavel"/>
    <s v=""/>
    <s v="Inbound"/>
    <s v=""/>
    <s v=""/>
    <s v="Dentro Perfil;Instagram"/>
    <s v="Pipeline de Vendas"/>
    <s v="Qualificação de Vendas (SQL) (25%)"/>
    <s v=""/>
    <m/>
    <m/>
    <m/>
    <n v="5"/>
    <s v="Paulo Souza"/>
    <d v="2026-05-15T00:00:00"/>
    <d v="1899-12-30T12:17:45"/>
    <s v=""/>
    <s v="Ativo"/>
    <m/>
    <m/>
    <s v=""/>
    <s v=""/>
    <s v=""/>
    <x v="0"/>
    <s v="Ronaldo Nascimento"/>
    <x v="0"/>
    <s v=""/>
    <m/>
    <n v="30"/>
    <s v=""/>
    <s v=""/>
    <s v=""/>
    <s v=""/>
    <n v="1"/>
  </r>
  <r>
    <x v="1"/>
    <n v="1236"/>
    <m/>
    <n v="3921"/>
    <s v=""/>
    <s v=""/>
    <x v="701"/>
    <m/>
    <s v=""/>
    <s v="MDL - Comex"/>
    <s v="11910695515"/>
    <s v=""/>
    <s v="janaina@mdlimport.com.br"/>
    <s v=""/>
    <s v=""/>
    <s v=""/>
    <s v=""/>
    <s v=""/>
    <s v=""/>
    <s v=""/>
    <s v=""/>
    <s v=""/>
    <s v="Pipeline de Vendas"/>
    <s v="Apresentar Proposta (50%)"/>
    <s v=""/>
    <m/>
    <m/>
    <m/>
    <n v="2"/>
    <s v="Junior Lopes"/>
    <d v="2026-05-18T00:00:00"/>
    <d v="1899-12-30T08:19:14"/>
    <s v=""/>
    <s v="Ativo"/>
    <m/>
    <m/>
    <s v=""/>
    <s v=""/>
    <s v=""/>
    <x v="217"/>
    <s v=""/>
    <x v="0"/>
    <s v=""/>
    <m/>
    <n v="50"/>
    <s v=""/>
    <s v=""/>
    <s v=""/>
    <s v=""/>
    <n v="1"/>
  </r>
  <r>
    <x v="1"/>
    <n v="1237"/>
    <m/>
    <n v="3922"/>
    <s v=""/>
    <s v=""/>
    <x v="702"/>
    <m/>
    <s v=""/>
    <s v="MDL - Boleto Whats"/>
    <s v="11910695515"/>
    <s v=""/>
    <s v="janaina@mdlimport.com.br"/>
    <s v=""/>
    <s v=""/>
    <s v=""/>
    <s v=""/>
    <s v=""/>
    <s v=""/>
    <s v=""/>
    <s v=""/>
    <s v=""/>
    <s v="Pipeline de Vendas"/>
    <s v="Apresentar Proposta (50%)"/>
    <s v=""/>
    <m/>
    <m/>
    <m/>
    <n v="2"/>
    <s v="Junior Lopes"/>
    <d v="2026-05-18T00:00:00"/>
    <d v="1899-12-30T08:26:32"/>
    <s v=""/>
    <s v="Ativo"/>
    <m/>
    <m/>
    <s v=""/>
    <s v=""/>
    <s v=""/>
    <x v="217"/>
    <s v=""/>
    <x v="240"/>
    <s v=""/>
    <m/>
    <n v="50"/>
    <s v=""/>
    <s v=""/>
    <s v=""/>
    <s v=""/>
    <n v="1"/>
  </r>
  <r>
    <x v="1"/>
    <n v="1238"/>
    <m/>
    <n v="3923"/>
    <s v=""/>
    <s v=""/>
    <x v="703"/>
    <m/>
    <s v=""/>
    <s v="Star Distribuidora - Boleto Whats"/>
    <s v="17996266970"/>
    <s v=""/>
    <s v="administrativo@distribuidorastar.com.br"/>
    <s v=""/>
    <s v=""/>
    <s v=""/>
    <s v=""/>
    <s v=""/>
    <s v=""/>
    <s v=""/>
    <s v=""/>
    <s v=""/>
    <s v="Pipeline de Vendas"/>
    <s v="Apresentar Proposta (50%)"/>
    <s v=""/>
    <m/>
    <m/>
    <m/>
    <n v="2"/>
    <s v="Junior Lopes"/>
    <d v="2026-05-18T00:00:00"/>
    <d v="1899-12-30T08:39:29"/>
    <s v=""/>
    <s v="Ativo"/>
    <m/>
    <m/>
    <s v=""/>
    <s v=""/>
    <s v=""/>
    <x v="217"/>
    <s v=""/>
    <x v="240"/>
    <s v=""/>
    <m/>
    <n v="50"/>
    <s v=""/>
    <s v=""/>
    <s v=""/>
    <s v=""/>
    <n v="1"/>
  </r>
  <r>
    <x v="1"/>
    <n v="1240"/>
    <m/>
    <n v="3962"/>
    <s v=""/>
    <s v=""/>
    <x v="704"/>
    <m/>
    <s v=""/>
    <s v="fuzipar - ERP"/>
    <s v="54984185138"/>
    <s v=""/>
    <s v="null"/>
    <s v=""/>
    <s v=""/>
    <s v=""/>
    <s v=""/>
    <s v=""/>
    <s v=""/>
    <s v=""/>
    <s v=""/>
    <s v=""/>
    <s v="Pipeline de Vendas"/>
    <s v="Apresentar Solução (35%)"/>
    <s v=""/>
    <m/>
    <m/>
    <m/>
    <n v="1"/>
    <s v="Junior Lopes"/>
    <d v="2026-05-19T00:00:00"/>
    <d v="1899-12-30T17:02:34"/>
    <s v=""/>
    <s v="Ativo"/>
    <m/>
    <m/>
    <s v=""/>
    <s v=""/>
    <s v=""/>
    <x v="0"/>
    <s v=""/>
    <x v="0"/>
    <s v=""/>
    <m/>
    <n v="50"/>
    <s v=""/>
    <s v=""/>
    <s v=""/>
    <s v=""/>
    <n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400-000009000000}" name="Tabela dinâmica12" cacheId="1"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D1334:AE1335" firstHeaderRow="1" firstDataRow="1" firstDataCol="1" rowPageCount="2" colPageCount="1"/>
  <pivotFields count="43">
    <pivotField axis="axisPage" multipleItemSelectionAllowed="1" showAll="0">
      <items count="147">
        <item h="1" x="0"/>
        <item h="1" x="2"/>
        <item x="3"/>
        <item h="1" x="1"/>
        <item h="1" m="1" x="4"/>
        <item h="1" m="1" x="5"/>
        <item h="1" m="1" x="6"/>
        <item h="1" m="1" x="7"/>
        <item h="1" m="1" x="8"/>
        <item h="1" m="1" x="9"/>
        <item h="1" m="1" x="10"/>
        <item h="1" m="1" x="11"/>
        <item h="1" m="1" x="12"/>
        <item h="1" m="1" x="13"/>
        <item h="1" m="1" x="14"/>
        <item h="1" m="1" x="15"/>
        <item h="1" m="1" x="16"/>
        <item h="1" m="1" x="17"/>
        <item h="1" m="1" x="18"/>
        <item h="1" m="1" x="19"/>
        <item h="1" m="1" x="20"/>
        <item h="1" m="1" x="21"/>
        <item h="1" m="1" x="22"/>
        <item h="1" m="1" x="23"/>
        <item h="1" m="1" x="24"/>
        <item h="1" m="1" x="25"/>
        <item h="1" m="1" x="26"/>
        <item h="1" m="1" x="27"/>
        <item h="1" m="1" x="28"/>
        <item h="1" m="1" x="29"/>
        <item h="1" m="1" x="30"/>
        <item h="1" m="1" x="31"/>
        <item h="1" m="1" x="32"/>
        <item h="1" m="1" x="33"/>
        <item h="1" m="1" x="34"/>
        <item h="1" m="1" x="35"/>
        <item h="1" m="1" x="36"/>
        <item h="1" m="1" x="37"/>
        <item h="1" m="1" x="38"/>
        <item h="1" m="1" x="39"/>
        <item h="1" m="1" x="40"/>
        <item h="1" m="1" x="41"/>
        <item h="1" m="1" x="42"/>
        <item h="1" m="1" x="43"/>
        <item h="1" m="1" x="44"/>
        <item h="1" m="1" x="45"/>
        <item h="1" m="1" x="46"/>
        <item h="1" m="1" x="47"/>
        <item h="1" m="1" x="48"/>
        <item h="1" m="1" x="49"/>
        <item h="1" m="1" x="50"/>
        <item h="1" m="1" x="51"/>
        <item h="1" m="1" x="52"/>
        <item h="1" m="1" x="53"/>
        <item h="1" m="1" x="54"/>
        <item h="1" m="1" x="55"/>
        <item h="1" m="1" x="56"/>
        <item h="1" m="1" x="57"/>
        <item h="1" m="1" x="58"/>
        <item h="1" m="1" x="59"/>
        <item h="1" m="1" x="60"/>
        <item h="1" m="1" x="61"/>
        <item h="1" m="1" x="62"/>
        <item h="1" m="1" x="63"/>
        <item h="1" m="1" x="64"/>
        <item h="1" m="1" x="65"/>
        <item h="1" m="1" x="66"/>
        <item h="1" m="1" x="67"/>
        <item h="1" m="1" x="68"/>
        <item h="1" m="1" x="69"/>
        <item h="1" m="1" x="70"/>
        <item h="1" m="1" x="71"/>
        <item h="1" m="1" x="72"/>
        <item h="1" m="1" x="73"/>
        <item h="1" m="1" x="74"/>
        <item h="1" m="1" x="75"/>
        <item h="1" m="1" x="76"/>
        <item h="1" m="1" x="77"/>
        <item h="1" m="1" x="78"/>
        <item h="1" m="1" x="79"/>
        <item h="1" m="1" x="80"/>
        <item h="1" m="1" x="81"/>
        <item h="1" m="1" x="82"/>
        <item h="1" m="1" x="83"/>
        <item h="1" m="1" x="84"/>
        <item h="1" m="1" x="85"/>
        <item h="1" m="1" x="86"/>
        <item h="1" m="1" x="87"/>
        <item h="1" m="1" x="88"/>
        <item h="1" m="1" x="89"/>
        <item h="1" m="1" x="90"/>
        <item h="1" m="1" x="91"/>
        <item h="1" m="1" x="92"/>
        <item h="1" m="1" x="93"/>
        <item h="1" m="1" x="94"/>
        <item h="1" m="1" x="95"/>
        <item h="1" m="1" x="96"/>
        <item h="1" m="1" x="97"/>
        <item h="1" m="1" x="98"/>
        <item h="1" m="1" x="99"/>
        <item h="1" m="1" x="100"/>
        <item h="1" m="1" x="101"/>
        <item h="1" m="1" x="102"/>
        <item h="1" m="1" x="103"/>
        <item h="1" m="1" x="104"/>
        <item h="1" m="1" x="105"/>
        <item h="1" m="1" x="106"/>
        <item h="1" m="1" x="107"/>
        <item h="1" m="1" x="108"/>
        <item h="1" m="1" x="109"/>
        <item h="1" m="1" x="110"/>
        <item h="1" m="1" x="111"/>
        <item h="1" m="1" x="112"/>
        <item h="1" m="1" x="113"/>
        <item h="1" m="1" x="114"/>
        <item h="1" m="1" x="115"/>
        <item h="1" m="1" x="116"/>
        <item h="1" m="1" x="117"/>
        <item h="1" m="1" x="118"/>
        <item h="1" m="1" x="119"/>
        <item h="1" m="1" x="120"/>
        <item h="1" m="1" x="121"/>
        <item h="1" m="1" x="122"/>
        <item h="1" m="1" x="123"/>
        <item h="1" m="1" x="124"/>
        <item h="1" m="1" x="125"/>
        <item h="1" m="1" x="126"/>
        <item h="1" m="1" x="127"/>
        <item h="1" m="1" x="128"/>
        <item h="1" m="1" x="129"/>
        <item h="1" m="1" x="130"/>
        <item h="1" m="1" x="131"/>
        <item h="1" m="1" x="132"/>
        <item h="1" m="1" x="133"/>
        <item h="1" m="1" x="134"/>
        <item h="1" m="1" x="135"/>
        <item h="1" m="1" x="136"/>
        <item h="1" m="1" x="138"/>
        <item h="1" m="1" x="139"/>
        <item h="1" m="1" x="140"/>
        <item h="1" m="1" x="141"/>
        <item h="1" m="1" x="142"/>
        <item h="1" m="1" x="143"/>
        <item h="1" m="1" x="144"/>
        <item h="1" m="1" x="145"/>
        <item h="1" m="1" x="137"/>
        <item t="default"/>
      </items>
    </pivotField>
    <pivotField showAll="0"/>
    <pivotField showAll="0"/>
    <pivotField showAll="0"/>
    <pivotField showAll="0"/>
    <pivotField showAll="0"/>
    <pivotField axis="axisRow" showAll="0">
      <items count="490">
        <item x="402"/>
        <item x="182"/>
        <item x="320"/>
        <item x="15"/>
        <item x="241"/>
        <item x="151"/>
        <item x="270"/>
        <item x="240"/>
        <item x="157"/>
        <item x="311"/>
        <item x="173"/>
        <item x="200"/>
        <item x="66"/>
        <item x="13"/>
        <item x="377"/>
        <item x="34"/>
        <item x="335"/>
        <item x="217"/>
        <item x="213"/>
        <item x="56"/>
        <item x="130"/>
        <item x="99"/>
        <item x="123"/>
        <item x="202"/>
        <item x="324"/>
        <item x="161"/>
        <item x="165"/>
        <item x="219"/>
        <item x="153"/>
        <item x="280"/>
        <item x="70"/>
        <item x="168"/>
        <item x="306"/>
        <item x="68"/>
        <item x="307"/>
        <item x="62"/>
        <item x="49"/>
        <item x="198"/>
        <item x="362"/>
        <item x="295"/>
        <item x="44"/>
        <item x="352"/>
        <item x="313"/>
        <item x="156"/>
        <item x="190"/>
        <item x="179"/>
        <item x="172"/>
        <item x="359"/>
        <item x="59"/>
        <item x="401"/>
        <item x="111"/>
        <item x="281"/>
        <item x="102"/>
        <item x="225"/>
        <item x="210"/>
        <item x="369"/>
        <item x="302"/>
        <item x="145"/>
        <item x="267"/>
        <item x="339"/>
        <item x="357"/>
        <item x="310"/>
        <item x="286"/>
        <item x="358"/>
        <item x="7"/>
        <item x="24"/>
        <item x="73"/>
        <item x="282"/>
        <item x="260"/>
        <item x="375"/>
        <item x="234"/>
        <item x="43"/>
        <item x="32"/>
        <item x="340"/>
        <item x="354"/>
        <item x="336"/>
        <item x="158"/>
        <item x="166"/>
        <item x="136"/>
        <item x="88"/>
        <item x="251"/>
        <item x="252"/>
        <item x="191"/>
        <item x="12"/>
        <item x="297"/>
        <item x="231"/>
        <item x="278"/>
        <item x="69"/>
        <item x="146"/>
        <item x="291"/>
        <item x="374"/>
        <item x="192"/>
        <item x="8"/>
        <item x="138"/>
        <item x="203"/>
        <item x="318"/>
        <item x="90"/>
        <item x="77"/>
        <item x="301"/>
        <item x="312"/>
        <item x="266"/>
        <item x="42"/>
        <item x="223"/>
        <item x="171"/>
        <item x="97"/>
        <item x="51"/>
        <item x="329"/>
        <item x="19"/>
        <item x="22"/>
        <item x="125"/>
        <item x="46"/>
        <item x="224"/>
        <item x="316"/>
        <item x="35"/>
        <item x="232"/>
        <item x="78"/>
        <item x="163"/>
        <item x="194"/>
        <item x="293"/>
        <item x="174"/>
        <item x="332"/>
        <item x="408"/>
        <item x="248"/>
        <item x="31"/>
        <item x="355"/>
        <item x="363"/>
        <item x="364"/>
        <item x="338"/>
        <item x="333"/>
        <item x="29"/>
        <item x="127"/>
        <item x="65"/>
        <item x="98"/>
        <item x="144"/>
        <item x="368"/>
        <item x="126"/>
        <item x="254"/>
        <item x="269"/>
        <item x="229"/>
        <item x="64"/>
        <item x="233"/>
        <item x="148"/>
        <item x="67"/>
        <item x="71"/>
        <item x="72"/>
        <item x="167"/>
        <item x="16"/>
        <item x="325"/>
        <item x="14"/>
        <item x="80"/>
        <item x="236"/>
        <item x="381"/>
        <item x="309"/>
        <item x="47"/>
        <item x="170"/>
        <item x="272"/>
        <item x="250"/>
        <item x="9"/>
        <item x="28"/>
        <item x="113"/>
        <item x="193"/>
        <item x="100"/>
        <item x="45"/>
        <item x="155"/>
        <item x="290"/>
        <item x="117"/>
        <item x="48"/>
        <item x="58"/>
        <item x="96"/>
        <item x="279"/>
        <item x="326"/>
        <item x="57"/>
        <item x="189"/>
        <item x="288"/>
        <item x="140"/>
        <item x="294"/>
        <item x="6"/>
        <item x="0"/>
        <item x="221"/>
        <item x="334"/>
        <item x="10"/>
        <item x="119"/>
        <item x="41"/>
        <item x="110"/>
        <item x="87"/>
        <item x="149"/>
        <item x="186"/>
        <item x="116"/>
        <item x="142"/>
        <item x="239"/>
        <item x="268"/>
        <item x="105"/>
        <item x="106"/>
        <item x="205"/>
        <item x="37"/>
        <item x="164"/>
        <item x="3"/>
        <item x="176"/>
        <item x="305"/>
        <item x="284"/>
        <item x="285"/>
        <item x="121"/>
        <item x="216"/>
        <item x="128"/>
        <item x="331"/>
        <item x="104"/>
        <item x="360"/>
        <item x="212"/>
        <item x="317"/>
        <item x="343"/>
        <item x="397"/>
        <item x="353"/>
        <item x="39"/>
        <item x="263"/>
        <item x="235"/>
        <item x="112"/>
        <item x="399"/>
        <item x="91"/>
        <item x="407"/>
        <item x="345"/>
        <item x="379"/>
        <item x="299"/>
        <item x="208"/>
        <item x="287"/>
        <item x="33"/>
        <item x="1"/>
        <item x="92"/>
        <item x="131"/>
        <item x="134"/>
        <item x="133"/>
        <item x="132"/>
        <item x="38"/>
        <item x="40"/>
        <item x="169"/>
        <item x="84"/>
        <item x="303"/>
        <item x="76"/>
        <item x="356"/>
        <item x="82"/>
        <item x="259"/>
        <item x="147"/>
        <item x="262"/>
        <item x="255"/>
        <item x="141"/>
        <item x="416"/>
        <item x="227"/>
        <item x="75"/>
        <item x="94"/>
        <item x="124"/>
        <item x="271"/>
        <item x="20"/>
        <item x="89"/>
        <item x="264"/>
        <item x="95"/>
        <item x="404"/>
        <item x="63"/>
        <item x="180"/>
        <item x="61"/>
        <item x="197"/>
        <item x="237"/>
        <item x="188"/>
        <item x="403"/>
        <item x="319"/>
        <item x="344"/>
        <item x="298"/>
        <item x="409"/>
        <item x="243"/>
        <item x="327"/>
        <item x="328"/>
        <item x="187"/>
        <item x="246"/>
        <item x="349"/>
        <item x="55"/>
        <item x="330"/>
        <item x="103"/>
        <item x="204"/>
        <item x="222"/>
        <item x="143"/>
        <item x="159"/>
        <item x="296"/>
        <item x="199"/>
        <item x="178"/>
        <item x="348"/>
        <item x="228"/>
        <item x="257"/>
        <item x="347"/>
        <item x="346"/>
        <item x="351"/>
        <item x="4"/>
        <item x="23"/>
        <item x="139"/>
        <item x="322"/>
        <item x="52"/>
        <item x="392"/>
        <item x="17"/>
        <item x="115"/>
        <item x="292"/>
        <item x="370"/>
        <item x="120"/>
        <item x="79"/>
        <item x="135"/>
        <item x="253"/>
        <item x="108"/>
        <item x="247"/>
        <item x="81"/>
        <item x="25"/>
        <item x="211"/>
        <item x="215"/>
        <item x="2"/>
        <item x="74"/>
        <item x="162"/>
        <item x="11"/>
        <item x="393"/>
        <item x="36"/>
        <item x="118"/>
        <item x="256"/>
        <item x="21"/>
        <item x="273"/>
        <item x="152"/>
        <item x="122"/>
        <item x="175"/>
        <item x="350"/>
        <item x="376"/>
        <item x="93"/>
        <item x="337"/>
        <item x="300"/>
        <item x="242"/>
        <item x="54"/>
        <item x="396"/>
        <item x="315"/>
        <item x="209"/>
        <item x="283"/>
        <item x="101"/>
        <item x="365"/>
        <item x="390"/>
        <item x="18"/>
        <item x="27"/>
        <item x="30"/>
        <item x="218"/>
        <item x="341"/>
        <item x="137"/>
        <item x="276"/>
        <item x="406"/>
        <item x="150"/>
        <item x="214"/>
        <item x="220"/>
        <item x="181"/>
        <item x="154"/>
        <item x="314"/>
        <item x="308"/>
        <item x="398"/>
        <item x="5"/>
        <item x="160"/>
        <item x="83"/>
        <item x="85"/>
        <item x="244"/>
        <item x="321"/>
        <item x="26"/>
        <item x="50"/>
        <item x="196"/>
        <item x="342"/>
        <item x="60"/>
        <item x="304"/>
        <item x="361"/>
        <item x="207"/>
        <item x="109"/>
        <item x="53"/>
        <item x="391"/>
        <item x="206"/>
        <item x="258"/>
        <item x="230"/>
        <item x="417"/>
        <item x="419"/>
        <item x="423"/>
        <item x="424"/>
        <item x="426"/>
        <item x="427"/>
        <item x="385"/>
        <item x="425"/>
        <item x="431"/>
        <item x="432"/>
        <item x="433"/>
        <item x="435"/>
        <item x="436"/>
        <item x="437"/>
        <item x="439"/>
        <item x="441"/>
        <item x="442"/>
        <item x="443"/>
        <item x="444"/>
        <item x="86"/>
        <item x="107"/>
        <item x="114"/>
        <item x="129"/>
        <item x="177"/>
        <item x="183"/>
        <item x="184"/>
        <item x="185"/>
        <item x="195"/>
        <item x="201"/>
        <item x="226"/>
        <item x="238"/>
        <item x="245"/>
        <item x="249"/>
        <item x="261"/>
        <item x="265"/>
        <item x="274"/>
        <item x="275"/>
        <item x="277"/>
        <item x="289"/>
        <item m="1" x="454"/>
        <item m="1" x="455"/>
        <item m="1" x="456"/>
        <item m="1" x="457"/>
        <item m="1" x="458"/>
        <item m="1" x="459"/>
        <item m="1" x="460"/>
        <item m="1" x="461"/>
        <item m="1" x="462"/>
        <item m="1" x="463"/>
        <item m="1" x="464"/>
        <item m="1" x="465"/>
        <item m="1" x="466"/>
        <item m="1" x="467"/>
        <item m="1" x="468"/>
        <item m="1" x="469"/>
        <item m="1" x="470"/>
        <item m="1" x="471"/>
        <item m="1" x="472"/>
        <item m="1" x="473"/>
        <item m="1" x="474"/>
        <item m="1" x="475"/>
        <item m="1" x="476"/>
        <item m="1" x="477"/>
        <item m="1" x="478"/>
        <item m="1" x="479"/>
        <item m="1" x="480"/>
        <item m="1" x="481"/>
        <item m="1" x="482"/>
        <item m="1" x="483"/>
        <item m="1" x="484"/>
        <item m="1" x="486"/>
        <item m="1" x="487"/>
        <item m="1" x="488"/>
        <item x="445"/>
        <item x="446"/>
        <item x="447"/>
        <item x="448"/>
        <item m="1" x="485"/>
        <item x="449"/>
        <item x="450"/>
        <item x="451"/>
        <item x="452"/>
        <item x="323"/>
        <item x="366"/>
        <item x="367"/>
        <item x="371"/>
        <item x="372"/>
        <item x="373"/>
        <item x="378"/>
        <item x="380"/>
        <item x="382"/>
        <item x="383"/>
        <item x="384"/>
        <item x="386"/>
        <item x="387"/>
        <item x="388"/>
        <item x="389"/>
        <item x="394"/>
        <item x="395"/>
        <item x="400"/>
        <item x="405"/>
        <item x="410"/>
        <item x="411"/>
        <item x="412"/>
        <item x="413"/>
        <item x="414"/>
        <item x="415"/>
        <item x="418"/>
        <item x="420"/>
        <item x="421"/>
        <item x="422"/>
        <item x="428"/>
        <item x="429"/>
        <item x="430"/>
        <item x="434"/>
        <item x="438"/>
        <item x="440"/>
        <item x="45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Page" multipleItemSelectionAllowed="1" showAll="0">
      <items count="248">
        <item h="1" x="59"/>
        <item h="1" x="61"/>
        <item h="1" x="112"/>
        <item h="1" x="135"/>
        <item h="1" x="150"/>
        <item h="1" x="151"/>
        <item h="1" x="1"/>
        <item h="1" x="63"/>
        <item h="1" x="76"/>
        <item h="1" x="97"/>
        <item h="1" x="136"/>
        <item h="1" x="152"/>
        <item h="1" x="19"/>
        <item h="1" x="171"/>
        <item h="1" m="1" x="246"/>
        <item h="1" x="43"/>
        <item h="1" x="64"/>
        <item h="1" x="90"/>
        <item h="1" x="137"/>
        <item h="1" x="153"/>
        <item h="1" x="167"/>
        <item h="1" x="14"/>
        <item h="1" x="179"/>
        <item h="1" x="47"/>
        <item h="1" x="66"/>
        <item h="1" x="98"/>
        <item h="1" x="99"/>
        <item h="1" x="124"/>
        <item h="1" x="2"/>
        <item h="1" x="11"/>
        <item h="1" x="199"/>
        <item h="1" x="77"/>
        <item h="1" x="125"/>
        <item h="1" x="4"/>
        <item h="1" x="13"/>
        <item h="1" x="180"/>
        <item h="1" x="6"/>
        <item h="1" x="21"/>
        <item h="1" x="185"/>
        <item h="1" x="38"/>
        <item h="1" x="78"/>
        <item h="1" x="101"/>
        <item h="1" x="140"/>
        <item h="1" x="155"/>
        <item h="1" x="5"/>
        <item h="1" x="166"/>
        <item h="1" x="22"/>
        <item h="1" x="186"/>
        <item h="1" x="39"/>
        <item h="1" x="79"/>
        <item h="1" x="114"/>
        <item h="1" x="126"/>
        <item h="1" x="168"/>
        <item h="1" x="23"/>
        <item h="1" x="187"/>
        <item h="1" x="62"/>
        <item h="1" x="80"/>
        <item h="1" x="115"/>
        <item h="1" x="123"/>
        <item h="1" x="138"/>
        <item h="1" x="181"/>
        <item h="1" x="24"/>
        <item h="1" x="67"/>
        <item h="1" x="81"/>
        <item h="1" x="139"/>
        <item h="1" x="16"/>
        <item h="1" x="25"/>
        <item h="1" x="40"/>
        <item h="1" x="68"/>
        <item h="1" x="102"/>
        <item h="1" x="111"/>
        <item h="1" x="157"/>
        <item h="1" x="169"/>
        <item h="1" x="15"/>
        <item h="1" x="57"/>
        <item h="1" x="117"/>
        <item h="1" x="127"/>
        <item h="1" x="170"/>
        <item h="1" x="10"/>
        <item h="1" x="182"/>
        <item h="1" x="52"/>
        <item h="1" x="82"/>
        <item h="1" x="100"/>
        <item h="1" x="103"/>
        <item h="1" x="141"/>
        <item h="1" x="142"/>
        <item h="1" x="7"/>
        <item h="1" x="17"/>
        <item h="1" x="26"/>
        <item h="1" x="41"/>
        <item h="1" x="104"/>
        <item h="1" x="129"/>
        <item h="1" x="172"/>
        <item h="1" x="20"/>
        <item h="1" x="27"/>
        <item h="1" x="42"/>
        <item h="1" x="51"/>
        <item h="1" x="69"/>
        <item h="1" x="70"/>
        <item h="1" x="83"/>
        <item h="1" x="85"/>
        <item h="1" x="8"/>
        <item h="1" x="28"/>
        <item h="1" x="12"/>
        <item h="1" x="65"/>
        <item h="1" x="84"/>
        <item h="1" x="143"/>
        <item h="1" x="29"/>
        <item h="1" x="190"/>
        <item h="1" x="3"/>
        <item h="1" x="71"/>
        <item h="1" x="86"/>
        <item h="1" x="105"/>
        <item h="1" x="106"/>
        <item h="1" x="113"/>
        <item h="1" x="118"/>
        <item h="1" x="144"/>
        <item h="1" x="30"/>
        <item h="1" x="44"/>
        <item h="1" x="53"/>
        <item h="1" x="72"/>
        <item h="1" x="108"/>
        <item h="1" x="119"/>
        <item h="1" x="183"/>
        <item h="1" x="54"/>
        <item h="1" x="107"/>
        <item h="1" x="128"/>
        <item h="1" x="145"/>
        <item h="1" x="173"/>
        <item h="1" x="18"/>
        <item h="1" x="191"/>
        <item h="1" x="55"/>
        <item h="1" x="87"/>
        <item h="1" x="88"/>
        <item h="1" x="146"/>
        <item h="1" x="184"/>
        <item h="1" x="31"/>
        <item h="1" x="45"/>
        <item h="1" x="56"/>
        <item h="1" x="91"/>
        <item h="1" x="130"/>
        <item h="1" x="154"/>
        <item h="1" x="159"/>
        <item h="1" x="32"/>
        <item h="1" x="46"/>
        <item h="1" x="92"/>
        <item h="1" x="131"/>
        <item h="1" x="158"/>
        <item h="1" x="161"/>
        <item h="1" x="33"/>
        <item h="1" x="93"/>
        <item h="1" x="162"/>
        <item h="1" x="9"/>
        <item h="1" x="34"/>
        <item h="1" x="48"/>
        <item h="1" x="73"/>
        <item h="1" x="120"/>
        <item h="1" x="147"/>
        <item h="1" x="35"/>
        <item h="1" x="49"/>
        <item h="1" x="74"/>
        <item h="1" x="109"/>
        <item h="1" x="121"/>
        <item h="1" x="110"/>
        <item h="1" x="132"/>
        <item h="1" x="148"/>
        <item h="1" x="174"/>
        <item h="1" x="58"/>
        <item h="1" x="133"/>
        <item h="1" x="156"/>
        <item h="1" x="175"/>
        <item h="1" x="36"/>
        <item h="1" x="50"/>
        <item h="1" x="94"/>
        <item h="1" x="116"/>
        <item h="1" x="160"/>
        <item h="1" x="163"/>
        <item h="1" x="176"/>
        <item h="1" x="37"/>
        <item h="1" x="195"/>
        <item h="1" x="95"/>
        <item h="1" x="89"/>
        <item h="1" x="165"/>
        <item h="1" x="177"/>
        <item h="1" x="96"/>
        <item h="1" x="134"/>
        <item h="1" x="149"/>
        <item h="1" x="164"/>
        <item h="1" x="75"/>
        <item h="1" x="122"/>
        <item h="1" x="60"/>
        <item h="1" x="197"/>
        <item h="1" x="203"/>
        <item h="1" x="204"/>
        <item h="1" x="205"/>
        <item h="1" x="210"/>
        <item h="1" x="213"/>
        <item h="1" x="214"/>
        <item h="1" x="215"/>
        <item h="1" x="216"/>
        <item h="1" x="217"/>
        <item h="1" x="218"/>
        <item h="1" x="220"/>
        <item h="1" x="222"/>
        <item h="1" x="223"/>
        <item h="1" x="225"/>
        <item h="1" x="0"/>
        <item h="1" m="1" x="235"/>
        <item h="1" m="1" x="236"/>
        <item h="1" m="1" x="237"/>
        <item h="1" m="1" x="238"/>
        <item h="1" m="1" x="239"/>
        <item h="1" m="1" x="240"/>
        <item h="1" m="1" x="241"/>
        <item h="1" m="1" x="242"/>
        <item h="1" m="1" x="245"/>
        <item h="1" x="211"/>
        <item h="1" x="226"/>
        <item h="1" x="227"/>
        <item h="1" x="178"/>
        <item h="1" x="224"/>
        <item h="1" x="228"/>
        <item x="206"/>
        <item m="1" x="234"/>
        <item h="1" m="1" x="244"/>
        <item x="229"/>
        <item h="1" m="1" x="243"/>
        <item x="230"/>
        <item h="1" x="188"/>
        <item h="1" x="189"/>
        <item h="1" x="192"/>
        <item h="1" x="193"/>
        <item h="1" x="194"/>
        <item h="1" x="196"/>
        <item h="1" x="198"/>
        <item h="1" x="200"/>
        <item h="1" x="201"/>
        <item h="1" x="202"/>
        <item h="1" x="207"/>
        <item h="1" x="208"/>
        <item h="1" x="209"/>
        <item h="1" x="212"/>
        <item h="1" x="219"/>
        <item h="1" x="221"/>
        <item x="231"/>
        <item x="232"/>
        <item x="233"/>
        <item t="default"/>
      </items>
    </pivotField>
    <pivotField showAll="0"/>
    <pivotField showAll="0"/>
    <pivotField showAll="0"/>
    <pivotField showAll="0"/>
    <pivotField showAll="0"/>
    <pivotField showAll="0"/>
    <pivotField showAll="0"/>
    <pivotField showAll="0"/>
    <pivotField dataField="1" showAll="0"/>
  </pivotFields>
  <rowFields count="1">
    <field x="6"/>
  </rowFields>
  <rowItems count="1">
    <i t="grand">
      <x/>
    </i>
  </rowItems>
  <colItems count="1">
    <i/>
  </colItems>
  <pageFields count="2">
    <pageField fld="0" hier="-1"/>
    <pageField fld="33" hier="-1"/>
  </pageFields>
  <dataFields count="1">
    <dataField name="Soma de Qdte" fld="42" baseField="0" baseItem="0"/>
  </dataField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400-000003000000}" name="Tabela dinâmica3"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T22:U23" firstHeaderRow="1" firstDataRow="1" firstDataCol="1" rowPageCount="2" colPageCount="1"/>
  <pivotFields count="50">
    <pivotField axis="axisPage" multipleItemSelectionAllowed="1" showAll="0">
      <items count="5">
        <item h="1" x="1"/>
        <item x="0"/>
        <item h="1" x="2"/>
        <item h="1" x="3"/>
        <item t="default"/>
      </items>
    </pivotField>
    <pivotField showAll="0"/>
    <pivotField showAll="0"/>
    <pivotField showAll="0"/>
    <pivotField showAll="0"/>
    <pivotField showAll="0"/>
    <pivotField axis="axisRow" showAll="0">
      <items count="712">
        <item x="432"/>
        <item x="276"/>
        <item x="397"/>
        <item x="112"/>
        <item x="88"/>
        <item x="82"/>
        <item x="350"/>
        <item x="42"/>
        <item x="316"/>
        <item x="311"/>
        <item x="347"/>
        <item x="375"/>
        <item x="8"/>
        <item x="368"/>
        <item x="63"/>
        <item x="230"/>
        <item x="348"/>
        <item x="235"/>
        <item x="228"/>
        <item x="240"/>
        <item x="373"/>
        <item x="120"/>
        <item x="426"/>
        <item x="165"/>
        <item x="278"/>
        <item x="282"/>
        <item x="190"/>
        <item x="180"/>
        <item x="361"/>
        <item x="298"/>
        <item x="414"/>
        <item x="119"/>
        <item x="56"/>
        <item x="339"/>
        <item x="410"/>
        <item x="385"/>
        <item x="170"/>
        <item x="169"/>
        <item x="239"/>
        <item x="10"/>
        <item x="9"/>
        <item x="309"/>
        <item x="248"/>
        <item x="393"/>
        <item x="236"/>
        <item x="272"/>
        <item x="340"/>
        <item x="362"/>
        <item x="57"/>
        <item x="395"/>
        <item x="399"/>
        <item x="406"/>
        <item x="182"/>
        <item x="183"/>
        <item x="238"/>
        <item x="219"/>
        <item x="141"/>
        <item x="192"/>
        <item x="428"/>
        <item x="55"/>
        <item x="43"/>
        <item x="100"/>
        <item x="81"/>
        <item x="370"/>
        <item x="376"/>
        <item x="377"/>
        <item x="274"/>
        <item x="275"/>
        <item x="247"/>
        <item x="91"/>
        <item x="3"/>
        <item x="435"/>
        <item x="154"/>
        <item x="157"/>
        <item x="151"/>
        <item x="264"/>
        <item x="254"/>
        <item x="379"/>
        <item x="263"/>
        <item x="253"/>
        <item x="194"/>
        <item x="424"/>
        <item x="84"/>
        <item x="341"/>
        <item x="111"/>
        <item x="419"/>
        <item x="387"/>
        <item x="383"/>
        <item x="352"/>
        <item x="342"/>
        <item x="133"/>
        <item x="104"/>
        <item x="330"/>
        <item x="109"/>
        <item x="156"/>
        <item x="32"/>
        <item x="93"/>
        <item x="224"/>
        <item x="367"/>
        <item x="366"/>
        <item x="233"/>
        <item x="193"/>
        <item x="401"/>
        <item x="50"/>
        <item x="345"/>
        <item x="314"/>
        <item x="280"/>
        <item x="292"/>
        <item x="288"/>
        <item x="343"/>
        <item x="269"/>
        <item x="18"/>
        <item x="19"/>
        <item x="234"/>
        <item x="31"/>
        <item x="304"/>
        <item x="46"/>
        <item x="49"/>
        <item x="62"/>
        <item x="210"/>
        <item x="14"/>
        <item x="396"/>
        <item x="106"/>
        <item x="67"/>
        <item x="200"/>
        <item x="107"/>
        <item x="25"/>
        <item x="199"/>
        <item x="90"/>
        <item x="171"/>
        <item x="335"/>
        <item x="110"/>
        <item x="125"/>
        <item x="123"/>
        <item x="77"/>
        <item x="294"/>
        <item x="167"/>
        <item x="166"/>
        <item x="265"/>
        <item x="251"/>
        <item x="411"/>
        <item x="187"/>
        <item x="363"/>
        <item x="101"/>
        <item x="152"/>
        <item x="175"/>
        <item x="351"/>
        <item x="99"/>
        <item x="250"/>
        <item x="45"/>
        <item x="211"/>
        <item x="214"/>
        <item x="213"/>
        <item x="7"/>
        <item x="174"/>
        <item x="135"/>
        <item x="27"/>
        <item x="122"/>
        <item x="121"/>
        <item x="98"/>
        <item x="409"/>
        <item x="71"/>
        <item x="129"/>
        <item x="44"/>
        <item x="185"/>
        <item x="216"/>
        <item x="215"/>
        <item x="20"/>
        <item x="4"/>
        <item x="433"/>
        <item x="365"/>
        <item x="270"/>
        <item x="255"/>
        <item x="310"/>
        <item x="287"/>
        <item x="188"/>
        <item x="28"/>
        <item x="434"/>
        <item x="344"/>
        <item x="97"/>
        <item x="89"/>
        <item x="48"/>
        <item x="245"/>
        <item x="346"/>
        <item x="244"/>
        <item x="289"/>
        <item x="408"/>
        <item x="300"/>
        <item x="371"/>
        <item x="158"/>
        <item x="404"/>
        <item x="407"/>
        <item x="59"/>
        <item x="356"/>
        <item x="95"/>
        <item x="308"/>
        <item x="315"/>
        <item x="260"/>
        <item x="259"/>
        <item x="319"/>
        <item x="60"/>
        <item x="355"/>
        <item x="286"/>
        <item x="285"/>
        <item x="380"/>
        <item x="389"/>
        <item x="390"/>
        <item x="218"/>
        <item x="41"/>
        <item x="17"/>
        <item x="26"/>
        <item x="208"/>
        <item x="207"/>
        <item x="150"/>
        <item x="191"/>
        <item x="295"/>
        <item x="184"/>
        <item x="54"/>
        <item x="256"/>
        <item x="405"/>
        <item x="422"/>
        <item x="163"/>
        <item x="427"/>
        <item x="431"/>
        <item x="201"/>
        <item x="400"/>
        <item x="162"/>
        <item x="161"/>
        <item x="398"/>
        <item x="246"/>
        <item x="22"/>
        <item x="12"/>
        <item x="69"/>
        <item x="79"/>
        <item x="353"/>
        <item x="241"/>
        <item x="242"/>
        <item x="179"/>
        <item x="354"/>
        <item x="413"/>
        <item x="78"/>
        <item x="86"/>
        <item x="384"/>
        <item x="70"/>
        <item x="349"/>
        <item x="306"/>
        <item x="305"/>
        <item x="181"/>
        <item x="139"/>
        <item x="418"/>
        <item x="87"/>
        <item x="417"/>
        <item x="113"/>
        <item x="416"/>
        <item x="266"/>
        <item x="2"/>
        <item x="312"/>
        <item x="425"/>
        <item x="74"/>
        <item x="73"/>
        <item x="313"/>
        <item x="16"/>
        <item x="21"/>
        <item x="118"/>
        <item x="153"/>
        <item x="415"/>
        <item x="29"/>
        <item x="394"/>
        <item x="229"/>
        <item x="281"/>
        <item x="284"/>
        <item x="38"/>
        <item x="258"/>
        <item x="102"/>
        <item x="114"/>
        <item x="116"/>
        <item x="115"/>
        <item x="392"/>
        <item x="61"/>
        <item x="386"/>
        <item x="391"/>
        <item x="252"/>
        <item x="388"/>
        <item x="372"/>
        <item x="143"/>
        <item x="429"/>
        <item x="374"/>
        <item x="33"/>
        <item x="359"/>
        <item x="225"/>
        <item x="358"/>
        <item x="323"/>
        <item x="159"/>
        <item x="160"/>
        <item x="307"/>
        <item x="296"/>
        <item x="221"/>
        <item x="412"/>
        <item x="195"/>
        <item x="290"/>
        <item x="232"/>
        <item x="249"/>
        <item m="1" x="705"/>
        <item x="131"/>
        <item x="277"/>
        <item x="430"/>
        <item x="92"/>
        <item x="66"/>
        <item x="205"/>
        <item x="35"/>
        <item x="39"/>
        <item x="37"/>
        <item x="128"/>
        <item x="402"/>
        <item x="103"/>
        <item x="369"/>
        <item x="220"/>
        <item x="96"/>
        <item x="124"/>
        <item x="318"/>
        <item x="130"/>
        <item x="297"/>
        <item x="24"/>
        <item x="23"/>
        <item x="423"/>
        <item x="68"/>
        <item x="0"/>
        <item x="204"/>
        <item x="206"/>
        <item x="268"/>
        <item x="237"/>
        <item x="338"/>
        <item x="337"/>
        <item x="403"/>
        <item x="58"/>
        <item x="223"/>
        <item x="202"/>
        <item x="127"/>
        <item x="293"/>
        <item x="322"/>
        <item x="226"/>
        <item x="94"/>
        <item x="227"/>
        <item x="243"/>
        <item x="5"/>
        <item x="321"/>
        <item x="325"/>
        <item x="381"/>
        <item x="13"/>
        <item x="11"/>
        <item x="47"/>
        <item x="327"/>
        <item x="364"/>
        <item x="382"/>
        <item x="217"/>
        <item x="189"/>
        <item x="34"/>
        <item x="64"/>
        <item x="378"/>
        <item x="267"/>
        <item x="117"/>
        <item x="147"/>
        <item x="146"/>
        <item x="173"/>
        <item x="172"/>
        <item x="177"/>
        <item x="176"/>
        <item x="148"/>
        <item x="357"/>
        <item x="320"/>
        <item x="437"/>
        <item x="438"/>
        <item x="439"/>
        <item x="440"/>
        <item x="442"/>
        <item x="443"/>
        <item x="445"/>
        <item x="446"/>
        <item x="454"/>
        <item x="448"/>
        <item x="449"/>
        <item x="450"/>
        <item x="699"/>
        <item x="453"/>
        <item x="441"/>
        <item x="455"/>
        <item x="456"/>
        <item x="457"/>
        <item x="458"/>
        <item x="459"/>
        <item x="460"/>
        <item x="461"/>
        <item x="462"/>
        <item x="463"/>
        <item x="464"/>
        <item x="465"/>
        <item x="466"/>
        <item x="467"/>
        <item x="468"/>
        <item x="469"/>
        <item x="470"/>
        <item x="471"/>
        <item x="472"/>
        <item x="473"/>
        <item x="475"/>
        <item x="476"/>
        <item x="478"/>
        <item x="474"/>
        <item x="477"/>
        <item x="479"/>
        <item x="480"/>
        <item x="481"/>
        <item x="484"/>
        <item x="436"/>
        <item x="447"/>
        <item x="452"/>
        <item x="486"/>
        <item x="488"/>
        <item x="489"/>
        <item x="490"/>
        <item x="336"/>
        <item x="491"/>
        <item x="444"/>
        <item x="492"/>
        <item x="494"/>
        <item x="495"/>
        <item x="497"/>
        <item x="498"/>
        <item x="499"/>
        <item x="500"/>
        <item x="501"/>
        <item x="502"/>
        <item x="503"/>
        <item x="504"/>
        <item x="505"/>
        <item x="506"/>
        <item x="507"/>
        <item x="509"/>
        <item x="493"/>
        <item x="511"/>
        <item x="512"/>
        <item x="513"/>
        <item x="514"/>
        <item x="515"/>
        <item x="516"/>
        <item x="517"/>
        <item x="518"/>
        <item x="519"/>
        <item x="520"/>
        <item x="521"/>
        <item x="522"/>
        <item x="523"/>
        <item x="524"/>
        <item x="525"/>
        <item x="526"/>
        <item x="527"/>
        <item x="528"/>
        <item x="529"/>
        <item x="530"/>
        <item x="531"/>
        <item x="532"/>
        <item x="533"/>
        <item x="510"/>
        <item x="534"/>
        <item x="535"/>
        <item x="536"/>
        <item x="537"/>
        <item x="538"/>
        <item x="496"/>
        <item x="508"/>
        <item x="539"/>
        <item x="540"/>
        <item x="542"/>
        <item x="543"/>
        <item x="544"/>
        <item x="545"/>
        <item x="487"/>
        <item x="546"/>
        <item x="550"/>
        <item x="552"/>
        <item x="553"/>
        <item x="554"/>
        <item x="555"/>
        <item x="557"/>
        <item x="558"/>
        <item x="559"/>
        <item x="560"/>
        <item x="561"/>
        <item x="562"/>
        <item x="563"/>
        <item x="565"/>
        <item x="566"/>
        <item x="567"/>
        <item x="568"/>
        <item x="569"/>
        <item x="570"/>
        <item x="571"/>
        <item m="1" x="709"/>
        <item x="573"/>
        <item x="574"/>
        <item x="575"/>
        <item x="576"/>
        <item x="577"/>
        <item m="1" x="710"/>
        <item x="579"/>
        <item x="580"/>
        <item x="581"/>
        <item x="582"/>
        <item x="583"/>
        <item x="584"/>
        <item x="585"/>
        <item x="586"/>
        <item m="1" x="707"/>
        <item x="588"/>
        <item x="589"/>
        <item x="590"/>
        <item x="591"/>
        <item x="592"/>
        <item x="593"/>
        <item x="594"/>
        <item x="595"/>
        <item x="1"/>
        <item x="6"/>
        <item x="15"/>
        <item x="30"/>
        <item x="36"/>
        <item x="40"/>
        <item x="51"/>
        <item x="52"/>
        <item x="53"/>
        <item x="65"/>
        <item x="72"/>
        <item x="75"/>
        <item x="76"/>
        <item x="80"/>
        <item x="83"/>
        <item x="85"/>
        <item x="105"/>
        <item x="108"/>
        <item x="126"/>
        <item x="132"/>
        <item x="134"/>
        <item x="136"/>
        <item x="137"/>
        <item x="138"/>
        <item x="140"/>
        <item x="142"/>
        <item x="144"/>
        <item x="145"/>
        <item x="149"/>
        <item x="155"/>
        <item x="164"/>
        <item x="168"/>
        <item x="178"/>
        <item x="186"/>
        <item x="196"/>
        <item x="197"/>
        <item x="198"/>
        <item x="203"/>
        <item x="209"/>
        <item x="212"/>
        <item x="222"/>
        <item x="231"/>
        <item x="257"/>
        <item x="261"/>
        <item x="262"/>
        <item x="271"/>
        <item x="273"/>
        <item x="279"/>
        <item x="283"/>
        <item x="291"/>
        <item x="299"/>
        <item x="301"/>
        <item x="302"/>
        <item x="303"/>
        <item x="317"/>
        <item x="324"/>
        <item x="326"/>
        <item x="328"/>
        <item x="329"/>
        <item x="331"/>
        <item x="332"/>
        <item x="333"/>
        <item x="334"/>
        <item x="360"/>
        <item x="420"/>
        <item x="421"/>
        <item x="482"/>
        <item x="483"/>
        <item x="485"/>
        <item x="541"/>
        <item x="547"/>
        <item x="548"/>
        <item x="549"/>
        <item x="551"/>
        <item x="556"/>
        <item x="564"/>
        <item x="596"/>
        <item x="597"/>
        <item x="598"/>
        <item x="599"/>
        <item x="600"/>
        <item x="601"/>
        <item x="602"/>
        <item x="603"/>
        <item x="604"/>
        <item x="605"/>
        <item x="606"/>
        <item x="607"/>
        <item x="608"/>
        <item x="609"/>
        <item x="610"/>
        <item x="611"/>
        <item x="612"/>
        <item x="613"/>
        <item x="572"/>
        <item x="578"/>
        <item x="614"/>
        <item x="615"/>
        <item x="616"/>
        <item x="617"/>
        <item m="1" x="708"/>
        <item x="619"/>
        <item x="620"/>
        <item x="621"/>
        <item x="622"/>
        <item x="623"/>
        <item x="624"/>
        <item x="625"/>
        <item x="626"/>
        <item x="627"/>
        <item x="628"/>
        <item x="629"/>
        <item x="630"/>
        <item x="631"/>
        <item x="632"/>
        <item x="633"/>
        <item x="634"/>
        <item x="587"/>
        <item x="618"/>
        <item x="635"/>
        <item x="636"/>
        <item x="637"/>
        <item x="638"/>
        <item x="639"/>
        <item x="640"/>
        <item x="641"/>
        <item x="642"/>
        <item x="643"/>
        <item x="644"/>
        <item x="645"/>
        <item x="646"/>
        <item x="647"/>
        <item x="648"/>
        <item x="649"/>
        <item m="1" x="706"/>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50"/>
        <item x="682"/>
        <item x="683"/>
        <item x="684"/>
        <item x="685"/>
        <item x="686"/>
        <item x="687"/>
        <item x="688"/>
        <item x="689"/>
        <item x="690"/>
        <item x="691"/>
        <item x="692"/>
        <item x="693"/>
        <item x="694"/>
        <item x="695"/>
        <item x="696"/>
        <item x="697"/>
        <item x="698"/>
        <item x="451"/>
        <item x="700"/>
        <item x="701"/>
        <item x="702"/>
        <item x="703"/>
        <item x="70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44" showAll="0"/>
    <pivotField showAll="0"/>
    <pivotField showAll="0"/>
    <pivotField showAll="0"/>
    <pivotField showAll="0"/>
    <pivotField showAll="0"/>
    <pivotField showAll="0"/>
    <pivotField showAll="0"/>
    <pivotField showAll="0"/>
    <pivotField showAll="0"/>
    <pivotField axis="axisPage" multipleItemSelectionAllowed="1" showAll="0">
      <items count="243">
        <item h="1" x="100"/>
        <item h="1" x="7"/>
        <item h="1" x="147"/>
        <item h="1" x="192"/>
        <item h="1" x="68"/>
        <item h="1" x="82"/>
        <item h="1" x="73"/>
        <item h="1" x="91"/>
        <item h="1" x="137"/>
        <item h="1" x="3"/>
        <item h="1" x="4"/>
        <item h="1" x="170"/>
        <item h="1" x="162"/>
        <item h="1" x="45"/>
        <item h="1" x="163"/>
        <item h="1" x="55"/>
        <item h="1" x="60"/>
        <item h="1" x="72"/>
        <item h="1" x="74"/>
        <item h="1" x="101"/>
        <item h="1" x="109"/>
        <item h="1" x="133"/>
        <item h="1" x="150"/>
        <item h="1" x="148"/>
        <item h="1" x="18"/>
        <item h="1" x="15"/>
        <item h="1" x="181"/>
        <item h="1" x="44"/>
        <item h="1" x="194"/>
        <item h="1" x="112"/>
        <item h="1" x="125"/>
        <item h="1" x="12"/>
        <item h="1" x="152"/>
        <item h="1" x="2"/>
        <item h="1" x="164"/>
        <item h="1" x="41"/>
        <item h="1" x="46"/>
        <item h="1" x="126"/>
        <item h="1" x="197"/>
        <item h="1" x="90"/>
        <item h="1" x="121"/>
        <item h="1" x="16"/>
        <item h="1" x="43"/>
        <item h="1" x="23"/>
        <item h="1" x="167"/>
        <item h="1" x="62"/>
        <item h="1" x="85"/>
        <item h="1" x="104"/>
        <item h="1" x="177"/>
        <item h="1" x="83"/>
        <item h="1" x="105"/>
        <item h="1" x="141"/>
        <item h="1" x="178"/>
        <item h="1" x="77"/>
        <item h="1" x="92"/>
        <item h="1" x="136"/>
        <item h="1" x="142"/>
        <item h="1" x="17"/>
        <item h="1" x="169"/>
        <item h="1" x="26"/>
        <item h="1" x="28"/>
        <item h="1" x="27"/>
        <item h="1" x="61"/>
        <item h="1" x="94"/>
        <item h="1" x="123"/>
        <item h="1" x="128"/>
        <item h="1" x="139"/>
        <item h="1" x="160"/>
        <item h="1" x="165"/>
        <item h="1" x="50"/>
        <item h="1" x="75"/>
        <item h="1" x="96"/>
        <item h="1" x="103"/>
        <item h="1" x="108"/>
        <item h="1" x="110"/>
        <item h="1" x="124"/>
        <item h="1" x="6"/>
        <item h="1" x="157"/>
        <item h="1" x="19"/>
        <item h="1" x="171"/>
        <item h="1" x="179"/>
        <item h="1" x="47"/>
        <item h="1" x="127"/>
        <item h="1" x="13"/>
        <item h="1" x="149"/>
        <item h="1" x="159"/>
        <item h="1" x="21"/>
        <item h="1" x="172"/>
        <item h="1" x="176"/>
        <item h="1" x="184"/>
        <item h="1" x="48"/>
        <item h="1" x="49"/>
        <item h="1" x="63"/>
        <item h="1" x="93"/>
        <item h="1" x="146"/>
        <item h="1" x="25"/>
        <item h="1" x="185"/>
        <item h="1" x="52"/>
        <item h="1" x="51"/>
        <item h="1" x="76"/>
        <item h="1" x="114"/>
        <item h="1" x="143"/>
        <item h="1" x="180"/>
        <item h="1" x="81"/>
        <item h="1" x="84"/>
        <item h="1" x="102"/>
        <item h="1" x="117"/>
        <item h="1" x="116"/>
        <item h="1" x="140"/>
        <item h="1" x="168"/>
        <item h="1" x="166"/>
        <item h="1" x="42"/>
        <item h="1" x="98"/>
        <item h="1" x="122"/>
        <item h="1" x="129"/>
        <item h="1" x="20"/>
        <item h="1" x="174"/>
        <item h="1" x="34"/>
        <item h="1" x="53"/>
        <item h="1" x="54"/>
        <item h="1" x="64"/>
        <item h="1" x="107"/>
        <item h="1" x="65"/>
        <item h="1" x="95"/>
        <item h="1" x="99"/>
        <item h="1" x="113"/>
        <item h="1" x="119"/>
        <item h="1" x="8"/>
        <item h="1" x="14"/>
        <item h="1" x="10"/>
        <item h="1" x="183"/>
        <item h="1" x="130"/>
        <item h="1" x="11"/>
        <item h="1" x="155"/>
        <item h="1" x="22"/>
        <item h="1" x="31"/>
        <item h="1" x="186"/>
        <item h="1" x="30"/>
        <item h="1" x="175"/>
        <item h="1" x="57"/>
        <item h="1" x="58"/>
        <item h="1" x="70"/>
        <item h="1" x="115"/>
        <item h="1" x="9"/>
        <item h="1" x="56"/>
        <item h="1" x="32"/>
        <item h="1" x="29"/>
        <item h="1" x="35"/>
        <item h="1" x="190"/>
        <item h="1" x="131"/>
        <item h="1" x="33"/>
        <item h="1" x="80"/>
        <item h="1" x="132"/>
        <item h="1" x="151"/>
        <item h="1" x="158"/>
        <item h="1" x="97"/>
        <item h="1" x="120"/>
        <item h="1" x="156"/>
        <item h="1" x="193"/>
        <item h="1" x="59"/>
        <item h="1" x="67"/>
        <item h="1" x="87"/>
        <item h="1" x="135"/>
        <item h="1" x="153"/>
        <item h="1" x="154"/>
        <item h="1" x="36"/>
        <item h="1" x="189"/>
        <item h="1" x="66"/>
        <item h="1" x="89"/>
        <item h="1" x="5"/>
        <item h="1" x="144"/>
        <item h="1" x="1"/>
        <item h="1" x="24"/>
        <item h="1" x="37"/>
        <item h="1" x="191"/>
        <item h="1" x="71"/>
        <item h="1" x="69"/>
        <item h="1" x="79"/>
        <item h="1" x="145"/>
        <item h="1" x="161"/>
        <item h="1" x="38"/>
        <item h="1" x="86"/>
        <item h="1" x="118"/>
        <item h="1" x="39"/>
        <item h="1" x="78"/>
        <item h="1" x="88"/>
        <item h="1" x="106"/>
        <item h="1" x="134"/>
        <item h="1" x="138"/>
        <item h="1" x="40"/>
        <item h="1" x="205"/>
        <item h="1" x="196"/>
        <item h="1" x="201"/>
        <item h="1" x="187"/>
        <item h="1" x="199"/>
        <item h="1" x="203"/>
        <item h="1" x="206"/>
        <item h="1" x="200"/>
        <item h="1" x="208"/>
        <item h="1" x="207"/>
        <item h="1" x="182"/>
        <item h="1" x="210"/>
        <item h="1" x="173"/>
        <item h="1" x="188"/>
        <item h="1" x="195"/>
        <item h="1" x="211"/>
        <item h="1" x="212"/>
        <item h="1" x="214"/>
        <item h="1" x="216"/>
        <item h="1" x="217"/>
        <item h="1" x="111"/>
        <item h="1" x="213"/>
        <item h="1" x="202"/>
        <item h="1" x="215"/>
        <item h="1" x="218"/>
        <item h="1" x="219"/>
        <item h="1" x="221"/>
        <item h="1" x="220"/>
        <item h="1" x="222"/>
        <item h="1" x="223"/>
        <item h="1" x="224"/>
        <item h="1" x="225"/>
        <item h="1" x="231"/>
        <item h="1" x="0"/>
        <item h="1" x="229"/>
        <item h="1" x="230"/>
        <item h="1" x="233"/>
        <item h="1" x="209"/>
        <item h="1" x="226"/>
        <item h="1" x="227"/>
        <item h="1" x="228"/>
        <item h="1" x="232"/>
        <item x="198"/>
        <item m="1" x="241"/>
        <item x="236"/>
        <item x="237"/>
        <item x="204"/>
        <item x="235"/>
        <item x="238"/>
        <item x="239"/>
        <item x="240"/>
        <item x="234"/>
        <item t="default"/>
      </items>
    </pivotField>
    <pivotField showAll="0"/>
    <pivotField showAll="0"/>
    <pivotField showAll="0"/>
    <pivotField showAll="0"/>
    <pivotField showAll="0"/>
    <pivotField showAll="0"/>
    <pivotField showAll="0"/>
    <pivotField dataField="1" showAll="0"/>
  </pivotFields>
  <rowFields count="1">
    <field x="6"/>
  </rowFields>
  <rowItems count="1">
    <i t="grand">
      <x/>
    </i>
  </rowItems>
  <colItems count="1">
    <i/>
  </colItems>
  <pageFields count="2">
    <pageField fld="0" hier="-1"/>
    <pageField fld="41" hier="-1"/>
  </pageFields>
  <dataFields count="1">
    <dataField name="Soma de QTDE" fld="49"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400-000008000000}" name="Tabela dinâmica14"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W1334:X1336" firstHeaderRow="1" firstDataRow="1" firstDataCol="1" rowPageCount="2" colPageCount="1"/>
  <pivotFields count="50">
    <pivotField axis="axisPage" multipleItemSelectionAllowed="1" showAll="0">
      <items count="5">
        <item h="1" x="1"/>
        <item h="1" x="0"/>
        <item h="1" x="2"/>
        <item x="3"/>
        <item t="default"/>
      </items>
    </pivotField>
    <pivotField showAll="0"/>
    <pivotField showAll="0"/>
    <pivotField showAll="0"/>
    <pivotField showAll="0"/>
    <pivotField showAll="0"/>
    <pivotField axis="axisRow" showAll="0">
      <items count="712">
        <item x="108"/>
        <item x="432"/>
        <item x="506"/>
        <item x="276"/>
        <item x="529"/>
        <item x="525"/>
        <item x="620"/>
        <item x="397"/>
        <item x="112"/>
        <item x="105"/>
        <item x="437"/>
        <item x="83"/>
        <item x="212"/>
        <item x="88"/>
        <item x="82"/>
        <item x="469"/>
        <item x="350"/>
        <item x="42"/>
        <item x="480"/>
        <item x="504"/>
        <item x="316"/>
        <item x="311"/>
        <item x="347"/>
        <item x="629"/>
        <item m="1" x="708"/>
        <item x="618"/>
        <item x="375"/>
        <item x="142"/>
        <item x="8"/>
        <item x="368"/>
        <item x="63"/>
        <item x="230"/>
        <item x="348"/>
        <item x="235"/>
        <item x="459"/>
        <item x="164"/>
        <item x="168"/>
        <item x="228"/>
        <item x="240"/>
        <item x="373"/>
        <item x="658"/>
        <item x="457"/>
        <item x="649"/>
        <item x="591"/>
        <item x="120"/>
        <item x="136"/>
        <item x="426"/>
        <item x="165"/>
        <item x="278"/>
        <item x="282"/>
        <item x="454"/>
        <item x="486"/>
        <item x="447"/>
        <item x="190"/>
        <item x="180"/>
        <item x="361"/>
        <item x="298"/>
        <item x="414"/>
        <item x="119"/>
        <item x="52"/>
        <item x="56"/>
        <item x="339"/>
        <item x="326"/>
        <item x="532"/>
        <item x="410"/>
        <item x="597"/>
        <item x="613"/>
        <item x="385"/>
        <item x="170"/>
        <item x="169"/>
        <item x="489"/>
        <item x="545"/>
        <item x="564"/>
        <item x="556"/>
        <item x="303"/>
        <item x="557"/>
        <item x="239"/>
        <item x="10"/>
        <item x="9"/>
        <item x="558"/>
        <item x="547"/>
        <item x="508"/>
        <item x="600"/>
        <item x="448"/>
        <item x="641"/>
        <item x="309"/>
        <item x="248"/>
        <item x="393"/>
        <item x="630"/>
        <item x="493"/>
        <item x="236"/>
        <item x="611"/>
        <item x="623"/>
        <item x="272"/>
        <item x="519"/>
        <item x="619"/>
        <item x="340"/>
        <item x="362"/>
        <item x="57"/>
        <item x="395"/>
        <item x="639"/>
        <item x="631"/>
        <item x="399"/>
        <item x="406"/>
        <item x="602"/>
        <item x="182"/>
        <item x="183"/>
        <item x="238"/>
        <item x="219"/>
        <item x="513"/>
        <item x="503"/>
        <item x="505"/>
        <item x="141"/>
        <item x="192"/>
        <item x="428"/>
        <item x="55"/>
        <item x="43"/>
        <item x="100"/>
        <item x="606"/>
        <item x="570"/>
        <item x="81"/>
        <item x="370"/>
        <item x="137"/>
        <item x="376"/>
        <item x="377"/>
        <item x="274"/>
        <item x="275"/>
        <item x="247"/>
        <item x="91"/>
        <item x="3"/>
        <item x="551"/>
        <item x="550"/>
        <item x="435"/>
        <item x="154"/>
        <item x="157"/>
        <item x="151"/>
        <item x="264"/>
        <item x="254"/>
        <item x="379"/>
        <item x="263"/>
        <item x="253"/>
        <item x="472"/>
        <item x="194"/>
        <item x="424"/>
        <item x="271"/>
        <item x="261"/>
        <item x="84"/>
        <item x="341"/>
        <item x="458"/>
        <item x="444"/>
        <item x="582"/>
        <item x="111"/>
        <item x="419"/>
        <item x="387"/>
        <item x="487"/>
        <item x="452"/>
        <item x="383"/>
        <item x="352"/>
        <item x="563"/>
        <item x="522"/>
        <item x="342"/>
        <item x="590"/>
        <item x="509"/>
        <item x="603"/>
        <item x="132"/>
        <item x="133"/>
        <item x="104"/>
        <item x="571"/>
        <item x="467"/>
        <item x="531"/>
        <item x="660"/>
        <item x="331"/>
        <item x="332"/>
        <item x="330"/>
        <item x="109"/>
        <item x="75"/>
        <item x="156"/>
        <item x="507"/>
        <item x="134"/>
        <item x="32"/>
        <item x="499"/>
        <item x="93"/>
        <item x="36"/>
        <item x="446"/>
        <item x="224"/>
        <item x="367"/>
        <item x="366"/>
        <item x="233"/>
        <item x="193"/>
        <item x="401"/>
        <item x="538"/>
        <item x="552"/>
        <item x="50"/>
        <item x="345"/>
        <item x="314"/>
        <item x="280"/>
        <item x="292"/>
        <item x="288"/>
        <item x="647"/>
        <item x="628"/>
        <item x="343"/>
        <item x="269"/>
        <item x="18"/>
        <item x="19"/>
        <item x="593"/>
        <item x="234"/>
        <item x="262"/>
        <item x="31"/>
        <item x="304"/>
        <item x="46"/>
        <item x="49"/>
        <item x="1"/>
        <item x="62"/>
        <item x="210"/>
        <item x="14"/>
        <item x="638"/>
        <item x="565"/>
        <item x="396"/>
        <item x="636"/>
        <item x="455"/>
        <item x="561"/>
        <item x="106"/>
        <item x="644"/>
        <item x="67"/>
        <item x="200"/>
        <item x="107"/>
        <item x="25"/>
        <item x="580"/>
        <item x="666"/>
        <item x="199"/>
        <item x="485"/>
        <item x="436"/>
        <item x="90"/>
        <item x="171"/>
        <item x="335"/>
        <item x="110"/>
        <item x="125"/>
        <item x="123"/>
        <item x="77"/>
        <item x="661"/>
        <item x="588"/>
        <item x="294"/>
        <item x="461"/>
        <item x="167"/>
        <item x="166"/>
        <item x="265"/>
        <item x="317"/>
        <item x="257"/>
        <item x="251"/>
        <item x="502"/>
        <item x="411"/>
        <item x="498"/>
        <item x="662"/>
        <item x="598"/>
        <item x="653"/>
        <item x="187"/>
        <item x="555"/>
        <item x="363"/>
        <item x="101"/>
        <item x="474"/>
        <item x="152"/>
        <item x="175"/>
        <item x="530"/>
        <item x="421"/>
        <item x="351"/>
        <item x="554"/>
        <item x="510"/>
        <item x="99"/>
        <item x="250"/>
        <item x="45"/>
        <item x="211"/>
        <item x="214"/>
        <item x="213"/>
        <item x="7"/>
        <item x="174"/>
        <item x="186"/>
        <item x="604"/>
        <item x="135"/>
        <item x="30"/>
        <item x="27"/>
        <item x="122"/>
        <item x="121"/>
        <item x="98"/>
        <item x="209"/>
        <item x="409"/>
        <item x="71"/>
        <item x="129"/>
        <item x="441"/>
        <item x="44"/>
        <item x="542"/>
        <item x="541"/>
        <item x="496"/>
        <item x="185"/>
        <item x="609"/>
        <item x="626"/>
        <item x="464"/>
        <item x="216"/>
        <item x="215"/>
        <item x="20"/>
        <item x="533"/>
        <item x="4"/>
        <item x="601"/>
        <item x="433"/>
        <item x="442"/>
        <item x="659"/>
        <item x="577"/>
        <item x="324"/>
        <item x="534"/>
        <item x="610"/>
        <item x="466"/>
        <item x="465"/>
        <item x="365"/>
        <item x="270"/>
        <item x="255"/>
        <item x="310"/>
        <item x="287"/>
        <item x="544"/>
        <item x="494"/>
        <item x="188"/>
        <item x="222"/>
        <item x="460"/>
        <item x="665"/>
        <item x="635"/>
        <item x="471"/>
        <item x="28"/>
        <item x="527"/>
        <item x="528"/>
        <item x="624"/>
        <item x="434"/>
        <item x="497"/>
        <item x="344"/>
        <item m="1" x="706"/>
        <item x="643"/>
        <item x="456"/>
        <item x="518"/>
        <item x="657"/>
        <item x="574"/>
        <item x="622"/>
        <item x="97"/>
        <item x="479"/>
        <item x="89"/>
        <item x="48"/>
        <item x="245"/>
        <item x="346"/>
        <item x="244"/>
        <item x="543"/>
        <item x="289"/>
        <item x="408"/>
        <item x="300"/>
        <item x="490"/>
        <item x="654"/>
        <item x="371"/>
        <item x="158"/>
        <item x="559"/>
        <item x="404"/>
        <item x="407"/>
        <item x="546"/>
        <item x="470"/>
        <item x="59"/>
        <item x="443"/>
        <item x="356"/>
        <item x="595"/>
        <item x="634"/>
        <item x="594"/>
        <item x="440"/>
        <item x="95"/>
        <item x="6"/>
        <item x="308"/>
        <item x="491"/>
        <item x="608"/>
        <item x="40"/>
        <item x="315"/>
        <item x="260"/>
        <item x="259"/>
        <item x="585"/>
        <item x="573"/>
        <item x="319"/>
        <item x="537"/>
        <item x="584"/>
        <item x="60"/>
        <item x="355"/>
        <item m="1" x="709"/>
        <item x="76"/>
        <item x="572"/>
        <item x="663"/>
        <item x="286"/>
        <item x="285"/>
        <item x="575"/>
        <item x="380"/>
        <item x="567"/>
        <item x="524"/>
        <item x="521"/>
        <item x="500"/>
        <item x="389"/>
        <item x="420"/>
        <item x="390"/>
        <item x="616"/>
        <item x="218"/>
        <item x="72"/>
        <item x="41"/>
        <item x="484"/>
        <item x="17"/>
        <item x="26"/>
        <item x="301"/>
        <item x="632"/>
        <item x="208"/>
        <item x="207"/>
        <item x="150"/>
        <item x="138"/>
        <item x="191"/>
        <item x="295"/>
        <item x="627"/>
        <item x="198"/>
        <item x="184"/>
        <item x="576"/>
        <item x="462"/>
        <item x="54"/>
        <item x="569"/>
        <item x="256"/>
        <item x="450"/>
        <item x="405"/>
        <item x="422"/>
        <item x="667"/>
        <item x="163"/>
        <item x="427"/>
        <item x="431"/>
        <item x="645"/>
        <item x="201"/>
        <item x="53"/>
        <item x="400"/>
        <item x="512"/>
        <item x="162"/>
        <item x="161"/>
        <item x="398"/>
        <item x="553"/>
        <item x="246"/>
        <item x="22"/>
        <item x="12"/>
        <item x="514"/>
        <item x="463"/>
        <item x="302"/>
        <item x="299"/>
        <item x="69"/>
        <item x="79"/>
        <item x="607"/>
        <item x="599"/>
        <item x="587"/>
        <item m="1" x="707"/>
        <item x="353"/>
        <item x="231"/>
        <item x="241"/>
        <item x="242"/>
        <item x="80"/>
        <item x="179"/>
        <item x="354"/>
        <item x="475"/>
        <item x="621"/>
        <item x="413"/>
        <item x="664"/>
        <item x="517"/>
        <item x="78"/>
        <item x="86"/>
        <item x="85"/>
        <item x="453"/>
        <item x="384"/>
        <item x="526"/>
        <item x="70"/>
        <item x="625"/>
        <item x="349"/>
        <item x="651"/>
        <item x="306"/>
        <item x="305"/>
        <item x="181"/>
        <item x="139"/>
        <item x="418"/>
        <item x="87"/>
        <item x="417"/>
        <item x="113"/>
        <item x="416"/>
        <item x="283"/>
        <item x="266"/>
        <item x="2"/>
        <item x="614"/>
        <item x="312"/>
        <item x="425"/>
        <item x="74"/>
        <item x="73"/>
        <item x="313"/>
        <item x="492"/>
        <item x="520"/>
        <item x="16"/>
        <item x="21"/>
        <item x="118"/>
        <item x="178"/>
        <item x="153"/>
        <item x="415"/>
        <item x="29"/>
        <item x="394"/>
        <item x="562"/>
        <item x="583"/>
        <item x="229"/>
        <item x="15"/>
        <item x="281"/>
        <item x="284"/>
        <item x="38"/>
        <item x="539"/>
        <item x="642"/>
        <item x="258"/>
        <item x="102"/>
        <item x="640"/>
        <item x="114"/>
        <item x="116"/>
        <item x="115"/>
        <item x="392"/>
        <item x="61"/>
        <item x="612"/>
        <item x="652"/>
        <item x="386"/>
        <item x="391"/>
        <item x="579"/>
        <item x="252"/>
        <item x="388"/>
        <item x="540"/>
        <item x="372"/>
        <item x="143"/>
        <item x="144"/>
        <item x="155"/>
        <item x="438"/>
        <item x="646"/>
        <item x="478"/>
        <item x="439"/>
        <item x="429"/>
        <item x="374"/>
        <item x="33"/>
        <item x="359"/>
        <item x="596"/>
        <item x="637"/>
        <item x="51"/>
        <item x="445"/>
        <item x="225"/>
        <item x="358"/>
        <item x="648"/>
        <item x="323"/>
        <item x="159"/>
        <item x="160"/>
        <item x="307"/>
        <item x="296"/>
        <item x="221"/>
        <item x="412"/>
        <item x="195"/>
        <item x="196"/>
        <item x="291"/>
        <item x="290"/>
        <item x="232"/>
        <item x="615"/>
        <item x="249"/>
        <item m="1" x="705"/>
        <item x="511"/>
        <item x="581"/>
        <item x="131"/>
        <item x="126"/>
        <item x="515"/>
        <item x="277"/>
        <item x="430"/>
        <item x="92"/>
        <item x="589"/>
        <item x="66"/>
        <item x="333"/>
        <item x="205"/>
        <item x="35"/>
        <item x="39"/>
        <item x="37"/>
        <item x="279"/>
        <item x="488"/>
        <item x="699"/>
        <item x="360"/>
        <item x="128"/>
        <item x="481"/>
        <item x="402"/>
        <item x="103"/>
        <item x="476"/>
        <item x="449"/>
        <item x="605"/>
        <item x="369"/>
        <item x="220"/>
        <item x="96"/>
        <item x="560"/>
        <item x="334"/>
        <item x="124"/>
        <item x="318"/>
        <item x="633"/>
        <item x="130"/>
        <item x="297"/>
        <item x="24"/>
        <item x="23"/>
        <item x="423"/>
        <item x="592"/>
        <item x="482"/>
        <item x="483"/>
        <item x="477"/>
        <item x="68"/>
        <item x="501"/>
        <item x="0"/>
        <item x="204"/>
        <item x="203"/>
        <item x="206"/>
        <item x="655"/>
        <item x="268"/>
        <item x="237"/>
        <item x="338"/>
        <item x="337"/>
        <item x="656"/>
        <item x="403"/>
        <item x="58"/>
        <item x="223"/>
        <item x="617"/>
        <item x="202"/>
        <item x="127"/>
        <item x="293"/>
        <item x="468"/>
        <item x="322"/>
        <item x="226"/>
        <item x="94"/>
        <item x="586"/>
        <item x="145"/>
        <item x="336"/>
        <item x="566"/>
        <item m="1" x="710"/>
        <item x="578"/>
        <item x="227"/>
        <item x="243"/>
        <item x="548"/>
        <item x="5"/>
        <item x="495"/>
        <item x="321"/>
        <item x="325"/>
        <item x="381"/>
        <item x="13"/>
        <item x="11"/>
        <item x="535"/>
        <item x="47"/>
        <item x="516"/>
        <item x="328"/>
        <item x="329"/>
        <item x="327"/>
        <item x="364"/>
        <item x="568"/>
        <item x="536"/>
        <item x="382"/>
        <item x="217"/>
        <item x="273"/>
        <item x="197"/>
        <item x="189"/>
        <item x="473"/>
        <item x="34"/>
        <item x="65"/>
        <item x="523"/>
        <item x="64"/>
        <item x="378"/>
        <item x="549"/>
        <item x="267"/>
        <item x="117"/>
        <item x="147"/>
        <item x="140"/>
        <item x="146"/>
        <item x="173"/>
        <item x="172"/>
        <item x="177"/>
        <item x="176"/>
        <item x="149"/>
        <item x="148"/>
        <item x="357"/>
        <item x="320"/>
        <item x="668"/>
        <item x="669"/>
        <item x="670"/>
        <item x="671"/>
        <item x="672"/>
        <item x="673"/>
        <item x="674"/>
        <item x="675"/>
        <item x="676"/>
        <item x="677"/>
        <item x="678"/>
        <item x="679"/>
        <item x="680"/>
        <item x="681"/>
        <item x="650"/>
        <item x="682"/>
        <item x="683"/>
        <item x="684"/>
        <item x="685"/>
        <item x="686"/>
        <item x="687"/>
        <item x="688"/>
        <item x="689"/>
        <item x="690"/>
        <item x="691"/>
        <item x="692"/>
        <item x="693"/>
        <item x="694"/>
        <item x="695"/>
        <item x="696"/>
        <item x="697"/>
        <item x="698"/>
        <item x="451"/>
        <item x="700"/>
        <item x="701"/>
        <item x="702"/>
        <item x="703"/>
        <item x="70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44" showAll="0"/>
    <pivotField showAll="0"/>
    <pivotField showAll="0"/>
    <pivotField showAll="0"/>
    <pivotField showAll="0"/>
    <pivotField showAll="0"/>
    <pivotField showAll="0"/>
    <pivotField showAll="0"/>
    <pivotField axis="axisPage" multipleItemSelectionAllowed="1" showAll="0">
      <items count="220">
        <item h="1" x="0"/>
        <item h="1" x="90"/>
        <item h="1" x="150"/>
        <item h="1" x="177"/>
        <item h="1" x="101"/>
        <item h="1" x="45"/>
        <item h="1" x="82"/>
        <item h="1" x="91"/>
        <item h="1" x="125"/>
        <item h="1" x="158"/>
        <item h="1" x="152"/>
        <item h="1" x="37"/>
        <item h="1" x="136"/>
        <item h="1" x="53"/>
        <item h="1" x="63"/>
        <item x="198"/>
        <item h="1" x="100"/>
        <item h="1" x="122"/>
        <item h="1" x="139"/>
        <item h="1" x="3"/>
        <item h="1" x="167"/>
        <item h="1" x="35"/>
        <item h="1" x="162"/>
        <item h="1" x="192"/>
        <item x="182"/>
        <item h="1" x="112"/>
        <item h="1" x="102"/>
        <item h="1" x="117"/>
        <item h="1" x="141"/>
        <item h="1" x="137"/>
        <item h="1" x="19"/>
        <item h="1" x="151"/>
        <item h="1" x="6"/>
        <item h="1" x="39"/>
        <item h="1" x="118"/>
        <item h="1" x="181"/>
        <item h="1" x="193"/>
        <item h="1" x="111"/>
        <item h="1" x="11"/>
        <item h="1" x="15"/>
        <item h="1" x="34"/>
        <item h="1" x="25"/>
        <item h="1" x="36"/>
        <item h="1" x="38"/>
        <item h="1" x="2"/>
        <item h="1" x="66"/>
        <item x="216"/>
        <item h="1" x="94"/>
        <item h="1" x="164"/>
        <item h="1" x="205"/>
        <item h="1" x="74"/>
        <item x="210"/>
        <item h="1" x="165"/>
        <item h="1" x="180"/>
        <item h="1" x="65"/>
        <item h="1" x="196"/>
        <item h="1" x="124"/>
        <item h="1" x="4"/>
        <item h="1" x="27"/>
        <item h="1" x="54"/>
        <item h="1" x="55"/>
        <item h="1" x="174"/>
        <item h="1" x="70"/>
        <item h="1" x="85"/>
        <item h="1" x="115"/>
        <item h="1" x="129"/>
        <item h="1" x="149"/>
        <item h="1" x="18"/>
        <item h="1" x="153"/>
        <item h="1" x="183"/>
        <item h="1" x="189"/>
        <item h="1" x="202"/>
        <item h="1" x="67"/>
        <item h="1" x="93"/>
        <item h="1" x="99"/>
        <item h="1" x="116"/>
        <item h="1" x="146"/>
        <item h="1" x="157"/>
        <item h="1" x="88"/>
        <item h="1" x="119"/>
        <item h="1" x="12"/>
        <item h="1" x="138"/>
        <item h="1" x="148"/>
        <item h="1" x="16"/>
        <item h="1" x="159"/>
        <item h="1" x="166"/>
        <item h="1" x="169"/>
        <item h="1" x="43"/>
        <item h="1" x="173"/>
        <item h="1" x="56"/>
        <item h="1" x="84"/>
        <item h="1" x="86"/>
        <item h="1" x="133"/>
        <item h="1" x="155"/>
        <item h="1" x="171"/>
        <item h="1" x="41"/>
        <item h="1" x="44"/>
        <item h="1" x="209"/>
        <item h="1" x="214"/>
        <item h="1" x="134"/>
        <item h="1" x="68"/>
        <item h="1" x="73"/>
        <item h="1" x="75"/>
        <item h="1" x="120"/>
        <item h="1" x="130"/>
        <item h="1" x="154"/>
        <item h="1" x="33"/>
        <item h="1" x="170"/>
        <item h="1" x="187"/>
        <item h="1" x="207"/>
        <item h="1" x="213"/>
        <item h="1" x="81"/>
        <item h="1" x="92"/>
        <item h="1" x="126"/>
        <item h="1" x="131"/>
        <item h="1" x="20"/>
        <item h="1" x="156"/>
        <item h="1" x="42"/>
        <item h="1" x="47"/>
        <item h="1" x="57"/>
        <item h="1" x="98"/>
        <item h="1" x="22"/>
        <item h="1" x="195"/>
        <item h="1" x="69"/>
        <item h="1" x="83"/>
        <item h="1" x="89"/>
        <item h="1" x="95"/>
        <item h="1" x="109"/>
        <item h="1" x="7"/>
        <item h="1" x="9"/>
        <item h="1" x="163"/>
        <item h="1" x="191"/>
        <item h="1" x="58"/>
        <item h="1" x="114"/>
        <item h="1" x="144"/>
        <item h="1" x="21"/>
        <item h="1" x="28"/>
        <item h="1" x="172"/>
        <item h="1" x="50"/>
        <item h="1" x="51"/>
        <item h="1" x="186"/>
        <item h="1" x="188"/>
        <item h="1" x="59"/>
        <item h="1" x="197"/>
        <item h="1" x="107"/>
        <item h="1" x="14"/>
        <item h="1" x="23"/>
        <item h="1" x="26"/>
        <item h="1" x="179"/>
        <item h="1" x="49"/>
        <item h="1" x="106"/>
        <item h="1" x="105"/>
        <item h="1" x="145"/>
        <item h="1" x="29"/>
        <item h="1" x="78"/>
        <item h="1" x="97"/>
        <item h="1" x="127"/>
        <item h="1" x="161"/>
        <item h="1" x="176"/>
        <item h="1" x="185"/>
        <item h="1" x="199"/>
        <item h="1" x="208"/>
        <item h="1" x="79"/>
        <item h="1" x="31"/>
        <item h="1" x="40"/>
        <item h="1" x="200"/>
        <item h="1" x="72"/>
        <item h="1" m="1" x="218"/>
        <item h="1" x="140"/>
        <item h="1" x="147"/>
        <item h="1" x="46"/>
        <item h="1" x="184"/>
        <item h="1" x="87"/>
        <item h="1" x="113"/>
        <item h="1" x="110"/>
        <item h="1" x="8"/>
        <item h="1" x="48"/>
        <item h="1" x="52"/>
        <item h="1" x="190"/>
        <item h="1" x="61"/>
        <item h="1" x="194"/>
        <item h="1" x="204"/>
        <item h="1" x="80"/>
        <item h="1" x="132"/>
        <item h="1" x="143"/>
        <item h="1" x="30"/>
        <item h="1" x="168"/>
        <item h="1" x="62"/>
        <item h="1" x="160"/>
        <item h="1" x="203"/>
        <item h="1" x="77"/>
        <item h="1" x="5"/>
        <item h="1" x="13"/>
        <item h="1" x="32"/>
        <item h="1" x="175"/>
        <item h="1" x="60"/>
        <item h="1" x="206"/>
        <item h="1" x="103"/>
        <item h="1" x="123"/>
        <item h="1" x="10"/>
        <item h="1" x="142"/>
        <item h="1" x="24"/>
        <item h="1" x="71"/>
        <item h="1" x="76"/>
        <item h="1" x="104"/>
        <item h="1" x="108"/>
        <item h="1" x="135"/>
        <item h="1" x="1"/>
        <item h="1" x="17"/>
        <item h="1" x="178"/>
        <item h="1" x="201"/>
        <item h="1" x="64"/>
        <item h="1" x="96"/>
        <item h="1" x="121"/>
        <item h="1" x="128"/>
        <item h="1" x="211"/>
        <item x="215"/>
        <item x="212"/>
        <item x="217"/>
        <item t="default"/>
      </items>
    </pivotField>
    <pivotField showAll="0"/>
    <pivotField showAll="0"/>
    <pivotField showAll="0"/>
    <pivotField showAll="0"/>
    <pivotField showAll="0"/>
    <pivotField showAll="0"/>
    <pivotField showAll="0"/>
    <pivotField showAll="0"/>
    <pivotField showAll="0"/>
    <pivotField dataField="1" showAll="0"/>
  </pivotFields>
  <rowFields count="1">
    <field x="6"/>
  </rowFields>
  <rowItems count="2">
    <i>
      <x v="254"/>
    </i>
    <i t="grand">
      <x/>
    </i>
  </rowItems>
  <colItems count="1">
    <i/>
  </colItems>
  <pageFields count="2">
    <pageField fld="0" hier="-1"/>
    <pageField fld="39" hier="-1"/>
  </pageFields>
  <dataFields count="1">
    <dataField name="Soma de qtde" fld="49" baseField="0" baseItem="0"/>
  </dataField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400-00000D000000}" name="Tabela dinâmica2"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Q22:R32" firstHeaderRow="1" firstDataRow="1" firstDataCol="1" rowPageCount="2" colPageCount="1"/>
  <pivotFields count="50">
    <pivotField axis="axisPage" multipleItemSelectionAllowed="1" showAll="0">
      <items count="5">
        <item x="1"/>
        <item h="1" x="0"/>
        <item h="1" x="2"/>
        <item h="1" x="3"/>
        <item t="default"/>
      </items>
    </pivotField>
    <pivotField showAll="0"/>
    <pivotField showAll="0"/>
    <pivotField showAll="0"/>
    <pivotField showAll="0"/>
    <pivotField showAll="0"/>
    <pivotField axis="axisRow" showAll="0">
      <items count="712">
        <item x="432"/>
        <item x="276"/>
        <item x="397"/>
        <item x="112"/>
        <item x="88"/>
        <item x="82"/>
        <item x="350"/>
        <item x="42"/>
        <item x="316"/>
        <item x="311"/>
        <item x="347"/>
        <item x="375"/>
        <item x="8"/>
        <item x="368"/>
        <item x="63"/>
        <item x="230"/>
        <item x="348"/>
        <item x="235"/>
        <item x="228"/>
        <item x="240"/>
        <item x="373"/>
        <item x="120"/>
        <item x="426"/>
        <item x="165"/>
        <item x="278"/>
        <item x="282"/>
        <item x="190"/>
        <item x="180"/>
        <item x="361"/>
        <item x="298"/>
        <item x="414"/>
        <item x="119"/>
        <item x="56"/>
        <item x="339"/>
        <item x="410"/>
        <item x="385"/>
        <item x="170"/>
        <item x="169"/>
        <item x="239"/>
        <item x="10"/>
        <item x="9"/>
        <item x="309"/>
        <item x="248"/>
        <item x="393"/>
        <item x="236"/>
        <item x="272"/>
        <item x="340"/>
        <item x="362"/>
        <item x="57"/>
        <item x="395"/>
        <item x="399"/>
        <item x="406"/>
        <item x="182"/>
        <item x="183"/>
        <item x="238"/>
        <item x="219"/>
        <item x="141"/>
        <item x="192"/>
        <item x="428"/>
        <item x="55"/>
        <item x="43"/>
        <item x="100"/>
        <item x="81"/>
        <item x="370"/>
        <item x="376"/>
        <item x="377"/>
        <item x="274"/>
        <item x="275"/>
        <item x="247"/>
        <item x="91"/>
        <item x="3"/>
        <item x="435"/>
        <item x="154"/>
        <item x="157"/>
        <item x="151"/>
        <item x="264"/>
        <item x="254"/>
        <item x="379"/>
        <item x="263"/>
        <item x="253"/>
        <item x="194"/>
        <item x="424"/>
        <item x="84"/>
        <item x="341"/>
        <item x="111"/>
        <item x="419"/>
        <item x="387"/>
        <item x="383"/>
        <item x="352"/>
        <item x="342"/>
        <item x="133"/>
        <item x="104"/>
        <item x="330"/>
        <item x="109"/>
        <item x="156"/>
        <item x="32"/>
        <item x="93"/>
        <item x="224"/>
        <item x="367"/>
        <item x="366"/>
        <item x="233"/>
        <item x="193"/>
        <item x="401"/>
        <item x="50"/>
        <item x="345"/>
        <item x="314"/>
        <item x="280"/>
        <item x="292"/>
        <item x="288"/>
        <item x="343"/>
        <item x="269"/>
        <item x="18"/>
        <item x="19"/>
        <item x="234"/>
        <item x="31"/>
        <item x="304"/>
        <item x="46"/>
        <item x="49"/>
        <item x="62"/>
        <item x="210"/>
        <item x="14"/>
        <item x="396"/>
        <item x="106"/>
        <item x="67"/>
        <item x="200"/>
        <item x="107"/>
        <item x="25"/>
        <item x="199"/>
        <item x="90"/>
        <item x="171"/>
        <item x="335"/>
        <item x="110"/>
        <item x="125"/>
        <item x="123"/>
        <item x="77"/>
        <item x="294"/>
        <item x="167"/>
        <item x="166"/>
        <item x="265"/>
        <item x="251"/>
        <item x="411"/>
        <item x="187"/>
        <item x="363"/>
        <item x="101"/>
        <item x="152"/>
        <item x="175"/>
        <item x="351"/>
        <item x="99"/>
        <item x="250"/>
        <item x="45"/>
        <item x="211"/>
        <item x="214"/>
        <item x="213"/>
        <item x="7"/>
        <item x="174"/>
        <item x="135"/>
        <item x="27"/>
        <item x="122"/>
        <item x="121"/>
        <item x="98"/>
        <item x="409"/>
        <item x="71"/>
        <item x="129"/>
        <item x="44"/>
        <item x="185"/>
        <item x="216"/>
        <item x="215"/>
        <item x="20"/>
        <item x="4"/>
        <item x="433"/>
        <item x="365"/>
        <item x="270"/>
        <item x="255"/>
        <item x="310"/>
        <item x="287"/>
        <item x="188"/>
        <item x="28"/>
        <item x="434"/>
        <item x="344"/>
        <item x="97"/>
        <item x="89"/>
        <item x="48"/>
        <item x="245"/>
        <item x="346"/>
        <item x="244"/>
        <item x="289"/>
        <item x="408"/>
        <item x="300"/>
        <item x="371"/>
        <item x="158"/>
        <item x="404"/>
        <item x="407"/>
        <item x="59"/>
        <item x="356"/>
        <item x="95"/>
        <item x="308"/>
        <item x="315"/>
        <item x="260"/>
        <item x="259"/>
        <item x="319"/>
        <item x="60"/>
        <item x="355"/>
        <item x="286"/>
        <item x="285"/>
        <item x="380"/>
        <item x="389"/>
        <item x="390"/>
        <item x="218"/>
        <item x="41"/>
        <item x="17"/>
        <item x="26"/>
        <item x="208"/>
        <item x="207"/>
        <item x="150"/>
        <item x="191"/>
        <item x="295"/>
        <item x="184"/>
        <item x="54"/>
        <item x="256"/>
        <item x="405"/>
        <item x="422"/>
        <item x="163"/>
        <item x="427"/>
        <item x="431"/>
        <item x="201"/>
        <item x="400"/>
        <item x="162"/>
        <item x="161"/>
        <item x="398"/>
        <item x="246"/>
        <item x="22"/>
        <item x="12"/>
        <item x="69"/>
        <item x="79"/>
        <item x="353"/>
        <item x="241"/>
        <item x="242"/>
        <item x="179"/>
        <item x="354"/>
        <item x="413"/>
        <item x="78"/>
        <item x="86"/>
        <item x="384"/>
        <item x="70"/>
        <item x="349"/>
        <item x="306"/>
        <item x="305"/>
        <item x="181"/>
        <item x="139"/>
        <item x="418"/>
        <item x="87"/>
        <item x="417"/>
        <item x="113"/>
        <item x="416"/>
        <item x="266"/>
        <item x="2"/>
        <item x="312"/>
        <item x="425"/>
        <item x="74"/>
        <item x="73"/>
        <item x="313"/>
        <item x="16"/>
        <item x="21"/>
        <item x="118"/>
        <item x="153"/>
        <item x="415"/>
        <item x="29"/>
        <item x="394"/>
        <item x="229"/>
        <item x="281"/>
        <item x="284"/>
        <item x="38"/>
        <item x="258"/>
        <item x="102"/>
        <item x="114"/>
        <item x="116"/>
        <item x="115"/>
        <item x="392"/>
        <item x="61"/>
        <item x="386"/>
        <item x="391"/>
        <item x="252"/>
        <item x="388"/>
        <item x="372"/>
        <item x="143"/>
        <item x="429"/>
        <item x="374"/>
        <item x="33"/>
        <item x="359"/>
        <item x="225"/>
        <item x="358"/>
        <item x="323"/>
        <item x="159"/>
        <item x="160"/>
        <item x="307"/>
        <item x="296"/>
        <item x="221"/>
        <item x="412"/>
        <item x="195"/>
        <item x="290"/>
        <item x="232"/>
        <item x="249"/>
        <item m="1" x="705"/>
        <item x="131"/>
        <item x="277"/>
        <item x="430"/>
        <item x="92"/>
        <item x="66"/>
        <item x="205"/>
        <item x="35"/>
        <item x="39"/>
        <item x="37"/>
        <item x="128"/>
        <item x="402"/>
        <item x="103"/>
        <item x="369"/>
        <item x="220"/>
        <item x="96"/>
        <item x="124"/>
        <item x="318"/>
        <item x="130"/>
        <item x="297"/>
        <item x="24"/>
        <item x="23"/>
        <item x="423"/>
        <item x="68"/>
        <item x="0"/>
        <item x="204"/>
        <item x="206"/>
        <item x="268"/>
        <item x="237"/>
        <item x="338"/>
        <item x="337"/>
        <item x="403"/>
        <item x="58"/>
        <item x="223"/>
        <item x="202"/>
        <item x="127"/>
        <item x="293"/>
        <item x="322"/>
        <item x="226"/>
        <item x="94"/>
        <item x="227"/>
        <item x="243"/>
        <item x="5"/>
        <item x="321"/>
        <item x="325"/>
        <item x="381"/>
        <item x="13"/>
        <item x="11"/>
        <item x="47"/>
        <item x="327"/>
        <item x="364"/>
        <item x="382"/>
        <item x="217"/>
        <item x="189"/>
        <item x="34"/>
        <item x="64"/>
        <item x="378"/>
        <item x="267"/>
        <item x="117"/>
        <item x="147"/>
        <item x="146"/>
        <item x="173"/>
        <item x="172"/>
        <item x="177"/>
        <item x="176"/>
        <item x="148"/>
        <item x="357"/>
        <item x="320"/>
        <item x="437"/>
        <item x="438"/>
        <item x="439"/>
        <item x="440"/>
        <item x="442"/>
        <item x="443"/>
        <item x="445"/>
        <item x="446"/>
        <item x="454"/>
        <item x="448"/>
        <item x="449"/>
        <item x="450"/>
        <item x="699"/>
        <item x="453"/>
        <item x="441"/>
        <item x="455"/>
        <item x="456"/>
        <item x="457"/>
        <item x="458"/>
        <item x="459"/>
        <item x="460"/>
        <item x="461"/>
        <item x="462"/>
        <item x="463"/>
        <item x="464"/>
        <item x="465"/>
        <item x="466"/>
        <item x="467"/>
        <item x="468"/>
        <item x="469"/>
        <item x="470"/>
        <item x="471"/>
        <item x="472"/>
        <item x="473"/>
        <item x="475"/>
        <item x="476"/>
        <item x="478"/>
        <item x="474"/>
        <item x="477"/>
        <item x="479"/>
        <item x="480"/>
        <item x="481"/>
        <item x="484"/>
        <item x="436"/>
        <item x="447"/>
        <item x="452"/>
        <item x="486"/>
        <item x="488"/>
        <item x="489"/>
        <item x="490"/>
        <item x="336"/>
        <item x="491"/>
        <item x="444"/>
        <item x="492"/>
        <item x="494"/>
        <item x="495"/>
        <item x="497"/>
        <item x="498"/>
        <item x="499"/>
        <item x="500"/>
        <item x="501"/>
        <item x="502"/>
        <item x="503"/>
        <item x="504"/>
        <item x="505"/>
        <item x="506"/>
        <item x="507"/>
        <item x="509"/>
        <item x="493"/>
        <item x="511"/>
        <item x="512"/>
        <item x="513"/>
        <item x="514"/>
        <item x="515"/>
        <item x="516"/>
        <item x="517"/>
        <item x="518"/>
        <item x="519"/>
        <item x="520"/>
        <item x="521"/>
        <item x="522"/>
        <item x="523"/>
        <item x="524"/>
        <item x="525"/>
        <item x="526"/>
        <item x="527"/>
        <item x="528"/>
        <item x="529"/>
        <item x="530"/>
        <item x="531"/>
        <item x="532"/>
        <item x="533"/>
        <item x="510"/>
        <item x="534"/>
        <item x="535"/>
        <item x="536"/>
        <item x="537"/>
        <item x="538"/>
        <item x="496"/>
        <item x="508"/>
        <item x="539"/>
        <item x="540"/>
        <item x="542"/>
        <item x="543"/>
        <item x="544"/>
        <item x="545"/>
        <item x="487"/>
        <item x="546"/>
        <item x="550"/>
        <item x="552"/>
        <item x="553"/>
        <item x="554"/>
        <item x="555"/>
        <item x="557"/>
        <item x="558"/>
        <item x="559"/>
        <item x="560"/>
        <item x="561"/>
        <item x="562"/>
        <item x="563"/>
        <item x="565"/>
        <item x="566"/>
        <item x="567"/>
        <item x="568"/>
        <item x="569"/>
        <item x="570"/>
        <item x="571"/>
        <item m="1" x="709"/>
        <item x="573"/>
        <item x="574"/>
        <item x="575"/>
        <item x="576"/>
        <item x="577"/>
        <item m="1" x="710"/>
        <item x="579"/>
        <item x="580"/>
        <item x="581"/>
        <item x="582"/>
        <item x="583"/>
        <item x="584"/>
        <item x="585"/>
        <item x="586"/>
        <item m="1" x="707"/>
        <item x="588"/>
        <item x="589"/>
        <item x="590"/>
        <item x="591"/>
        <item x="592"/>
        <item x="593"/>
        <item x="594"/>
        <item x="595"/>
        <item x="1"/>
        <item x="6"/>
        <item x="15"/>
        <item x="30"/>
        <item x="36"/>
        <item x="40"/>
        <item x="51"/>
        <item x="52"/>
        <item x="53"/>
        <item x="65"/>
        <item x="72"/>
        <item x="75"/>
        <item x="76"/>
        <item x="80"/>
        <item x="83"/>
        <item x="85"/>
        <item x="105"/>
        <item x="108"/>
        <item x="126"/>
        <item x="132"/>
        <item x="134"/>
        <item x="136"/>
        <item x="137"/>
        <item x="138"/>
        <item x="140"/>
        <item x="142"/>
        <item x="144"/>
        <item x="145"/>
        <item x="149"/>
        <item x="155"/>
        <item x="164"/>
        <item x="168"/>
        <item x="178"/>
        <item x="186"/>
        <item x="196"/>
        <item x="197"/>
        <item x="198"/>
        <item x="203"/>
        <item x="209"/>
        <item x="212"/>
        <item x="222"/>
        <item x="231"/>
        <item x="257"/>
        <item x="261"/>
        <item x="262"/>
        <item x="271"/>
        <item x="273"/>
        <item x="279"/>
        <item x="283"/>
        <item x="291"/>
        <item x="299"/>
        <item x="301"/>
        <item x="302"/>
        <item x="303"/>
        <item x="317"/>
        <item x="324"/>
        <item x="326"/>
        <item x="328"/>
        <item x="329"/>
        <item x="331"/>
        <item x="332"/>
        <item x="333"/>
        <item x="334"/>
        <item x="360"/>
        <item x="420"/>
        <item x="421"/>
        <item x="482"/>
        <item x="483"/>
        <item x="485"/>
        <item x="541"/>
        <item x="547"/>
        <item x="548"/>
        <item x="549"/>
        <item x="551"/>
        <item x="556"/>
        <item x="564"/>
        <item x="596"/>
        <item x="597"/>
        <item x="598"/>
        <item x="599"/>
        <item x="600"/>
        <item x="601"/>
        <item x="602"/>
        <item x="603"/>
        <item x="604"/>
        <item x="605"/>
        <item x="606"/>
        <item x="607"/>
        <item x="608"/>
        <item x="609"/>
        <item x="610"/>
        <item x="611"/>
        <item x="612"/>
        <item x="613"/>
        <item x="572"/>
        <item x="578"/>
        <item x="614"/>
        <item x="615"/>
        <item x="616"/>
        <item x="617"/>
        <item m="1" x="708"/>
        <item x="619"/>
        <item x="620"/>
        <item x="621"/>
        <item x="622"/>
        <item x="623"/>
        <item x="624"/>
        <item x="625"/>
        <item x="626"/>
        <item x="627"/>
        <item x="628"/>
        <item x="629"/>
        <item x="630"/>
        <item x="631"/>
        <item x="632"/>
        <item x="633"/>
        <item x="634"/>
        <item x="587"/>
        <item x="618"/>
        <item x="635"/>
        <item x="636"/>
        <item x="637"/>
        <item x="638"/>
        <item x="639"/>
        <item x="640"/>
        <item x="641"/>
        <item x="642"/>
        <item x="643"/>
        <item x="644"/>
        <item x="645"/>
        <item x="646"/>
        <item x="647"/>
        <item x="648"/>
        <item x="649"/>
        <item m="1" x="706"/>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50"/>
        <item x="682"/>
        <item x="683"/>
        <item x="684"/>
        <item x="685"/>
        <item x="686"/>
        <item x="687"/>
        <item x="688"/>
        <item x="689"/>
        <item x="690"/>
        <item x="691"/>
        <item x="692"/>
        <item x="693"/>
        <item x="694"/>
        <item x="695"/>
        <item x="696"/>
        <item x="697"/>
        <item x="698"/>
        <item x="451"/>
        <item x="700"/>
        <item x="701"/>
        <item x="702"/>
        <item x="703"/>
        <item x="70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44" showAll="0"/>
    <pivotField showAll="0"/>
    <pivotField showAll="0"/>
    <pivotField showAll="0"/>
    <pivotField showAll="0"/>
    <pivotField showAll="0"/>
    <pivotField showAll="0"/>
    <pivotField showAll="0"/>
    <pivotField showAll="0"/>
    <pivotField showAll="0"/>
    <pivotField axis="axisPage" multipleItemSelectionAllowed="1" showAll="0">
      <items count="243">
        <item h="1" x="100"/>
        <item h="1" x="7"/>
        <item h="1" x="147"/>
        <item h="1" x="192"/>
        <item h="1" x="68"/>
        <item h="1" x="82"/>
        <item h="1" x="73"/>
        <item h="1" x="91"/>
        <item h="1" x="137"/>
        <item h="1" x="3"/>
        <item h="1" x="4"/>
        <item h="1" x="170"/>
        <item h="1" x="162"/>
        <item h="1" x="45"/>
        <item h="1" x="163"/>
        <item h="1" x="55"/>
        <item h="1" x="60"/>
        <item h="1" x="72"/>
        <item h="1" x="74"/>
        <item h="1" x="101"/>
        <item h="1" x="109"/>
        <item h="1" x="133"/>
        <item h="1" x="150"/>
        <item h="1" x="148"/>
        <item h="1" x="18"/>
        <item h="1" x="15"/>
        <item h="1" x="181"/>
        <item h="1" x="44"/>
        <item h="1" x="194"/>
        <item h="1" x="112"/>
        <item h="1" x="125"/>
        <item h="1" x="12"/>
        <item h="1" x="152"/>
        <item h="1" x="2"/>
        <item h="1" x="164"/>
        <item h="1" x="41"/>
        <item h="1" x="46"/>
        <item h="1" x="126"/>
        <item h="1" x="197"/>
        <item h="1" x="90"/>
        <item h="1" x="121"/>
        <item h="1" x="16"/>
        <item h="1" x="43"/>
        <item h="1" x="23"/>
        <item h="1" x="167"/>
        <item h="1" x="62"/>
        <item h="1" x="85"/>
        <item h="1" x="104"/>
        <item h="1" x="177"/>
        <item h="1" x="83"/>
        <item h="1" x="105"/>
        <item h="1" x="141"/>
        <item h="1" x="178"/>
        <item h="1" x="77"/>
        <item h="1" x="92"/>
        <item h="1" x="136"/>
        <item h="1" x="142"/>
        <item h="1" x="17"/>
        <item h="1" x="169"/>
        <item h="1" x="26"/>
        <item h="1" x="28"/>
        <item h="1" x="27"/>
        <item h="1" x="61"/>
        <item h="1" x="94"/>
        <item h="1" x="123"/>
        <item h="1" x="128"/>
        <item h="1" x="139"/>
        <item h="1" x="160"/>
        <item h="1" x="165"/>
        <item h="1" x="50"/>
        <item h="1" x="75"/>
        <item h="1" x="96"/>
        <item h="1" x="103"/>
        <item h="1" x="108"/>
        <item h="1" x="110"/>
        <item h="1" x="124"/>
        <item h="1" x="6"/>
        <item h="1" x="157"/>
        <item h="1" x="19"/>
        <item h="1" x="171"/>
        <item h="1" x="179"/>
        <item h="1" x="47"/>
        <item h="1" x="127"/>
        <item h="1" x="13"/>
        <item h="1" x="149"/>
        <item h="1" x="159"/>
        <item h="1" x="21"/>
        <item h="1" x="172"/>
        <item h="1" x="176"/>
        <item h="1" x="184"/>
        <item h="1" x="48"/>
        <item h="1" x="49"/>
        <item h="1" x="63"/>
        <item h="1" x="93"/>
        <item h="1" x="146"/>
        <item h="1" x="25"/>
        <item h="1" x="185"/>
        <item h="1" x="52"/>
        <item h="1" x="51"/>
        <item h="1" x="76"/>
        <item h="1" x="114"/>
        <item h="1" x="143"/>
        <item h="1" x="180"/>
        <item h="1" x="81"/>
        <item h="1" x="84"/>
        <item h="1" x="102"/>
        <item h="1" x="117"/>
        <item h="1" x="116"/>
        <item h="1" x="140"/>
        <item h="1" x="168"/>
        <item h="1" x="166"/>
        <item h="1" x="42"/>
        <item h="1" x="98"/>
        <item h="1" x="122"/>
        <item h="1" x="129"/>
        <item h="1" x="20"/>
        <item h="1" x="174"/>
        <item h="1" x="34"/>
        <item h="1" x="53"/>
        <item h="1" x="54"/>
        <item h="1" x="64"/>
        <item h="1" x="107"/>
        <item h="1" x="65"/>
        <item h="1" x="95"/>
        <item h="1" x="99"/>
        <item h="1" x="113"/>
        <item h="1" x="119"/>
        <item h="1" x="8"/>
        <item h="1" x="14"/>
        <item h="1" x="10"/>
        <item h="1" x="183"/>
        <item h="1" x="130"/>
        <item h="1" x="11"/>
        <item h="1" x="155"/>
        <item h="1" x="22"/>
        <item h="1" x="31"/>
        <item h="1" x="186"/>
        <item h="1" x="30"/>
        <item h="1" x="175"/>
        <item h="1" x="57"/>
        <item h="1" x="58"/>
        <item h="1" x="70"/>
        <item h="1" x="115"/>
        <item h="1" x="9"/>
        <item h="1" x="56"/>
        <item h="1" x="32"/>
        <item h="1" x="29"/>
        <item h="1" x="35"/>
        <item h="1" x="190"/>
        <item h="1" x="131"/>
        <item h="1" x="33"/>
        <item h="1" x="80"/>
        <item h="1" x="132"/>
        <item h="1" x="151"/>
        <item h="1" x="158"/>
        <item h="1" x="97"/>
        <item h="1" x="120"/>
        <item h="1" x="156"/>
        <item h="1" x="193"/>
        <item h="1" x="59"/>
        <item h="1" x="67"/>
        <item h="1" x="87"/>
        <item h="1" x="135"/>
        <item h="1" x="153"/>
        <item h="1" x="154"/>
        <item h="1" x="36"/>
        <item h="1" x="189"/>
        <item h="1" x="66"/>
        <item h="1" x="89"/>
        <item h="1" x="5"/>
        <item h="1" x="144"/>
        <item h="1" x="1"/>
        <item h="1" x="24"/>
        <item h="1" x="37"/>
        <item h="1" x="191"/>
        <item h="1" x="71"/>
        <item h="1" x="69"/>
        <item h="1" x="79"/>
        <item h="1" x="145"/>
        <item h="1" x="161"/>
        <item h="1" x="38"/>
        <item h="1" x="86"/>
        <item h="1" x="118"/>
        <item h="1" x="39"/>
        <item h="1" x="78"/>
        <item h="1" x="88"/>
        <item h="1" x="106"/>
        <item h="1" x="134"/>
        <item h="1" x="138"/>
        <item h="1" x="40"/>
        <item h="1" x="205"/>
        <item h="1" x="196"/>
        <item h="1" x="201"/>
        <item h="1" x="187"/>
        <item h="1" x="199"/>
        <item h="1" x="203"/>
        <item h="1" x="206"/>
        <item h="1" x="200"/>
        <item h="1" x="208"/>
        <item h="1" x="207"/>
        <item h="1" x="182"/>
        <item h="1" x="210"/>
        <item h="1" x="173"/>
        <item h="1" x="188"/>
        <item h="1" x="195"/>
        <item h="1" x="211"/>
        <item h="1" x="212"/>
        <item h="1" x="214"/>
        <item h="1" x="216"/>
        <item h="1" x="217"/>
        <item h="1" x="111"/>
        <item h="1" x="213"/>
        <item h="1" x="202"/>
        <item h="1" x="215"/>
        <item h="1" x="218"/>
        <item h="1" x="219"/>
        <item h="1" x="221"/>
        <item h="1" x="220"/>
        <item h="1" x="222"/>
        <item h="1" x="223"/>
        <item h="1" x="224"/>
        <item h="1" x="225"/>
        <item h="1" x="231"/>
        <item h="1" x="0"/>
        <item h="1" x="229"/>
        <item h="1" x="230"/>
        <item h="1" x="233"/>
        <item h="1" x="209"/>
        <item h="1" x="226"/>
        <item h="1" x="227"/>
        <item h="1" x="228"/>
        <item h="1" x="232"/>
        <item x="198"/>
        <item m="1" x="241"/>
        <item x="236"/>
        <item x="237"/>
        <item x="204"/>
        <item x="235"/>
        <item x="238"/>
        <item x="239"/>
        <item x="240"/>
        <item x="234"/>
        <item t="default"/>
      </items>
    </pivotField>
    <pivotField showAll="0"/>
    <pivotField showAll="0"/>
    <pivotField showAll="0"/>
    <pivotField showAll="0"/>
    <pivotField showAll="0"/>
    <pivotField showAll="0"/>
    <pivotField showAll="0"/>
    <pivotField dataField="1" showAll="0"/>
  </pivotFields>
  <rowFields count="1">
    <field x="6"/>
  </rowFields>
  <rowItems count="10">
    <i>
      <x v="382"/>
    </i>
    <i>
      <x v="413"/>
    </i>
    <i>
      <x v="589"/>
    </i>
    <i>
      <x v="636"/>
    </i>
    <i>
      <x v="687"/>
    </i>
    <i>
      <x v="688"/>
    </i>
    <i>
      <x v="705"/>
    </i>
    <i>
      <x v="708"/>
    </i>
    <i>
      <x v="709"/>
    </i>
    <i t="grand">
      <x/>
    </i>
  </rowItems>
  <colItems count="1">
    <i/>
  </colItems>
  <pageFields count="2">
    <pageField fld="0" hier="-1"/>
    <pageField fld="41" hier="-1"/>
  </pageFields>
  <dataFields count="1">
    <dataField name="Soma de QTDE" fld="49"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400-00000C000000}" name="Tabela dinâmica11" cacheId="1"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A1334:AB1342" firstHeaderRow="1" firstDataRow="1" firstDataCol="1" rowPageCount="2" colPageCount="1"/>
  <pivotFields count="43">
    <pivotField axis="axisPage" multipleItemSelectionAllowed="1" showAll="0">
      <items count="147">
        <item h="1" m="1" x="25"/>
        <item h="1" m="1" x="29"/>
        <item h="1" m="1" x="26"/>
        <item h="1" m="1" x="28"/>
        <item h="1" m="1" x="27"/>
        <item h="1" m="1" x="100"/>
        <item h="1" m="1" x="102"/>
        <item h="1" m="1" x="101"/>
        <item h="1" m="1" x="12"/>
        <item h="1" m="1" x="109"/>
        <item h="1" m="1" x="79"/>
        <item h="1" m="1" x="129"/>
        <item h="1" m="1" x="13"/>
        <item h="1" m="1" x="81"/>
        <item h="1" m="1" x="38"/>
        <item h="1" m="1" x="39"/>
        <item h="1" m="1" x="40"/>
        <item h="1" m="1" x="105"/>
        <item h="1" m="1" x="9"/>
        <item h="1" m="1" x="10"/>
        <item h="1" m="1" x="83"/>
        <item h="1" m="1" x="133"/>
        <item h="1" m="1" x="106"/>
        <item h="1" m="1" x="118"/>
        <item h="1" m="1" x="90"/>
        <item h="1" m="1" x="92"/>
        <item h="1" m="1" x="94"/>
        <item h="1" m="1" x="95"/>
        <item h="1" m="1" x="96"/>
        <item h="1" m="1" x="97"/>
        <item h="1" m="1" x="132"/>
        <item h="1" m="1" x="124"/>
        <item h="1" m="1" x="22"/>
        <item h="1" m="1" x="121"/>
        <item h="1" m="1" x="103"/>
        <item h="1" m="1" x="104"/>
        <item h="1" m="1" x="120"/>
        <item h="1" m="1" x="16"/>
        <item h="1" m="1" x="47"/>
        <item h="1" m="1" x="42"/>
        <item h="1" m="1" x="138"/>
        <item h="1" m="1" x="137"/>
        <item h="1" m="1" x="21"/>
        <item h="1" m="1" x="57"/>
        <item h="1" m="1" x="80"/>
        <item h="1" m="1" x="30"/>
        <item h="1" m="1" x="125"/>
        <item h="1" m="1" x="112"/>
        <item h="1" m="1" x="23"/>
        <item h="1" m="1" x="82"/>
        <item h="1" m="1" x="33"/>
        <item h="1" m="1" x="20"/>
        <item h="1" m="1" x="46"/>
        <item h="1" m="1" x="19"/>
        <item h="1" m="1" x="43"/>
        <item h="1" m="1" x="122"/>
        <item h="1" m="1" x="142"/>
        <item h="1" m="1" x="127"/>
        <item h="1" m="1" x="114"/>
        <item h="1" m="1" x="77"/>
        <item h="1" m="1" x="60"/>
        <item h="1" m="1" x="116"/>
        <item h="1" m="1" x="8"/>
        <item h="1" m="1" x="75"/>
        <item h="1" m="1" x="111"/>
        <item h="1" m="1" x="107"/>
        <item h="1" m="1" x="139"/>
        <item h="1" m="1" x="84"/>
        <item h="1" m="1" x="128"/>
        <item h="1" m="1" x="135"/>
        <item h="1" m="1" x="53"/>
        <item h="1" x="0"/>
        <item h="1" m="1" x="144"/>
        <item h="1" m="1" x="86"/>
        <item h="1" m="1" x="143"/>
        <item h="1" m="1" x="78"/>
        <item h="1" m="1" x="58"/>
        <item h="1" m="1" x="36"/>
        <item h="1" m="1" x="88"/>
        <item h="1" m="1" x="18"/>
        <item h="1" m="1" x="55"/>
        <item h="1" m="1" x="56"/>
        <item h="1" m="1" x="11"/>
        <item h="1" m="1" x="5"/>
        <item h="1" m="1" x="115"/>
        <item h="1" m="1" x="61"/>
        <item h="1" m="1" x="15"/>
        <item h="1" m="1" x="72"/>
        <item h="1" m="1" x="49"/>
        <item h="1" m="1" x="17"/>
        <item h="1" m="1" x="62"/>
        <item h="1" m="1" x="76"/>
        <item h="1" m="1" x="87"/>
        <item h="1" m="1" x="54"/>
        <item h="1" x="2"/>
        <item h="1" m="1" x="50"/>
        <item h="1" m="1" x="136"/>
        <item h="1" m="1" x="119"/>
        <item h="1" m="1" x="117"/>
        <item h="1" m="1" x="110"/>
        <item h="1" m="1" x="51"/>
        <item h="1" m="1" x="6"/>
        <item h="1" m="1" x="31"/>
        <item h="1" m="1" x="130"/>
        <item h="1" m="1" x="93"/>
        <item h="1" m="1" x="145"/>
        <item h="1" m="1" x="4"/>
        <item h="1" m="1" x="73"/>
        <item h="1" x="3"/>
        <item h="1" m="1" x="48"/>
        <item h="1" m="1" x="141"/>
        <item h="1" m="1" x="41"/>
        <item h="1" m="1" x="71"/>
        <item h="1" m="1" x="66"/>
        <item h="1" m="1" x="32"/>
        <item h="1" m="1" x="65"/>
        <item h="1" m="1" x="70"/>
        <item h="1" m="1" x="74"/>
        <item h="1" m="1" x="52"/>
        <item h="1" m="1" x="69"/>
        <item h="1" m="1" x="64"/>
        <item h="1" m="1" x="123"/>
        <item h="1" m="1" x="85"/>
        <item h="1" m="1" x="140"/>
        <item h="1" m="1" x="108"/>
        <item h="1" m="1" x="37"/>
        <item h="1" m="1" x="134"/>
        <item h="1" m="1" x="35"/>
        <item h="1" m="1" x="45"/>
        <item h="1" m="1" x="44"/>
        <item h="1" m="1" x="34"/>
        <item h="1" m="1" x="14"/>
        <item h="1" m="1" x="59"/>
        <item x="1"/>
        <item h="1" m="1" x="89"/>
        <item h="1" m="1" x="67"/>
        <item h="1" m="1" x="131"/>
        <item h="1" m="1" x="98"/>
        <item h="1" m="1" x="24"/>
        <item h="1" m="1" x="126"/>
        <item h="1" m="1" x="99"/>
        <item h="1" m="1" x="68"/>
        <item h="1" m="1" x="63"/>
        <item h="1" m="1" x="91"/>
        <item h="1" m="1" x="113"/>
        <item h="1" m="1" x="7"/>
        <item t="default"/>
      </items>
    </pivotField>
    <pivotField showAll="0"/>
    <pivotField showAll="0"/>
    <pivotField showAll="0"/>
    <pivotField showAll="0"/>
    <pivotField showAll="0"/>
    <pivotField axis="axisRow" showAll="0">
      <items count="490">
        <item m="1" x="454"/>
        <item m="1" x="464"/>
        <item m="1" x="459"/>
        <item m="1" x="474"/>
        <item m="1" x="462"/>
        <item m="1" x="479"/>
        <item m="1" x="472"/>
        <item m="1" x="476"/>
        <item m="1" x="471"/>
        <item m="1" x="481"/>
        <item m="1" x="485"/>
        <item m="1" x="477"/>
        <item m="1" x="457"/>
        <item m="1" x="460"/>
        <item m="1" x="469"/>
        <item m="1" x="466"/>
        <item m="1" x="467"/>
        <item m="1" x="486"/>
        <item m="1" x="465"/>
        <item m="1" x="483"/>
        <item m="1" x="463"/>
        <item m="1" x="487"/>
        <item m="1" x="473"/>
        <item m="1" x="458"/>
        <item m="1" x="488"/>
        <item x="402"/>
        <item x="182"/>
        <item x="320"/>
        <item x="15"/>
        <item x="275"/>
        <item x="241"/>
        <item x="151"/>
        <item x="270"/>
        <item x="114"/>
        <item x="240"/>
        <item x="157"/>
        <item x="184"/>
        <item x="311"/>
        <item x="173"/>
        <item x="200"/>
        <item x="66"/>
        <item x="13"/>
        <item x="377"/>
        <item x="34"/>
        <item x="335"/>
        <item x="217"/>
        <item x="213"/>
        <item x="56"/>
        <item x="130"/>
        <item x="99"/>
        <item x="435"/>
        <item x="129"/>
        <item x="177"/>
        <item x="123"/>
        <item x="202"/>
        <item x="324"/>
        <item x="161"/>
        <item x="165"/>
        <item x="219"/>
        <item x="153"/>
        <item x="280"/>
        <item x="70"/>
        <item x="168"/>
        <item x="306"/>
        <item x="68"/>
        <item x="307"/>
        <item x="62"/>
        <item x="185"/>
        <item x="449"/>
        <item x="49"/>
        <item x="198"/>
        <item x="362"/>
        <item x="448"/>
        <item x="295"/>
        <item x="289"/>
        <item x="44"/>
        <item x="352"/>
        <item x="313"/>
        <item x="156"/>
        <item x="190"/>
        <item x="179"/>
        <item x="201"/>
        <item x="172"/>
        <item x="359"/>
        <item x="59"/>
        <item x="401"/>
        <item x="111"/>
        <item x="281"/>
        <item x="102"/>
        <item x="225"/>
        <item x="210"/>
        <item x="369"/>
        <item x="302"/>
        <item x="145"/>
        <item x="442"/>
        <item x="443"/>
        <item x="267"/>
        <item x="431"/>
        <item x="339"/>
        <item x="357"/>
        <item x="310"/>
        <item x="286"/>
        <item x="274"/>
        <item x="358"/>
        <item x="7"/>
        <item x="24"/>
        <item x="73"/>
        <item x="282"/>
        <item x="260"/>
        <item x="436"/>
        <item x="375"/>
        <item x="234"/>
        <item x="43"/>
        <item x="32"/>
        <item x="340"/>
        <item x="354"/>
        <item x="336"/>
        <item x="158"/>
        <item x="166"/>
        <item x="136"/>
        <item x="88"/>
        <item x="251"/>
        <item x="252"/>
        <item x="226"/>
        <item x="191"/>
        <item x="12"/>
        <item x="297"/>
        <item x="231"/>
        <item m="1" x="456"/>
        <item x="278"/>
        <item x="69"/>
        <item x="146"/>
        <item x="291"/>
        <item x="374"/>
        <item x="192"/>
        <item x="8"/>
        <item x="138"/>
        <item x="203"/>
        <item x="318"/>
        <item x="90"/>
        <item x="77"/>
        <item x="301"/>
        <item x="312"/>
        <item x="266"/>
        <item x="42"/>
        <item x="223"/>
        <item x="171"/>
        <item x="97"/>
        <item x="51"/>
        <item x="329"/>
        <item x="19"/>
        <item x="22"/>
        <item x="125"/>
        <item x="46"/>
        <item x="224"/>
        <item x="316"/>
        <item x="35"/>
        <item x="444"/>
        <item x="232"/>
        <item x="86"/>
        <item x="78"/>
        <item x="163"/>
        <item x="194"/>
        <item x="293"/>
        <item x="174"/>
        <item x="332"/>
        <item x="408"/>
        <item x="248"/>
        <item x="31"/>
        <item x="355"/>
        <item x="363"/>
        <item x="364"/>
        <item x="338"/>
        <item x="333"/>
        <item x="29"/>
        <item x="127"/>
        <item x="65"/>
        <item x="98"/>
        <item x="144"/>
        <item x="426"/>
        <item x="368"/>
        <item x="126"/>
        <item x="437"/>
        <item x="254"/>
        <item x="269"/>
        <item x="447"/>
        <item x="425"/>
        <item x="229"/>
        <item x="265"/>
        <item x="433"/>
        <item x="64"/>
        <item x="233"/>
        <item x="148"/>
        <item x="67"/>
        <item x="71"/>
        <item x="72"/>
        <item x="167"/>
        <item x="16"/>
        <item x="325"/>
        <item x="14"/>
        <item m="1" x="480"/>
        <item x="80"/>
        <item x="236"/>
        <item x="381"/>
        <item x="309"/>
        <item x="47"/>
        <item x="249"/>
        <item x="170"/>
        <item x="272"/>
        <item x="250"/>
        <item x="9"/>
        <item x="28"/>
        <item x="113"/>
        <item x="193"/>
        <item x="100"/>
        <item x="45"/>
        <item x="155"/>
        <item x="290"/>
        <item x="117"/>
        <item x="48"/>
        <item x="58"/>
        <item x="96"/>
        <item x="279"/>
        <item m="1" x="484"/>
        <item x="417"/>
        <item x="326"/>
        <item x="57"/>
        <item x="189"/>
        <item x="288"/>
        <item x="140"/>
        <item x="294"/>
        <item x="6"/>
        <item x="0"/>
        <item x="221"/>
        <item x="334"/>
        <item x="10"/>
        <item x="119"/>
        <item m="1" x="455"/>
        <item x="41"/>
        <item x="110"/>
        <item x="87"/>
        <item x="149"/>
        <item x="186"/>
        <item x="116"/>
        <item x="142"/>
        <item x="239"/>
        <item x="268"/>
        <item x="105"/>
        <item x="106"/>
        <item m="1" x="461"/>
        <item x="205"/>
        <item x="37"/>
        <item x="164"/>
        <item x="3"/>
        <item x="176"/>
        <item x="305"/>
        <item x="284"/>
        <item x="285"/>
        <item x="121"/>
        <item x="216"/>
        <item x="128"/>
        <item x="331"/>
        <item x="104"/>
        <item x="360"/>
        <item x="212"/>
        <item x="317"/>
        <item x="343"/>
        <item x="397"/>
        <item x="353"/>
        <item x="39"/>
        <item x="263"/>
        <item x="235"/>
        <item x="112"/>
        <item x="399"/>
        <item x="91"/>
        <item x="407"/>
        <item x="345"/>
        <item x="379"/>
        <item x="446"/>
        <item x="299"/>
        <item x="208"/>
        <item x="287"/>
        <item x="450"/>
        <item x="439"/>
        <item x="33"/>
        <item x="1"/>
        <item x="92"/>
        <item x="131"/>
        <item x="134"/>
        <item x="133"/>
        <item x="132"/>
        <item x="38"/>
        <item x="40"/>
        <item x="169"/>
        <item x="84"/>
        <item x="303"/>
        <item x="76"/>
        <item x="356"/>
        <item x="82"/>
        <item x="259"/>
        <item x="432"/>
        <item x="419"/>
        <item x="147"/>
        <item x="262"/>
        <item x="255"/>
        <item x="141"/>
        <item x="416"/>
        <item x="227"/>
        <item x="75"/>
        <item x="94"/>
        <item x="124"/>
        <item x="271"/>
        <item m="1" x="470"/>
        <item x="20"/>
        <item x="89"/>
        <item x="264"/>
        <item x="95"/>
        <item x="404"/>
        <item x="63"/>
        <item x="180"/>
        <item x="61"/>
        <item x="238"/>
        <item x="195"/>
        <item x="197"/>
        <item x="237"/>
        <item x="445"/>
        <item x="188"/>
        <item x="403"/>
        <item x="319"/>
        <item x="344"/>
        <item x="298"/>
        <item x="409"/>
        <item x="243"/>
        <item x="327"/>
        <item x="328"/>
        <item x="187"/>
        <item x="246"/>
        <item x="349"/>
        <item x="55"/>
        <item x="330"/>
        <item x="103"/>
        <item x="204"/>
        <item x="222"/>
        <item x="143"/>
        <item x="427"/>
        <item x="159"/>
        <item x="296"/>
        <item x="199"/>
        <item x="178"/>
        <item x="348"/>
        <item x="228"/>
        <item x="257"/>
        <item x="347"/>
        <item x="346"/>
        <item x="107"/>
        <item x="351"/>
        <item x="4"/>
        <item x="23"/>
        <item x="139"/>
        <item x="322"/>
        <item x="261"/>
        <item x="52"/>
        <item x="392"/>
        <item x="17"/>
        <item x="115"/>
        <item x="292"/>
        <item x="183"/>
        <item x="370"/>
        <item x="441"/>
        <item x="120"/>
        <item x="79"/>
        <item x="135"/>
        <item x="253"/>
        <item m="1" x="475"/>
        <item m="1" x="468"/>
        <item x="277"/>
        <item x="108"/>
        <item x="247"/>
        <item x="81"/>
        <item x="25"/>
        <item x="211"/>
        <item x="215"/>
        <item x="2"/>
        <item x="385"/>
        <item x="74"/>
        <item x="162"/>
        <item x="11"/>
        <item x="393"/>
        <item x="36"/>
        <item x="118"/>
        <item x="423"/>
        <item x="256"/>
        <item x="21"/>
        <item x="273"/>
        <item x="152"/>
        <item x="122"/>
        <item x="175"/>
        <item x="350"/>
        <item m="1" x="482"/>
        <item x="376"/>
        <item x="93"/>
        <item x="337"/>
        <item x="451"/>
        <item x="300"/>
        <item x="242"/>
        <item x="54"/>
        <item x="396"/>
        <item x="315"/>
        <item x="209"/>
        <item x="283"/>
        <item x="101"/>
        <item x="365"/>
        <item x="390"/>
        <item x="18"/>
        <item x="27"/>
        <item x="30"/>
        <item x="218"/>
        <item x="341"/>
        <item x="137"/>
        <item x="424"/>
        <item x="276"/>
        <item x="406"/>
        <item x="150"/>
        <item x="214"/>
        <item x="220"/>
        <item x="181"/>
        <item x="154"/>
        <item x="314"/>
        <item x="308"/>
        <item m="1" x="478"/>
        <item x="398"/>
        <item x="5"/>
        <item x="160"/>
        <item x="83"/>
        <item x="85"/>
        <item x="244"/>
        <item x="321"/>
        <item x="26"/>
        <item x="50"/>
        <item x="196"/>
        <item x="342"/>
        <item x="60"/>
        <item x="304"/>
        <item x="361"/>
        <item x="207"/>
        <item x="245"/>
        <item x="109"/>
        <item x="53"/>
        <item x="391"/>
        <item x="206"/>
        <item x="258"/>
        <item x="230"/>
        <item x="452"/>
        <item x="323"/>
        <item x="366"/>
        <item x="367"/>
        <item x="371"/>
        <item x="372"/>
        <item x="373"/>
        <item x="378"/>
        <item x="380"/>
        <item x="382"/>
        <item x="383"/>
        <item x="384"/>
        <item x="386"/>
        <item x="387"/>
        <item x="388"/>
        <item x="389"/>
        <item x="394"/>
        <item x="395"/>
        <item x="400"/>
        <item x="405"/>
        <item x="410"/>
        <item x="411"/>
        <item x="412"/>
        <item x="413"/>
        <item x="414"/>
        <item x="415"/>
        <item x="418"/>
        <item x="420"/>
        <item x="421"/>
        <item x="422"/>
        <item x="428"/>
        <item x="429"/>
        <item x="430"/>
        <item x="434"/>
        <item x="438"/>
        <item x="440"/>
        <item x="45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Page" multipleItemSelectionAllowed="1" showAll="0">
      <items count="248">
        <item h="1" x="59"/>
        <item h="1" x="61"/>
        <item h="1" x="222"/>
        <item h="1" x="112"/>
        <item h="1" x="135"/>
        <item h="1" x="150"/>
        <item h="1" x="151"/>
        <item h="1" x="1"/>
        <item h="1" x="63"/>
        <item h="1" x="76"/>
        <item h="1" x="97"/>
        <item h="1" x="136"/>
        <item h="1" x="152"/>
        <item h="1" x="19"/>
        <item h="1" x="171"/>
        <item m="1" x="246"/>
        <item h="1" x="43"/>
        <item h="1" x="64"/>
        <item h="1" x="90"/>
        <item h="1" x="137"/>
        <item h="1" x="153"/>
        <item h="1" x="167"/>
        <item h="1" x="14"/>
        <item h="1" x="179"/>
        <item h="1" x="213"/>
        <item h="1" x="47"/>
        <item h="1" x="66"/>
        <item h="1" x="98"/>
        <item h="1" x="99"/>
        <item h="1" x="124"/>
        <item h="1" x="2"/>
        <item h="1" x="11"/>
        <item h="1" x="199"/>
        <item h="1" x="77"/>
        <item h="1" x="125"/>
        <item h="1" x="4"/>
        <item h="1" x="13"/>
        <item h="1" x="180"/>
        <item h="1" x="6"/>
        <item h="1" x="21"/>
        <item h="1" x="185"/>
        <item h="1" x="38"/>
        <item h="1" x="78"/>
        <item h="1" x="101"/>
        <item h="1" x="140"/>
        <item h="1" x="155"/>
        <item h="1" x="5"/>
        <item h="1" x="166"/>
        <item h="1" x="22"/>
        <item h="1" x="186"/>
        <item h="1" x="39"/>
        <item h="1" x="79"/>
        <item h="1" x="114"/>
        <item h="1" x="126"/>
        <item h="1" x="168"/>
        <item h="1" x="23"/>
        <item h="1" x="187"/>
        <item h="1" x="62"/>
        <item h="1" x="80"/>
        <item h="1" x="115"/>
        <item h="1" x="123"/>
        <item h="1" x="138"/>
        <item h="1" x="181"/>
        <item h="1" x="24"/>
        <item h="1" x="214"/>
        <item h="1" x="67"/>
        <item h="1" x="81"/>
        <item h="1" x="139"/>
        <item h="1" x="16"/>
        <item h="1" x="25"/>
        <item h="1" x="40"/>
        <item h="1" x="68"/>
        <item h="1" x="102"/>
        <item h="1" x="111"/>
        <item h="1" x="157"/>
        <item h="1" x="169"/>
        <item h="1" x="15"/>
        <item h="1" x="197"/>
        <item h="1" x="215"/>
        <item h="1" x="57"/>
        <item h="1" x="117"/>
        <item h="1" x="127"/>
        <item h="1" x="170"/>
        <item h="1" x="10"/>
        <item h="1" x="182"/>
        <item h="1" x="204"/>
        <item h="1" x="52"/>
        <item h="1" x="82"/>
        <item h="1" x="100"/>
        <item h="1" x="103"/>
        <item h="1" x="141"/>
        <item h="1" x="142"/>
        <item h="1" x="7"/>
        <item h="1" x="17"/>
        <item h="1" x="26"/>
        <item h="1" x="41"/>
        <item h="1" x="216"/>
        <item h="1" x="104"/>
        <item h="1" x="129"/>
        <item h="1" x="172"/>
        <item h="1" x="20"/>
        <item h="1" x="27"/>
        <item h="1" x="42"/>
        <item h="1" x="51"/>
        <item h="1" x="69"/>
        <item h="1" x="70"/>
        <item h="1" x="223"/>
        <item h="1" x="83"/>
        <item h="1" x="85"/>
        <item h="1" x="8"/>
        <item h="1" x="28"/>
        <item h="1" x="12"/>
        <item h="1" x="65"/>
        <item h="1" x="225"/>
        <item h="1" x="84"/>
        <item h="1" x="143"/>
        <item h="1" x="29"/>
        <item h="1" x="190"/>
        <item h="1" x="3"/>
        <item h="1" x="71"/>
        <item h="1" x="86"/>
        <item h="1" x="105"/>
        <item h="1" x="106"/>
        <item h="1" x="113"/>
        <item h="1" x="118"/>
        <item h="1" x="144"/>
        <item h="1" x="30"/>
        <item h="1" x="44"/>
        <item h="1" x="203"/>
        <item h="1" x="53"/>
        <item h="1" x="72"/>
        <item h="1" x="108"/>
        <item h="1" x="119"/>
        <item h="1" x="183"/>
        <item h="1" x="205"/>
        <item h="1" x="54"/>
        <item h="1" x="107"/>
        <item h="1" x="128"/>
        <item h="1" x="145"/>
        <item h="1" x="173"/>
        <item h="1" x="18"/>
        <item h="1" x="191"/>
        <item h="1" x="55"/>
        <item h="1" x="217"/>
        <item h="1" x="87"/>
        <item h="1" x="88"/>
        <item h="1" x="146"/>
        <item h="1" x="184"/>
        <item h="1" x="31"/>
        <item h="1" x="45"/>
        <item h="1" x="56"/>
        <item h="1" x="91"/>
        <item h="1" x="130"/>
        <item h="1" x="154"/>
        <item h="1" x="159"/>
        <item h="1" x="32"/>
        <item h="1" x="46"/>
        <item h="1" x="92"/>
        <item h="1" x="131"/>
        <item h="1" x="158"/>
        <item h="1" x="161"/>
        <item h="1" x="33"/>
        <item h="1" x="93"/>
        <item h="1" x="162"/>
        <item h="1" x="9"/>
        <item h="1" x="34"/>
        <item h="1" x="218"/>
        <item h="1" x="48"/>
        <item h="1" x="73"/>
        <item h="1" x="120"/>
        <item h="1" x="147"/>
        <item h="1" x="35"/>
        <item h="1" x="49"/>
        <item h="1" x="74"/>
        <item h="1" x="109"/>
        <item h="1" x="121"/>
        <item h="1" x="110"/>
        <item h="1" x="132"/>
        <item h="1" x="148"/>
        <item h="1" x="174"/>
        <item h="1" x="210"/>
        <item h="1" x="58"/>
        <item h="1" x="133"/>
        <item h="1" x="156"/>
        <item h="1" x="175"/>
        <item h="1" x="36"/>
        <item h="1" x="50"/>
        <item h="1" x="220"/>
        <item h="1" x="94"/>
        <item h="1" x="116"/>
        <item h="1" x="160"/>
        <item h="1" x="163"/>
        <item h="1" x="176"/>
        <item h="1" x="37"/>
        <item h="1" x="195"/>
        <item h="1" x="95"/>
        <item h="1" x="89"/>
        <item h="1" x="165"/>
        <item h="1" x="177"/>
        <item h="1" x="96"/>
        <item h="1" x="134"/>
        <item h="1" x="149"/>
        <item h="1" x="164"/>
        <item h="1" x="75"/>
        <item h="1" x="122"/>
        <item h="1" x="60"/>
        <item h="1" x="0"/>
        <item h="1" m="1" x="235"/>
        <item h="1" x="178"/>
        <item h="1" m="1" x="236"/>
        <item h="1" m="1" x="237"/>
        <item h="1" m="1" x="238"/>
        <item h="1" m="1" x="239"/>
        <item h="1" m="1" x="240"/>
        <item h="1" m="1" x="241"/>
        <item h="1" m="1" x="242"/>
        <item x="206"/>
        <item h="1" x="211"/>
        <item h="1" x="224"/>
        <item h="1" x="226"/>
        <item h="1" x="227"/>
        <item h="1" x="228"/>
        <item m="1" x="243"/>
        <item x="229"/>
        <item m="1" x="244"/>
        <item m="1" x="234"/>
        <item m="1" x="245"/>
        <item x="230"/>
        <item h="1" x="188"/>
        <item h="1" x="189"/>
        <item h="1" x="192"/>
        <item h="1" x="193"/>
        <item h="1" x="194"/>
        <item h="1" x="196"/>
        <item h="1" x="198"/>
        <item h="1" x="200"/>
        <item h="1" x="201"/>
        <item h="1" x="202"/>
        <item h="1" x="207"/>
        <item h="1" x="208"/>
        <item h="1" x="209"/>
        <item h="1" x="212"/>
        <item h="1" x="219"/>
        <item h="1" x="221"/>
        <item x="231"/>
        <item x="232"/>
        <item x="233"/>
        <item t="default"/>
      </items>
    </pivotField>
    <pivotField showAll="0"/>
    <pivotField showAll="0"/>
    <pivotField showAll="0"/>
    <pivotField showAll="0"/>
    <pivotField showAll="0"/>
    <pivotField showAll="0"/>
    <pivotField showAll="0"/>
    <pivotField showAll="0"/>
    <pivotField dataField="1" showAll="0"/>
  </pivotFields>
  <rowFields count="1">
    <field x="6"/>
  </rowFields>
  <rowItems count="8">
    <i>
      <x v="66"/>
    </i>
    <i>
      <x v="253"/>
    </i>
    <i>
      <x v="347"/>
    </i>
    <i>
      <x v="402"/>
    </i>
    <i>
      <x v="452"/>
    </i>
    <i>
      <x v="482"/>
    </i>
    <i>
      <x v="488"/>
    </i>
    <i t="grand">
      <x/>
    </i>
  </rowItems>
  <colItems count="1">
    <i/>
  </colItems>
  <pageFields count="2">
    <pageField fld="0" hier="-1"/>
    <pageField fld="33" hier="-1"/>
  </pageFields>
  <dataFields count="1">
    <dataField name="Soma de Qdte" fld="42" baseField="0" baseItem="0"/>
  </dataField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000000-0007-0000-0400-000002000000}" name="Tabela dinâmica7"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N1334:O1337" firstHeaderRow="1" firstDataRow="1" firstDataCol="1" rowPageCount="2" colPageCount="1"/>
  <pivotFields count="50">
    <pivotField axis="axisPage" multipleItemSelectionAllowed="1" showAll="0">
      <items count="5">
        <item h="1" x="1"/>
        <item h="1" x="0"/>
        <item x="2"/>
        <item h="1" x="3"/>
        <item t="default"/>
      </items>
    </pivotField>
    <pivotField showAll="0"/>
    <pivotField showAll="0"/>
    <pivotField showAll="0"/>
    <pivotField showAll="0"/>
    <pivotField showAll="0"/>
    <pivotField axis="axisRow" showAll="0">
      <items count="712">
        <item x="432"/>
        <item x="276"/>
        <item x="397"/>
        <item x="112"/>
        <item x="88"/>
        <item x="82"/>
        <item x="350"/>
        <item x="42"/>
        <item x="316"/>
        <item x="311"/>
        <item x="347"/>
        <item x="375"/>
        <item x="8"/>
        <item x="368"/>
        <item x="63"/>
        <item x="230"/>
        <item x="348"/>
        <item x="235"/>
        <item x="228"/>
        <item x="240"/>
        <item x="373"/>
        <item x="120"/>
        <item x="426"/>
        <item x="165"/>
        <item x="278"/>
        <item x="282"/>
        <item x="190"/>
        <item x="180"/>
        <item x="361"/>
        <item x="298"/>
        <item x="414"/>
        <item x="119"/>
        <item x="56"/>
        <item x="339"/>
        <item x="410"/>
        <item x="385"/>
        <item x="170"/>
        <item x="169"/>
        <item x="239"/>
        <item x="10"/>
        <item x="9"/>
        <item x="309"/>
        <item x="248"/>
        <item x="393"/>
        <item x="236"/>
        <item x="272"/>
        <item x="340"/>
        <item x="362"/>
        <item x="57"/>
        <item x="395"/>
        <item x="399"/>
        <item x="406"/>
        <item x="182"/>
        <item x="183"/>
        <item x="238"/>
        <item x="219"/>
        <item x="141"/>
        <item x="192"/>
        <item x="428"/>
        <item x="55"/>
        <item x="43"/>
        <item x="100"/>
        <item x="81"/>
        <item x="370"/>
        <item x="376"/>
        <item x="377"/>
        <item x="274"/>
        <item x="275"/>
        <item x="247"/>
        <item x="91"/>
        <item x="3"/>
        <item x="435"/>
        <item x="154"/>
        <item x="157"/>
        <item x="151"/>
        <item x="264"/>
        <item x="254"/>
        <item x="379"/>
        <item x="263"/>
        <item x="253"/>
        <item x="194"/>
        <item x="424"/>
        <item x="84"/>
        <item x="341"/>
        <item x="111"/>
        <item x="419"/>
        <item x="387"/>
        <item x="383"/>
        <item x="352"/>
        <item x="342"/>
        <item x="133"/>
        <item x="104"/>
        <item x="330"/>
        <item x="109"/>
        <item x="156"/>
        <item x="32"/>
        <item x="93"/>
        <item x="224"/>
        <item x="367"/>
        <item x="366"/>
        <item x="233"/>
        <item x="193"/>
        <item x="401"/>
        <item x="50"/>
        <item x="345"/>
        <item x="314"/>
        <item x="280"/>
        <item x="292"/>
        <item x="288"/>
        <item x="343"/>
        <item x="269"/>
        <item x="18"/>
        <item x="19"/>
        <item x="234"/>
        <item x="31"/>
        <item x="304"/>
        <item x="46"/>
        <item x="49"/>
        <item x="62"/>
        <item x="210"/>
        <item x="14"/>
        <item x="396"/>
        <item x="106"/>
        <item x="67"/>
        <item x="200"/>
        <item x="107"/>
        <item x="25"/>
        <item x="199"/>
        <item x="90"/>
        <item x="171"/>
        <item x="335"/>
        <item x="110"/>
        <item x="125"/>
        <item x="123"/>
        <item x="77"/>
        <item x="294"/>
        <item x="167"/>
        <item x="166"/>
        <item x="265"/>
        <item x="251"/>
        <item x="411"/>
        <item x="187"/>
        <item x="363"/>
        <item x="101"/>
        <item x="152"/>
        <item x="175"/>
        <item x="351"/>
        <item x="99"/>
        <item x="250"/>
        <item x="45"/>
        <item x="211"/>
        <item x="214"/>
        <item x="213"/>
        <item x="7"/>
        <item x="174"/>
        <item x="135"/>
        <item x="27"/>
        <item x="122"/>
        <item x="121"/>
        <item x="98"/>
        <item x="409"/>
        <item x="71"/>
        <item x="129"/>
        <item x="44"/>
        <item x="185"/>
        <item x="216"/>
        <item x="215"/>
        <item x="20"/>
        <item x="4"/>
        <item x="433"/>
        <item x="365"/>
        <item x="270"/>
        <item x="255"/>
        <item x="310"/>
        <item x="287"/>
        <item x="188"/>
        <item x="28"/>
        <item x="434"/>
        <item x="344"/>
        <item x="97"/>
        <item x="89"/>
        <item x="48"/>
        <item x="245"/>
        <item x="346"/>
        <item x="244"/>
        <item x="289"/>
        <item x="408"/>
        <item x="300"/>
        <item x="371"/>
        <item x="158"/>
        <item x="404"/>
        <item x="407"/>
        <item x="59"/>
        <item x="356"/>
        <item x="95"/>
        <item x="308"/>
        <item x="315"/>
        <item x="260"/>
        <item x="259"/>
        <item x="319"/>
        <item x="60"/>
        <item x="355"/>
        <item x="286"/>
        <item x="285"/>
        <item x="380"/>
        <item x="389"/>
        <item x="390"/>
        <item x="218"/>
        <item x="41"/>
        <item x="17"/>
        <item x="26"/>
        <item x="208"/>
        <item x="207"/>
        <item x="150"/>
        <item x="191"/>
        <item x="295"/>
        <item x="184"/>
        <item x="54"/>
        <item x="256"/>
        <item x="405"/>
        <item x="422"/>
        <item x="163"/>
        <item x="427"/>
        <item x="431"/>
        <item x="201"/>
        <item x="400"/>
        <item x="162"/>
        <item x="161"/>
        <item x="398"/>
        <item x="246"/>
        <item x="22"/>
        <item x="12"/>
        <item x="69"/>
        <item x="79"/>
        <item x="353"/>
        <item x="241"/>
        <item x="242"/>
        <item x="179"/>
        <item x="354"/>
        <item x="413"/>
        <item x="78"/>
        <item x="86"/>
        <item x="384"/>
        <item x="70"/>
        <item x="349"/>
        <item x="306"/>
        <item x="305"/>
        <item x="181"/>
        <item x="139"/>
        <item x="418"/>
        <item x="87"/>
        <item x="417"/>
        <item x="113"/>
        <item x="416"/>
        <item x="266"/>
        <item x="2"/>
        <item x="312"/>
        <item x="425"/>
        <item x="74"/>
        <item x="73"/>
        <item x="313"/>
        <item x="16"/>
        <item x="21"/>
        <item x="118"/>
        <item x="153"/>
        <item x="415"/>
        <item x="29"/>
        <item x="394"/>
        <item x="229"/>
        <item x="281"/>
        <item x="284"/>
        <item x="38"/>
        <item x="258"/>
        <item x="102"/>
        <item x="114"/>
        <item x="116"/>
        <item x="115"/>
        <item x="392"/>
        <item x="61"/>
        <item x="386"/>
        <item x="391"/>
        <item x="252"/>
        <item x="388"/>
        <item x="372"/>
        <item x="143"/>
        <item x="429"/>
        <item x="374"/>
        <item x="33"/>
        <item x="359"/>
        <item x="225"/>
        <item x="358"/>
        <item x="323"/>
        <item x="159"/>
        <item x="160"/>
        <item x="307"/>
        <item x="296"/>
        <item x="221"/>
        <item x="412"/>
        <item x="195"/>
        <item x="290"/>
        <item x="232"/>
        <item x="249"/>
        <item m="1" x="705"/>
        <item x="131"/>
        <item x="277"/>
        <item x="430"/>
        <item x="92"/>
        <item x="66"/>
        <item x="205"/>
        <item x="35"/>
        <item x="39"/>
        <item x="37"/>
        <item x="128"/>
        <item x="402"/>
        <item x="103"/>
        <item x="369"/>
        <item x="220"/>
        <item x="96"/>
        <item x="124"/>
        <item x="318"/>
        <item x="130"/>
        <item x="297"/>
        <item x="24"/>
        <item x="23"/>
        <item x="423"/>
        <item x="68"/>
        <item x="0"/>
        <item x="204"/>
        <item x="206"/>
        <item x="268"/>
        <item x="237"/>
        <item x="338"/>
        <item x="337"/>
        <item x="403"/>
        <item x="58"/>
        <item x="223"/>
        <item x="202"/>
        <item x="127"/>
        <item x="293"/>
        <item x="322"/>
        <item x="226"/>
        <item x="94"/>
        <item x="227"/>
        <item x="243"/>
        <item x="5"/>
        <item x="321"/>
        <item x="325"/>
        <item x="381"/>
        <item x="13"/>
        <item x="11"/>
        <item x="47"/>
        <item x="327"/>
        <item x="364"/>
        <item x="382"/>
        <item x="217"/>
        <item x="189"/>
        <item x="34"/>
        <item x="64"/>
        <item x="378"/>
        <item x="267"/>
        <item x="117"/>
        <item x="147"/>
        <item x="146"/>
        <item x="173"/>
        <item x="172"/>
        <item x="177"/>
        <item x="176"/>
        <item x="148"/>
        <item x="357"/>
        <item x="320"/>
        <item x="437"/>
        <item x="438"/>
        <item x="439"/>
        <item x="440"/>
        <item x="442"/>
        <item x="443"/>
        <item x="445"/>
        <item x="446"/>
        <item x="454"/>
        <item x="448"/>
        <item x="449"/>
        <item x="450"/>
        <item x="699"/>
        <item x="453"/>
        <item x="441"/>
        <item x="455"/>
        <item x="456"/>
        <item x="457"/>
        <item x="458"/>
        <item x="459"/>
        <item x="460"/>
        <item x="461"/>
        <item x="462"/>
        <item x="463"/>
        <item x="464"/>
        <item x="465"/>
        <item x="466"/>
        <item x="467"/>
        <item x="468"/>
        <item x="469"/>
        <item x="470"/>
        <item x="471"/>
        <item x="472"/>
        <item x="473"/>
        <item x="475"/>
        <item x="476"/>
        <item x="478"/>
        <item x="474"/>
        <item x="477"/>
        <item x="479"/>
        <item x="480"/>
        <item x="481"/>
        <item x="484"/>
        <item x="436"/>
        <item x="447"/>
        <item x="452"/>
        <item x="486"/>
        <item x="488"/>
        <item x="489"/>
        <item x="490"/>
        <item x="336"/>
        <item x="491"/>
        <item x="444"/>
        <item x="492"/>
        <item x="494"/>
        <item x="495"/>
        <item x="497"/>
        <item x="498"/>
        <item x="499"/>
        <item x="500"/>
        <item x="501"/>
        <item x="502"/>
        <item x="503"/>
        <item x="504"/>
        <item x="505"/>
        <item x="506"/>
        <item x="507"/>
        <item x="509"/>
        <item x="493"/>
        <item x="511"/>
        <item x="512"/>
        <item x="513"/>
        <item x="514"/>
        <item x="515"/>
        <item x="516"/>
        <item x="517"/>
        <item x="518"/>
        <item x="519"/>
        <item x="520"/>
        <item x="521"/>
        <item x="522"/>
        <item x="523"/>
        <item x="524"/>
        <item x="525"/>
        <item x="526"/>
        <item x="527"/>
        <item x="528"/>
        <item x="529"/>
        <item x="530"/>
        <item x="531"/>
        <item x="532"/>
        <item x="533"/>
        <item x="510"/>
        <item x="534"/>
        <item x="535"/>
        <item x="536"/>
        <item x="537"/>
        <item x="538"/>
        <item x="496"/>
        <item x="508"/>
        <item x="539"/>
        <item x="540"/>
        <item x="542"/>
        <item x="543"/>
        <item x="544"/>
        <item x="545"/>
        <item x="487"/>
        <item x="546"/>
        <item x="550"/>
        <item x="552"/>
        <item x="553"/>
        <item x="554"/>
        <item x="555"/>
        <item x="557"/>
        <item x="558"/>
        <item x="559"/>
        <item x="560"/>
        <item x="561"/>
        <item x="562"/>
        <item x="563"/>
        <item x="565"/>
        <item x="566"/>
        <item x="567"/>
        <item x="568"/>
        <item x="569"/>
        <item x="570"/>
        <item x="571"/>
        <item m="1" x="709"/>
        <item x="573"/>
        <item x="574"/>
        <item x="575"/>
        <item x="576"/>
        <item x="577"/>
        <item m="1" x="710"/>
        <item x="579"/>
        <item x="580"/>
        <item x="581"/>
        <item x="582"/>
        <item x="583"/>
        <item x="584"/>
        <item x="585"/>
        <item x="586"/>
        <item m="1" x="707"/>
        <item x="588"/>
        <item x="589"/>
        <item x="590"/>
        <item x="591"/>
        <item x="592"/>
        <item x="593"/>
        <item x="594"/>
        <item x="595"/>
        <item x="1"/>
        <item x="6"/>
        <item x="15"/>
        <item x="30"/>
        <item x="36"/>
        <item x="40"/>
        <item x="51"/>
        <item x="52"/>
        <item x="53"/>
        <item x="65"/>
        <item x="72"/>
        <item x="75"/>
        <item x="76"/>
        <item x="80"/>
        <item x="83"/>
        <item x="85"/>
        <item x="105"/>
        <item x="108"/>
        <item x="126"/>
        <item x="132"/>
        <item x="134"/>
        <item x="136"/>
        <item x="137"/>
        <item x="138"/>
        <item x="140"/>
        <item x="142"/>
        <item x="144"/>
        <item x="145"/>
        <item x="149"/>
        <item x="155"/>
        <item x="164"/>
        <item x="168"/>
        <item x="178"/>
        <item x="186"/>
        <item x="196"/>
        <item x="197"/>
        <item x="198"/>
        <item x="203"/>
        <item x="209"/>
        <item x="212"/>
        <item x="222"/>
        <item x="231"/>
        <item x="257"/>
        <item x="261"/>
        <item x="262"/>
        <item x="271"/>
        <item x="273"/>
        <item x="279"/>
        <item x="283"/>
        <item x="291"/>
        <item x="299"/>
        <item x="301"/>
        <item x="302"/>
        <item x="303"/>
        <item x="317"/>
        <item x="324"/>
        <item x="326"/>
        <item x="328"/>
        <item x="329"/>
        <item x="331"/>
        <item x="332"/>
        <item x="333"/>
        <item x="334"/>
        <item x="360"/>
        <item x="420"/>
        <item x="421"/>
        <item x="482"/>
        <item x="483"/>
        <item x="485"/>
        <item x="541"/>
        <item x="547"/>
        <item x="548"/>
        <item x="549"/>
        <item x="551"/>
        <item x="556"/>
        <item x="564"/>
        <item x="596"/>
        <item x="597"/>
        <item x="598"/>
        <item x="599"/>
        <item x="600"/>
        <item x="601"/>
        <item x="602"/>
        <item x="603"/>
        <item x="604"/>
        <item x="605"/>
        <item x="606"/>
        <item x="607"/>
        <item x="608"/>
        <item x="609"/>
        <item x="610"/>
        <item x="611"/>
        <item x="612"/>
        <item x="613"/>
        <item x="572"/>
        <item x="578"/>
        <item x="614"/>
        <item x="615"/>
        <item x="616"/>
        <item x="617"/>
        <item m="1" x="708"/>
        <item x="619"/>
        <item x="620"/>
        <item x="621"/>
        <item x="622"/>
        <item x="623"/>
        <item x="624"/>
        <item x="625"/>
        <item x="626"/>
        <item x="627"/>
        <item x="628"/>
        <item x="629"/>
        <item x="630"/>
        <item x="631"/>
        <item x="632"/>
        <item x="633"/>
        <item x="634"/>
        <item x="587"/>
        <item x="618"/>
        <item x="635"/>
        <item x="636"/>
        <item x="637"/>
        <item x="638"/>
        <item x="639"/>
        <item x="640"/>
        <item x="641"/>
        <item x="642"/>
        <item x="643"/>
        <item x="644"/>
        <item x="645"/>
        <item x="646"/>
        <item x="647"/>
        <item x="648"/>
        <item x="649"/>
        <item m="1" x="706"/>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50"/>
        <item x="682"/>
        <item x="683"/>
        <item x="684"/>
        <item x="685"/>
        <item x="686"/>
        <item x="687"/>
        <item x="688"/>
        <item x="689"/>
        <item x="690"/>
        <item x="691"/>
        <item x="692"/>
        <item x="693"/>
        <item x="694"/>
        <item x="695"/>
        <item x="696"/>
        <item x="697"/>
        <item x="698"/>
        <item x="451"/>
        <item x="700"/>
        <item x="701"/>
        <item x="702"/>
        <item x="703"/>
        <item x="70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44" showAll="0"/>
    <pivotField showAll="0"/>
    <pivotField showAll="0"/>
    <pivotField showAll="0"/>
    <pivotField showAll="0"/>
    <pivotField showAll="0"/>
    <pivotField showAll="0"/>
    <pivotField showAll="0"/>
    <pivotField axis="axisPage" multipleItemSelectionAllowed="1" showAll="0">
      <items count="220">
        <item h="1" x="90"/>
        <item h="1" x="150"/>
        <item h="1" x="177"/>
        <item h="1" x="45"/>
        <item h="1" x="82"/>
        <item h="1" x="91"/>
        <item h="1" x="125"/>
        <item h="1" x="158"/>
        <item h="1" x="152"/>
        <item h="1" x="37"/>
        <item h="1" x="136"/>
        <item h="1" x="53"/>
        <item h="1" x="63"/>
        <item h="1" x="100"/>
        <item h="1" x="122"/>
        <item h="1" x="139"/>
        <item h="1" x="3"/>
        <item h="1" x="167"/>
        <item h="1" x="35"/>
        <item h="1" x="112"/>
        <item h="1" x="102"/>
        <item h="1" x="117"/>
        <item h="1" x="141"/>
        <item h="1" x="137"/>
        <item h="1" x="19"/>
        <item h="1" x="151"/>
        <item h="1" x="6"/>
        <item h="1" x="39"/>
        <item h="1" x="118"/>
        <item h="1" x="181"/>
        <item h="1" x="111"/>
        <item h="1" x="11"/>
        <item h="1" x="15"/>
        <item h="1" x="34"/>
        <item h="1" x="25"/>
        <item h="1" x="36"/>
        <item h="1" x="38"/>
        <item h="1" x="2"/>
        <item h="1" x="66"/>
        <item h="1" x="94"/>
        <item h="1" x="164"/>
        <item h="1" x="74"/>
        <item h="1" x="165"/>
        <item h="1" x="65"/>
        <item h="1" x="124"/>
        <item h="1" x="4"/>
        <item h="1" x="27"/>
        <item h="1" x="54"/>
        <item h="1" x="55"/>
        <item h="1" x="70"/>
        <item h="1" x="85"/>
        <item h="1" x="115"/>
        <item h="1" x="129"/>
        <item h="1" x="149"/>
        <item h="1" x="18"/>
        <item h="1" x="153"/>
        <item h="1" x="67"/>
        <item h="1" x="93"/>
        <item h="1" x="99"/>
        <item h="1" x="116"/>
        <item h="1" x="146"/>
        <item h="1" x="157"/>
        <item h="1" x="88"/>
        <item h="1" x="119"/>
        <item h="1" x="12"/>
        <item h="1" x="138"/>
        <item h="1" x="148"/>
        <item h="1" x="16"/>
        <item h="1" x="159"/>
        <item h="1" x="166"/>
        <item h="1" x="169"/>
        <item h="1" x="43"/>
        <item h="1" x="56"/>
        <item h="1" x="86"/>
        <item h="1" x="133"/>
        <item h="1" x="155"/>
        <item h="1" x="171"/>
        <item h="1" x="41"/>
        <item h="1" x="44"/>
        <item h="1" x="134"/>
        <item h="1" x="68"/>
        <item h="1" x="73"/>
        <item h="1" x="75"/>
        <item h="1" x="120"/>
        <item h="1" x="130"/>
        <item h="1" x="154"/>
        <item h="1" x="33"/>
        <item h="1" x="170"/>
        <item h="1" x="81"/>
        <item h="1" x="92"/>
        <item h="1" x="126"/>
        <item h="1" x="131"/>
        <item h="1" x="20"/>
        <item h="1" x="156"/>
        <item h="1" x="42"/>
        <item h="1" x="47"/>
        <item h="1" x="57"/>
        <item h="1" x="98"/>
        <item h="1" x="22"/>
        <item h="1" x="69"/>
        <item h="1" x="83"/>
        <item h="1" x="89"/>
        <item h="1" x="95"/>
        <item h="1" x="109"/>
        <item h="1" x="7"/>
        <item h="1" x="9"/>
        <item h="1" x="163"/>
        <item h="1" x="58"/>
        <item h="1" x="114"/>
        <item h="1" x="144"/>
        <item h="1" x="21"/>
        <item h="1" x="28"/>
        <item h="1" x="172"/>
        <item h="1" x="50"/>
        <item h="1" x="51"/>
        <item h="1" x="59"/>
        <item h="1" x="107"/>
        <item h="1" x="14"/>
        <item h="1" x="23"/>
        <item h="1" x="26"/>
        <item h="1" x="179"/>
        <item h="1" x="49"/>
        <item h="1" x="106"/>
        <item h="1" x="105"/>
        <item h="1" x="145"/>
        <item h="1" x="29"/>
        <item h="1" x="78"/>
        <item h="1" x="97"/>
        <item h="1" x="127"/>
        <item h="1" x="161"/>
        <item h="1" x="176"/>
        <item h="1" x="79"/>
        <item h="1" x="31"/>
        <item h="1" x="40"/>
        <item h="1" x="72"/>
        <item h="1" x="140"/>
        <item h="1" x="147"/>
        <item h="1" x="46"/>
        <item h="1" x="87"/>
        <item h="1" x="113"/>
        <item h="1" x="110"/>
        <item h="1" x="8"/>
        <item h="1" x="48"/>
        <item h="1" x="52"/>
        <item h="1" x="61"/>
        <item h="1" x="80"/>
        <item h="1" x="132"/>
        <item h="1" x="143"/>
        <item h="1" x="30"/>
        <item h="1" x="62"/>
        <item h="1" x="77"/>
        <item h="1" x="5"/>
        <item h="1" x="13"/>
        <item h="1" x="32"/>
        <item h="1" x="175"/>
        <item h="1" x="60"/>
        <item h="1" x="103"/>
        <item h="1" x="123"/>
        <item h="1" x="10"/>
        <item h="1" x="142"/>
        <item h="1" x="24"/>
        <item h="1" x="71"/>
        <item h="1" x="76"/>
        <item h="1" x="104"/>
        <item h="1" x="108"/>
        <item h="1" x="135"/>
        <item h="1" x="1"/>
        <item h="1" x="17"/>
        <item h="1" x="178"/>
        <item h="1" x="64"/>
        <item h="1" x="96"/>
        <item h="1" x="121"/>
        <item h="1" x="128"/>
        <item h="1" x="183"/>
        <item h="1" x="173"/>
        <item h="1" x="162"/>
        <item h="1" x="184"/>
        <item h="1" x="185"/>
        <item h="1" x="186"/>
        <item h="1" x="188"/>
        <item h="1" x="190"/>
        <item h="1" x="191"/>
        <item h="1" x="168"/>
        <item h="1" x="160"/>
        <item h="1" x="101"/>
        <item h="1" x="174"/>
        <item h="1" x="180"/>
        <item h="1" x="193"/>
        <item h="1" x="189"/>
        <item h="1" x="187"/>
        <item h="1" x="195"/>
        <item h="1" x="84"/>
        <item h="1" x="192"/>
        <item h="1" x="194"/>
        <item h="1" x="197"/>
        <item h="1" x="200"/>
        <item h="1" x="199"/>
        <item h="1" x="201"/>
        <item h="1" x="202"/>
        <item h="1" x="203"/>
        <item h="1" x="204"/>
        <item h="1" x="196"/>
        <item h="1" x="205"/>
        <item h="1" x="0"/>
        <item h="1" x="207"/>
        <item h="1" x="211"/>
        <item h="1" x="208"/>
        <item h="1" x="206"/>
        <item h="1" x="209"/>
        <item h="1" m="1" x="218"/>
        <item h="1" x="213"/>
        <item h="1" x="214"/>
        <item x="182"/>
        <item x="198"/>
        <item x="210"/>
        <item x="216"/>
        <item x="215"/>
        <item x="212"/>
        <item x="217"/>
        <item t="default"/>
      </items>
    </pivotField>
    <pivotField showAll="0"/>
    <pivotField showAll="0"/>
    <pivotField showAll="0"/>
    <pivotField showAll="0"/>
    <pivotField showAll="0"/>
    <pivotField showAll="0"/>
    <pivotField showAll="0"/>
    <pivotField showAll="0"/>
    <pivotField showAll="0"/>
    <pivotField dataField="1" showAll="0"/>
  </pivotFields>
  <rowFields count="1">
    <field x="6"/>
  </rowFields>
  <rowItems count="3">
    <i>
      <x v="439"/>
    </i>
    <i>
      <x v="667"/>
    </i>
    <i t="grand">
      <x/>
    </i>
  </rowItems>
  <colItems count="1">
    <i/>
  </colItems>
  <pageFields count="2">
    <pageField fld="0" hier="-1"/>
    <pageField fld="39" hier="-1"/>
  </pageFields>
  <dataFields count="1">
    <dataField name="Soma de QTDE" fld="49" baseField="0" baseItem="0"/>
  </dataField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000000-0007-0000-0400-000007000000}" name="Tabela dinâmica4" cacheId="1"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AA22:AB29" firstHeaderRow="1" firstDataRow="1" firstDataCol="1" rowPageCount="2" colPageCount="1"/>
  <pivotFields count="43">
    <pivotField axis="axisPage" multipleItemSelectionAllowed="1" showAll="0">
      <items count="147">
        <item h="1" x="2"/>
        <item h="1" x="3"/>
        <item x="1"/>
        <item h="1" x="0"/>
        <item h="1" m="1" x="4"/>
        <item h="1" m="1" x="5"/>
        <item h="1" m="1" x="6"/>
        <item h="1" m="1" x="7"/>
        <item h="1" m="1" x="8"/>
        <item h="1" m="1" x="9"/>
        <item h="1" m="1" x="10"/>
        <item h="1" m="1" x="11"/>
        <item h="1" m="1" x="12"/>
        <item h="1" m="1" x="13"/>
        <item h="1" m="1" x="14"/>
        <item h="1" m="1" x="15"/>
        <item h="1" m="1" x="16"/>
        <item h="1" m="1" x="17"/>
        <item h="1" m="1" x="18"/>
        <item h="1" m="1" x="19"/>
        <item h="1" m="1" x="20"/>
        <item h="1" m="1" x="21"/>
        <item h="1" m="1" x="22"/>
        <item h="1" m="1" x="23"/>
        <item h="1" m="1" x="24"/>
        <item h="1" m="1" x="25"/>
        <item h="1" m="1" x="26"/>
        <item h="1" m="1" x="27"/>
        <item h="1" m="1" x="28"/>
        <item h="1" m="1" x="29"/>
        <item h="1" m="1" x="30"/>
        <item h="1" m="1" x="31"/>
        <item h="1" m="1" x="32"/>
        <item h="1" m="1" x="33"/>
        <item h="1" m="1" x="34"/>
        <item h="1" m="1" x="35"/>
        <item h="1" m="1" x="36"/>
        <item h="1" m="1" x="37"/>
        <item h="1" m="1" x="38"/>
        <item h="1" m="1" x="39"/>
        <item h="1" m="1" x="40"/>
        <item h="1" m="1" x="41"/>
        <item h="1" m="1" x="42"/>
        <item h="1" m="1" x="43"/>
        <item h="1" m="1" x="44"/>
        <item h="1" m="1" x="45"/>
        <item h="1" m="1" x="46"/>
        <item h="1" m="1" x="47"/>
        <item h="1" m="1" x="48"/>
        <item h="1" m="1" x="49"/>
        <item h="1" m="1" x="50"/>
        <item h="1" m="1" x="51"/>
        <item h="1" m="1" x="52"/>
        <item h="1" m="1" x="53"/>
        <item h="1" m="1" x="54"/>
        <item h="1" m="1" x="55"/>
        <item h="1" m="1" x="56"/>
        <item h="1" m="1" x="57"/>
        <item h="1" m="1" x="58"/>
        <item h="1" m="1" x="59"/>
        <item h="1" m="1" x="60"/>
        <item h="1" m="1" x="61"/>
        <item h="1" m="1" x="62"/>
        <item h="1" m="1" x="63"/>
        <item h="1" m="1" x="64"/>
        <item h="1" m="1" x="65"/>
        <item h="1" m="1" x="66"/>
        <item h="1" m="1" x="67"/>
        <item h="1" m="1" x="68"/>
        <item h="1" m="1" x="69"/>
        <item h="1" m="1" x="70"/>
        <item h="1" m="1" x="71"/>
        <item h="1" m="1" x="72"/>
        <item h="1" m="1" x="73"/>
        <item h="1" m="1" x="74"/>
        <item h="1" m="1" x="75"/>
        <item h="1" m="1" x="76"/>
        <item h="1" m="1" x="77"/>
        <item h="1" m="1" x="78"/>
        <item h="1" m="1" x="79"/>
        <item h="1" m="1" x="80"/>
        <item h="1" m="1" x="81"/>
        <item h="1" m="1" x="82"/>
        <item h="1" m="1" x="83"/>
        <item h="1" m="1" x="84"/>
        <item h="1" m="1" x="85"/>
        <item h="1" m="1" x="86"/>
        <item h="1" m="1" x="87"/>
        <item h="1" m="1" x="88"/>
        <item h="1" m="1" x="89"/>
        <item h="1" m="1" x="90"/>
        <item h="1" m="1" x="91"/>
        <item h="1" m="1" x="92"/>
        <item h="1" m="1" x="93"/>
        <item h="1" m="1" x="94"/>
        <item h="1" m="1" x="95"/>
        <item h="1" m="1" x="96"/>
        <item h="1" m="1" x="97"/>
        <item h="1" m="1" x="98"/>
        <item h="1" m="1" x="99"/>
        <item h="1" m="1" x="100"/>
        <item h="1" m="1" x="101"/>
        <item h="1" m="1" x="102"/>
        <item h="1" m="1" x="103"/>
        <item h="1" m="1" x="104"/>
        <item h="1" m="1" x="105"/>
        <item h="1" m="1" x="106"/>
        <item h="1" m="1" x="107"/>
        <item h="1" m="1" x="108"/>
        <item h="1" m="1" x="109"/>
        <item h="1" m="1" x="110"/>
        <item h="1" m="1" x="111"/>
        <item h="1" m="1" x="112"/>
        <item h="1" m="1" x="113"/>
        <item h="1" m="1" x="114"/>
        <item h="1" m="1" x="115"/>
        <item h="1" m="1" x="116"/>
        <item h="1" m="1" x="117"/>
        <item h="1" m="1" x="118"/>
        <item h="1" m="1" x="119"/>
        <item h="1" m="1" x="120"/>
        <item h="1" m="1" x="121"/>
        <item h="1" m="1" x="122"/>
        <item h="1" m="1" x="123"/>
        <item h="1" m="1" x="124"/>
        <item h="1" m="1" x="125"/>
        <item h="1" m="1" x="126"/>
        <item h="1" m="1" x="127"/>
        <item h="1" m="1" x="128"/>
        <item h="1" m="1" x="129"/>
        <item h="1" m="1" x="130"/>
        <item h="1" m="1" x="131"/>
        <item h="1" m="1" x="132"/>
        <item h="1" m="1" x="133"/>
        <item h="1" m="1" x="134"/>
        <item h="1" m="1" x="135"/>
        <item h="1" m="1" x="136"/>
        <item h="1" m="1" x="138"/>
        <item h="1" m="1" x="139"/>
        <item h="1" m="1" x="140"/>
        <item h="1" m="1" x="141"/>
        <item h="1" m="1" x="142"/>
        <item h="1" m="1" x="143"/>
        <item h="1" m="1" x="144"/>
        <item h="1" m="1" x="145"/>
        <item h="1" m="1" x="137"/>
        <item t="default"/>
      </items>
    </pivotField>
    <pivotField showAll="0"/>
    <pivotField showAll="0"/>
    <pivotField showAll="0"/>
    <pivotField showAll="0"/>
    <pivotField showAll="0"/>
    <pivotField axis="axisRow" showAll="0">
      <items count="490">
        <item x="151"/>
        <item x="66"/>
        <item x="163"/>
        <item x="40"/>
        <item x="21"/>
        <item x="0"/>
        <item x="1"/>
        <item x="2"/>
        <item x="3"/>
        <item x="4"/>
        <item x="5"/>
        <item x="6"/>
        <item x="7"/>
        <item x="8"/>
        <item x="9"/>
        <item x="10"/>
        <item x="11"/>
        <item x="12"/>
        <item x="13"/>
        <item x="14"/>
        <item x="15"/>
        <item x="16"/>
        <item x="17"/>
        <item x="18"/>
        <item x="19"/>
        <item x="20"/>
        <item x="22"/>
        <item x="23"/>
        <item x="24"/>
        <item x="25"/>
        <item x="26"/>
        <item x="27"/>
        <item x="28"/>
        <item x="29"/>
        <item x="30"/>
        <item x="31"/>
        <item x="32"/>
        <item x="33"/>
        <item x="34"/>
        <item x="35"/>
        <item x="36"/>
        <item x="37"/>
        <item x="38"/>
        <item x="39"/>
        <item x="41"/>
        <item x="42"/>
        <item x="43"/>
        <item x="44"/>
        <item x="45"/>
        <item x="46"/>
        <item x="47"/>
        <item x="48"/>
        <item x="49"/>
        <item x="50"/>
        <item x="51"/>
        <item x="52"/>
        <item x="53"/>
        <item x="54"/>
        <item x="55"/>
        <item x="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2"/>
        <item x="153"/>
        <item x="154"/>
        <item x="155"/>
        <item x="156"/>
        <item x="157"/>
        <item x="158"/>
        <item x="159"/>
        <item x="160"/>
        <item x="161"/>
        <item x="162"/>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m="1" x="454"/>
        <item m="1" x="455"/>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m="1" x="456"/>
        <item x="365"/>
        <item m="1" x="457"/>
        <item x="368"/>
        <item x="369"/>
        <item x="370"/>
        <item m="1" x="458"/>
        <item m="1" x="459"/>
        <item m="1" x="460"/>
        <item x="374"/>
        <item x="375"/>
        <item x="376"/>
        <item x="377"/>
        <item m="1" x="461"/>
        <item m="1" x="462"/>
        <item x="379"/>
        <item m="1" x="463"/>
        <item x="381"/>
        <item m="1" x="464"/>
        <item m="1" x="465"/>
        <item m="1" x="466"/>
        <item m="1" x="467"/>
        <item x="390"/>
        <item x="391"/>
        <item x="392"/>
        <item x="393"/>
        <item m="1" x="468"/>
        <item m="1" x="469"/>
        <item x="396"/>
        <item x="397"/>
        <item x="398"/>
        <item x="399"/>
        <item m="1" x="470"/>
        <item x="401"/>
        <item x="402"/>
        <item x="403"/>
        <item x="404"/>
        <item x="406"/>
        <item x="407"/>
        <item x="408"/>
        <item x="409"/>
        <item m="1" x="471"/>
        <item m="1" x="472"/>
        <item m="1" x="473"/>
        <item m="1" x="474"/>
        <item x="416"/>
        <item x="417"/>
        <item m="1" x="475"/>
        <item m="1" x="476"/>
        <item x="419"/>
        <item m="1" x="477"/>
        <item m="1" x="478"/>
        <item m="1" x="479"/>
        <item x="423"/>
        <item x="424"/>
        <item x="425"/>
        <item x="426"/>
        <item x="427"/>
        <item m="1" x="480"/>
        <item m="1" x="481"/>
        <item m="1" x="482"/>
        <item m="1" x="483"/>
        <item x="431"/>
        <item x="432"/>
        <item x="433"/>
        <item m="1" x="484"/>
        <item x="435"/>
        <item x="385"/>
        <item x="436"/>
        <item x="437"/>
        <item m="1" x="486"/>
        <item m="1" x="487"/>
        <item x="439"/>
        <item m="1" x="488"/>
        <item x="441"/>
        <item x="442"/>
        <item x="443"/>
        <item x="444"/>
        <item x="445"/>
        <item x="446"/>
        <item x="447"/>
        <item x="448"/>
        <item m="1" x="485"/>
        <item x="449"/>
        <item x="450"/>
        <item x="451"/>
        <item x="452"/>
        <item x="323"/>
        <item x="366"/>
        <item x="367"/>
        <item x="371"/>
        <item x="372"/>
        <item x="373"/>
        <item x="378"/>
        <item x="380"/>
        <item x="382"/>
        <item x="383"/>
        <item x="384"/>
        <item x="386"/>
        <item x="387"/>
        <item x="388"/>
        <item x="389"/>
        <item x="394"/>
        <item x="395"/>
        <item x="400"/>
        <item x="405"/>
        <item x="410"/>
        <item x="411"/>
        <item x="412"/>
        <item x="413"/>
        <item x="414"/>
        <item x="415"/>
        <item x="418"/>
        <item x="420"/>
        <item x="421"/>
        <item x="422"/>
        <item x="428"/>
        <item x="429"/>
        <item x="430"/>
        <item x="434"/>
        <item x="438"/>
        <item x="440"/>
        <item x="45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44" showAll="0"/>
    <pivotField showAll="0"/>
    <pivotField showAll="0"/>
    <pivotField showAll="0"/>
    <pivotField showAll="0"/>
    <pivotField showAll="0"/>
    <pivotField showAll="0"/>
    <pivotField axis="axisPage" multipleItemSelectionAllowed="1" showAll="0">
      <items count="176">
        <item h="1" x="72"/>
        <item h="1" x="62"/>
        <item h="1" x="119"/>
        <item h="1" m="1" x="174"/>
        <item h="1" x="22"/>
        <item h="1" x="125"/>
        <item h="1" x="3"/>
        <item h="1" x="82"/>
        <item h="1" x="6"/>
        <item h="1" x="126"/>
        <item h="1" x="10"/>
        <item h="1" x="21"/>
        <item h="1" x="96"/>
        <item h="1" x="5"/>
        <item h="1" x="103"/>
        <item h="1" x="117"/>
        <item h="1" x="35"/>
        <item h="1" x="84"/>
        <item h="1" x="97"/>
        <item h="1" x="132"/>
        <item h="1" x="26"/>
        <item h="1" x="30"/>
        <item h="1" x="51"/>
        <item h="1" x="34"/>
        <item h="1" x="86"/>
        <item h="1" x="29"/>
        <item h="1" x="137"/>
        <item h="1" x="99"/>
        <item h="1" x="120"/>
        <item h="1" x="91"/>
        <item h="1" x="104"/>
        <item h="1" x="122"/>
        <item h="1" x="20"/>
        <item h="1" x="8"/>
        <item h="1" x="154"/>
        <item h="1" x="157"/>
        <item h="1" x="161"/>
        <item h="1" x="0"/>
        <item h="1" m="1" x="171"/>
        <item h="1" x="163"/>
        <item h="1" x="1"/>
        <item h="1" x="2"/>
        <item h="1" x="4"/>
        <item h="1" x="7"/>
        <item h="1" x="9"/>
        <item h="1" x="11"/>
        <item h="1" x="12"/>
        <item h="1" x="13"/>
        <item h="1" x="14"/>
        <item h="1" x="15"/>
        <item h="1" x="16"/>
        <item h="1" x="17"/>
        <item h="1" x="18"/>
        <item h="1" x="19"/>
        <item h="1" x="23"/>
        <item h="1" x="24"/>
        <item h="1" x="25"/>
        <item h="1" x="27"/>
        <item h="1" x="28"/>
        <item h="1" x="31"/>
        <item h="1" x="32"/>
        <item h="1" x="33"/>
        <item h="1" x="36"/>
        <item h="1" x="37"/>
        <item h="1" x="38"/>
        <item h="1" x="39"/>
        <item h="1" x="40"/>
        <item h="1" x="41"/>
        <item h="1" x="42"/>
        <item h="1" x="43"/>
        <item h="1" x="44"/>
        <item h="1" x="45"/>
        <item h="1" x="46"/>
        <item h="1" x="47"/>
        <item h="1" x="48"/>
        <item h="1" x="49"/>
        <item h="1" x="50"/>
        <item h="1" x="52"/>
        <item h="1" x="53"/>
        <item h="1" x="54"/>
        <item h="1" x="55"/>
        <item h="1" x="56"/>
        <item h="1" x="57"/>
        <item h="1" x="58"/>
        <item h="1" x="59"/>
        <item h="1" x="60"/>
        <item h="1" x="61"/>
        <item h="1" x="63"/>
        <item h="1" x="64"/>
        <item h="1" x="65"/>
        <item h="1" x="66"/>
        <item h="1" x="67"/>
        <item h="1" x="68"/>
        <item h="1" x="69"/>
        <item h="1" x="70"/>
        <item h="1" x="71"/>
        <item h="1" x="73"/>
        <item h="1" x="74"/>
        <item h="1" x="75"/>
        <item h="1" x="76"/>
        <item h="1" x="77"/>
        <item h="1" x="78"/>
        <item h="1" x="79"/>
        <item h="1" x="80"/>
        <item h="1" x="81"/>
        <item h="1" x="83"/>
        <item h="1" x="85"/>
        <item h="1" x="87"/>
        <item h="1" x="88"/>
        <item h="1" x="89"/>
        <item h="1" x="90"/>
        <item h="1" x="92"/>
        <item h="1" x="93"/>
        <item h="1" x="94"/>
        <item h="1" x="95"/>
        <item h="1" x="98"/>
        <item h="1" x="100"/>
        <item h="1" x="101"/>
        <item h="1" x="102"/>
        <item h="1" x="105"/>
        <item h="1" x="106"/>
        <item h="1" x="107"/>
        <item h="1" x="108"/>
        <item h="1" x="109"/>
        <item h="1" x="110"/>
        <item h="1" x="111"/>
        <item h="1" x="112"/>
        <item h="1" x="113"/>
        <item h="1" x="114"/>
        <item h="1" x="115"/>
        <item h="1" x="116"/>
        <item h="1" x="118"/>
        <item h="1" x="121"/>
        <item h="1" x="123"/>
        <item h="1" x="127"/>
        <item h="1" x="128"/>
        <item h="1" x="129"/>
        <item h="1" x="130"/>
        <item h="1" x="131"/>
        <item h="1" x="133"/>
        <item h="1" x="135"/>
        <item h="1" x="139"/>
        <item h="1" x="142"/>
        <item h="1" x="143"/>
        <item h="1" m="1" x="172"/>
        <item h="1" x="146"/>
        <item h="1" m="1" x="173"/>
        <item h="1" x="148"/>
        <item h="1" x="149"/>
        <item h="1" x="162"/>
        <item h="1" x="155"/>
        <item h="1" x="160"/>
        <item h="1" x="164"/>
        <item h="1" x="124"/>
        <item h="1" x="165"/>
        <item x="166"/>
        <item h="1" x="134"/>
        <item h="1" x="136"/>
        <item h="1" x="138"/>
        <item h="1" x="140"/>
        <item h="1" x="141"/>
        <item h="1" x="144"/>
        <item h="1" x="145"/>
        <item h="1" x="147"/>
        <item h="1" x="150"/>
        <item h="1" x="151"/>
        <item h="1" x="152"/>
        <item h="1" x="153"/>
        <item h="1" x="156"/>
        <item h="1" x="158"/>
        <item h="1" x="159"/>
        <item x="167"/>
        <item x="168"/>
        <item x="169"/>
        <item x="170"/>
        <item t="default"/>
      </items>
    </pivotField>
    <pivotField showAll="0"/>
    <pivotField showAll="0"/>
    <pivotField showAll="0"/>
    <pivotField showAll="0"/>
    <pivotField showAll="0"/>
    <pivotField showAll="0"/>
    <pivotField showAll="0"/>
    <pivotField dataField="1" showAll="0"/>
  </pivotFields>
  <rowFields count="1">
    <field x="6"/>
  </rowFields>
  <rowItems count="7">
    <i>
      <x v="8"/>
    </i>
    <i>
      <x v="65"/>
    </i>
    <i>
      <x v="199"/>
    </i>
    <i>
      <x v="451"/>
    </i>
    <i>
      <x v="452"/>
    </i>
    <i>
      <x v="488"/>
    </i>
    <i t="grand">
      <x/>
    </i>
  </rowItems>
  <colItems count="1">
    <i/>
  </colItems>
  <pageFields count="2">
    <pageField fld="0" hier="-1"/>
    <pageField fld="34" hier="-1"/>
  </pageFields>
  <dataFields count="1">
    <dataField name="Soma de Qdte" fld="42" baseField="0" baseItem="0"/>
  </dataFields>
  <formats count="2">
    <format dxfId="310">
      <pivotArea dataOnly="0" labelOnly="1" fieldPosition="0">
        <references count="1">
          <reference field="6" count="1">
            <x v="441"/>
          </reference>
        </references>
      </pivotArea>
    </format>
    <format dxfId="309">
      <pivotArea dataOnly="0" labelOnly="1" fieldPosition="0">
        <references count="1">
          <reference field="6" count="1">
            <x v="440"/>
          </reference>
        </references>
      </pivotArea>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000000-0007-0000-0400-00000B000000}" name="Tabela dinâmica8"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Q1334:R1344" firstHeaderRow="1" firstDataRow="1" firstDataCol="1" rowPageCount="2" colPageCount="1"/>
  <pivotFields count="50">
    <pivotField axis="axisPage" multipleItemSelectionAllowed="1" showAll="0">
      <items count="5">
        <item x="1"/>
        <item h="1" x="0"/>
        <item h="1" x="2"/>
        <item h="1" x="3"/>
        <item t="default"/>
      </items>
    </pivotField>
    <pivotField showAll="0"/>
    <pivotField showAll="0"/>
    <pivotField showAll="0"/>
    <pivotField showAll="0"/>
    <pivotField showAll="0"/>
    <pivotField axis="axisRow" showAll="0">
      <items count="712">
        <item x="432"/>
        <item x="276"/>
        <item x="397"/>
        <item x="112"/>
        <item x="88"/>
        <item x="82"/>
        <item x="350"/>
        <item x="42"/>
        <item x="316"/>
        <item x="311"/>
        <item x="347"/>
        <item x="375"/>
        <item x="8"/>
        <item x="368"/>
        <item x="63"/>
        <item x="230"/>
        <item x="348"/>
        <item x="235"/>
        <item x="228"/>
        <item x="240"/>
        <item x="373"/>
        <item x="120"/>
        <item x="426"/>
        <item x="165"/>
        <item x="278"/>
        <item x="282"/>
        <item x="190"/>
        <item x="180"/>
        <item x="361"/>
        <item x="298"/>
        <item x="414"/>
        <item x="119"/>
        <item x="56"/>
        <item x="339"/>
        <item x="410"/>
        <item x="385"/>
        <item x="170"/>
        <item x="169"/>
        <item x="239"/>
        <item x="10"/>
        <item x="9"/>
        <item x="309"/>
        <item x="248"/>
        <item x="393"/>
        <item x="236"/>
        <item x="272"/>
        <item x="340"/>
        <item x="362"/>
        <item x="57"/>
        <item x="395"/>
        <item x="399"/>
        <item x="406"/>
        <item x="182"/>
        <item x="183"/>
        <item x="238"/>
        <item x="219"/>
        <item x="141"/>
        <item x="192"/>
        <item x="428"/>
        <item x="55"/>
        <item x="43"/>
        <item x="100"/>
        <item x="81"/>
        <item x="370"/>
        <item x="376"/>
        <item x="377"/>
        <item x="274"/>
        <item x="275"/>
        <item x="247"/>
        <item x="91"/>
        <item x="3"/>
        <item x="435"/>
        <item x="154"/>
        <item x="157"/>
        <item x="151"/>
        <item x="264"/>
        <item x="254"/>
        <item x="379"/>
        <item x="263"/>
        <item x="253"/>
        <item x="194"/>
        <item x="424"/>
        <item x="84"/>
        <item x="341"/>
        <item x="111"/>
        <item x="419"/>
        <item x="387"/>
        <item x="383"/>
        <item x="352"/>
        <item x="342"/>
        <item x="133"/>
        <item x="104"/>
        <item x="330"/>
        <item x="109"/>
        <item x="156"/>
        <item x="32"/>
        <item x="93"/>
        <item x="224"/>
        <item x="367"/>
        <item x="366"/>
        <item x="233"/>
        <item x="193"/>
        <item x="401"/>
        <item x="50"/>
        <item x="345"/>
        <item x="314"/>
        <item x="280"/>
        <item x="292"/>
        <item x="288"/>
        <item x="343"/>
        <item x="269"/>
        <item x="18"/>
        <item x="19"/>
        <item x="234"/>
        <item x="31"/>
        <item x="304"/>
        <item x="46"/>
        <item x="49"/>
        <item x="62"/>
        <item x="210"/>
        <item x="14"/>
        <item x="396"/>
        <item x="106"/>
        <item x="67"/>
        <item x="200"/>
        <item x="107"/>
        <item x="25"/>
        <item x="199"/>
        <item x="90"/>
        <item x="171"/>
        <item x="335"/>
        <item x="110"/>
        <item x="125"/>
        <item x="123"/>
        <item x="77"/>
        <item x="294"/>
        <item x="167"/>
        <item x="166"/>
        <item x="265"/>
        <item x="251"/>
        <item x="411"/>
        <item x="187"/>
        <item x="363"/>
        <item x="101"/>
        <item x="152"/>
        <item x="175"/>
        <item x="351"/>
        <item x="99"/>
        <item x="250"/>
        <item x="45"/>
        <item x="211"/>
        <item x="214"/>
        <item x="213"/>
        <item x="7"/>
        <item x="174"/>
        <item x="135"/>
        <item x="27"/>
        <item x="122"/>
        <item x="121"/>
        <item x="98"/>
        <item x="409"/>
        <item x="71"/>
        <item x="129"/>
        <item x="44"/>
        <item x="185"/>
        <item x="216"/>
        <item x="215"/>
        <item x="20"/>
        <item x="4"/>
        <item x="433"/>
        <item x="365"/>
        <item x="270"/>
        <item x="255"/>
        <item x="310"/>
        <item x="287"/>
        <item x="188"/>
        <item x="28"/>
        <item x="434"/>
        <item x="344"/>
        <item x="97"/>
        <item x="89"/>
        <item x="48"/>
        <item x="245"/>
        <item x="346"/>
        <item x="244"/>
        <item x="289"/>
        <item x="408"/>
        <item x="300"/>
        <item x="371"/>
        <item x="158"/>
        <item x="404"/>
        <item x="407"/>
        <item x="59"/>
        <item x="356"/>
        <item x="95"/>
        <item x="308"/>
        <item x="315"/>
        <item x="260"/>
        <item x="259"/>
        <item x="319"/>
        <item x="60"/>
        <item x="355"/>
        <item x="286"/>
        <item x="285"/>
        <item x="380"/>
        <item x="389"/>
        <item x="390"/>
        <item x="218"/>
        <item x="41"/>
        <item x="17"/>
        <item x="26"/>
        <item x="208"/>
        <item x="207"/>
        <item x="150"/>
        <item x="191"/>
        <item x="295"/>
        <item x="184"/>
        <item x="54"/>
        <item x="256"/>
        <item x="405"/>
        <item x="422"/>
        <item x="163"/>
        <item x="427"/>
        <item x="431"/>
        <item x="201"/>
        <item x="400"/>
        <item x="162"/>
        <item x="161"/>
        <item x="398"/>
        <item x="246"/>
        <item x="22"/>
        <item x="12"/>
        <item x="69"/>
        <item x="79"/>
        <item x="353"/>
        <item x="241"/>
        <item x="242"/>
        <item x="179"/>
        <item x="354"/>
        <item x="413"/>
        <item x="78"/>
        <item x="86"/>
        <item x="384"/>
        <item x="70"/>
        <item x="349"/>
        <item x="306"/>
        <item x="305"/>
        <item x="181"/>
        <item x="139"/>
        <item x="418"/>
        <item x="87"/>
        <item x="417"/>
        <item x="113"/>
        <item x="416"/>
        <item x="266"/>
        <item x="2"/>
        <item x="312"/>
        <item x="425"/>
        <item x="74"/>
        <item x="73"/>
        <item x="313"/>
        <item x="16"/>
        <item x="21"/>
        <item x="118"/>
        <item x="153"/>
        <item x="415"/>
        <item x="29"/>
        <item x="394"/>
        <item x="229"/>
        <item x="281"/>
        <item x="284"/>
        <item x="38"/>
        <item x="258"/>
        <item x="102"/>
        <item x="114"/>
        <item x="116"/>
        <item x="115"/>
        <item x="392"/>
        <item x="61"/>
        <item x="386"/>
        <item x="391"/>
        <item x="252"/>
        <item x="388"/>
        <item x="372"/>
        <item x="143"/>
        <item x="429"/>
        <item x="374"/>
        <item x="33"/>
        <item x="359"/>
        <item x="225"/>
        <item x="358"/>
        <item x="323"/>
        <item x="159"/>
        <item x="160"/>
        <item x="307"/>
        <item x="296"/>
        <item x="221"/>
        <item x="412"/>
        <item x="195"/>
        <item x="290"/>
        <item x="232"/>
        <item x="249"/>
        <item m="1" x="705"/>
        <item x="131"/>
        <item x="277"/>
        <item x="430"/>
        <item x="92"/>
        <item x="66"/>
        <item x="205"/>
        <item x="35"/>
        <item x="39"/>
        <item x="37"/>
        <item x="128"/>
        <item x="402"/>
        <item x="103"/>
        <item x="369"/>
        <item x="220"/>
        <item x="96"/>
        <item x="124"/>
        <item x="318"/>
        <item x="130"/>
        <item x="297"/>
        <item x="24"/>
        <item x="23"/>
        <item x="423"/>
        <item x="68"/>
        <item x="0"/>
        <item x="204"/>
        <item x="206"/>
        <item x="268"/>
        <item x="237"/>
        <item x="338"/>
        <item x="337"/>
        <item x="403"/>
        <item x="58"/>
        <item x="223"/>
        <item x="202"/>
        <item x="127"/>
        <item x="293"/>
        <item x="322"/>
        <item x="226"/>
        <item x="94"/>
        <item x="227"/>
        <item x="243"/>
        <item x="5"/>
        <item x="321"/>
        <item x="325"/>
        <item x="381"/>
        <item x="13"/>
        <item x="11"/>
        <item x="47"/>
        <item x="327"/>
        <item x="364"/>
        <item x="382"/>
        <item x="217"/>
        <item x="189"/>
        <item x="34"/>
        <item x="64"/>
        <item x="378"/>
        <item x="267"/>
        <item x="117"/>
        <item x="147"/>
        <item x="146"/>
        <item x="173"/>
        <item x="172"/>
        <item x="177"/>
        <item x="176"/>
        <item x="148"/>
        <item x="357"/>
        <item x="320"/>
        <item x="437"/>
        <item x="438"/>
        <item x="439"/>
        <item x="440"/>
        <item x="442"/>
        <item x="443"/>
        <item x="445"/>
        <item x="446"/>
        <item x="454"/>
        <item x="448"/>
        <item x="449"/>
        <item x="450"/>
        <item x="699"/>
        <item x="453"/>
        <item x="441"/>
        <item x="455"/>
        <item x="456"/>
        <item x="457"/>
        <item x="458"/>
        <item x="459"/>
        <item x="460"/>
        <item x="461"/>
        <item x="462"/>
        <item x="463"/>
        <item x="464"/>
        <item x="465"/>
        <item x="466"/>
        <item x="467"/>
        <item x="468"/>
        <item x="469"/>
        <item x="470"/>
        <item x="471"/>
        <item x="472"/>
        <item x="473"/>
        <item x="475"/>
        <item x="476"/>
        <item x="478"/>
        <item x="474"/>
        <item x="477"/>
        <item x="479"/>
        <item x="480"/>
        <item x="481"/>
        <item x="484"/>
        <item x="436"/>
        <item x="447"/>
        <item x="452"/>
        <item x="486"/>
        <item x="488"/>
        <item x="489"/>
        <item x="490"/>
        <item x="336"/>
        <item x="491"/>
        <item x="444"/>
        <item x="492"/>
        <item x="494"/>
        <item x="495"/>
        <item x="497"/>
        <item x="498"/>
        <item x="499"/>
        <item x="500"/>
        <item x="501"/>
        <item x="502"/>
        <item x="503"/>
        <item x="504"/>
        <item x="505"/>
        <item x="506"/>
        <item x="507"/>
        <item x="509"/>
        <item x="493"/>
        <item x="511"/>
        <item x="512"/>
        <item x="513"/>
        <item x="514"/>
        <item x="515"/>
        <item x="516"/>
        <item x="517"/>
        <item x="518"/>
        <item x="519"/>
        <item x="520"/>
        <item x="521"/>
        <item x="522"/>
        <item x="523"/>
        <item x="524"/>
        <item x="525"/>
        <item x="526"/>
        <item x="527"/>
        <item x="528"/>
        <item x="529"/>
        <item x="530"/>
        <item x="531"/>
        <item x="532"/>
        <item x="533"/>
        <item x="510"/>
        <item x="534"/>
        <item x="535"/>
        <item x="536"/>
        <item x="537"/>
        <item x="538"/>
        <item x="496"/>
        <item x="508"/>
        <item x="539"/>
        <item x="540"/>
        <item x="542"/>
        <item x="543"/>
        <item x="544"/>
        <item x="545"/>
        <item x="487"/>
        <item x="546"/>
        <item x="550"/>
        <item x="552"/>
        <item x="553"/>
        <item x="554"/>
        <item x="555"/>
        <item x="557"/>
        <item x="558"/>
        <item x="559"/>
        <item x="560"/>
        <item x="561"/>
        <item x="562"/>
        <item x="563"/>
        <item x="565"/>
        <item x="566"/>
        <item x="567"/>
        <item x="568"/>
        <item x="569"/>
        <item x="570"/>
        <item x="571"/>
        <item m="1" x="709"/>
        <item x="573"/>
        <item x="574"/>
        <item x="575"/>
        <item x="576"/>
        <item x="577"/>
        <item m="1" x="710"/>
        <item x="579"/>
        <item x="580"/>
        <item x="581"/>
        <item x="582"/>
        <item x="583"/>
        <item x="584"/>
        <item x="585"/>
        <item x="586"/>
        <item m="1" x="707"/>
        <item x="588"/>
        <item x="589"/>
        <item x="590"/>
        <item x="591"/>
        <item x="592"/>
        <item x="593"/>
        <item x="594"/>
        <item x="595"/>
        <item x="1"/>
        <item x="6"/>
        <item x="15"/>
        <item x="30"/>
        <item x="36"/>
        <item x="40"/>
        <item x="51"/>
        <item x="52"/>
        <item x="53"/>
        <item x="65"/>
        <item x="72"/>
        <item x="75"/>
        <item x="76"/>
        <item x="80"/>
        <item x="83"/>
        <item x="85"/>
        <item x="105"/>
        <item x="108"/>
        <item x="126"/>
        <item x="132"/>
        <item x="134"/>
        <item x="136"/>
        <item x="137"/>
        <item x="138"/>
        <item x="140"/>
        <item x="142"/>
        <item x="144"/>
        <item x="145"/>
        <item x="149"/>
        <item x="155"/>
        <item x="164"/>
        <item x="168"/>
        <item x="178"/>
        <item x="186"/>
        <item x="196"/>
        <item x="197"/>
        <item x="198"/>
        <item x="203"/>
        <item x="209"/>
        <item x="212"/>
        <item x="222"/>
        <item x="231"/>
        <item x="257"/>
        <item x="261"/>
        <item x="262"/>
        <item x="271"/>
        <item x="273"/>
        <item x="279"/>
        <item x="283"/>
        <item x="291"/>
        <item x="299"/>
        <item x="301"/>
        <item x="302"/>
        <item x="303"/>
        <item x="317"/>
        <item x="324"/>
        <item x="326"/>
        <item x="328"/>
        <item x="329"/>
        <item x="331"/>
        <item x="332"/>
        <item x="333"/>
        <item x="334"/>
        <item x="360"/>
        <item x="420"/>
        <item x="421"/>
        <item x="482"/>
        <item x="483"/>
        <item x="485"/>
        <item x="541"/>
        <item x="547"/>
        <item x="548"/>
        <item x="549"/>
        <item x="551"/>
        <item x="556"/>
        <item x="564"/>
        <item x="596"/>
        <item x="597"/>
        <item x="598"/>
        <item x="599"/>
        <item x="600"/>
        <item x="601"/>
        <item x="602"/>
        <item x="603"/>
        <item x="604"/>
        <item x="605"/>
        <item x="606"/>
        <item x="607"/>
        <item x="608"/>
        <item x="609"/>
        <item x="610"/>
        <item x="611"/>
        <item x="612"/>
        <item x="613"/>
        <item x="572"/>
        <item x="578"/>
        <item x="614"/>
        <item x="615"/>
        <item x="616"/>
        <item x="617"/>
        <item m="1" x="708"/>
        <item x="619"/>
        <item x="620"/>
        <item x="621"/>
        <item x="622"/>
        <item x="623"/>
        <item x="624"/>
        <item x="625"/>
        <item x="626"/>
        <item x="627"/>
        <item x="628"/>
        <item x="629"/>
        <item x="630"/>
        <item x="631"/>
        <item x="632"/>
        <item x="633"/>
        <item x="634"/>
        <item x="587"/>
        <item x="618"/>
        <item x="635"/>
        <item x="636"/>
        <item x="637"/>
        <item x="638"/>
        <item x="639"/>
        <item x="640"/>
        <item x="641"/>
        <item x="642"/>
        <item x="643"/>
        <item x="644"/>
        <item x="645"/>
        <item x="646"/>
        <item x="647"/>
        <item x="648"/>
        <item x="649"/>
        <item m="1" x="706"/>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50"/>
        <item x="682"/>
        <item x="683"/>
        <item x="684"/>
        <item x="685"/>
        <item x="686"/>
        <item x="687"/>
        <item x="688"/>
        <item x="689"/>
        <item x="690"/>
        <item x="691"/>
        <item x="692"/>
        <item x="693"/>
        <item x="694"/>
        <item x="695"/>
        <item x="696"/>
        <item x="697"/>
        <item x="698"/>
        <item x="451"/>
        <item x="700"/>
        <item x="701"/>
        <item x="702"/>
        <item x="703"/>
        <item x="70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44" showAll="0"/>
    <pivotField showAll="0"/>
    <pivotField showAll="0"/>
    <pivotField showAll="0"/>
    <pivotField showAll="0"/>
    <pivotField showAll="0"/>
    <pivotField showAll="0"/>
    <pivotField showAll="0"/>
    <pivotField axis="axisPage" multipleItemSelectionAllowed="1" showAll="0">
      <items count="220">
        <item h="1" x="90"/>
        <item h="1" x="150"/>
        <item h="1" x="177"/>
        <item h="1" x="45"/>
        <item h="1" x="82"/>
        <item h="1" x="91"/>
        <item h="1" x="125"/>
        <item h="1" x="158"/>
        <item h="1" x="152"/>
        <item h="1" x="37"/>
        <item h="1" x="136"/>
        <item h="1" x="53"/>
        <item h="1" x="63"/>
        <item h="1" x="100"/>
        <item h="1" x="122"/>
        <item h="1" x="139"/>
        <item h="1" x="3"/>
        <item h="1" x="167"/>
        <item h="1" x="35"/>
        <item h="1" x="112"/>
        <item h="1" x="102"/>
        <item h="1" x="117"/>
        <item h="1" x="141"/>
        <item h="1" x="137"/>
        <item h="1" x="19"/>
        <item h="1" x="151"/>
        <item h="1" x="6"/>
        <item h="1" x="39"/>
        <item h="1" x="118"/>
        <item h="1" x="181"/>
        <item h="1" x="111"/>
        <item h="1" x="11"/>
        <item h="1" x="15"/>
        <item h="1" x="34"/>
        <item h="1" x="25"/>
        <item h="1" x="36"/>
        <item h="1" x="38"/>
        <item h="1" x="2"/>
        <item h="1" x="66"/>
        <item h="1" x="94"/>
        <item h="1" x="164"/>
        <item h="1" x="74"/>
        <item h="1" x="165"/>
        <item h="1" x="65"/>
        <item h="1" x="124"/>
        <item h="1" x="4"/>
        <item h="1" x="27"/>
        <item h="1" x="54"/>
        <item h="1" x="55"/>
        <item h="1" x="70"/>
        <item h="1" x="85"/>
        <item h="1" x="115"/>
        <item h="1" x="129"/>
        <item h="1" x="149"/>
        <item h="1" x="18"/>
        <item h="1" x="153"/>
        <item h="1" x="67"/>
        <item h="1" x="93"/>
        <item h="1" x="99"/>
        <item h="1" x="116"/>
        <item h="1" x="146"/>
        <item h="1" x="157"/>
        <item h="1" x="88"/>
        <item h="1" x="119"/>
        <item h="1" x="12"/>
        <item h="1" x="138"/>
        <item h="1" x="148"/>
        <item h="1" x="16"/>
        <item h="1" x="159"/>
        <item h="1" x="166"/>
        <item h="1" x="169"/>
        <item h="1" x="43"/>
        <item h="1" x="56"/>
        <item h="1" x="86"/>
        <item h="1" x="133"/>
        <item h="1" x="155"/>
        <item h="1" x="171"/>
        <item h="1" x="41"/>
        <item h="1" x="44"/>
        <item h="1" x="134"/>
        <item h="1" x="68"/>
        <item h="1" x="73"/>
        <item h="1" x="75"/>
        <item h="1" x="120"/>
        <item h="1" x="130"/>
        <item h="1" x="154"/>
        <item h="1" x="33"/>
        <item h="1" x="170"/>
        <item h="1" x="81"/>
        <item h="1" x="92"/>
        <item h="1" x="126"/>
        <item h="1" x="131"/>
        <item h="1" x="20"/>
        <item h="1" x="156"/>
        <item h="1" x="42"/>
        <item h="1" x="47"/>
        <item h="1" x="57"/>
        <item h="1" x="98"/>
        <item h="1" x="22"/>
        <item h="1" x="69"/>
        <item h="1" x="83"/>
        <item h="1" x="89"/>
        <item h="1" x="95"/>
        <item h="1" x="109"/>
        <item h="1" x="7"/>
        <item h="1" x="9"/>
        <item h="1" x="163"/>
        <item h="1" x="58"/>
        <item h="1" x="114"/>
        <item h="1" x="144"/>
        <item h="1" x="21"/>
        <item h="1" x="28"/>
        <item h="1" x="172"/>
        <item h="1" x="50"/>
        <item h="1" x="51"/>
        <item h="1" x="59"/>
        <item h="1" x="107"/>
        <item h="1" x="14"/>
        <item h="1" x="23"/>
        <item h="1" x="26"/>
        <item h="1" x="179"/>
        <item h="1" x="49"/>
        <item h="1" x="106"/>
        <item h="1" x="105"/>
        <item h="1" x="145"/>
        <item h="1" x="29"/>
        <item h="1" x="78"/>
        <item h="1" x="97"/>
        <item h="1" x="127"/>
        <item h="1" x="161"/>
        <item h="1" x="176"/>
        <item h="1" x="79"/>
        <item h="1" x="31"/>
        <item h="1" x="40"/>
        <item h="1" x="72"/>
        <item h="1" x="140"/>
        <item h="1" x="147"/>
        <item h="1" x="46"/>
        <item h="1" x="87"/>
        <item h="1" x="113"/>
        <item h="1" x="110"/>
        <item h="1" x="8"/>
        <item h="1" x="48"/>
        <item h="1" x="52"/>
        <item h="1" x="61"/>
        <item h="1" x="80"/>
        <item h="1" x="132"/>
        <item h="1" x="143"/>
        <item h="1" x="30"/>
        <item h="1" x="62"/>
        <item h="1" x="77"/>
        <item h="1" x="5"/>
        <item h="1" x="13"/>
        <item h="1" x="32"/>
        <item h="1" x="175"/>
        <item h="1" x="60"/>
        <item h="1" x="103"/>
        <item h="1" x="123"/>
        <item h="1" x="10"/>
        <item h="1" x="142"/>
        <item h="1" x="24"/>
        <item h="1" x="71"/>
        <item h="1" x="76"/>
        <item h="1" x="104"/>
        <item h="1" x="108"/>
        <item h="1" x="135"/>
        <item h="1" x="1"/>
        <item h="1" x="17"/>
        <item h="1" x="178"/>
        <item h="1" x="64"/>
        <item h="1" x="96"/>
        <item h="1" x="121"/>
        <item h="1" x="128"/>
        <item h="1" x="183"/>
        <item h="1" x="173"/>
        <item h="1" x="162"/>
        <item h="1" x="184"/>
        <item h="1" x="185"/>
        <item h="1" x="186"/>
        <item h="1" x="188"/>
        <item h="1" x="190"/>
        <item h="1" x="191"/>
        <item h="1" x="168"/>
        <item h="1" x="160"/>
        <item h="1" x="101"/>
        <item h="1" x="174"/>
        <item h="1" x="180"/>
        <item h="1" x="193"/>
        <item h="1" x="189"/>
        <item h="1" x="187"/>
        <item h="1" x="195"/>
        <item h="1" x="84"/>
        <item h="1" x="192"/>
        <item h="1" x="194"/>
        <item h="1" x="197"/>
        <item h="1" x="200"/>
        <item h="1" x="199"/>
        <item h="1" x="201"/>
        <item h="1" x="202"/>
        <item h="1" x="203"/>
        <item h="1" x="204"/>
        <item h="1" x="196"/>
        <item h="1" x="205"/>
        <item h="1" x="0"/>
        <item h="1" x="207"/>
        <item h="1" x="208"/>
        <item h="1" x="211"/>
        <item h="1" x="206"/>
        <item h="1" x="209"/>
        <item h="1" m="1" x="218"/>
        <item h="1" x="213"/>
        <item h="1" x="214"/>
        <item x="182"/>
        <item x="198"/>
        <item x="210"/>
        <item x="216"/>
        <item x="215"/>
        <item x="212"/>
        <item x="217"/>
        <item t="default"/>
      </items>
    </pivotField>
    <pivotField showAll="0"/>
    <pivotField showAll="0"/>
    <pivotField showAll="0"/>
    <pivotField showAll="0"/>
    <pivotField showAll="0"/>
    <pivotField showAll="0"/>
    <pivotField showAll="0"/>
    <pivotField showAll="0"/>
    <pivotField showAll="0"/>
    <pivotField dataField="1" showAll="0"/>
  </pivotFields>
  <rowFields count="1">
    <field x="6"/>
  </rowFields>
  <rowItems count="10">
    <i>
      <x v="413"/>
    </i>
    <i>
      <x v="589"/>
    </i>
    <i>
      <x v="635"/>
    </i>
    <i>
      <x v="687"/>
    </i>
    <i>
      <x v="688"/>
    </i>
    <i>
      <x v="693"/>
    </i>
    <i>
      <x v="707"/>
    </i>
    <i>
      <x v="708"/>
    </i>
    <i>
      <x v="709"/>
    </i>
    <i t="grand">
      <x/>
    </i>
  </rowItems>
  <colItems count="1">
    <i/>
  </colItems>
  <pageFields count="2">
    <pageField fld="0" hier="-1"/>
    <pageField fld="39" hier="-1"/>
  </pageFields>
  <dataFields count="1">
    <dataField name="Soma de QTDE" fld="49" baseField="0" baseItem="0"/>
  </dataField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000000-0007-0000-0400-000001000000}" name="Tabela dinâmica1"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N22:O24" firstHeaderRow="1" firstDataRow="1" firstDataCol="1" rowPageCount="2" colPageCount="1"/>
  <pivotFields count="50">
    <pivotField axis="axisPage" multipleItemSelectionAllowed="1" showAll="0">
      <items count="5">
        <item h="1" x="1"/>
        <item h="1" x="0"/>
        <item x="2"/>
        <item h="1" x="3"/>
        <item t="default"/>
      </items>
    </pivotField>
    <pivotField showAll="0"/>
    <pivotField showAll="0"/>
    <pivotField showAll="0"/>
    <pivotField showAll="0"/>
    <pivotField showAll="0"/>
    <pivotField axis="axisRow" showAll="0">
      <items count="712">
        <item x="432"/>
        <item x="276"/>
        <item x="397"/>
        <item x="112"/>
        <item x="88"/>
        <item x="82"/>
        <item x="350"/>
        <item x="42"/>
        <item x="316"/>
        <item x="311"/>
        <item x="347"/>
        <item x="375"/>
        <item x="8"/>
        <item x="368"/>
        <item x="63"/>
        <item x="230"/>
        <item x="348"/>
        <item x="235"/>
        <item x="228"/>
        <item x="240"/>
        <item x="373"/>
        <item x="120"/>
        <item x="426"/>
        <item x="165"/>
        <item x="278"/>
        <item x="282"/>
        <item x="190"/>
        <item x="180"/>
        <item x="361"/>
        <item x="298"/>
        <item x="414"/>
        <item x="119"/>
        <item x="56"/>
        <item x="339"/>
        <item x="410"/>
        <item x="385"/>
        <item x="170"/>
        <item x="169"/>
        <item x="239"/>
        <item x="10"/>
        <item x="9"/>
        <item x="309"/>
        <item x="248"/>
        <item x="393"/>
        <item x="236"/>
        <item x="272"/>
        <item x="340"/>
        <item x="362"/>
        <item x="57"/>
        <item x="395"/>
        <item x="399"/>
        <item x="406"/>
        <item x="182"/>
        <item x="183"/>
        <item x="238"/>
        <item x="219"/>
        <item x="141"/>
        <item x="192"/>
        <item x="428"/>
        <item x="55"/>
        <item x="43"/>
        <item x="100"/>
        <item x="81"/>
        <item x="370"/>
        <item x="376"/>
        <item x="377"/>
        <item x="274"/>
        <item x="275"/>
        <item x="247"/>
        <item x="91"/>
        <item x="3"/>
        <item x="435"/>
        <item x="154"/>
        <item x="157"/>
        <item x="151"/>
        <item x="264"/>
        <item x="254"/>
        <item x="379"/>
        <item x="263"/>
        <item x="253"/>
        <item x="194"/>
        <item x="424"/>
        <item x="84"/>
        <item x="341"/>
        <item x="111"/>
        <item x="419"/>
        <item x="387"/>
        <item x="383"/>
        <item x="352"/>
        <item x="342"/>
        <item x="133"/>
        <item x="104"/>
        <item x="330"/>
        <item x="109"/>
        <item x="156"/>
        <item x="32"/>
        <item x="93"/>
        <item x="224"/>
        <item x="367"/>
        <item x="366"/>
        <item x="233"/>
        <item x="193"/>
        <item x="401"/>
        <item x="50"/>
        <item x="345"/>
        <item x="314"/>
        <item x="280"/>
        <item x="292"/>
        <item x="288"/>
        <item x="343"/>
        <item x="269"/>
        <item x="18"/>
        <item x="19"/>
        <item x="234"/>
        <item x="31"/>
        <item x="304"/>
        <item x="46"/>
        <item x="49"/>
        <item x="62"/>
        <item x="210"/>
        <item x="14"/>
        <item x="396"/>
        <item x="106"/>
        <item x="67"/>
        <item x="200"/>
        <item x="107"/>
        <item x="25"/>
        <item x="199"/>
        <item x="90"/>
        <item x="171"/>
        <item x="335"/>
        <item x="110"/>
        <item x="125"/>
        <item x="123"/>
        <item x="77"/>
        <item x="294"/>
        <item x="167"/>
        <item x="166"/>
        <item x="265"/>
        <item x="251"/>
        <item x="411"/>
        <item x="187"/>
        <item x="363"/>
        <item x="101"/>
        <item x="152"/>
        <item x="175"/>
        <item x="351"/>
        <item x="99"/>
        <item x="250"/>
        <item x="45"/>
        <item x="211"/>
        <item x="214"/>
        <item x="213"/>
        <item x="7"/>
        <item x="174"/>
        <item x="135"/>
        <item x="27"/>
        <item x="122"/>
        <item x="121"/>
        <item x="98"/>
        <item x="409"/>
        <item x="71"/>
        <item x="129"/>
        <item x="44"/>
        <item x="185"/>
        <item x="216"/>
        <item x="215"/>
        <item x="20"/>
        <item x="4"/>
        <item x="433"/>
        <item x="365"/>
        <item x="270"/>
        <item x="255"/>
        <item x="310"/>
        <item x="287"/>
        <item x="188"/>
        <item x="28"/>
        <item x="434"/>
        <item x="344"/>
        <item x="97"/>
        <item x="89"/>
        <item x="48"/>
        <item x="245"/>
        <item x="346"/>
        <item x="244"/>
        <item x="289"/>
        <item x="408"/>
        <item x="300"/>
        <item x="371"/>
        <item x="158"/>
        <item x="404"/>
        <item x="407"/>
        <item x="59"/>
        <item x="356"/>
        <item x="95"/>
        <item x="308"/>
        <item x="315"/>
        <item x="260"/>
        <item x="259"/>
        <item x="319"/>
        <item x="60"/>
        <item x="355"/>
        <item x="286"/>
        <item x="285"/>
        <item x="380"/>
        <item x="389"/>
        <item x="390"/>
        <item x="218"/>
        <item x="41"/>
        <item x="17"/>
        <item x="26"/>
        <item x="208"/>
        <item x="207"/>
        <item x="150"/>
        <item x="191"/>
        <item x="295"/>
        <item x="184"/>
        <item x="54"/>
        <item x="256"/>
        <item x="405"/>
        <item x="422"/>
        <item x="163"/>
        <item x="427"/>
        <item x="431"/>
        <item x="201"/>
        <item x="400"/>
        <item x="162"/>
        <item x="161"/>
        <item x="398"/>
        <item x="246"/>
        <item x="22"/>
        <item x="12"/>
        <item x="69"/>
        <item x="79"/>
        <item x="353"/>
        <item x="241"/>
        <item x="242"/>
        <item x="179"/>
        <item x="354"/>
        <item x="413"/>
        <item x="78"/>
        <item x="86"/>
        <item x="384"/>
        <item x="70"/>
        <item x="349"/>
        <item x="306"/>
        <item x="305"/>
        <item x="181"/>
        <item x="139"/>
        <item x="418"/>
        <item x="87"/>
        <item x="417"/>
        <item x="113"/>
        <item x="416"/>
        <item x="266"/>
        <item x="2"/>
        <item x="312"/>
        <item x="425"/>
        <item x="74"/>
        <item x="73"/>
        <item x="313"/>
        <item x="16"/>
        <item x="21"/>
        <item x="118"/>
        <item x="153"/>
        <item x="415"/>
        <item x="29"/>
        <item x="394"/>
        <item x="229"/>
        <item x="281"/>
        <item x="284"/>
        <item x="38"/>
        <item x="258"/>
        <item x="102"/>
        <item x="114"/>
        <item x="116"/>
        <item x="115"/>
        <item x="392"/>
        <item x="61"/>
        <item x="386"/>
        <item x="391"/>
        <item x="252"/>
        <item x="388"/>
        <item x="372"/>
        <item x="143"/>
        <item x="429"/>
        <item x="374"/>
        <item x="33"/>
        <item x="359"/>
        <item x="225"/>
        <item x="358"/>
        <item x="323"/>
        <item x="159"/>
        <item x="160"/>
        <item x="307"/>
        <item x="296"/>
        <item x="221"/>
        <item x="412"/>
        <item x="195"/>
        <item x="290"/>
        <item x="232"/>
        <item x="249"/>
        <item m="1" x="705"/>
        <item x="131"/>
        <item x="277"/>
        <item x="430"/>
        <item x="92"/>
        <item x="66"/>
        <item x="205"/>
        <item x="35"/>
        <item x="39"/>
        <item x="37"/>
        <item x="128"/>
        <item x="402"/>
        <item x="103"/>
        <item x="369"/>
        <item x="220"/>
        <item x="96"/>
        <item x="124"/>
        <item x="318"/>
        <item x="130"/>
        <item x="297"/>
        <item x="24"/>
        <item x="23"/>
        <item x="423"/>
        <item x="68"/>
        <item x="0"/>
        <item x="204"/>
        <item x="206"/>
        <item x="268"/>
        <item x="237"/>
        <item x="338"/>
        <item x="337"/>
        <item x="403"/>
        <item x="58"/>
        <item x="223"/>
        <item x="202"/>
        <item x="127"/>
        <item x="293"/>
        <item x="322"/>
        <item x="226"/>
        <item x="94"/>
        <item x="227"/>
        <item x="243"/>
        <item x="5"/>
        <item x="321"/>
        <item x="325"/>
        <item x="381"/>
        <item x="13"/>
        <item x="11"/>
        <item x="47"/>
        <item x="327"/>
        <item x="364"/>
        <item x="382"/>
        <item x="217"/>
        <item x="189"/>
        <item x="34"/>
        <item x="64"/>
        <item x="378"/>
        <item x="267"/>
        <item x="117"/>
        <item x="147"/>
        <item x="146"/>
        <item x="173"/>
        <item x="172"/>
        <item x="177"/>
        <item x="176"/>
        <item x="148"/>
        <item x="357"/>
        <item x="320"/>
        <item x="437"/>
        <item x="438"/>
        <item x="439"/>
        <item x="440"/>
        <item x="442"/>
        <item x="443"/>
        <item x="445"/>
        <item x="446"/>
        <item x="454"/>
        <item x="448"/>
        <item x="449"/>
        <item x="450"/>
        <item x="699"/>
        <item x="453"/>
        <item x="441"/>
        <item x="455"/>
        <item x="456"/>
        <item x="457"/>
        <item x="458"/>
        <item x="459"/>
        <item x="460"/>
        <item x="461"/>
        <item x="462"/>
        <item x="463"/>
        <item x="464"/>
        <item x="465"/>
        <item x="466"/>
        <item x="467"/>
        <item x="468"/>
        <item x="469"/>
        <item x="470"/>
        <item x="471"/>
        <item x="472"/>
        <item x="473"/>
        <item x="475"/>
        <item x="476"/>
        <item x="478"/>
        <item x="474"/>
        <item x="477"/>
        <item x="479"/>
        <item x="480"/>
        <item x="481"/>
        <item x="484"/>
        <item x="436"/>
        <item x="447"/>
        <item x="452"/>
        <item x="486"/>
        <item x="488"/>
        <item x="489"/>
        <item x="490"/>
        <item x="336"/>
        <item x="491"/>
        <item x="444"/>
        <item x="492"/>
        <item x="494"/>
        <item x="495"/>
        <item x="497"/>
        <item x="498"/>
        <item x="499"/>
        <item x="500"/>
        <item x="501"/>
        <item x="502"/>
        <item x="503"/>
        <item x="504"/>
        <item x="505"/>
        <item x="506"/>
        <item x="507"/>
        <item x="509"/>
        <item x="493"/>
        <item x="511"/>
        <item x="512"/>
        <item x="513"/>
        <item x="514"/>
        <item x="515"/>
        <item x="516"/>
        <item x="517"/>
        <item x="518"/>
        <item x="519"/>
        <item x="520"/>
        <item x="521"/>
        <item x="522"/>
        <item x="523"/>
        <item x="524"/>
        <item x="525"/>
        <item x="526"/>
        <item x="527"/>
        <item x="528"/>
        <item x="529"/>
        <item x="530"/>
        <item x="531"/>
        <item x="532"/>
        <item x="533"/>
        <item x="510"/>
        <item x="534"/>
        <item x="535"/>
        <item x="536"/>
        <item x="537"/>
        <item x="538"/>
        <item x="496"/>
        <item x="508"/>
        <item x="539"/>
        <item x="540"/>
        <item x="542"/>
        <item x="543"/>
        <item x="544"/>
        <item x="545"/>
        <item x="487"/>
        <item x="546"/>
        <item x="550"/>
        <item x="552"/>
        <item x="553"/>
        <item x="554"/>
        <item x="555"/>
        <item x="557"/>
        <item x="558"/>
        <item x="559"/>
        <item x="560"/>
        <item x="561"/>
        <item x="562"/>
        <item x="563"/>
        <item x="565"/>
        <item x="566"/>
        <item x="567"/>
        <item x="568"/>
        <item x="569"/>
        <item x="570"/>
        <item x="571"/>
        <item m="1" x="709"/>
        <item x="573"/>
        <item x="574"/>
        <item x="575"/>
        <item x="576"/>
        <item x="577"/>
        <item m="1" x="710"/>
        <item x="579"/>
        <item x="580"/>
        <item x="581"/>
        <item x="582"/>
        <item x="583"/>
        <item x="584"/>
        <item x="585"/>
        <item x="586"/>
        <item m="1" x="707"/>
        <item x="588"/>
        <item x="589"/>
        <item x="590"/>
        <item x="591"/>
        <item x="592"/>
        <item x="593"/>
        <item x="594"/>
        <item x="595"/>
        <item x="1"/>
        <item x="6"/>
        <item x="15"/>
        <item x="30"/>
        <item x="36"/>
        <item x="40"/>
        <item x="51"/>
        <item x="52"/>
        <item x="53"/>
        <item x="65"/>
        <item x="72"/>
        <item x="75"/>
        <item x="76"/>
        <item x="80"/>
        <item x="83"/>
        <item x="85"/>
        <item x="105"/>
        <item x="108"/>
        <item x="126"/>
        <item x="132"/>
        <item x="134"/>
        <item x="136"/>
        <item x="137"/>
        <item x="138"/>
        <item x="140"/>
        <item x="142"/>
        <item x="144"/>
        <item x="145"/>
        <item x="149"/>
        <item x="155"/>
        <item x="164"/>
        <item x="168"/>
        <item x="178"/>
        <item x="186"/>
        <item x="196"/>
        <item x="197"/>
        <item x="198"/>
        <item x="203"/>
        <item x="209"/>
        <item x="212"/>
        <item x="222"/>
        <item x="231"/>
        <item x="257"/>
        <item x="261"/>
        <item x="262"/>
        <item x="271"/>
        <item x="273"/>
        <item x="279"/>
        <item x="283"/>
        <item x="291"/>
        <item x="299"/>
        <item x="301"/>
        <item x="302"/>
        <item x="303"/>
        <item x="317"/>
        <item x="324"/>
        <item x="326"/>
        <item x="328"/>
        <item x="329"/>
        <item x="331"/>
        <item x="332"/>
        <item x="333"/>
        <item x="334"/>
        <item x="360"/>
        <item x="420"/>
        <item x="421"/>
        <item x="482"/>
        <item x="483"/>
        <item x="485"/>
        <item x="541"/>
        <item x="547"/>
        <item x="548"/>
        <item x="549"/>
        <item x="551"/>
        <item x="556"/>
        <item x="564"/>
        <item x="596"/>
        <item x="597"/>
        <item x="598"/>
        <item x="599"/>
        <item x="600"/>
        <item x="601"/>
        <item x="602"/>
        <item x="603"/>
        <item x="604"/>
        <item x="605"/>
        <item x="606"/>
        <item x="607"/>
        <item x="608"/>
        <item x="609"/>
        <item x="610"/>
        <item x="611"/>
        <item x="612"/>
        <item x="613"/>
        <item x="572"/>
        <item x="578"/>
        <item x="614"/>
        <item x="615"/>
        <item x="616"/>
        <item x="617"/>
        <item m="1" x="708"/>
        <item x="619"/>
        <item x="620"/>
        <item x="621"/>
        <item x="622"/>
        <item x="623"/>
        <item x="624"/>
        <item x="625"/>
        <item x="626"/>
        <item x="627"/>
        <item x="628"/>
        <item x="629"/>
        <item x="630"/>
        <item x="631"/>
        <item x="632"/>
        <item x="633"/>
        <item x="634"/>
        <item x="587"/>
        <item x="618"/>
        <item x="635"/>
        <item x="636"/>
        <item x="637"/>
        <item x="638"/>
        <item x="639"/>
        <item x="640"/>
        <item x="641"/>
        <item x="642"/>
        <item x="643"/>
        <item x="644"/>
        <item x="645"/>
        <item x="646"/>
        <item x="647"/>
        <item x="648"/>
        <item x="649"/>
        <item m="1" x="706"/>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50"/>
        <item x="682"/>
        <item x="683"/>
        <item x="684"/>
        <item x="685"/>
        <item x="686"/>
        <item x="687"/>
        <item x="688"/>
        <item x="689"/>
        <item x="690"/>
        <item x="691"/>
        <item x="692"/>
        <item x="693"/>
        <item x="694"/>
        <item x="695"/>
        <item x="696"/>
        <item x="697"/>
        <item x="698"/>
        <item x="451"/>
        <item x="700"/>
        <item x="701"/>
        <item x="702"/>
        <item x="703"/>
        <item x="70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44" showAll="0"/>
    <pivotField showAll="0"/>
    <pivotField showAll="0"/>
    <pivotField showAll="0"/>
    <pivotField showAll="0"/>
    <pivotField showAll="0"/>
    <pivotField showAll="0"/>
    <pivotField showAll="0"/>
    <pivotField showAll="0"/>
    <pivotField showAll="0"/>
    <pivotField axis="axisPage" multipleItemSelectionAllowed="1" showAll="0">
      <items count="243">
        <item h="1" x="100"/>
        <item h="1" x="7"/>
        <item h="1" x="147"/>
        <item h="1" x="192"/>
        <item h="1" x="68"/>
        <item h="1" x="82"/>
        <item h="1" x="73"/>
        <item h="1" x="91"/>
        <item h="1" x="137"/>
        <item h="1" x="3"/>
        <item h="1" x="4"/>
        <item h="1" x="170"/>
        <item h="1" x="162"/>
        <item h="1" x="45"/>
        <item h="1" x="163"/>
        <item h="1" x="55"/>
        <item h="1" x="60"/>
        <item h="1" x="72"/>
        <item h="1" x="74"/>
        <item h="1" x="101"/>
        <item h="1" x="109"/>
        <item h="1" x="133"/>
        <item h="1" x="150"/>
        <item h="1" x="148"/>
        <item h="1" x="18"/>
        <item h="1" x="15"/>
        <item h="1" x="181"/>
        <item h="1" x="44"/>
        <item h="1" x="194"/>
        <item h="1" x="112"/>
        <item h="1" x="125"/>
        <item h="1" x="12"/>
        <item h="1" x="152"/>
        <item h="1" x="2"/>
        <item h="1" x="164"/>
        <item h="1" x="41"/>
        <item h="1" x="46"/>
        <item h="1" x="126"/>
        <item h="1" x="197"/>
        <item h="1" x="90"/>
        <item h="1" x="121"/>
        <item h="1" x="16"/>
        <item h="1" x="43"/>
        <item h="1" x="23"/>
        <item h="1" x="167"/>
        <item h="1" x="62"/>
        <item h="1" x="85"/>
        <item h="1" x="104"/>
        <item h="1" x="177"/>
        <item h="1" x="83"/>
        <item h="1" x="105"/>
        <item h="1" x="141"/>
        <item h="1" x="178"/>
        <item h="1" x="77"/>
        <item h="1" x="92"/>
        <item h="1" x="136"/>
        <item h="1" x="142"/>
        <item h="1" x="17"/>
        <item h="1" x="169"/>
        <item h="1" x="26"/>
        <item h="1" x="28"/>
        <item h="1" x="27"/>
        <item h="1" x="61"/>
        <item h="1" x="94"/>
        <item h="1" x="123"/>
        <item h="1" x="128"/>
        <item h="1" x="139"/>
        <item h="1" x="160"/>
        <item h="1" x="165"/>
        <item h="1" x="50"/>
        <item h="1" x="75"/>
        <item h="1" x="96"/>
        <item h="1" x="103"/>
        <item h="1" x="108"/>
        <item h="1" x="110"/>
        <item h="1" x="124"/>
        <item h="1" x="6"/>
        <item h="1" x="157"/>
        <item h="1" x="19"/>
        <item h="1" x="171"/>
        <item h="1" x="179"/>
        <item h="1" x="47"/>
        <item h="1" x="127"/>
        <item h="1" x="13"/>
        <item h="1" x="149"/>
        <item h="1" x="159"/>
        <item h="1" x="21"/>
        <item h="1" x="172"/>
        <item h="1" x="176"/>
        <item h="1" x="184"/>
        <item h="1" x="48"/>
        <item h="1" x="49"/>
        <item h="1" x="63"/>
        <item h="1" x="93"/>
        <item h="1" x="146"/>
        <item h="1" x="25"/>
        <item h="1" x="185"/>
        <item h="1" x="52"/>
        <item h="1" x="51"/>
        <item h="1" x="76"/>
        <item h="1" x="114"/>
        <item h="1" x="143"/>
        <item h="1" x="180"/>
        <item h="1" x="81"/>
        <item h="1" x="84"/>
        <item h="1" x="102"/>
        <item h="1" x="117"/>
        <item h="1" x="116"/>
        <item h="1" x="140"/>
        <item h="1" x="168"/>
        <item h="1" x="166"/>
        <item h="1" x="42"/>
        <item h="1" x="98"/>
        <item h="1" x="122"/>
        <item h="1" x="129"/>
        <item h="1" x="20"/>
        <item h="1" x="174"/>
        <item h="1" x="34"/>
        <item h="1" x="53"/>
        <item h="1" x="54"/>
        <item h="1" x="64"/>
        <item h="1" x="107"/>
        <item h="1" x="65"/>
        <item h="1" x="95"/>
        <item h="1" x="99"/>
        <item h="1" x="113"/>
        <item h="1" x="119"/>
        <item h="1" x="8"/>
        <item h="1" x="14"/>
        <item h="1" x="10"/>
        <item h="1" x="183"/>
        <item h="1" x="130"/>
        <item h="1" x="11"/>
        <item h="1" x="155"/>
        <item h="1" x="22"/>
        <item h="1" x="31"/>
        <item h="1" x="186"/>
        <item h="1" x="30"/>
        <item h="1" x="175"/>
        <item h="1" x="57"/>
        <item h="1" x="58"/>
        <item h="1" x="70"/>
        <item h="1" x="115"/>
        <item h="1" x="9"/>
        <item h="1" x="56"/>
        <item h="1" x="32"/>
        <item h="1" x="29"/>
        <item h="1" x="35"/>
        <item h="1" x="190"/>
        <item h="1" x="131"/>
        <item h="1" x="33"/>
        <item h="1" x="80"/>
        <item h="1" x="132"/>
        <item h="1" x="151"/>
        <item h="1" x="158"/>
        <item h="1" x="97"/>
        <item h="1" x="120"/>
        <item h="1" x="156"/>
        <item h="1" x="193"/>
        <item h="1" x="59"/>
        <item h="1" x="67"/>
        <item h="1" x="87"/>
        <item h="1" x="135"/>
        <item h="1" x="153"/>
        <item h="1" x="154"/>
        <item h="1" x="36"/>
        <item h="1" x="189"/>
        <item h="1" x="66"/>
        <item h="1" x="89"/>
        <item h="1" x="5"/>
        <item h="1" x="144"/>
        <item h="1" x="1"/>
        <item h="1" x="24"/>
        <item h="1" x="37"/>
        <item h="1" x="191"/>
        <item h="1" x="71"/>
        <item h="1" x="69"/>
        <item h="1" x="79"/>
        <item h="1" x="145"/>
        <item h="1" x="161"/>
        <item h="1" x="38"/>
        <item h="1" x="86"/>
        <item h="1" x="118"/>
        <item h="1" x="39"/>
        <item h="1" x="78"/>
        <item h="1" x="88"/>
        <item h="1" x="106"/>
        <item h="1" x="134"/>
        <item h="1" x="138"/>
        <item h="1" x="40"/>
        <item h="1" x="205"/>
        <item h="1" x="196"/>
        <item h="1" x="201"/>
        <item h="1" x="187"/>
        <item h="1" x="199"/>
        <item h="1" x="203"/>
        <item h="1" x="206"/>
        <item h="1" x="200"/>
        <item h="1" x="208"/>
        <item h="1" x="207"/>
        <item h="1" x="182"/>
        <item h="1" x="210"/>
        <item h="1" x="173"/>
        <item h="1" x="188"/>
        <item h="1" x="195"/>
        <item h="1" x="211"/>
        <item h="1" x="212"/>
        <item h="1" x="214"/>
        <item h="1" x="216"/>
        <item h="1" x="217"/>
        <item h="1" x="111"/>
        <item h="1" x="213"/>
        <item h="1" x="202"/>
        <item h="1" x="215"/>
        <item h="1" x="218"/>
        <item h="1" x="219"/>
        <item h="1" x="221"/>
        <item h="1" x="220"/>
        <item h="1" x="222"/>
        <item h="1" x="223"/>
        <item h="1" x="224"/>
        <item h="1" x="225"/>
        <item h="1" x="231"/>
        <item h="1" x="0"/>
        <item h="1" x="229"/>
        <item h="1" x="233"/>
        <item h="1" x="230"/>
        <item h="1" x="209"/>
        <item h="1" x="226"/>
        <item h="1" x="227"/>
        <item h="1" x="228"/>
        <item h="1" x="232"/>
        <item x="198"/>
        <item m="1" x="241"/>
        <item x="236"/>
        <item x="237"/>
        <item x="204"/>
        <item x="235"/>
        <item x="238"/>
        <item x="239"/>
        <item x="240"/>
        <item x="234"/>
        <item t="default"/>
      </items>
    </pivotField>
    <pivotField showAll="0"/>
    <pivotField showAll="0"/>
    <pivotField showAll="0"/>
    <pivotField showAll="0"/>
    <pivotField showAll="0"/>
    <pivotField showAll="0"/>
    <pivotField showAll="0"/>
    <pivotField dataField="1" showAll="0"/>
  </pivotFields>
  <rowFields count="1">
    <field x="6"/>
  </rowFields>
  <rowItems count="2">
    <i>
      <x v="619"/>
    </i>
    <i t="grand">
      <x/>
    </i>
  </rowItems>
  <colItems count="1">
    <i/>
  </colItems>
  <pageFields count="2">
    <pageField fld="0" hier="-1"/>
    <pageField fld="41" hier="-1"/>
  </pageFields>
  <dataFields count="1">
    <dataField name="Soma de qtde" fld="49" baseField="0" baseItem="0"/>
  </dataField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000000-0007-0000-0400-000006000000}" name="Tabela dinâmica13"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W22:X26" firstHeaderRow="1" firstDataRow="1" firstDataCol="1" rowPageCount="2" colPageCount="1"/>
  <pivotFields count="50">
    <pivotField axis="axisPage" multipleItemSelectionAllowed="1" showAll="0">
      <items count="5">
        <item h="1" x="1"/>
        <item h="1" x="0"/>
        <item h="1" x="2"/>
        <item x="3"/>
        <item t="default"/>
      </items>
    </pivotField>
    <pivotField showAll="0"/>
    <pivotField showAll="0"/>
    <pivotField showAll="0"/>
    <pivotField showAll="0"/>
    <pivotField showAll="0"/>
    <pivotField axis="axisRow" showAll="0">
      <items count="712">
        <item x="108"/>
        <item x="432"/>
        <item x="506"/>
        <item x="276"/>
        <item x="529"/>
        <item x="525"/>
        <item x="620"/>
        <item x="397"/>
        <item x="112"/>
        <item x="105"/>
        <item x="437"/>
        <item x="83"/>
        <item x="212"/>
        <item x="88"/>
        <item x="82"/>
        <item x="469"/>
        <item x="350"/>
        <item x="42"/>
        <item x="480"/>
        <item x="504"/>
        <item x="316"/>
        <item x="311"/>
        <item x="347"/>
        <item x="629"/>
        <item m="1" x="708"/>
        <item x="618"/>
        <item x="375"/>
        <item x="142"/>
        <item x="8"/>
        <item x="368"/>
        <item x="63"/>
        <item x="230"/>
        <item x="348"/>
        <item x="235"/>
        <item x="459"/>
        <item x="164"/>
        <item x="168"/>
        <item x="228"/>
        <item x="240"/>
        <item x="373"/>
        <item x="658"/>
        <item x="457"/>
        <item x="649"/>
        <item x="591"/>
        <item x="120"/>
        <item x="136"/>
        <item x="426"/>
        <item x="165"/>
        <item x="278"/>
        <item x="282"/>
        <item x="454"/>
        <item x="486"/>
        <item x="447"/>
        <item x="190"/>
        <item x="180"/>
        <item x="361"/>
        <item x="298"/>
        <item x="414"/>
        <item x="119"/>
        <item x="52"/>
        <item x="56"/>
        <item x="339"/>
        <item x="326"/>
        <item x="532"/>
        <item x="410"/>
        <item x="597"/>
        <item x="613"/>
        <item x="385"/>
        <item x="170"/>
        <item x="169"/>
        <item x="489"/>
        <item x="545"/>
        <item x="564"/>
        <item x="556"/>
        <item x="303"/>
        <item x="557"/>
        <item x="239"/>
        <item x="10"/>
        <item x="9"/>
        <item x="558"/>
        <item x="547"/>
        <item x="508"/>
        <item x="600"/>
        <item x="448"/>
        <item x="641"/>
        <item x="309"/>
        <item x="248"/>
        <item x="393"/>
        <item x="630"/>
        <item x="493"/>
        <item x="236"/>
        <item x="611"/>
        <item x="623"/>
        <item x="272"/>
        <item x="519"/>
        <item x="619"/>
        <item x="340"/>
        <item x="362"/>
        <item x="57"/>
        <item x="395"/>
        <item x="639"/>
        <item x="631"/>
        <item x="399"/>
        <item x="406"/>
        <item x="602"/>
        <item x="182"/>
        <item x="183"/>
        <item x="238"/>
        <item x="219"/>
        <item x="513"/>
        <item x="503"/>
        <item x="505"/>
        <item x="141"/>
        <item x="192"/>
        <item x="428"/>
        <item x="55"/>
        <item x="43"/>
        <item x="100"/>
        <item x="606"/>
        <item x="570"/>
        <item x="81"/>
        <item x="370"/>
        <item x="137"/>
        <item x="376"/>
        <item x="377"/>
        <item x="274"/>
        <item x="275"/>
        <item x="247"/>
        <item x="91"/>
        <item x="3"/>
        <item x="551"/>
        <item x="550"/>
        <item x="435"/>
        <item x="154"/>
        <item x="157"/>
        <item x="151"/>
        <item x="264"/>
        <item x="254"/>
        <item x="379"/>
        <item x="263"/>
        <item x="253"/>
        <item x="472"/>
        <item x="194"/>
        <item x="424"/>
        <item x="271"/>
        <item x="261"/>
        <item x="84"/>
        <item x="341"/>
        <item x="458"/>
        <item x="444"/>
        <item x="582"/>
        <item x="111"/>
        <item x="419"/>
        <item x="387"/>
        <item x="487"/>
        <item x="452"/>
        <item x="383"/>
        <item x="352"/>
        <item x="563"/>
        <item x="522"/>
        <item x="342"/>
        <item x="590"/>
        <item x="509"/>
        <item x="603"/>
        <item x="132"/>
        <item x="133"/>
        <item x="104"/>
        <item x="571"/>
        <item x="467"/>
        <item x="531"/>
        <item x="660"/>
        <item x="331"/>
        <item x="332"/>
        <item x="330"/>
        <item x="109"/>
        <item x="75"/>
        <item x="156"/>
        <item x="507"/>
        <item x="134"/>
        <item x="32"/>
        <item x="499"/>
        <item x="93"/>
        <item x="36"/>
        <item x="446"/>
        <item x="224"/>
        <item x="367"/>
        <item x="366"/>
        <item x="233"/>
        <item x="193"/>
        <item x="401"/>
        <item x="538"/>
        <item x="552"/>
        <item x="50"/>
        <item x="345"/>
        <item x="314"/>
        <item x="280"/>
        <item x="292"/>
        <item x="288"/>
        <item x="647"/>
        <item x="628"/>
        <item x="343"/>
        <item x="269"/>
        <item x="18"/>
        <item x="19"/>
        <item x="593"/>
        <item x="234"/>
        <item x="262"/>
        <item x="31"/>
        <item x="304"/>
        <item x="46"/>
        <item x="49"/>
        <item x="1"/>
        <item x="62"/>
        <item x="210"/>
        <item x="14"/>
        <item x="638"/>
        <item x="565"/>
        <item x="396"/>
        <item x="636"/>
        <item x="455"/>
        <item x="561"/>
        <item x="106"/>
        <item x="644"/>
        <item x="67"/>
        <item x="200"/>
        <item x="107"/>
        <item x="25"/>
        <item x="580"/>
        <item x="666"/>
        <item x="199"/>
        <item x="485"/>
        <item x="436"/>
        <item x="90"/>
        <item x="171"/>
        <item x="335"/>
        <item x="110"/>
        <item x="125"/>
        <item x="123"/>
        <item x="77"/>
        <item x="661"/>
        <item x="588"/>
        <item x="294"/>
        <item x="461"/>
        <item x="167"/>
        <item x="166"/>
        <item x="265"/>
        <item x="317"/>
        <item x="257"/>
        <item x="251"/>
        <item x="502"/>
        <item x="411"/>
        <item x="498"/>
        <item x="662"/>
        <item x="598"/>
        <item x="653"/>
        <item x="187"/>
        <item x="555"/>
        <item x="363"/>
        <item x="101"/>
        <item x="474"/>
        <item x="152"/>
        <item x="175"/>
        <item x="530"/>
        <item x="421"/>
        <item x="351"/>
        <item x="554"/>
        <item x="510"/>
        <item x="99"/>
        <item x="250"/>
        <item x="45"/>
        <item x="211"/>
        <item x="214"/>
        <item x="213"/>
        <item x="7"/>
        <item x="174"/>
        <item x="186"/>
        <item x="604"/>
        <item x="135"/>
        <item x="30"/>
        <item x="27"/>
        <item x="122"/>
        <item x="121"/>
        <item x="98"/>
        <item x="209"/>
        <item x="409"/>
        <item x="71"/>
        <item x="129"/>
        <item x="441"/>
        <item x="44"/>
        <item x="542"/>
        <item x="541"/>
        <item x="496"/>
        <item x="185"/>
        <item x="609"/>
        <item x="626"/>
        <item x="464"/>
        <item x="216"/>
        <item x="215"/>
        <item x="20"/>
        <item x="533"/>
        <item x="4"/>
        <item x="601"/>
        <item x="433"/>
        <item x="442"/>
        <item x="659"/>
        <item x="577"/>
        <item x="324"/>
        <item x="534"/>
        <item x="610"/>
        <item x="466"/>
        <item x="465"/>
        <item x="365"/>
        <item x="270"/>
        <item x="255"/>
        <item x="310"/>
        <item x="287"/>
        <item x="544"/>
        <item x="494"/>
        <item x="188"/>
        <item x="222"/>
        <item x="460"/>
        <item x="665"/>
        <item x="635"/>
        <item x="471"/>
        <item x="28"/>
        <item x="527"/>
        <item x="528"/>
        <item x="624"/>
        <item x="434"/>
        <item x="497"/>
        <item x="344"/>
        <item m="1" x="706"/>
        <item x="643"/>
        <item x="456"/>
        <item x="518"/>
        <item x="657"/>
        <item x="574"/>
        <item x="622"/>
        <item x="97"/>
        <item x="479"/>
        <item x="89"/>
        <item x="48"/>
        <item x="245"/>
        <item x="346"/>
        <item x="244"/>
        <item x="543"/>
        <item x="289"/>
        <item x="408"/>
        <item x="300"/>
        <item x="490"/>
        <item x="654"/>
        <item x="371"/>
        <item x="158"/>
        <item x="559"/>
        <item x="404"/>
        <item x="407"/>
        <item x="546"/>
        <item x="470"/>
        <item x="59"/>
        <item x="443"/>
        <item x="356"/>
        <item x="595"/>
        <item x="634"/>
        <item x="594"/>
        <item x="440"/>
        <item x="95"/>
        <item x="6"/>
        <item x="308"/>
        <item x="491"/>
        <item x="608"/>
        <item x="40"/>
        <item x="315"/>
        <item x="260"/>
        <item x="259"/>
        <item x="585"/>
        <item x="573"/>
        <item x="319"/>
        <item x="537"/>
        <item x="584"/>
        <item x="60"/>
        <item x="355"/>
        <item m="1" x="709"/>
        <item x="76"/>
        <item x="572"/>
        <item x="663"/>
        <item x="286"/>
        <item x="285"/>
        <item x="575"/>
        <item x="380"/>
        <item x="567"/>
        <item x="524"/>
        <item x="521"/>
        <item x="500"/>
        <item x="389"/>
        <item x="420"/>
        <item x="390"/>
        <item x="616"/>
        <item x="218"/>
        <item x="72"/>
        <item x="41"/>
        <item x="484"/>
        <item x="17"/>
        <item x="26"/>
        <item x="301"/>
        <item x="632"/>
        <item x="208"/>
        <item x="207"/>
        <item x="150"/>
        <item x="138"/>
        <item x="191"/>
        <item x="295"/>
        <item x="627"/>
        <item x="198"/>
        <item x="184"/>
        <item x="576"/>
        <item x="462"/>
        <item x="54"/>
        <item x="569"/>
        <item x="256"/>
        <item x="450"/>
        <item x="405"/>
        <item x="422"/>
        <item x="667"/>
        <item x="163"/>
        <item x="427"/>
        <item x="431"/>
        <item x="645"/>
        <item x="201"/>
        <item x="53"/>
        <item x="400"/>
        <item x="512"/>
        <item x="162"/>
        <item x="161"/>
        <item x="398"/>
        <item x="553"/>
        <item x="246"/>
        <item x="22"/>
        <item x="12"/>
        <item x="514"/>
        <item x="463"/>
        <item x="302"/>
        <item x="299"/>
        <item x="69"/>
        <item x="79"/>
        <item x="607"/>
        <item x="599"/>
        <item x="587"/>
        <item m="1" x="707"/>
        <item x="353"/>
        <item x="231"/>
        <item x="241"/>
        <item x="242"/>
        <item x="80"/>
        <item x="179"/>
        <item x="354"/>
        <item x="475"/>
        <item x="621"/>
        <item x="413"/>
        <item x="664"/>
        <item x="517"/>
        <item x="78"/>
        <item x="86"/>
        <item x="85"/>
        <item x="453"/>
        <item x="384"/>
        <item x="526"/>
        <item x="70"/>
        <item x="625"/>
        <item x="349"/>
        <item x="651"/>
        <item x="306"/>
        <item x="305"/>
        <item x="181"/>
        <item x="139"/>
        <item x="418"/>
        <item x="87"/>
        <item x="417"/>
        <item x="113"/>
        <item x="416"/>
        <item x="283"/>
        <item x="266"/>
        <item x="2"/>
        <item x="614"/>
        <item x="312"/>
        <item x="425"/>
        <item x="74"/>
        <item x="73"/>
        <item x="313"/>
        <item x="492"/>
        <item x="520"/>
        <item x="16"/>
        <item x="21"/>
        <item x="118"/>
        <item x="178"/>
        <item x="153"/>
        <item x="415"/>
        <item x="29"/>
        <item x="394"/>
        <item x="562"/>
        <item x="583"/>
        <item x="229"/>
        <item x="15"/>
        <item x="281"/>
        <item x="284"/>
        <item x="38"/>
        <item x="539"/>
        <item x="642"/>
        <item x="258"/>
        <item x="102"/>
        <item x="640"/>
        <item x="114"/>
        <item x="116"/>
        <item x="115"/>
        <item x="392"/>
        <item x="61"/>
        <item x="612"/>
        <item x="652"/>
        <item x="386"/>
        <item x="391"/>
        <item x="579"/>
        <item x="252"/>
        <item x="388"/>
        <item x="540"/>
        <item x="372"/>
        <item x="143"/>
        <item x="144"/>
        <item x="155"/>
        <item x="438"/>
        <item x="646"/>
        <item x="478"/>
        <item x="439"/>
        <item x="429"/>
        <item x="374"/>
        <item x="33"/>
        <item x="359"/>
        <item x="596"/>
        <item x="637"/>
        <item x="51"/>
        <item x="445"/>
        <item x="225"/>
        <item x="358"/>
        <item x="648"/>
        <item x="323"/>
        <item x="159"/>
        <item x="160"/>
        <item x="307"/>
        <item x="296"/>
        <item x="221"/>
        <item x="412"/>
        <item x="195"/>
        <item x="196"/>
        <item x="291"/>
        <item x="290"/>
        <item x="232"/>
        <item x="615"/>
        <item x="249"/>
        <item m="1" x="705"/>
        <item x="511"/>
        <item x="581"/>
        <item x="131"/>
        <item x="126"/>
        <item x="515"/>
        <item x="277"/>
        <item x="430"/>
        <item x="92"/>
        <item x="589"/>
        <item x="66"/>
        <item x="333"/>
        <item x="205"/>
        <item x="35"/>
        <item x="39"/>
        <item x="37"/>
        <item x="279"/>
        <item x="488"/>
        <item x="699"/>
        <item x="360"/>
        <item x="128"/>
        <item x="481"/>
        <item x="402"/>
        <item x="103"/>
        <item x="476"/>
        <item x="449"/>
        <item x="605"/>
        <item x="369"/>
        <item x="220"/>
        <item x="96"/>
        <item x="560"/>
        <item x="334"/>
        <item x="124"/>
        <item x="318"/>
        <item x="633"/>
        <item x="130"/>
        <item x="297"/>
        <item x="24"/>
        <item x="23"/>
        <item x="423"/>
        <item x="592"/>
        <item x="482"/>
        <item x="483"/>
        <item x="477"/>
        <item x="68"/>
        <item x="501"/>
        <item x="0"/>
        <item x="204"/>
        <item x="203"/>
        <item x="206"/>
        <item x="655"/>
        <item x="268"/>
        <item x="237"/>
        <item x="338"/>
        <item x="337"/>
        <item x="656"/>
        <item x="403"/>
        <item x="58"/>
        <item x="223"/>
        <item x="617"/>
        <item x="202"/>
        <item x="127"/>
        <item x="293"/>
        <item x="468"/>
        <item x="322"/>
        <item x="226"/>
        <item x="94"/>
        <item x="586"/>
        <item x="145"/>
        <item x="336"/>
        <item x="566"/>
        <item m="1" x="710"/>
        <item x="578"/>
        <item x="227"/>
        <item x="243"/>
        <item x="548"/>
        <item x="5"/>
        <item x="495"/>
        <item x="321"/>
        <item x="325"/>
        <item x="381"/>
        <item x="13"/>
        <item x="11"/>
        <item x="535"/>
        <item x="47"/>
        <item x="516"/>
        <item x="328"/>
        <item x="329"/>
        <item x="327"/>
        <item x="364"/>
        <item x="568"/>
        <item x="536"/>
        <item x="382"/>
        <item x="217"/>
        <item x="273"/>
        <item x="197"/>
        <item x="189"/>
        <item x="473"/>
        <item x="34"/>
        <item x="65"/>
        <item x="523"/>
        <item x="64"/>
        <item x="378"/>
        <item x="549"/>
        <item x="267"/>
        <item x="117"/>
        <item x="147"/>
        <item x="140"/>
        <item x="146"/>
        <item x="173"/>
        <item x="172"/>
        <item x="177"/>
        <item x="176"/>
        <item x="149"/>
        <item x="148"/>
        <item x="357"/>
        <item x="320"/>
        <item x="668"/>
        <item x="669"/>
        <item x="670"/>
        <item x="671"/>
        <item x="672"/>
        <item x="673"/>
        <item x="674"/>
        <item x="675"/>
        <item x="676"/>
        <item x="677"/>
        <item x="678"/>
        <item x="679"/>
        <item x="680"/>
        <item x="681"/>
        <item x="650"/>
        <item x="682"/>
        <item x="683"/>
        <item x="684"/>
        <item x="685"/>
        <item x="686"/>
        <item x="687"/>
        <item x="688"/>
        <item x="689"/>
        <item x="690"/>
        <item x="691"/>
        <item x="692"/>
        <item x="693"/>
        <item x="694"/>
        <item x="695"/>
        <item x="696"/>
        <item x="697"/>
        <item x="698"/>
        <item x="451"/>
        <item x="700"/>
        <item x="701"/>
        <item x="702"/>
        <item x="703"/>
        <item x="70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Page" multipleItemSelectionAllowed="1" showAll="0">
      <items count="243">
        <item h="1" x="0"/>
        <item h="1" x="100"/>
        <item h="1" x="73"/>
        <item h="1" x="170"/>
        <item h="1" x="162"/>
        <item h="1" x="45"/>
        <item h="1" x="163"/>
        <item h="1" x="18"/>
        <item h="1" x="112"/>
        <item h="1" x="2"/>
        <item h="1" x="164"/>
        <item h="1" x="41"/>
        <item h="1" x="46"/>
        <item h="1" x="211"/>
        <item h="1" x="136"/>
        <item h="1" x="17"/>
        <item h="1" x="139"/>
        <item h="1" x="160"/>
        <item h="1" x="103"/>
        <item h="1" x="110"/>
        <item h="1" x="124"/>
        <item h="1" x="184"/>
        <item h="1" x="51"/>
        <item h="1" x="76"/>
        <item h="1" x="231"/>
        <item h="1" x="228"/>
        <item h="1" x="84"/>
        <item h="1" x="229"/>
        <item h="1" x="64"/>
        <item h="1" x="119"/>
        <item h="1" x="58"/>
        <item h="1" x="190"/>
        <item h="1" x="131"/>
        <item h="1" x="158"/>
        <item h="1" x="120"/>
        <item h="1" x="208"/>
        <item h="1" x="153"/>
        <item h="1" x="154"/>
        <item h="1" x="189"/>
        <item h="1" x="37"/>
        <item h="1" x="38"/>
        <item h="1" x="1"/>
        <item h="1" x="3"/>
        <item h="1" x="4"/>
        <item h="1" x="5"/>
        <item h="1" x="6"/>
        <item h="1" x="7"/>
        <item h="1" x="8"/>
        <item h="1" x="9"/>
        <item h="1" x="10"/>
        <item h="1" x="11"/>
        <item h="1" x="12"/>
        <item h="1" x="13"/>
        <item h="1" x="14"/>
        <item h="1" x="15"/>
        <item h="1" x="16"/>
        <item h="1" x="19"/>
        <item h="1" x="20"/>
        <item h="1" x="21"/>
        <item h="1" x="22"/>
        <item h="1" x="23"/>
        <item h="1" x="24"/>
        <item h="1" x="25"/>
        <item h="1" x="26"/>
        <item h="1" x="27"/>
        <item h="1" x="28"/>
        <item h="1" x="29"/>
        <item h="1" x="30"/>
        <item h="1" x="31"/>
        <item h="1" x="32"/>
        <item h="1" x="33"/>
        <item h="1" x="34"/>
        <item h="1" x="35"/>
        <item h="1" x="36"/>
        <item h="1" x="39"/>
        <item h="1" x="40"/>
        <item h="1" x="42"/>
        <item h="1" x="43"/>
        <item h="1" x="44"/>
        <item h="1" x="47"/>
        <item h="1" x="48"/>
        <item h="1" x="49"/>
        <item h="1" x="50"/>
        <item h="1" x="52"/>
        <item h="1" x="53"/>
        <item h="1" x="54"/>
        <item h="1" x="55"/>
        <item h="1" x="56"/>
        <item h="1" x="57"/>
        <item h="1" x="59"/>
        <item h="1" x="60"/>
        <item h="1" x="61"/>
        <item h="1" x="62"/>
        <item h="1" x="63"/>
        <item h="1" x="65"/>
        <item h="1" x="66"/>
        <item h="1" x="67"/>
        <item h="1" x="68"/>
        <item h="1" x="69"/>
        <item h="1" x="70"/>
        <item h="1" x="71"/>
        <item h="1" x="72"/>
        <item h="1" x="74"/>
        <item h="1" x="75"/>
        <item h="1" x="77"/>
        <item h="1" x="78"/>
        <item h="1" x="79"/>
        <item h="1" x="80"/>
        <item h="1" x="81"/>
        <item h="1" x="82"/>
        <item h="1" x="83"/>
        <item h="1" x="85"/>
        <item h="1" x="86"/>
        <item h="1" x="87"/>
        <item h="1" x="88"/>
        <item h="1" x="89"/>
        <item h="1" x="90"/>
        <item h="1" x="91"/>
        <item h="1" x="92"/>
        <item h="1" x="93"/>
        <item h="1" x="94"/>
        <item h="1" x="95"/>
        <item h="1" x="96"/>
        <item h="1" x="97"/>
        <item h="1" x="98"/>
        <item h="1" x="99"/>
        <item h="1" x="101"/>
        <item h="1" x="102"/>
        <item h="1" x="104"/>
        <item h="1" x="105"/>
        <item h="1" x="106"/>
        <item h="1" x="107"/>
        <item h="1" x="108"/>
        <item h="1" x="109"/>
        <item h="1" x="111"/>
        <item h="1" x="113"/>
        <item h="1" x="114"/>
        <item h="1" x="115"/>
        <item h="1" x="116"/>
        <item h="1" x="117"/>
        <item h="1" x="118"/>
        <item h="1" x="121"/>
        <item h="1" x="122"/>
        <item h="1" x="123"/>
        <item h="1" x="125"/>
        <item h="1" x="126"/>
        <item h="1" x="127"/>
        <item h="1" x="128"/>
        <item h="1" x="129"/>
        <item h="1" x="130"/>
        <item h="1" x="132"/>
        <item h="1" x="133"/>
        <item h="1" x="134"/>
        <item h="1" x="135"/>
        <item h="1" x="137"/>
        <item h="1" x="138"/>
        <item h="1" x="140"/>
        <item h="1" x="141"/>
        <item h="1" x="142"/>
        <item h="1" x="143"/>
        <item h="1" x="144"/>
        <item h="1" x="145"/>
        <item h="1" x="146"/>
        <item h="1" x="147"/>
        <item h="1" x="148"/>
        <item h="1" x="149"/>
        <item h="1" x="150"/>
        <item h="1" x="151"/>
        <item h="1" x="152"/>
        <item h="1" x="155"/>
        <item h="1" x="156"/>
        <item h="1" x="157"/>
        <item h="1" x="159"/>
        <item h="1" x="161"/>
        <item h="1" x="165"/>
        <item h="1" x="166"/>
        <item h="1" x="167"/>
        <item h="1" x="168"/>
        <item h="1" x="169"/>
        <item h="1" x="171"/>
        <item h="1" x="172"/>
        <item h="1" x="173"/>
        <item h="1" x="174"/>
        <item h="1" x="175"/>
        <item h="1" x="176"/>
        <item h="1" x="177"/>
        <item h="1" x="178"/>
        <item h="1" x="179"/>
        <item h="1" x="180"/>
        <item h="1" x="181"/>
        <item h="1" x="182"/>
        <item h="1" x="183"/>
        <item h="1" x="185"/>
        <item h="1" x="186"/>
        <item h="1" x="187"/>
        <item h="1" x="188"/>
        <item h="1" x="191"/>
        <item h="1" x="192"/>
        <item h="1" x="193"/>
        <item h="1" x="194"/>
        <item h="1" x="195"/>
        <item h="1" x="196"/>
        <item h="1" x="197"/>
        <item x="198"/>
        <item h="1" x="199"/>
        <item h="1" x="200"/>
        <item h="1" x="201"/>
        <item h="1" x="202"/>
        <item h="1" x="203"/>
        <item h="1" x="209"/>
        <item h="1" x="205"/>
        <item h="1" x="206"/>
        <item h="1" x="207"/>
        <item h="1" x="210"/>
        <item h="1" x="212"/>
        <item h="1" x="213"/>
        <item h="1" x="214"/>
        <item h="1" x="215"/>
        <item h="1" x="216"/>
        <item h="1" x="217"/>
        <item h="1" x="218"/>
        <item h="1" x="219"/>
        <item h="1" x="220"/>
        <item h="1" x="221"/>
        <item h="1" x="222"/>
        <item h="1" x="223"/>
        <item h="1" x="224"/>
        <item h="1" x="225"/>
        <item h="1" x="226"/>
        <item h="1" x="227"/>
        <item h="1" x="230"/>
        <item h="1" x="232"/>
        <item h="1" x="233"/>
        <item m="1" x="241"/>
        <item x="236"/>
        <item x="237"/>
        <item x="204"/>
        <item x="235"/>
        <item x="238"/>
        <item x="239"/>
        <item x="240"/>
        <item x="234"/>
        <item t="default"/>
      </items>
    </pivotField>
    <pivotField showAll="0"/>
    <pivotField showAll="0"/>
    <pivotField showAll="0"/>
    <pivotField showAll="0"/>
    <pivotField showAll="0"/>
    <pivotField showAll="0"/>
    <pivotField showAll="0"/>
    <pivotField dataField="1" showAll="0"/>
  </pivotFields>
  <rowFields count="1">
    <field x="6"/>
  </rowFields>
  <rowItems count="4">
    <i>
      <x v="239"/>
    </i>
    <i>
      <x v="254"/>
    </i>
    <i>
      <x v="384"/>
    </i>
    <i t="grand">
      <x/>
    </i>
  </rowItems>
  <colItems count="1">
    <i/>
  </colItems>
  <pageFields count="2">
    <pageField fld="0" hier="-1"/>
    <pageField fld="41" hier="-1"/>
  </pageFields>
  <dataFields count="1">
    <dataField name="Soma de qtde" fld="49" baseField="0" baseItem="0"/>
  </dataField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000000-0007-0000-0400-000000000000}" name="Tabela dinâmica5" cacheId="1"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AD22:AE23" firstHeaderRow="1" firstDataRow="1" firstDataCol="1" rowPageCount="2" colPageCount="1"/>
  <pivotFields count="43">
    <pivotField axis="axisPage" multipleItemSelectionAllowed="1" showAll="0">
      <items count="147">
        <item h="1" x="2"/>
        <item x="3"/>
        <item h="1" x="1"/>
        <item h="1" x="0"/>
        <item h="1" m="1" x="4"/>
        <item h="1" m="1" x="5"/>
        <item h="1" m="1" x="6"/>
        <item h="1" m="1" x="7"/>
        <item h="1" m="1" x="8"/>
        <item h="1" m="1" x="9"/>
        <item h="1" m="1" x="10"/>
        <item h="1" m="1" x="11"/>
        <item h="1" m="1" x="12"/>
        <item h="1" m="1" x="13"/>
        <item h="1" m="1" x="14"/>
        <item h="1" m="1" x="15"/>
        <item h="1" m="1" x="16"/>
        <item h="1" m="1" x="17"/>
        <item h="1" m="1" x="18"/>
        <item h="1" m="1" x="19"/>
        <item h="1" m="1" x="20"/>
        <item h="1" m="1" x="21"/>
        <item h="1" m="1" x="22"/>
        <item h="1" m="1" x="23"/>
        <item h="1" m="1" x="24"/>
        <item h="1" m="1" x="25"/>
        <item h="1" m="1" x="26"/>
        <item h="1" m="1" x="27"/>
        <item h="1" m="1" x="28"/>
        <item h="1" m="1" x="29"/>
        <item h="1" m="1" x="30"/>
        <item h="1" m="1" x="31"/>
        <item h="1" m="1" x="32"/>
        <item h="1" m="1" x="33"/>
        <item h="1" m="1" x="34"/>
        <item h="1" m="1" x="35"/>
        <item h="1" m="1" x="36"/>
        <item h="1" m="1" x="37"/>
        <item h="1" m="1" x="38"/>
        <item h="1" m="1" x="39"/>
        <item h="1" m="1" x="40"/>
        <item h="1" m="1" x="41"/>
        <item h="1" m="1" x="42"/>
        <item h="1" m="1" x="43"/>
        <item h="1" m="1" x="44"/>
        <item h="1" m="1" x="45"/>
        <item h="1" m="1" x="46"/>
        <item h="1" m="1" x="47"/>
        <item h="1" m="1" x="48"/>
        <item h="1" m="1" x="49"/>
        <item h="1" m="1" x="50"/>
        <item h="1" m="1" x="51"/>
        <item h="1" m="1" x="52"/>
        <item h="1" m="1" x="53"/>
        <item h="1" m="1" x="54"/>
        <item h="1" m="1" x="55"/>
        <item h="1" m="1" x="56"/>
        <item h="1" m="1" x="57"/>
        <item h="1" m="1" x="58"/>
        <item h="1" m="1" x="59"/>
        <item h="1" m="1" x="60"/>
        <item h="1" m="1" x="61"/>
        <item h="1" m="1" x="62"/>
        <item h="1" m="1" x="63"/>
        <item h="1" m="1" x="64"/>
        <item h="1" m="1" x="65"/>
        <item h="1" m="1" x="66"/>
        <item h="1" m="1" x="67"/>
        <item h="1" m="1" x="68"/>
        <item h="1" m="1" x="69"/>
        <item h="1" m="1" x="70"/>
        <item h="1" m="1" x="71"/>
        <item h="1" m="1" x="72"/>
        <item h="1" m="1" x="73"/>
        <item h="1" m="1" x="74"/>
        <item h="1" m="1" x="75"/>
        <item h="1" m="1" x="76"/>
        <item h="1" m="1" x="77"/>
        <item h="1" m="1" x="78"/>
        <item h="1" m="1" x="79"/>
        <item h="1" m="1" x="80"/>
        <item h="1" m="1" x="81"/>
        <item h="1" m="1" x="82"/>
        <item h="1" m="1" x="83"/>
        <item h="1" m="1" x="84"/>
        <item h="1" m="1" x="85"/>
        <item h="1" m="1" x="86"/>
        <item h="1" m="1" x="87"/>
        <item h="1" m="1" x="88"/>
        <item h="1" m="1" x="89"/>
        <item h="1" m="1" x="90"/>
        <item h="1" m="1" x="91"/>
        <item h="1" m="1" x="92"/>
        <item h="1" m="1" x="93"/>
        <item h="1" m="1" x="94"/>
        <item h="1" m="1" x="95"/>
        <item h="1" m="1" x="96"/>
        <item h="1" m="1" x="97"/>
        <item h="1" m="1" x="98"/>
        <item h="1" m="1" x="99"/>
        <item h="1" m="1" x="100"/>
        <item h="1" m="1" x="101"/>
        <item h="1" m="1" x="102"/>
        <item h="1" m="1" x="103"/>
        <item h="1" m="1" x="104"/>
        <item h="1" m="1" x="105"/>
        <item h="1" m="1" x="106"/>
        <item h="1" m="1" x="107"/>
        <item h="1" m="1" x="108"/>
        <item h="1" m="1" x="109"/>
        <item h="1" m="1" x="110"/>
        <item h="1" m="1" x="111"/>
        <item h="1" m="1" x="112"/>
        <item h="1" m="1" x="113"/>
        <item h="1" m="1" x="114"/>
        <item h="1" m="1" x="115"/>
        <item h="1" m="1" x="116"/>
        <item h="1" m="1" x="117"/>
        <item h="1" m="1" x="118"/>
        <item h="1" m="1" x="119"/>
        <item h="1" m="1" x="120"/>
        <item h="1" m="1" x="121"/>
        <item h="1" m="1" x="122"/>
        <item h="1" m="1" x="123"/>
        <item h="1" m="1" x="124"/>
        <item h="1" m="1" x="125"/>
        <item h="1" m="1" x="126"/>
        <item h="1" m="1" x="127"/>
        <item h="1" m="1" x="128"/>
        <item h="1" m="1" x="129"/>
        <item h="1" m="1" x="130"/>
        <item h="1" m="1" x="131"/>
        <item h="1" m="1" x="132"/>
        <item h="1" m="1" x="133"/>
        <item h="1" m="1" x="134"/>
        <item h="1" m="1" x="135"/>
        <item h="1" m="1" x="136"/>
        <item h="1" m="1" x="138"/>
        <item h="1" m="1" x="139"/>
        <item h="1" m="1" x="140"/>
        <item h="1" m="1" x="141"/>
        <item h="1" m="1" x="142"/>
        <item h="1" m="1" x="143"/>
        <item h="1" m="1" x="144"/>
        <item h="1" m="1" x="145"/>
        <item h="1" m="1" x="137"/>
        <item t="default"/>
      </items>
    </pivotField>
    <pivotField showAll="0"/>
    <pivotField showAll="0"/>
    <pivotField showAll="0"/>
    <pivotField showAll="0"/>
    <pivotField showAll="0"/>
    <pivotField axis="axisRow" showAll="0">
      <items count="490">
        <item x="151"/>
        <item x="66"/>
        <item x="163"/>
        <item x="40"/>
        <item x="21"/>
        <item x="0"/>
        <item x="1"/>
        <item x="2"/>
        <item x="3"/>
        <item x="4"/>
        <item x="5"/>
        <item x="6"/>
        <item x="7"/>
        <item x="8"/>
        <item x="9"/>
        <item x="10"/>
        <item x="11"/>
        <item x="12"/>
        <item x="13"/>
        <item x="14"/>
        <item x="15"/>
        <item x="16"/>
        <item x="17"/>
        <item x="18"/>
        <item x="19"/>
        <item x="20"/>
        <item x="22"/>
        <item x="23"/>
        <item x="24"/>
        <item x="25"/>
        <item x="26"/>
        <item x="27"/>
        <item x="28"/>
        <item x="29"/>
        <item x="30"/>
        <item x="31"/>
        <item x="32"/>
        <item x="33"/>
        <item x="34"/>
        <item x="35"/>
        <item x="36"/>
        <item x="37"/>
        <item x="38"/>
        <item x="39"/>
        <item x="41"/>
        <item x="42"/>
        <item x="43"/>
        <item x="44"/>
        <item x="45"/>
        <item x="46"/>
        <item x="47"/>
        <item x="48"/>
        <item x="49"/>
        <item x="50"/>
        <item x="51"/>
        <item x="52"/>
        <item x="53"/>
        <item x="54"/>
        <item x="55"/>
        <item x="56"/>
        <item x="57"/>
        <item x="58"/>
        <item x="59"/>
        <item x="60"/>
        <item x="61"/>
        <item x="62"/>
        <item x="63"/>
        <item x="64"/>
        <item x="65"/>
        <item x="67"/>
        <item x="68"/>
        <item x="69"/>
        <item x="70"/>
        <item x="71"/>
        <item x="72"/>
        <item x="73"/>
        <item x="74"/>
        <item x="75"/>
        <item x="76"/>
        <item x="77"/>
        <item x="78"/>
        <item x="79"/>
        <item x="80"/>
        <item x="81"/>
        <item x="82"/>
        <item x="83"/>
        <item x="84"/>
        <item x="85"/>
        <item x="87"/>
        <item x="88"/>
        <item x="89"/>
        <item x="90"/>
        <item x="91"/>
        <item x="92"/>
        <item x="93"/>
        <item x="94"/>
        <item x="95"/>
        <item x="96"/>
        <item x="97"/>
        <item x="98"/>
        <item x="99"/>
        <item x="100"/>
        <item x="101"/>
        <item x="102"/>
        <item x="103"/>
        <item x="104"/>
        <item x="105"/>
        <item x="106"/>
        <item x="108"/>
        <item x="109"/>
        <item x="110"/>
        <item x="111"/>
        <item x="112"/>
        <item x="113"/>
        <item x="115"/>
        <item x="116"/>
        <item x="117"/>
        <item x="118"/>
        <item x="119"/>
        <item x="120"/>
        <item x="121"/>
        <item x="122"/>
        <item x="123"/>
        <item x="124"/>
        <item x="125"/>
        <item x="126"/>
        <item x="127"/>
        <item x="128"/>
        <item x="130"/>
        <item x="131"/>
        <item x="132"/>
        <item x="133"/>
        <item x="134"/>
        <item x="135"/>
        <item x="136"/>
        <item x="137"/>
        <item x="138"/>
        <item x="139"/>
        <item x="140"/>
        <item x="141"/>
        <item x="142"/>
        <item x="143"/>
        <item x="144"/>
        <item x="145"/>
        <item x="146"/>
        <item x="147"/>
        <item x="148"/>
        <item x="149"/>
        <item x="150"/>
        <item x="152"/>
        <item x="153"/>
        <item x="154"/>
        <item x="155"/>
        <item x="156"/>
        <item x="157"/>
        <item x="158"/>
        <item x="159"/>
        <item x="160"/>
        <item x="161"/>
        <item x="162"/>
        <item x="164"/>
        <item x="165"/>
        <item x="166"/>
        <item x="167"/>
        <item x="168"/>
        <item x="169"/>
        <item x="170"/>
        <item x="171"/>
        <item x="172"/>
        <item x="173"/>
        <item x="174"/>
        <item x="175"/>
        <item x="176"/>
        <item x="178"/>
        <item x="179"/>
        <item x="180"/>
        <item x="181"/>
        <item x="182"/>
        <item x="186"/>
        <item x="187"/>
        <item x="188"/>
        <item x="189"/>
        <item x="190"/>
        <item x="191"/>
        <item x="192"/>
        <item x="193"/>
        <item x="194"/>
        <item x="196"/>
        <item x="197"/>
        <item x="198"/>
        <item x="199"/>
        <item x="200"/>
        <item x="202"/>
        <item x="203"/>
        <item x="204"/>
        <item x="205"/>
        <item x="206"/>
        <item x="207"/>
        <item x="208"/>
        <item x="209"/>
        <item x="210"/>
        <item x="211"/>
        <item x="212"/>
        <item x="213"/>
        <item x="214"/>
        <item x="215"/>
        <item x="216"/>
        <item x="217"/>
        <item x="218"/>
        <item x="219"/>
        <item x="220"/>
        <item x="221"/>
        <item x="222"/>
        <item x="223"/>
        <item x="224"/>
        <item x="225"/>
        <item x="227"/>
        <item x="228"/>
        <item x="229"/>
        <item x="230"/>
        <item x="231"/>
        <item x="232"/>
        <item x="233"/>
        <item x="234"/>
        <item x="235"/>
        <item x="236"/>
        <item x="237"/>
        <item x="239"/>
        <item x="240"/>
        <item x="241"/>
        <item x="242"/>
        <item x="243"/>
        <item x="244"/>
        <item x="246"/>
        <item x="247"/>
        <item x="248"/>
        <item x="250"/>
        <item x="251"/>
        <item x="252"/>
        <item x="253"/>
        <item x="254"/>
        <item x="255"/>
        <item x="256"/>
        <item x="257"/>
        <item x="258"/>
        <item x="259"/>
        <item x="260"/>
        <item x="262"/>
        <item x="263"/>
        <item x="264"/>
        <item x="266"/>
        <item x="267"/>
        <item x="268"/>
        <item x="269"/>
        <item x="270"/>
        <item x="271"/>
        <item x="272"/>
        <item x="273"/>
        <item x="276"/>
        <item x="278"/>
        <item x="279"/>
        <item x="280"/>
        <item x="281"/>
        <item x="282"/>
        <item x="283"/>
        <item x="284"/>
        <item x="285"/>
        <item x="286"/>
        <item x="287"/>
        <item x="288"/>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8"/>
        <item x="369"/>
        <item x="370"/>
        <item x="374"/>
        <item x="375"/>
        <item x="376"/>
        <item x="377"/>
        <item x="379"/>
        <item x="381"/>
        <item x="390"/>
        <item x="391"/>
        <item x="392"/>
        <item x="393"/>
        <item x="396"/>
        <item x="397"/>
        <item x="398"/>
        <item x="399"/>
        <item x="401"/>
        <item x="402"/>
        <item x="403"/>
        <item x="404"/>
        <item x="406"/>
        <item x="407"/>
        <item x="408"/>
        <item x="409"/>
        <item x="416"/>
        <item x="417"/>
        <item x="419"/>
        <item x="423"/>
        <item x="424"/>
        <item x="426"/>
        <item x="427"/>
        <item x="385"/>
        <item x="425"/>
        <item x="431"/>
        <item x="432"/>
        <item x="433"/>
        <item x="435"/>
        <item x="436"/>
        <item x="437"/>
        <item x="439"/>
        <item x="441"/>
        <item x="442"/>
        <item x="443"/>
        <item x="444"/>
        <item x="86"/>
        <item x="107"/>
        <item x="114"/>
        <item x="129"/>
        <item x="177"/>
        <item x="183"/>
        <item x="184"/>
        <item x="185"/>
        <item x="195"/>
        <item x="201"/>
        <item x="226"/>
        <item x="238"/>
        <item x="245"/>
        <item x="249"/>
        <item x="261"/>
        <item x="265"/>
        <item x="274"/>
        <item x="275"/>
        <item x="277"/>
        <item x="289"/>
        <item m="1" x="454"/>
        <item m="1" x="455"/>
        <item m="1" x="456"/>
        <item m="1" x="457"/>
        <item m="1" x="458"/>
        <item m="1" x="459"/>
        <item m="1" x="460"/>
        <item m="1" x="461"/>
        <item m="1" x="462"/>
        <item m="1" x="463"/>
        <item m="1" x="464"/>
        <item m="1" x="465"/>
        <item m="1" x="466"/>
        <item m="1" x="467"/>
        <item m="1" x="468"/>
        <item m="1" x="469"/>
        <item m="1" x="470"/>
        <item m="1" x="471"/>
        <item m="1" x="472"/>
        <item m="1" x="473"/>
        <item m="1" x="474"/>
        <item m="1" x="475"/>
        <item m="1" x="476"/>
        <item m="1" x="477"/>
        <item m="1" x="478"/>
        <item m="1" x="479"/>
        <item m="1" x="480"/>
        <item m="1" x="481"/>
        <item m="1" x="482"/>
        <item m="1" x="483"/>
        <item m="1" x="484"/>
        <item m="1" x="486"/>
        <item m="1" x="487"/>
        <item m="1" x="488"/>
        <item x="445"/>
        <item x="446"/>
        <item x="447"/>
        <item x="448"/>
        <item m="1" x="485"/>
        <item x="449"/>
        <item x="450"/>
        <item x="451"/>
        <item x="452"/>
        <item x="323"/>
        <item x="366"/>
        <item x="367"/>
        <item x="371"/>
        <item x="372"/>
        <item x="373"/>
        <item x="378"/>
        <item x="380"/>
        <item x="382"/>
        <item x="383"/>
        <item x="384"/>
        <item x="386"/>
        <item x="387"/>
        <item x="388"/>
        <item x="389"/>
        <item x="394"/>
        <item x="395"/>
        <item x="400"/>
        <item x="405"/>
        <item x="410"/>
        <item x="411"/>
        <item x="412"/>
        <item x="413"/>
        <item x="414"/>
        <item x="415"/>
        <item x="418"/>
        <item x="420"/>
        <item x="421"/>
        <item x="422"/>
        <item x="428"/>
        <item x="429"/>
        <item x="430"/>
        <item x="434"/>
        <item x="438"/>
        <item x="440"/>
        <item x="45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44" showAll="0"/>
    <pivotField showAll="0"/>
    <pivotField showAll="0"/>
    <pivotField showAll="0"/>
    <pivotField showAll="0"/>
    <pivotField showAll="0"/>
    <pivotField showAll="0"/>
    <pivotField axis="axisPage" multipleItemSelectionAllowed="1" showAll="0">
      <items count="176">
        <item h="1" x="72"/>
        <item h="1" x="62"/>
        <item h="1" x="119"/>
        <item h="1" m="1" x="174"/>
        <item h="1" x="22"/>
        <item h="1" x="125"/>
        <item h="1" x="3"/>
        <item h="1" x="82"/>
        <item h="1" x="6"/>
        <item h="1" x="126"/>
        <item h="1" x="10"/>
        <item h="1" x="21"/>
        <item h="1" x="96"/>
        <item h="1" x="5"/>
        <item h="1" x="103"/>
        <item h="1" x="117"/>
        <item h="1" x="35"/>
        <item h="1" x="84"/>
        <item h="1" x="97"/>
        <item h="1" x="132"/>
        <item h="1" x="26"/>
        <item h="1" x="30"/>
        <item h="1" x="51"/>
        <item h="1" x="34"/>
        <item h="1" x="86"/>
        <item h="1" x="29"/>
        <item h="1" x="137"/>
        <item h="1" x="99"/>
        <item h="1" x="120"/>
        <item h="1" x="91"/>
        <item h="1" x="104"/>
        <item h="1" x="122"/>
        <item h="1" x="20"/>
        <item h="1" x="8"/>
        <item h="1" x="1"/>
        <item h="1" x="2"/>
        <item h="1" x="4"/>
        <item h="1" x="7"/>
        <item h="1" x="9"/>
        <item h="1" x="11"/>
        <item h="1" x="12"/>
        <item h="1" x="13"/>
        <item h="1" x="14"/>
        <item h="1" x="15"/>
        <item h="1" x="16"/>
        <item h="1" x="17"/>
        <item h="1" x="18"/>
        <item h="1" x="19"/>
        <item h="1" x="23"/>
        <item h="1" x="24"/>
        <item h="1" x="25"/>
        <item h="1" x="27"/>
        <item h="1" x="28"/>
        <item h="1" x="31"/>
        <item h="1" x="32"/>
        <item h="1" x="33"/>
        <item h="1" x="36"/>
        <item h="1" x="37"/>
        <item h="1" x="38"/>
        <item h="1" x="39"/>
        <item h="1" x="40"/>
        <item h="1" x="41"/>
        <item h="1" x="42"/>
        <item h="1" x="43"/>
        <item h="1" x="44"/>
        <item h="1" x="45"/>
        <item h="1" x="46"/>
        <item h="1" x="47"/>
        <item h="1" x="48"/>
        <item h="1" x="49"/>
        <item h="1" x="50"/>
        <item h="1" x="52"/>
        <item h="1" x="53"/>
        <item h="1" x="54"/>
        <item h="1" x="55"/>
        <item h="1" x="56"/>
        <item h="1" x="57"/>
        <item h="1" x="58"/>
        <item h="1" x="59"/>
        <item h="1" x="60"/>
        <item h="1" x="61"/>
        <item h="1" x="63"/>
        <item h="1" x="64"/>
        <item h="1" x="65"/>
        <item h="1" x="66"/>
        <item h="1" x="67"/>
        <item h="1" x="68"/>
        <item h="1" x="69"/>
        <item h="1" x="70"/>
        <item h="1" x="71"/>
        <item h="1" x="73"/>
        <item h="1" x="74"/>
        <item h="1" x="75"/>
        <item h="1" x="76"/>
        <item h="1" x="77"/>
        <item h="1" x="78"/>
        <item h="1" x="79"/>
        <item h="1" x="80"/>
        <item h="1" x="81"/>
        <item h="1" x="83"/>
        <item h="1" x="85"/>
        <item h="1" x="87"/>
        <item h="1" x="88"/>
        <item h="1" x="89"/>
        <item h="1" x="90"/>
        <item h="1" x="92"/>
        <item h="1" x="93"/>
        <item h="1" x="94"/>
        <item h="1" x="95"/>
        <item h="1" x="98"/>
        <item h="1" x="100"/>
        <item h="1" x="101"/>
        <item h="1" x="102"/>
        <item h="1" x="105"/>
        <item h="1" x="106"/>
        <item h="1" x="107"/>
        <item h="1" x="108"/>
        <item h="1" x="109"/>
        <item h="1" x="110"/>
        <item h="1" x="111"/>
        <item h="1" x="112"/>
        <item h="1" x="113"/>
        <item h="1" x="114"/>
        <item h="1" x="115"/>
        <item h="1" x="116"/>
        <item h="1" x="118"/>
        <item h="1" x="121"/>
        <item h="1" x="123"/>
        <item h="1" x="127"/>
        <item h="1" x="128"/>
        <item h="1" x="129"/>
        <item h="1" x="130"/>
        <item h="1" x="131"/>
        <item h="1" x="133"/>
        <item h="1" x="139"/>
        <item h="1" x="142"/>
        <item h="1" x="143"/>
        <item h="1" x="146"/>
        <item h="1" x="149"/>
        <item h="1" x="135"/>
        <item h="1" x="148"/>
        <item h="1" x="154"/>
        <item h="1" x="155"/>
        <item h="1" x="157"/>
        <item h="1" x="160"/>
        <item h="1" x="161"/>
        <item h="1" x="0"/>
        <item h="1" m="1" x="171"/>
        <item h="1" m="1" x="172"/>
        <item h="1" m="1" x="173"/>
        <item h="1" x="162"/>
        <item h="1" x="163"/>
        <item h="1" x="164"/>
        <item h="1" x="124"/>
        <item h="1" x="165"/>
        <item x="166"/>
        <item h="1" x="134"/>
        <item h="1" x="136"/>
        <item h="1" x="138"/>
        <item h="1" x="140"/>
        <item h="1" x="141"/>
        <item h="1" x="144"/>
        <item h="1" x="145"/>
        <item h="1" x="147"/>
        <item h="1" x="150"/>
        <item h="1" x="151"/>
        <item h="1" x="152"/>
        <item h="1" x="153"/>
        <item h="1" x="156"/>
        <item h="1" x="158"/>
        <item h="1" x="159"/>
        <item x="167"/>
        <item x="168"/>
        <item x="169"/>
        <item x="170"/>
        <item t="default"/>
      </items>
    </pivotField>
    <pivotField showAll="0"/>
    <pivotField showAll="0"/>
    <pivotField showAll="0"/>
    <pivotField showAll="0"/>
    <pivotField showAll="0"/>
    <pivotField showAll="0"/>
    <pivotField showAll="0"/>
    <pivotField dataField="1" showAll="0"/>
  </pivotFields>
  <rowFields count="1">
    <field x="6"/>
  </rowFields>
  <rowItems count="1">
    <i t="grand">
      <x/>
    </i>
  </rowItems>
  <colItems count="1">
    <i/>
  </colItems>
  <pageFields count="2">
    <pageField fld="0" hier="-1"/>
    <pageField fld="34" hier="-1"/>
  </pageFields>
  <dataFields count="1">
    <dataField name="Soma de Qdte" fld="42" baseField="0" baseItem="0"/>
  </dataField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000000-0007-0000-0400-000005000000}" name="Tabela dinâmica6" cacheId="2"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7">
  <location ref="H22:J28" firstHeaderRow="0" firstDataRow="1" firstDataCol="1" rowPageCount="2" colPageCount="1"/>
  <pivotFields count="19">
    <pivotField axis="axisPage" multipleItemSelectionAllowed="1" showAll="0">
      <items count="4">
        <item h="1" x="0"/>
        <item x="1"/>
        <item x="2"/>
        <item t="default"/>
      </items>
    </pivotField>
    <pivotField axis="axisRow" numFmtId="17" showAll="0">
      <items count="18">
        <item x="0"/>
        <item x="1"/>
        <item x="2"/>
        <item x="3"/>
        <item x="4"/>
        <item x="5"/>
        <item x="6"/>
        <item x="7"/>
        <item x="8"/>
        <item x="9"/>
        <item x="10"/>
        <item x="11"/>
        <item x="12"/>
        <item x="13"/>
        <item x="14"/>
        <item x="15"/>
        <item x="16"/>
        <item t="default"/>
      </items>
    </pivotField>
    <pivotField axis="axisPage" showAll="0">
      <items count="5">
        <item x="1"/>
        <item x="2"/>
        <item x="0"/>
        <item x="3"/>
        <item t="default"/>
      </items>
    </pivotField>
    <pivotField showAll="0"/>
    <pivotField showAll="0"/>
    <pivotField showAll="0"/>
    <pivotField numFmtId="44" showAll="0"/>
    <pivotField numFmtId="44" showAll="0"/>
    <pivotField numFmtId="44" showAll="0"/>
    <pivotField numFmtId="1" showAll="0"/>
    <pivotField showAll="0"/>
    <pivotField showAll="0"/>
    <pivotField numFmtId="2" showAll="0"/>
    <pivotField dataField="1" numFmtId="2" showAll="0"/>
    <pivotField numFmtId="44" showAll="0"/>
    <pivotField numFmtId="10" showAll="0"/>
    <pivotField dataField="1" numFmtId="10" showAll="0"/>
    <pivotField axis="axisRow"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x="367"/>
      </items>
    </pivotField>
    <pivotField axis="axisRow" showAll="0" defaultSubtotal="0">
      <items count="14">
        <item sd="0" x="0"/>
        <item sd="0" x="1"/>
        <item sd="0" x="2"/>
        <item sd="0" x="3"/>
        <item sd="0" x="4"/>
        <item sd="0" x="5"/>
        <item sd="0" x="6"/>
        <item sd="0" x="7"/>
        <item sd="0" x="8"/>
        <item sd="0" x="9"/>
        <item sd="0" x="10"/>
        <item sd="0" x="11"/>
        <item sd="0" x="12"/>
        <item sd="0" x="13"/>
      </items>
    </pivotField>
  </pivotFields>
  <rowFields count="3">
    <field x="18"/>
    <field x="17"/>
    <field x="1"/>
  </rowFields>
  <rowItems count="6">
    <i>
      <x v="1"/>
    </i>
    <i>
      <x v="2"/>
    </i>
    <i>
      <x v="3"/>
    </i>
    <i>
      <x v="4"/>
    </i>
    <i>
      <x v="5"/>
    </i>
    <i t="grand">
      <x/>
    </i>
  </rowItems>
  <colFields count="1">
    <field x="-2"/>
  </colFields>
  <colItems count="2">
    <i>
      <x/>
    </i>
    <i i="1">
      <x v="1"/>
    </i>
  </colItems>
  <pageFields count="2">
    <pageField fld="0" hier="-1"/>
    <pageField fld="2" hier="-1"/>
  </pageFields>
  <dataFields count="2">
    <dataField name="Cobertura" fld="16" baseField="16" baseItem="3" numFmtId="10"/>
    <dataField name="Objetivo" fld="13" baseField="16" baseItem="3" numFmtId="2"/>
  </dataFields>
  <formats count="9">
    <format dxfId="316">
      <pivotArea outline="0" collapsedLevelsAreSubtotals="1" fieldPosition="0"/>
    </format>
    <format dxfId="315">
      <pivotArea dataOnly="0" labelOnly="1" fieldPosition="0">
        <references count="1">
          <reference field="18" count="0"/>
        </references>
      </pivotArea>
    </format>
    <format dxfId="314">
      <pivotArea dataOnly="0" labelOnly="1" grandRow="1" outline="0" fieldPosition="0"/>
    </format>
    <format>
      <pivotArea outline="0" collapsedLevelsAreSubtotals="1" fieldPosition="0"/>
    </format>
    <format>
      <pivotArea dataOnly="0" labelOnly="1" fieldPosition="0">
        <references count="1">
          <reference field="18" count="0"/>
        </references>
      </pivotArea>
    </format>
    <format>
      <pivotArea dataOnly="0" labelOnly="1" grandRow="1" outline="0" fieldPosition="0"/>
    </format>
    <format dxfId="313">
      <pivotArea outline="0" collapsedLevelsAreSubtotals="1" fieldPosition="0"/>
    </format>
    <format dxfId="312">
      <pivotArea dataOnly="0" labelOnly="1" fieldPosition="0">
        <references count="1">
          <reference field="18" count="0"/>
        </references>
      </pivotArea>
    </format>
    <format dxfId="311">
      <pivotArea dataOnly="0" labelOnly="1" grandRow="1" outline="0" fieldPosition="0"/>
    </format>
  </formats>
  <chartFormats count="4">
    <chartFormat chart="0" format="0" series="1">
      <pivotArea type="data" outline="0" fieldPosition="0">
        <references count="1">
          <reference field="4294967294" count="1" selected="0">
            <x v="1"/>
          </reference>
        </references>
      </pivotArea>
    </chartFormat>
    <chartFormat chart="0" format="1" series="1">
      <pivotArea type="data" outline="0" fieldPosition="0">
        <references count="1">
          <reference field="4294967294" count="1" selected="0">
            <x v="0"/>
          </reference>
        </references>
      </pivotArea>
    </chartFormat>
    <chartFormat chart="6" format="4" series="1">
      <pivotArea type="data" outline="0" fieldPosition="0">
        <references count="1">
          <reference field="4294967294" count="1" selected="0">
            <x v="0"/>
          </reference>
        </references>
      </pivotArea>
    </chartFormat>
    <chartFormat chart="6"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0000000-0007-0000-0400-00000A000000}" name="Tabela dinâmica10"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T1334:U1336" firstHeaderRow="1" firstDataRow="1" firstDataCol="1" rowPageCount="2" colPageCount="1"/>
  <pivotFields count="50">
    <pivotField axis="axisPage" multipleItemSelectionAllowed="1" showAll="0">
      <items count="5">
        <item h="1" x="1"/>
        <item x="0"/>
        <item h="1" x="2"/>
        <item h="1" x="3"/>
        <item t="default"/>
      </items>
    </pivotField>
    <pivotField showAll="0"/>
    <pivotField showAll="0"/>
    <pivotField showAll="0"/>
    <pivotField showAll="0"/>
    <pivotField showAll="0"/>
    <pivotField axis="axisRow" showAll="0">
      <items count="712">
        <item x="432"/>
        <item x="276"/>
        <item x="397"/>
        <item x="112"/>
        <item x="88"/>
        <item x="82"/>
        <item x="350"/>
        <item x="42"/>
        <item x="316"/>
        <item x="311"/>
        <item x="347"/>
        <item x="375"/>
        <item x="8"/>
        <item x="368"/>
        <item x="63"/>
        <item x="230"/>
        <item x="348"/>
        <item x="235"/>
        <item x="228"/>
        <item x="240"/>
        <item x="373"/>
        <item x="120"/>
        <item x="426"/>
        <item x="165"/>
        <item x="278"/>
        <item x="282"/>
        <item x="190"/>
        <item x="180"/>
        <item x="361"/>
        <item x="298"/>
        <item x="414"/>
        <item x="119"/>
        <item x="56"/>
        <item x="339"/>
        <item x="410"/>
        <item x="385"/>
        <item x="170"/>
        <item x="169"/>
        <item x="239"/>
        <item x="10"/>
        <item x="9"/>
        <item x="309"/>
        <item x="248"/>
        <item x="393"/>
        <item x="236"/>
        <item x="272"/>
        <item x="340"/>
        <item x="362"/>
        <item x="57"/>
        <item x="395"/>
        <item x="399"/>
        <item x="406"/>
        <item x="182"/>
        <item x="183"/>
        <item x="238"/>
        <item x="219"/>
        <item x="141"/>
        <item x="192"/>
        <item x="428"/>
        <item x="55"/>
        <item x="43"/>
        <item x="100"/>
        <item x="81"/>
        <item x="370"/>
        <item x="376"/>
        <item x="377"/>
        <item x="274"/>
        <item x="275"/>
        <item x="247"/>
        <item x="91"/>
        <item x="3"/>
        <item x="435"/>
        <item x="154"/>
        <item x="157"/>
        <item x="151"/>
        <item x="264"/>
        <item x="254"/>
        <item x="379"/>
        <item x="263"/>
        <item x="253"/>
        <item x="194"/>
        <item x="424"/>
        <item x="84"/>
        <item x="341"/>
        <item x="111"/>
        <item x="419"/>
        <item x="387"/>
        <item x="383"/>
        <item x="352"/>
        <item x="342"/>
        <item x="133"/>
        <item x="104"/>
        <item x="330"/>
        <item x="109"/>
        <item x="156"/>
        <item x="32"/>
        <item x="93"/>
        <item x="224"/>
        <item x="367"/>
        <item x="366"/>
        <item x="233"/>
        <item x="193"/>
        <item x="401"/>
        <item x="50"/>
        <item x="345"/>
        <item x="314"/>
        <item x="280"/>
        <item x="292"/>
        <item x="288"/>
        <item x="343"/>
        <item x="269"/>
        <item x="18"/>
        <item x="19"/>
        <item x="234"/>
        <item x="31"/>
        <item x="304"/>
        <item x="46"/>
        <item x="49"/>
        <item x="62"/>
        <item x="210"/>
        <item x="14"/>
        <item x="396"/>
        <item x="106"/>
        <item x="67"/>
        <item x="200"/>
        <item x="107"/>
        <item x="25"/>
        <item x="199"/>
        <item x="90"/>
        <item x="171"/>
        <item x="335"/>
        <item x="110"/>
        <item x="125"/>
        <item x="123"/>
        <item x="77"/>
        <item x="294"/>
        <item x="167"/>
        <item x="166"/>
        <item x="265"/>
        <item x="251"/>
        <item x="411"/>
        <item x="187"/>
        <item x="363"/>
        <item x="101"/>
        <item x="152"/>
        <item x="175"/>
        <item x="351"/>
        <item x="99"/>
        <item x="250"/>
        <item x="45"/>
        <item x="211"/>
        <item x="214"/>
        <item x="213"/>
        <item x="7"/>
        <item x="174"/>
        <item x="135"/>
        <item x="27"/>
        <item x="122"/>
        <item x="121"/>
        <item x="98"/>
        <item x="409"/>
        <item x="71"/>
        <item x="129"/>
        <item x="44"/>
        <item x="185"/>
        <item x="216"/>
        <item x="215"/>
        <item x="20"/>
        <item x="4"/>
        <item x="433"/>
        <item x="365"/>
        <item x="270"/>
        <item x="255"/>
        <item x="310"/>
        <item x="287"/>
        <item x="188"/>
        <item x="28"/>
        <item x="434"/>
        <item x="344"/>
        <item x="97"/>
        <item x="89"/>
        <item x="48"/>
        <item x="245"/>
        <item x="346"/>
        <item x="244"/>
        <item x="289"/>
        <item x="408"/>
        <item x="300"/>
        <item x="371"/>
        <item x="158"/>
        <item x="404"/>
        <item x="407"/>
        <item x="59"/>
        <item x="356"/>
        <item x="95"/>
        <item x="308"/>
        <item x="315"/>
        <item x="260"/>
        <item x="259"/>
        <item x="319"/>
        <item x="60"/>
        <item x="355"/>
        <item x="286"/>
        <item x="285"/>
        <item x="380"/>
        <item x="389"/>
        <item x="390"/>
        <item x="218"/>
        <item x="41"/>
        <item x="17"/>
        <item x="26"/>
        <item x="208"/>
        <item x="207"/>
        <item x="150"/>
        <item x="191"/>
        <item x="295"/>
        <item x="184"/>
        <item x="54"/>
        <item x="256"/>
        <item x="405"/>
        <item x="422"/>
        <item x="163"/>
        <item x="427"/>
        <item x="431"/>
        <item x="201"/>
        <item x="400"/>
        <item x="162"/>
        <item x="161"/>
        <item x="398"/>
        <item x="246"/>
        <item x="22"/>
        <item x="12"/>
        <item x="69"/>
        <item x="79"/>
        <item x="353"/>
        <item x="241"/>
        <item x="242"/>
        <item x="179"/>
        <item x="354"/>
        <item x="413"/>
        <item x="78"/>
        <item x="86"/>
        <item x="384"/>
        <item x="70"/>
        <item x="349"/>
        <item x="306"/>
        <item x="305"/>
        <item x="181"/>
        <item x="139"/>
        <item x="418"/>
        <item x="87"/>
        <item x="417"/>
        <item x="113"/>
        <item x="416"/>
        <item x="266"/>
        <item x="2"/>
        <item x="312"/>
        <item x="425"/>
        <item x="74"/>
        <item x="73"/>
        <item x="313"/>
        <item x="16"/>
        <item x="21"/>
        <item x="118"/>
        <item x="153"/>
        <item x="415"/>
        <item x="29"/>
        <item x="394"/>
        <item x="229"/>
        <item x="281"/>
        <item x="284"/>
        <item x="38"/>
        <item x="258"/>
        <item x="102"/>
        <item x="114"/>
        <item x="116"/>
        <item x="115"/>
        <item x="392"/>
        <item x="61"/>
        <item x="386"/>
        <item x="391"/>
        <item x="252"/>
        <item x="388"/>
        <item x="372"/>
        <item x="143"/>
        <item x="429"/>
        <item x="374"/>
        <item x="33"/>
        <item x="359"/>
        <item x="225"/>
        <item x="358"/>
        <item x="323"/>
        <item x="159"/>
        <item x="160"/>
        <item x="307"/>
        <item x="296"/>
        <item x="221"/>
        <item x="412"/>
        <item x="195"/>
        <item x="290"/>
        <item x="232"/>
        <item x="249"/>
        <item m="1" x="705"/>
        <item x="131"/>
        <item x="277"/>
        <item x="430"/>
        <item x="92"/>
        <item x="66"/>
        <item x="205"/>
        <item x="35"/>
        <item x="39"/>
        <item x="37"/>
        <item x="128"/>
        <item x="402"/>
        <item x="103"/>
        <item x="369"/>
        <item x="220"/>
        <item x="96"/>
        <item x="124"/>
        <item x="318"/>
        <item x="130"/>
        <item x="297"/>
        <item x="24"/>
        <item x="23"/>
        <item x="423"/>
        <item x="68"/>
        <item x="0"/>
        <item x="204"/>
        <item x="206"/>
        <item x="268"/>
        <item x="237"/>
        <item x="338"/>
        <item x="337"/>
        <item x="403"/>
        <item x="58"/>
        <item x="223"/>
        <item x="202"/>
        <item x="127"/>
        <item x="293"/>
        <item x="322"/>
        <item x="226"/>
        <item x="94"/>
        <item x="227"/>
        <item x="243"/>
        <item x="5"/>
        <item x="321"/>
        <item x="325"/>
        <item x="381"/>
        <item x="13"/>
        <item x="11"/>
        <item x="47"/>
        <item x="327"/>
        <item x="364"/>
        <item x="382"/>
        <item x="217"/>
        <item x="189"/>
        <item x="34"/>
        <item x="64"/>
        <item x="378"/>
        <item x="267"/>
        <item x="117"/>
        <item x="147"/>
        <item x="146"/>
        <item x="173"/>
        <item x="172"/>
        <item x="177"/>
        <item x="176"/>
        <item x="148"/>
        <item x="357"/>
        <item x="320"/>
        <item x="437"/>
        <item x="438"/>
        <item x="439"/>
        <item x="440"/>
        <item x="442"/>
        <item x="443"/>
        <item x="445"/>
        <item x="446"/>
        <item x="454"/>
        <item x="448"/>
        <item x="449"/>
        <item x="450"/>
        <item x="699"/>
        <item x="453"/>
        <item x="441"/>
        <item x="455"/>
        <item x="456"/>
        <item x="457"/>
        <item x="458"/>
        <item x="459"/>
        <item x="460"/>
        <item x="461"/>
        <item x="462"/>
        <item x="463"/>
        <item x="464"/>
        <item x="465"/>
        <item x="466"/>
        <item x="467"/>
        <item x="468"/>
        <item x="469"/>
        <item x="470"/>
        <item x="471"/>
        <item x="472"/>
        <item x="473"/>
        <item x="475"/>
        <item x="476"/>
        <item x="478"/>
        <item x="474"/>
        <item x="477"/>
        <item x="479"/>
        <item x="480"/>
        <item x="481"/>
        <item x="484"/>
        <item x="436"/>
        <item x="447"/>
        <item x="452"/>
        <item x="486"/>
        <item x="488"/>
        <item x="489"/>
        <item x="490"/>
        <item x="336"/>
        <item x="491"/>
        <item x="444"/>
        <item x="492"/>
        <item x="494"/>
        <item x="495"/>
        <item x="497"/>
        <item x="498"/>
        <item x="499"/>
        <item x="500"/>
        <item x="501"/>
        <item x="502"/>
        <item x="503"/>
        <item x="504"/>
        <item x="505"/>
        <item x="506"/>
        <item x="507"/>
        <item x="509"/>
        <item x="493"/>
        <item x="511"/>
        <item x="512"/>
        <item x="513"/>
        <item x="514"/>
        <item x="515"/>
        <item x="516"/>
        <item x="517"/>
        <item x="518"/>
        <item x="519"/>
        <item x="520"/>
        <item x="521"/>
        <item x="522"/>
        <item x="523"/>
        <item x="524"/>
        <item x="525"/>
        <item x="526"/>
        <item x="527"/>
        <item x="528"/>
        <item x="529"/>
        <item x="530"/>
        <item x="531"/>
        <item x="532"/>
        <item x="533"/>
        <item x="510"/>
        <item x="534"/>
        <item x="535"/>
        <item x="536"/>
        <item x="537"/>
        <item x="538"/>
        <item x="496"/>
        <item x="508"/>
        <item x="539"/>
        <item x="540"/>
        <item x="542"/>
        <item x="543"/>
        <item x="544"/>
        <item x="545"/>
        <item x="487"/>
        <item x="546"/>
        <item x="550"/>
        <item x="552"/>
        <item x="553"/>
        <item x="554"/>
        <item x="555"/>
        <item x="557"/>
        <item x="558"/>
        <item x="559"/>
        <item x="560"/>
        <item x="561"/>
        <item x="562"/>
        <item x="563"/>
        <item x="565"/>
        <item x="566"/>
        <item x="567"/>
        <item x="568"/>
        <item x="569"/>
        <item x="570"/>
        <item x="571"/>
        <item m="1" x="709"/>
        <item x="573"/>
        <item x="574"/>
        <item x="575"/>
        <item x="576"/>
        <item x="577"/>
        <item m="1" x="710"/>
        <item x="579"/>
        <item x="580"/>
        <item x="581"/>
        <item x="582"/>
        <item x="583"/>
        <item x="584"/>
        <item x="585"/>
        <item x="586"/>
        <item m="1" x="707"/>
        <item x="588"/>
        <item x="589"/>
        <item x="590"/>
        <item x="591"/>
        <item x="592"/>
        <item x="593"/>
        <item x="594"/>
        <item x="595"/>
        <item x="1"/>
        <item x="6"/>
        <item x="15"/>
        <item x="30"/>
        <item x="36"/>
        <item x="40"/>
        <item x="51"/>
        <item x="52"/>
        <item x="53"/>
        <item x="65"/>
        <item x="72"/>
        <item x="75"/>
        <item x="76"/>
        <item x="80"/>
        <item x="83"/>
        <item x="85"/>
        <item x="105"/>
        <item x="108"/>
        <item x="126"/>
        <item x="132"/>
        <item x="134"/>
        <item x="136"/>
        <item x="137"/>
        <item x="138"/>
        <item x="140"/>
        <item x="142"/>
        <item x="144"/>
        <item x="145"/>
        <item x="149"/>
        <item x="155"/>
        <item x="164"/>
        <item x="168"/>
        <item x="178"/>
        <item x="186"/>
        <item x="196"/>
        <item x="197"/>
        <item x="198"/>
        <item x="203"/>
        <item x="209"/>
        <item x="212"/>
        <item x="222"/>
        <item x="231"/>
        <item x="257"/>
        <item x="261"/>
        <item x="262"/>
        <item x="271"/>
        <item x="273"/>
        <item x="279"/>
        <item x="283"/>
        <item x="291"/>
        <item x="299"/>
        <item x="301"/>
        <item x="302"/>
        <item x="303"/>
        <item x="317"/>
        <item x="324"/>
        <item x="326"/>
        <item x="328"/>
        <item x="329"/>
        <item x="331"/>
        <item x="332"/>
        <item x="333"/>
        <item x="334"/>
        <item x="360"/>
        <item x="420"/>
        <item x="421"/>
        <item x="482"/>
        <item x="483"/>
        <item x="485"/>
        <item x="541"/>
        <item x="547"/>
        <item x="548"/>
        <item x="549"/>
        <item x="551"/>
        <item x="556"/>
        <item x="564"/>
        <item x="596"/>
        <item x="597"/>
        <item x="598"/>
        <item x="599"/>
        <item x="600"/>
        <item x="601"/>
        <item x="602"/>
        <item x="603"/>
        <item x="604"/>
        <item x="605"/>
        <item x="606"/>
        <item x="607"/>
        <item x="608"/>
        <item x="609"/>
        <item x="610"/>
        <item x="611"/>
        <item x="612"/>
        <item x="613"/>
        <item x="572"/>
        <item x="578"/>
        <item x="614"/>
        <item x="615"/>
        <item x="616"/>
        <item x="617"/>
        <item m="1" x="708"/>
        <item x="619"/>
        <item x="620"/>
        <item x="621"/>
        <item x="622"/>
        <item x="623"/>
        <item x="624"/>
        <item x="625"/>
        <item x="626"/>
        <item x="627"/>
        <item x="628"/>
        <item x="629"/>
        <item x="630"/>
        <item x="631"/>
        <item x="632"/>
        <item x="633"/>
        <item x="634"/>
        <item x="587"/>
        <item x="618"/>
        <item x="635"/>
        <item x="636"/>
        <item x="637"/>
        <item x="638"/>
        <item x="639"/>
        <item x="640"/>
        <item x="641"/>
        <item x="642"/>
        <item x="643"/>
        <item x="644"/>
        <item x="645"/>
        <item x="646"/>
        <item x="647"/>
        <item x="648"/>
        <item x="649"/>
        <item m="1" x="706"/>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50"/>
        <item x="682"/>
        <item x="683"/>
        <item x="684"/>
        <item x="685"/>
        <item x="686"/>
        <item x="687"/>
        <item x="688"/>
        <item x="689"/>
        <item x="690"/>
        <item x="691"/>
        <item x="692"/>
        <item x="693"/>
        <item x="694"/>
        <item x="695"/>
        <item x="696"/>
        <item x="697"/>
        <item x="698"/>
        <item x="451"/>
        <item x="700"/>
        <item x="701"/>
        <item x="702"/>
        <item x="703"/>
        <item x="70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44" showAll="0"/>
    <pivotField showAll="0"/>
    <pivotField showAll="0"/>
    <pivotField showAll="0"/>
    <pivotField showAll="0"/>
    <pivotField showAll="0"/>
    <pivotField showAll="0"/>
    <pivotField showAll="0"/>
    <pivotField axis="axisPage" multipleItemSelectionAllowed="1" showAll="0">
      <items count="220">
        <item h="1" x="90"/>
        <item h="1" x="150"/>
        <item h="1" x="177"/>
        <item h="1" x="45"/>
        <item h="1" x="82"/>
        <item h="1" x="91"/>
        <item h="1" x="125"/>
        <item h="1" x="158"/>
        <item h="1" x="152"/>
        <item h="1" x="37"/>
        <item h="1" x="136"/>
        <item h="1" x="53"/>
        <item h="1" x="63"/>
        <item h="1" x="100"/>
        <item h="1" x="122"/>
        <item h="1" x="139"/>
        <item h="1" x="3"/>
        <item h="1" x="167"/>
        <item h="1" x="35"/>
        <item h="1" x="112"/>
        <item h="1" x="102"/>
        <item h="1" x="117"/>
        <item h="1" x="141"/>
        <item h="1" x="137"/>
        <item h="1" x="19"/>
        <item h="1" x="151"/>
        <item h="1" x="6"/>
        <item h="1" x="39"/>
        <item h="1" x="118"/>
        <item h="1" x="181"/>
        <item h="1" x="111"/>
        <item h="1" x="11"/>
        <item h="1" x="15"/>
        <item h="1" x="34"/>
        <item h="1" x="25"/>
        <item h="1" x="36"/>
        <item h="1" x="38"/>
        <item h="1" x="2"/>
        <item h="1" x="66"/>
        <item h="1" x="94"/>
        <item h="1" x="164"/>
        <item h="1" x="74"/>
        <item h="1" x="165"/>
        <item h="1" x="65"/>
        <item h="1" x="124"/>
        <item h="1" x="4"/>
        <item h="1" x="27"/>
        <item h="1" x="54"/>
        <item h="1" x="55"/>
        <item h="1" x="70"/>
        <item h="1" x="85"/>
        <item h="1" x="115"/>
        <item h="1" x="129"/>
        <item h="1" x="149"/>
        <item h="1" x="18"/>
        <item h="1" x="153"/>
        <item h="1" x="67"/>
        <item h="1" x="93"/>
        <item h="1" x="99"/>
        <item h="1" x="116"/>
        <item h="1" x="146"/>
        <item h="1" x="157"/>
        <item h="1" x="88"/>
        <item h="1" x="119"/>
        <item h="1" x="12"/>
        <item h="1" x="138"/>
        <item h="1" x="148"/>
        <item h="1" x="16"/>
        <item h="1" x="159"/>
        <item h="1" x="166"/>
        <item h="1" x="169"/>
        <item h="1" x="43"/>
        <item h="1" x="56"/>
        <item h="1" x="86"/>
        <item h="1" x="133"/>
        <item h="1" x="155"/>
        <item h="1" x="171"/>
        <item h="1" x="41"/>
        <item h="1" x="44"/>
        <item h="1" x="134"/>
        <item h="1" x="68"/>
        <item h="1" x="73"/>
        <item h="1" x="75"/>
        <item h="1" x="120"/>
        <item h="1" x="130"/>
        <item h="1" x="154"/>
        <item h="1" x="33"/>
        <item h="1" x="170"/>
        <item h="1" x="81"/>
        <item h="1" x="92"/>
        <item h="1" x="126"/>
        <item h="1" x="131"/>
        <item h="1" x="20"/>
        <item h="1" x="156"/>
        <item h="1" x="42"/>
        <item h="1" x="47"/>
        <item h="1" x="57"/>
        <item h="1" x="98"/>
        <item h="1" x="22"/>
        <item h="1" x="69"/>
        <item h="1" x="83"/>
        <item h="1" x="89"/>
        <item h="1" x="95"/>
        <item h="1" x="109"/>
        <item h="1" x="7"/>
        <item h="1" x="9"/>
        <item h="1" x="163"/>
        <item h="1" x="58"/>
        <item h="1" x="114"/>
        <item h="1" x="144"/>
        <item h="1" x="21"/>
        <item h="1" x="28"/>
        <item h="1" x="172"/>
        <item h="1" x="50"/>
        <item h="1" x="51"/>
        <item h="1" x="59"/>
        <item h="1" x="107"/>
        <item h="1" x="14"/>
        <item h="1" x="23"/>
        <item h="1" x="26"/>
        <item h="1" x="179"/>
        <item h="1" x="49"/>
        <item h="1" x="106"/>
        <item h="1" x="105"/>
        <item h="1" x="145"/>
        <item h="1" x="29"/>
        <item h="1" x="78"/>
        <item h="1" x="97"/>
        <item h="1" x="127"/>
        <item h="1" x="161"/>
        <item h="1" x="176"/>
        <item h="1" x="79"/>
        <item h="1" x="31"/>
        <item h="1" x="40"/>
        <item h="1" x="72"/>
        <item h="1" x="140"/>
        <item h="1" x="147"/>
        <item h="1" x="46"/>
        <item h="1" x="87"/>
        <item h="1" x="113"/>
        <item h="1" x="110"/>
        <item h="1" x="8"/>
        <item h="1" x="48"/>
        <item h="1" x="52"/>
        <item h="1" x="61"/>
        <item h="1" x="80"/>
        <item h="1" x="132"/>
        <item h="1" x="143"/>
        <item h="1" x="30"/>
        <item h="1" x="62"/>
        <item h="1" x="77"/>
        <item h="1" x="5"/>
        <item h="1" x="13"/>
        <item h="1" x="32"/>
        <item h="1" x="175"/>
        <item h="1" x="60"/>
        <item h="1" x="103"/>
        <item h="1" x="123"/>
        <item h="1" x="10"/>
        <item h="1" x="142"/>
        <item h="1" x="24"/>
        <item h="1" x="71"/>
        <item h="1" x="76"/>
        <item h="1" x="104"/>
        <item h="1" x="108"/>
        <item h="1" x="135"/>
        <item h="1" x="1"/>
        <item h="1" x="17"/>
        <item h="1" x="178"/>
        <item h="1" x="64"/>
        <item h="1" x="96"/>
        <item h="1" x="121"/>
        <item h="1" x="128"/>
        <item h="1" x="183"/>
        <item h="1" x="173"/>
        <item h="1" x="162"/>
        <item h="1" x="184"/>
        <item h="1" x="185"/>
        <item h="1" x="186"/>
        <item h="1" x="188"/>
        <item h="1" x="190"/>
        <item h="1" x="191"/>
        <item h="1" x="168"/>
        <item h="1" x="160"/>
        <item h="1" x="101"/>
        <item h="1" x="174"/>
        <item h="1" x="180"/>
        <item h="1" x="193"/>
        <item h="1" x="189"/>
        <item h="1" x="187"/>
        <item h="1" x="195"/>
        <item h="1" x="84"/>
        <item h="1" x="192"/>
        <item h="1" x="194"/>
        <item h="1" x="197"/>
        <item h="1" x="200"/>
        <item h="1" x="199"/>
        <item h="1" x="201"/>
        <item h="1" x="202"/>
        <item h="1" x="203"/>
        <item h="1" x="204"/>
        <item h="1" x="196"/>
        <item h="1" x="205"/>
        <item h="1" x="0"/>
        <item h="1" x="207"/>
        <item h="1" x="208"/>
        <item h="1" x="211"/>
        <item h="1" x="206"/>
        <item h="1" x="209"/>
        <item h="1" m="1" x="218"/>
        <item h="1" x="213"/>
        <item h="1" x="214"/>
        <item x="182"/>
        <item x="198"/>
        <item x="210"/>
        <item x="216"/>
        <item x="215"/>
        <item x="212"/>
        <item x="217"/>
        <item t="default"/>
      </items>
    </pivotField>
    <pivotField showAll="0"/>
    <pivotField showAll="0"/>
    <pivotField showAll="0"/>
    <pivotField showAll="0"/>
    <pivotField showAll="0"/>
    <pivotField showAll="0"/>
    <pivotField showAll="0"/>
    <pivotField showAll="0"/>
    <pivotField showAll="0"/>
    <pivotField dataField="1" showAll="0"/>
  </pivotFields>
  <rowFields count="1">
    <field x="6"/>
  </rowFields>
  <rowItems count="2">
    <i>
      <x v="611"/>
    </i>
    <i t="grand">
      <x/>
    </i>
  </rowItems>
  <colItems count="1">
    <i/>
  </colItems>
  <pageFields count="2">
    <pageField fld="0" hier="-1"/>
    <pageField fld="39" hier="-1"/>
  </pageFields>
  <dataFields count="1">
    <dataField name="Soma de QTDE" fld="49" baseField="0" baseItem="0"/>
  </dataField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000000-0007-0000-0400-000004000000}" name="Tabela dinâmica9" cacheId="2"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1">
  <location ref="D22:F28" firstHeaderRow="0" firstDataRow="1" firstDataCol="1" rowPageCount="2" colPageCount="1"/>
  <pivotFields count="19">
    <pivotField axis="axisPage" multipleItemSelectionAllowed="1" showAll="0">
      <items count="4">
        <item h="1" x="0"/>
        <item x="1"/>
        <item x="2"/>
        <item t="default"/>
      </items>
    </pivotField>
    <pivotField axis="axisRow" numFmtId="17" showAll="0">
      <items count="18">
        <item x="0"/>
        <item x="1"/>
        <item x="2"/>
        <item x="3"/>
        <item x="4"/>
        <item x="5"/>
        <item x="6"/>
        <item x="7"/>
        <item x="8"/>
        <item x="9"/>
        <item x="10"/>
        <item x="11"/>
        <item x="12"/>
        <item x="13"/>
        <item x="14"/>
        <item x="15"/>
        <item x="16"/>
        <item t="default"/>
      </items>
    </pivotField>
    <pivotField axis="axisPage" multipleItemSelectionAllowed="1" showAll="0">
      <items count="5">
        <item h="1" x="1"/>
        <item h="1" x="2"/>
        <item x="0"/>
        <item h="1" x="3"/>
        <item t="default"/>
      </items>
    </pivotField>
    <pivotField showAll="0"/>
    <pivotField showAll="0"/>
    <pivotField showAll="0"/>
    <pivotField numFmtId="44" showAll="0"/>
    <pivotField numFmtId="44" showAll="0"/>
    <pivotField numFmtId="44" showAll="0"/>
    <pivotField numFmtId="1" showAll="0"/>
    <pivotField showAll="0"/>
    <pivotField showAll="0"/>
    <pivotField dataField="1" numFmtId="44" showAll="0"/>
    <pivotField numFmtId="44" showAll="0"/>
    <pivotField numFmtId="44" showAll="0"/>
    <pivotField dataField="1" numFmtId="9" showAll="0"/>
    <pivotField numFmtId="10" showAll="0"/>
    <pivotField axis="axisRow"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x="367"/>
        <item t="default"/>
      </items>
    </pivotField>
    <pivotField axis="axisRow" showAll="0" sortType="ascending">
      <items count="15">
        <item sd="0" x="1"/>
        <item sd="0" x="2"/>
        <item sd="0" x="3"/>
        <item sd="0" x="4"/>
        <item sd="0" x="5"/>
        <item sd="0" x="6"/>
        <item sd="0" x="7"/>
        <item sd="0" x="8"/>
        <item sd="0" x="9"/>
        <item sd="0" x="10"/>
        <item sd="0" x="11"/>
        <item sd="0" x="12"/>
        <item sd="0" x="0"/>
        <item sd="0" x="13"/>
        <item t="default"/>
      </items>
    </pivotField>
  </pivotFields>
  <rowFields count="3">
    <field x="18"/>
    <field x="17"/>
    <field x="1"/>
  </rowFields>
  <rowItems count="6">
    <i>
      <x/>
    </i>
    <i>
      <x v="1"/>
    </i>
    <i>
      <x v="2"/>
    </i>
    <i>
      <x v="3"/>
    </i>
    <i>
      <x v="4"/>
    </i>
    <i t="grand">
      <x/>
    </i>
  </rowItems>
  <colFields count="1">
    <field x="-2"/>
  </colFields>
  <colItems count="2">
    <i>
      <x/>
    </i>
    <i i="1">
      <x v="1"/>
    </i>
  </colItems>
  <pageFields count="2">
    <pageField fld="2" hier="-1"/>
    <pageField fld="0" hier="-1"/>
  </pageFields>
  <dataFields count="2">
    <dataField name="Cobertura" fld="15" baseField="14" baseItem="1" numFmtId="9"/>
    <dataField name="Objetivo" fld="12" baseField="14" baseItem="1" numFmtId="1"/>
  </dataFields>
  <formats count="39">
    <format dxfId="352">
      <pivotArea type="all" dataOnly="0" outline="0" fieldPosition="0"/>
    </format>
    <format dxfId="351">
      <pivotArea field="18" type="button" dataOnly="0" labelOnly="1" outline="0" axis="axisRow" fieldPosition="0"/>
    </format>
    <format dxfId="350">
      <pivotArea dataOnly="0" labelOnly="1" outline="0" fieldPosition="0">
        <references count="1">
          <reference field="4294967294" count="2">
            <x v="0"/>
            <x v="1"/>
          </reference>
        </references>
      </pivotArea>
    </format>
    <format dxfId="349">
      <pivotArea type="all" dataOnly="0" outline="0" fieldPosition="0"/>
    </format>
    <format dxfId="348">
      <pivotArea field="18" type="button" dataOnly="0" labelOnly="1" outline="0" axis="axisRow" fieldPosition="0"/>
    </format>
    <format dxfId="347">
      <pivotArea dataOnly="0" labelOnly="1" outline="0" fieldPosition="0">
        <references count="1">
          <reference field="4294967294" count="2">
            <x v="0"/>
            <x v="1"/>
          </reference>
        </references>
      </pivotArea>
    </format>
    <format dxfId="346">
      <pivotArea collapsedLevelsAreSubtotals="1" fieldPosition="0">
        <references count="1">
          <reference field="18" count="1">
            <x v="0"/>
          </reference>
        </references>
      </pivotArea>
    </format>
    <format dxfId="345">
      <pivotArea collapsedLevelsAreSubtotals="1" fieldPosition="0">
        <references count="1">
          <reference field="18" count="1">
            <x v="1"/>
          </reference>
        </references>
      </pivotArea>
    </format>
    <format dxfId="344">
      <pivotArea collapsedLevelsAreSubtotals="1" fieldPosition="0">
        <references count="1">
          <reference field="18" count="1">
            <x v="2"/>
          </reference>
        </references>
      </pivotArea>
    </format>
    <format dxfId="343">
      <pivotArea collapsedLevelsAreSubtotals="1" fieldPosition="0">
        <references count="1">
          <reference field="18" count="1">
            <x v="3"/>
          </reference>
        </references>
      </pivotArea>
    </format>
    <format dxfId="342">
      <pivotArea collapsedLevelsAreSubtotals="1" fieldPosition="0">
        <references count="1">
          <reference field="18" count="1">
            <x v="4"/>
          </reference>
        </references>
      </pivotArea>
    </format>
    <format dxfId="341">
      <pivotArea collapsedLevelsAreSubtotals="1" fieldPosition="0">
        <references count="1">
          <reference field="18" count="1">
            <x v="5"/>
          </reference>
        </references>
      </pivotArea>
    </format>
    <format dxfId="340">
      <pivotArea collapsedLevelsAreSubtotals="1" fieldPosition="0">
        <references count="1">
          <reference field="18" count="1">
            <x v="6"/>
          </reference>
        </references>
      </pivotArea>
    </format>
    <format dxfId="339">
      <pivotArea collapsedLevelsAreSubtotals="1" fieldPosition="0">
        <references count="1">
          <reference field="18" count="1">
            <x v="7"/>
          </reference>
        </references>
      </pivotArea>
    </format>
    <format dxfId="338">
      <pivotArea collapsedLevelsAreSubtotals="1" fieldPosition="0">
        <references count="1">
          <reference field="18" count="1">
            <x v="8"/>
          </reference>
        </references>
      </pivotArea>
    </format>
    <format dxfId="337">
      <pivotArea collapsedLevelsAreSubtotals="1" fieldPosition="0">
        <references count="1">
          <reference field="18" count="1">
            <x v="9"/>
          </reference>
        </references>
      </pivotArea>
    </format>
    <format dxfId="336">
      <pivotArea collapsedLevelsAreSubtotals="1" fieldPosition="0">
        <references count="1">
          <reference field="18" count="1">
            <x v="10"/>
          </reference>
        </references>
      </pivotArea>
    </format>
    <format dxfId="335">
      <pivotArea outline="0" collapsedLevelsAreSubtotals="1" fieldPosition="0">
        <references count="1">
          <reference field="4294967294" count="1" selected="0">
            <x v="1"/>
          </reference>
        </references>
      </pivotArea>
    </format>
    <format dxfId="334">
      <pivotArea collapsedLevelsAreSubtotals="1" fieldPosition="0">
        <references count="2">
          <reference field="4294967294" count="1" selected="0">
            <x v="0"/>
          </reference>
          <reference field="18" count="1">
            <x v="0"/>
          </reference>
        </references>
      </pivotArea>
    </format>
    <format dxfId="333">
      <pivotArea collapsedLevelsAreSubtotals="1" fieldPosition="0">
        <references count="2">
          <reference field="4294967294" count="1" selected="0">
            <x v="0"/>
          </reference>
          <reference field="18" count="1">
            <x v="1"/>
          </reference>
        </references>
      </pivotArea>
    </format>
    <format dxfId="332">
      <pivotArea collapsedLevelsAreSubtotals="1" fieldPosition="0">
        <references count="2">
          <reference field="4294967294" count="1" selected="0">
            <x v="0"/>
          </reference>
          <reference field="18" count="1">
            <x v="2"/>
          </reference>
        </references>
      </pivotArea>
    </format>
    <format dxfId="331">
      <pivotArea collapsedLevelsAreSubtotals="1" fieldPosition="0">
        <references count="2">
          <reference field="4294967294" count="1" selected="0">
            <x v="0"/>
          </reference>
          <reference field="18" count="1">
            <x v="3"/>
          </reference>
        </references>
      </pivotArea>
    </format>
    <format dxfId="330">
      <pivotArea collapsedLevelsAreSubtotals="1" fieldPosition="0">
        <references count="2">
          <reference field="4294967294" count="1" selected="0">
            <x v="0"/>
          </reference>
          <reference field="18" count="1">
            <x v="4"/>
          </reference>
        </references>
      </pivotArea>
    </format>
    <format dxfId="329">
      <pivotArea collapsedLevelsAreSubtotals="1" fieldPosition="0">
        <references count="2">
          <reference field="4294967294" count="1" selected="0">
            <x v="0"/>
          </reference>
          <reference field="18" count="1">
            <x v="5"/>
          </reference>
        </references>
      </pivotArea>
    </format>
    <format dxfId="328">
      <pivotArea collapsedLevelsAreSubtotals="1" fieldPosition="0">
        <references count="2">
          <reference field="4294967294" count="1" selected="0">
            <x v="0"/>
          </reference>
          <reference field="18" count="1">
            <x v="6"/>
          </reference>
        </references>
      </pivotArea>
    </format>
    <format dxfId="327">
      <pivotArea collapsedLevelsAreSubtotals="1" fieldPosition="0">
        <references count="2">
          <reference field="4294967294" count="1" selected="0">
            <x v="0"/>
          </reference>
          <reference field="18" count="1">
            <x v="7"/>
          </reference>
        </references>
      </pivotArea>
    </format>
    <format dxfId="326">
      <pivotArea collapsedLevelsAreSubtotals="1" fieldPosition="0">
        <references count="2">
          <reference field="4294967294" count="1" selected="0">
            <x v="0"/>
          </reference>
          <reference field="18" count="1">
            <x v="8"/>
          </reference>
        </references>
      </pivotArea>
    </format>
    <format dxfId="325">
      <pivotArea collapsedLevelsAreSubtotals="1" fieldPosition="0">
        <references count="2">
          <reference field="4294967294" count="1" selected="0">
            <x v="0"/>
          </reference>
          <reference field="18" count="1">
            <x v="9"/>
          </reference>
        </references>
      </pivotArea>
    </format>
    <format dxfId="324">
      <pivotArea collapsedLevelsAreSubtotals="1" fieldPosition="0">
        <references count="2">
          <reference field="4294967294" count="1" selected="0">
            <x v="0"/>
          </reference>
          <reference field="18" count="1">
            <x v="10"/>
          </reference>
        </references>
      </pivotArea>
    </format>
    <format dxfId="323">
      <pivotArea collapsedLevelsAreSubtotals="1" fieldPosition="0">
        <references count="2">
          <reference field="4294967294" count="1" selected="0">
            <x v="0"/>
          </reference>
          <reference field="18" count="1">
            <x v="11"/>
          </reference>
        </references>
      </pivotArea>
    </format>
    <format dxfId="322">
      <pivotArea outline="0" collapsedLevelsAreSubtotals="1" fieldPosition="0"/>
    </format>
    <format dxfId="321">
      <pivotArea dataOnly="0" labelOnly="1" fieldPosition="0">
        <references count="1">
          <reference field="18" count="0"/>
        </references>
      </pivotArea>
    </format>
    <format dxfId="320">
      <pivotArea dataOnly="0" labelOnly="1" grandRow="1" outline="0" fieldPosition="0"/>
    </format>
    <format>
      <pivotArea outline="0" collapsedLevelsAreSubtotals="1" fieldPosition="0"/>
    </format>
    <format>
      <pivotArea dataOnly="0" labelOnly="1" fieldPosition="0">
        <references count="1">
          <reference field="18" count="0"/>
        </references>
      </pivotArea>
    </format>
    <format>
      <pivotArea dataOnly="0" labelOnly="1" grandRow="1" outline="0" fieldPosition="0"/>
    </format>
    <format dxfId="319">
      <pivotArea outline="0" collapsedLevelsAreSubtotals="1" fieldPosition="0"/>
    </format>
    <format dxfId="318">
      <pivotArea dataOnly="0" labelOnly="1" fieldPosition="0">
        <references count="1">
          <reference field="18" count="0"/>
        </references>
      </pivotArea>
    </format>
    <format dxfId="317">
      <pivotArea dataOnly="0" labelOnly="1" grandRow="1" outline="0" fieldPosition="0"/>
    </format>
  </format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10" format="4" series="1">
      <pivotArea type="data" outline="0" fieldPosition="0">
        <references count="1">
          <reference field="4294967294" count="1" selected="0">
            <x v="0"/>
          </reference>
        </references>
      </pivotArea>
    </chartFormat>
    <chartFormat chart="10"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000000-0007-0000-0A00-00000E000000}" name="Tabela dinâmica8" cacheId="3"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I3:K10" firstHeaderRow="1" firstDataRow="1" firstDataCol="2"/>
  <pivotFields count="22">
    <pivotField compact="0" numFmtId="14" outline="0" showAll="0" defaultSubtotal="0">
      <items count="10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7"/>
        <item x="85"/>
        <item x="88"/>
        <item x="86"/>
        <item x="84"/>
        <item x="83"/>
        <item x="82"/>
        <item x="90"/>
        <item x="91"/>
        <item x="89"/>
        <item x="92"/>
        <item x="93"/>
        <item x="94"/>
        <item x="95"/>
        <item x="96"/>
        <item x="97"/>
        <item x="98"/>
        <item x="99"/>
      </items>
    </pivotField>
    <pivotField compact="0" outline="0" showAll="0" defaultSubtotal="0"/>
    <pivotField compact="0" outline="0" showAll="0" defaultSubtotal="0"/>
    <pivotField compact="0" outline="0" showAll="0" defaultSubtotal="0"/>
    <pivotField compact="0" outline="0" showAll="0" defaultSubtotal="0"/>
    <pivotField axis="axisRow" compact="0" outline="0" multipleItemSelectionAllowed="1" showAll="0" defaultSubtotal="0">
      <items count="4">
        <item h="1" x="2"/>
        <item x="3"/>
        <item h="1" x="0"/>
        <item x="1"/>
      </items>
    </pivotField>
    <pivotField dataField="1" compact="0" numFmtId="1" outline="0" showAll="0" defaultSubtotal="0"/>
    <pivotField compact="0" numFmtId="164" outline="0" showAll="0" defaultSubtotal="0"/>
    <pivotField compact="0" numFmtId="165" outline="0" showAll="0" defaultSubtotal="0"/>
    <pivotField compact="0" numFmtId="10" outline="0" showAll="0" defaultSubtotal="0"/>
    <pivotField compact="0" outline="0" showAll="0" defaultSubtotal="0"/>
    <pivotField compact="0" outline="0" showAll="0" defaultSubtotal="0"/>
    <pivotField compact="0" numFmtId="165" outline="0" showAll="0" defaultSubtotal="0"/>
    <pivotField compact="0" numFmtId="165"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s>
    </pivotField>
    <pivotField axis="axisRow" compact="0" outline="0" showAll="0" defaultSubtotal="0">
      <items count="14">
        <item h="1" sd="0" x="0"/>
        <item h="1" sd="0" x="1"/>
        <item h="1" sd="0" x="2"/>
        <item h="1" sd="0" x="3"/>
        <item h="1" sd="0" x="4"/>
        <item h="1" sd="0" x="5"/>
        <item h="1" sd="0" x="6"/>
        <item h="1" sd="0" x="7"/>
        <item h="1" sd="0" x="8"/>
        <item h="1" sd="0" x="9"/>
        <item x="10"/>
        <item x="11"/>
        <item x="12"/>
        <item h="1" sd="0" x="13"/>
      </items>
    </pivotField>
  </pivotFields>
  <rowFields count="2">
    <field x="21"/>
    <field x="5"/>
  </rowFields>
  <rowItems count="7">
    <i>
      <x v="10"/>
      <x v="1"/>
    </i>
    <i r="1">
      <x v="3"/>
    </i>
    <i>
      <x v="11"/>
      <x v="1"/>
    </i>
    <i r="1">
      <x v="3"/>
    </i>
    <i>
      <x v="12"/>
      <x v="1"/>
    </i>
    <i r="1">
      <x v="3"/>
    </i>
    <i t="grand">
      <x/>
    </i>
  </rowItems>
  <colItems count="1">
    <i/>
  </colItems>
  <dataFields count="1">
    <dataField name="HORAS" fld="6" baseField="21" baseItem="10" numFmtId="1"/>
  </dataFields>
  <formats count="1">
    <format dxfId="194">
      <pivotArea dataOnly="0" grandRow="1" outline="0"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000000-0007-0000-0A00-000012000000}" name="Tabela dinâmica9" cacheId="4"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F196:L225" firstHeaderRow="0" firstDataRow="1" firstDataCol="3" rowPageCount="1" colPageCount="1"/>
  <pivotFields count="9">
    <pivotField dataField="1" compact="0" outline="0" showAll="0" defaultSubtotal="0"/>
    <pivotField axis="axisRow" compact="0" outline="0" showAll="0" defaultSubtotal="0">
      <items count="82">
        <item x="47"/>
        <item x="35"/>
        <item x="64"/>
        <item x="46"/>
        <item x="30"/>
        <item x="3"/>
        <item x="26"/>
        <item x="42"/>
        <item x="33"/>
        <item x="27"/>
        <item x="75"/>
        <item x="23"/>
        <item x="58"/>
        <item x="24"/>
        <item x="72"/>
        <item x="17"/>
        <item x="18"/>
        <item x="16"/>
        <item x="54"/>
        <item x="63"/>
        <item x="44"/>
        <item x="56"/>
        <item x="65"/>
        <item x="81"/>
        <item x="20"/>
        <item x="55"/>
        <item x="12"/>
        <item x="60"/>
        <item x="25"/>
        <item x="76"/>
        <item x="77"/>
        <item x="66"/>
        <item x="40"/>
        <item x="62"/>
        <item x="34"/>
        <item x="29"/>
        <item x="57"/>
        <item x="45"/>
        <item x="50"/>
        <item x="36"/>
        <item x="59"/>
        <item x="9"/>
        <item x="8"/>
        <item x="4"/>
        <item x="32"/>
        <item x="74"/>
        <item x="48"/>
        <item x="49"/>
        <item x="73"/>
        <item x="6"/>
        <item x="5"/>
        <item x="0"/>
        <item x="7"/>
        <item x="79"/>
        <item x="80"/>
        <item x="70"/>
        <item x="69"/>
        <item x="68"/>
        <item x="1"/>
        <item x="78"/>
        <item x="71"/>
        <item x="52"/>
        <item x="11"/>
        <item x="10"/>
        <item x="19"/>
        <item x="53"/>
        <item x="28"/>
        <item x="2"/>
        <item x="22"/>
        <item x="21"/>
        <item x="39"/>
        <item x="43"/>
        <item x="67"/>
        <item x="38"/>
        <item x="41"/>
        <item x="14"/>
        <item x="15"/>
        <item x="13"/>
        <item x="61"/>
        <item x="31"/>
        <item x="51"/>
        <item x="37"/>
      </items>
    </pivotField>
    <pivotField axis="axisRow" compact="0" outline="0" showAll="0" defaultSubtotal="0">
      <items count="25">
        <item x="11"/>
        <item x="4"/>
        <item x="6"/>
        <item x="15"/>
        <item x="0"/>
        <item x="1"/>
        <item x="23"/>
        <item x="21"/>
        <item x="3"/>
        <item x="24"/>
        <item x="19"/>
        <item x="2"/>
        <item x="13"/>
        <item x="9"/>
        <item x="8"/>
        <item x="14"/>
        <item x="10"/>
        <item x="16"/>
        <item x="18"/>
        <item x="17"/>
        <item x="22"/>
        <item x="7"/>
        <item x="20"/>
        <item x="12"/>
        <item x="5"/>
      </items>
    </pivotField>
    <pivotField axis="axisRow" compact="0" outline="0" showAll="0" defaultSubtotal="0">
      <items count="3">
        <item x="0"/>
        <item x="1"/>
        <item x="2"/>
      </items>
    </pivotField>
    <pivotField dataField="1" compact="0" outline="0" showAll="0" defaultSubtotal="0"/>
    <pivotField dataField="1" compact="0" outline="0" showAll="0" defaultSubtotal="0"/>
    <pivotField dataField="1" compact="0" outline="0" showAll="0" defaultSubtotal="0"/>
    <pivotField compact="0" outline="0" showAll="0" defaultSubtotal="0"/>
    <pivotField axis="axisPage" compact="0" outline="0" multipleItemSelectionAllowed="1" showAll="0" defaultSubtotal="0">
      <items count="4">
        <item h="1" x="1"/>
        <item x="0"/>
        <item x="3"/>
        <item x="2"/>
      </items>
    </pivotField>
  </pivotFields>
  <rowFields count="3">
    <field x="1"/>
    <field x="3"/>
    <field x="2"/>
  </rowFields>
  <rowItems count="29">
    <i>
      <x v="3"/>
      <x v="1"/>
      <x v="23"/>
    </i>
    <i>
      <x v="5"/>
      <x/>
      <x v="11"/>
    </i>
    <i>
      <x v="14"/>
      <x v="2"/>
      <x v="4"/>
    </i>
    <i>
      <x v="15"/>
      <x/>
      <x v="4"/>
    </i>
    <i>
      <x v="16"/>
      <x/>
      <x v="8"/>
    </i>
    <i>
      <x v="17"/>
      <x/>
      <x v="11"/>
    </i>
    <i>
      <x v="24"/>
      <x/>
      <x v="2"/>
    </i>
    <i>
      <x v="25"/>
      <x v="2"/>
      <x v="15"/>
    </i>
    <i>
      <x v="26"/>
      <x/>
      <x v="24"/>
    </i>
    <i>
      <x v="31"/>
      <x v="2"/>
      <x v="17"/>
    </i>
    <i>
      <x v="34"/>
      <x v="1"/>
      <x v="4"/>
    </i>
    <i>
      <x v="35"/>
      <x v="1"/>
      <x v="4"/>
    </i>
    <i>
      <x v="37"/>
      <x v="1"/>
      <x/>
    </i>
    <i>
      <x v="41"/>
      <x/>
      <x v="8"/>
    </i>
    <i>
      <x v="42"/>
      <x/>
      <x v="11"/>
    </i>
    <i>
      <x v="43"/>
      <x/>
      <x v="8"/>
    </i>
    <i>
      <x v="47"/>
      <x v="1"/>
      <x v="4"/>
    </i>
    <i>
      <x v="48"/>
      <x v="2"/>
      <x v="7"/>
    </i>
    <i>
      <x v="49"/>
      <x/>
      <x v="8"/>
    </i>
    <i>
      <x v="50"/>
      <x/>
      <x v="11"/>
    </i>
    <i>
      <x v="51"/>
      <x/>
      <x v="4"/>
    </i>
    <i>
      <x v="52"/>
      <x/>
      <x v="1"/>
    </i>
    <i>
      <x v="66"/>
      <x v="1"/>
      <x v="11"/>
    </i>
    <i>
      <x v="67"/>
      <x/>
      <x v="5"/>
    </i>
    <i>
      <x v="72"/>
      <x v="2"/>
      <x v="8"/>
    </i>
    <i>
      <x v="75"/>
      <x/>
      <x v="4"/>
    </i>
    <i>
      <x v="76"/>
      <x/>
      <x v="8"/>
    </i>
    <i>
      <x v="77"/>
      <x/>
      <x v="11"/>
    </i>
    <i t="grand">
      <x/>
    </i>
  </rowItems>
  <colFields count="1">
    <field x="-2"/>
  </colFields>
  <colItems count="4">
    <i>
      <x/>
    </i>
    <i i="1">
      <x v="1"/>
    </i>
    <i i="2">
      <x v="2"/>
    </i>
    <i i="3">
      <x v="3"/>
    </i>
  </colItems>
  <pageFields count="1">
    <pageField fld="8" hier="-1"/>
  </pageFields>
  <dataFields count="4">
    <dataField name="Soma de Qtde" fld="0" baseField="0" baseItem="0"/>
    <dataField name="_Vlr Projeto" fld="4" baseField="2" baseItem="7" numFmtId="44"/>
    <dataField name="_Mensalidade" fld="5" baseField="2" baseItem="7" numFmtId="44"/>
    <dataField name="_Horas" fld="6" baseField="2" baseItem="7" numFmtId="1"/>
  </dataFields>
  <formats count="3">
    <format dxfId="197">
      <pivotArea outline="0" collapsedLevelsAreSubtotals="1" fieldPosition="0"/>
    </format>
    <format dxfId="196">
      <pivotArea outline="0" fieldPosition="0">
        <references count="1">
          <reference field="4294967294" count="3" selected="0">
            <x v="1"/>
            <x v="2"/>
            <x v="3"/>
          </reference>
        </references>
      </pivotArea>
    </format>
    <format dxfId="195">
      <pivotArea outline="0" fieldPosition="0">
        <references count="1">
          <reference field="4294967294" count="1" selected="0">
            <x v="3"/>
          </reference>
        </references>
      </pivotArea>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000000-0007-0000-0A00-000011000000}" name="Tabela dinâmica5" cacheId="3" applyNumberFormats="0" applyBorderFormats="0" applyFontFormats="0" applyPatternFormats="0" applyAlignmentFormats="0" applyWidthHeightFormats="1" dataCaption="Valores" updatedVersion="8" minRefreshableVersion="3" useAutoFormatting="1" colGrandTotals="0" itemPrintTitles="1" createdVersion="8" indent="0" compact="0" compactData="0" multipleFieldFilters="0">
  <location ref="B5:C9" firstHeaderRow="1" firstDataRow="1" firstDataCol="1" rowPageCount="1" colPageCount="1"/>
  <pivotFields count="22">
    <pivotField compact="0" numFmtId="14" outline="0" showAll="0" defaultSubtotal="0">
      <items count="10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7"/>
        <item x="85"/>
        <item x="88"/>
        <item x="86"/>
        <item x="84"/>
        <item x="83"/>
        <item x="82"/>
        <item x="90"/>
        <item x="91"/>
        <item x="89"/>
        <item x="92"/>
        <item x="93"/>
        <item x="94"/>
        <item x="95"/>
        <item x="96"/>
        <item x="97"/>
        <item x="98"/>
        <item x="99"/>
      </items>
    </pivotField>
    <pivotField compact="0" outline="0" showAll="0" defaultSubtotal="0"/>
    <pivotField compact="0" outline="0" showAll="0" defaultSubtotal="0"/>
    <pivotField compact="0" outline="0" showAll="0" defaultSubtotal="0"/>
    <pivotField compact="0" outline="0" showAll="0" defaultSubtotal="0"/>
    <pivotField axis="axisPage" compact="0" outline="0" multipleItemSelectionAllowed="1" showAll="0" defaultSubtotal="0">
      <items count="4">
        <item h="1" x="2"/>
        <item h="1" x="3"/>
        <item x="0"/>
        <item h="1" x="1"/>
      </items>
    </pivotField>
    <pivotField compact="0" numFmtId="1" outline="0" showAll="0" defaultSubtotal="0"/>
    <pivotField compact="0" numFmtId="164" outline="0" showAll="0" defaultSubtotal="0"/>
    <pivotField dataField="1" compact="0" numFmtId="165" outline="0" showAll="0" defaultSubtotal="0"/>
    <pivotField compact="0" numFmtId="10" outline="0" showAll="0" defaultSubtotal="0"/>
    <pivotField compact="0" outline="0" showAll="0" defaultSubtotal="0"/>
    <pivotField compact="0" outline="0" showAll="0" defaultSubtotal="0"/>
    <pivotField compact="0" numFmtId="165" outline="0" showAll="0" defaultSubtotal="0"/>
    <pivotField compact="0" numFmtId="165"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s>
    </pivotField>
    <pivotField axis="axisRow" compact="0" outline="0" multipleItemSelectionAllowed="1" showAll="0" defaultSubtotal="0">
      <items count="14">
        <item h="1" sd="0" x="0"/>
        <item h="1" sd="0" x="1"/>
        <item h="1" sd="0" x="2"/>
        <item h="1" sd="0" x="3"/>
        <item h="1" sd="0" x="4"/>
        <item h="1" sd="0" x="5"/>
        <item h="1" sd="0" x="6"/>
        <item h="1" sd="0" x="7"/>
        <item h="1" sd="0" x="8"/>
        <item h="1" sd="0" x="9"/>
        <item sd="0" x="10"/>
        <item sd="0" x="11"/>
        <item sd="0" x="12"/>
        <item h="1" sd="0" x="13"/>
      </items>
    </pivotField>
  </pivotFields>
  <rowFields count="1">
    <field x="21"/>
  </rowFields>
  <rowItems count="4">
    <i>
      <x v="10"/>
    </i>
    <i>
      <x v="11"/>
    </i>
    <i>
      <x v="12"/>
    </i>
    <i t="grand">
      <x/>
    </i>
  </rowItems>
  <colItems count="1">
    <i/>
  </colItems>
  <pageFields count="1">
    <pageField fld="5" hier="-1"/>
  </pageFields>
  <dataFields count="1">
    <dataField name="RECORRENTE" fld="8" baseField="21" baseItem="10" numFmtId="165"/>
  </dataFields>
  <formats count="4">
    <format dxfId="201">
      <pivotArea field="21" type="button" dataOnly="0" labelOnly="1" outline="0" axis="axisRow" fieldPosition="0"/>
    </format>
    <format dxfId="200">
      <pivotArea dataOnly="0" labelOnly="1" outline="0" axis="axisValues" fieldPosition="0"/>
    </format>
    <format dxfId="199">
      <pivotArea grandRow="1" outline="0" collapsedLevelsAreSubtotals="1" fieldPosition="0"/>
    </format>
    <format dxfId="198">
      <pivotArea dataOnly="0" labelOnly="1" grandRow="1" outline="0"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0000000-0007-0000-0A00-000010000000}" name="Tabela dinâmica6" cacheId="3"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F5:G9" firstHeaderRow="1" firstDataRow="1" firstDataCol="1"/>
  <pivotFields count="22">
    <pivotField numFmtId="14" showAll="0">
      <items count="1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7"/>
        <item x="85"/>
        <item x="88"/>
        <item x="86"/>
        <item x="84"/>
        <item x="83"/>
        <item x="82"/>
        <item x="90"/>
        <item x="91"/>
        <item x="89"/>
        <item x="92"/>
        <item x="93"/>
        <item x="94"/>
        <item x="95"/>
        <item x="96"/>
        <item x="97"/>
        <item x="98"/>
        <item x="99"/>
        <item t="default"/>
      </items>
    </pivotField>
    <pivotField showAll="0"/>
    <pivotField showAll="0"/>
    <pivotField showAll="0"/>
    <pivotField showAll="0"/>
    <pivotField showAll="0"/>
    <pivotField numFmtId="1" showAll="0"/>
    <pivotField numFmtId="164" showAll="0"/>
    <pivotField dataField="1" numFmtId="165" showAll="0"/>
    <pivotField numFmtId="10" showAll="0"/>
    <pivotField showAll="0"/>
    <pivotField showAll="0"/>
    <pivotField numFmtId="165" showAll="0"/>
    <pivotField numFmtId="165" showAll="0"/>
    <pivotField showAll="0"/>
    <pivotField showAll="0"/>
    <pivotField showAll="0"/>
    <pivotField showAll="0"/>
    <pivotField showAll="0"/>
    <pivotField showAll="0"/>
    <pivotField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s>
    </pivotField>
    <pivotField axis="axisRow" showAll="0" defaultSubtotal="0">
      <items count="14">
        <item h="1" sd="0" x="0"/>
        <item h="1" sd="0" x="1"/>
        <item h="1" sd="0" x="2"/>
        <item h="1" sd="0" x="3"/>
        <item h="1" sd="0" x="4"/>
        <item h="1" sd="0" x="5"/>
        <item h="1" sd="0" x="6"/>
        <item h="1" sd="0" x="7"/>
        <item h="1" sd="0" x="8"/>
        <item h="1" sd="0" x="9"/>
        <item sd="0" x="10"/>
        <item sd="0" x="11"/>
        <item sd="0" x="12"/>
        <item h="1" sd="0" x="13"/>
      </items>
    </pivotField>
  </pivotFields>
  <rowFields count="1">
    <field x="21"/>
  </rowFields>
  <rowItems count="4">
    <i>
      <x v="10"/>
    </i>
    <i>
      <x v="11"/>
    </i>
    <i>
      <x v="12"/>
    </i>
    <i t="grand">
      <x/>
    </i>
  </rowItems>
  <colItems count="1">
    <i/>
  </colItems>
  <dataFields count="1">
    <dataField name="Soma de VlrTotal" fld="8" baseField="0" baseItem="0" numFmtId="165"/>
  </dataFields>
  <formats count="4">
    <format dxfId="205">
      <pivotArea grandRow="1" outline="0" collapsedLevelsAreSubtotals="1" fieldPosition="0"/>
    </format>
    <format dxfId="204">
      <pivotArea dataOnly="0" labelOnly="1" grandRow="1" outline="0" fieldPosition="0"/>
    </format>
    <format dxfId="203">
      <pivotArea field="21" type="button" dataOnly="0" labelOnly="1" outline="0" axis="axisRow" fieldPosition="0"/>
    </format>
    <format dxfId="202">
      <pivotArea dataOnly="0" labelOnly="1" outline="0" axis="axisValues"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000000-0007-0000-0A00-00000F000000}" name="Tabela dinâmica7" cacheId="3"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B194:D214" firstHeaderRow="1" firstDataRow="1" firstDataCol="2"/>
  <pivotFields count="22">
    <pivotField compact="0" numFmtId="14" outline="0" showAll="0" defaultSubtotal="0">
      <items count="10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7"/>
        <item x="85"/>
        <item x="88"/>
        <item x="86"/>
        <item x="84"/>
        <item x="83"/>
        <item x="82"/>
        <item x="90"/>
        <item x="91"/>
        <item x="89"/>
        <item x="92"/>
        <item x="93"/>
        <item x="94"/>
        <item x="95"/>
        <item x="96"/>
        <item x="97"/>
        <item x="98"/>
        <item x="99"/>
      </items>
    </pivotField>
    <pivotField compact="0" outline="0" showAll="0" defaultSubtotal="0"/>
    <pivotField compact="0" outline="0" showAll="0" defaultSubtotal="0"/>
    <pivotField compact="0" outline="0" showAll="0" defaultSubtotal="0"/>
    <pivotField axis="axisRow" compact="0" outline="0" showAll="0" defaultSubtotal="0">
      <items count="35">
        <item x="31"/>
        <item x="30"/>
        <item x="26"/>
        <item x="2"/>
        <item x="19"/>
        <item x="23"/>
        <item x="15"/>
        <item x="33"/>
        <item x="3"/>
        <item x="10"/>
        <item x="22"/>
        <item x="20"/>
        <item x="18"/>
        <item x="12"/>
        <item x="1"/>
        <item x="16"/>
        <item x="0"/>
        <item x="21"/>
        <item x="32"/>
        <item x="24"/>
        <item x="34"/>
        <item x="7"/>
        <item x="13"/>
        <item x="29"/>
        <item x="9"/>
        <item x="14"/>
        <item x="5"/>
        <item x="6"/>
        <item x="28"/>
        <item x="27"/>
        <item x="25"/>
        <item x="17"/>
        <item x="11"/>
        <item x="8"/>
        <item x="4"/>
      </items>
    </pivotField>
    <pivotField compact="0" outline="0" showAll="0" defaultSubtotal="0"/>
    <pivotField compact="0" numFmtId="1" outline="0" showAll="0" defaultSubtotal="0"/>
    <pivotField compact="0" numFmtId="164" outline="0" showAll="0" defaultSubtotal="0"/>
    <pivotField dataField="1" compact="0" numFmtId="165" outline="0" showAll="0" defaultSubtotal="0"/>
    <pivotField compact="0" numFmtId="10" outline="0" showAll="0" defaultSubtotal="0"/>
    <pivotField compact="0" outline="0" showAll="0" defaultSubtotal="0"/>
    <pivotField compact="0" outline="0" showAll="0" defaultSubtotal="0"/>
    <pivotField compact="0" numFmtId="165" outline="0" showAll="0" defaultSubtotal="0"/>
    <pivotField compact="0" numFmtId="165"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s>
    </pivotField>
    <pivotField axis="axisRow" compact="0" outline="0" showAll="0" defaultSubtotal="0">
      <items count="14">
        <item h="1" sd="0" x="0"/>
        <item h="1" sd="0" x="1"/>
        <item h="1" sd="0" x="2"/>
        <item h="1" sd="0" x="3"/>
        <item h="1" sd="0" x="4"/>
        <item h="1" sd="0" x="5"/>
        <item h="1" sd="0" x="6"/>
        <item h="1" sd="0" x="7"/>
        <item h="1" sd="0" x="8"/>
        <item h="1" sd="0" x="9"/>
        <item x="10"/>
        <item x="11"/>
        <item x="12"/>
        <item h="1" sd="0" x="13"/>
      </items>
    </pivotField>
  </pivotFields>
  <rowFields count="2">
    <field x="21"/>
    <field x="4"/>
  </rowFields>
  <rowItems count="20">
    <i>
      <x v="10"/>
      <x v="8"/>
    </i>
    <i r="1">
      <x v="9"/>
    </i>
    <i r="1">
      <x v="20"/>
    </i>
    <i r="1">
      <x v="24"/>
    </i>
    <i r="1">
      <x v="33"/>
    </i>
    <i r="1">
      <x v="34"/>
    </i>
    <i>
      <x v="11"/>
      <x v="9"/>
    </i>
    <i r="1">
      <x v="22"/>
    </i>
    <i r="1">
      <x v="24"/>
    </i>
    <i r="1">
      <x v="33"/>
    </i>
    <i r="1">
      <x v="34"/>
    </i>
    <i>
      <x v="12"/>
      <x v="5"/>
    </i>
    <i r="1">
      <x v="9"/>
    </i>
    <i r="1">
      <x v="10"/>
    </i>
    <i r="1">
      <x v="14"/>
    </i>
    <i r="1">
      <x v="17"/>
    </i>
    <i r="1">
      <x v="24"/>
    </i>
    <i r="1">
      <x v="33"/>
    </i>
    <i r="1">
      <x v="34"/>
    </i>
    <i t="grand">
      <x/>
    </i>
  </rowItems>
  <colItems count="1">
    <i/>
  </colItems>
  <dataFields count="1">
    <dataField name="VENDA" fld="8" baseField="4" baseItem="8" numFmtId="165"/>
  </dataFields>
  <formats count="6">
    <format dxfId="211">
      <pivotArea dataOnly="0" labelOnly="1" outline="0" axis="axisValues" fieldPosition="0"/>
    </format>
    <format dxfId="210">
      <pivotArea field="21" type="button" dataOnly="0" labelOnly="1" outline="0" axis="axisRow" fieldPosition="0"/>
    </format>
    <format dxfId="209">
      <pivotArea field="4" type="button" dataOnly="0" labelOnly="1" outline="0" axis="axisRow" fieldPosition="1"/>
    </format>
    <format dxfId="208">
      <pivotArea dataOnly="0" labelOnly="1" outline="0" axis="axisValues" fieldPosition="0"/>
    </format>
    <format dxfId="207">
      <pivotArea grandRow="1" outline="0" collapsedLevelsAreSubtotals="1" fieldPosition="0"/>
    </format>
    <format dxfId="206">
      <pivotArea dataOnly="0" labelOnly="1" grandRow="1" outline="0"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0000000-0007-0000-0B00-000017000000}" name="Tabela dinâmica3" cacheId="3"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G4:L9" firstHeaderRow="1" firstDataRow="2" firstDataCol="1"/>
  <pivotFields count="22">
    <pivotField numFmtId="14" showAll="0">
      <items count="1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7"/>
        <item x="85"/>
        <item x="88"/>
        <item x="86"/>
        <item x="84"/>
        <item x="83"/>
        <item x="82"/>
        <item x="90"/>
        <item x="91"/>
        <item x="89"/>
        <item x="92"/>
        <item x="93"/>
        <item x="94"/>
        <item x="95"/>
        <item x="96"/>
        <item x="97"/>
        <item x="98"/>
        <item x="99"/>
        <item t="default"/>
      </items>
    </pivotField>
    <pivotField showAll="0"/>
    <pivotField axis="axisRow" showAll="0">
      <items count="4">
        <item x="0"/>
        <item x="1"/>
        <item x="2"/>
        <item t="default"/>
      </items>
    </pivotField>
    <pivotField showAll="0"/>
    <pivotField showAll="0"/>
    <pivotField axis="axisCol" showAll="0">
      <items count="5">
        <item x="2"/>
        <item x="3"/>
        <item x="0"/>
        <item x="1"/>
        <item t="default"/>
      </items>
    </pivotField>
    <pivotField numFmtId="1" showAll="0"/>
    <pivotField numFmtId="164" showAll="0"/>
    <pivotField dataField="1" numFmtId="165" showAll="0"/>
    <pivotField numFmtId="10" showAll="0"/>
    <pivotField showAll="0"/>
    <pivotField showAll="0"/>
    <pivotField numFmtId="165" showAll="0"/>
    <pivotField numFmtId="165" showAll="0"/>
    <pivotField showAll="0"/>
    <pivotField showAll="0"/>
    <pivotField showAll="0"/>
    <pivotField showAll="0"/>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2"/>
  </rowFields>
  <rowItems count="4">
    <i>
      <x/>
    </i>
    <i>
      <x v="1"/>
    </i>
    <i>
      <x v="2"/>
    </i>
    <i t="grand">
      <x/>
    </i>
  </rowItems>
  <colFields count="1">
    <field x="5"/>
  </colFields>
  <colItems count="5">
    <i>
      <x/>
    </i>
    <i>
      <x v="1"/>
    </i>
    <i>
      <x v="2"/>
    </i>
    <i>
      <x v="3"/>
    </i>
    <i t="grand">
      <x/>
    </i>
  </colItems>
  <dataFields count="1">
    <dataField name="Soma de VlrTotal" fld="8" baseField="0" baseItem="0" numFmtId="165"/>
  </dataFields>
  <formats count="25">
    <format dxfId="122">
      <pivotArea type="all" dataOnly="0" outline="0" fieldPosition="0"/>
    </format>
    <format dxfId="121">
      <pivotArea outline="0" collapsedLevelsAreSubtotals="1" fieldPosition="0"/>
    </format>
    <format dxfId="120">
      <pivotArea type="origin" dataOnly="0" labelOnly="1" outline="0" fieldPosition="0"/>
    </format>
    <format dxfId="119">
      <pivotArea field="5" type="button" dataOnly="0" labelOnly="1" outline="0" axis="axisCol" fieldPosition="0"/>
    </format>
    <format dxfId="118">
      <pivotArea type="topRight" dataOnly="0" labelOnly="1" outline="0" fieldPosition="0"/>
    </format>
    <format dxfId="117">
      <pivotArea field="2" type="button" dataOnly="0" labelOnly="1" outline="0" axis="axisRow" fieldPosition="0"/>
    </format>
    <format dxfId="116">
      <pivotArea dataOnly="0" labelOnly="1" fieldPosition="0">
        <references count="1">
          <reference field="2" count="0"/>
        </references>
      </pivotArea>
    </format>
    <format dxfId="115">
      <pivotArea dataOnly="0" labelOnly="1" grandRow="1" outline="0" fieldPosition="0"/>
    </format>
    <format dxfId="114">
      <pivotArea dataOnly="0" labelOnly="1" fieldPosition="0">
        <references count="1">
          <reference field="5" count="0"/>
        </references>
      </pivotArea>
    </format>
    <format dxfId="113">
      <pivotArea dataOnly="0" labelOnly="1" grandCol="1" outline="0" fieldPosition="0"/>
    </format>
    <format dxfId="112">
      <pivotArea type="origin" dataOnly="0" labelOnly="1" outline="0" fieldPosition="0"/>
    </format>
    <format dxfId="111">
      <pivotArea field="5" type="button" dataOnly="0" labelOnly="1" outline="0" axis="axisCol" fieldPosition="0"/>
    </format>
    <format dxfId="110">
      <pivotArea type="topRight" dataOnly="0" labelOnly="1" outline="0" fieldPosition="0"/>
    </format>
    <format dxfId="109">
      <pivotArea field="2" type="button" dataOnly="0" labelOnly="1" outline="0" axis="axisRow" fieldPosition="0"/>
    </format>
    <format dxfId="108">
      <pivotArea dataOnly="0" labelOnly="1" fieldPosition="0">
        <references count="1">
          <reference field="5" count="0"/>
        </references>
      </pivotArea>
    </format>
    <format dxfId="107">
      <pivotArea dataOnly="0" labelOnly="1" grandCol="1" outline="0" fieldPosition="0"/>
    </format>
    <format dxfId="106">
      <pivotArea type="origin" dataOnly="0" labelOnly="1" outline="0" fieldPosition="0"/>
    </format>
    <format dxfId="105">
      <pivotArea field="5" type="button" dataOnly="0" labelOnly="1" outline="0" axis="axisCol" fieldPosition="0"/>
    </format>
    <format dxfId="104">
      <pivotArea type="topRight" dataOnly="0" labelOnly="1" outline="0" fieldPosition="0"/>
    </format>
    <format dxfId="103">
      <pivotArea field="2" type="button" dataOnly="0" labelOnly="1" outline="0" axis="axisRow" fieldPosition="0"/>
    </format>
    <format dxfId="102">
      <pivotArea dataOnly="0" labelOnly="1" fieldPosition="0">
        <references count="1">
          <reference field="5" count="0"/>
        </references>
      </pivotArea>
    </format>
    <format dxfId="101">
      <pivotArea dataOnly="0" labelOnly="1" grandCol="1" outline="0" fieldPosition="0"/>
    </format>
    <format dxfId="100">
      <pivotArea grandRow="1" outline="0" collapsedLevelsAreSubtotals="1" fieldPosition="0"/>
    </format>
    <format dxfId="99">
      <pivotArea dataOnly="0" labelOnly="1" grandRow="1" outline="0" fieldPosition="0"/>
    </format>
    <format dxfId="98">
      <pivotArea dataOnly="0" grandRow="1" axis="axisRow"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000000-0007-0000-0B00-000016000000}" name="Tabela dinâmica4" cacheId="2"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1">
  <location ref="G516:I522" firstHeaderRow="0" firstDataRow="1" firstDataCol="1" rowPageCount="2" colPageCount="1"/>
  <pivotFields count="19">
    <pivotField axis="axisPage" multipleItemSelectionAllowed="1" showAll="0">
      <items count="4">
        <item h="1" x="0"/>
        <item x="1"/>
        <item x="2"/>
        <item t="default"/>
      </items>
    </pivotField>
    <pivotField axis="axisRow" numFmtId="17" showAll="0">
      <items count="18">
        <item x="0"/>
        <item x="1"/>
        <item x="2"/>
        <item x="3"/>
        <item x="4"/>
        <item x="5"/>
        <item x="6"/>
        <item x="7"/>
        <item x="8"/>
        <item x="9"/>
        <item x="10"/>
        <item x="11"/>
        <item x="12"/>
        <item x="13"/>
        <item x="14"/>
        <item x="15"/>
        <item x="16"/>
        <item t="default"/>
      </items>
    </pivotField>
    <pivotField axis="axisPage" multipleItemSelectionAllowed="1" showAll="0">
      <items count="5">
        <item h="1" x="1"/>
        <item h="1" x="2"/>
        <item x="0"/>
        <item h="1" x="3"/>
        <item t="default"/>
      </items>
    </pivotField>
    <pivotField showAll="0"/>
    <pivotField showAll="0"/>
    <pivotField showAll="0"/>
    <pivotField numFmtId="44" showAll="0"/>
    <pivotField numFmtId="44" showAll="0"/>
    <pivotField numFmtId="44" showAll="0"/>
    <pivotField numFmtId="1" showAll="0"/>
    <pivotField showAll="0"/>
    <pivotField showAll="0"/>
    <pivotField dataField="1" numFmtId="44" showAll="0"/>
    <pivotField numFmtId="44" showAll="0"/>
    <pivotField numFmtId="44" showAll="0"/>
    <pivotField dataField="1" numFmtId="9" showAll="0"/>
    <pivotField numFmtId="10" showAll="0"/>
    <pivotField axis="axisRow"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x="367"/>
        <item t="default"/>
      </items>
    </pivotField>
    <pivotField axis="axisRow" showAll="0" sortType="descending">
      <items count="15">
        <item sd="0" x="13"/>
        <item sd="0" x="0"/>
        <item sd="0" x="12"/>
        <item sd="0" x="11"/>
        <item sd="0" x="10"/>
        <item sd="0" x="9"/>
        <item sd="0" x="8"/>
        <item sd="0" x="7"/>
        <item sd="0" x="6"/>
        <item sd="0" x="5"/>
        <item sd="0" x="4"/>
        <item sd="0" x="3"/>
        <item sd="0" x="2"/>
        <item sd="0" x="1"/>
        <item t="default"/>
      </items>
    </pivotField>
  </pivotFields>
  <rowFields count="3">
    <field x="18"/>
    <field x="17"/>
    <field x="1"/>
  </rowFields>
  <rowItems count="6">
    <i>
      <x v="9"/>
    </i>
    <i>
      <x v="10"/>
    </i>
    <i>
      <x v="11"/>
    </i>
    <i>
      <x v="12"/>
    </i>
    <i>
      <x v="13"/>
    </i>
    <i t="grand">
      <x/>
    </i>
  </rowItems>
  <colFields count="1">
    <field x="-2"/>
  </colFields>
  <colItems count="2">
    <i>
      <x/>
    </i>
    <i i="1">
      <x v="1"/>
    </i>
  </colItems>
  <pageFields count="2">
    <pageField fld="2" hier="-1"/>
    <pageField fld="0" hier="-1"/>
  </pageFields>
  <dataFields count="2">
    <dataField name="Cobertura" fld="15" baseField="14" baseItem="1" numFmtId="9"/>
    <dataField name="Objetivo" fld="12" baseField="14" baseItem="1" numFmtId="1"/>
  </dataFields>
  <formats count="25">
    <format dxfId="147">
      <pivotArea type="all" dataOnly="0" outline="0" fieldPosition="0"/>
    </format>
    <format dxfId="146">
      <pivotArea outline="0" collapsedLevelsAreSubtotals="1" fieldPosition="0"/>
    </format>
    <format dxfId="145">
      <pivotArea field="18" type="button" dataOnly="0" labelOnly="1" outline="0" axis="axisRow" fieldPosition="0"/>
    </format>
    <format dxfId="144">
      <pivotArea dataOnly="0" labelOnly="1" fieldPosition="0">
        <references count="1">
          <reference field="18" count="11">
            <x v="3"/>
            <x v="4"/>
            <x v="5"/>
            <x v="6"/>
            <x v="7"/>
            <x v="8"/>
            <x v="9"/>
            <x v="10"/>
            <x v="11"/>
            <x v="12"/>
            <x v="13"/>
          </reference>
        </references>
      </pivotArea>
    </format>
    <format dxfId="143">
      <pivotArea dataOnly="0" labelOnly="1" grandRow="1" outline="0" fieldPosition="0"/>
    </format>
    <format dxfId="142">
      <pivotArea dataOnly="0" labelOnly="1" outline="0" fieldPosition="0">
        <references count="1">
          <reference field="4294967294" count="2">
            <x v="0"/>
            <x v="1"/>
          </reference>
        </references>
      </pivotArea>
    </format>
    <format dxfId="141">
      <pivotArea type="all" dataOnly="0" outline="0" fieldPosition="0"/>
    </format>
    <format dxfId="140">
      <pivotArea outline="0" collapsedLevelsAreSubtotals="1" fieldPosition="0"/>
    </format>
    <format dxfId="139">
      <pivotArea field="18" type="button" dataOnly="0" labelOnly="1" outline="0" axis="axisRow" fieldPosition="0"/>
    </format>
    <format dxfId="138">
      <pivotArea dataOnly="0" labelOnly="1" fieldPosition="0">
        <references count="1">
          <reference field="18" count="11">
            <x v="3"/>
            <x v="4"/>
            <x v="5"/>
            <x v="6"/>
            <x v="7"/>
            <x v="8"/>
            <x v="9"/>
            <x v="10"/>
            <x v="11"/>
            <x v="12"/>
            <x v="13"/>
          </reference>
        </references>
      </pivotArea>
    </format>
    <format dxfId="137">
      <pivotArea dataOnly="0" labelOnly="1" grandRow="1" outline="0" fieldPosition="0"/>
    </format>
    <format dxfId="136">
      <pivotArea dataOnly="0" labelOnly="1" outline="0" fieldPosition="0">
        <references count="1">
          <reference field="4294967294" count="2">
            <x v="0"/>
            <x v="1"/>
          </reference>
        </references>
      </pivotArea>
    </format>
    <format dxfId="135">
      <pivotArea collapsedLevelsAreSubtotals="1" fieldPosition="0">
        <references count="1">
          <reference field="18" count="1">
            <x v="13"/>
          </reference>
        </references>
      </pivotArea>
    </format>
    <format dxfId="134">
      <pivotArea collapsedLevelsAreSubtotals="1" fieldPosition="0">
        <references count="1">
          <reference field="18" count="1">
            <x v="12"/>
          </reference>
        </references>
      </pivotArea>
    </format>
    <format dxfId="133">
      <pivotArea collapsedLevelsAreSubtotals="1" fieldPosition="0">
        <references count="1">
          <reference field="18" count="1">
            <x v="11"/>
          </reference>
        </references>
      </pivotArea>
    </format>
    <format dxfId="132">
      <pivotArea collapsedLevelsAreSubtotals="1" fieldPosition="0">
        <references count="1">
          <reference field="18" count="1">
            <x v="10"/>
          </reference>
        </references>
      </pivotArea>
    </format>
    <format dxfId="131">
      <pivotArea collapsedLevelsAreSubtotals="1" fieldPosition="0">
        <references count="1">
          <reference field="18" count="1">
            <x v="9"/>
          </reference>
        </references>
      </pivotArea>
    </format>
    <format dxfId="130">
      <pivotArea collapsedLevelsAreSubtotals="1" fieldPosition="0">
        <references count="1">
          <reference field="18" count="1">
            <x v="8"/>
          </reference>
        </references>
      </pivotArea>
    </format>
    <format dxfId="129">
      <pivotArea collapsedLevelsAreSubtotals="1" fieldPosition="0">
        <references count="1">
          <reference field="18" count="1">
            <x v="7"/>
          </reference>
        </references>
      </pivotArea>
    </format>
    <format dxfId="128">
      <pivotArea collapsedLevelsAreSubtotals="1" fieldPosition="0">
        <references count="1">
          <reference field="18" count="1">
            <x v="6"/>
          </reference>
        </references>
      </pivotArea>
    </format>
    <format dxfId="127">
      <pivotArea collapsedLevelsAreSubtotals="1" fieldPosition="0">
        <references count="1">
          <reference field="18" count="1">
            <x v="5"/>
          </reference>
        </references>
      </pivotArea>
    </format>
    <format dxfId="126">
      <pivotArea collapsedLevelsAreSubtotals="1" fieldPosition="0">
        <references count="1">
          <reference field="18" count="1">
            <x v="4"/>
          </reference>
        </references>
      </pivotArea>
    </format>
    <format dxfId="125">
      <pivotArea collapsedLevelsAreSubtotals="1" fieldPosition="0">
        <references count="1">
          <reference field="18" count="1">
            <x v="3"/>
          </reference>
        </references>
      </pivotArea>
    </format>
    <format dxfId="124">
      <pivotArea dataOnly="0" labelOnly="1" fieldPosition="0">
        <references count="1">
          <reference field="18" count="11">
            <x v="3"/>
            <x v="4"/>
            <x v="5"/>
            <x v="6"/>
            <x v="7"/>
            <x v="8"/>
            <x v="9"/>
            <x v="10"/>
            <x v="11"/>
            <x v="12"/>
            <x v="13"/>
          </reference>
        </references>
      </pivotArea>
    </format>
    <format dxfId="123">
      <pivotArea outline="0" collapsedLevelsAreSubtotals="1" fieldPosition="0">
        <references count="1">
          <reference field="4294967294" count="1" selected="0">
            <x v="1"/>
          </reference>
        </references>
      </pivotArea>
    </format>
  </format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10" format="4" series="1">
      <pivotArea type="data" outline="0" fieldPosition="0">
        <references count="1">
          <reference field="4294967294" count="1" selected="0">
            <x v="0"/>
          </reference>
        </references>
      </pivotArea>
    </chartFormat>
    <chartFormat chart="10"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0000000-0007-0000-0B00-000015000000}" name="Tabela dinâmica1" cacheId="3"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B4:D9" firstHeaderRow="0" firstDataRow="1" firstDataCol="1"/>
  <pivotFields count="22">
    <pivotField numFmtId="14" showAll="0">
      <items count="1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7"/>
        <item x="85"/>
        <item x="88"/>
        <item x="86"/>
        <item x="84"/>
        <item x="83"/>
        <item x="82"/>
        <item x="90"/>
        <item x="91"/>
        <item x="89"/>
        <item x="92"/>
        <item x="93"/>
        <item x="94"/>
        <item x="95"/>
        <item x="96"/>
        <item x="97"/>
        <item x="98"/>
        <item x="99"/>
        <item t="default"/>
      </items>
    </pivotField>
    <pivotField showAll="0"/>
    <pivotField showAll="0"/>
    <pivotField showAll="0"/>
    <pivotField showAll="0"/>
    <pivotField axis="axisRow" showAll="0">
      <items count="5">
        <item x="2"/>
        <item x="3"/>
        <item x="0"/>
        <item x="1"/>
        <item t="default"/>
      </items>
    </pivotField>
    <pivotField dataField="1" numFmtId="1" showAll="0"/>
    <pivotField numFmtId="164" showAll="0"/>
    <pivotField dataField="1" numFmtId="165" showAll="0"/>
    <pivotField numFmtId="10" showAll="0"/>
    <pivotField showAll="0"/>
    <pivotField showAll="0"/>
    <pivotField numFmtId="165" showAll="0"/>
    <pivotField numFmtId="165" showAll="0"/>
    <pivotField showAll="0"/>
    <pivotField showAll="0"/>
    <pivotField showAll="0"/>
    <pivotField showAll="0"/>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5"/>
  </rowFields>
  <rowItems count="5">
    <i>
      <x/>
    </i>
    <i>
      <x v="1"/>
    </i>
    <i>
      <x v="2"/>
    </i>
    <i>
      <x v="3"/>
    </i>
    <i t="grand">
      <x/>
    </i>
  </rowItems>
  <colFields count="1">
    <field x="-2"/>
  </colFields>
  <colItems count="2">
    <i>
      <x/>
    </i>
    <i i="1">
      <x v="1"/>
    </i>
  </colItems>
  <dataFields count="2">
    <dataField name="_VlrTotal" fld="8" baseField="5" baseItem="0" numFmtId="165"/>
    <dataField name="_Qtde" fld="6" baseField="5" baseItem="0" numFmtId="1"/>
  </dataFields>
  <formats count="26">
    <format dxfId="173">
      <pivotArea field="5" type="button" dataOnly="0" labelOnly="1" outline="0" axis="axisRow" fieldPosition="0"/>
    </format>
    <format dxfId="172">
      <pivotArea dataOnly="0" labelOnly="1" outline="0" fieldPosition="0">
        <references count="1">
          <reference field="4294967294" count="2">
            <x v="0"/>
            <x v="1"/>
          </reference>
        </references>
      </pivotArea>
    </format>
    <format dxfId="171">
      <pivotArea field="5" type="button" dataOnly="0" labelOnly="1" outline="0" axis="axisRow" fieldPosition="0"/>
    </format>
    <format dxfId="170">
      <pivotArea dataOnly="0" labelOnly="1" outline="0" fieldPosition="0">
        <references count="1">
          <reference field="4294967294" count="2">
            <x v="0"/>
            <x v="1"/>
          </reference>
        </references>
      </pivotArea>
    </format>
    <format dxfId="169">
      <pivotArea type="all" dataOnly="0" outline="0" fieldPosition="0"/>
    </format>
    <format dxfId="168">
      <pivotArea dataOnly="0" labelOnly="1" grandRow="1" outline="0" fieldPosition="0"/>
    </format>
    <format dxfId="167">
      <pivotArea grandRow="1" outline="0" collapsedLevelsAreSubtotals="1" fieldPosition="0"/>
    </format>
    <format dxfId="166">
      <pivotArea dataOnly="0" labelOnly="1" grandRow="1" outline="0" fieldPosition="0"/>
    </format>
    <format dxfId="165">
      <pivotArea grandRow="1" outline="0" collapsedLevelsAreSubtotals="1" fieldPosition="0"/>
    </format>
    <format dxfId="164">
      <pivotArea dataOnly="0" labelOnly="1" grandRow="1" outline="0" fieldPosition="0"/>
    </format>
    <format dxfId="163">
      <pivotArea grandRow="1" outline="0" collapsedLevelsAreSubtotals="1" fieldPosition="0"/>
    </format>
    <format dxfId="162">
      <pivotArea dataOnly="0" labelOnly="1" grandRow="1" outline="0" fieldPosition="0"/>
    </format>
    <format dxfId="161">
      <pivotArea field="5" type="button" dataOnly="0" labelOnly="1" outline="0" axis="axisRow" fieldPosition="0"/>
    </format>
    <format dxfId="160">
      <pivotArea dataOnly="0" labelOnly="1" outline="0" fieldPosition="0">
        <references count="1">
          <reference field="4294967294" count="2">
            <x v="0"/>
            <x v="1"/>
          </reference>
        </references>
      </pivotArea>
    </format>
    <format dxfId="159">
      <pivotArea type="all" dataOnly="0" outline="0" fieldPosition="0"/>
    </format>
    <format dxfId="158">
      <pivotArea outline="0" collapsedLevelsAreSubtotals="1" fieldPosition="0"/>
    </format>
    <format dxfId="157">
      <pivotArea field="5" type="button" dataOnly="0" labelOnly="1" outline="0" axis="axisRow" fieldPosition="0"/>
    </format>
    <format dxfId="156">
      <pivotArea dataOnly="0" labelOnly="1" fieldPosition="0">
        <references count="1">
          <reference field="5" count="0"/>
        </references>
      </pivotArea>
    </format>
    <format dxfId="155">
      <pivotArea dataOnly="0" labelOnly="1" grandRow="1" outline="0" fieldPosition="0"/>
    </format>
    <format dxfId="154">
      <pivotArea dataOnly="0" labelOnly="1" outline="0" fieldPosition="0">
        <references count="1">
          <reference field="4294967294" count="2">
            <x v="0"/>
            <x v="1"/>
          </reference>
        </references>
      </pivotArea>
    </format>
    <format dxfId="153">
      <pivotArea type="all" dataOnly="0" outline="0" fieldPosition="0"/>
    </format>
    <format dxfId="152">
      <pivotArea outline="0" collapsedLevelsAreSubtotals="1" fieldPosition="0"/>
    </format>
    <format dxfId="151">
      <pivotArea field="5" type="button" dataOnly="0" labelOnly="1" outline="0" axis="axisRow" fieldPosition="0"/>
    </format>
    <format dxfId="150">
      <pivotArea dataOnly="0" labelOnly="1" fieldPosition="0">
        <references count="1">
          <reference field="5" count="0"/>
        </references>
      </pivotArea>
    </format>
    <format dxfId="149">
      <pivotArea dataOnly="0" labelOnly="1" grandRow="1" outline="0" fieldPosition="0"/>
    </format>
    <format dxfId="148">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000000-0007-0000-0B00-000014000000}" name="Tabela dinâmica5" cacheId="2"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7">
  <location ref="G537:I543" firstHeaderRow="0" firstDataRow="1" firstDataCol="1" rowPageCount="2" colPageCount="1"/>
  <pivotFields count="19">
    <pivotField axis="axisPage" multipleItemSelectionAllowed="1" showAll="0">
      <items count="4">
        <item h="1" x="0"/>
        <item x="1"/>
        <item x="2"/>
        <item t="default"/>
      </items>
    </pivotField>
    <pivotField axis="axisRow" numFmtId="17" showAll="0">
      <items count="18">
        <item x="0"/>
        <item x="1"/>
        <item x="2"/>
        <item x="3"/>
        <item x="4"/>
        <item x="5"/>
        <item x="6"/>
        <item x="7"/>
        <item x="8"/>
        <item x="9"/>
        <item x="10"/>
        <item x="11"/>
        <item x="12"/>
        <item x="13"/>
        <item x="14"/>
        <item x="15"/>
        <item x="16"/>
        <item t="default"/>
      </items>
    </pivotField>
    <pivotField axis="axisPage" showAll="0">
      <items count="5">
        <item x="1"/>
        <item x="2"/>
        <item x="0"/>
        <item x="3"/>
        <item t="default"/>
      </items>
    </pivotField>
    <pivotField showAll="0"/>
    <pivotField showAll="0"/>
    <pivotField showAll="0"/>
    <pivotField numFmtId="44" showAll="0"/>
    <pivotField numFmtId="44" showAll="0"/>
    <pivotField numFmtId="44" showAll="0"/>
    <pivotField numFmtId="1" showAll="0"/>
    <pivotField showAll="0"/>
    <pivotField showAll="0"/>
    <pivotField numFmtId="2" showAll="0"/>
    <pivotField dataField="1" numFmtId="2" showAll="0"/>
    <pivotField numFmtId="44" showAll="0"/>
    <pivotField numFmtId="10" showAll="0"/>
    <pivotField dataField="1" numFmtId="10" showAll="0"/>
    <pivotField axis="axisRow"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x="367"/>
      </items>
    </pivotField>
    <pivotField axis="axisRow" showAll="0" defaultSubtotal="0">
      <items count="14">
        <item sd="0" x="0"/>
        <item sd="0" x="1"/>
        <item sd="0" x="2"/>
        <item sd="0" x="3"/>
        <item sd="0" x="4"/>
        <item sd="0" x="5"/>
        <item sd="0" x="6"/>
        <item sd="0" x="7"/>
        <item sd="0" x="8"/>
        <item sd="0" x="9"/>
        <item sd="0" x="10"/>
        <item sd="0" x="11"/>
        <item sd="0" x="12"/>
        <item sd="0" x="13"/>
      </items>
    </pivotField>
  </pivotFields>
  <rowFields count="3">
    <field x="18"/>
    <field x="17"/>
    <field x="1"/>
  </rowFields>
  <rowItems count="6">
    <i>
      <x v="1"/>
    </i>
    <i>
      <x v="2"/>
    </i>
    <i>
      <x v="3"/>
    </i>
    <i>
      <x v="4"/>
    </i>
    <i>
      <x v="5"/>
    </i>
    <i t="grand">
      <x/>
    </i>
  </rowItems>
  <colFields count="1">
    <field x="-2"/>
  </colFields>
  <colItems count="2">
    <i>
      <x/>
    </i>
    <i i="1">
      <x v="1"/>
    </i>
  </colItems>
  <pageFields count="2">
    <pageField fld="0" hier="-1"/>
    <pageField fld="2" hier="-1"/>
  </pageFields>
  <dataFields count="2">
    <dataField name="Cobertura" fld="16" baseField="16" baseItem="3" numFmtId="10"/>
    <dataField name="Objetivo" fld="13" baseField="16" baseItem="3" numFmtId="2"/>
  </dataFields>
  <chartFormats count="4">
    <chartFormat chart="0" format="0" series="1">
      <pivotArea type="data" outline="0" fieldPosition="0">
        <references count="1">
          <reference field="4294967294" count="1" selected="0">
            <x v="1"/>
          </reference>
        </references>
      </pivotArea>
    </chartFormat>
    <chartFormat chart="0" format="1" series="1">
      <pivotArea type="data" outline="0" fieldPosition="0">
        <references count="1">
          <reference field="4294967294" count="1" selected="0">
            <x v="0"/>
          </reference>
        </references>
      </pivotArea>
    </chartFormat>
    <chartFormat chart="6" format="4" series="1">
      <pivotArea type="data" outline="0" fieldPosition="0">
        <references count="1">
          <reference field="4294967294" count="1" selected="0">
            <x v="0"/>
          </reference>
        </references>
      </pivotArea>
    </chartFormat>
    <chartFormat chart="6"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000000-0007-0000-0B00-000013000000}" name="Tabela dinâmica2" cacheId="3"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B515:C547" firstHeaderRow="1" firstDataRow="1" firstDataCol="1" rowPageCount="1" colPageCount="1"/>
  <pivotFields count="22">
    <pivotField numFmtId="14" showAll="0">
      <items count="1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7"/>
        <item x="85"/>
        <item x="88"/>
        <item x="86"/>
        <item x="84"/>
        <item x="83"/>
        <item x="82"/>
        <item x="90"/>
        <item x="91"/>
        <item x="89"/>
        <item x="92"/>
        <item x="93"/>
        <item x="94"/>
        <item x="95"/>
        <item x="96"/>
        <item x="97"/>
        <item x="98"/>
        <item x="99"/>
        <item t="default"/>
      </items>
    </pivotField>
    <pivotField showAll="0"/>
    <pivotField showAll="0"/>
    <pivotField showAll="0"/>
    <pivotField axis="axisRow" showAll="0" sortType="descending">
      <items count="36">
        <item x="4"/>
        <item x="8"/>
        <item x="11"/>
        <item x="17"/>
        <item x="25"/>
        <item x="27"/>
        <item x="28"/>
        <item x="6"/>
        <item x="5"/>
        <item x="14"/>
        <item x="9"/>
        <item x="29"/>
        <item x="13"/>
        <item x="7"/>
        <item x="34"/>
        <item x="24"/>
        <item x="32"/>
        <item x="21"/>
        <item x="0"/>
        <item x="16"/>
        <item x="1"/>
        <item x="12"/>
        <item x="18"/>
        <item x="20"/>
        <item x="22"/>
        <item x="10"/>
        <item x="3"/>
        <item x="33"/>
        <item x="15"/>
        <item x="23"/>
        <item x="19"/>
        <item x="2"/>
        <item x="26"/>
        <item x="30"/>
        <item x="31"/>
        <item t="default"/>
      </items>
      <autoSortScope>
        <pivotArea dataOnly="0" outline="0" fieldPosition="0">
          <references count="1">
            <reference field="4294967294" count="1" selected="0">
              <x v="0"/>
            </reference>
          </references>
        </pivotArea>
      </autoSortScope>
    </pivotField>
    <pivotField axis="axisPage" showAll="0">
      <items count="5">
        <item x="2"/>
        <item x="3"/>
        <item x="0"/>
        <item x="1"/>
        <item t="default"/>
      </items>
    </pivotField>
    <pivotField dataField="1" numFmtId="1" showAll="0"/>
    <pivotField numFmtId="164" showAll="0"/>
    <pivotField numFmtId="165" showAll="0"/>
    <pivotField numFmtId="10" showAll="0"/>
    <pivotField showAll="0"/>
    <pivotField showAll="0"/>
    <pivotField numFmtId="165" showAll="0"/>
    <pivotField numFmtId="165" showAll="0"/>
    <pivotField showAll="0"/>
    <pivotField showAll="0"/>
    <pivotField showAll="0"/>
    <pivotField showAll="0"/>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4"/>
  </rowFields>
  <rowItems count="32">
    <i>
      <x v="31"/>
    </i>
    <i>
      <x v="32"/>
    </i>
    <i>
      <x v="20"/>
    </i>
    <i>
      <x v="26"/>
    </i>
    <i>
      <x/>
    </i>
    <i>
      <x v="34"/>
    </i>
    <i>
      <x v="13"/>
    </i>
    <i>
      <x v="6"/>
    </i>
    <i>
      <x v="8"/>
    </i>
    <i>
      <x v="3"/>
    </i>
    <i>
      <x v="12"/>
    </i>
    <i>
      <x v="7"/>
    </i>
    <i>
      <x v="28"/>
    </i>
    <i>
      <x v="24"/>
    </i>
    <i>
      <x v="15"/>
    </i>
    <i>
      <x v="33"/>
    </i>
    <i>
      <x v="30"/>
    </i>
    <i>
      <x v="17"/>
    </i>
    <i>
      <x v="29"/>
    </i>
    <i>
      <x v="5"/>
    </i>
    <i>
      <x v="22"/>
    </i>
    <i>
      <x v="18"/>
    </i>
    <i>
      <x v="23"/>
    </i>
    <i>
      <x v="21"/>
    </i>
    <i>
      <x v="11"/>
    </i>
    <i>
      <x v="27"/>
    </i>
    <i>
      <x v="9"/>
    </i>
    <i>
      <x v="2"/>
    </i>
    <i>
      <x v="16"/>
    </i>
    <i>
      <x v="19"/>
    </i>
    <i>
      <x v="4"/>
    </i>
    <i t="grand">
      <x/>
    </i>
  </rowItems>
  <colItems count="1">
    <i/>
  </colItems>
  <pageFields count="1">
    <pageField fld="5" item="2" hier="-1"/>
  </pageFields>
  <dataFields count="1">
    <dataField name="_Qtde" fld="6" baseField="4" baseItem="31" numFmtId="1"/>
  </dataFields>
  <formats count="20">
    <format dxfId="193">
      <pivotArea field="4" type="button" dataOnly="0" labelOnly="1" outline="0" axis="axisRow" fieldPosition="0"/>
    </format>
    <format dxfId="192">
      <pivotArea dataOnly="0" labelOnly="1" outline="0" axis="axisValues" fieldPosition="0"/>
    </format>
    <format dxfId="191">
      <pivotArea grandRow="1" outline="0" collapsedLevelsAreSubtotals="1" fieldPosition="0"/>
    </format>
    <format dxfId="190">
      <pivotArea dataOnly="0" labelOnly="1" grandRow="1" outline="0" fieldPosition="0"/>
    </format>
    <format dxfId="189">
      <pivotArea type="all" dataOnly="0" outline="0" fieldPosition="0"/>
    </format>
    <format dxfId="188">
      <pivotArea outline="0" collapsedLevelsAreSubtotals="1" fieldPosition="0"/>
    </format>
    <format dxfId="187">
      <pivotArea field="4" type="button" dataOnly="0" labelOnly="1" outline="0" axis="axisRow" fieldPosition="0"/>
    </format>
    <format dxfId="186">
      <pivotArea dataOnly="0" labelOnly="1" fieldPosition="0">
        <references count="1">
          <reference field="4" count="31">
            <x v="0"/>
            <x v="2"/>
            <x v="3"/>
            <x v="4"/>
            <x v="5"/>
            <x v="6"/>
            <x v="7"/>
            <x v="8"/>
            <x v="9"/>
            <x v="11"/>
            <x v="12"/>
            <x v="13"/>
            <x v="15"/>
            <x v="16"/>
            <x v="17"/>
            <x v="18"/>
            <x v="19"/>
            <x v="20"/>
            <x v="21"/>
            <x v="22"/>
            <x v="23"/>
            <x v="24"/>
            <x v="26"/>
            <x v="27"/>
            <x v="28"/>
            <x v="29"/>
            <x v="30"/>
            <x v="31"/>
            <x v="32"/>
            <x v="33"/>
            <x v="34"/>
          </reference>
        </references>
      </pivotArea>
    </format>
    <format dxfId="185">
      <pivotArea dataOnly="0" labelOnly="1" grandRow="1" outline="0" fieldPosition="0"/>
    </format>
    <format dxfId="184">
      <pivotArea dataOnly="0" labelOnly="1" outline="0" axis="axisValues" fieldPosition="0"/>
    </format>
    <format dxfId="183">
      <pivotArea type="all" dataOnly="0" outline="0" fieldPosition="0"/>
    </format>
    <format dxfId="182">
      <pivotArea outline="0" collapsedLevelsAreSubtotals="1" fieldPosition="0"/>
    </format>
    <format dxfId="181">
      <pivotArea field="4" type="button" dataOnly="0" labelOnly="1" outline="0" axis="axisRow" fieldPosition="0"/>
    </format>
    <format dxfId="180">
      <pivotArea dataOnly="0" labelOnly="1" fieldPosition="0">
        <references count="1">
          <reference field="4" count="31">
            <x v="0"/>
            <x v="2"/>
            <x v="3"/>
            <x v="4"/>
            <x v="5"/>
            <x v="6"/>
            <x v="7"/>
            <x v="8"/>
            <x v="9"/>
            <x v="11"/>
            <x v="12"/>
            <x v="13"/>
            <x v="15"/>
            <x v="16"/>
            <x v="17"/>
            <x v="18"/>
            <x v="19"/>
            <x v="20"/>
            <x v="21"/>
            <x v="22"/>
            <x v="23"/>
            <x v="24"/>
            <x v="26"/>
            <x v="27"/>
            <x v="28"/>
            <x v="29"/>
            <x v="30"/>
            <x v="31"/>
            <x v="32"/>
            <x v="33"/>
            <x v="34"/>
          </reference>
        </references>
      </pivotArea>
    </format>
    <format dxfId="179">
      <pivotArea dataOnly="0" labelOnly="1" grandRow="1" outline="0" fieldPosition="0"/>
    </format>
    <format dxfId="178">
      <pivotArea dataOnly="0" labelOnly="1" outline="0" axis="axisValues" fieldPosition="0"/>
    </format>
    <format dxfId="177">
      <pivotArea field="4" type="button" dataOnly="0" labelOnly="1" outline="0" axis="axisRow" fieldPosition="0"/>
    </format>
    <format dxfId="176">
      <pivotArea dataOnly="0" labelOnly="1" outline="0" axis="axisValues" fieldPosition="0"/>
    </format>
    <format dxfId="175">
      <pivotArea grandRow="1" outline="0" collapsedLevelsAreSubtotals="1" fieldPosition="0"/>
    </format>
    <format dxfId="174">
      <pivotArea dataOnly="0" labelOnly="1" grandRow="1" outline="0"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000000-0007-0000-0D00-00001D000000}" name="Tabela dinâmica3" cacheId="5"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7">
  <location ref="V3:W16" firstHeaderRow="1" firstDataRow="1" firstDataCol="1" rowPageCount="1" colPageCount="1"/>
  <pivotFields count="13">
    <pivotField numFmtId="14" showAll="0">
      <items count="7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2"/>
        <item m="1" x="72"/>
        <item x="61"/>
        <item x="63"/>
        <item x="64"/>
        <item x="65"/>
        <item x="66"/>
        <item x="67"/>
        <item x="68"/>
        <item x="69"/>
        <item x="70"/>
        <item x="71"/>
        <item t="default"/>
      </items>
    </pivotField>
    <pivotField showAll="0"/>
    <pivotField dataField="1" numFmtId="166" showAll="0"/>
    <pivotField numFmtId="14" showAll="0">
      <items count="75">
        <item x="1"/>
        <item x="2"/>
        <item x="3"/>
        <item x="4"/>
        <item x="5"/>
        <item x="6"/>
        <item x="7"/>
        <item x="8"/>
        <item x="9"/>
        <item x="10"/>
        <item x="11"/>
        <item m="1" x="73"/>
        <item x="12"/>
        <item x="13"/>
        <item x="14"/>
        <item x="15"/>
        <item x="16"/>
        <item x="17"/>
        <item x="18"/>
        <item x="19"/>
        <item x="20"/>
        <item x="21"/>
        <item x="22"/>
        <item x="23"/>
        <item x="24"/>
        <item x="25"/>
        <item x="26"/>
        <item x="27"/>
        <item x="28"/>
        <item x="29"/>
        <item x="30"/>
        <item x="31"/>
        <item x="32"/>
        <item x="33"/>
        <item x="34"/>
        <item m="1" x="72"/>
        <item x="36"/>
        <item x="37"/>
        <item x="38"/>
        <item x="39"/>
        <item x="40"/>
        <item x="41"/>
        <item x="42"/>
        <item x="43"/>
        <item x="44"/>
        <item x="45"/>
        <item x="46"/>
        <item x="47"/>
        <item x="48"/>
        <item x="49"/>
        <item x="50"/>
        <item x="51"/>
        <item x="52"/>
        <item x="53"/>
        <item x="54"/>
        <item x="55"/>
        <item x="56"/>
        <item x="57"/>
        <item x="0"/>
        <item x="35"/>
        <item x="58"/>
        <item x="59"/>
        <item x="60"/>
        <item x="61"/>
        <item x="62"/>
        <item x="63"/>
        <item x="64"/>
        <item x="65"/>
        <item x="66"/>
        <item x="67"/>
        <item x="68"/>
        <item x="69"/>
        <item x="70"/>
        <item x="71"/>
        <item t="default"/>
      </items>
    </pivotField>
    <pivotField showAll="0"/>
    <pivotField axis="axisPage" multipleItemSelectionAllowed="1" showAll="0">
      <items count="8">
        <item x="0"/>
        <item h="1" x="1"/>
        <item h="1" x="2"/>
        <item h="1" x="3"/>
        <item h="1" x="4"/>
        <item h="1" x="5"/>
        <item h="1" x="6"/>
        <item t="default"/>
      </items>
    </pivotField>
    <pivotField showAll="0" defaultSubtotal="0"/>
    <pivotField showAll="0" defaultSubtotal="0"/>
    <pivotField multipleItemSelectionAllowed="1" showAll="0" defaultSubtotal="0">
      <items count="8">
        <item h="1" x="0"/>
        <item x="1"/>
        <item h="1" x="2"/>
        <item h="1" x="3"/>
        <item h="1" x="4"/>
        <item h="1" x="5"/>
        <item h="1" x="6"/>
        <item h="1" x="7"/>
      </items>
    </pivotField>
    <pivotField axis="axisRow" showAll="0" defaultSubtotal="0">
      <items count="14">
        <item x="0"/>
        <item x="1"/>
        <item x="2"/>
        <item x="3"/>
        <item x="4"/>
        <item x="5"/>
        <item x="6"/>
        <item x="7"/>
        <item x="8"/>
        <item x="9"/>
        <item x="10"/>
        <item x="11"/>
        <item x="12"/>
        <item x="13"/>
      </items>
    </pivotField>
    <pivotField showAll="0" defaultSubtotal="0"/>
    <pivotField showAll="0" defaultSubtotal="0">
      <items count="9">
        <item x="1"/>
        <item x="2"/>
        <item x="3"/>
        <item x="4"/>
        <item x="5"/>
        <item x="0"/>
        <item x="6"/>
        <item x="7"/>
        <item x="8"/>
      </items>
    </pivotField>
    <pivotField dragToRow="0" dragToCol="0" dragToPage="0" showAll="0" defaultSubtotal="0"/>
  </pivotFields>
  <rowFields count="1">
    <field x="9"/>
  </rowFields>
  <rowItems count="13">
    <i>
      <x v="1"/>
    </i>
    <i>
      <x v="2"/>
    </i>
    <i>
      <x v="3"/>
    </i>
    <i>
      <x v="4"/>
    </i>
    <i>
      <x v="5"/>
    </i>
    <i>
      <x v="6"/>
    </i>
    <i>
      <x v="7"/>
    </i>
    <i>
      <x v="8"/>
    </i>
    <i>
      <x v="9"/>
    </i>
    <i>
      <x v="10"/>
    </i>
    <i>
      <x v="11"/>
    </i>
    <i>
      <x v="12"/>
    </i>
    <i t="grand">
      <x/>
    </i>
  </rowItems>
  <colItems count="1">
    <i/>
  </colItems>
  <pageFields count="1">
    <pageField fld="5" hier="-1"/>
  </pageFields>
  <dataFields count="1">
    <dataField name="Soma de Comissão" fld="2" baseField="0" baseItem="0" numFmtId="166"/>
  </dataFields>
  <chartFormats count="1">
    <chartFormat chart="0"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000000-0007-0000-0D00-000018000000}" name="Tabela dinâmica7" cacheId="5"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Y4:Z17" firstHeaderRow="1" firstDataRow="1" firstDataCol="1" rowPageCount="2" colPageCount="1"/>
  <pivotFields count="13">
    <pivotField numFmtId="14" showAll="0">
      <items count="7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2"/>
        <item m="1" x="72"/>
        <item x="61"/>
        <item x="63"/>
        <item x="64"/>
        <item x="65"/>
        <item x="66"/>
        <item x="67"/>
        <item x="68"/>
        <item x="69"/>
        <item x="70"/>
        <item x="71"/>
        <item t="default"/>
      </items>
    </pivotField>
    <pivotField axis="axisPage" multipleItemSelectionAllowed="1" showAll="0">
      <items count="6">
        <item h="1" x="3"/>
        <item h="1" x="2"/>
        <item h="1" x="4"/>
        <item x="0"/>
        <item h="1" x="1"/>
        <item t="default"/>
      </items>
    </pivotField>
    <pivotField dataField="1" numFmtId="166" showAll="0"/>
    <pivotField numFmtId="14" showAll="0">
      <items count="75">
        <item x="0"/>
        <item x="1"/>
        <item x="2"/>
        <item x="3"/>
        <item x="4"/>
        <item x="5"/>
        <item x="6"/>
        <item x="7"/>
        <item x="8"/>
        <item x="9"/>
        <item x="10"/>
        <item x="11"/>
        <item m="1" x="73"/>
        <item x="12"/>
        <item x="13"/>
        <item x="14"/>
        <item x="15"/>
        <item x="16"/>
        <item x="17"/>
        <item x="18"/>
        <item x="19"/>
        <item x="20"/>
        <item x="21"/>
        <item x="22"/>
        <item x="23"/>
        <item x="24"/>
        <item x="25"/>
        <item x="26"/>
        <item x="27"/>
        <item x="28"/>
        <item x="29"/>
        <item x="30"/>
        <item x="31"/>
        <item x="32"/>
        <item x="33"/>
        <item x="34"/>
        <item m="1" x="72"/>
        <item x="36"/>
        <item x="37"/>
        <item x="38"/>
        <item x="39"/>
        <item x="40"/>
        <item x="41"/>
        <item x="42"/>
        <item x="43"/>
        <item x="44"/>
        <item x="45"/>
        <item x="46"/>
        <item x="47"/>
        <item x="48"/>
        <item x="49"/>
        <item x="50"/>
        <item x="51"/>
        <item x="52"/>
        <item x="53"/>
        <item x="54"/>
        <item x="55"/>
        <item x="56"/>
        <item x="57"/>
        <item x="35"/>
        <item x="58"/>
        <item x="59"/>
        <item x="60"/>
        <item x="61"/>
        <item x="62"/>
        <item x="63"/>
        <item x="64"/>
        <item x="65"/>
        <item x="66"/>
        <item x="67"/>
        <item x="68"/>
        <item x="69"/>
        <item x="70"/>
        <item x="71"/>
        <item t="default"/>
      </items>
    </pivotField>
    <pivotField showAll="0"/>
    <pivotField axis="axisPage" multipleItemSelectionAllowed="1" showAll="0">
      <items count="8">
        <item h="1" x="0"/>
        <item x="1"/>
        <item h="1" x="2"/>
        <item h="1" x="3"/>
        <item h="1" x="4"/>
        <item h="1" x="5"/>
        <item h="1" x="6"/>
        <item t="default"/>
      </items>
    </pivotField>
    <pivotField showAll="0" defaultSubtotal="0"/>
    <pivotField showAll="0" defaultSubtotal="0"/>
    <pivotField showAll="0" defaultSubtotal="0">
      <items count="8">
        <item x="0"/>
        <item x="1"/>
        <item x="2"/>
        <item x="3"/>
        <item x="4"/>
        <item x="5"/>
        <item x="6"/>
        <item x="7"/>
      </items>
    </pivotField>
    <pivotField axis="axisRow" showAll="0" defaultSubtotal="0">
      <items count="14">
        <item x="0"/>
        <item x="1"/>
        <item x="2"/>
        <item x="3"/>
        <item x="4"/>
        <item x="5"/>
        <item x="6"/>
        <item x="7"/>
        <item x="8"/>
        <item x="9"/>
        <item x="10"/>
        <item x="11"/>
        <item x="12"/>
        <item x="13"/>
      </items>
    </pivotField>
    <pivotField showAll="0" defaultSubtotal="0"/>
    <pivotField showAll="0" defaultSubtotal="0">
      <items count="9">
        <item x="0"/>
        <item x="1"/>
        <item x="2"/>
        <item x="3"/>
        <item x="4"/>
        <item x="5"/>
        <item x="6"/>
        <item x="7"/>
        <item x="8"/>
      </items>
    </pivotField>
    <pivotField dragToRow="0" dragToCol="0" dragToPage="0" showAll="0" defaultSubtotal="0"/>
  </pivotFields>
  <rowFields count="1">
    <field x="9"/>
  </rowFields>
  <rowItems count="13">
    <i>
      <x v="1"/>
    </i>
    <i>
      <x v="2"/>
    </i>
    <i>
      <x v="3"/>
    </i>
    <i>
      <x v="4"/>
    </i>
    <i>
      <x v="5"/>
    </i>
    <i>
      <x v="6"/>
    </i>
    <i>
      <x v="7"/>
    </i>
    <i>
      <x v="8"/>
    </i>
    <i>
      <x v="9"/>
    </i>
    <i>
      <x v="10"/>
    </i>
    <i>
      <x v="11"/>
    </i>
    <i>
      <x v="12"/>
    </i>
    <i t="grand">
      <x/>
    </i>
  </rowItems>
  <colItems count="1">
    <i/>
  </colItems>
  <pageFields count="2">
    <pageField fld="5" hier="-1"/>
    <pageField fld="1" hier="-1"/>
  </pageFields>
  <dataFields count="1">
    <dataField name="Soma de Comissão" fld="2" baseField="0" baseItem="0" numFmtId="166"/>
  </dataFields>
  <chartFormats count="6">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9" count="1" selected="0">
            <x v="1"/>
          </reference>
        </references>
      </pivotArea>
    </chartFormat>
    <chartFormat chart="0" format="2">
      <pivotArea type="data" outline="0" fieldPosition="0">
        <references count="2">
          <reference field="4294967294" count="1" selected="0">
            <x v="0"/>
          </reference>
          <reference field="9" count="1" selected="0">
            <x v="2"/>
          </reference>
        </references>
      </pivotArea>
    </chartFormat>
    <chartFormat chart="0" format="3">
      <pivotArea type="data" outline="0" fieldPosition="0">
        <references count="2">
          <reference field="4294967294" count="1" selected="0">
            <x v="0"/>
          </reference>
          <reference field="9" count="1" selected="0">
            <x v="3"/>
          </reference>
        </references>
      </pivotArea>
    </chartFormat>
    <chartFormat chart="0" format="4">
      <pivotArea type="data" outline="0" fieldPosition="0">
        <references count="2">
          <reference field="4294967294" count="1" selected="0">
            <x v="0"/>
          </reference>
          <reference field="9" count="1" selected="0">
            <x v="4"/>
          </reference>
        </references>
      </pivotArea>
    </chartFormat>
    <chartFormat chart="0" format="5">
      <pivotArea type="data" outline="0" fieldPosition="0">
        <references count="2">
          <reference field="4294967294" count="1" selected="0">
            <x v="0"/>
          </reference>
          <reference field="9" count="1" selected="0">
            <x v="5"/>
          </reference>
        </references>
      </pivotArea>
    </chartFormat>
  </chart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000000-0007-0000-0D00-00001C000000}" name="Tabela dinâmica6" cacheId="6"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3">
  <location ref="A4:E11" firstHeaderRow="1" firstDataRow="2" firstDataCol="1" rowPageCount="1" colPageCount="1"/>
  <pivotFields count="13">
    <pivotField numFmtId="14" showAll="0">
      <items count="77">
        <item x="36"/>
        <item x="37"/>
        <item x="38"/>
        <item x="39"/>
        <item x="40"/>
        <item x="41"/>
        <item x="42"/>
        <item x="43"/>
        <item x="44"/>
        <item x="45"/>
        <item x="46"/>
        <item x="47"/>
        <item x="48"/>
        <item x="49"/>
        <item x="50"/>
        <item x="51"/>
        <item x="52"/>
        <item x="53"/>
        <item x="54"/>
        <item x="55"/>
        <item x="56"/>
        <item x="57"/>
        <item x="16"/>
        <item x="0"/>
        <item x="1"/>
        <item x="2"/>
        <item x="3"/>
        <item x="4"/>
        <item x="5"/>
        <item x="6"/>
        <item x="7"/>
        <item x="8"/>
        <item x="9"/>
        <item x="10"/>
        <item x="11"/>
        <item x="12"/>
        <item x="13"/>
        <item x="14"/>
        <item x="15"/>
        <item x="17"/>
        <item x="18"/>
        <item x="19"/>
        <item x="20"/>
        <item x="21"/>
        <item x="22"/>
        <item x="23"/>
        <item x="24"/>
        <item x="25"/>
        <item x="26"/>
        <item x="27"/>
        <item x="28"/>
        <item x="29"/>
        <item x="30"/>
        <item x="31"/>
        <item x="32"/>
        <item x="33"/>
        <item x="34"/>
        <item x="35"/>
        <item x="58"/>
        <item x="59"/>
        <item x="60"/>
        <item x="62"/>
        <item x="61"/>
        <item x="63"/>
        <item x="64"/>
        <item x="65"/>
        <item x="66"/>
        <item x="67"/>
        <item x="68"/>
        <item x="69"/>
        <item x="70"/>
        <item x="71"/>
        <item x="72"/>
        <item x="73"/>
        <item x="74"/>
        <item x="75"/>
        <item t="default"/>
      </items>
    </pivotField>
    <pivotField axis="axisCol" showAll="0">
      <items count="6">
        <item x="3"/>
        <item x="2"/>
        <item x="4"/>
        <item x="0"/>
        <item x="1"/>
        <item t="default"/>
      </items>
    </pivotField>
    <pivotField dataField="1" numFmtId="166" showAll="0"/>
    <pivotField numFmtId="14" showAll="0">
      <items count="77">
        <item x="36"/>
        <item x="37"/>
        <item x="38"/>
        <item x="39"/>
        <item x="40"/>
        <item x="41"/>
        <item x="42"/>
        <item x="43"/>
        <item x="44"/>
        <item x="45"/>
        <item x="46"/>
        <item x="47"/>
        <item x="48"/>
        <item x="49"/>
        <item x="50"/>
        <item x="51"/>
        <item x="52"/>
        <item x="53"/>
        <item x="54"/>
        <item x="55"/>
        <item x="56"/>
        <item x="57"/>
        <item x="16"/>
        <item x="1"/>
        <item x="2"/>
        <item x="3"/>
        <item x="4"/>
        <item x="5"/>
        <item x="6"/>
        <item x="7"/>
        <item x="8"/>
        <item x="9"/>
        <item x="10"/>
        <item x="11"/>
        <item x="12"/>
        <item x="13"/>
        <item x="14"/>
        <item x="15"/>
        <item x="17"/>
        <item x="18"/>
        <item x="19"/>
        <item x="20"/>
        <item x="21"/>
        <item x="22"/>
        <item x="23"/>
        <item x="24"/>
        <item x="25"/>
        <item x="26"/>
        <item x="27"/>
        <item x="28"/>
        <item x="29"/>
        <item x="30"/>
        <item x="31"/>
        <item x="32"/>
        <item x="33"/>
        <item x="34"/>
        <item x="0"/>
        <item x="35"/>
        <item x="58"/>
        <item x="59"/>
        <item x="60"/>
        <item x="61"/>
        <item x="62"/>
        <item x="63"/>
        <item x="64"/>
        <item x="65"/>
        <item x="66"/>
        <item x="67"/>
        <item x="68"/>
        <item x="69"/>
        <item x="70"/>
        <item x="71"/>
        <item x="72"/>
        <item x="73"/>
        <item x="74"/>
        <item x="75"/>
        <item t="default"/>
      </items>
    </pivotField>
    <pivotField showAll="0"/>
    <pivotField axis="axisPage" multipleItemSelectionAllowed="1" showAll="0">
      <items count="8">
        <item h="1" x="3"/>
        <item h="1" x="4"/>
        <item h="1" x="1"/>
        <item h="1" x="0"/>
        <item h="1" x="2"/>
        <item h="1" x="5"/>
        <item x="6"/>
        <item t="default"/>
      </items>
    </pivotField>
    <pivotField showAll="0">
      <items count="15">
        <item h="1" sd="0" x="0"/>
        <item sd="0" x="1"/>
        <item sd="0" x="2"/>
        <item sd="0" x="3"/>
        <item sd="0" x="4"/>
        <item sd="0" x="5"/>
        <item h="1" sd="0" x="6"/>
        <item h="1" sd="0" x="7"/>
        <item h="1" sd="0" x="8"/>
        <item h="1" sd="0" x="9"/>
        <item h="1" sd="0" x="10"/>
        <item h="1" sd="0" x="11"/>
        <item sd="0" x="12"/>
        <item h="1" sd="0" x="13"/>
        <item t="default"/>
      </items>
    </pivotField>
    <pivotField showAll="0">
      <items count="7">
        <item sd="0" x="1"/>
        <item sd="0" x="2"/>
        <item sd="0" x="3"/>
        <item sd="0" x="4"/>
        <item x="0"/>
        <item x="5"/>
        <item t="default"/>
      </items>
    </pivotField>
    <pivotField showAll="0">
      <items count="10">
        <item sd="0" x="4"/>
        <item sd="0" x="5"/>
        <item x="2"/>
        <item x="3"/>
        <item x="0"/>
        <item x="1"/>
        <item x="6"/>
        <item x="7"/>
        <item x="8"/>
        <item t="default"/>
      </items>
    </pivotField>
    <pivotField axis="axisRow" showAll="0">
      <items count="15">
        <item sd="0" x="0"/>
        <item sd="0" x="1"/>
        <item sd="0" x="2"/>
        <item sd="0" x="3"/>
        <item sd="0" x="4"/>
        <item sd="0" x="5"/>
        <item sd="0" x="6"/>
        <item sd="0" x="7"/>
        <item sd="0" x="8"/>
        <item sd="0" x="9"/>
        <item sd="0" x="10"/>
        <item sd="0" x="11"/>
        <item sd="0" x="12"/>
        <item sd="0" x="13"/>
        <item t="default"/>
      </items>
    </pivotField>
    <pivotField showAll="0">
      <items count="7">
        <item sd="0" x="1"/>
        <item sd="0" x="2"/>
        <item sd="0" x="3"/>
        <item sd="0" x="4"/>
        <item x="0"/>
        <item x="5"/>
        <item t="default"/>
      </items>
    </pivotField>
    <pivotField showAll="0">
      <items count="10">
        <item sd="0" x="4"/>
        <item sd="0" x="5"/>
        <item x="2"/>
        <item x="3"/>
        <item x="1"/>
        <item x="0"/>
        <item x="6"/>
        <item x="7"/>
        <item x="8"/>
        <item t="default"/>
      </items>
    </pivotField>
    <pivotField dragToRow="0" dragToCol="0" dragToPage="0" showAll="0" defaultSubtotal="0"/>
  </pivotFields>
  <rowFields count="1">
    <field x="9"/>
  </rowFields>
  <rowItems count="6">
    <i>
      <x v="1"/>
    </i>
    <i>
      <x v="2"/>
    </i>
    <i>
      <x v="3"/>
    </i>
    <i>
      <x v="4"/>
    </i>
    <i>
      <x v="5"/>
    </i>
    <i t="grand">
      <x/>
    </i>
  </rowItems>
  <colFields count="1">
    <field x="1"/>
  </colFields>
  <colItems count="4">
    <i>
      <x v="1"/>
    </i>
    <i>
      <x v="3"/>
    </i>
    <i>
      <x v="4"/>
    </i>
    <i t="grand">
      <x/>
    </i>
  </colItems>
  <pageFields count="1">
    <pageField fld="5" hier="-1"/>
  </pageFields>
  <dataFields count="1">
    <dataField name="Soma de Comissão" fld="2" baseField="0" baseItem="0" numFmtId="164"/>
  </dataFields>
  <formats count="3">
    <format dxfId="50">
      <pivotArea outline="0" collapsedLevelsAreSubtotals="1" fieldPosition="0"/>
    </format>
    <format dxfId="49">
      <pivotArea dataOnly="0" labelOnly="1" fieldPosition="0">
        <references count="1">
          <reference field="1" count="0"/>
        </references>
      </pivotArea>
    </format>
    <format dxfId="48">
      <pivotArea dataOnly="0" labelOnly="1" grandCol="1" outline="0"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0000000-0007-0000-0D00-00001B000000}" name="Tabela dinâmica4" cacheId="5"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AE4:AF17" firstHeaderRow="1" firstDataRow="1" firstDataCol="1" rowPageCount="2" colPageCount="1"/>
  <pivotFields count="13">
    <pivotField numFmtId="14" showAll="0">
      <items count="7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2"/>
        <item m="1" x="72"/>
        <item x="61"/>
        <item x="63"/>
        <item x="64"/>
        <item x="65"/>
        <item x="66"/>
        <item x="67"/>
        <item x="68"/>
        <item x="69"/>
        <item x="70"/>
        <item x="71"/>
        <item t="default"/>
      </items>
    </pivotField>
    <pivotField axis="axisPage" multipleItemSelectionAllowed="1" showAll="0">
      <items count="6">
        <item h="1" x="3"/>
        <item h="1" x="2"/>
        <item h="1" x="4"/>
        <item x="0"/>
        <item h="1" x="1"/>
        <item t="default"/>
      </items>
    </pivotField>
    <pivotField dataField="1" numFmtId="166" showAll="0"/>
    <pivotField numFmtId="14" showAll="0">
      <items count="75">
        <item x="0"/>
        <item x="1"/>
        <item x="2"/>
        <item x="3"/>
        <item x="4"/>
        <item x="5"/>
        <item x="6"/>
        <item x="7"/>
        <item x="8"/>
        <item x="9"/>
        <item x="10"/>
        <item x="11"/>
        <item m="1" x="73"/>
        <item x="12"/>
        <item x="13"/>
        <item x="14"/>
        <item x="15"/>
        <item x="16"/>
        <item x="17"/>
        <item x="18"/>
        <item x="19"/>
        <item x="20"/>
        <item x="21"/>
        <item x="22"/>
        <item x="23"/>
        <item x="24"/>
        <item x="25"/>
        <item x="26"/>
        <item x="27"/>
        <item x="28"/>
        <item x="29"/>
        <item x="30"/>
        <item x="31"/>
        <item x="32"/>
        <item x="33"/>
        <item x="34"/>
        <item m="1" x="72"/>
        <item x="36"/>
        <item x="37"/>
        <item x="38"/>
        <item x="39"/>
        <item x="40"/>
        <item x="41"/>
        <item x="42"/>
        <item x="43"/>
        <item x="44"/>
        <item x="45"/>
        <item x="46"/>
        <item x="47"/>
        <item x="48"/>
        <item x="49"/>
        <item x="50"/>
        <item x="51"/>
        <item x="52"/>
        <item x="53"/>
        <item x="54"/>
        <item x="55"/>
        <item x="56"/>
        <item x="57"/>
        <item x="35"/>
        <item x="58"/>
        <item x="59"/>
        <item x="60"/>
        <item x="61"/>
        <item x="62"/>
        <item x="63"/>
        <item x="64"/>
        <item x="65"/>
        <item x="66"/>
        <item x="67"/>
        <item x="68"/>
        <item x="69"/>
        <item x="70"/>
        <item x="71"/>
        <item t="default"/>
      </items>
    </pivotField>
    <pivotField showAll="0"/>
    <pivotField axis="axisPage" multipleItemSelectionAllowed="1" showAll="0">
      <items count="8">
        <item h="1" x="0"/>
        <item h="1" x="1"/>
        <item h="1" x="2"/>
        <item x="3"/>
        <item h="1" x="4"/>
        <item h="1" x="5"/>
        <item h="1" x="6"/>
        <item t="default"/>
      </items>
    </pivotField>
    <pivotField showAll="0" defaultSubtotal="0"/>
    <pivotField showAll="0" defaultSubtotal="0"/>
    <pivotField showAll="0" defaultSubtotal="0">
      <items count="8">
        <item x="0"/>
        <item x="1"/>
        <item x="2"/>
        <item x="3"/>
        <item x="4"/>
        <item x="5"/>
        <item x="6"/>
        <item x="7"/>
      </items>
    </pivotField>
    <pivotField axis="axisRow" showAll="0" defaultSubtotal="0">
      <items count="14">
        <item x="0"/>
        <item x="1"/>
        <item x="2"/>
        <item x="3"/>
        <item x="4"/>
        <item x="5"/>
        <item x="6"/>
        <item x="7"/>
        <item x="8"/>
        <item x="9"/>
        <item x="10"/>
        <item x="11"/>
        <item x="12"/>
        <item x="13"/>
      </items>
    </pivotField>
    <pivotField showAll="0" defaultSubtotal="0"/>
    <pivotField showAll="0" defaultSubtotal="0">
      <items count="9">
        <item x="0"/>
        <item x="1"/>
        <item x="2"/>
        <item x="3"/>
        <item x="4"/>
        <item x="5"/>
        <item x="6"/>
        <item x="7"/>
        <item x="8"/>
      </items>
    </pivotField>
    <pivotField dragToRow="0" dragToCol="0" dragToPage="0" showAll="0" defaultSubtotal="0"/>
  </pivotFields>
  <rowFields count="1">
    <field x="9"/>
  </rowFields>
  <rowItems count="13">
    <i>
      <x v="1"/>
    </i>
    <i>
      <x v="2"/>
    </i>
    <i>
      <x v="3"/>
    </i>
    <i>
      <x v="4"/>
    </i>
    <i>
      <x v="5"/>
    </i>
    <i>
      <x v="6"/>
    </i>
    <i>
      <x v="7"/>
    </i>
    <i>
      <x v="8"/>
    </i>
    <i>
      <x v="9"/>
    </i>
    <i>
      <x v="10"/>
    </i>
    <i>
      <x v="11"/>
    </i>
    <i>
      <x v="12"/>
    </i>
    <i t="grand">
      <x/>
    </i>
  </rowItems>
  <colItems count="1">
    <i/>
  </colItems>
  <pageFields count="2">
    <pageField fld="5" hier="-1"/>
    <pageField fld="1" hier="-1"/>
  </pageFields>
  <dataFields count="1">
    <dataField name="Soma de Comissão" fld="2" baseField="0" baseItem="0" numFmtId="166"/>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000000-0007-0000-0D00-00001A000000}" name="Tabela dinâmica2" cacheId="5"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2">
  <location ref="AH4:AI16" firstHeaderRow="1" firstDataRow="1" firstDataCol="1" rowPageCount="2" colPageCount="1"/>
  <pivotFields count="13">
    <pivotField numFmtId="14" showAll="0">
      <items count="7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2"/>
        <item m="1" x="72"/>
        <item x="61"/>
        <item x="63"/>
        <item x="64"/>
        <item x="65"/>
        <item x="66"/>
        <item x="67"/>
        <item x="68"/>
        <item x="69"/>
        <item x="70"/>
        <item x="71"/>
        <item t="default"/>
      </items>
    </pivotField>
    <pivotField axis="axisPage" multipleItemSelectionAllowed="1" showAll="0">
      <items count="6">
        <item h="1" x="3"/>
        <item h="1" x="2"/>
        <item h="1" x="4"/>
        <item x="0"/>
        <item h="1" x="1"/>
        <item t="default"/>
      </items>
    </pivotField>
    <pivotField dataField="1" numFmtId="166" showAll="0"/>
    <pivotField numFmtId="14" showAll="0">
      <items count="75">
        <item x="0"/>
        <item x="1"/>
        <item x="2"/>
        <item x="3"/>
        <item x="4"/>
        <item x="5"/>
        <item x="6"/>
        <item x="7"/>
        <item x="8"/>
        <item x="9"/>
        <item x="10"/>
        <item x="11"/>
        <item m="1" x="73"/>
        <item x="12"/>
        <item x="13"/>
        <item x="14"/>
        <item x="15"/>
        <item x="16"/>
        <item x="17"/>
        <item x="18"/>
        <item x="19"/>
        <item x="20"/>
        <item x="21"/>
        <item x="22"/>
        <item x="23"/>
        <item x="24"/>
        <item x="25"/>
        <item x="26"/>
        <item x="27"/>
        <item x="28"/>
        <item x="29"/>
        <item x="30"/>
        <item x="31"/>
        <item x="32"/>
        <item x="33"/>
        <item x="34"/>
        <item m="1" x="72"/>
        <item x="36"/>
        <item x="37"/>
        <item x="38"/>
        <item x="39"/>
        <item x="40"/>
        <item x="41"/>
        <item x="42"/>
        <item x="43"/>
        <item x="44"/>
        <item x="45"/>
        <item x="46"/>
        <item x="47"/>
        <item x="48"/>
        <item x="49"/>
        <item x="50"/>
        <item x="51"/>
        <item x="52"/>
        <item x="53"/>
        <item x="54"/>
        <item x="55"/>
        <item x="56"/>
        <item x="57"/>
        <item x="35"/>
        <item x="58"/>
        <item x="59"/>
        <item x="60"/>
        <item x="61"/>
        <item x="62"/>
        <item x="63"/>
        <item x="64"/>
        <item x="65"/>
        <item x="66"/>
        <item x="67"/>
        <item x="68"/>
        <item x="69"/>
        <item x="70"/>
        <item x="71"/>
        <item t="default"/>
      </items>
    </pivotField>
    <pivotField showAll="0"/>
    <pivotField axis="axisPage" multipleItemSelectionAllowed="1" showAll="0">
      <items count="8">
        <item h="1" x="0"/>
        <item h="1" x="1"/>
        <item h="1" x="2"/>
        <item h="1" x="3"/>
        <item x="4"/>
        <item h="1" x="5"/>
        <item h="1" x="6"/>
        <item t="default"/>
      </items>
    </pivotField>
    <pivotField showAll="0" defaultSubtotal="0"/>
    <pivotField showAll="0" defaultSubtotal="0"/>
    <pivotField showAll="0" defaultSubtotal="0">
      <items count="8">
        <item x="0"/>
        <item x="1"/>
        <item x="2"/>
        <item x="3"/>
        <item x="4"/>
        <item x="5"/>
        <item x="6"/>
        <item x="7"/>
      </items>
    </pivotField>
    <pivotField axis="axisRow" showAll="0" defaultSubtotal="0">
      <items count="14">
        <item x="0"/>
        <item x="1"/>
        <item x="2"/>
        <item x="3"/>
        <item x="4"/>
        <item x="5"/>
        <item x="6"/>
        <item x="7"/>
        <item x="8"/>
        <item x="9"/>
        <item x="10"/>
        <item x="11"/>
        <item x="12"/>
        <item x="13"/>
      </items>
    </pivotField>
    <pivotField showAll="0" defaultSubtotal="0"/>
    <pivotField showAll="0" defaultSubtotal="0">
      <items count="9">
        <item x="0"/>
        <item x="1"/>
        <item x="2"/>
        <item x="3"/>
        <item x="4"/>
        <item x="5"/>
        <item x="6"/>
        <item x="7"/>
        <item x="8"/>
      </items>
    </pivotField>
    <pivotField dragToRow="0" dragToCol="0" dragToPage="0" showAll="0" defaultSubtotal="0"/>
  </pivotFields>
  <rowFields count="1">
    <field x="9"/>
  </rowFields>
  <rowItems count="12">
    <i>
      <x v="2"/>
    </i>
    <i>
      <x v="3"/>
    </i>
    <i>
      <x v="4"/>
    </i>
    <i>
      <x v="5"/>
    </i>
    <i>
      <x v="6"/>
    </i>
    <i>
      <x v="7"/>
    </i>
    <i>
      <x v="8"/>
    </i>
    <i>
      <x v="9"/>
    </i>
    <i>
      <x v="10"/>
    </i>
    <i>
      <x v="11"/>
    </i>
    <i>
      <x v="12"/>
    </i>
    <i t="grand">
      <x/>
    </i>
  </rowItems>
  <colItems count="1">
    <i/>
  </colItems>
  <pageFields count="2">
    <pageField fld="5" hier="-1"/>
    <pageField fld="1" hier="-1"/>
  </pageFields>
  <dataFields count="1">
    <dataField name="Soma de Comissão" fld="2" baseField="0" baseItem="0" numFmtId="166"/>
  </dataFields>
  <chartFormats count="1">
    <chartFormat chart="0"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000000-0007-0000-0D00-000019000000}" name="Tabela dinâmica1" cacheId="5"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I4:J10" firstHeaderRow="1" firstDataRow="1" firstDataCol="1" rowPageCount="1" colPageCount="1"/>
  <pivotFields count="13">
    <pivotField numFmtId="14" showAll="0">
      <items count="74">
        <item x="36"/>
        <item x="37"/>
        <item x="38"/>
        <item x="39"/>
        <item x="40"/>
        <item x="41"/>
        <item x="42"/>
        <item x="43"/>
        <item x="44"/>
        <item x="45"/>
        <item x="46"/>
        <item x="47"/>
        <item x="48"/>
        <item x="49"/>
        <item x="50"/>
        <item x="51"/>
        <item x="52"/>
        <item x="53"/>
        <item x="54"/>
        <item x="55"/>
        <item x="56"/>
        <item x="57"/>
        <item x="16"/>
        <item x="0"/>
        <item x="1"/>
        <item x="2"/>
        <item x="3"/>
        <item x="4"/>
        <item x="5"/>
        <item x="6"/>
        <item x="7"/>
        <item x="8"/>
        <item x="9"/>
        <item x="10"/>
        <item x="11"/>
        <item x="12"/>
        <item x="13"/>
        <item x="14"/>
        <item x="15"/>
        <item x="17"/>
        <item x="18"/>
        <item x="19"/>
        <item x="20"/>
        <item x="21"/>
        <item x="22"/>
        <item x="23"/>
        <item x="24"/>
        <item x="25"/>
        <item x="26"/>
        <item x="27"/>
        <item x="28"/>
        <item x="29"/>
        <item x="30"/>
        <item x="31"/>
        <item x="32"/>
        <item x="33"/>
        <item x="34"/>
        <item x="35"/>
        <item x="58"/>
        <item x="59"/>
        <item x="60"/>
        <item x="62"/>
        <item m="1" x="72"/>
        <item x="61"/>
        <item x="63"/>
        <item x="64"/>
        <item x="65"/>
        <item x="66"/>
        <item x="67"/>
        <item x="68"/>
        <item x="69"/>
        <item x="70"/>
        <item x="71"/>
        <item t="default"/>
      </items>
    </pivotField>
    <pivotField axis="axisRow" showAll="0">
      <items count="6">
        <item x="3"/>
        <item x="2"/>
        <item x="4"/>
        <item x="0"/>
        <item x="1"/>
        <item t="default"/>
      </items>
    </pivotField>
    <pivotField numFmtId="166" showAll="0"/>
    <pivotField numFmtId="14" showAll="0">
      <items count="75">
        <item x="36"/>
        <item x="37"/>
        <item x="38"/>
        <item x="39"/>
        <item x="40"/>
        <item x="41"/>
        <item x="42"/>
        <item x="43"/>
        <item x="44"/>
        <item x="45"/>
        <item x="46"/>
        <item x="47"/>
        <item x="48"/>
        <item x="49"/>
        <item x="50"/>
        <item x="51"/>
        <item x="52"/>
        <item x="53"/>
        <item x="54"/>
        <item x="55"/>
        <item x="56"/>
        <item x="57"/>
        <item x="16"/>
        <item x="1"/>
        <item x="2"/>
        <item x="3"/>
        <item x="4"/>
        <item x="5"/>
        <item x="6"/>
        <item x="7"/>
        <item x="8"/>
        <item x="9"/>
        <item x="10"/>
        <item x="11"/>
        <item m="1" x="73"/>
        <item x="12"/>
        <item x="13"/>
        <item x="14"/>
        <item x="15"/>
        <item x="17"/>
        <item x="18"/>
        <item x="19"/>
        <item x="20"/>
        <item x="21"/>
        <item x="22"/>
        <item x="23"/>
        <item x="24"/>
        <item x="25"/>
        <item x="26"/>
        <item x="27"/>
        <item x="28"/>
        <item x="29"/>
        <item x="30"/>
        <item x="31"/>
        <item x="32"/>
        <item x="33"/>
        <item x="34"/>
        <item m="1" x="72"/>
        <item x="0"/>
        <item x="35"/>
        <item x="58"/>
        <item x="59"/>
        <item x="60"/>
        <item x="61"/>
        <item x="62"/>
        <item x="63"/>
        <item x="64"/>
        <item x="65"/>
        <item x="66"/>
        <item x="67"/>
        <item x="68"/>
        <item x="69"/>
        <item x="70"/>
        <item x="71"/>
        <item t="default"/>
      </items>
    </pivotField>
    <pivotField showAll="0"/>
    <pivotField axis="axisPage" multipleItemSelectionAllowed="1" showAll="0">
      <items count="8">
        <item x="3"/>
        <item x="4"/>
        <item x="1"/>
        <item x="0"/>
        <item x="2"/>
        <item x="5"/>
        <item x="6"/>
        <item t="default"/>
      </items>
    </pivotField>
    <pivotField showAll="0" defaultSubtotal="0"/>
    <pivotField showAll="0" defaultSubtotal="0"/>
    <pivotField showAll="0" defaultSubtotal="0">
      <items count="8">
        <item x="4"/>
        <item x="5"/>
        <item x="2"/>
        <item x="3"/>
        <item x="0"/>
        <item x="1"/>
        <item x="6"/>
        <item x="7"/>
      </items>
    </pivotField>
    <pivotField showAll="0" defaultSubtotal="0"/>
    <pivotField showAll="0" defaultSubtotal="0"/>
    <pivotField showAll="0" defaultSubtotal="0">
      <items count="9">
        <item x="4"/>
        <item x="5"/>
        <item x="2"/>
        <item x="3"/>
        <item x="1"/>
        <item x="0"/>
        <item x="6"/>
        <item x="7"/>
        <item x="8"/>
      </items>
    </pivotField>
    <pivotField dataField="1" dragToRow="0" dragToCol="0" dragToPage="0" showAll="0" defaultSubtotal="0"/>
  </pivotFields>
  <rowFields count="1">
    <field x="1"/>
  </rowFields>
  <rowItems count="6">
    <i>
      <x/>
    </i>
    <i>
      <x v="1"/>
    </i>
    <i>
      <x v="2"/>
    </i>
    <i>
      <x v="3"/>
    </i>
    <i>
      <x v="4"/>
    </i>
    <i t="grand">
      <x/>
    </i>
  </rowItems>
  <colItems count="1">
    <i/>
  </colItems>
  <pageFields count="1">
    <pageField fld="5" hier="-1"/>
  </pageFields>
  <dataFields count="1">
    <dataField name="Soma de media" fld="12" baseField="0" baseItem="0" numFmtId="166"/>
  </dataFields>
  <formats count="1">
    <format dxfId="51">
      <pivotArea outline="0" collapsedLevelsAreSubtotals="1"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000000-0007-0000-0D00-00001E000000}" name="Tabela dinâmica5" cacheId="5"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3">
  <location ref="AB4:AC17" firstHeaderRow="1" firstDataRow="1" firstDataCol="1" rowPageCount="2" colPageCount="1"/>
  <pivotFields count="13">
    <pivotField numFmtId="14" showAll="0">
      <items count="7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2"/>
        <item m="1" x="72"/>
        <item x="61"/>
        <item x="63"/>
        <item x="64"/>
        <item x="65"/>
        <item x="66"/>
        <item x="67"/>
        <item x="68"/>
        <item x="69"/>
        <item x="70"/>
        <item x="71"/>
        <item t="default"/>
      </items>
    </pivotField>
    <pivotField axis="axisPage" multipleItemSelectionAllowed="1" showAll="0">
      <items count="6">
        <item h="1" x="3"/>
        <item h="1" x="2"/>
        <item h="1" x="4"/>
        <item x="0"/>
        <item h="1" x="1"/>
        <item t="default"/>
      </items>
    </pivotField>
    <pivotField dataField="1" numFmtId="166" showAll="0"/>
    <pivotField numFmtId="14" showAll="0">
      <items count="75">
        <item x="0"/>
        <item x="1"/>
        <item x="2"/>
        <item x="3"/>
        <item x="4"/>
        <item x="5"/>
        <item x="6"/>
        <item x="7"/>
        <item x="8"/>
        <item x="9"/>
        <item x="10"/>
        <item x="11"/>
        <item m="1" x="73"/>
        <item x="12"/>
        <item x="13"/>
        <item x="14"/>
        <item x="15"/>
        <item x="16"/>
        <item x="17"/>
        <item x="18"/>
        <item x="19"/>
        <item x="20"/>
        <item x="21"/>
        <item x="22"/>
        <item x="23"/>
        <item x="24"/>
        <item x="25"/>
        <item x="26"/>
        <item x="27"/>
        <item x="28"/>
        <item x="29"/>
        <item x="30"/>
        <item x="31"/>
        <item x="32"/>
        <item x="33"/>
        <item x="34"/>
        <item m="1" x="72"/>
        <item x="36"/>
        <item x="37"/>
        <item x="38"/>
        <item x="39"/>
        <item x="40"/>
        <item x="41"/>
        <item x="42"/>
        <item x="43"/>
        <item x="44"/>
        <item x="45"/>
        <item x="46"/>
        <item x="47"/>
        <item x="48"/>
        <item x="49"/>
        <item x="50"/>
        <item x="51"/>
        <item x="52"/>
        <item x="53"/>
        <item x="54"/>
        <item x="55"/>
        <item x="56"/>
        <item x="57"/>
        <item x="35"/>
        <item x="58"/>
        <item x="59"/>
        <item x="60"/>
        <item x="61"/>
        <item x="62"/>
        <item x="63"/>
        <item x="64"/>
        <item x="65"/>
        <item x="66"/>
        <item x="67"/>
        <item x="68"/>
        <item x="69"/>
        <item x="70"/>
        <item x="71"/>
        <item t="default"/>
      </items>
    </pivotField>
    <pivotField showAll="0"/>
    <pivotField axis="axisPage" multipleItemSelectionAllowed="1" showAll="0">
      <items count="8">
        <item h="1" x="0"/>
        <item h="1" x="1"/>
        <item x="2"/>
        <item h="1" x="3"/>
        <item h="1" x="4"/>
        <item h="1" x="5"/>
        <item h="1" x="6"/>
        <item t="default"/>
      </items>
    </pivotField>
    <pivotField showAll="0" defaultSubtotal="0"/>
    <pivotField showAll="0" defaultSubtotal="0"/>
    <pivotField showAll="0" defaultSubtotal="0">
      <items count="8">
        <item x="0"/>
        <item x="1"/>
        <item x="2"/>
        <item x="3"/>
        <item x="4"/>
        <item x="5"/>
        <item x="6"/>
        <item x="7"/>
      </items>
    </pivotField>
    <pivotField axis="axisRow" showAll="0" defaultSubtotal="0">
      <items count="14">
        <item x="0"/>
        <item x="1"/>
        <item x="2"/>
        <item x="3"/>
        <item x="4"/>
        <item x="5"/>
        <item x="6"/>
        <item x="7"/>
        <item x="8"/>
        <item x="9"/>
        <item x="10"/>
        <item x="11"/>
        <item x="12"/>
        <item x="13"/>
      </items>
    </pivotField>
    <pivotField showAll="0" defaultSubtotal="0"/>
    <pivotField showAll="0" defaultSubtotal="0">
      <items count="9">
        <item x="0"/>
        <item x="1"/>
        <item x="2"/>
        <item x="3"/>
        <item x="4"/>
        <item x="5"/>
        <item x="6"/>
        <item x="7"/>
        <item x="8"/>
      </items>
    </pivotField>
    <pivotField dragToRow="0" dragToCol="0" dragToPage="0" showAll="0" defaultSubtotal="0"/>
  </pivotFields>
  <rowFields count="1">
    <field x="9"/>
  </rowFields>
  <rowItems count="13">
    <i>
      <x v="1"/>
    </i>
    <i>
      <x v="2"/>
    </i>
    <i>
      <x v="3"/>
    </i>
    <i>
      <x v="4"/>
    </i>
    <i>
      <x v="5"/>
    </i>
    <i>
      <x v="6"/>
    </i>
    <i>
      <x v="7"/>
    </i>
    <i>
      <x v="8"/>
    </i>
    <i>
      <x v="9"/>
    </i>
    <i>
      <x v="10"/>
    </i>
    <i>
      <x v="11"/>
    </i>
    <i>
      <x v="12"/>
    </i>
    <i t="grand">
      <x/>
    </i>
  </rowItems>
  <colItems count="1">
    <i/>
  </colItems>
  <pageFields count="2">
    <pageField fld="5" hier="-1"/>
    <pageField fld="1" hier="-1"/>
  </pageFields>
  <dataFields count="1">
    <dataField name="Soma de Comissão" fld="2" baseField="0" baseItem="0" numFmtId="166"/>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vendas2026" displayName="vendas2026" ref="A1:V224" totalsRowCount="1" headerRowDxfId="394" dataDxfId="392" headerRowBorderDxfId="393" tableBorderDxfId="391" totalsRowBorderDxfId="390">
  <autoFilter ref="A1:V223" xr:uid="{00000000-0009-0000-0100-000001000000}">
    <filterColumn colId="0">
      <dynamicFilter type="lastMonth" val="46174" maxVal="46204"/>
    </filterColumn>
  </autoFilter>
  <tableColumns count="22">
    <tableColumn id="1" xr3:uid="{00000000-0010-0000-0000-000001000000}" name="Data" totalsRowLabel="Total" dataDxfId="389" totalsRowDxfId="39"/>
    <tableColumn id="2" xr3:uid="{00000000-0010-0000-0000-000002000000}" name="Ticket" dataDxfId="388" totalsRowDxfId="38"/>
    <tableColumn id="3" xr3:uid="{00000000-0010-0000-0000-000003000000}" name="Vendedor" dataDxfId="387" totalsRowDxfId="37"/>
    <tableColumn id="4" xr3:uid="{00000000-0010-0000-0000-000004000000}" name="Cliente" dataDxfId="386" totalsRowDxfId="36"/>
    <tableColumn id="5" xr3:uid="{00000000-0010-0000-0000-000005000000}" name="Produto" dataDxfId="385" totalsRowDxfId="35"/>
    <tableColumn id="6" xr3:uid="{00000000-0010-0000-0000-000006000000}" name="TipoReceita" dataDxfId="384" totalsRowDxfId="34"/>
    <tableColumn id="7" xr3:uid="{00000000-0010-0000-0000-000007000000}" name="Qtde" totalsRowFunction="sum" dataDxfId="383" totalsRowDxfId="33"/>
    <tableColumn id="8" xr3:uid="{00000000-0010-0000-0000-000008000000}" name="VlrUnitário" dataDxfId="382" totalsRowDxfId="32"/>
    <tableColumn id="9" xr3:uid="{00000000-0010-0000-0000-000009000000}" name="VlrTotal" totalsRowFunction="sum" dataDxfId="381" totalsRowDxfId="31"/>
    <tableColumn id="21" xr3:uid="{00000000-0010-0000-0000-000015000000}" name="Vlr Meta" totalsRowFunction="sum" dataDxfId="380" totalsRowDxfId="30"/>
    <tableColumn id="10" xr3:uid="{00000000-0010-0000-0000-00000A000000}" name="%Comissão" dataDxfId="379" totalsRowDxfId="29" dataCellStyle="Porcentagem"/>
    <tableColumn id="11" xr3:uid="{00000000-0010-0000-0000-00000B000000}" name="%ComissãoSupervisor" dataDxfId="378" totalsRowDxfId="28" dataCellStyle="Porcentagem"/>
    <tableColumn id="12" xr3:uid="{00000000-0010-0000-0000-00000C000000}" name="Base" dataDxfId="377" totalsRowDxfId="27"/>
    <tableColumn id="13" xr3:uid="{00000000-0010-0000-0000-00000D000000}" name="ComissãoVendedor " totalsRowFunction="sum" dataDxfId="376" totalsRowDxfId="26"/>
    <tableColumn id="14" xr3:uid="{00000000-0010-0000-0000-00000E000000}" name="ComissãoSupervisor" totalsRowFunction="sum" dataDxfId="375" totalsRowDxfId="25"/>
    <tableColumn id="15" xr3:uid="{00000000-0010-0000-0000-00000F000000}" name="Clicksign" dataDxfId="374" totalsRowDxfId="24"/>
    <tableColumn id="16" xr3:uid="{00000000-0010-0000-0000-000010000000}" name="Contrato_Termo Aditivo" dataDxfId="373" totalsRowDxfId="23"/>
    <tableColumn id="17" xr3:uid="{00000000-0010-0000-0000-000011000000}" name="Obs" dataDxfId="372" totalsRowDxfId="22"/>
    <tableColumn id="18" xr3:uid="{00000000-0010-0000-0000-000012000000}" name="Parcelas" dataDxfId="371" totalsRowDxfId="21"/>
    <tableColumn id="22" xr3:uid="{00000000-0010-0000-0000-000016000000}" name="Data Contrato" dataDxfId="370" totalsRowDxfId="20"/>
    <tableColumn id="19" xr3:uid="{00000000-0010-0000-0000-000013000000}" name="Contrato" dataDxfId="369" totalsRowDxfId="19"/>
    <tableColumn id="20" xr3:uid="{00000000-0010-0000-0000-000014000000}" name="SDR_RESPONSÁVEL" totalsRowFunction="count" dataDxfId="368" totalsRowDxfId="1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metas" displayName="metas" ref="M1:AC61" totalsRowShown="0" headerRowDxfId="367">
  <autoFilter ref="M1:AC61" xr:uid="{00000000-0009-0000-0100-000002000000}">
    <filterColumn colId="1">
      <filters>
        <dateGroupItem year="2026" dateTimeGrouping="year"/>
      </filters>
    </filterColumn>
  </autoFilter>
  <tableColumns count="17">
    <tableColumn id="1" xr3:uid="{00000000-0010-0000-0100-000001000000}" name="Ano" dataDxfId="366"/>
    <tableColumn id="15" xr3:uid="{00000000-0010-0000-0100-00000F000000}" name="Mês" dataDxfId="365"/>
    <tableColumn id="2" xr3:uid="{00000000-0010-0000-0100-000002000000}" name="Vendedor"/>
    <tableColumn id="16" xr3:uid="{00000000-0010-0000-0100-000010000000}" name="Lead" dataDxfId="364"/>
    <tableColumn id="3" xr3:uid="{00000000-0010-0000-0100-000003000000}" name="Propsota" dataDxfId="363"/>
    <tableColumn id="4" xr3:uid="{00000000-0010-0000-0100-000004000000}" name="Apresentação" dataDxfId="362"/>
    <tableColumn id="5" xr3:uid="{00000000-0010-0000-0100-000005000000}" name="Meta Individual" dataDxfId="361"/>
    <tableColumn id="6" xr3:uid="{00000000-0010-0000-0100-000006000000}" name="Meta Equipe" dataDxfId="360"/>
    <tableColumn id="7" xr3:uid="{00000000-0010-0000-0100-000007000000}" name="Meta Projetos" dataDxfId="359"/>
    <tableColumn id="17" xr3:uid="{00000000-0010-0000-0100-000011000000}" name="OBLead" dataDxfId="358"/>
    <tableColumn id="8" xr3:uid="{00000000-0010-0000-0100-000008000000}" name="OB Proposta "/>
    <tableColumn id="9" xr3:uid="{00000000-0010-0000-0100-000009000000}" name="OB Apresentação"/>
    <tableColumn id="10" xr3:uid="{00000000-0010-0000-0100-00000A000000}" name="OB Individual" dataDxfId="357"/>
    <tableColumn id="11" xr3:uid="{00000000-0010-0000-0100-00000B000000}" name="OBEquipe" dataDxfId="356"/>
    <tableColumn id="12" xr3:uid="{00000000-0010-0000-0100-00000C000000}" name="OB Projetos" dataDxfId="355"/>
    <tableColumn id="13" xr3:uid="{00000000-0010-0000-0100-00000D000000}" name="OBI" dataDxfId="354" dataCellStyle="Porcentagem">
      <calculatedColumnFormula>metas[[#This Row],[Meta Individual]]/metas[[#This Row],[OB Individual]]</calculatedColumnFormula>
    </tableColumn>
    <tableColumn id="14" xr3:uid="{00000000-0010-0000-0100-00000E000000}" name="OBE" dataDxfId="353" dataCellStyle="Porcentagem"/>
  </tableColumns>
  <tableStyleInfo name="TableStyleLight8"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forecast" displayName="forecast" ref="A1:I83" totalsRowShown="0" dataDxfId="308">
  <autoFilter ref="A1:I83" xr:uid="{00000000-0009-0000-0100-000003000000}"/>
  <tableColumns count="9">
    <tableColumn id="1" xr3:uid="{00000000-0010-0000-0200-000001000000}" name="Qtde">
      <calculatedColumnFormula>A1+1</calculatedColumnFormula>
    </tableColumn>
    <tableColumn id="2" xr3:uid="{00000000-0010-0000-0200-000002000000}" name="Cliente" dataDxfId="307"/>
    <tableColumn id="3" xr3:uid="{00000000-0010-0000-0200-000003000000}" name="Produto"/>
    <tableColumn id="4" xr3:uid="{00000000-0010-0000-0200-000004000000}" name="Responsável" dataDxfId="306"/>
    <tableColumn id="5" xr3:uid="{00000000-0010-0000-0200-000005000000}" name="Vlr Projeto" dataDxfId="305"/>
    <tableColumn id="6" xr3:uid="{00000000-0010-0000-0200-000006000000}" name="Mensalidade" dataDxfId="304"/>
    <tableColumn id="7" xr3:uid="{00000000-0010-0000-0200-000007000000}" name="Horas" dataDxfId="303"/>
    <tableColumn id="8" xr3:uid="{00000000-0010-0000-0200-000008000000}" name="Pipeline"/>
    <tableColumn id="9" xr3:uid="{00000000-0010-0000-0200-000009000000}" name="Temperatura" dataDxfId="302"/>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ela11" displayName="Tabela11" ref="A1:U62" totalsRowCount="1" headerRowDxfId="301" dataDxfId="300">
  <autoFilter ref="A1:U61" xr:uid="{00000000-0009-0000-0100-000004000000}"/>
  <tableColumns count="21">
    <tableColumn id="1" xr3:uid="{00000000-0010-0000-0300-000001000000}" name="Data" totalsRowLabel="Total" dataDxfId="299" totalsRowDxfId="298"/>
    <tableColumn id="2" xr3:uid="{00000000-0010-0000-0300-000002000000}" name="Ticket" dataDxfId="297" totalsRowDxfId="296"/>
    <tableColumn id="3" xr3:uid="{00000000-0010-0000-0300-000003000000}" name="Vendedor" dataDxfId="295" totalsRowDxfId="294"/>
    <tableColumn id="4" xr3:uid="{00000000-0010-0000-0300-000004000000}" name="Cliente" dataDxfId="293" totalsRowDxfId="292"/>
    <tableColumn id="5" xr3:uid="{00000000-0010-0000-0300-000005000000}" name="Produto" dataDxfId="291" totalsRowDxfId="290"/>
    <tableColumn id="6" xr3:uid="{00000000-0010-0000-0300-000006000000}" name="TipoReceita" dataDxfId="289" totalsRowDxfId="288"/>
    <tableColumn id="7" xr3:uid="{00000000-0010-0000-0300-000007000000}" name="Qtde" dataDxfId="287" totalsRowDxfId="286"/>
    <tableColumn id="8" xr3:uid="{00000000-0010-0000-0300-000008000000}" name="VlrUnitário" dataDxfId="285" totalsRowDxfId="284"/>
    <tableColumn id="9" xr3:uid="{00000000-0010-0000-0300-000009000000}" name="VlrTotal" totalsRowFunction="sum" dataDxfId="283" totalsRowDxfId="282"/>
    <tableColumn id="10" xr3:uid="{00000000-0010-0000-0300-00000A000000}" name="Vlr Meta" totalsRowFunction="sum" dataDxfId="281" totalsRowDxfId="280"/>
    <tableColumn id="11" xr3:uid="{00000000-0010-0000-0300-00000B000000}" name="%Comissão" dataDxfId="279" totalsRowDxfId="278" dataCellStyle="Porcentagem"/>
    <tableColumn id="12" xr3:uid="{00000000-0010-0000-0300-00000C000000}" name="%ComissãoSupervisor" dataDxfId="277" totalsRowDxfId="276" dataCellStyle="Porcentagem"/>
    <tableColumn id="13" xr3:uid="{00000000-0010-0000-0300-00000D000000}" name="Base" dataDxfId="275" totalsRowDxfId="274"/>
    <tableColumn id="14" xr3:uid="{00000000-0010-0000-0300-00000E000000}" name="ComissãoVendedor " totalsRowFunction="sum" dataDxfId="273" totalsRowDxfId="272"/>
    <tableColumn id="15" xr3:uid="{00000000-0010-0000-0300-00000F000000}" name="ComissãoSupervisor" totalsRowFunction="sum" dataDxfId="271" totalsRowDxfId="270"/>
    <tableColumn id="16" xr3:uid="{00000000-0010-0000-0300-000010000000}" name="Clicksign" dataDxfId="269" totalsRowDxfId="268"/>
    <tableColumn id="17" xr3:uid="{00000000-0010-0000-0300-000011000000}" name="Contrato_Termo Aditivo" dataDxfId="267" totalsRowDxfId="266"/>
    <tableColumn id="18" xr3:uid="{00000000-0010-0000-0300-000012000000}" name="Obs" dataDxfId="265" totalsRowDxfId="264"/>
    <tableColumn id="19" xr3:uid="{00000000-0010-0000-0300-000013000000}" name="Parcelas" dataDxfId="263" totalsRowDxfId="262"/>
    <tableColumn id="20" xr3:uid="{00000000-0010-0000-0300-000014000000}" name="Contrato" dataDxfId="261" totalsRowDxfId="260"/>
    <tableColumn id="21" xr3:uid="{00000000-0010-0000-0300-000015000000}" name="SDR_RESPONSÁVEL" totalsRowFunction="count" dataDxfId="259" totalsRowDxfId="258"/>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ela3" displayName="Tabela3" ref="A1:T40" totalsRowCount="1" headerRowDxfId="257" dataDxfId="255" totalsRowDxfId="253" headerRowBorderDxfId="256" tableBorderDxfId="254" totalsRowBorderDxfId="252">
  <autoFilter ref="A1:T39" xr:uid="{00000000-0009-0000-0100-000005000000}"/>
  <tableColumns count="20">
    <tableColumn id="1" xr3:uid="{00000000-0010-0000-0400-000001000000}" name="Data" totalsRowLabel="Total" dataDxfId="251" totalsRowDxfId="250"/>
    <tableColumn id="2" xr3:uid="{00000000-0010-0000-0400-000002000000}" name="Ticket" dataDxfId="249" totalsRowDxfId="248"/>
    <tableColumn id="3" xr3:uid="{00000000-0010-0000-0400-000003000000}" name="Vendedor" dataDxfId="247" totalsRowDxfId="246"/>
    <tableColumn id="4" xr3:uid="{00000000-0010-0000-0400-000004000000}" name="Cliente" dataDxfId="245" totalsRowDxfId="244"/>
    <tableColumn id="5" xr3:uid="{00000000-0010-0000-0400-000005000000}" name="Produto" dataDxfId="243" totalsRowDxfId="242"/>
    <tableColumn id="6" xr3:uid="{00000000-0010-0000-0400-000006000000}" name="TipoReceita" dataDxfId="241" totalsRowDxfId="240"/>
    <tableColumn id="7" xr3:uid="{00000000-0010-0000-0400-000007000000}" name="Qtde" dataDxfId="239" totalsRowDxfId="238"/>
    <tableColumn id="8" xr3:uid="{00000000-0010-0000-0400-000008000000}" name="VlrUnitário" dataDxfId="237" totalsRowDxfId="236"/>
    <tableColumn id="9" xr3:uid="{00000000-0010-0000-0400-000009000000}" name="VlrTotal" totalsRowFunction="sum" dataDxfId="235" totalsRowDxfId="234"/>
    <tableColumn id="10" xr3:uid="{00000000-0010-0000-0400-00000A000000}" name="%Comissão" dataDxfId="233" totalsRowDxfId="232" dataCellStyle="Porcentagem"/>
    <tableColumn id="11" xr3:uid="{00000000-0010-0000-0400-00000B000000}" name="%ComissãoSupervisor" dataDxfId="231" totalsRowDxfId="230" dataCellStyle="Porcentagem"/>
    <tableColumn id="12" xr3:uid="{00000000-0010-0000-0400-00000C000000}" name="Base" dataDxfId="229" totalsRowDxfId="228"/>
    <tableColumn id="13" xr3:uid="{00000000-0010-0000-0400-00000D000000}" name="ComissãoVendedor " totalsRowFunction="sum" dataDxfId="227" totalsRowDxfId="226"/>
    <tableColumn id="14" xr3:uid="{00000000-0010-0000-0400-00000E000000}" name="ComissãoSupervisor" totalsRowFunction="sum" dataDxfId="225" totalsRowDxfId="224"/>
    <tableColumn id="15" xr3:uid="{00000000-0010-0000-0400-00000F000000}" name="Clicksign" dataDxfId="223" totalsRowDxfId="222"/>
    <tableColumn id="16" xr3:uid="{00000000-0010-0000-0400-000010000000}" name="Contrato_Termo Aditivo" dataDxfId="221" totalsRowDxfId="220"/>
    <tableColumn id="17" xr3:uid="{00000000-0010-0000-0400-000011000000}" name="Obs" dataDxfId="219" totalsRowDxfId="218"/>
    <tableColumn id="18" xr3:uid="{00000000-0010-0000-0400-000012000000}" name="Parcelas" dataDxfId="217" totalsRowDxfId="216"/>
    <tableColumn id="19" xr3:uid="{00000000-0010-0000-0400-000013000000}" name="Contrato" dataDxfId="215" totalsRowDxfId="214"/>
    <tableColumn id="20" xr3:uid="{00000000-0010-0000-0400-000014000000}" name="SDR_RESPONSÁVEL" totalsRowFunction="count" dataDxfId="213" totalsRowDxfId="212"/>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Vendas2025" displayName="Vendas2025" ref="A1:T473" totalsRowCount="1" headerRowDxfId="97" dataDxfId="95" totalsRowDxfId="93" headerRowBorderDxfId="96" tableBorderDxfId="94" totalsRowBorderDxfId="92">
  <autoFilter ref="A1:T472" xr:uid="{00000000-0009-0000-0100-000006000000}"/>
  <tableColumns count="20">
    <tableColumn id="1" xr3:uid="{00000000-0010-0000-0500-000001000000}" name="Data" dataDxfId="91" totalsRowDxfId="90"/>
    <tableColumn id="2" xr3:uid="{00000000-0010-0000-0500-000002000000}" name="Ticket" dataDxfId="89" totalsRowDxfId="88"/>
    <tableColumn id="20" xr3:uid="{00000000-0010-0000-0500-000014000000}" name="Vendedor" dataDxfId="87" totalsRowDxfId="86"/>
    <tableColumn id="21" xr3:uid="{00000000-0010-0000-0500-000015000000}" name="Cliente" dataDxfId="85" totalsRowDxfId="84"/>
    <tableColumn id="4" xr3:uid="{00000000-0010-0000-0500-000004000000}" name="Produto" dataDxfId="83" totalsRowDxfId="82"/>
    <tableColumn id="22" xr3:uid="{00000000-0010-0000-0500-000016000000}" name="TipoReceita" dataDxfId="81" totalsRowDxfId="80"/>
    <tableColumn id="5" xr3:uid="{00000000-0010-0000-0500-000005000000}" name="Qtde" totalsRowFunction="sum" dataDxfId="79" totalsRowDxfId="78"/>
    <tableColumn id="6" xr3:uid="{00000000-0010-0000-0500-000006000000}" name="VlrUnitário" dataDxfId="77" totalsRowDxfId="76"/>
    <tableColumn id="7" xr3:uid="{00000000-0010-0000-0500-000007000000}" name="VlrTotal" totalsRowFunction="sum" dataDxfId="75" totalsRowDxfId="74"/>
    <tableColumn id="8" xr3:uid="{00000000-0010-0000-0500-000008000000}" name="%Comissão" dataDxfId="73" totalsRowDxfId="72"/>
    <tableColumn id="24" xr3:uid="{00000000-0010-0000-0500-000018000000}" name="%ComissãoSupervisor" dataDxfId="71" totalsRowDxfId="70" dataCellStyle="Porcentagem"/>
    <tableColumn id="23" xr3:uid="{00000000-0010-0000-0500-000017000000}" name="Base" dataDxfId="69" totalsRowDxfId="68"/>
    <tableColumn id="12" xr3:uid="{00000000-0010-0000-0500-00000C000000}" name="ComissãoVendedor " totalsRowFunction="sum" dataDxfId="67" totalsRowDxfId="66"/>
    <tableColumn id="19" xr3:uid="{00000000-0010-0000-0500-000013000000}" name="ComissãoSupervisor" totalsRowFunction="sum" dataDxfId="65" totalsRowDxfId="64">
      <calculatedColumnFormula>I2*K2</calculatedColumnFormula>
    </tableColumn>
    <tableColumn id="13" xr3:uid="{00000000-0010-0000-0500-00000D000000}" name="Clicksign" dataDxfId="63" totalsRowDxfId="62"/>
    <tableColumn id="15" xr3:uid="{00000000-0010-0000-0500-00000F000000}" name="Contrato_Termo Aditivo" dataDxfId="61" totalsRowDxfId="60"/>
    <tableColumn id="18" xr3:uid="{00000000-0010-0000-0500-000012000000}" name="Obs" dataDxfId="59" totalsRowDxfId="58"/>
    <tableColumn id="3" xr3:uid="{00000000-0010-0000-0500-000003000000}" name="Parcelas" dataDxfId="57" totalsRowDxfId="56"/>
    <tableColumn id="9" xr3:uid="{00000000-0010-0000-0500-000009000000}" name="Contrato" dataDxfId="55" totalsRowDxfId="54"/>
    <tableColumn id="10" xr3:uid="{00000000-0010-0000-0500-00000A000000}" name="SDR_RESPONSÁVEL" totalsRowFunction="count" dataDxfId="53" totalsRowDxfId="52"/>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comissao" displayName="comissao" ref="A867:F1039" totalsRowShown="0" headerRowDxfId="47" dataDxfId="46">
  <autoFilter ref="A867:F1039" xr:uid="{00000000-0009-0000-0100-000007000000}">
    <filterColumn colId="0">
      <filters>
        <dateGroupItem year="2026" dateTimeGrouping="year"/>
      </filters>
    </filterColumn>
  </autoFilter>
  <tableColumns count="6">
    <tableColumn id="1" xr3:uid="{00000000-0010-0000-0600-000001000000}" name="Mês" dataDxfId="45"/>
    <tableColumn id="2" xr3:uid="{00000000-0010-0000-0600-000002000000}" name="Vendedor" dataDxfId="44"/>
    <tableColumn id="3" xr3:uid="{00000000-0010-0000-0600-000003000000}" name="Comissão" dataDxfId="43"/>
    <tableColumn id="4" xr3:uid="{00000000-0010-0000-0600-000004000000}" name="Pago em" dataDxfId="42"/>
    <tableColumn id="5" xr3:uid="{00000000-0010-0000-0600-000005000000}" name="Count" dataDxfId="41"/>
    <tableColumn id="6" xr3:uid="{00000000-0010-0000-0600-000006000000}" name="Ano" dataDxfId="40"/>
  </tableColumns>
  <tableStyleInfo name="TableStyleLight8"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2.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5" Type="http://schemas.openxmlformats.org/officeDocument/2006/relationships/drawing" Target="../drawings/drawing1.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3.xml"/></Relationships>
</file>

<file path=xl/worksheets/_rels/sheet9.xml.rels><?xml version="1.0" encoding="UTF-8" standalone="yes"?>
<Relationships xmlns="http://schemas.openxmlformats.org/package/2006/relationships"><Relationship Id="rId1"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5.xml"/></Relationships>
</file>

<file path=xl/worksheets/_rels/sheet11.xml.rels><?xml version="1.0" encoding="UTF-8" standalone="yes"?>
<Relationships xmlns="http://schemas.openxmlformats.org/package/2006/relationships"><Relationship Id="rId3" Type="http://schemas.openxmlformats.org/officeDocument/2006/relationships/pivotTable" Target="../pivotTables/pivotTable17.xml"/><Relationship Id="rId2" Type="http://schemas.openxmlformats.org/officeDocument/2006/relationships/pivotTable" Target="../pivotTables/pivotTable16.xml"/><Relationship Id="rId1" Type="http://schemas.openxmlformats.org/officeDocument/2006/relationships/pivotTable" Target="../pivotTables/pivotTable15.xml"/><Relationship Id="rId5" Type="http://schemas.openxmlformats.org/officeDocument/2006/relationships/pivotTable" Target="../pivotTables/pivotTable19.xml"/><Relationship Id="rId4" Type="http://schemas.openxmlformats.org/officeDocument/2006/relationships/pivotTable" Target="../pivotTables/pivotTable18.xml"/></Relationships>
</file>

<file path=xl/worksheets/_rels/sheet12.xml.rels><?xml version="1.0" encoding="UTF-8" standalone="yes"?>
<Relationships xmlns="http://schemas.openxmlformats.org/package/2006/relationships"><Relationship Id="rId3" Type="http://schemas.openxmlformats.org/officeDocument/2006/relationships/pivotTable" Target="../pivotTables/pivotTable22.xml"/><Relationship Id="rId2" Type="http://schemas.openxmlformats.org/officeDocument/2006/relationships/pivotTable" Target="../pivotTables/pivotTable21.xml"/><Relationship Id="rId1" Type="http://schemas.openxmlformats.org/officeDocument/2006/relationships/pivotTable" Target="../pivotTables/pivotTable20.xml"/><Relationship Id="rId6" Type="http://schemas.openxmlformats.org/officeDocument/2006/relationships/drawing" Target="../drawings/drawing2.xml"/><Relationship Id="rId5" Type="http://schemas.openxmlformats.org/officeDocument/2006/relationships/pivotTable" Target="../pivotTables/pivotTable24.xml"/><Relationship Id="rId4" Type="http://schemas.openxmlformats.org/officeDocument/2006/relationships/pivotTable" Target="../pivotTables/pivotTable23.xml"/></Relationships>
</file>

<file path=xl/worksheets/_rels/sheet1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6.xml"/><Relationship Id="rId1" Type="http://schemas.openxmlformats.org/officeDocument/2006/relationships/vmlDrawing" Target="../drawings/vmlDrawing2.vml"/></Relationships>
</file>

<file path=xl/worksheets/_rels/sheet14.xml.rels><?xml version="1.0" encoding="UTF-8" standalone="yes"?>
<Relationships xmlns="http://schemas.openxmlformats.org/package/2006/relationships"><Relationship Id="rId8" Type="http://schemas.openxmlformats.org/officeDocument/2006/relationships/drawing" Target="../drawings/drawing3.xml"/><Relationship Id="rId3" Type="http://schemas.openxmlformats.org/officeDocument/2006/relationships/pivotTable" Target="../pivotTables/pivotTable27.xml"/><Relationship Id="rId7" Type="http://schemas.openxmlformats.org/officeDocument/2006/relationships/pivotTable" Target="../pivotTables/pivotTable31.xml"/><Relationship Id="rId2" Type="http://schemas.openxmlformats.org/officeDocument/2006/relationships/pivotTable" Target="../pivotTables/pivotTable26.xml"/><Relationship Id="rId1" Type="http://schemas.openxmlformats.org/officeDocument/2006/relationships/pivotTable" Target="../pivotTables/pivotTable25.xml"/><Relationship Id="rId6" Type="http://schemas.openxmlformats.org/officeDocument/2006/relationships/pivotTable" Target="../pivotTables/pivotTable30.xml"/><Relationship Id="rId5" Type="http://schemas.openxmlformats.org/officeDocument/2006/relationships/pivotTable" Target="../pivotTables/pivotTable29.xml"/><Relationship Id="rId4" Type="http://schemas.openxmlformats.org/officeDocument/2006/relationships/pivotTable" Target="../pivotTables/pivotTable28.xml"/><Relationship Id="rId9"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V5"/>
  <sheetViews>
    <sheetView workbookViewId="0">
      <selection activeCell="B10" sqref="B10"/>
    </sheetView>
  </sheetViews>
  <sheetFormatPr defaultRowHeight="15" x14ac:dyDescent="0.25"/>
  <cols>
    <col min="1" max="1" width="10.28515625" bestFit="1" customWidth="1"/>
  </cols>
  <sheetData>
    <row r="1" spans="1:22" s="389" customFormat="1" ht="43.15" customHeight="1" x14ac:dyDescent="0.25">
      <c r="A1" s="68" t="s">
        <v>0</v>
      </c>
      <c r="B1" s="69" t="s">
        <v>1</v>
      </c>
      <c r="C1" s="69" t="s">
        <v>2</v>
      </c>
      <c r="D1" s="69" t="s">
        <v>3</v>
      </c>
      <c r="E1" s="69" t="s">
        <v>4</v>
      </c>
      <c r="F1" s="69" t="s">
        <v>5</v>
      </c>
      <c r="G1" s="69" t="s">
        <v>6</v>
      </c>
      <c r="H1" s="69" t="s">
        <v>7</v>
      </c>
      <c r="I1" s="69" t="s">
        <v>8</v>
      </c>
      <c r="J1" s="69" t="s">
        <v>9</v>
      </c>
      <c r="K1" s="69" t="s">
        <v>10</v>
      </c>
      <c r="L1" s="70" t="s">
        <v>11</v>
      </c>
      <c r="M1" s="69" t="s">
        <v>12</v>
      </c>
      <c r="N1" s="70" t="s">
        <v>13</v>
      </c>
      <c r="O1" s="70" t="s">
        <v>14</v>
      </c>
      <c r="P1" s="69" t="s">
        <v>15</v>
      </c>
      <c r="Q1" s="70" t="s">
        <v>16</v>
      </c>
      <c r="R1" s="69" t="s">
        <v>17</v>
      </c>
      <c r="S1" s="69" t="s">
        <v>18</v>
      </c>
      <c r="T1" s="69" t="s">
        <v>19</v>
      </c>
      <c r="U1" s="69" t="s">
        <v>20</v>
      </c>
      <c r="V1" s="71" t="s">
        <v>21</v>
      </c>
    </row>
    <row r="2" spans="1:22" s="256" customFormat="1" x14ac:dyDescent="0.25">
      <c r="A2" s="90">
        <v>46147</v>
      </c>
      <c r="B2" s="379">
        <v>141516</v>
      </c>
      <c r="C2" s="379" t="s">
        <v>31</v>
      </c>
      <c r="D2" s="379" t="s">
        <v>151</v>
      </c>
      <c r="E2" s="379" t="s">
        <v>152</v>
      </c>
      <c r="F2" s="379" t="s">
        <v>30</v>
      </c>
      <c r="G2" s="383">
        <v>1</v>
      </c>
      <c r="H2" s="384">
        <v>3001.35</v>
      </c>
      <c r="I2" s="385">
        <f>vendas2026[[#This Row],[Qtde]]*vendas2026[[#This Row],[VlrUnitário]]</f>
        <v>21060</v>
      </c>
      <c r="J2" s="386">
        <f>(vendas2026[[#This Row],[VlrTotal]]*0.2)+vendas2026[[#This Row],[VlrTotal]]</f>
        <v>21404.519999999997</v>
      </c>
      <c r="K2" s="387">
        <v>1</v>
      </c>
      <c r="L2" s="387">
        <f>vendas2026[[#This Row],[%Comissão]]*0.25</f>
        <v>1.7500000000000002E-2</v>
      </c>
      <c r="M2" s="385" t="s">
        <v>26</v>
      </c>
      <c r="N2" s="386">
        <f>vendas2026[[#This Row],[VlrTotal]]*vendas2026[[#This Row],[%Comissão]]</f>
        <v>1248.597</v>
      </c>
      <c r="O2" s="385">
        <f>vendas2026[[#This Row],[VlrTotal]]*vendas2026[[#This Row],[%ComissãoSupervisor]]</f>
        <v>0</v>
      </c>
      <c r="P2" s="379" t="s">
        <v>27</v>
      </c>
      <c r="Q2" s="379" t="s">
        <v>27</v>
      </c>
      <c r="R2" s="379"/>
      <c r="S2" s="379">
        <v>1</v>
      </c>
      <c r="T2" s="380">
        <v>46156</v>
      </c>
      <c r="U2" s="379" t="s">
        <v>147</v>
      </c>
      <c r="V2" s="388" t="s">
        <v>31</v>
      </c>
    </row>
    <row r="3" spans="1:22" s="256" customFormat="1" x14ac:dyDescent="0.25">
      <c r="A3" s="90">
        <v>46154</v>
      </c>
      <c r="B3" s="379">
        <v>142403</v>
      </c>
      <c r="C3" s="379" t="s">
        <v>31</v>
      </c>
      <c r="D3" s="379" t="s">
        <v>153</v>
      </c>
      <c r="E3" s="379" t="s">
        <v>47</v>
      </c>
      <c r="F3" s="379" t="s">
        <v>25</v>
      </c>
      <c r="G3" s="383">
        <v>280</v>
      </c>
      <c r="H3" s="384">
        <v>210</v>
      </c>
      <c r="I3" s="385">
        <f>vendas2026[[#This Row],[Qtde]]*vendas2026[[#This Row],[VlrUnitário]]</f>
        <v>840</v>
      </c>
      <c r="J3" s="386">
        <f>vendas2026[[#This Row],[VlrTotal]]</f>
        <v>840</v>
      </c>
      <c r="K3" s="387">
        <v>7.0000000000000007E-2</v>
      </c>
      <c r="L3" s="387">
        <f>vendas2026[[#This Row],[%Comissão]]*0.25</f>
        <v>0.25</v>
      </c>
      <c r="M3" s="385" t="s">
        <v>46</v>
      </c>
      <c r="N3" s="386">
        <f>vendas2026[[#This Row],[VlrTotal]]*vendas2026[[#This Row],[%Comissão]]</f>
        <v>840</v>
      </c>
      <c r="O3" s="385">
        <f>vendas2026[[#This Row],[VlrTotal]]*vendas2026[[#This Row],[%ComissãoSupervisor]]</f>
        <v>0</v>
      </c>
      <c r="P3" s="379" t="s">
        <v>27</v>
      </c>
      <c r="Q3" s="379" t="s">
        <v>27</v>
      </c>
      <c r="R3" s="379"/>
      <c r="S3" s="379">
        <v>10</v>
      </c>
      <c r="T3" s="380"/>
      <c r="U3" s="379" t="s">
        <v>147</v>
      </c>
      <c r="V3" s="388" t="s">
        <v>31</v>
      </c>
    </row>
    <row r="4" spans="1:22" s="256" customFormat="1" x14ac:dyDescent="0.25">
      <c r="A4" s="90">
        <v>46154</v>
      </c>
      <c r="B4" s="379">
        <v>142403</v>
      </c>
      <c r="C4" s="379" t="s">
        <v>31</v>
      </c>
      <c r="D4" s="379" t="s">
        <v>153</v>
      </c>
      <c r="E4" s="379" t="s">
        <v>47</v>
      </c>
      <c r="F4" s="379" t="s">
        <v>30</v>
      </c>
      <c r="G4" s="383">
        <v>14</v>
      </c>
      <c r="H4" s="384">
        <v>275.82</v>
      </c>
      <c r="I4" s="385">
        <f>vendas2026[[#This Row],[Qtde]]*vendas2026[[#This Row],[VlrUnitário]]</f>
        <v>7999.8000000000011</v>
      </c>
      <c r="J4" s="386">
        <f>vendas2026[[#This Row],[VlrTotal]]</f>
        <v>7999.8000000000011</v>
      </c>
      <c r="K4" s="387">
        <v>1</v>
      </c>
      <c r="L4" s="387">
        <f>vendas2026[[#This Row],[%Comissão]]*0.25</f>
        <v>1.6674999999999999E-2</v>
      </c>
      <c r="M4" s="385" t="s">
        <v>46</v>
      </c>
      <c r="N4" s="386">
        <f>vendas2026[[#This Row],[VlrTotal]]*vendas2026[[#This Row],[%Comissão]]</f>
        <v>533.58666000000005</v>
      </c>
      <c r="O4" s="385">
        <f>vendas2026[[#This Row],[VlrTotal]]*vendas2026[[#This Row],[%ComissãoSupervisor]]</f>
        <v>133.39666500000001</v>
      </c>
      <c r="P4" s="379" t="s">
        <v>27</v>
      </c>
      <c r="Q4" s="379" t="s">
        <v>27</v>
      </c>
      <c r="R4" s="379"/>
      <c r="S4" s="379">
        <v>1</v>
      </c>
      <c r="T4" s="380"/>
      <c r="U4" s="379" t="s">
        <v>147</v>
      </c>
      <c r="V4" s="388" t="s">
        <v>31</v>
      </c>
    </row>
    <row r="5" spans="1:22" s="256" customFormat="1" x14ac:dyDescent="0.25">
      <c r="A5" s="90">
        <v>46154</v>
      </c>
      <c r="B5" s="379">
        <v>142403</v>
      </c>
      <c r="C5" s="379" t="s">
        <v>31</v>
      </c>
      <c r="D5" s="379" t="s">
        <v>153</v>
      </c>
      <c r="E5" s="379" t="s">
        <v>145</v>
      </c>
      <c r="F5" s="379" t="s">
        <v>30</v>
      </c>
      <c r="G5" s="383">
        <v>1</v>
      </c>
      <c r="H5" s="384">
        <v>320.76</v>
      </c>
      <c r="I5" s="385">
        <f>vendas2026[[#This Row],[Qtde]]*vendas2026[[#This Row],[VlrUnitário]]</f>
        <v>986.7</v>
      </c>
      <c r="J5" s="386">
        <f>vendas2026[[#This Row],[VlrTotal]]</f>
        <v>986.7</v>
      </c>
      <c r="K5" s="387">
        <v>1</v>
      </c>
      <c r="L5" s="387">
        <f>vendas2026[[#This Row],[%Comissão]]*0.25</f>
        <v>0.25</v>
      </c>
      <c r="M5" s="385" t="s">
        <v>46</v>
      </c>
      <c r="N5" s="386">
        <f>vendas2026[[#This Row],[VlrTotal]]*vendas2026[[#This Row],[%Comissão]]</f>
        <v>986.7</v>
      </c>
      <c r="O5" s="385">
        <f>vendas2026[[#This Row],[VlrTotal]]*vendas2026[[#This Row],[%ComissãoSupervisor]]</f>
        <v>246.67500000000001</v>
      </c>
      <c r="P5" s="379" t="s">
        <v>27</v>
      </c>
      <c r="Q5" s="379" t="s">
        <v>27</v>
      </c>
      <c r="R5" s="379"/>
      <c r="S5" s="379">
        <v>1</v>
      </c>
      <c r="T5" s="380"/>
      <c r="U5" s="379" t="s">
        <v>147</v>
      </c>
      <c r="V5" s="388" t="s">
        <v>31</v>
      </c>
    </row>
  </sheetData>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B8D2C9"/>
  </sheetPr>
  <dimension ref="A1:V224"/>
  <sheetViews>
    <sheetView showGridLines="0" zoomScaleNormal="100" workbookViewId="0">
      <pane xSplit="5" ySplit="1" topLeftCell="H197" activePane="bottomRight" state="frozen"/>
      <selection pane="topRight" activeCell="F1" sqref="F1"/>
      <selection pane="bottomLeft" activeCell="A3" sqref="A3"/>
      <selection pane="bottomRight" activeCell="D216" sqref="D216"/>
    </sheetView>
  </sheetViews>
  <sheetFormatPr defaultRowHeight="15" x14ac:dyDescent="0.25"/>
  <cols>
    <col min="1" max="1" width="13.5703125" customWidth="1"/>
    <col min="2" max="2" width="20.42578125" bestFit="1" customWidth="1"/>
    <col min="3" max="3" width="19.85546875" bestFit="1" customWidth="1"/>
    <col min="4" max="4" width="16.85546875" bestFit="1" customWidth="1"/>
    <col min="5" max="5" width="21.5703125" bestFit="1" customWidth="1"/>
    <col min="6" max="6" width="27.7109375" bestFit="1" customWidth="1"/>
    <col min="7" max="7" width="10" bestFit="1" customWidth="1"/>
    <col min="8" max="8" width="15.140625" bestFit="1" customWidth="1"/>
    <col min="9" max="10" width="18.140625" bestFit="1" customWidth="1"/>
    <col min="11" max="11" width="16.140625" bestFit="1" customWidth="1"/>
    <col min="12" max="12" width="26.28515625" bestFit="1" customWidth="1"/>
    <col min="13" max="13" width="9.85546875" bestFit="1" customWidth="1"/>
    <col min="14" max="14" width="23.5703125" bestFit="1" customWidth="1"/>
    <col min="15" max="15" width="24.5703125" bestFit="1" customWidth="1"/>
    <col min="16" max="16" width="13.85546875" bestFit="1" customWidth="1"/>
    <col min="17" max="17" width="27.28515625" bestFit="1" customWidth="1"/>
    <col min="18" max="18" width="9.140625" bestFit="1" customWidth="1"/>
    <col min="19" max="19" width="13.140625" bestFit="1" customWidth="1"/>
    <col min="20" max="20" width="13.140625" customWidth="1"/>
    <col min="21" max="21" width="13.5703125" bestFit="1" customWidth="1"/>
    <col min="22" max="22" width="23.7109375" bestFit="1" customWidth="1"/>
  </cols>
  <sheetData>
    <row r="1" spans="1:22" s="72" customFormat="1" x14ac:dyDescent="0.25">
      <c r="A1" s="68" t="s">
        <v>0</v>
      </c>
      <c r="B1" s="69" t="s">
        <v>1</v>
      </c>
      <c r="C1" s="69" t="s">
        <v>2</v>
      </c>
      <c r="D1" s="310" t="s">
        <v>3</v>
      </c>
      <c r="E1" s="69" t="s">
        <v>4</v>
      </c>
      <c r="F1" s="69" t="s">
        <v>5</v>
      </c>
      <c r="G1" s="69" t="s">
        <v>6</v>
      </c>
      <c r="H1" s="69" t="s">
        <v>7</v>
      </c>
      <c r="I1" s="69" t="s">
        <v>8</v>
      </c>
      <c r="J1" s="69" t="s">
        <v>9</v>
      </c>
      <c r="K1" s="69" t="s">
        <v>10</v>
      </c>
      <c r="L1" s="70" t="s">
        <v>11</v>
      </c>
      <c r="M1" s="69" t="s">
        <v>12</v>
      </c>
      <c r="N1" s="70" t="s">
        <v>13</v>
      </c>
      <c r="O1" s="70" t="s">
        <v>14</v>
      </c>
      <c r="P1" s="69" t="s">
        <v>15</v>
      </c>
      <c r="Q1" s="70" t="s">
        <v>16</v>
      </c>
      <c r="R1" s="69" t="s">
        <v>17</v>
      </c>
      <c r="S1" s="69" t="s">
        <v>18</v>
      </c>
      <c r="T1" s="69" t="s">
        <v>19</v>
      </c>
      <c r="U1" s="69" t="s">
        <v>20</v>
      </c>
      <c r="V1" s="71" t="s">
        <v>21</v>
      </c>
    </row>
    <row r="2" spans="1:22" hidden="1" x14ac:dyDescent="0.25">
      <c r="A2" s="10">
        <v>46027</v>
      </c>
      <c r="B2" s="11">
        <v>133837</v>
      </c>
      <c r="C2" s="11" t="s">
        <v>22</v>
      </c>
      <c r="D2" s="11" t="s">
        <v>23</v>
      </c>
      <c r="E2" s="11" t="s">
        <v>24</v>
      </c>
      <c r="F2" s="11" t="s">
        <v>25</v>
      </c>
      <c r="G2" s="12">
        <v>180</v>
      </c>
      <c r="H2" s="13">
        <v>117</v>
      </c>
      <c r="I2" s="14">
        <v>17837.099999999999</v>
      </c>
      <c r="J2" s="14"/>
      <c r="K2" s="15">
        <v>7.0000000000000007E-2</v>
      </c>
      <c r="L2" s="15">
        <v>0</v>
      </c>
      <c r="M2" s="14" t="s">
        <v>26</v>
      </c>
      <c r="N2" s="14">
        <v>1248.597</v>
      </c>
      <c r="O2" s="14">
        <v>0</v>
      </c>
      <c r="P2" s="11" t="s">
        <v>27</v>
      </c>
      <c r="Q2" s="11" t="s">
        <v>27</v>
      </c>
      <c r="R2" s="11"/>
      <c r="S2" s="11">
        <v>12</v>
      </c>
      <c r="T2" s="11"/>
      <c r="U2" s="11" t="s">
        <v>28</v>
      </c>
      <c r="V2" s="16" t="s">
        <v>22</v>
      </c>
    </row>
    <row r="3" spans="1:22" hidden="1" x14ac:dyDescent="0.25">
      <c r="A3" s="20">
        <v>46027</v>
      </c>
      <c r="B3" s="21">
        <v>133837</v>
      </c>
      <c r="C3" s="21" t="s">
        <v>22</v>
      </c>
      <c r="D3" s="21" t="s">
        <v>23</v>
      </c>
      <c r="E3" s="21" t="s">
        <v>29</v>
      </c>
      <c r="F3" s="21" t="s">
        <v>30</v>
      </c>
      <c r="G3" s="22">
        <v>3</v>
      </c>
      <c r="H3" s="73">
        <v>280</v>
      </c>
      <c r="I3" s="23">
        <v>840</v>
      </c>
      <c r="J3" s="23"/>
      <c r="K3" s="74">
        <v>1</v>
      </c>
      <c r="L3" s="74">
        <v>0</v>
      </c>
      <c r="M3" s="23" t="s">
        <v>26</v>
      </c>
      <c r="N3" s="23">
        <v>840</v>
      </c>
      <c r="O3" s="23">
        <v>0</v>
      </c>
      <c r="P3" s="21" t="s">
        <v>27</v>
      </c>
      <c r="Q3" s="21" t="s">
        <v>27</v>
      </c>
      <c r="R3" s="21"/>
      <c r="S3" s="21">
        <v>1</v>
      </c>
      <c r="T3" s="21"/>
      <c r="U3" s="21" t="s">
        <v>28</v>
      </c>
      <c r="V3" s="75" t="s">
        <v>22</v>
      </c>
    </row>
    <row r="4" spans="1:22" hidden="1" x14ac:dyDescent="0.25">
      <c r="A4" s="10">
        <v>46027</v>
      </c>
      <c r="B4" s="11">
        <v>135649</v>
      </c>
      <c r="C4" s="11" t="s">
        <v>31</v>
      </c>
      <c r="D4" s="11" t="s">
        <v>32</v>
      </c>
      <c r="E4" s="11" t="s">
        <v>24</v>
      </c>
      <c r="F4" s="21" t="s">
        <v>25</v>
      </c>
      <c r="G4" s="12">
        <v>60</v>
      </c>
      <c r="H4" s="13">
        <v>133.33000000000001</v>
      </c>
      <c r="I4" s="23">
        <f>vendas2026[[#This Row],[Qtde]]*vendas2026[[#This Row],[VlrUnitário]]</f>
        <v>7999.8000000000011</v>
      </c>
      <c r="J4" s="23"/>
      <c r="K4" s="74">
        <v>6.6699999999999995E-2</v>
      </c>
      <c r="L4" s="15">
        <f>vendas2026[[#This Row],[%Comissão]]*0.25</f>
        <v>1.6674999999999999E-2</v>
      </c>
      <c r="M4" s="14" t="s">
        <v>26</v>
      </c>
      <c r="N4" s="23">
        <f>vendas2026[[#This Row],[VlrTotal]]*vendas2026[[#This Row],[%Comissão]]</f>
        <v>533.58666000000005</v>
      </c>
      <c r="O4" s="14">
        <f>vendas2026[[#This Row],[VlrTotal]]*vendas2026[[#This Row],[%ComissãoSupervisor]]</f>
        <v>133.39666500000001</v>
      </c>
      <c r="P4" s="11" t="s">
        <v>27</v>
      </c>
      <c r="Q4" s="11" t="s">
        <v>27</v>
      </c>
      <c r="R4" s="11"/>
      <c r="S4" s="11">
        <v>3</v>
      </c>
      <c r="T4" s="11"/>
      <c r="U4" s="11" t="s">
        <v>28</v>
      </c>
      <c r="V4" s="16" t="s">
        <v>31</v>
      </c>
    </row>
    <row r="5" spans="1:22" hidden="1" x14ac:dyDescent="0.25">
      <c r="A5" s="10">
        <v>46027</v>
      </c>
      <c r="B5" s="11">
        <v>135649</v>
      </c>
      <c r="C5" s="11" t="s">
        <v>31</v>
      </c>
      <c r="D5" s="11" t="s">
        <v>32</v>
      </c>
      <c r="E5" s="11" t="s">
        <v>33</v>
      </c>
      <c r="F5" s="21" t="s">
        <v>30</v>
      </c>
      <c r="G5" s="12">
        <v>78</v>
      </c>
      <c r="H5" s="13">
        <v>12.65</v>
      </c>
      <c r="I5" s="23">
        <f>vendas2026[[#This Row],[VlrUnitário]]*vendas2026[[#This Row],[Qtde]]</f>
        <v>986.7</v>
      </c>
      <c r="J5" s="23"/>
      <c r="K5" s="74">
        <v>1</v>
      </c>
      <c r="L5" s="15">
        <f>vendas2026[[#This Row],[%Comissão]]*0.25</f>
        <v>0.25</v>
      </c>
      <c r="M5" s="14" t="s">
        <v>26</v>
      </c>
      <c r="N5" s="23">
        <f>vendas2026[[#This Row],[VlrTotal]]*vendas2026[[#This Row],[%Comissão]]</f>
        <v>986.7</v>
      </c>
      <c r="O5" s="14">
        <f>vendas2026[[#This Row],[VlrTotal]]*vendas2026[[#This Row],[%ComissãoSupervisor]]</f>
        <v>246.67500000000001</v>
      </c>
      <c r="P5" s="11" t="s">
        <v>27</v>
      </c>
      <c r="Q5" s="11" t="s">
        <v>27</v>
      </c>
      <c r="R5" s="11"/>
      <c r="S5" s="11">
        <v>1</v>
      </c>
      <c r="T5" s="11"/>
      <c r="U5" s="11" t="s">
        <v>28</v>
      </c>
      <c r="V5" s="16" t="s">
        <v>31</v>
      </c>
    </row>
    <row r="6" spans="1:22" hidden="1" x14ac:dyDescent="0.25">
      <c r="A6" s="10">
        <v>46034</v>
      </c>
      <c r="B6" s="11">
        <v>134739</v>
      </c>
      <c r="C6" s="11" t="s">
        <v>31</v>
      </c>
      <c r="D6" s="11" t="s">
        <v>34</v>
      </c>
      <c r="E6" s="11" t="s">
        <v>35</v>
      </c>
      <c r="F6" s="11" t="s">
        <v>35</v>
      </c>
      <c r="G6" s="12">
        <v>6</v>
      </c>
      <c r="H6" s="13">
        <v>158.40100000000001</v>
      </c>
      <c r="I6" s="23">
        <f>vendas2026[[#This Row],[VlrUnitário]]*vendas2026[[#This Row],[Qtde]]</f>
        <v>950.40600000000006</v>
      </c>
      <c r="J6" s="23"/>
      <c r="K6" s="74">
        <v>7.0000000000000001E-3</v>
      </c>
      <c r="L6" s="15">
        <f>vendas2026[[#This Row],[%Comissão]]*0.25</f>
        <v>1.75E-3</v>
      </c>
      <c r="M6" s="14" t="s">
        <v>26</v>
      </c>
      <c r="N6" s="23">
        <f>vendas2026[[#This Row],[VlrTotal]]*vendas2026[[#This Row],[%Comissão]]</f>
        <v>6.6528420000000006</v>
      </c>
      <c r="O6" s="14">
        <f>vendas2026[[#This Row],[VlrTotal]]*vendas2026[[#This Row],[%ComissãoSupervisor]]</f>
        <v>1.6632105000000001</v>
      </c>
      <c r="P6" s="11" t="s">
        <v>36</v>
      </c>
      <c r="Q6" s="11" t="s">
        <v>37</v>
      </c>
      <c r="R6" s="11"/>
      <c r="S6" s="11">
        <v>1</v>
      </c>
      <c r="T6" s="11"/>
      <c r="U6" s="11" t="s">
        <v>38</v>
      </c>
      <c r="V6" s="16" t="s">
        <v>31</v>
      </c>
    </row>
    <row r="7" spans="1:22" hidden="1" x14ac:dyDescent="0.25">
      <c r="A7" s="10">
        <v>46034</v>
      </c>
      <c r="B7" s="11">
        <v>136315</v>
      </c>
      <c r="C7" s="11" t="s">
        <v>22</v>
      </c>
      <c r="D7" s="11" t="s">
        <v>39</v>
      </c>
      <c r="E7" s="11" t="s">
        <v>40</v>
      </c>
      <c r="F7" s="11" t="s">
        <v>41</v>
      </c>
      <c r="G7" s="12">
        <v>1</v>
      </c>
      <c r="H7" s="13">
        <v>15053.87</v>
      </c>
      <c r="I7" s="23">
        <f>vendas2026[[#This Row],[VlrUnitário]]*vendas2026[[#This Row],[Qtde]]</f>
        <v>15053.87</v>
      </c>
      <c r="J7" s="23"/>
      <c r="K7" s="74">
        <v>7.0000000000000007E-2</v>
      </c>
      <c r="L7" s="15">
        <v>0</v>
      </c>
      <c r="M7" s="14" t="s">
        <v>26</v>
      </c>
      <c r="N7" s="23">
        <f>vendas2026[[#This Row],[VlrTotal]]*vendas2026[[#This Row],[%Comissão]]</f>
        <v>1053.7709000000002</v>
      </c>
      <c r="O7" s="14">
        <f>vendas2026[[#This Row],[VlrTotal]]*vendas2026[[#This Row],[%ComissãoSupervisor]]</f>
        <v>0</v>
      </c>
      <c r="P7" s="11" t="s">
        <v>27</v>
      </c>
      <c r="Q7" s="11" t="s">
        <v>27</v>
      </c>
      <c r="R7" s="11"/>
      <c r="S7" s="11">
        <v>6</v>
      </c>
      <c r="T7" s="11"/>
      <c r="U7" s="11" t="s">
        <v>28</v>
      </c>
      <c r="V7" s="16" t="s">
        <v>22</v>
      </c>
    </row>
    <row r="8" spans="1:22" hidden="1" x14ac:dyDescent="0.25">
      <c r="A8" s="10">
        <v>46034</v>
      </c>
      <c r="B8" s="11">
        <v>136315</v>
      </c>
      <c r="C8" s="11" t="s">
        <v>22</v>
      </c>
      <c r="D8" s="11" t="s">
        <v>39</v>
      </c>
      <c r="E8" s="11" t="s">
        <v>42</v>
      </c>
      <c r="F8" s="11" t="s">
        <v>30</v>
      </c>
      <c r="G8" s="12">
        <v>1</v>
      </c>
      <c r="H8" s="13">
        <v>275.62</v>
      </c>
      <c r="I8" s="23">
        <f>vendas2026[[#This Row],[VlrUnitário]]*vendas2026[[#This Row],[Qtde]]</f>
        <v>275.62</v>
      </c>
      <c r="J8" s="23"/>
      <c r="K8" s="74">
        <v>1</v>
      </c>
      <c r="L8" s="15">
        <v>0</v>
      </c>
      <c r="M8" s="14" t="s">
        <v>26</v>
      </c>
      <c r="N8" s="23">
        <f>vendas2026[[#This Row],[VlrTotal]]*vendas2026[[#This Row],[%Comissão]]</f>
        <v>275.62</v>
      </c>
      <c r="O8" s="14">
        <f>vendas2026[[#This Row],[VlrTotal]]*vendas2026[[#This Row],[%ComissãoSupervisor]]</f>
        <v>0</v>
      </c>
      <c r="P8" s="11" t="s">
        <v>27</v>
      </c>
      <c r="Q8" s="11" t="s">
        <v>27</v>
      </c>
      <c r="R8" s="11"/>
      <c r="S8" s="11">
        <v>1</v>
      </c>
      <c r="T8" s="11"/>
      <c r="U8" s="11" t="s">
        <v>28</v>
      </c>
      <c r="V8" s="16" t="s">
        <v>22</v>
      </c>
    </row>
    <row r="9" spans="1:22" hidden="1" x14ac:dyDescent="0.25">
      <c r="A9" s="10">
        <v>46043</v>
      </c>
      <c r="B9" s="11">
        <v>132374</v>
      </c>
      <c r="C9" s="11" t="s">
        <v>31</v>
      </c>
      <c r="D9" s="11" t="s">
        <v>43</v>
      </c>
      <c r="E9" s="11" t="s">
        <v>24</v>
      </c>
      <c r="F9" s="11" t="s">
        <v>25</v>
      </c>
      <c r="G9" s="12">
        <v>94</v>
      </c>
      <c r="H9" s="13">
        <v>178.5</v>
      </c>
      <c r="I9" s="23">
        <f>vendas2026[[#This Row],[VlrUnitário]]*vendas2026[[#This Row],[Qtde]]</f>
        <v>16779</v>
      </c>
      <c r="J9" s="23"/>
      <c r="K9" s="74">
        <v>6.6699999999999995E-2</v>
      </c>
      <c r="L9" s="15">
        <f>vendas2026[[#This Row],[%Comissão]]*0.25</f>
        <v>1.6674999999999999E-2</v>
      </c>
      <c r="M9" s="14" t="s">
        <v>26</v>
      </c>
      <c r="N9" s="23">
        <f>vendas2026[[#This Row],[VlrTotal]]*vendas2026[[#This Row],[%Comissão]]</f>
        <v>1119.1593</v>
      </c>
      <c r="O9" s="14">
        <f>vendas2026[[#This Row],[VlrTotal]]*vendas2026[[#This Row],[%ComissãoSupervisor]]</f>
        <v>279.78982500000001</v>
      </c>
      <c r="P9" s="11" t="s">
        <v>36</v>
      </c>
      <c r="Q9" s="11" t="s">
        <v>37</v>
      </c>
      <c r="R9" s="11"/>
      <c r="S9" s="11">
        <v>10</v>
      </c>
      <c r="T9" s="11"/>
      <c r="U9" s="11" t="s">
        <v>28</v>
      </c>
      <c r="V9" s="16" t="s">
        <v>31</v>
      </c>
    </row>
    <row r="10" spans="1:22" hidden="1" x14ac:dyDescent="0.25">
      <c r="A10" s="10">
        <v>46043</v>
      </c>
      <c r="B10" s="11">
        <v>132678</v>
      </c>
      <c r="C10" s="11" t="s">
        <v>44</v>
      </c>
      <c r="D10" s="11" t="s">
        <v>45</v>
      </c>
      <c r="E10" s="11" t="s">
        <v>24</v>
      </c>
      <c r="F10" s="11" t="s">
        <v>25</v>
      </c>
      <c r="G10" s="12">
        <v>270</v>
      </c>
      <c r="H10" s="13">
        <v>190</v>
      </c>
      <c r="I10" s="14">
        <f t="shared" ref="I10:I39" si="0">G10*H10</f>
        <v>51300</v>
      </c>
      <c r="J10" s="14"/>
      <c r="K10" s="15">
        <v>7.0000000000000007E-2</v>
      </c>
      <c r="L10" s="15">
        <f>K10*0.25</f>
        <v>1.7500000000000002E-2</v>
      </c>
      <c r="M10" s="14" t="s">
        <v>46</v>
      </c>
      <c r="N10" s="14">
        <f t="shared" ref="N10:N39" si="1">(K10*I10)</f>
        <v>3591.0000000000005</v>
      </c>
      <c r="O10" s="14">
        <f t="shared" ref="O10:O39" si="2">I10*L10</f>
        <v>897.75000000000011</v>
      </c>
      <c r="P10" s="11" t="s">
        <v>27</v>
      </c>
      <c r="Q10" s="11" t="s">
        <v>27</v>
      </c>
      <c r="R10" s="11"/>
      <c r="S10" s="11">
        <v>10</v>
      </c>
      <c r="T10" s="11"/>
      <c r="U10" s="11" t="s">
        <v>28</v>
      </c>
      <c r="V10" s="16" t="s">
        <v>44</v>
      </c>
    </row>
    <row r="11" spans="1:22" hidden="1" x14ac:dyDescent="0.25">
      <c r="A11" s="10">
        <v>46043</v>
      </c>
      <c r="B11" s="11">
        <v>132678</v>
      </c>
      <c r="C11" s="11" t="s">
        <v>44</v>
      </c>
      <c r="D11" s="11" t="s">
        <v>45</v>
      </c>
      <c r="E11" s="11" t="s">
        <v>47</v>
      </c>
      <c r="F11" s="11" t="s">
        <v>30</v>
      </c>
      <c r="G11" s="12">
        <v>5</v>
      </c>
      <c r="H11" s="13">
        <v>275.62</v>
      </c>
      <c r="I11" s="14">
        <f t="shared" si="0"/>
        <v>1378.1</v>
      </c>
      <c r="J11" s="14"/>
      <c r="K11" s="15">
        <v>1</v>
      </c>
      <c r="L11" s="15">
        <f>K11*0.25</f>
        <v>0.25</v>
      </c>
      <c r="M11" s="14" t="s">
        <v>46</v>
      </c>
      <c r="N11" s="14">
        <f t="shared" si="1"/>
        <v>1378.1</v>
      </c>
      <c r="O11" s="14">
        <f t="shared" si="2"/>
        <v>344.52499999999998</v>
      </c>
      <c r="P11" s="11" t="s">
        <v>27</v>
      </c>
      <c r="Q11" s="11" t="s">
        <v>27</v>
      </c>
      <c r="R11" s="11"/>
      <c r="S11" s="11">
        <v>1</v>
      </c>
      <c r="T11" s="11"/>
      <c r="U11" s="11" t="s">
        <v>28</v>
      </c>
      <c r="V11" s="16" t="s">
        <v>44</v>
      </c>
    </row>
    <row r="12" spans="1:22" hidden="1" x14ac:dyDescent="0.25">
      <c r="A12" s="10">
        <v>46043</v>
      </c>
      <c r="B12" s="11">
        <v>132678</v>
      </c>
      <c r="C12" s="11" t="s">
        <v>44</v>
      </c>
      <c r="D12" s="11" t="s">
        <v>45</v>
      </c>
      <c r="E12" s="11" t="s">
        <v>48</v>
      </c>
      <c r="F12" s="11" t="s">
        <v>30</v>
      </c>
      <c r="G12" s="12">
        <v>1</v>
      </c>
      <c r="H12" s="13">
        <v>356.4</v>
      </c>
      <c r="I12" s="14">
        <f t="shared" si="0"/>
        <v>356.4</v>
      </c>
      <c r="J12" s="14"/>
      <c r="K12" s="15">
        <v>1</v>
      </c>
      <c r="L12" s="15">
        <f>K12*0.25</f>
        <v>0.25</v>
      </c>
      <c r="M12" s="14" t="s">
        <v>46</v>
      </c>
      <c r="N12" s="14">
        <f t="shared" si="1"/>
        <v>356.4</v>
      </c>
      <c r="O12" s="14">
        <f t="shared" si="2"/>
        <v>89.1</v>
      </c>
      <c r="P12" s="11" t="s">
        <v>27</v>
      </c>
      <c r="Q12" s="11" t="s">
        <v>27</v>
      </c>
      <c r="R12" s="11"/>
      <c r="S12" s="11">
        <v>1</v>
      </c>
      <c r="T12" s="11"/>
      <c r="U12" s="11" t="s">
        <v>28</v>
      </c>
      <c r="V12" s="16" t="s">
        <v>44</v>
      </c>
    </row>
    <row r="13" spans="1:22" hidden="1" x14ac:dyDescent="0.25">
      <c r="A13" s="10">
        <v>46043</v>
      </c>
      <c r="B13" s="11">
        <v>136662</v>
      </c>
      <c r="C13" s="11" t="s">
        <v>31</v>
      </c>
      <c r="D13" s="11" t="s">
        <v>49</v>
      </c>
      <c r="E13" s="11" t="s">
        <v>24</v>
      </c>
      <c r="F13" s="11" t="s">
        <v>25</v>
      </c>
      <c r="G13" s="12">
        <v>10</v>
      </c>
      <c r="H13" s="13">
        <v>210</v>
      </c>
      <c r="I13" s="14">
        <f t="shared" si="0"/>
        <v>2100</v>
      </c>
      <c r="J13" s="14"/>
      <c r="K13" s="15">
        <v>7.0000000000000007E-2</v>
      </c>
      <c r="L13" s="15">
        <f>K13*0.25</f>
        <v>1.7500000000000002E-2</v>
      </c>
      <c r="M13" s="14" t="s">
        <v>26</v>
      </c>
      <c r="N13" s="14">
        <f t="shared" si="1"/>
        <v>147</v>
      </c>
      <c r="O13" s="14">
        <f t="shared" si="2"/>
        <v>36.75</v>
      </c>
      <c r="P13" s="11" t="s">
        <v>36</v>
      </c>
      <c r="Q13" s="11" t="s">
        <v>37</v>
      </c>
      <c r="R13" s="11"/>
      <c r="S13" s="11">
        <v>4</v>
      </c>
      <c r="T13" s="11"/>
      <c r="U13" s="11" t="s">
        <v>38</v>
      </c>
      <c r="V13" s="16" t="s">
        <v>31</v>
      </c>
    </row>
    <row r="14" spans="1:22" hidden="1" x14ac:dyDescent="0.25">
      <c r="A14" s="10">
        <v>46043</v>
      </c>
      <c r="B14" s="11" t="s">
        <v>50</v>
      </c>
      <c r="C14" s="11" t="s">
        <v>22</v>
      </c>
      <c r="D14" s="11" t="s">
        <v>51</v>
      </c>
      <c r="E14" s="11" t="s">
        <v>47</v>
      </c>
      <c r="F14" s="11" t="s">
        <v>25</v>
      </c>
      <c r="G14" s="12">
        <v>240</v>
      </c>
      <c r="H14" s="13">
        <v>200</v>
      </c>
      <c r="I14" s="14">
        <f t="shared" si="0"/>
        <v>48000</v>
      </c>
      <c r="J14" s="14"/>
      <c r="K14" s="15">
        <v>7.0000000000000007E-2</v>
      </c>
      <c r="L14" s="15">
        <v>0</v>
      </c>
      <c r="M14" s="14" t="s">
        <v>46</v>
      </c>
      <c r="N14" s="14">
        <f t="shared" si="1"/>
        <v>3360.0000000000005</v>
      </c>
      <c r="O14" s="14">
        <f t="shared" si="2"/>
        <v>0</v>
      </c>
      <c r="P14" s="11" t="s">
        <v>27</v>
      </c>
      <c r="Q14" s="11" t="s">
        <v>27</v>
      </c>
      <c r="R14" s="11"/>
      <c r="S14" s="11">
        <v>6</v>
      </c>
      <c r="T14" s="11"/>
      <c r="U14" s="11" t="s">
        <v>28</v>
      </c>
      <c r="V14" s="16" t="s">
        <v>22</v>
      </c>
    </row>
    <row r="15" spans="1:22" hidden="1" x14ac:dyDescent="0.25">
      <c r="A15" s="10">
        <v>46043</v>
      </c>
      <c r="B15" s="11" t="s">
        <v>50</v>
      </c>
      <c r="C15" s="11" t="s">
        <v>22</v>
      </c>
      <c r="D15" s="11" t="s">
        <v>51</v>
      </c>
      <c r="E15" s="11" t="s">
        <v>52</v>
      </c>
      <c r="F15" s="11" t="s">
        <v>41</v>
      </c>
      <c r="G15" s="12">
        <v>1</v>
      </c>
      <c r="H15" s="13">
        <v>8100</v>
      </c>
      <c r="I15" s="14">
        <f t="shared" si="0"/>
        <v>8100</v>
      </c>
      <c r="J15" s="14"/>
      <c r="K15" s="15">
        <v>7.0000000000000007E-2</v>
      </c>
      <c r="L15" s="15">
        <v>0</v>
      </c>
      <c r="M15" s="14" t="s">
        <v>46</v>
      </c>
      <c r="N15" s="14">
        <f t="shared" si="1"/>
        <v>567</v>
      </c>
      <c r="O15" s="14">
        <f t="shared" si="2"/>
        <v>0</v>
      </c>
      <c r="P15" s="11" t="s">
        <v>27</v>
      </c>
      <c r="Q15" s="11" t="s">
        <v>27</v>
      </c>
      <c r="R15" s="11"/>
      <c r="S15" s="11">
        <v>6</v>
      </c>
      <c r="T15" s="11"/>
      <c r="U15" s="11" t="s">
        <v>28</v>
      </c>
      <c r="V15" s="16" t="s">
        <v>22</v>
      </c>
    </row>
    <row r="16" spans="1:22" hidden="1" x14ac:dyDescent="0.25">
      <c r="A16" s="10">
        <v>46043</v>
      </c>
      <c r="B16" s="11" t="s">
        <v>50</v>
      </c>
      <c r="C16" s="11" t="s">
        <v>22</v>
      </c>
      <c r="D16" s="11" t="s">
        <v>51</v>
      </c>
      <c r="E16" s="11" t="s">
        <v>53</v>
      </c>
      <c r="F16" s="11" t="s">
        <v>41</v>
      </c>
      <c r="G16" s="12">
        <v>1</v>
      </c>
      <c r="H16" s="13">
        <v>1600</v>
      </c>
      <c r="I16" s="14">
        <f t="shared" si="0"/>
        <v>1600</v>
      </c>
      <c r="J16" s="14"/>
      <c r="K16" s="15">
        <v>7.0000000000000007E-2</v>
      </c>
      <c r="L16" s="15">
        <v>0</v>
      </c>
      <c r="M16" s="14" t="s">
        <v>46</v>
      </c>
      <c r="N16" s="14">
        <f t="shared" si="1"/>
        <v>112.00000000000001</v>
      </c>
      <c r="O16" s="14">
        <f t="shared" si="2"/>
        <v>0</v>
      </c>
      <c r="P16" s="11" t="s">
        <v>27</v>
      </c>
      <c r="Q16" s="11" t="s">
        <v>27</v>
      </c>
      <c r="R16" s="11"/>
      <c r="S16" s="11">
        <v>6</v>
      </c>
      <c r="T16" s="11"/>
      <c r="U16" s="11" t="s">
        <v>28</v>
      </c>
      <c r="V16" s="16" t="s">
        <v>22</v>
      </c>
    </row>
    <row r="17" spans="1:22" hidden="1" x14ac:dyDescent="0.25">
      <c r="A17" s="10">
        <v>46043</v>
      </c>
      <c r="B17" s="11" t="s">
        <v>50</v>
      </c>
      <c r="C17" s="11" t="s">
        <v>22</v>
      </c>
      <c r="D17" s="11" t="s">
        <v>51</v>
      </c>
      <c r="E17" s="11" t="s">
        <v>47</v>
      </c>
      <c r="F17" s="11" t="s">
        <v>30</v>
      </c>
      <c r="G17" s="12">
        <v>8</v>
      </c>
      <c r="H17" s="13">
        <v>250</v>
      </c>
      <c r="I17" s="14">
        <f t="shared" si="0"/>
        <v>2000</v>
      </c>
      <c r="J17" s="14"/>
      <c r="K17" s="15">
        <v>1</v>
      </c>
      <c r="L17" s="15">
        <v>0</v>
      </c>
      <c r="M17" s="14" t="s">
        <v>46</v>
      </c>
      <c r="N17" s="14">
        <f t="shared" si="1"/>
        <v>2000</v>
      </c>
      <c r="O17" s="14">
        <f t="shared" si="2"/>
        <v>0</v>
      </c>
      <c r="P17" s="11" t="s">
        <v>27</v>
      </c>
      <c r="Q17" s="11" t="s">
        <v>27</v>
      </c>
      <c r="R17" s="11"/>
      <c r="S17" s="11">
        <v>1</v>
      </c>
      <c r="T17" s="11"/>
      <c r="U17" s="11" t="s">
        <v>28</v>
      </c>
      <c r="V17" s="16" t="s">
        <v>22</v>
      </c>
    </row>
    <row r="18" spans="1:22" hidden="1" x14ac:dyDescent="0.25">
      <c r="A18" s="10">
        <v>46043</v>
      </c>
      <c r="B18" s="11" t="s">
        <v>50</v>
      </c>
      <c r="C18" s="11" t="s">
        <v>22</v>
      </c>
      <c r="D18" s="11" t="s">
        <v>51</v>
      </c>
      <c r="E18" s="11" t="s">
        <v>54</v>
      </c>
      <c r="F18" s="11" t="s">
        <v>30</v>
      </c>
      <c r="G18" s="12">
        <v>4</v>
      </c>
      <c r="H18" s="13">
        <v>100</v>
      </c>
      <c r="I18" s="14">
        <f t="shared" si="0"/>
        <v>400</v>
      </c>
      <c r="J18" s="14"/>
      <c r="K18" s="15">
        <v>1</v>
      </c>
      <c r="L18" s="15">
        <v>0</v>
      </c>
      <c r="M18" s="14" t="s">
        <v>46</v>
      </c>
      <c r="N18" s="14">
        <f t="shared" si="1"/>
        <v>400</v>
      </c>
      <c r="O18" s="14">
        <f t="shared" si="2"/>
        <v>0</v>
      </c>
      <c r="P18" s="11" t="s">
        <v>27</v>
      </c>
      <c r="Q18" s="11" t="s">
        <v>27</v>
      </c>
      <c r="R18" s="11"/>
      <c r="S18" s="11">
        <v>1</v>
      </c>
      <c r="T18" s="11"/>
      <c r="U18" s="11" t="s">
        <v>28</v>
      </c>
      <c r="V18" s="16" t="s">
        <v>22</v>
      </c>
    </row>
    <row r="19" spans="1:22" hidden="1" x14ac:dyDescent="0.25">
      <c r="A19" s="10">
        <v>46043</v>
      </c>
      <c r="B19" s="11" t="s">
        <v>50</v>
      </c>
      <c r="C19" s="11" t="s">
        <v>22</v>
      </c>
      <c r="D19" s="11" t="s">
        <v>51</v>
      </c>
      <c r="E19" s="11" t="s">
        <v>52</v>
      </c>
      <c r="F19" s="11" t="s">
        <v>30</v>
      </c>
      <c r="G19" s="12">
        <v>1</v>
      </c>
      <c r="H19" s="13">
        <v>1080</v>
      </c>
      <c r="I19" s="14">
        <f t="shared" si="0"/>
        <v>1080</v>
      </c>
      <c r="J19" s="14"/>
      <c r="K19" s="15">
        <v>1</v>
      </c>
      <c r="L19" s="15">
        <v>0</v>
      </c>
      <c r="M19" s="14" t="s">
        <v>46</v>
      </c>
      <c r="N19" s="14">
        <f t="shared" si="1"/>
        <v>1080</v>
      </c>
      <c r="O19" s="14">
        <f t="shared" si="2"/>
        <v>0</v>
      </c>
      <c r="P19" s="11" t="s">
        <v>27</v>
      </c>
      <c r="Q19" s="11" t="s">
        <v>27</v>
      </c>
      <c r="R19" s="11"/>
      <c r="S19" s="11">
        <v>1</v>
      </c>
      <c r="T19" s="11"/>
      <c r="U19" s="11" t="s">
        <v>28</v>
      </c>
      <c r="V19" s="16" t="s">
        <v>22</v>
      </c>
    </row>
    <row r="20" spans="1:22" hidden="1" x14ac:dyDescent="0.25">
      <c r="A20" s="10">
        <v>46043</v>
      </c>
      <c r="B20" s="11" t="s">
        <v>50</v>
      </c>
      <c r="C20" s="11" t="s">
        <v>22</v>
      </c>
      <c r="D20" s="11" t="s">
        <v>51</v>
      </c>
      <c r="E20" s="11" t="s">
        <v>55</v>
      </c>
      <c r="F20" s="11" t="s">
        <v>30</v>
      </c>
      <c r="G20" s="12">
        <v>30</v>
      </c>
      <c r="H20" s="13">
        <v>90</v>
      </c>
      <c r="I20" s="14">
        <f t="shared" si="0"/>
        <v>2700</v>
      </c>
      <c r="J20" s="14"/>
      <c r="K20" s="15">
        <v>1</v>
      </c>
      <c r="L20" s="15">
        <v>0</v>
      </c>
      <c r="M20" s="14" t="s">
        <v>46</v>
      </c>
      <c r="N20" s="14">
        <f t="shared" si="1"/>
        <v>2700</v>
      </c>
      <c r="O20" s="14">
        <f t="shared" si="2"/>
        <v>0</v>
      </c>
      <c r="P20" s="11" t="s">
        <v>27</v>
      </c>
      <c r="Q20" s="11" t="s">
        <v>27</v>
      </c>
      <c r="R20" s="11"/>
      <c r="S20" s="11">
        <v>1</v>
      </c>
      <c r="T20" s="11"/>
      <c r="U20" s="11" t="s">
        <v>28</v>
      </c>
      <c r="V20" s="16" t="s">
        <v>22</v>
      </c>
    </row>
    <row r="21" spans="1:22" hidden="1" x14ac:dyDescent="0.25">
      <c r="A21" s="10">
        <v>46043</v>
      </c>
      <c r="B21" s="11" t="s">
        <v>50</v>
      </c>
      <c r="C21" s="11" t="s">
        <v>22</v>
      </c>
      <c r="D21" s="11" t="s">
        <v>51</v>
      </c>
      <c r="E21" s="11" t="s">
        <v>48</v>
      </c>
      <c r="F21" s="11" t="s">
        <v>30</v>
      </c>
      <c r="G21" s="12">
        <v>1</v>
      </c>
      <c r="H21" s="13">
        <v>356.4</v>
      </c>
      <c r="I21" s="14">
        <f t="shared" si="0"/>
        <v>356.4</v>
      </c>
      <c r="J21" s="14"/>
      <c r="K21" s="15">
        <v>1</v>
      </c>
      <c r="L21" s="15">
        <v>0</v>
      </c>
      <c r="M21" s="14" t="s">
        <v>46</v>
      </c>
      <c r="N21" s="14">
        <f t="shared" si="1"/>
        <v>356.4</v>
      </c>
      <c r="O21" s="14">
        <f t="shared" si="2"/>
        <v>0</v>
      </c>
      <c r="P21" s="11" t="s">
        <v>27</v>
      </c>
      <c r="Q21" s="11" t="s">
        <v>27</v>
      </c>
      <c r="R21" s="11"/>
      <c r="S21" s="11">
        <v>1</v>
      </c>
      <c r="T21" s="11"/>
      <c r="U21" s="11" t="s">
        <v>28</v>
      </c>
      <c r="V21" s="16" t="s">
        <v>22</v>
      </c>
    </row>
    <row r="22" spans="1:22" hidden="1" x14ac:dyDescent="0.25">
      <c r="A22" s="10">
        <v>46043</v>
      </c>
      <c r="B22" s="11" t="s">
        <v>50</v>
      </c>
      <c r="C22" s="11" t="s">
        <v>22</v>
      </c>
      <c r="D22" s="11" t="s">
        <v>51</v>
      </c>
      <c r="E22" s="11" t="s">
        <v>56</v>
      </c>
      <c r="F22" s="11" t="s">
        <v>30</v>
      </c>
      <c r="G22" s="12">
        <v>1</v>
      </c>
      <c r="H22" s="13">
        <v>197</v>
      </c>
      <c r="I22" s="14">
        <f t="shared" si="0"/>
        <v>197</v>
      </c>
      <c r="J22" s="14"/>
      <c r="K22" s="15">
        <v>1</v>
      </c>
      <c r="L22" s="15">
        <v>0</v>
      </c>
      <c r="M22" s="14" t="s">
        <v>46</v>
      </c>
      <c r="N22" s="14">
        <f t="shared" si="1"/>
        <v>197</v>
      </c>
      <c r="O22" s="14">
        <f t="shared" si="2"/>
        <v>0</v>
      </c>
      <c r="P22" s="11" t="s">
        <v>27</v>
      </c>
      <c r="Q22" s="11" t="s">
        <v>27</v>
      </c>
      <c r="R22" s="11"/>
      <c r="S22" s="11">
        <v>1</v>
      </c>
      <c r="T22" s="11"/>
      <c r="U22" s="11" t="s">
        <v>28</v>
      </c>
      <c r="V22" s="16" t="s">
        <v>22</v>
      </c>
    </row>
    <row r="23" spans="1:22" hidden="1" x14ac:dyDescent="0.25">
      <c r="A23" s="10">
        <v>46043</v>
      </c>
      <c r="B23" s="11" t="s">
        <v>50</v>
      </c>
      <c r="C23" s="11" t="s">
        <v>22</v>
      </c>
      <c r="D23" s="11" t="s">
        <v>51</v>
      </c>
      <c r="E23" s="11" t="s">
        <v>53</v>
      </c>
      <c r="F23" s="11" t="s">
        <v>30</v>
      </c>
      <c r="G23" s="12">
        <v>1</v>
      </c>
      <c r="H23" s="13">
        <v>2524.7199999999998</v>
      </c>
      <c r="I23" s="14">
        <f t="shared" si="0"/>
        <v>2524.7199999999998</v>
      </c>
      <c r="J23" s="14"/>
      <c r="K23" s="15">
        <v>1</v>
      </c>
      <c r="L23" s="15">
        <v>0</v>
      </c>
      <c r="M23" s="14" t="s">
        <v>46</v>
      </c>
      <c r="N23" s="14">
        <f t="shared" si="1"/>
        <v>2524.7199999999998</v>
      </c>
      <c r="O23" s="14">
        <f t="shared" si="2"/>
        <v>0</v>
      </c>
      <c r="P23" s="11" t="s">
        <v>27</v>
      </c>
      <c r="Q23" s="11" t="s">
        <v>27</v>
      </c>
      <c r="R23" s="11"/>
      <c r="S23" s="11">
        <v>1</v>
      </c>
      <c r="T23" s="11"/>
      <c r="U23" s="11" t="s">
        <v>28</v>
      </c>
      <c r="V23" s="16" t="s">
        <v>22</v>
      </c>
    </row>
    <row r="24" spans="1:22" hidden="1" x14ac:dyDescent="0.25">
      <c r="A24" s="10">
        <v>46043</v>
      </c>
      <c r="B24" s="11">
        <v>114426</v>
      </c>
      <c r="C24" s="11" t="s">
        <v>31</v>
      </c>
      <c r="D24" s="11" t="s">
        <v>57</v>
      </c>
      <c r="E24" s="11" t="s">
        <v>24</v>
      </c>
      <c r="F24" s="11" t="s">
        <v>25</v>
      </c>
      <c r="G24" s="12">
        <v>11</v>
      </c>
      <c r="H24" s="13">
        <v>210</v>
      </c>
      <c r="I24" s="14">
        <f t="shared" si="0"/>
        <v>2310</v>
      </c>
      <c r="J24" s="14"/>
      <c r="K24" s="15">
        <v>7.0000000000000007E-2</v>
      </c>
      <c r="L24" s="15">
        <f t="shared" ref="L24:L38" si="3">K24*0.25</f>
        <v>1.7500000000000002E-2</v>
      </c>
      <c r="M24" s="14" t="s">
        <v>26</v>
      </c>
      <c r="N24" s="14">
        <f t="shared" si="1"/>
        <v>161.70000000000002</v>
      </c>
      <c r="O24" s="14">
        <f t="shared" si="2"/>
        <v>40.425000000000004</v>
      </c>
      <c r="P24" s="11" t="s">
        <v>36</v>
      </c>
      <c r="Q24" s="11" t="s">
        <v>37</v>
      </c>
      <c r="R24" s="11"/>
      <c r="S24" s="11">
        <v>6</v>
      </c>
      <c r="T24" s="11"/>
      <c r="U24" s="11" t="s">
        <v>38</v>
      </c>
      <c r="V24" s="16" t="s">
        <v>31</v>
      </c>
    </row>
    <row r="25" spans="1:22" hidden="1" x14ac:dyDescent="0.25">
      <c r="A25" s="10">
        <v>46043</v>
      </c>
      <c r="B25" s="11">
        <v>136856</v>
      </c>
      <c r="C25" s="11" t="s">
        <v>31</v>
      </c>
      <c r="D25" s="11" t="s">
        <v>58</v>
      </c>
      <c r="E25" s="11" t="s">
        <v>59</v>
      </c>
      <c r="F25" s="11" t="s">
        <v>25</v>
      </c>
      <c r="G25" s="12">
        <v>16</v>
      </c>
      <c r="H25" s="13">
        <v>178.5</v>
      </c>
      <c r="I25" s="14">
        <f t="shared" si="0"/>
        <v>2856</v>
      </c>
      <c r="J25" s="14"/>
      <c r="K25" s="15">
        <v>6.6699999999999995E-2</v>
      </c>
      <c r="L25" s="15">
        <f t="shared" si="3"/>
        <v>1.6674999999999999E-2</v>
      </c>
      <c r="M25" s="14" t="s">
        <v>26</v>
      </c>
      <c r="N25" s="14">
        <f t="shared" si="1"/>
        <v>190.49519999999998</v>
      </c>
      <c r="O25" s="14">
        <f t="shared" si="2"/>
        <v>47.623799999999996</v>
      </c>
      <c r="P25" s="11" t="s">
        <v>27</v>
      </c>
      <c r="Q25" s="11" t="s">
        <v>27</v>
      </c>
      <c r="R25" s="11"/>
      <c r="S25" s="11">
        <v>6</v>
      </c>
      <c r="T25" s="11"/>
      <c r="U25" s="11" t="s">
        <v>28</v>
      </c>
      <c r="V25" s="16" t="s">
        <v>31</v>
      </c>
    </row>
    <row r="26" spans="1:22" hidden="1" x14ac:dyDescent="0.25">
      <c r="A26" s="10">
        <v>46043</v>
      </c>
      <c r="B26" s="11">
        <v>136856</v>
      </c>
      <c r="C26" s="11" t="s">
        <v>31</v>
      </c>
      <c r="D26" s="11" t="s">
        <v>58</v>
      </c>
      <c r="E26" s="11" t="s">
        <v>59</v>
      </c>
      <c r="F26" s="11" t="s">
        <v>30</v>
      </c>
      <c r="G26" s="12">
        <v>1</v>
      </c>
      <c r="H26" s="13">
        <v>641.52</v>
      </c>
      <c r="I26" s="14">
        <f t="shared" si="0"/>
        <v>641.52</v>
      </c>
      <c r="J26" s="14"/>
      <c r="K26" s="15">
        <v>1</v>
      </c>
      <c r="L26" s="15">
        <f t="shared" si="3"/>
        <v>0.25</v>
      </c>
      <c r="M26" s="14" t="s">
        <v>26</v>
      </c>
      <c r="N26" s="14">
        <f t="shared" si="1"/>
        <v>641.52</v>
      </c>
      <c r="O26" s="14">
        <f t="shared" si="2"/>
        <v>160.38</v>
      </c>
      <c r="P26" s="11" t="s">
        <v>27</v>
      </c>
      <c r="Q26" s="11" t="s">
        <v>27</v>
      </c>
      <c r="R26" s="11"/>
      <c r="S26" s="11">
        <v>1</v>
      </c>
      <c r="T26" s="11"/>
      <c r="U26" s="11" t="s">
        <v>28</v>
      </c>
      <c r="V26" s="16" t="s">
        <v>31</v>
      </c>
    </row>
    <row r="27" spans="1:22" hidden="1" x14ac:dyDescent="0.25">
      <c r="A27" s="10">
        <v>46044</v>
      </c>
      <c r="B27" s="11">
        <v>134776</v>
      </c>
      <c r="C27" s="11" t="s">
        <v>31</v>
      </c>
      <c r="D27" s="11" t="s">
        <v>60</v>
      </c>
      <c r="E27" s="11" t="s">
        <v>35</v>
      </c>
      <c r="F27" s="11" t="s">
        <v>35</v>
      </c>
      <c r="G27" s="12">
        <v>8</v>
      </c>
      <c r="H27" s="13">
        <v>176</v>
      </c>
      <c r="I27" s="14">
        <f t="shared" si="0"/>
        <v>1408</v>
      </c>
      <c r="J27" s="14"/>
      <c r="K27" s="15">
        <v>0.01</v>
      </c>
      <c r="L27" s="15">
        <f t="shared" si="3"/>
        <v>2.5000000000000001E-3</v>
      </c>
      <c r="M27" s="14" t="s">
        <v>26</v>
      </c>
      <c r="N27" s="14">
        <f t="shared" si="1"/>
        <v>14.08</v>
      </c>
      <c r="O27" s="14">
        <f t="shared" si="2"/>
        <v>3.52</v>
      </c>
      <c r="P27" s="11" t="s">
        <v>36</v>
      </c>
      <c r="Q27" s="11" t="s">
        <v>37</v>
      </c>
      <c r="R27" s="11"/>
      <c r="S27" s="11">
        <v>3</v>
      </c>
      <c r="T27" s="11"/>
      <c r="U27" s="11" t="s">
        <v>38</v>
      </c>
      <c r="V27" s="16" t="s">
        <v>31</v>
      </c>
    </row>
    <row r="28" spans="1:22" hidden="1" x14ac:dyDescent="0.25">
      <c r="A28" s="10">
        <v>46044</v>
      </c>
      <c r="B28" s="11">
        <v>136981</v>
      </c>
      <c r="C28" s="11" t="s">
        <v>31</v>
      </c>
      <c r="D28" s="11" t="s">
        <v>34</v>
      </c>
      <c r="E28" s="11" t="s">
        <v>40</v>
      </c>
      <c r="F28" s="11" t="s">
        <v>41</v>
      </c>
      <c r="G28" s="12">
        <v>1</v>
      </c>
      <c r="H28" s="13">
        <v>2419.1799999999998</v>
      </c>
      <c r="I28" s="14">
        <f t="shared" si="0"/>
        <v>2419.1799999999998</v>
      </c>
      <c r="J28" s="14"/>
      <c r="K28" s="15">
        <v>6.6669999999999993E-2</v>
      </c>
      <c r="L28" s="15">
        <f t="shared" si="3"/>
        <v>1.6667499999999998E-2</v>
      </c>
      <c r="M28" s="14" t="s">
        <v>26</v>
      </c>
      <c r="N28" s="14">
        <f t="shared" si="1"/>
        <v>161.28673059999997</v>
      </c>
      <c r="O28" s="14">
        <f t="shared" si="2"/>
        <v>40.321682649999993</v>
      </c>
      <c r="P28" s="11" t="s">
        <v>27</v>
      </c>
      <c r="Q28" s="11" t="s">
        <v>27</v>
      </c>
      <c r="R28" s="11"/>
      <c r="S28" s="11">
        <v>6</v>
      </c>
      <c r="T28" s="11"/>
      <c r="U28" s="11" t="s">
        <v>28</v>
      </c>
      <c r="V28" s="16" t="s">
        <v>31</v>
      </c>
    </row>
    <row r="29" spans="1:22" hidden="1" x14ac:dyDescent="0.25">
      <c r="A29" s="10">
        <v>46044</v>
      </c>
      <c r="B29" s="11">
        <v>136981</v>
      </c>
      <c r="C29" s="11" t="s">
        <v>31</v>
      </c>
      <c r="D29" s="11" t="s">
        <v>34</v>
      </c>
      <c r="E29" s="11" t="s">
        <v>40</v>
      </c>
      <c r="F29" s="11" t="s">
        <v>25</v>
      </c>
      <c r="G29" s="12">
        <v>16</v>
      </c>
      <c r="H29" s="13">
        <v>178.68</v>
      </c>
      <c r="I29" s="14">
        <f t="shared" si="0"/>
        <v>2858.88</v>
      </c>
      <c r="J29" s="14"/>
      <c r="K29" s="15">
        <v>6.6699999999999995E-2</v>
      </c>
      <c r="L29" s="15">
        <f t="shared" si="3"/>
        <v>1.6674999999999999E-2</v>
      </c>
      <c r="M29" s="14" t="s">
        <v>26</v>
      </c>
      <c r="N29" s="14">
        <f t="shared" si="1"/>
        <v>190.687296</v>
      </c>
      <c r="O29" s="14">
        <f t="shared" si="2"/>
        <v>47.671824000000001</v>
      </c>
      <c r="P29" s="11" t="s">
        <v>27</v>
      </c>
      <c r="Q29" s="11" t="s">
        <v>27</v>
      </c>
      <c r="R29" s="11"/>
      <c r="S29" s="11">
        <v>6</v>
      </c>
      <c r="T29" s="11"/>
      <c r="U29" s="11" t="s">
        <v>28</v>
      </c>
      <c r="V29" s="16" t="s">
        <v>31</v>
      </c>
    </row>
    <row r="30" spans="1:22" hidden="1" x14ac:dyDescent="0.25">
      <c r="A30" s="10">
        <v>46048</v>
      </c>
      <c r="B30" s="11">
        <v>137055</v>
      </c>
      <c r="C30" s="11" t="s">
        <v>31</v>
      </c>
      <c r="D30" s="11" t="s">
        <v>61</v>
      </c>
      <c r="E30" s="11" t="s">
        <v>52</v>
      </c>
      <c r="F30" s="11" t="s">
        <v>41</v>
      </c>
      <c r="G30" s="12">
        <v>1</v>
      </c>
      <c r="H30" s="13">
        <v>8100</v>
      </c>
      <c r="I30" s="14">
        <f t="shared" si="0"/>
        <v>8100</v>
      </c>
      <c r="J30" s="14"/>
      <c r="K30" s="15">
        <v>7.0000000000000007E-2</v>
      </c>
      <c r="L30" s="15">
        <f t="shared" si="3"/>
        <v>1.7500000000000002E-2</v>
      </c>
      <c r="M30" s="14" t="s">
        <v>26</v>
      </c>
      <c r="N30" s="14">
        <f t="shared" si="1"/>
        <v>567</v>
      </c>
      <c r="O30" s="14">
        <f t="shared" si="2"/>
        <v>141.75</v>
      </c>
      <c r="P30" s="11" t="s">
        <v>27</v>
      </c>
      <c r="Q30" s="11" t="s">
        <v>27</v>
      </c>
      <c r="R30" s="11"/>
      <c r="S30" s="11">
        <v>6</v>
      </c>
      <c r="T30" s="11"/>
      <c r="U30" s="11" t="s">
        <v>28</v>
      </c>
      <c r="V30" s="16" t="s">
        <v>31</v>
      </c>
    </row>
    <row r="31" spans="1:22" hidden="1" x14ac:dyDescent="0.25">
      <c r="A31" s="10">
        <v>46048</v>
      </c>
      <c r="B31" s="11">
        <v>137055</v>
      </c>
      <c r="C31" s="11" t="s">
        <v>31</v>
      </c>
      <c r="D31" s="11" t="s">
        <v>61</v>
      </c>
      <c r="E31" s="11" t="s">
        <v>52</v>
      </c>
      <c r="F31" s="11" t="s">
        <v>30</v>
      </c>
      <c r="G31" s="12">
        <v>1</v>
      </c>
      <c r="H31" s="13">
        <v>1070</v>
      </c>
      <c r="I31" s="14">
        <f t="shared" si="0"/>
        <v>1070</v>
      </c>
      <c r="J31" s="14"/>
      <c r="K31" s="15">
        <v>1</v>
      </c>
      <c r="L31" s="15">
        <f t="shared" si="3"/>
        <v>0.25</v>
      </c>
      <c r="M31" s="14" t="s">
        <v>26</v>
      </c>
      <c r="N31" s="14">
        <f t="shared" si="1"/>
        <v>1070</v>
      </c>
      <c r="O31" s="14">
        <f t="shared" si="2"/>
        <v>267.5</v>
      </c>
      <c r="P31" s="11" t="s">
        <v>27</v>
      </c>
      <c r="Q31" s="11" t="s">
        <v>27</v>
      </c>
      <c r="R31" s="11"/>
      <c r="S31" s="11">
        <v>1</v>
      </c>
      <c r="T31" s="11"/>
      <c r="U31" s="11" t="s">
        <v>28</v>
      </c>
      <c r="V31" s="16" t="s">
        <v>31</v>
      </c>
    </row>
    <row r="32" spans="1:22" hidden="1" x14ac:dyDescent="0.25">
      <c r="A32" s="10">
        <v>46052</v>
      </c>
      <c r="B32" s="11">
        <v>137171</v>
      </c>
      <c r="C32" s="11" t="s">
        <v>44</v>
      </c>
      <c r="D32" s="11" t="s">
        <v>62</v>
      </c>
      <c r="E32" s="11" t="s">
        <v>47</v>
      </c>
      <c r="F32" s="11" t="s">
        <v>25</v>
      </c>
      <c r="G32" s="12">
        <v>300</v>
      </c>
      <c r="H32" s="13">
        <v>166.67</v>
      </c>
      <c r="I32" s="14">
        <f t="shared" si="0"/>
        <v>50000.999999999993</v>
      </c>
      <c r="J32" s="14"/>
      <c r="K32" s="15">
        <v>0.05</v>
      </c>
      <c r="L32" s="15">
        <f t="shared" si="3"/>
        <v>1.2500000000000001E-2</v>
      </c>
      <c r="M32" s="14" t="s">
        <v>46</v>
      </c>
      <c r="N32" s="14">
        <f t="shared" si="1"/>
        <v>2500.0499999999997</v>
      </c>
      <c r="O32" s="14">
        <f t="shared" si="2"/>
        <v>625.01249999999993</v>
      </c>
      <c r="P32" s="11" t="s">
        <v>27</v>
      </c>
      <c r="Q32" s="11" t="s">
        <v>27</v>
      </c>
      <c r="R32" s="11"/>
      <c r="S32" s="11">
        <v>10</v>
      </c>
      <c r="T32" s="11"/>
      <c r="U32" s="11" t="s">
        <v>28</v>
      </c>
      <c r="V32" s="16" t="s">
        <v>44</v>
      </c>
    </row>
    <row r="33" spans="1:22" hidden="1" x14ac:dyDescent="0.25">
      <c r="A33" s="10">
        <v>46052</v>
      </c>
      <c r="B33" s="11">
        <v>137171</v>
      </c>
      <c r="C33" s="11" t="s">
        <v>44</v>
      </c>
      <c r="D33" s="11" t="s">
        <v>62</v>
      </c>
      <c r="E33" s="11" t="s">
        <v>47</v>
      </c>
      <c r="F33" s="11" t="s">
        <v>30</v>
      </c>
      <c r="G33" s="12">
        <v>7</v>
      </c>
      <c r="H33" s="13">
        <v>240</v>
      </c>
      <c r="I33" s="14">
        <f t="shared" si="0"/>
        <v>1680</v>
      </c>
      <c r="J33" s="14"/>
      <c r="K33" s="15">
        <v>1</v>
      </c>
      <c r="L33" s="15">
        <f t="shared" si="3"/>
        <v>0.25</v>
      </c>
      <c r="M33" s="14" t="s">
        <v>46</v>
      </c>
      <c r="N33" s="14">
        <f t="shared" si="1"/>
        <v>1680</v>
      </c>
      <c r="O33" s="14">
        <f t="shared" si="2"/>
        <v>420</v>
      </c>
      <c r="P33" s="11" t="s">
        <v>27</v>
      </c>
      <c r="Q33" s="11" t="s">
        <v>27</v>
      </c>
      <c r="R33" s="11"/>
      <c r="S33" s="11">
        <v>1</v>
      </c>
      <c r="T33" s="11"/>
      <c r="U33" s="11" t="s">
        <v>28</v>
      </c>
      <c r="V33" s="16" t="s">
        <v>44</v>
      </c>
    </row>
    <row r="34" spans="1:22" hidden="1" x14ac:dyDescent="0.25">
      <c r="A34" s="10">
        <v>46052</v>
      </c>
      <c r="B34" s="11">
        <v>137171</v>
      </c>
      <c r="C34" s="11" t="s">
        <v>44</v>
      </c>
      <c r="D34" s="11" t="s">
        <v>62</v>
      </c>
      <c r="E34" s="11" t="s">
        <v>54</v>
      </c>
      <c r="F34" s="11" t="s">
        <v>30</v>
      </c>
      <c r="G34" s="12">
        <v>1</v>
      </c>
      <c r="H34" s="13">
        <v>140</v>
      </c>
      <c r="I34" s="14">
        <f t="shared" si="0"/>
        <v>140</v>
      </c>
      <c r="J34" s="14"/>
      <c r="K34" s="15">
        <v>1</v>
      </c>
      <c r="L34" s="15">
        <f t="shared" si="3"/>
        <v>0.25</v>
      </c>
      <c r="M34" s="14" t="s">
        <v>46</v>
      </c>
      <c r="N34" s="14">
        <f t="shared" si="1"/>
        <v>140</v>
      </c>
      <c r="O34" s="14">
        <f t="shared" si="2"/>
        <v>35</v>
      </c>
      <c r="P34" s="11" t="s">
        <v>27</v>
      </c>
      <c r="Q34" s="11" t="s">
        <v>27</v>
      </c>
      <c r="R34" s="11"/>
      <c r="S34" s="11">
        <v>1</v>
      </c>
      <c r="T34" s="11"/>
      <c r="U34" s="11" t="s">
        <v>28</v>
      </c>
      <c r="V34" s="16" t="s">
        <v>44</v>
      </c>
    </row>
    <row r="35" spans="1:22" hidden="1" x14ac:dyDescent="0.25">
      <c r="A35" s="10">
        <v>46052</v>
      </c>
      <c r="B35" s="11">
        <v>137171</v>
      </c>
      <c r="C35" s="11" t="s">
        <v>44</v>
      </c>
      <c r="D35" s="11" t="s">
        <v>62</v>
      </c>
      <c r="E35" s="11" t="s">
        <v>63</v>
      </c>
      <c r="F35" s="11" t="s">
        <v>30</v>
      </c>
      <c r="G35" s="12">
        <v>10</v>
      </c>
      <c r="H35" s="13">
        <v>88</v>
      </c>
      <c r="I35" s="14">
        <f t="shared" si="0"/>
        <v>880</v>
      </c>
      <c r="J35" s="14"/>
      <c r="K35" s="15">
        <v>1</v>
      </c>
      <c r="L35" s="15">
        <f t="shared" si="3"/>
        <v>0.25</v>
      </c>
      <c r="M35" s="14" t="s">
        <v>46</v>
      </c>
      <c r="N35" s="14">
        <f t="shared" si="1"/>
        <v>880</v>
      </c>
      <c r="O35" s="14">
        <f t="shared" si="2"/>
        <v>220</v>
      </c>
      <c r="P35" s="11" t="s">
        <v>27</v>
      </c>
      <c r="Q35" s="11" t="s">
        <v>27</v>
      </c>
      <c r="R35" s="11"/>
      <c r="S35" s="11">
        <v>1</v>
      </c>
      <c r="T35" s="11"/>
      <c r="U35" s="11" t="s">
        <v>28</v>
      </c>
      <c r="V35" s="16" t="s">
        <v>44</v>
      </c>
    </row>
    <row r="36" spans="1:22" hidden="1" x14ac:dyDescent="0.25">
      <c r="A36" s="10">
        <v>46052</v>
      </c>
      <c r="B36" s="11">
        <v>120629</v>
      </c>
      <c r="C36" s="11" t="s">
        <v>31</v>
      </c>
      <c r="D36" s="11" t="s">
        <v>64</v>
      </c>
      <c r="E36" s="11" t="s">
        <v>24</v>
      </c>
      <c r="F36" s="11" t="s">
        <v>25</v>
      </c>
      <c r="G36" s="12">
        <v>45</v>
      </c>
      <c r="H36" s="13">
        <v>158</v>
      </c>
      <c r="I36" s="14">
        <f t="shared" si="0"/>
        <v>7110</v>
      </c>
      <c r="J36" s="14"/>
      <c r="K36" s="15">
        <v>0.01</v>
      </c>
      <c r="L36" s="15">
        <f t="shared" si="3"/>
        <v>2.5000000000000001E-3</v>
      </c>
      <c r="M36" s="14" t="s">
        <v>26</v>
      </c>
      <c r="N36" s="14">
        <f t="shared" si="1"/>
        <v>71.100000000000009</v>
      </c>
      <c r="O36" s="14">
        <f t="shared" si="2"/>
        <v>17.775000000000002</v>
      </c>
      <c r="P36" s="11" t="s">
        <v>36</v>
      </c>
      <c r="Q36" s="11" t="s">
        <v>37</v>
      </c>
      <c r="R36" s="11"/>
      <c r="S36" s="11">
        <v>6</v>
      </c>
      <c r="T36" s="11"/>
      <c r="U36" s="11" t="s">
        <v>38</v>
      </c>
      <c r="V36" s="16" t="s">
        <v>31</v>
      </c>
    </row>
    <row r="37" spans="1:22" hidden="1" x14ac:dyDescent="0.25">
      <c r="A37" s="10">
        <v>46052</v>
      </c>
      <c r="B37" s="11">
        <v>137074</v>
      </c>
      <c r="C37" s="11" t="s">
        <v>31</v>
      </c>
      <c r="D37" s="11" t="s">
        <v>65</v>
      </c>
      <c r="E37" s="11" t="s">
        <v>35</v>
      </c>
      <c r="F37" s="11" t="s">
        <v>35</v>
      </c>
      <c r="G37" s="12">
        <v>16</v>
      </c>
      <c r="H37" s="13">
        <v>176</v>
      </c>
      <c r="I37" s="14">
        <f t="shared" si="0"/>
        <v>2816</v>
      </c>
      <c r="J37" s="14"/>
      <c r="K37" s="15">
        <v>0.01</v>
      </c>
      <c r="L37" s="15">
        <f t="shared" si="3"/>
        <v>2.5000000000000001E-3</v>
      </c>
      <c r="M37" s="14" t="s">
        <v>26</v>
      </c>
      <c r="N37" s="14">
        <f t="shared" si="1"/>
        <v>28.16</v>
      </c>
      <c r="O37" s="14">
        <f t="shared" si="2"/>
        <v>7.04</v>
      </c>
      <c r="P37" s="11" t="s">
        <v>36</v>
      </c>
      <c r="Q37" s="11" t="s">
        <v>37</v>
      </c>
      <c r="R37" s="11"/>
      <c r="S37" s="11">
        <v>1</v>
      </c>
      <c r="T37" s="11"/>
      <c r="U37" s="11" t="s">
        <v>38</v>
      </c>
      <c r="V37" s="16" t="s">
        <v>31</v>
      </c>
    </row>
    <row r="38" spans="1:22" hidden="1" x14ac:dyDescent="0.25">
      <c r="A38" s="10">
        <v>46052</v>
      </c>
      <c r="B38" s="11">
        <v>137309</v>
      </c>
      <c r="C38" s="11" t="s">
        <v>31</v>
      </c>
      <c r="D38" s="11" t="s">
        <v>66</v>
      </c>
      <c r="E38" s="11" t="s">
        <v>35</v>
      </c>
      <c r="F38" s="11" t="s">
        <v>35</v>
      </c>
      <c r="G38" s="12">
        <v>5</v>
      </c>
      <c r="H38" s="13">
        <v>176</v>
      </c>
      <c r="I38" s="14">
        <f t="shared" si="0"/>
        <v>880</v>
      </c>
      <c r="J38" s="14"/>
      <c r="K38" s="15">
        <v>0.01</v>
      </c>
      <c r="L38" s="15">
        <f t="shared" si="3"/>
        <v>2.5000000000000001E-3</v>
      </c>
      <c r="M38" s="14" t="s">
        <v>26</v>
      </c>
      <c r="N38" s="14">
        <f t="shared" si="1"/>
        <v>8.8000000000000007</v>
      </c>
      <c r="O38" s="14">
        <f t="shared" si="2"/>
        <v>2.2000000000000002</v>
      </c>
      <c r="P38" s="11" t="s">
        <v>36</v>
      </c>
      <c r="Q38" s="11" t="s">
        <v>37</v>
      </c>
      <c r="R38" s="11"/>
      <c r="S38" s="11">
        <v>3</v>
      </c>
      <c r="T38" s="11"/>
      <c r="U38" s="11" t="s">
        <v>38</v>
      </c>
      <c r="V38" s="16" t="s">
        <v>31</v>
      </c>
    </row>
    <row r="39" spans="1:22" hidden="1" x14ac:dyDescent="0.25">
      <c r="A39" s="90">
        <v>46052</v>
      </c>
      <c r="B39" s="11">
        <v>125596</v>
      </c>
      <c r="C39" s="11" t="s">
        <v>22</v>
      </c>
      <c r="D39" s="11" t="s">
        <v>67</v>
      </c>
      <c r="E39" s="11" t="s">
        <v>24</v>
      </c>
      <c r="F39" s="11" t="s">
        <v>25</v>
      </c>
      <c r="G39" s="12">
        <v>40</v>
      </c>
      <c r="H39" s="13">
        <v>180</v>
      </c>
      <c r="I39" s="14">
        <f t="shared" si="0"/>
        <v>7200</v>
      </c>
      <c r="J39" s="14"/>
      <c r="K39" s="15">
        <v>7.0000000000000007E-2</v>
      </c>
      <c r="L39" s="15">
        <v>0</v>
      </c>
      <c r="M39" s="14" t="s">
        <v>26</v>
      </c>
      <c r="N39" s="14">
        <f t="shared" si="1"/>
        <v>504.00000000000006</v>
      </c>
      <c r="O39" s="14">
        <f t="shared" si="2"/>
        <v>0</v>
      </c>
      <c r="P39" s="11" t="s">
        <v>36</v>
      </c>
      <c r="Q39" s="11" t="s">
        <v>37</v>
      </c>
      <c r="R39" s="11"/>
      <c r="S39" s="11">
        <v>6</v>
      </c>
      <c r="T39" s="11"/>
      <c r="U39" s="11" t="s">
        <v>38</v>
      </c>
      <c r="V39" s="16" t="s">
        <v>22</v>
      </c>
    </row>
    <row r="40" spans="1:22" hidden="1" x14ac:dyDescent="0.25">
      <c r="A40" s="10">
        <v>46055</v>
      </c>
      <c r="B40" s="11">
        <v>130904</v>
      </c>
      <c r="C40" s="11" t="s">
        <v>44</v>
      </c>
      <c r="D40" s="11" t="s">
        <v>68</v>
      </c>
      <c r="E40" s="11" t="s">
        <v>69</v>
      </c>
      <c r="F40" s="11" t="s">
        <v>41</v>
      </c>
      <c r="G40" s="12">
        <v>1</v>
      </c>
      <c r="H40" s="13">
        <v>22270</v>
      </c>
      <c r="I40" s="23">
        <f>vendas2026[[#This Row],[VlrUnitário]]*vendas2026[[#This Row],[Qtde]]</f>
        <v>22270</v>
      </c>
      <c r="J40" s="23">
        <f>vendas2026[[#This Row],[VlrTotal]]</f>
        <v>22270</v>
      </c>
      <c r="K40" s="74">
        <v>7.0000000000000007E-2</v>
      </c>
      <c r="L40" s="15">
        <f>vendas2026[[#This Row],[%Comissão]]*0.25</f>
        <v>1.7500000000000002E-2</v>
      </c>
      <c r="M40" s="14" t="s">
        <v>46</v>
      </c>
      <c r="N40" s="23">
        <f>vendas2026[[#This Row],[VlrTotal]]*vendas2026[[#This Row],[%Comissão]]</f>
        <v>1558.9</v>
      </c>
      <c r="O40" s="14">
        <f>vendas2026[[#This Row],[VlrTotal]]*vendas2026[[#This Row],[%ComissãoSupervisor]]</f>
        <v>389.72500000000002</v>
      </c>
      <c r="P40" s="11" t="s">
        <v>27</v>
      </c>
      <c r="Q40" s="11" t="s">
        <v>27</v>
      </c>
      <c r="R40" s="11"/>
      <c r="S40" s="11">
        <v>10</v>
      </c>
      <c r="T40" s="11"/>
      <c r="U40" s="11" t="s">
        <v>28</v>
      </c>
      <c r="V40" s="16" t="s">
        <v>44</v>
      </c>
    </row>
    <row r="41" spans="1:22" hidden="1" x14ac:dyDescent="0.25">
      <c r="A41" s="10">
        <v>46055</v>
      </c>
      <c r="B41" s="11">
        <v>130904</v>
      </c>
      <c r="C41" s="11" t="s">
        <v>44</v>
      </c>
      <c r="D41" s="11" t="s">
        <v>68</v>
      </c>
      <c r="E41" s="11" t="s">
        <v>69</v>
      </c>
      <c r="F41" s="11" t="s">
        <v>30</v>
      </c>
      <c r="G41" s="12">
        <v>1</v>
      </c>
      <c r="H41" s="13">
        <v>3000</v>
      </c>
      <c r="I41" s="23">
        <f>vendas2026[[#This Row],[VlrUnitário]]*vendas2026[[#This Row],[Qtde]]</f>
        <v>3000</v>
      </c>
      <c r="J41" s="23">
        <f>(vendas2026[[#This Row],[VlrTotal]]*0.2)+vendas2026[[#This Row],[VlrTotal]]</f>
        <v>3600</v>
      </c>
      <c r="K41" s="74">
        <v>1</v>
      </c>
      <c r="L41" s="15">
        <f>vendas2026[[#This Row],[%Comissão]]*0.25</f>
        <v>0.25</v>
      </c>
      <c r="M41" s="14" t="s">
        <v>46</v>
      </c>
      <c r="N41" s="23">
        <f>vendas2026[[#This Row],[VlrTotal]]*vendas2026[[#This Row],[%Comissão]]</f>
        <v>3000</v>
      </c>
      <c r="O41" s="14">
        <f>vendas2026[[#This Row],[VlrTotal]]*vendas2026[[#This Row],[%ComissãoSupervisor]]</f>
        <v>750</v>
      </c>
      <c r="P41" s="11" t="s">
        <v>27</v>
      </c>
      <c r="Q41" s="11" t="s">
        <v>27</v>
      </c>
      <c r="R41" s="11"/>
      <c r="S41" s="11">
        <v>1</v>
      </c>
      <c r="T41" s="11"/>
      <c r="U41" s="11" t="s">
        <v>28</v>
      </c>
      <c r="V41" s="16" t="s">
        <v>44</v>
      </c>
    </row>
    <row r="42" spans="1:22" hidden="1" x14ac:dyDescent="0.25">
      <c r="A42" s="10">
        <v>46055</v>
      </c>
      <c r="B42" s="11">
        <v>128860</v>
      </c>
      <c r="C42" s="11" t="s">
        <v>22</v>
      </c>
      <c r="D42" s="11" t="s">
        <v>70</v>
      </c>
      <c r="E42" s="11" t="s">
        <v>24</v>
      </c>
      <c r="F42" s="11" t="s">
        <v>25</v>
      </c>
      <c r="G42" s="12">
        <v>110</v>
      </c>
      <c r="H42" s="13">
        <v>185</v>
      </c>
      <c r="I42" s="14">
        <f>vendas2026[[#This Row],[Qtde]]*vendas2026[[#This Row],[VlrUnitário]]</f>
        <v>20350</v>
      </c>
      <c r="J42" s="14">
        <v>20350</v>
      </c>
      <c r="K42" s="15">
        <v>7.0000000000000007E-2</v>
      </c>
      <c r="L42" s="15">
        <v>0</v>
      </c>
      <c r="M42" s="14" t="s">
        <v>46</v>
      </c>
      <c r="N42" s="23">
        <f>vendas2026[[#This Row],[VlrTotal]]*vendas2026[[#This Row],[%Comissão]]</f>
        <v>1424.5000000000002</v>
      </c>
      <c r="O42" s="14">
        <v>0</v>
      </c>
      <c r="P42" s="11" t="s">
        <v>36</v>
      </c>
      <c r="Q42" s="11" t="s">
        <v>37</v>
      </c>
      <c r="R42" s="11"/>
      <c r="S42" s="11">
        <v>6</v>
      </c>
      <c r="T42" s="11"/>
      <c r="U42" s="11" t="s">
        <v>38</v>
      </c>
      <c r="V42" s="16" t="s">
        <v>22</v>
      </c>
    </row>
    <row r="43" spans="1:22" hidden="1" x14ac:dyDescent="0.25">
      <c r="A43" s="10">
        <v>46055</v>
      </c>
      <c r="B43" s="11">
        <v>128860</v>
      </c>
      <c r="C43" s="11" t="s">
        <v>22</v>
      </c>
      <c r="D43" s="11" t="s">
        <v>70</v>
      </c>
      <c r="E43" s="11" t="s">
        <v>63</v>
      </c>
      <c r="F43" s="11" t="s">
        <v>30</v>
      </c>
      <c r="G43" s="12">
        <v>15</v>
      </c>
      <c r="H43" s="13">
        <v>87</v>
      </c>
      <c r="I43" s="14">
        <f>vendas2026[[#This Row],[Qtde]]*vendas2026[[#This Row],[VlrUnitário]]</f>
        <v>1305</v>
      </c>
      <c r="J43" s="23">
        <v>1305</v>
      </c>
      <c r="K43" s="15">
        <v>1</v>
      </c>
      <c r="L43" s="15">
        <v>0</v>
      </c>
      <c r="M43" s="14" t="s">
        <v>46</v>
      </c>
      <c r="N43" s="23">
        <f>vendas2026[[#This Row],[VlrTotal]]*vendas2026[[#This Row],[%Comissão]]</f>
        <v>1305</v>
      </c>
      <c r="O43" s="14">
        <v>0</v>
      </c>
      <c r="P43" s="11" t="s">
        <v>36</v>
      </c>
      <c r="Q43" s="11" t="s">
        <v>37</v>
      </c>
      <c r="R43" s="11"/>
      <c r="S43" s="11">
        <v>1</v>
      </c>
      <c r="T43" s="11"/>
      <c r="U43" s="11" t="s">
        <v>38</v>
      </c>
      <c r="V43" s="16" t="s">
        <v>22</v>
      </c>
    </row>
    <row r="44" spans="1:22" hidden="1" x14ac:dyDescent="0.25">
      <c r="A44" s="10">
        <v>46055</v>
      </c>
      <c r="B44" s="11">
        <v>128860</v>
      </c>
      <c r="C44" s="11" t="s">
        <v>22</v>
      </c>
      <c r="D44" s="11" t="s">
        <v>70</v>
      </c>
      <c r="E44" s="11" t="s">
        <v>71</v>
      </c>
      <c r="F44" s="11" t="s">
        <v>30</v>
      </c>
      <c r="G44" s="12">
        <v>10</v>
      </c>
      <c r="H44" s="13">
        <v>43.5</v>
      </c>
      <c r="I44" s="14">
        <f>vendas2026[[#This Row],[Qtde]]*vendas2026[[#This Row],[VlrUnitário]]</f>
        <v>435</v>
      </c>
      <c r="J44" s="23">
        <v>435</v>
      </c>
      <c r="K44" s="15">
        <v>1</v>
      </c>
      <c r="L44" s="15">
        <v>0</v>
      </c>
      <c r="M44" s="14" t="s">
        <v>46</v>
      </c>
      <c r="N44" s="23">
        <f>vendas2026[[#This Row],[VlrTotal]]*vendas2026[[#This Row],[%Comissão]]</f>
        <v>435</v>
      </c>
      <c r="O44" s="14">
        <v>0</v>
      </c>
      <c r="P44" s="11" t="s">
        <v>36</v>
      </c>
      <c r="Q44" s="11" t="s">
        <v>37</v>
      </c>
      <c r="R44" s="11"/>
      <c r="S44" s="11">
        <v>1</v>
      </c>
      <c r="T44" s="11"/>
      <c r="U44" s="11" t="s">
        <v>38</v>
      </c>
      <c r="V44" s="16" t="s">
        <v>22</v>
      </c>
    </row>
    <row r="45" spans="1:22" hidden="1" x14ac:dyDescent="0.25">
      <c r="A45" s="10">
        <v>46059</v>
      </c>
      <c r="B45" s="11">
        <v>137190</v>
      </c>
      <c r="C45" s="11" t="s">
        <v>44</v>
      </c>
      <c r="D45" s="11" t="s">
        <v>72</v>
      </c>
      <c r="E45" s="11" t="s">
        <v>47</v>
      </c>
      <c r="F45" s="11" t="s">
        <v>25</v>
      </c>
      <c r="G45" s="12">
        <v>290</v>
      </c>
      <c r="H45" s="13">
        <v>200</v>
      </c>
      <c r="I45" s="14">
        <f>vendas2026[[#This Row],[Qtde]]*vendas2026[[#This Row],[VlrUnitário]]</f>
        <v>58000</v>
      </c>
      <c r="J45" s="14">
        <v>58000</v>
      </c>
      <c r="K45" s="15">
        <v>0.05</v>
      </c>
      <c r="L45" s="15">
        <f>vendas2026[[#This Row],[%Comissão]]*0.25</f>
        <v>1.2500000000000001E-2</v>
      </c>
      <c r="M45" s="14" t="s">
        <v>46</v>
      </c>
      <c r="N45" s="23">
        <f>vendas2026[[#This Row],[VlrTotal]]*vendas2026[[#This Row],[%Comissão]]</f>
        <v>2900</v>
      </c>
      <c r="O45" s="14">
        <f>vendas2026[[#This Row],[VlrTotal]]*vendas2026[[#This Row],[%ComissãoSupervisor]]</f>
        <v>725</v>
      </c>
      <c r="P45" s="11" t="s">
        <v>27</v>
      </c>
      <c r="Q45" s="11" t="s">
        <v>27</v>
      </c>
      <c r="R45" s="11"/>
      <c r="S45" s="11">
        <v>12</v>
      </c>
      <c r="T45" s="11"/>
      <c r="U45" s="11" t="s">
        <v>28</v>
      </c>
      <c r="V45" s="16" t="s">
        <v>44</v>
      </c>
    </row>
    <row r="46" spans="1:22" hidden="1" x14ac:dyDescent="0.25">
      <c r="A46" s="10">
        <v>46059</v>
      </c>
      <c r="B46" s="11">
        <v>137370</v>
      </c>
      <c r="C46" s="11" t="s">
        <v>44</v>
      </c>
      <c r="D46" s="11" t="s">
        <v>72</v>
      </c>
      <c r="E46" s="11" t="s">
        <v>47</v>
      </c>
      <c r="F46" s="11" t="s">
        <v>30</v>
      </c>
      <c r="G46" s="12">
        <v>20</v>
      </c>
      <c r="H46" s="13">
        <v>255</v>
      </c>
      <c r="I46" s="14">
        <f>vendas2026[[#This Row],[Qtde]]*vendas2026[[#This Row],[VlrUnitário]]</f>
        <v>5100</v>
      </c>
      <c r="J46" s="23">
        <v>5100</v>
      </c>
      <c r="K46" s="15">
        <v>1</v>
      </c>
      <c r="L46" s="15">
        <f>vendas2026[[#This Row],[%Comissão]]*0.25</f>
        <v>0.25</v>
      </c>
      <c r="M46" s="14" t="s">
        <v>46</v>
      </c>
      <c r="N46" s="23">
        <f>vendas2026[[#This Row],[VlrTotal]]*vendas2026[[#This Row],[%Comissão]]</f>
        <v>5100</v>
      </c>
      <c r="O46" s="14">
        <f>vendas2026[[#This Row],[VlrTotal]]*vendas2026[[#This Row],[%ComissãoSupervisor]]</f>
        <v>1275</v>
      </c>
      <c r="P46" s="11" t="s">
        <v>27</v>
      </c>
      <c r="Q46" s="11" t="s">
        <v>27</v>
      </c>
      <c r="R46" s="11"/>
      <c r="S46" s="11">
        <v>1</v>
      </c>
      <c r="T46" s="11"/>
      <c r="U46" s="11" t="s">
        <v>28</v>
      </c>
      <c r="V46" s="16" t="s">
        <v>44</v>
      </c>
    </row>
    <row r="47" spans="1:22" hidden="1" x14ac:dyDescent="0.25">
      <c r="A47" s="10">
        <v>46059</v>
      </c>
      <c r="B47" s="11">
        <v>137370</v>
      </c>
      <c r="C47" s="11" t="s">
        <v>44</v>
      </c>
      <c r="D47" s="11" t="s">
        <v>72</v>
      </c>
      <c r="E47" s="11" t="s">
        <v>63</v>
      </c>
      <c r="F47" s="11" t="s">
        <v>30</v>
      </c>
      <c r="G47" s="12">
        <v>20</v>
      </c>
      <c r="H47" s="13">
        <v>90</v>
      </c>
      <c r="I47" s="14">
        <f>vendas2026[[#This Row],[Qtde]]*vendas2026[[#This Row],[VlrUnitário]]</f>
        <v>1800</v>
      </c>
      <c r="J47" s="14">
        <v>1800</v>
      </c>
      <c r="K47" s="15">
        <v>1</v>
      </c>
      <c r="L47" s="15">
        <f>vendas2026[[#This Row],[%Comissão]]*0.25</f>
        <v>0.25</v>
      </c>
      <c r="M47" s="14" t="s">
        <v>46</v>
      </c>
      <c r="N47" s="23">
        <f>vendas2026[[#This Row],[VlrTotal]]*vendas2026[[#This Row],[%Comissão]]</f>
        <v>1800</v>
      </c>
      <c r="O47" s="14">
        <f>vendas2026[[#This Row],[VlrTotal]]*vendas2026[[#This Row],[%ComissãoSupervisor]]</f>
        <v>450</v>
      </c>
      <c r="P47" s="11" t="s">
        <v>27</v>
      </c>
      <c r="Q47" s="11" t="s">
        <v>27</v>
      </c>
      <c r="R47" s="11"/>
      <c r="S47" s="11">
        <v>1</v>
      </c>
      <c r="T47" s="11"/>
      <c r="U47" s="11" t="s">
        <v>28</v>
      </c>
      <c r="V47" s="16" t="s">
        <v>44</v>
      </c>
    </row>
    <row r="48" spans="1:22" hidden="1" x14ac:dyDescent="0.25">
      <c r="A48" s="10">
        <v>46059</v>
      </c>
      <c r="B48" s="11">
        <v>137370</v>
      </c>
      <c r="C48" s="11" t="s">
        <v>44</v>
      </c>
      <c r="D48" s="11" t="s">
        <v>72</v>
      </c>
      <c r="E48" s="11" t="s">
        <v>48</v>
      </c>
      <c r="F48" s="11" t="s">
        <v>30</v>
      </c>
      <c r="G48" s="12">
        <v>1</v>
      </c>
      <c r="H48" s="13">
        <v>330</v>
      </c>
      <c r="I48" s="14">
        <f>vendas2026[[#This Row],[Qtde]]*vendas2026[[#This Row],[VlrUnitário]]</f>
        <v>330</v>
      </c>
      <c r="J48" s="14">
        <v>330</v>
      </c>
      <c r="K48" s="15">
        <v>1</v>
      </c>
      <c r="L48" s="15">
        <f>vendas2026[[#This Row],[%Comissão]]*0.25</f>
        <v>0.25</v>
      </c>
      <c r="M48" s="14" t="s">
        <v>46</v>
      </c>
      <c r="N48" s="23">
        <f>vendas2026[[#This Row],[VlrTotal]]*vendas2026[[#This Row],[%Comissão]]</f>
        <v>330</v>
      </c>
      <c r="O48" s="14">
        <f>vendas2026[[#This Row],[VlrTotal]]*vendas2026[[#This Row],[%ComissãoSupervisor]]</f>
        <v>82.5</v>
      </c>
      <c r="P48" s="11" t="s">
        <v>27</v>
      </c>
      <c r="Q48" s="11" t="s">
        <v>27</v>
      </c>
      <c r="R48" s="11"/>
      <c r="S48" s="11">
        <v>1</v>
      </c>
      <c r="T48" s="11"/>
      <c r="U48" s="11" t="s">
        <v>28</v>
      </c>
      <c r="V48" s="16" t="s">
        <v>44</v>
      </c>
    </row>
    <row r="49" spans="1:22" hidden="1" x14ac:dyDescent="0.25">
      <c r="A49" s="10">
        <v>46059</v>
      </c>
      <c r="B49" s="11">
        <v>137739</v>
      </c>
      <c r="C49" s="11" t="s">
        <v>31</v>
      </c>
      <c r="D49" s="11" t="s">
        <v>73</v>
      </c>
      <c r="E49" s="11" t="s">
        <v>52</v>
      </c>
      <c r="F49" s="11" t="s">
        <v>41</v>
      </c>
      <c r="G49" s="12">
        <v>1</v>
      </c>
      <c r="H49" s="13">
        <v>8100</v>
      </c>
      <c r="I49" s="14">
        <f>vendas2026[[#This Row],[Qtde]]*vendas2026[[#This Row],[VlrUnitário]]</f>
        <v>8100</v>
      </c>
      <c r="J49" s="23">
        <f>(vendas2026[[#This Row],[VlrTotal]]*0.2)+vendas2026[[#This Row],[VlrTotal]]</f>
        <v>9720</v>
      </c>
      <c r="K49" s="15">
        <v>0.25</v>
      </c>
      <c r="L49" s="15">
        <f>vendas2026[[#This Row],[%Comissão]]*0.25</f>
        <v>6.25E-2</v>
      </c>
      <c r="M49" s="14" t="s">
        <v>26</v>
      </c>
      <c r="N49" s="23">
        <f>vendas2026[[#This Row],[VlrTotal]]*vendas2026[[#This Row],[%Comissão]]</f>
        <v>2025</v>
      </c>
      <c r="O49" s="14">
        <f>vendas2026[[#This Row],[VlrTotal]]*vendas2026[[#This Row],[%ComissãoSupervisor]]</f>
        <v>506.25</v>
      </c>
      <c r="P49" s="11" t="s">
        <v>27</v>
      </c>
      <c r="Q49" s="11" t="s">
        <v>27</v>
      </c>
      <c r="R49" s="11"/>
      <c r="S49" s="11">
        <v>6</v>
      </c>
      <c r="T49" s="11"/>
      <c r="U49" s="11" t="s">
        <v>28</v>
      </c>
      <c r="V49" s="16" t="s">
        <v>31</v>
      </c>
    </row>
    <row r="50" spans="1:22" hidden="1" x14ac:dyDescent="0.25">
      <c r="A50" s="10">
        <v>46059</v>
      </c>
      <c r="B50" s="11">
        <v>137739</v>
      </c>
      <c r="C50" s="11" t="s">
        <v>31</v>
      </c>
      <c r="D50" s="11" t="s">
        <v>73</v>
      </c>
      <c r="E50" s="11" t="s">
        <v>52</v>
      </c>
      <c r="F50" s="11" t="s">
        <v>30</v>
      </c>
      <c r="G50" s="12">
        <v>1</v>
      </c>
      <c r="H50" s="13">
        <v>1080</v>
      </c>
      <c r="I50" s="14">
        <f>vendas2026[[#This Row],[Qtde]]*vendas2026[[#This Row],[VlrUnitário]]</f>
        <v>1080</v>
      </c>
      <c r="J50" s="23">
        <f>(vendas2026[[#This Row],[VlrTotal]]*0.2)+vendas2026[[#This Row],[VlrTotal]]</f>
        <v>1296</v>
      </c>
      <c r="K50" s="15">
        <v>1</v>
      </c>
      <c r="L50" s="15">
        <f>vendas2026[[#This Row],[%Comissão]]*0.25</f>
        <v>0.25</v>
      </c>
      <c r="M50" s="14" t="s">
        <v>26</v>
      </c>
      <c r="N50" s="23">
        <f>vendas2026[[#This Row],[VlrTotal]]*vendas2026[[#This Row],[%Comissão]]</f>
        <v>1080</v>
      </c>
      <c r="O50" s="14">
        <f>vendas2026[[#This Row],[VlrTotal]]*vendas2026[[#This Row],[%ComissãoSupervisor]]</f>
        <v>270</v>
      </c>
      <c r="P50" s="11" t="s">
        <v>27</v>
      </c>
      <c r="Q50" s="11" t="s">
        <v>27</v>
      </c>
      <c r="R50" s="11"/>
      <c r="S50" s="11">
        <v>1</v>
      </c>
      <c r="T50" s="11"/>
      <c r="U50" s="11" t="s">
        <v>28</v>
      </c>
      <c r="V50" s="16" t="s">
        <v>31</v>
      </c>
    </row>
    <row r="51" spans="1:22" hidden="1" x14ac:dyDescent="0.25">
      <c r="A51" s="10">
        <v>46059</v>
      </c>
      <c r="B51" s="11">
        <v>137720</v>
      </c>
      <c r="C51" s="11" t="s">
        <v>31</v>
      </c>
      <c r="D51" s="11" t="s">
        <v>74</v>
      </c>
      <c r="E51" s="11" t="s">
        <v>63</v>
      </c>
      <c r="F51" s="11" t="s">
        <v>30</v>
      </c>
      <c r="G51" s="12">
        <v>5</v>
      </c>
      <c r="H51" s="13">
        <v>115</v>
      </c>
      <c r="I51" s="14">
        <f>vendas2026[[#This Row],[Qtde]]*vendas2026[[#This Row],[VlrUnitário]]</f>
        <v>575</v>
      </c>
      <c r="J51" s="23">
        <f>(vendas2026[[#This Row],[VlrTotal]]*0.2)+vendas2026[[#This Row],[VlrTotal]]</f>
        <v>690</v>
      </c>
      <c r="K51" s="15">
        <v>1</v>
      </c>
      <c r="L51" s="15">
        <f>vendas2026[[#This Row],[%Comissão]]*0.25</f>
        <v>0.25</v>
      </c>
      <c r="M51" s="14" t="s">
        <v>26</v>
      </c>
      <c r="N51" s="23">
        <f>vendas2026[[#This Row],[VlrTotal]]*vendas2026[[#This Row],[%Comissão]]</f>
        <v>575</v>
      </c>
      <c r="O51" s="14">
        <f>vendas2026[[#This Row],[VlrTotal]]*vendas2026[[#This Row],[%ComissãoSupervisor]]</f>
        <v>143.75</v>
      </c>
      <c r="P51" s="11" t="s">
        <v>27</v>
      </c>
      <c r="Q51" s="11" t="s">
        <v>27</v>
      </c>
      <c r="R51" s="11"/>
      <c r="S51" s="11">
        <v>1</v>
      </c>
      <c r="T51" s="11"/>
      <c r="U51" s="11" t="s">
        <v>28</v>
      </c>
      <c r="V51" s="16" t="s">
        <v>31</v>
      </c>
    </row>
    <row r="52" spans="1:22" hidden="1" x14ac:dyDescent="0.25">
      <c r="A52" s="10">
        <v>46059</v>
      </c>
      <c r="B52" s="11">
        <v>137481</v>
      </c>
      <c r="C52" s="11" t="s">
        <v>31</v>
      </c>
      <c r="D52" s="11" t="s">
        <v>75</v>
      </c>
      <c r="E52" s="11" t="s">
        <v>24</v>
      </c>
      <c r="F52" s="11" t="s">
        <v>25</v>
      </c>
      <c r="G52" s="12">
        <v>8</v>
      </c>
      <c r="H52" s="13">
        <v>189</v>
      </c>
      <c r="I52" s="14">
        <f>vendas2026[[#This Row],[Qtde]]*vendas2026[[#This Row],[VlrUnitário]]</f>
        <v>1512</v>
      </c>
      <c r="J52" s="23">
        <f>(vendas2026[[#This Row],[VlrTotal]]*0.2)+vendas2026[[#This Row],[VlrTotal]]</f>
        <v>1814.4</v>
      </c>
      <c r="K52" s="15">
        <v>7.0000000000000007E-2</v>
      </c>
      <c r="L52" s="15">
        <f>vendas2026[[#This Row],[%Comissão]]*0.25</f>
        <v>1.7500000000000002E-2</v>
      </c>
      <c r="M52" s="14" t="s">
        <v>26</v>
      </c>
      <c r="N52" s="23">
        <f>vendas2026[[#This Row],[VlrTotal]]*vendas2026[[#This Row],[%Comissão]]</f>
        <v>105.84</v>
      </c>
      <c r="O52" s="14">
        <f>vendas2026[[#This Row],[VlrTotal]]*vendas2026[[#This Row],[%ComissãoSupervisor]]</f>
        <v>26.46</v>
      </c>
      <c r="P52" s="11" t="s">
        <v>36</v>
      </c>
      <c r="Q52" s="11" t="s">
        <v>37</v>
      </c>
      <c r="R52" s="11"/>
      <c r="S52" s="11">
        <v>4</v>
      </c>
      <c r="T52" s="11"/>
      <c r="U52" s="11" t="s">
        <v>38</v>
      </c>
      <c r="V52" s="16" t="s">
        <v>31</v>
      </c>
    </row>
    <row r="53" spans="1:22" hidden="1" x14ac:dyDescent="0.25">
      <c r="A53" s="10">
        <v>46065</v>
      </c>
      <c r="B53" s="11">
        <v>138938</v>
      </c>
      <c r="C53" s="11" t="s">
        <v>44</v>
      </c>
      <c r="D53" s="11" t="s">
        <v>76</v>
      </c>
      <c r="E53" s="11" t="s">
        <v>63</v>
      </c>
      <c r="F53" s="11" t="s">
        <v>25</v>
      </c>
      <c r="G53" s="12">
        <v>80</v>
      </c>
      <c r="H53" s="13">
        <v>212</v>
      </c>
      <c r="I53" s="14">
        <f>vendas2026[[#This Row],[Qtde]]*vendas2026[[#This Row],[VlrUnitário]]</f>
        <v>16960</v>
      </c>
      <c r="J53" s="14">
        <v>16960</v>
      </c>
      <c r="K53" s="15">
        <v>7.0000000000000007E-2</v>
      </c>
      <c r="L53" s="15">
        <f>vendas2026[[#This Row],[%Comissão]]*0.25</f>
        <v>1.7500000000000002E-2</v>
      </c>
      <c r="M53" s="14" t="s">
        <v>46</v>
      </c>
      <c r="N53" s="23">
        <f>vendas2026[[#This Row],[VlrTotal]]*vendas2026[[#This Row],[%Comissão]]</f>
        <v>1187.2</v>
      </c>
      <c r="O53" s="14">
        <f>vendas2026[[#This Row],[VlrTotal]]*vendas2026[[#This Row],[%ComissãoSupervisor]]</f>
        <v>296.8</v>
      </c>
      <c r="P53" s="11" t="s">
        <v>27</v>
      </c>
      <c r="Q53" s="11" t="s">
        <v>27</v>
      </c>
      <c r="R53" s="11"/>
      <c r="S53" s="11">
        <v>4</v>
      </c>
      <c r="T53" s="11"/>
      <c r="U53" s="11" t="s">
        <v>28</v>
      </c>
      <c r="V53" s="16" t="s">
        <v>44</v>
      </c>
    </row>
    <row r="54" spans="1:22" hidden="1" x14ac:dyDescent="0.25">
      <c r="A54" s="10">
        <v>46065</v>
      </c>
      <c r="B54" s="11">
        <v>138938</v>
      </c>
      <c r="C54" s="11" t="s">
        <v>44</v>
      </c>
      <c r="D54" s="11" t="s">
        <v>76</v>
      </c>
      <c r="E54" s="11" t="s">
        <v>63</v>
      </c>
      <c r="F54" s="11" t="s">
        <v>30</v>
      </c>
      <c r="G54" s="12">
        <v>30</v>
      </c>
      <c r="H54" s="13">
        <v>109.25</v>
      </c>
      <c r="I54" s="14">
        <f>vendas2026[[#This Row],[Qtde]]*vendas2026[[#This Row],[VlrUnitário]]</f>
        <v>3277.5</v>
      </c>
      <c r="J54" s="14">
        <v>3277.5</v>
      </c>
      <c r="K54" s="15">
        <v>1</v>
      </c>
      <c r="L54" s="15">
        <f>vendas2026[[#This Row],[%Comissão]]*0.25</f>
        <v>0.25</v>
      </c>
      <c r="M54" s="14" t="s">
        <v>46</v>
      </c>
      <c r="N54" s="23">
        <f>vendas2026[[#This Row],[VlrTotal]]*vendas2026[[#This Row],[%Comissão]]</f>
        <v>3277.5</v>
      </c>
      <c r="O54" s="14">
        <f>vendas2026[[#This Row],[VlrTotal]]*vendas2026[[#This Row],[%ComissãoSupervisor]]</f>
        <v>819.375</v>
      </c>
      <c r="P54" s="11" t="s">
        <v>27</v>
      </c>
      <c r="Q54" s="11" t="s">
        <v>27</v>
      </c>
      <c r="R54" s="11"/>
      <c r="S54" s="11">
        <v>1</v>
      </c>
      <c r="T54" s="11"/>
      <c r="U54" s="11" t="s">
        <v>28</v>
      </c>
      <c r="V54" s="16" t="s">
        <v>44</v>
      </c>
    </row>
    <row r="55" spans="1:22" hidden="1" x14ac:dyDescent="0.25">
      <c r="A55" s="10">
        <v>46065</v>
      </c>
      <c r="B55" s="11">
        <v>128860</v>
      </c>
      <c r="C55" s="11" t="s">
        <v>22</v>
      </c>
      <c r="D55" s="11" t="s">
        <v>70</v>
      </c>
      <c r="E55" s="11" t="s">
        <v>56</v>
      </c>
      <c r="F55" s="11" t="s">
        <v>30</v>
      </c>
      <c r="G55" s="12">
        <v>1</v>
      </c>
      <c r="H55" s="13">
        <v>356.4</v>
      </c>
      <c r="I55" s="14">
        <f>vendas2026[[#This Row],[Qtde]]*vendas2026[[#This Row],[VlrUnitário]]</f>
        <v>356.4</v>
      </c>
      <c r="J55" s="23">
        <f>(vendas2026[[#This Row],[VlrTotal]]*0.2)+vendas2026[[#This Row],[VlrTotal]]</f>
        <v>427.67999999999995</v>
      </c>
      <c r="K55" s="15">
        <v>1</v>
      </c>
      <c r="L55" s="15">
        <v>0</v>
      </c>
      <c r="M55" s="14" t="s">
        <v>26</v>
      </c>
      <c r="N55" s="23">
        <f>vendas2026[[#This Row],[VlrTotal]]*vendas2026[[#This Row],[%Comissão]]</f>
        <v>356.4</v>
      </c>
      <c r="O55" s="14">
        <f>vendas2026[[#This Row],[VlrTotal]]*vendas2026[[#This Row],[%ComissãoSupervisor]]</f>
        <v>0</v>
      </c>
      <c r="P55" s="11" t="s">
        <v>27</v>
      </c>
      <c r="Q55" s="11" t="s">
        <v>27</v>
      </c>
      <c r="R55" s="11"/>
      <c r="S55" s="11">
        <v>1</v>
      </c>
      <c r="T55" s="11"/>
      <c r="U55" s="11" t="s">
        <v>28</v>
      </c>
      <c r="V55" s="16" t="s">
        <v>22</v>
      </c>
    </row>
    <row r="56" spans="1:22" hidden="1" x14ac:dyDescent="0.25">
      <c r="A56" s="10">
        <v>46066</v>
      </c>
      <c r="B56" s="11">
        <v>138101</v>
      </c>
      <c r="C56" s="11" t="s">
        <v>31</v>
      </c>
      <c r="D56" s="11" t="s">
        <v>77</v>
      </c>
      <c r="E56" s="11" t="s">
        <v>24</v>
      </c>
      <c r="F56" s="11" t="s">
        <v>25</v>
      </c>
      <c r="G56" s="12">
        <v>24</v>
      </c>
      <c r="H56" s="13">
        <v>125</v>
      </c>
      <c r="I56" s="14">
        <f>vendas2026[[#This Row],[Qtde]]*vendas2026[[#This Row],[VlrUnitário]]</f>
        <v>3000</v>
      </c>
      <c r="J56" s="23">
        <f>(vendas2026[[#This Row],[VlrTotal]]*0.2)+vendas2026[[#This Row],[VlrTotal]]</f>
        <v>3600</v>
      </c>
      <c r="K56" s="15">
        <v>0.21</v>
      </c>
      <c r="L56" s="15">
        <f>vendas2026[[#This Row],[%Comissão]]*0.25</f>
        <v>5.2499999999999998E-2</v>
      </c>
      <c r="M56" s="14" t="s">
        <v>26</v>
      </c>
      <c r="N56" s="23">
        <f>vendas2026[[#This Row],[VlrTotal]]*vendas2026[[#This Row],[%Comissão]]</f>
        <v>630</v>
      </c>
      <c r="O56" s="14">
        <f>vendas2026[[#This Row],[VlrTotal]]*vendas2026[[#This Row],[%ComissãoSupervisor]]</f>
        <v>157.5</v>
      </c>
      <c r="P56" s="11" t="s">
        <v>36</v>
      </c>
      <c r="Q56" s="11" t="s">
        <v>37</v>
      </c>
      <c r="R56" s="11"/>
      <c r="S56" s="11">
        <v>5</v>
      </c>
      <c r="T56" s="11"/>
      <c r="U56" s="11" t="s">
        <v>38</v>
      </c>
      <c r="V56" s="16" t="s">
        <v>31</v>
      </c>
    </row>
    <row r="57" spans="1:22" hidden="1" x14ac:dyDescent="0.25">
      <c r="A57" s="10">
        <v>46070</v>
      </c>
      <c r="B57" s="11" t="s">
        <v>78</v>
      </c>
      <c r="C57" s="11" t="s">
        <v>31</v>
      </c>
      <c r="D57" s="11" t="s">
        <v>79</v>
      </c>
      <c r="E57" s="11" t="s">
        <v>35</v>
      </c>
      <c r="F57" s="11" t="s">
        <v>35</v>
      </c>
      <c r="G57" s="12">
        <v>236</v>
      </c>
      <c r="H57" s="13">
        <v>176</v>
      </c>
      <c r="I57" s="14">
        <f>vendas2026[[#This Row],[Qtde]]*vendas2026[[#This Row],[VlrUnitário]]</f>
        <v>41536</v>
      </c>
      <c r="J57" s="23">
        <f>vendas2026[[#This Row],[VlrTotal]]</f>
        <v>41536</v>
      </c>
      <c r="K57" s="15">
        <v>0.01</v>
      </c>
      <c r="L57" s="15">
        <f>vendas2026[[#This Row],[%Comissão]]*0.25</f>
        <v>2.5000000000000001E-3</v>
      </c>
      <c r="M57" s="14" t="s">
        <v>26</v>
      </c>
      <c r="N57" s="23">
        <f>vendas2026[[#This Row],[VlrTotal]]*vendas2026[[#This Row],[%Comissão]]</f>
        <v>415.36</v>
      </c>
      <c r="O57" s="14">
        <f>vendas2026[[#This Row],[VlrTotal]]*vendas2026[[#This Row],[%ComissãoSupervisor]]</f>
        <v>103.84</v>
      </c>
      <c r="P57" s="11" t="s">
        <v>36</v>
      </c>
      <c r="Q57" s="11" t="s">
        <v>37</v>
      </c>
      <c r="R57" s="11"/>
      <c r="S57" s="11">
        <v>4</v>
      </c>
      <c r="T57" s="11"/>
      <c r="U57" s="11" t="s">
        <v>38</v>
      </c>
      <c r="V57" s="16" t="s">
        <v>31</v>
      </c>
    </row>
    <row r="58" spans="1:22" hidden="1" x14ac:dyDescent="0.25">
      <c r="A58" s="10">
        <v>46072</v>
      </c>
      <c r="B58" s="11">
        <v>135372</v>
      </c>
      <c r="C58" s="11" t="s">
        <v>31</v>
      </c>
      <c r="D58" s="11" t="s">
        <v>70</v>
      </c>
      <c r="E58" s="11" t="s">
        <v>35</v>
      </c>
      <c r="F58" s="11" t="s">
        <v>35</v>
      </c>
      <c r="G58" s="12">
        <v>24</v>
      </c>
      <c r="H58" s="13">
        <v>176</v>
      </c>
      <c r="I58" s="14">
        <f>vendas2026[[#This Row],[Qtde]]*vendas2026[[#This Row],[VlrUnitário]]</f>
        <v>4224</v>
      </c>
      <c r="J58" s="23">
        <f>vendas2026[[#This Row],[VlrTotal]]</f>
        <v>4224</v>
      </c>
      <c r="K58" s="15">
        <v>0.01</v>
      </c>
      <c r="L58" s="15">
        <f>vendas2026[[#This Row],[%Comissão]]*0.25</f>
        <v>2.5000000000000001E-3</v>
      </c>
      <c r="M58" s="14" t="s">
        <v>26</v>
      </c>
      <c r="N58" s="23">
        <f>vendas2026[[#This Row],[VlrTotal]]*vendas2026[[#This Row],[%Comissão]]</f>
        <v>42.24</v>
      </c>
      <c r="O58" s="14">
        <f>vendas2026[[#This Row],[VlrTotal]]*vendas2026[[#This Row],[%ComissãoSupervisor]]</f>
        <v>10.56</v>
      </c>
      <c r="P58" s="11" t="s">
        <v>36</v>
      </c>
      <c r="Q58" s="11" t="s">
        <v>37</v>
      </c>
      <c r="R58" s="11"/>
      <c r="S58" s="11">
        <v>3</v>
      </c>
      <c r="T58" s="11"/>
      <c r="U58" s="11" t="s">
        <v>38</v>
      </c>
      <c r="V58" s="16" t="s">
        <v>31</v>
      </c>
    </row>
    <row r="59" spans="1:22" hidden="1" x14ac:dyDescent="0.25">
      <c r="A59" s="10">
        <v>46076</v>
      </c>
      <c r="B59" s="11">
        <v>138313</v>
      </c>
      <c r="C59" s="11" t="s">
        <v>31</v>
      </c>
      <c r="D59" s="11" t="s">
        <v>80</v>
      </c>
      <c r="E59" s="11" t="s">
        <v>40</v>
      </c>
      <c r="F59" s="11" t="s">
        <v>41</v>
      </c>
      <c r="G59" s="12">
        <v>1</v>
      </c>
      <c r="H59" s="13">
        <v>3150.4</v>
      </c>
      <c r="I59" s="14">
        <f>vendas2026[[#This Row],[Qtde]]*vendas2026[[#This Row],[VlrUnitário]]</f>
        <v>3150.4</v>
      </c>
      <c r="J59" s="23">
        <f>(vendas2026[[#This Row],[VlrTotal]]*0.2)+vendas2026[[#This Row],[VlrTotal]]</f>
        <v>3780.48</v>
      </c>
      <c r="K59" s="15">
        <v>0.25</v>
      </c>
      <c r="L59" s="15">
        <f>vendas2026[[#This Row],[%Comissão]]*0.25</f>
        <v>6.25E-2</v>
      </c>
      <c r="M59" s="14" t="s">
        <v>26</v>
      </c>
      <c r="N59" s="23">
        <f>vendas2026[[#This Row],[VlrTotal]]*vendas2026[[#This Row],[%Comissão]]</f>
        <v>787.6</v>
      </c>
      <c r="O59" s="14">
        <f>vendas2026[[#This Row],[VlrTotal]]*vendas2026[[#This Row],[%ComissãoSupervisor]]</f>
        <v>196.9</v>
      </c>
      <c r="P59" s="11" t="s">
        <v>36</v>
      </c>
      <c r="Q59" s="11" t="s">
        <v>37</v>
      </c>
      <c r="R59" s="11"/>
      <c r="S59" s="11">
        <v>6</v>
      </c>
      <c r="T59" s="11"/>
      <c r="U59" s="11" t="s">
        <v>38</v>
      </c>
      <c r="V59" s="16" t="s">
        <v>31</v>
      </c>
    </row>
    <row r="60" spans="1:22" hidden="1" x14ac:dyDescent="0.25">
      <c r="A60" s="10">
        <v>46076</v>
      </c>
      <c r="B60" s="11">
        <v>138313</v>
      </c>
      <c r="C60" s="11" t="s">
        <v>31</v>
      </c>
      <c r="D60" s="11" t="s">
        <v>80</v>
      </c>
      <c r="E60" s="11" t="s">
        <v>24</v>
      </c>
      <c r="F60" s="11" t="s">
        <v>25</v>
      </c>
      <c r="G60" s="12">
        <v>40</v>
      </c>
      <c r="H60" s="13">
        <v>146.24</v>
      </c>
      <c r="I60" s="14">
        <f>vendas2026[[#This Row],[Qtde]]*vendas2026[[#This Row],[VlrUnitário]]</f>
        <v>5849.6</v>
      </c>
      <c r="J60" s="23">
        <f>(vendas2026[[#This Row],[VlrTotal]]*0.2)+vendas2026[[#This Row],[VlrTotal]]</f>
        <v>7019.52</v>
      </c>
      <c r="K60" s="15">
        <v>0.25</v>
      </c>
      <c r="L60" s="15">
        <f>vendas2026[[#This Row],[%Comissão]]*0.25</f>
        <v>6.25E-2</v>
      </c>
      <c r="M60" s="14" t="s">
        <v>26</v>
      </c>
      <c r="N60" s="23">
        <f>vendas2026[[#This Row],[VlrTotal]]*vendas2026[[#This Row],[%Comissão]]</f>
        <v>1462.4</v>
      </c>
      <c r="O60" s="14">
        <f>vendas2026[[#This Row],[VlrTotal]]*vendas2026[[#This Row],[%ComissãoSupervisor]]</f>
        <v>365.6</v>
      </c>
      <c r="P60" s="11" t="s">
        <v>36</v>
      </c>
      <c r="Q60" s="11" t="s">
        <v>37</v>
      </c>
      <c r="R60" s="11"/>
      <c r="S60" s="11">
        <v>6</v>
      </c>
      <c r="T60" s="11"/>
      <c r="U60" s="11" t="s">
        <v>38</v>
      </c>
      <c r="V60" s="16" t="s">
        <v>31</v>
      </c>
    </row>
    <row r="61" spans="1:22" hidden="1" x14ac:dyDescent="0.25">
      <c r="A61" s="10">
        <v>46078</v>
      </c>
      <c r="B61" s="11" t="s">
        <v>81</v>
      </c>
      <c r="C61" s="11" t="s">
        <v>22</v>
      </c>
      <c r="D61" s="11" t="s">
        <v>82</v>
      </c>
      <c r="E61" s="11" t="s">
        <v>47</v>
      </c>
      <c r="F61" s="11" t="s">
        <v>25</v>
      </c>
      <c r="G61" s="12">
        <v>316</v>
      </c>
      <c r="H61" s="13">
        <v>200</v>
      </c>
      <c r="I61" s="14">
        <f>vendas2026[[#This Row],[Qtde]]*vendas2026[[#This Row],[VlrUnitário]]</f>
        <v>63200</v>
      </c>
      <c r="J61" s="23">
        <f>vendas2026[[#This Row],[VlrTotal]]</f>
        <v>63200</v>
      </c>
      <c r="K61" s="15">
        <v>7.0000000000000007E-2</v>
      </c>
      <c r="L61" s="15">
        <v>0</v>
      </c>
      <c r="M61" s="14" t="s">
        <v>46</v>
      </c>
      <c r="N61" s="23">
        <f>vendas2026[[#This Row],[VlrTotal]]*vendas2026[[#This Row],[%Comissão]]</f>
        <v>4424</v>
      </c>
      <c r="O61" s="14">
        <f>vendas2026[[#This Row],[VlrTotal]]*vendas2026[[#This Row],[%ComissãoSupervisor]]</f>
        <v>0</v>
      </c>
      <c r="P61" s="11" t="s">
        <v>27</v>
      </c>
      <c r="Q61" s="11" t="s">
        <v>27</v>
      </c>
      <c r="R61" s="11"/>
      <c r="S61" s="11">
        <v>6</v>
      </c>
      <c r="T61" s="11"/>
      <c r="U61" s="11" t="s">
        <v>28</v>
      </c>
      <c r="V61" s="16" t="s">
        <v>22</v>
      </c>
    </row>
    <row r="62" spans="1:22" hidden="1" x14ac:dyDescent="0.25">
      <c r="A62" s="10">
        <v>46078</v>
      </c>
      <c r="B62" s="11" t="s">
        <v>81</v>
      </c>
      <c r="C62" s="11" t="s">
        <v>22</v>
      </c>
      <c r="D62" s="11" t="s">
        <v>82</v>
      </c>
      <c r="E62" s="11" t="s">
        <v>47</v>
      </c>
      <c r="F62" s="11" t="s">
        <v>41</v>
      </c>
      <c r="G62" s="12">
        <v>1</v>
      </c>
      <c r="H62" s="13">
        <v>35502.9</v>
      </c>
      <c r="I62" s="14">
        <f>vendas2026[[#This Row],[Qtde]]*vendas2026[[#This Row],[VlrUnitário]]</f>
        <v>35502.9</v>
      </c>
      <c r="J62" s="23">
        <f>vendas2026[[#This Row],[VlrTotal]]</f>
        <v>35502.9</v>
      </c>
      <c r="K62" s="15">
        <v>0.25</v>
      </c>
      <c r="L62" s="15">
        <v>0</v>
      </c>
      <c r="M62" s="14" t="s">
        <v>46</v>
      </c>
      <c r="N62" s="23">
        <f>vendas2026[[#This Row],[VlrTotal]]*vendas2026[[#This Row],[%Comissão]]</f>
        <v>8875.7250000000004</v>
      </c>
      <c r="O62" s="14">
        <f>vendas2026[[#This Row],[VlrTotal]]*vendas2026[[#This Row],[%ComissãoSupervisor]]</f>
        <v>0</v>
      </c>
      <c r="P62" s="11" t="s">
        <v>27</v>
      </c>
      <c r="Q62" s="11" t="s">
        <v>27</v>
      </c>
      <c r="R62" s="11"/>
      <c r="S62" s="11">
        <v>6</v>
      </c>
      <c r="T62" s="11"/>
      <c r="U62" s="11" t="s">
        <v>28</v>
      </c>
      <c r="V62" s="16" t="s">
        <v>22</v>
      </c>
    </row>
    <row r="63" spans="1:22" hidden="1" x14ac:dyDescent="0.25">
      <c r="A63" s="10">
        <v>46078</v>
      </c>
      <c r="B63" s="11" t="s">
        <v>81</v>
      </c>
      <c r="C63" s="11" t="s">
        <v>22</v>
      </c>
      <c r="D63" s="11" t="s">
        <v>82</v>
      </c>
      <c r="E63" s="11" t="s">
        <v>47</v>
      </c>
      <c r="F63" s="11" t="s">
        <v>30</v>
      </c>
      <c r="G63" s="12">
        <v>15</v>
      </c>
      <c r="H63" s="13">
        <v>275.62</v>
      </c>
      <c r="I63" s="14">
        <f>vendas2026[[#This Row],[Qtde]]*vendas2026[[#This Row],[VlrUnitário]]</f>
        <v>4134.3</v>
      </c>
      <c r="J63" s="23">
        <f>vendas2026[[#This Row],[VlrTotal]]</f>
        <v>4134.3</v>
      </c>
      <c r="K63" s="15">
        <v>1</v>
      </c>
      <c r="L63" s="15">
        <v>0</v>
      </c>
      <c r="M63" s="14" t="s">
        <v>46</v>
      </c>
      <c r="N63" s="23">
        <f>vendas2026[[#This Row],[VlrTotal]]*vendas2026[[#This Row],[%Comissão]]</f>
        <v>4134.3</v>
      </c>
      <c r="O63" s="14">
        <f>vendas2026[[#This Row],[VlrTotal]]*vendas2026[[#This Row],[%ComissãoSupervisor]]</f>
        <v>0</v>
      </c>
      <c r="P63" s="11" t="s">
        <v>27</v>
      </c>
      <c r="Q63" s="11" t="s">
        <v>27</v>
      </c>
      <c r="R63" s="11"/>
      <c r="S63" s="11">
        <v>1</v>
      </c>
      <c r="T63" s="11"/>
      <c r="U63" s="11" t="s">
        <v>28</v>
      </c>
      <c r="V63" s="16" t="s">
        <v>22</v>
      </c>
    </row>
    <row r="64" spans="1:22" hidden="1" x14ac:dyDescent="0.25">
      <c r="A64" s="10">
        <v>46078</v>
      </c>
      <c r="B64" s="11" t="s">
        <v>81</v>
      </c>
      <c r="C64" s="11" t="s">
        <v>22</v>
      </c>
      <c r="D64" s="11" t="s">
        <v>82</v>
      </c>
      <c r="E64" s="11" t="s">
        <v>63</v>
      </c>
      <c r="F64" s="11" t="s">
        <v>30</v>
      </c>
      <c r="G64" s="12">
        <v>40</v>
      </c>
      <c r="H64" s="13">
        <v>115</v>
      </c>
      <c r="I64" s="14">
        <f>vendas2026[[#This Row],[Qtde]]*vendas2026[[#This Row],[VlrUnitário]]</f>
        <v>4600</v>
      </c>
      <c r="J64" s="23">
        <f>vendas2026[[#This Row],[VlrTotal]]</f>
        <v>4600</v>
      </c>
      <c r="K64" s="15">
        <v>1</v>
      </c>
      <c r="L64" s="15">
        <v>0</v>
      </c>
      <c r="M64" s="14" t="s">
        <v>46</v>
      </c>
      <c r="N64" s="23">
        <f>vendas2026[[#This Row],[VlrTotal]]*vendas2026[[#This Row],[%Comissão]]</f>
        <v>4600</v>
      </c>
      <c r="O64" s="14">
        <f>vendas2026[[#This Row],[VlrTotal]]*vendas2026[[#This Row],[%ComissãoSupervisor]]</f>
        <v>0</v>
      </c>
      <c r="P64" s="11" t="s">
        <v>27</v>
      </c>
      <c r="Q64" s="11" t="s">
        <v>27</v>
      </c>
      <c r="R64" s="11"/>
      <c r="S64" s="11">
        <v>1</v>
      </c>
      <c r="T64" s="11"/>
      <c r="U64" s="11" t="s">
        <v>28</v>
      </c>
      <c r="V64" s="16" t="s">
        <v>22</v>
      </c>
    </row>
    <row r="65" spans="1:22" hidden="1" x14ac:dyDescent="0.25">
      <c r="A65" s="10">
        <v>46078</v>
      </c>
      <c r="B65" s="11" t="s">
        <v>81</v>
      </c>
      <c r="C65" s="11" t="s">
        <v>22</v>
      </c>
      <c r="D65" s="11" t="s">
        <v>82</v>
      </c>
      <c r="E65" s="11" t="s">
        <v>48</v>
      </c>
      <c r="F65" s="11" t="s">
        <v>30</v>
      </c>
      <c r="G65" s="12">
        <v>1</v>
      </c>
      <c r="H65" s="13">
        <v>356.4</v>
      </c>
      <c r="I65" s="14">
        <f>vendas2026[[#This Row],[Qtde]]*vendas2026[[#This Row],[VlrUnitário]]</f>
        <v>356.4</v>
      </c>
      <c r="J65" s="23">
        <f>vendas2026[[#This Row],[VlrTotal]]</f>
        <v>356.4</v>
      </c>
      <c r="K65" s="15">
        <v>1</v>
      </c>
      <c r="L65" s="15">
        <v>0</v>
      </c>
      <c r="M65" s="14" t="s">
        <v>46</v>
      </c>
      <c r="N65" s="23">
        <f>vendas2026[[#This Row],[VlrTotal]]*vendas2026[[#This Row],[%Comissão]]</f>
        <v>356.4</v>
      </c>
      <c r="O65" s="14">
        <f>vendas2026[[#This Row],[VlrTotal]]*vendas2026[[#This Row],[%ComissãoSupervisor]]</f>
        <v>0</v>
      </c>
      <c r="P65" s="11" t="s">
        <v>27</v>
      </c>
      <c r="Q65" s="11" t="s">
        <v>27</v>
      </c>
      <c r="R65" s="11"/>
      <c r="S65" s="11">
        <v>1</v>
      </c>
      <c r="T65" s="11"/>
      <c r="U65" s="11" t="s">
        <v>28</v>
      </c>
      <c r="V65" s="16" t="s">
        <v>22</v>
      </c>
    </row>
    <row r="66" spans="1:22" hidden="1" x14ac:dyDescent="0.25">
      <c r="A66" s="10">
        <v>46078</v>
      </c>
      <c r="B66" s="11" t="s">
        <v>81</v>
      </c>
      <c r="C66" s="11" t="s">
        <v>22</v>
      </c>
      <c r="D66" s="11" t="s">
        <v>82</v>
      </c>
      <c r="E66" s="11" t="s">
        <v>52</v>
      </c>
      <c r="F66" s="11" t="s">
        <v>30</v>
      </c>
      <c r="G66" s="12">
        <v>1</v>
      </c>
      <c r="H66" s="13">
        <v>1080</v>
      </c>
      <c r="I66" s="14">
        <f>vendas2026[[#This Row],[Qtde]]*vendas2026[[#This Row],[VlrUnitário]]</f>
        <v>1080</v>
      </c>
      <c r="J66" s="23">
        <f>vendas2026[[#This Row],[VlrTotal]]</f>
        <v>1080</v>
      </c>
      <c r="K66" s="15">
        <v>1</v>
      </c>
      <c r="L66" s="15">
        <v>0</v>
      </c>
      <c r="M66" s="14" t="s">
        <v>46</v>
      </c>
      <c r="N66" s="23">
        <f>vendas2026[[#This Row],[VlrTotal]]*vendas2026[[#This Row],[%Comissão]]</f>
        <v>1080</v>
      </c>
      <c r="O66" s="14">
        <f>vendas2026[[#This Row],[VlrTotal]]*vendas2026[[#This Row],[%ComissãoSupervisor]]</f>
        <v>0</v>
      </c>
      <c r="P66" s="11" t="s">
        <v>27</v>
      </c>
      <c r="Q66" s="11" t="s">
        <v>27</v>
      </c>
      <c r="R66" s="11"/>
      <c r="S66" s="11">
        <v>1</v>
      </c>
      <c r="T66" s="11"/>
      <c r="U66" s="11" t="s">
        <v>28</v>
      </c>
      <c r="V66" s="16" t="s">
        <v>22</v>
      </c>
    </row>
    <row r="67" spans="1:22" hidden="1" x14ac:dyDescent="0.25">
      <c r="A67" s="10">
        <v>46078</v>
      </c>
      <c r="B67" s="11" t="s">
        <v>81</v>
      </c>
      <c r="C67" s="11" t="s">
        <v>22</v>
      </c>
      <c r="D67" s="11" t="s">
        <v>82</v>
      </c>
      <c r="E67" s="11" t="s">
        <v>54</v>
      </c>
      <c r="F67" s="11" t="s">
        <v>30</v>
      </c>
      <c r="G67" s="12">
        <v>5</v>
      </c>
      <c r="H67" s="13">
        <v>142.53</v>
      </c>
      <c r="I67" s="14">
        <f>vendas2026[[#This Row],[Qtde]]*vendas2026[[#This Row],[VlrUnitário]]</f>
        <v>712.65</v>
      </c>
      <c r="J67" s="23">
        <f>vendas2026[[#This Row],[VlrTotal]]</f>
        <v>712.65</v>
      </c>
      <c r="K67" s="15">
        <v>1</v>
      </c>
      <c r="L67" s="15">
        <v>0</v>
      </c>
      <c r="M67" s="14" t="s">
        <v>46</v>
      </c>
      <c r="N67" s="23">
        <f>vendas2026[[#This Row],[VlrTotal]]*vendas2026[[#This Row],[%Comissão]]</f>
        <v>712.65</v>
      </c>
      <c r="O67" s="14">
        <f>vendas2026[[#This Row],[VlrTotal]]*vendas2026[[#This Row],[%ComissãoSupervisor]]</f>
        <v>0</v>
      </c>
      <c r="P67" s="11" t="s">
        <v>27</v>
      </c>
      <c r="Q67" s="11" t="s">
        <v>27</v>
      </c>
      <c r="R67" s="11"/>
      <c r="S67" s="11">
        <v>1</v>
      </c>
      <c r="T67" s="11"/>
      <c r="U67" s="11" t="s">
        <v>28</v>
      </c>
      <c r="V67" s="16" t="s">
        <v>22</v>
      </c>
    </row>
    <row r="68" spans="1:22" hidden="1" x14ac:dyDescent="0.25">
      <c r="A68" s="10">
        <v>46078</v>
      </c>
      <c r="B68" s="11" t="s">
        <v>81</v>
      </c>
      <c r="C68" s="11" t="s">
        <v>22</v>
      </c>
      <c r="D68" s="11" t="s">
        <v>82</v>
      </c>
      <c r="E68" s="11" t="s">
        <v>83</v>
      </c>
      <c r="F68" s="11" t="s">
        <v>30</v>
      </c>
      <c r="G68" s="12">
        <v>1</v>
      </c>
      <c r="H68" s="13">
        <v>689</v>
      </c>
      <c r="I68" s="14">
        <f>vendas2026[[#This Row],[Qtde]]*vendas2026[[#This Row],[VlrUnitário]]</f>
        <v>689</v>
      </c>
      <c r="J68" s="23">
        <f>vendas2026[[#This Row],[VlrTotal]]</f>
        <v>689</v>
      </c>
      <c r="K68" s="15">
        <v>1</v>
      </c>
      <c r="L68" s="15">
        <v>0</v>
      </c>
      <c r="M68" s="14" t="s">
        <v>46</v>
      </c>
      <c r="N68" s="23">
        <f>vendas2026[[#This Row],[VlrTotal]]*vendas2026[[#This Row],[%Comissão]]</f>
        <v>689</v>
      </c>
      <c r="O68" s="14">
        <f>vendas2026[[#This Row],[VlrTotal]]*vendas2026[[#This Row],[%ComissãoSupervisor]]</f>
        <v>0</v>
      </c>
      <c r="P68" s="11" t="s">
        <v>27</v>
      </c>
      <c r="Q68" s="11" t="s">
        <v>27</v>
      </c>
      <c r="R68" s="11"/>
      <c r="S68" s="11">
        <v>1</v>
      </c>
      <c r="T68" s="11"/>
      <c r="U68" s="11" t="s">
        <v>28</v>
      </c>
      <c r="V68" s="16" t="s">
        <v>22</v>
      </c>
    </row>
    <row r="69" spans="1:22" hidden="1" x14ac:dyDescent="0.25">
      <c r="A69" s="10">
        <v>46078</v>
      </c>
      <c r="B69" s="11" t="s">
        <v>81</v>
      </c>
      <c r="C69" s="11" t="s">
        <v>22</v>
      </c>
      <c r="D69" s="11" t="s">
        <v>82</v>
      </c>
      <c r="E69" s="11" t="s">
        <v>84</v>
      </c>
      <c r="F69" s="11" t="s">
        <v>30</v>
      </c>
      <c r="G69" s="12">
        <v>1</v>
      </c>
      <c r="H69" s="13">
        <v>712</v>
      </c>
      <c r="I69" s="14">
        <f>vendas2026[[#This Row],[Qtde]]*vendas2026[[#This Row],[VlrUnitário]]</f>
        <v>712</v>
      </c>
      <c r="J69" s="23">
        <f>vendas2026[[#This Row],[VlrTotal]]</f>
        <v>712</v>
      </c>
      <c r="K69" s="15">
        <v>1</v>
      </c>
      <c r="L69" s="15">
        <v>0</v>
      </c>
      <c r="M69" s="14" t="s">
        <v>46</v>
      </c>
      <c r="N69" s="23">
        <f>vendas2026[[#This Row],[VlrTotal]]*vendas2026[[#This Row],[%Comissão]]</f>
        <v>712</v>
      </c>
      <c r="O69" s="14">
        <f>vendas2026[[#This Row],[VlrTotal]]*vendas2026[[#This Row],[%ComissãoSupervisor]]</f>
        <v>0</v>
      </c>
      <c r="P69" s="11" t="s">
        <v>27</v>
      </c>
      <c r="Q69" s="11" t="s">
        <v>27</v>
      </c>
      <c r="R69" s="11"/>
      <c r="S69" s="11">
        <v>1</v>
      </c>
      <c r="T69" s="11"/>
      <c r="U69" s="11" t="s">
        <v>28</v>
      </c>
      <c r="V69" s="16" t="s">
        <v>22</v>
      </c>
    </row>
    <row r="70" spans="1:22" hidden="1" x14ac:dyDescent="0.25">
      <c r="A70" s="10">
        <v>46078</v>
      </c>
      <c r="B70" s="11" t="s">
        <v>85</v>
      </c>
      <c r="C70" s="11" t="s">
        <v>22</v>
      </c>
      <c r="D70" s="11" t="s">
        <v>86</v>
      </c>
      <c r="E70" s="11" t="s">
        <v>47</v>
      </c>
      <c r="F70" s="11" t="s">
        <v>25</v>
      </c>
      <c r="G70" s="12">
        <v>196</v>
      </c>
      <c r="H70" s="13">
        <v>200</v>
      </c>
      <c r="I70" s="14">
        <f>vendas2026[[#This Row],[Qtde]]*vendas2026[[#This Row],[VlrUnitário]]</f>
        <v>39200</v>
      </c>
      <c r="J70" s="23">
        <f>vendas2026[[#This Row],[VlrTotal]]</f>
        <v>39200</v>
      </c>
      <c r="K70" s="15">
        <v>7.0000000000000007E-2</v>
      </c>
      <c r="L70" s="15">
        <v>0</v>
      </c>
      <c r="M70" s="14" t="s">
        <v>46</v>
      </c>
      <c r="N70" s="23">
        <f>vendas2026[[#This Row],[VlrTotal]]*vendas2026[[#This Row],[%Comissão]]</f>
        <v>2744.0000000000005</v>
      </c>
      <c r="O70" s="14">
        <f>vendas2026[[#This Row],[VlrTotal]]*vendas2026[[#This Row],[%ComissãoSupervisor]]</f>
        <v>0</v>
      </c>
      <c r="P70" s="11" t="s">
        <v>27</v>
      </c>
      <c r="Q70" s="11" t="s">
        <v>27</v>
      </c>
      <c r="R70" s="11"/>
      <c r="S70" s="11">
        <v>6</v>
      </c>
      <c r="T70" s="11"/>
      <c r="U70" s="11" t="s">
        <v>28</v>
      </c>
      <c r="V70" s="16" t="s">
        <v>22</v>
      </c>
    </row>
    <row r="71" spans="1:22" hidden="1" x14ac:dyDescent="0.25">
      <c r="A71" s="10">
        <v>46078</v>
      </c>
      <c r="B71" s="11" t="s">
        <v>85</v>
      </c>
      <c r="C71" s="11" t="s">
        <v>22</v>
      </c>
      <c r="D71" s="11" t="s">
        <v>86</v>
      </c>
      <c r="E71" s="11" t="s">
        <v>47</v>
      </c>
      <c r="F71" s="11" t="s">
        <v>41</v>
      </c>
      <c r="G71" s="12">
        <v>1</v>
      </c>
      <c r="H71" s="13">
        <v>35502.9</v>
      </c>
      <c r="I71" s="14">
        <f>vendas2026[[#This Row],[Qtde]]*vendas2026[[#This Row],[VlrUnitário]]</f>
        <v>35502.9</v>
      </c>
      <c r="J71" s="23">
        <f>vendas2026[[#This Row],[VlrTotal]]</f>
        <v>35502.9</v>
      </c>
      <c r="K71" s="15">
        <v>0.25</v>
      </c>
      <c r="L71" s="15">
        <v>0</v>
      </c>
      <c r="M71" s="14" t="s">
        <v>46</v>
      </c>
      <c r="N71" s="23">
        <f>vendas2026[[#This Row],[VlrTotal]]*vendas2026[[#This Row],[%Comissão]]</f>
        <v>8875.7250000000004</v>
      </c>
      <c r="O71" s="14">
        <f>vendas2026[[#This Row],[VlrTotal]]*vendas2026[[#This Row],[%ComissãoSupervisor]]</f>
        <v>0</v>
      </c>
      <c r="P71" s="11" t="s">
        <v>27</v>
      </c>
      <c r="Q71" s="11" t="s">
        <v>27</v>
      </c>
      <c r="R71" s="11"/>
      <c r="S71" s="11">
        <v>6</v>
      </c>
      <c r="T71" s="11"/>
      <c r="U71" s="11" t="s">
        <v>28</v>
      </c>
      <c r="V71" s="16" t="s">
        <v>22</v>
      </c>
    </row>
    <row r="72" spans="1:22" hidden="1" x14ac:dyDescent="0.25">
      <c r="A72" s="10">
        <v>46078</v>
      </c>
      <c r="B72" s="11" t="s">
        <v>85</v>
      </c>
      <c r="C72" s="11" t="s">
        <v>22</v>
      </c>
      <c r="D72" s="11" t="s">
        <v>86</v>
      </c>
      <c r="E72" s="11" t="s">
        <v>47</v>
      </c>
      <c r="F72" s="11" t="s">
        <v>30</v>
      </c>
      <c r="G72" s="12">
        <v>12</v>
      </c>
      <c r="H72" s="13">
        <v>275.62</v>
      </c>
      <c r="I72" s="14">
        <f>vendas2026[[#This Row],[Qtde]]*vendas2026[[#This Row],[VlrUnitário]]</f>
        <v>3307.44</v>
      </c>
      <c r="J72" s="23">
        <f>vendas2026[[#This Row],[VlrTotal]]</f>
        <v>3307.44</v>
      </c>
      <c r="K72" s="15">
        <v>1</v>
      </c>
      <c r="L72" s="15">
        <v>0</v>
      </c>
      <c r="M72" s="14" t="s">
        <v>46</v>
      </c>
      <c r="N72" s="23">
        <f>vendas2026[[#This Row],[VlrTotal]]*vendas2026[[#This Row],[%Comissão]]</f>
        <v>3307.44</v>
      </c>
      <c r="O72" s="14">
        <f>vendas2026[[#This Row],[VlrTotal]]*vendas2026[[#This Row],[%ComissãoSupervisor]]</f>
        <v>0</v>
      </c>
      <c r="P72" s="11" t="s">
        <v>27</v>
      </c>
      <c r="Q72" s="11" t="s">
        <v>27</v>
      </c>
      <c r="R72" s="11"/>
      <c r="S72" s="11">
        <v>1</v>
      </c>
      <c r="T72" s="11"/>
      <c r="U72" s="11" t="s">
        <v>28</v>
      </c>
      <c r="V72" s="16" t="s">
        <v>22</v>
      </c>
    </row>
    <row r="73" spans="1:22" hidden="1" x14ac:dyDescent="0.25">
      <c r="A73" s="10">
        <v>46078</v>
      </c>
      <c r="B73" s="11" t="s">
        <v>85</v>
      </c>
      <c r="C73" s="11" t="s">
        <v>22</v>
      </c>
      <c r="D73" s="11" t="s">
        <v>86</v>
      </c>
      <c r="E73" s="11" t="s">
        <v>63</v>
      </c>
      <c r="F73" s="11" t="s">
        <v>30</v>
      </c>
      <c r="G73" s="12">
        <v>40</v>
      </c>
      <c r="H73" s="13">
        <v>115</v>
      </c>
      <c r="I73" s="14">
        <f>vendas2026[[#This Row],[Qtde]]*vendas2026[[#This Row],[VlrUnitário]]</f>
        <v>4600</v>
      </c>
      <c r="J73" s="23">
        <f>vendas2026[[#This Row],[VlrTotal]]</f>
        <v>4600</v>
      </c>
      <c r="K73" s="15">
        <v>1</v>
      </c>
      <c r="L73" s="15">
        <v>0</v>
      </c>
      <c r="M73" s="14" t="s">
        <v>46</v>
      </c>
      <c r="N73" s="23">
        <f>vendas2026[[#This Row],[VlrTotal]]*vendas2026[[#This Row],[%Comissão]]</f>
        <v>4600</v>
      </c>
      <c r="O73" s="14">
        <f>vendas2026[[#This Row],[VlrTotal]]*vendas2026[[#This Row],[%ComissãoSupervisor]]</f>
        <v>0</v>
      </c>
      <c r="P73" s="11" t="s">
        <v>27</v>
      </c>
      <c r="Q73" s="11" t="s">
        <v>27</v>
      </c>
      <c r="R73" s="11"/>
      <c r="S73" s="11">
        <v>1</v>
      </c>
      <c r="T73" s="11"/>
      <c r="U73" s="11" t="s">
        <v>28</v>
      </c>
      <c r="V73" s="16" t="s">
        <v>22</v>
      </c>
    </row>
    <row r="74" spans="1:22" hidden="1" x14ac:dyDescent="0.25">
      <c r="A74" s="10">
        <v>46078</v>
      </c>
      <c r="B74" s="11" t="s">
        <v>85</v>
      </c>
      <c r="C74" s="11" t="s">
        <v>22</v>
      </c>
      <c r="D74" s="11" t="s">
        <v>86</v>
      </c>
      <c r="E74" s="11" t="s">
        <v>52</v>
      </c>
      <c r="F74" s="11" t="s">
        <v>30</v>
      </c>
      <c r="G74" s="12">
        <v>1</v>
      </c>
      <c r="H74" s="13">
        <v>1080</v>
      </c>
      <c r="I74" s="14">
        <f>vendas2026[[#This Row],[Qtde]]*vendas2026[[#This Row],[VlrUnitário]]</f>
        <v>1080</v>
      </c>
      <c r="J74" s="23">
        <f>vendas2026[[#This Row],[VlrTotal]]</f>
        <v>1080</v>
      </c>
      <c r="K74" s="15">
        <v>1</v>
      </c>
      <c r="L74" s="15">
        <v>0</v>
      </c>
      <c r="M74" s="14" t="s">
        <v>46</v>
      </c>
      <c r="N74" s="23">
        <f>vendas2026[[#This Row],[VlrTotal]]*vendas2026[[#This Row],[%Comissão]]</f>
        <v>1080</v>
      </c>
      <c r="O74" s="14">
        <f>vendas2026[[#This Row],[VlrTotal]]*vendas2026[[#This Row],[%ComissãoSupervisor]]</f>
        <v>0</v>
      </c>
      <c r="P74" s="11" t="s">
        <v>27</v>
      </c>
      <c r="Q74" s="11" t="s">
        <v>27</v>
      </c>
      <c r="R74" s="11"/>
      <c r="S74" s="11">
        <v>1</v>
      </c>
      <c r="T74" s="11"/>
      <c r="U74" s="11" t="s">
        <v>28</v>
      </c>
      <c r="V74" s="16" t="s">
        <v>22</v>
      </c>
    </row>
    <row r="75" spans="1:22" hidden="1" x14ac:dyDescent="0.25">
      <c r="A75" s="10">
        <v>46078</v>
      </c>
      <c r="B75" s="11" t="s">
        <v>85</v>
      </c>
      <c r="C75" s="11" t="s">
        <v>22</v>
      </c>
      <c r="D75" s="11" t="s">
        <v>86</v>
      </c>
      <c r="E75" s="11" t="s">
        <v>83</v>
      </c>
      <c r="F75" s="11" t="s">
        <v>30</v>
      </c>
      <c r="G75" s="12">
        <v>1</v>
      </c>
      <c r="H75" s="13">
        <v>689</v>
      </c>
      <c r="I75" s="14">
        <f>vendas2026[[#This Row],[Qtde]]*vendas2026[[#This Row],[VlrUnitário]]</f>
        <v>689</v>
      </c>
      <c r="J75" s="23">
        <f>vendas2026[[#This Row],[VlrTotal]]</f>
        <v>689</v>
      </c>
      <c r="K75" s="15">
        <v>1</v>
      </c>
      <c r="L75" s="15">
        <v>0</v>
      </c>
      <c r="M75" s="14" t="s">
        <v>46</v>
      </c>
      <c r="N75" s="23">
        <f>vendas2026[[#This Row],[VlrTotal]]*vendas2026[[#This Row],[%Comissão]]</f>
        <v>689</v>
      </c>
      <c r="O75" s="14">
        <f>vendas2026[[#This Row],[VlrTotal]]*vendas2026[[#This Row],[%ComissãoSupervisor]]</f>
        <v>0</v>
      </c>
      <c r="P75" s="11" t="s">
        <v>27</v>
      </c>
      <c r="Q75" s="11" t="s">
        <v>27</v>
      </c>
      <c r="R75" s="11"/>
      <c r="S75" s="11">
        <v>1</v>
      </c>
      <c r="T75" s="11"/>
      <c r="U75" s="11" t="s">
        <v>28</v>
      </c>
      <c r="V75" s="16" t="s">
        <v>22</v>
      </c>
    </row>
    <row r="76" spans="1:22" hidden="1" x14ac:dyDescent="0.25">
      <c r="A76" s="10">
        <v>46078</v>
      </c>
      <c r="B76" s="11" t="s">
        <v>85</v>
      </c>
      <c r="C76" s="11" t="s">
        <v>22</v>
      </c>
      <c r="D76" s="11" t="s">
        <v>86</v>
      </c>
      <c r="E76" s="11" t="s">
        <v>84</v>
      </c>
      <c r="F76" s="11" t="s">
        <v>30</v>
      </c>
      <c r="G76" s="12">
        <v>1</v>
      </c>
      <c r="H76" s="13">
        <v>712</v>
      </c>
      <c r="I76" s="14">
        <f>vendas2026[[#This Row],[Qtde]]*vendas2026[[#This Row],[VlrUnitário]]</f>
        <v>712</v>
      </c>
      <c r="J76" s="23">
        <f>vendas2026[[#This Row],[VlrTotal]]</f>
        <v>712</v>
      </c>
      <c r="K76" s="15">
        <v>1</v>
      </c>
      <c r="L76" s="15">
        <v>0</v>
      </c>
      <c r="M76" s="14" t="s">
        <v>46</v>
      </c>
      <c r="N76" s="23">
        <f>vendas2026[[#This Row],[VlrTotal]]*vendas2026[[#This Row],[%Comissão]]</f>
        <v>712</v>
      </c>
      <c r="O76" s="14">
        <f>vendas2026[[#This Row],[VlrTotal]]*vendas2026[[#This Row],[%ComissãoSupervisor]]</f>
        <v>0</v>
      </c>
      <c r="P76" s="11" t="s">
        <v>27</v>
      </c>
      <c r="Q76" s="11" t="s">
        <v>27</v>
      </c>
      <c r="R76" s="11"/>
      <c r="S76" s="11">
        <v>1</v>
      </c>
      <c r="T76" s="11"/>
      <c r="U76" s="11" t="s">
        <v>28</v>
      </c>
      <c r="V76" s="16" t="s">
        <v>22</v>
      </c>
    </row>
    <row r="77" spans="1:22" hidden="1" x14ac:dyDescent="0.25">
      <c r="A77" s="10">
        <v>46078</v>
      </c>
      <c r="B77" s="11">
        <v>138641</v>
      </c>
      <c r="C77" s="11" t="s">
        <v>22</v>
      </c>
      <c r="D77" s="11" t="s">
        <v>87</v>
      </c>
      <c r="E77" s="11" t="s">
        <v>47</v>
      </c>
      <c r="F77" s="11" t="s">
        <v>25</v>
      </c>
      <c r="G77" s="12">
        <v>316</v>
      </c>
      <c r="H77" s="13">
        <v>200</v>
      </c>
      <c r="I77" s="14">
        <f>vendas2026[[#This Row],[Qtde]]*vendas2026[[#This Row],[VlrUnitário]]</f>
        <v>63200</v>
      </c>
      <c r="J77" s="23">
        <f>vendas2026[[#This Row],[VlrTotal]]</f>
        <v>63200</v>
      </c>
      <c r="K77" s="15">
        <v>7.0000000000000007E-2</v>
      </c>
      <c r="L77" s="15">
        <v>0</v>
      </c>
      <c r="M77" s="14" t="s">
        <v>46</v>
      </c>
      <c r="N77" s="23">
        <f>vendas2026[[#This Row],[VlrTotal]]*vendas2026[[#This Row],[%Comissão]]</f>
        <v>4424</v>
      </c>
      <c r="O77" s="14">
        <f>vendas2026[[#This Row],[VlrTotal]]*vendas2026[[#This Row],[%ComissãoSupervisor]]</f>
        <v>0</v>
      </c>
      <c r="P77" s="11" t="s">
        <v>27</v>
      </c>
      <c r="Q77" s="11" t="s">
        <v>27</v>
      </c>
      <c r="R77" s="11"/>
      <c r="S77" s="11">
        <v>6</v>
      </c>
      <c r="T77" s="11"/>
      <c r="U77" s="11" t="s">
        <v>28</v>
      </c>
      <c r="V77" s="16" t="s">
        <v>22</v>
      </c>
    </row>
    <row r="78" spans="1:22" hidden="1" x14ac:dyDescent="0.25">
      <c r="A78" s="10">
        <v>46078</v>
      </c>
      <c r="B78" s="11">
        <v>138641</v>
      </c>
      <c r="C78" s="11" t="s">
        <v>22</v>
      </c>
      <c r="D78" s="11" t="s">
        <v>87</v>
      </c>
      <c r="E78" s="11" t="s">
        <v>47</v>
      </c>
      <c r="F78" s="11" t="s">
        <v>41</v>
      </c>
      <c r="G78" s="12">
        <v>1</v>
      </c>
      <c r="H78" s="13">
        <v>35502.9</v>
      </c>
      <c r="I78" s="14">
        <f>vendas2026[[#This Row],[Qtde]]*vendas2026[[#This Row],[VlrUnitário]]</f>
        <v>35502.9</v>
      </c>
      <c r="J78" s="23">
        <f>vendas2026[[#This Row],[VlrTotal]]</f>
        <v>35502.9</v>
      </c>
      <c r="K78" s="15">
        <v>0.25</v>
      </c>
      <c r="L78" s="15">
        <v>0</v>
      </c>
      <c r="M78" s="14" t="s">
        <v>46</v>
      </c>
      <c r="N78" s="23">
        <f>vendas2026[[#This Row],[VlrTotal]]*vendas2026[[#This Row],[%Comissão]]</f>
        <v>8875.7250000000004</v>
      </c>
      <c r="O78" s="14">
        <f>vendas2026[[#This Row],[VlrTotal]]*vendas2026[[#This Row],[%ComissãoSupervisor]]</f>
        <v>0</v>
      </c>
      <c r="P78" s="11" t="s">
        <v>27</v>
      </c>
      <c r="Q78" s="11" t="s">
        <v>27</v>
      </c>
      <c r="R78" s="11"/>
      <c r="S78" s="11">
        <v>6</v>
      </c>
      <c r="T78" s="11"/>
      <c r="U78" s="11" t="s">
        <v>28</v>
      </c>
      <c r="V78" s="16" t="s">
        <v>22</v>
      </c>
    </row>
    <row r="79" spans="1:22" hidden="1" x14ac:dyDescent="0.25">
      <c r="A79" s="10">
        <v>46078</v>
      </c>
      <c r="B79" s="11">
        <v>138641</v>
      </c>
      <c r="C79" s="11" t="s">
        <v>22</v>
      </c>
      <c r="D79" s="11" t="s">
        <v>87</v>
      </c>
      <c r="E79" s="11" t="s">
        <v>47</v>
      </c>
      <c r="F79" s="11" t="s">
        <v>30</v>
      </c>
      <c r="G79" s="12">
        <v>30</v>
      </c>
      <c r="H79" s="13">
        <v>275.62</v>
      </c>
      <c r="I79" s="14">
        <f>vendas2026[[#This Row],[Qtde]]*vendas2026[[#This Row],[VlrUnitário]]</f>
        <v>8268.6</v>
      </c>
      <c r="J79" s="23">
        <f>vendas2026[[#This Row],[VlrTotal]]</f>
        <v>8268.6</v>
      </c>
      <c r="K79" s="15">
        <v>1</v>
      </c>
      <c r="L79" s="15">
        <v>0</v>
      </c>
      <c r="M79" s="14" t="s">
        <v>46</v>
      </c>
      <c r="N79" s="23">
        <f>vendas2026[[#This Row],[VlrTotal]]*vendas2026[[#This Row],[%Comissão]]</f>
        <v>8268.6</v>
      </c>
      <c r="O79" s="14">
        <f>vendas2026[[#This Row],[VlrTotal]]*vendas2026[[#This Row],[%ComissãoSupervisor]]</f>
        <v>0</v>
      </c>
      <c r="P79" s="11" t="s">
        <v>27</v>
      </c>
      <c r="Q79" s="11" t="s">
        <v>27</v>
      </c>
      <c r="R79" s="11"/>
      <c r="S79" s="11">
        <v>1</v>
      </c>
      <c r="T79" s="11"/>
      <c r="U79" s="11" t="s">
        <v>28</v>
      </c>
      <c r="V79" s="16" t="s">
        <v>22</v>
      </c>
    </row>
    <row r="80" spans="1:22" hidden="1" x14ac:dyDescent="0.25">
      <c r="A80" s="10">
        <v>46078</v>
      </c>
      <c r="B80" s="11">
        <v>138641</v>
      </c>
      <c r="C80" s="11" t="s">
        <v>22</v>
      </c>
      <c r="D80" s="11" t="s">
        <v>87</v>
      </c>
      <c r="E80" s="11" t="s">
        <v>63</v>
      </c>
      <c r="F80" s="11" t="s">
        <v>30</v>
      </c>
      <c r="G80" s="12">
        <v>60</v>
      </c>
      <c r="H80" s="13">
        <v>105</v>
      </c>
      <c r="I80" s="14">
        <f>vendas2026[[#This Row],[Qtde]]*vendas2026[[#This Row],[VlrUnitário]]</f>
        <v>6300</v>
      </c>
      <c r="J80" s="23">
        <f>vendas2026[[#This Row],[VlrTotal]]</f>
        <v>6300</v>
      </c>
      <c r="K80" s="15">
        <v>1</v>
      </c>
      <c r="L80" s="15">
        <v>0</v>
      </c>
      <c r="M80" s="14" t="s">
        <v>46</v>
      </c>
      <c r="N80" s="23">
        <f>vendas2026[[#This Row],[VlrTotal]]*vendas2026[[#This Row],[%Comissão]]</f>
        <v>6300</v>
      </c>
      <c r="O80" s="14">
        <f>vendas2026[[#This Row],[VlrTotal]]*vendas2026[[#This Row],[%ComissãoSupervisor]]</f>
        <v>0</v>
      </c>
      <c r="P80" s="11" t="s">
        <v>27</v>
      </c>
      <c r="Q80" s="11" t="s">
        <v>27</v>
      </c>
      <c r="R80" s="11"/>
      <c r="S80" s="11">
        <v>1</v>
      </c>
      <c r="T80" s="11"/>
      <c r="U80" s="11" t="s">
        <v>28</v>
      </c>
      <c r="V80" s="16" t="s">
        <v>22</v>
      </c>
    </row>
    <row r="81" spans="1:22" hidden="1" x14ac:dyDescent="0.25">
      <c r="A81" s="10">
        <v>46078</v>
      </c>
      <c r="B81" s="11">
        <v>138641</v>
      </c>
      <c r="C81" s="11" t="s">
        <v>22</v>
      </c>
      <c r="D81" s="11" t="s">
        <v>87</v>
      </c>
      <c r="E81" s="11" t="s">
        <v>48</v>
      </c>
      <c r="F81" s="11" t="s">
        <v>30</v>
      </c>
      <c r="G81" s="12">
        <v>1</v>
      </c>
      <c r="H81" s="13">
        <v>356.4</v>
      </c>
      <c r="I81" s="14">
        <f>vendas2026[[#This Row],[Qtde]]*vendas2026[[#This Row],[VlrUnitário]]</f>
        <v>356.4</v>
      </c>
      <c r="J81" s="23">
        <f>vendas2026[[#This Row],[VlrTotal]]</f>
        <v>356.4</v>
      </c>
      <c r="K81" s="15">
        <v>1</v>
      </c>
      <c r="L81" s="15">
        <v>0</v>
      </c>
      <c r="M81" s="14" t="s">
        <v>46</v>
      </c>
      <c r="N81" s="23">
        <f>vendas2026[[#This Row],[VlrTotal]]*vendas2026[[#This Row],[%Comissão]]</f>
        <v>356.4</v>
      </c>
      <c r="O81" s="14">
        <f>vendas2026[[#This Row],[VlrTotal]]*vendas2026[[#This Row],[%ComissãoSupervisor]]</f>
        <v>0</v>
      </c>
      <c r="P81" s="11" t="s">
        <v>27</v>
      </c>
      <c r="Q81" s="11" t="s">
        <v>27</v>
      </c>
      <c r="R81" s="11"/>
      <c r="S81" s="11">
        <v>1</v>
      </c>
      <c r="T81" s="11"/>
      <c r="U81" s="11" t="s">
        <v>28</v>
      </c>
      <c r="V81" s="16" t="s">
        <v>22</v>
      </c>
    </row>
    <row r="82" spans="1:22" hidden="1" x14ac:dyDescent="0.25">
      <c r="A82" s="10">
        <v>46078</v>
      </c>
      <c r="B82" s="11">
        <v>138641</v>
      </c>
      <c r="C82" s="11" t="s">
        <v>22</v>
      </c>
      <c r="D82" s="11" t="s">
        <v>87</v>
      </c>
      <c r="E82" s="11" t="s">
        <v>52</v>
      </c>
      <c r="F82" s="11" t="s">
        <v>30</v>
      </c>
      <c r="G82" s="12">
        <v>1</v>
      </c>
      <c r="H82" s="13">
        <v>1080</v>
      </c>
      <c r="I82" s="14">
        <f>vendas2026[[#This Row],[Qtde]]*vendas2026[[#This Row],[VlrUnitário]]</f>
        <v>1080</v>
      </c>
      <c r="J82" s="23">
        <f>vendas2026[[#This Row],[VlrTotal]]</f>
        <v>1080</v>
      </c>
      <c r="K82" s="15">
        <v>1</v>
      </c>
      <c r="L82" s="15">
        <v>0</v>
      </c>
      <c r="M82" s="14" t="s">
        <v>46</v>
      </c>
      <c r="N82" s="23">
        <f>vendas2026[[#This Row],[VlrTotal]]*vendas2026[[#This Row],[%Comissão]]</f>
        <v>1080</v>
      </c>
      <c r="O82" s="14">
        <f>vendas2026[[#This Row],[VlrTotal]]*vendas2026[[#This Row],[%ComissãoSupervisor]]</f>
        <v>0</v>
      </c>
      <c r="P82" s="11" t="s">
        <v>27</v>
      </c>
      <c r="Q82" s="11" t="s">
        <v>27</v>
      </c>
      <c r="R82" s="11"/>
      <c r="S82" s="11">
        <v>1</v>
      </c>
      <c r="T82" s="11"/>
      <c r="U82" s="11" t="s">
        <v>28</v>
      </c>
      <c r="V82" s="16" t="s">
        <v>22</v>
      </c>
    </row>
    <row r="83" spans="1:22" hidden="1" x14ac:dyDescent="0.25">
      <c r="A83" s="10">
        <v>46078</v>
      </c>
      <c r="B83" s="11">
        <v>138641</v>
      </c>
      <c r="C83" s="11" t="s">
        <v>22</v>
      </c>
      <c r="D83" s="11" t="s">
        <v>87</v>
      </c>
      <c r="E83" s="11" t="s">
        <v>54</v>
      </c>
      <c r="F83" s="11" t="s">
        <v>30</v>
      </c>
      <c r="G83" s="12">
        <v>5</v>
      </c>
      <c r="H83" s="13">
        <v>142.56</v>
      </c>
      <c r="I83" s="14">
        <f>vendas2026[[#This Row],[Qtde]]*vendas2026[[#This Row],[VlrUnitário]]</f>
        <v>712.8</v>
      </c>
      <c r="J83" s="23">
        <f>vendas2026[[#This Row],[VlrTotal]]</f>
        <v>712.8</v>
      </c>
      <c r="K83" s="15">
        <v>1</v>
      </c>
      <c r="L83" s="15">
        <v>0</v>
      </c>
      <c r="M83" s="14" t="s">
        <v>46</v>
      </c>
      <c r="N83" s="23">
        <f>vendas2026[[#This Row],[VlrTotal]]*vendas2026[[#This Row],[%Comissão]]</f>
        <v>712.8</v>
      </c>
      <c r="O83" s="14">
        <f>vendas2026[[#This Row],[VlrTotal]]*vendas2026[[#This Row],[%ComissãoSupervisor]]</f>
        <v>0</v>
      </c>
      <c r="P83" s="11" t="s">
        <v>27</v>
      </c>
      <c r="Q83" s="11" t="s">
        <v>27</v>
      </c>
      <c r="R83" s="11"/>
      <c r="S83" s="11">
        <v>1</v>
      </c>
      <c r="T83" s="11"/>
      <c r="U83" s="11" t="s">
        <v>28</v>
      </c>
      <c r="V83" s="16" t="s">
        <v>22</v>
      </c>
    </row>
    <row r="84" spans="1:22" hidden="1" x14ac:dyDescent="0.25">
      <c r="A84" s="10">
        <v>46078</v>
      </c>
      <c r="B84" s="11">
        <v>138641</v>
      </c>
      <c r="C84" s="11" t="s">
        <v>22</v>
      </c>
      <c r="D84" s="11" t="s">
        <v>87</v>
      </c>
      <c r="E84" s="11" t="s">
        <v>83</v>
      </c>
      <c r="F84" s="11" t="s">
        <v>30</v>
      </c>
      <c r="G84" s="12">
        <v>1</v>
      </c>
      <c r="H84" s="13">
        <v>689</v>
      </c>
      <c r="I84" s="14">
        <f>vendas2026[[#This Row],[Qtde]]*vendas2026[[#This Row],[VlrUnitário]]</f>
        <v>689</v>
      </c>
      <c r="J84" s="23">
        <f>vendas2026[[#This Row],[VlrTotal]]</f>
        <v>689</v>
      </c>
      <c r="K84" s="15">
        <v>1</v>
      </c>
      <c r="L84" s="15">
        <v>0</v>
      </c>
      <c r="M84" s="14" t="s">
        <v>46</v>
      </c>
      <c r="N84" s="23">
        <f>vendas2026[[#This Row],[VlrTotal]]*vendas2026[[#This Row],[%Comissão]]</f>
        <v>689</v>
      </c>
      <c r="O84" s="14">
        <f>vendas2026[[#This Row],[VlrTotal]]*vendas2026[[#This Row],[%ComissãoSupervisor]]</f>
        <v>0</v>
      </c>
      <c r="P84" s="11" t="s">
        <v>27</v>
      </c>
      <c r="Q84" s="11" t="s">
        <v>27</v>
      </c>
      <c r="R84" s="11"/>
      <c r="S84" s="11">
        <v>1</v>
      </c>
      <c r="T84" s="11"/>
      <c r="U84" s="11" t="s">
        <v>28</v>
      </c>
      <c r="V84" s="16" t="s">
        <v>22</v>
      </c>
    </row>
    <row r="85" spans="1:22" hidden="1" x14ac:dyDescent="0.25">
      <c r="A85" s="10">
        <v>46078</v>
      </c>
      <c r="B85" s="11">
        <v>138641</v>
      </c>
      <c r="C85" s="11" t="s">
        <v>22</v>
      </c>
      <c r="D85" s="11" t="s">
        <v>87</v>
      </c>
      <c r="E85" s="11" t="s">
        <v>84</v>
      </c>
      <c r="F85" s="11" t="s">
        <v>30</v>
      </c>
      <c r="G85" s="12">
        <v>1</v>
      </c>
      <c r="H85" s="13">
        <v>712</v>
      </c>
      <c r="I85" s="14">
        <f>vendas2026[[#This Row],[Qtde]]*vendas2026[[#This Row],[VlrUnitário]]</f>
        <v>712</v>
      </c>
      <c r="J85" s="23">
        <f>vendas2026[[#This Row],[VlrTotal]]</f>
        <v>712</v>
      </c>
      <c r="K85" s="15">
        <v>1</v>
      </c>
      <c r="L85" s="15">
        <v>0</v>
      </c>
      <c r="M85" s="14" t="s">
        <v>46</v>
      </c>
      <c r="N85" s="23">
        <f>vendas2026[[#This Row],[VlrTotal]]*vendas2026[[#This Row],[%Comissão]]</f>
        <v>712</v>
      </c>
      <c r="O85" s="14">
        <f>vendas2026[[#This Row],[VlrTotal]]*vendas2026[[#This Row],[%ComissãoSupervisor]]</f>
        <v>0</v>
      </c>
      <c r="P85" s="11" t="s">
        <v>27</v>
      </c>
      <c r="Q85" s="11" t="s">
        <v>27</v>
      </c>
      <c r="R85" s="11"/>
      <c r="S85" s="11">
        <v>1</v>
      </c>
      <c r="T85" s="11"/>
      <c r="U85" s="11" t="s">
        <v>28</v>
      </c>
      <c r="V85" s="16" t="s">
        <v>22</v>
      </c>
    </row>
    <row r="86" spans="1:22" hidden="1" x14ac:dyDescent="0.25">
      <c r="A86" s="10">
        <v>46078</v>
      </c>
      <c r="B86" s="11">
        <v>138643</v>
      </c>
      <c r="C86" s="11" t="s">
        <v>22</v>
      </c>
      <c r="D86" s="11" t="s">
        <v>88</v>
      </c>
      <c r="E86" s="11" t="s">
        <v>47</v>
      </c>
      <c r="F86" s="11" t="s">
        <v>25</v>
      </c>
      <c r="G86" s="12">
        <v>196</v>
      </c>
      <c r="H86" s="13">
        <v>200</v>
      </c>
      <c r="I86" s="14">
        <f>vendas2026[[#This Row],[Qtde]]*vendas2026[[#This Row],[VlrUnitário]]</f>
        <v>39200</v>
      </c>
      <c r="J86" s="23">
        <f>vendas2026[[#This Row],[VlrTotal]]</f>
        <v>39200</v>
      </c>
      <c r="K86" s="15">
        <v>7.0000000000000007E-2</v>
      </c>
      <c r="L86" s="15">
        <v>0</v>
      </c>
      <c r="M86" s="14" t="s">
        <v>46</v>
      </c>
      <c r="N86" s="23">
        <f>vendas2026[[#This Row],[VlrTotal]]*vendas2026[[#This Row],[%Comissão]]</f>
        <v>2744.0000000000005</v>
      </c>
      <c r="O86" s="14">
        <f>vendas2026[[#This Row],[VlrTotal]]*vendas2026[[#This Row],[%ComissãoSupervisor]]</f>
        <v>0</v>
      </c>
      <c r="P86" s="11" t="s">
        <v>27</v>
      </c>
      <c r="Q86" s="11" t="s">
        <v>27</v>
      </c>
      <c r="R86" s="11"/>
      <c r="S86" s="11">
        <v>6</v>
      </c>
      <c r="T86" s="11"/>
      <c r="U86" s="11" t="s">
        <v>28</v>
      </c>
      <c r="V86" s="16" t="s">
        <v>22</v>
      </c>
    </row>
    <row r="87" spans="1:22" ht="15" hidden="1" customHeight="1" x14ac:dyDescent="0.25">
      <c r="A87" s="10">
        <v>46078</v>
      </c>
      <c r="B87" s="11">
        <v>138643</v>
      </c>
      <c r="C87" s="11" t="s">
        <v>22</v>
      </c>
      <c r="D87" s="11" t="s">
        <v>88</v>
      </c>
      <c r="E87" s="11" t="s">
        <v>47</v>
      </c>
      <c r="F87" s="11" t="s">
        <v>41</v>
      </c>
      <c r="G87" s="12">
        <v>1</v>
      </c>
      <c r="H87" s="13">
        <v>35502.9</v>
      </c>
      <c r="I87" s="14">
        <f>vendas2026[[#This Row],[Qtde]]*vendas2026[[#This Row],[VlrUnitário]]</f>
        <v>35502.9</v>
      </c>
      <c r="J87" s="23">
        <f>vendas2026[[#This Row],[VlrTotal]]</f>
        <v>35502.9</v>
      </c>
      <c r="K87" s="15">
        <v>0.25</v>
      </c>
      <c r="L87" s="15">
        <v>0</v>
      </c>
      <c r="M87" s="14" t="s">
        <v>46</v>
      </c>
      <c r="N87" s="23">
        <f>vendas2026[[#This Row],[VlrTotal]]*vendas2026[[#This Row],[%Comissão]]</f>
        <v>8875.7250000000004</v>
      </c>
      <c r="O87" s="14">
        <f>vendas2026[[#This Row],[VlrTotal]]*vendas2026[[#This Row],[%ComissãoSupervisor]]</f>
        <v>0</v>
      </c>
      <c r="P87" s="11" t="s">
        <v>27</v>
      </c>
      <c r="Q87" s="11" t="s">
        <v>27</v>
      </c>
      <c r="R87" s="11"/>
      <c r="S87" s="11">
        <v>6</v>
      </c>
      <c r="T87" s="11"/>
      <c r="U87" s="11" t="s">
        <v>28</v>
      </c>
      <c r="V87" s="16" t="s">
        <v>22</v>
      </c>
    </row>
    <row r="88" spans="1:22" ht="15" hidden="1" customHeight="1" x14ac:dyDescent="0.25">
      <c r="A88" s="10">
        <v>46078</v>
      </c>
      <c r="B88" s="11">
        <v>138643</v>
      </c>
      <c r="C88" s="11" t="s">
        <v>22</v>
      </c>
      <c r="D88" s="11" t="s">
        <v>88</v>
      </c>
      <c r="E88" s="11" t="s">
        <v>47</v>
      </c>
      <c r="F88" s="11" t="s">
        <v>30</v>
      </c>
      <c r="G88" s="12">
        <v>14</v>
      </c>
      <c r="H88" s="13">
        <v>275.62</v>
      </c>
      <c r="I88" s="14">
        <f>vendas2026[[#This Row],[Qtde]]*vendas2026[[#This Row],[VlrUnitário]]</f>
        <v>3858.6800000000003</v>
      </c>
      <c r="J88" s="23">
        <f>vendas2026[[#This Row],[VlrTotal]]</f>
        <v>3858.6800000000003</v>
      </c>
      <c r="K88" s="15">
        <v>1</v>
      </c>
      <c r="L88" s="15">
        <v>0</v>
      </c>
      <c r="M88" s="14" t="s">
        <v>46</v>
      </c>
      <c r="N88" s="23">
        <f>vendas2026[[#This Row],[VlrTotal]]*vendas2026[[#This Row],[%Comissão]]</f>
        <v>3858.6800000000003</v>
      </c>
      <c r="O88" s="14">
        <f>vendas2026[[#This Row],[VlrTotal]]*vendas2026[[#This Row],[%ComissãoSupervisor]]</f>
        <v>0</v>
      </c>
      <c r="P88" s="11" t="s">
        <v>27</v>
      </c>
      <c r="Q88" s="11" t="s">
        <v>27</v>
      </c>
      <c r="R88" s="11"/>
      <c r="S88" s="11">
        <v>1</v>
      </c>
      <c r="T88" s="11"/>
      <c r="U88" s="11" t="s">
        <v>28</v>
      </c>
      <c r="V88" s="16" t="s">
        <v>22</v>
      </c>
    </row>
    <row r="89" spans="1:22" hidden="1" x14ac:dyDescent="0.25">
      <c r="A89" s="10">
        <v>46078</v>
      </c>
      <c r="B89" s="11">
        <v>138643</v>
      </c>
      <c r="C89" s="11" t="s">
        <v>22</v>
      </c>
      <c r="D89" s="11" t="s">
        <v>88</v>
      </c>
      <c r="E89" s="11" t="s">
        <v>63</v>
      </c>
      <c r="F89" s="11" t="s">
        <v>30</v>
      </c>
      <c r="G89" s="12">
        <v>48</v>
      </c>
      <c r="H89" s="13">
        <v>115</v>
      </c>
      <c r="I89" s="14">
        <f>vendas2026[[#This Row],[Qtde]]*vendas2026[[#This Row],[VlrUnitário]]</f>
        <v>5520</v>
      </c>
      <c r="J89" s="23">
        <f>vendas2026[[#This Row],[VlrTotal]]</f>
        <v>5520</v>
      </c>
      <c r="K89" s="15">
        <v>1</v>
      </c>
      <c r="L89" s="15">
        <v>0</v>
      </c>
      <c r="M89" s="14" t="s">
        <v>46</v>
      </c>
      <c r="N89" s="23">
        <f>vendas2026[[#This Row],[VlrTotal]]*vendas2026[[#This Row],[%Comissão]]</f>
        <v>5520</v>
      </c>
      <c r="O89" s="14">
        <f>vendas2026[[#This Row],[VlrTotal]]*vendas2026[[#This Row],[%ComissãoSupervisor]]</f>
        <v>0</v>
      </c>
      <c r="P89" s="11" t="s">
        <v>27</v>
      </c>
      <c r="Q89" s="11" t="s">
        <v>27</v>
      </c>
      <c r="R89" s="11"/>
      <c r="S89" s="11">
        <v>1</v>
      </c>
      <c r="T89" s="11"/>
      <c r="U89" s="11" t="s">
        <v>28</v>
      </c>
      <c r="V89" s="16" t="s">
        <v>22</v>
      </c>
    </row>
    <row r="90" spans="1:22" hidden="1" x14ac:dyDescent="0.25">
      <c r="A90" s="10">
        <v>46078</v>
      </c>
      <c r="B90" s="11">
        <v>138643</v>
      </c>
      <c r="C90" s="11" t="s">
        <v>22</v>
      </c>
      <c r="D90" s="11" t="s">
        <v>88</v>
      </c>
      <c r="E90" s="11" t="s">
        <v>89</v>
      </c>
      <c r="F90" s="11" t="s">
        <v>30</v>
      </c>
      <c r="G90" s="12">
        <v>1</v>
      </c>
      <c r="H90" s="13">
        <v>356.4</v>
      </c>
      <c r="I90" s="14">
        <f>vendas2026[[#This Row],[Qtde]]*vendas2026[[#This Row],[VlrUnitário]]</f>
        <v>356.4</v>
      </c>
      <c r="J90" s="23">
        <f>vendas2026[[#This Row],[VlrTotal]]</f>
        <v>356.4</v>
      </c>
      <c r="K90" s="15">
        <v>1</v>
      </c>
      <c r="L90" s="15">
        <v>0</v>
      </c>
      <c r="M90" s="14" t="s">
        <v>46</v>
      </c>
      <c r="N90" s="23">
        <f>vendas2026[[#This Row],[VlrTotal]]*vendas2026[[#This Row],[%Comissão]]</f>
        <v>356.4</v>
      </c>
      <c r="O90" s="14">
        <f>vendas2026[[#This Row],[VlrTotal]]*vendas2026[[#This Row],[%ComissãoSupervisor]]</f>
        <v>0</v>
      </c>
      <c r="P90" s="11" t="s">
        <v>27</v>
      </c>
      <c r="Q90" s="11" t="s">
        <v>27</v>
      </c>
      <c r="R90" s="11"/>
      <c r="S90" s="11">
        <v>1</v>
      </c>
      <c r="T90" s="11"/>
      <c r="U90" s="11" t="s">
        <v>28</v>
      </c>
      <c r="V90" s="16" t="s">
        <v>22</v>
      </c>
    </row>
    <row r="91" spans="1:22" hidden="1" x14ac:dyDescent="0.25">
      <c r="A91" s="10">
        <v>46078</v>
      </c>
      <c r="B91" s="11">
        <v>138643</v>
      </c>
      <c r="C91" s="11" t="s">
        <v>22</v>
      </c>
      <c r="D91" s="11" t="s">
        <v>88</v>
      </c>
      <c r="E91" s="11" t="s">
        <v>52</v>
      </c>
      <c r="F91" s="11" t="s">
        <v>30</v>
      </c>
      <c r="G91" s="12">
        <v>1</v>
      </c>
      <c r="H91" s="13">
        <v>1080</v>
      </c>
      <c r="I91" s="14">
        <f>vendas2026[[#This Row],[Qtde]]*vendas2026[[#This Row],[VlrUnitário]]</f>
        <v>1080</v>
      </c>
      <c r="J91" s="23">
        <f>vendas2026[[#This Row],[VlrTotal]]</f>
        <v>1080</v>
      </c>
      <c r="K91" s="15">
        <v>1</v>
      </c>
      <c r="L91" s="15">
        <v>0</v>
      </c>
      <c r="M91" s="14" t="s">
        <v>46</v>
      </c>
      <c r="N91" s="23">
        <f>vendas2026[[#This Row],[VlrTotal]]*vendas2026[[#This Row],[%Comissão]]</f>
        <v>1080</v>
      </c>
      <c r="O91" s="14">
        <f>vendas2026[[#This Row],[VlrTotal]]*vendas2026[[#This Row],[%ComissãoSupervisor]]</f>
        <v>0</v>
      </c>
      <c r="P91" s="11" t="s">
        <v>27</v>
      </c>
      <c r="Q91" s="11" t="s">
        <v>27</v>
      </c>
      <c r="R91" s="11"/>
      <c r="S91" s="11">
        <v>1</v>
      </c>
      <c r="T91" s="11"/>
      <c r="U91" s="11" t="s">
        <v>28</v>
      </c>
      <c r="V91" s="16" t="s">
        <v>22</v>
      </c>
    </row>
    <row r="92" spans="1:22" hidden="1" x14ac:dyDescent="0.25">
      <c r="A92" s="10">
        <v>46078</v>
      </c>
      <c r="B92" s="11">
        <v>138643</v>
      </c>
      <c r="C92" s="11" t="s">
        <v>22</v>
      </c>
      <c r="D92" s="11" t="s">
        <v>88</v>
      </c>
      <c r="E92" s="11" t="s">
        <v>83</v>
      </c>
      <c r="F92" s="11" t="s">
        <v>30</v>
      </c>
      <c r="G92" s="12">
        <v>1</v>
      </c>
      <c r="H92" s="13">
        <v>689</v>
      </c>
      <c r="I92" s="14">
        <f>vendas2026[[#This Row],[Qtde]]*vendas2026[[#This Row],[VlrUnitário]]</f>
        <v>689</v>
      </c>
      <c r="J92" s="23">
        <f>vendas2026[[#This Row],[VlrTotal]]</f>
        <v>689</v>
      </c>
      <c r="K92" s="15">
        <v>1</v>
      </c>
      <c r="L92" s="15">
        <v>0</v>
      </c>
      <c r="M92" s="14" t="s">
        <v>46</v>
      </c>
      <c r="N92" s="23">
        <f>vendas2026[[#This Row],[VlrTotal]]*vendas2026[[#This Row],[%Comissão]]</f>
        <v>689</v>
      </c>
      <c r="O92" s="14">
        <f>vendas2026[[#This Row],[VlrTotal]]*vendas2026[[#This Row],[%ComissãoSupervisor]]</f>
        <v>0</v>
      </c>
      <c r="P92" s="11" t="s">
        <v>27</v>
      </c>
      <c r="Q92" s="11" t="s">
        <v>27</v>
      </c>
      <c r="R92" s="11"/>
      <c r="S92" s="11">
        <v>1</v>
      </c>
      <c r="T92" s="11"/>
      <c r="U92" s="11" t="s">
        <v>28</v>
      </c>
      <c r="V92" s="16" t="s">
        <v>22</v>
      </c>
    </row>
    <row r="93" spans="1:22" hidden="1" x14ac:dyDescent="0.25">
      <c r="A93" s="10">
        <v>46078</v>
      </c>
      <c r="B93" s="11">
        <v>138643</v>
      </c>
      <c r="C93" s="11" t="s">
        <v>22</v>
      </c>
      <c r="D93" s="11" t="s">
        <v>88</v>
      </c>
      <c r="E93" s="11" t="s">
        <v>84</v>
      </c>
      <c r="F93" s="11" t="s">
        <v>30</v>
      </c>
      <c r="G93" s="12">
        <v>1</v>
      </c>
      <c r="H93" s="13">
        <v>712</v>
      </c>
      <c r="I93" s="14">
        <f>vendas2026[[#This Row],[Qtde]]*vendas2026[[#This Row],[VlrUnitário]]</f>
        <v>712</v>
      </c>
      <c r="J93" s="23">
        <f>vendas2026[[#This Row],[VlrTotal]]</f>
        <v>712</v>
      </c>
      <c r="K93" s="15">
        <v>1</v>
      </c>
      <c r="L93" s="15">
        <v>0</v>
      </c>
      <c r="M93" s="14" t="s">
        <v>46</v>
      </c>
      <c r="N93" s="23">
        <f>vendas2026[[#This Row],[VlrTotal]]*vendas2026[[#This Row],[%Comissão]]</f>
        <v>712</v>
      </c>
      <c r="O93" s="14">
        <f>vendas2026[[#This Row],[VlrTotal]]*vendas2026[[#This Row],[%ComissãoSupervisor]]</f>
        <v>0</v>
      </c>
      <c r="P93" s="11" t="s">
        <v>27</v>
      </c>
      <c r="Q93" s="11" t="s">
        <v>27</v>
      </c>
      <c r="R93" s="11"/>
      <c r="S93" s="11">
        <v>1</v>
      </c>
      <c r="T93" s="11"/>
      <c r="U93" s="11" t="s">
        <v>28</v>
      </c>
      <c r="V93" s="16" t="s">
        <v>22</v>
      </c>
    </row>
    <row r="94" spans="1:22" hidden="1" x14ac:dyDescent="0.25">
      <c r="A94" s="10">
        <v>46078</v>
      </c>
      <c r="B94" s="11">
        <v>136629</v>
      </c>
      <c r="C94" s="11" t="s">
        <v>31</v>
      </c>
      <c r="D94" s="11" t="s">
        <v>90</v>
      </c>
      <c r="E94" s="11" t="s">
        <v>35</v>
      </c>
      <c r="F94" s="11" t="s">
        <v>35</v>
      </c>
      <c r="G94" s="12">
        <v>80</v>
      </c>
      <c r="H94" s="13">
        <v>150</v>
      </c>
      <c r="I94" s="14">
        <f>vendas2026[[#This Row],[Qtde]]*vendas2026[[#This Row],[VlrUnitário]]</f>
        <v>12000</v>
      </c>
      <c r="J94" s="23">
        <f>vendas2026[[#This Row],[VlrTotal]]</f>
        <v>12000</v>
      </c>
      <c r="K94" s="15">
        <v>6.8999999999999999E-3</v>
      </c>
      <c r="L94" s="15">
        <v>0</v>
      </c>
      <c r="M94" s="14" t="s">
        <v>26</v>
      </c>
      <c r="N94" s="23">
        <f>vendas2026[[#This Row],[VlrTotal]]*vendas2026[[#This Row],[%Comissão]]</f>
        <v>82.8</v>
      </c>
      <c r="O94" s="14">
        <f>vendas2026[[#This Row],[VlrTotal]]*vendas2026[[#This Row],[%ComissãoSupervisor]]</f>
        <v>0</v>
      </c>
      <c r="P94" s="11" t="s">
        <v>36</v>
      </c>
      <c r="Q94" s="11" t="s">
        <v>37</v>
      </c>
      <c r="R94" s="11"/>
      <c r="S94" s="11">
        <v>1</v>
      </c>
      <c r="T94" s="11"/>
      <c r="U94" s="11" t="s">
        <v>38</v>
      </c>
      <c r="V94" s="16" t="s">
        <v>31</v>
      </c>
    </row>
    <row r="95" spans="1:22" hidden="1" x14ac:dyDescent="0.25">
      <c r="A95" s="10">
        <v>46078</v>
      </c>
      <c r="B95" s="11">
        <v>138487</v>
      </c>
      <c r="C95" s="11" t="s">
        <v>31</v>
      </c>
      <c r="D95" s="11" t="s">
        <v>91</v>
      </c>
      <c r="E95" s="11" t="s">
        <v>56</v>
      </c>
      <c r="F95" s="11" t="s">
        <v>25</v>
      </c>
      <c r="G95" s="12">
        <v>2</v>
      </c>
      <c r="H95" s="13">
        <v>210</v>
      </c>
      <c r="I95" s="14">
        <f>vendas2026[[#This Row],[Qtde]]*vendas2026[[#This Row],[VlrUnitário]]</f>
        <v>420</v>
      </c>
      <c r="J95" s="23">
        <f>(vendas2026[[#This Row],[VlrTotal]]*0.2)+vendas2026[[#This Row],[VlrTotal]]</f>
        <v>504</v>
      </c>
      <c r="K95" s="15">
        <v>7.0000000000000007E-2</v>
      </c>
      <c r="L95" s="15">
        <f>vendas2026[[#This Row],[%Comissão]]*0.25</f>
        <v>1.7500000000000002E-2</v>
      </c>
      <c r="M95" s="14" t="s">
        <v>26</v>
      </c>
      <c r="N95" s="23">
        <f>vendas2026[[#This Row],[VlrTotal]]*vendas2026[[#This Row],[%Comissão]]</f>
        <v>29.400000000000002</v>
      </c>
      <c r="O95" s="14">
        <f>vendas2026[[#This Row],[VlrTotal]]*vendas2026[[#This Row],[%ComissãoSupervisor]]</f>
        <v>7.3500000000000005</v>
      </c>
      <c r="P95" s="11" t="s">
        <v>27</v>
      </c>
      <c r="Q95" s="11" t="s">
        <v>27</v>
      </c>
      <c r="R95" s="11"/>
      <c r="S95" s="11">
        <v>1</v>
      </c>
      <c r="T95" s="11"/>
      <c r="U95" s="11" t="s">
        <v>28</v>
      </c>
      <c r="V95" s="16" t="s">
        <v>31</v>
      </c>
    </row>
    <row r="96" spans="1:22" hidden="1" x14ac:dyDescent="0.25">
      <c r="A96" s="10">
        <v>46078</v>
      </c>
      <c r="B96" s="11">
        <v>138487</v>
      </c>
      <c r="C96" s="11" t="s">
        <v>31</v>
      </c>
      <c r="D96" s="11" t="s">
        <v>91</v>
      </c>
      <c r="E96" s="11" t="s">
        <v>56</v>
      </c>
      <c r="F96" s="11" t="s">
        <v>30</v>
      </c>
      <c r="G96" s="12">
        <v>1</v>
      </c>
      <c r="H96" s="13">
        <v>356.4</v>
      </c>
      <c r="I96" s="14">
        <f>vendas2026[[#This Row],[Qtde]]*vendas2026[[#This Row],[VlrUnitário]]</f>
        <v>356.4</v>
      </c>
      <c r="J96" s="23">
        <f>(vendas2026[[#This Row],[VlrTotal]]*0.2)+vendas2026[[#This Row],[VlrTotal]]</f>
        <v>427.67999999999995</v>
      </c>
      <c r="K96" s="15">
        <v>1</v>
      </c>
      <c r="L96" s="15">
        <f>vendas2026[[#This Row],[%Comissão]]*0.25</f>
        <v>0.25</v>
      </c>
      <c r="M96" s="14" t="s">
        <v>26</v>
      </c>
      <c r="N96" s="23">
        <f>vendas2026[[#This Row],[VlrTotal]]*vendas2026[[#This Row],[%Comissão]]</f>
        <v>356.4</v>
      </c>
      <c r="O96" s="14">
        <f>vendas2026[[#This Row],[VlrTotal]]*vendas2026[[#This Row],[%ComissãoSupervisor]]</f>
        <v>89.1</v>
      </c>
      <c r="P96" s="11" t="s">
        <v>27</v>
      </c>
      <c r="Q96" s="11" t="s">
        <v>27</v>
      </c>
      <c r="R96" s="11"/>
      <c r="S96" s="11">
        <v>1</v>
      </c>
      <c r="T96" s="11"/>
      <c r="U96" s="11" t="s">
        <v>28</v>
      </c>
      <c r="V96" s="16" t="s">
        <v>31</v>
      </c>
    </row>
    <row r="97" spans="1:22" hidden="1" x14ac:dyDescent="0.25">
      <c r="A97" s="10">
        <v>46078</v>
      </c>
      <c r="B97" s="11">
        <v>138723</v>
      </c>
      <c r="C97" s="11" t="s">
        <v>31</v>
      </c>
      <c r="D97" s="11" t="s">
        <v>79</v>
      </c>
      <c r="E97" s="11" t="s">
        <v>24</v>
      </c>
      <c r="F97" s="11" t="s">
        <v>25</v>
      </c>
      <c r="G97" s="12">
        <v>40</v>
      </c>
      <c r="H97" s="13">
        <v>210</v>
      </c>
      <c r="I97" s="14">
        <f>vendas2026[[#This Row],[Qtde]]*vendas2026[[#This Row],[VlrUnitário]]</f>
        <v>8400</v>
      </c>
      <c r="J97" s="23">
        <f>(vendas2026[[#This Row],[VlrTotal]]*0.2)+vendas2026[[#This Row],[VlrTotal]]</f>
        <v>10080</v>
      </c>
      <c r="K97" s="15">
        <v>0.25</v>
      </c>
      <c r="L97" s="15">
        <f>vendas2026[[#This Row],[%Comissão]]*0.25</f>
        <v>6.25E-2</v>
      </c>
      <c r="M97" s="14" t="s">
        <v>26</v>
      </c>
      <c r="N97" s="23">
        <f>vendas2026[[#This Row],[VlrTotal]]*vendas2026[[#This Row],[%Comissão]]</f>
        <v>2100</v>
      </c>
      <c r="O97" s="14">
        <f>vendas2026[[#This Row],[VlrTotal]]*vendas2026[[#This Row],[%ComissãoSupervisor]]</f>
        <v>525</v>
      </c>
      <c r="P97" s="11" t="s">
        <v>36</v>
      </c>
      <c r="Q97" s="11" t="s">
        <v>37</v>
      </c>
      <c r="R97" s="11"/>
      <c r="S97" s="11">
        <v>6</v>
      </c>
      <c r="T97" s="11"/>
      <c r="U97" s="11" t="s">
        <v>38</v>
      </c>
      <c r="V97" s="16" t="s">
        <v>31</v>
      </c>
    </row>
    <row r="98" spans="1:22" hidden="1" x14ac:dyDescent="0.25">
      <c r="A98" s="10">
        <v>46078</v>
      </c>
      <c r="B98" s="11">
        <v>134770</v>
      </c>
      <c r="C98" s="11" t="s">
        <v>31</v>
      </c>
      <c r="D98" s="11" t="s">
        <v>92</v>
      </c>
      <c r="E98" s="11" t="s">
        <v>35</v>
      </c>
      <c r="F98" s="11" t="s">
        <v>35</v>
      </c>
      <c r="G98" s="12">
        <v>4</v>
      </c>
      <c r="H98" s="13">
        <v>176</v>
      </c>
      <c r="I98" s="14">
        <f>vendas2026[[#This Row],[Qtde]]*vendas2026[[#This Row],[VlrUnitário]]</f>
        <v>704</v>
      </c>
      <c r="J98" s="23">
        <f>vendas2026[[#This Row],[VlrTotal]]</f>
        <v>704</v>
      </c>
      <c r="K98" s="15">
        <v>0.01</v>
      </c>
      <c r="L98" s="15">
        <f>vendas2026[[#This Row],[%Comissão]]*0.25</f>
        <v>2.5000000000000001E-3</v>
      </c>
      <c r="M98" s="14" t="s">
        <v>26</v>
      </c>
      <c r="N98" s="23">
        <f>vendas2026[[#This Row],[VlrTotal]]*vendas2026[[#This Row],[%Comissão]]</f>
        <v>7.04</v>
      </c>
      <c r="O98" s="14">
        <f>vendas2026[[#This Row],[VlrTotal]]*vendas2026[[#This Row],[%ComissãoSupervisor]]</f>
        <v>1.76</v>
      </c>
      <c r="P98" s="11" t="s">
        <v>36</v>
      </c>
      <c r="Q98" s="11" t="s">
        <v>37</v>
      </c>
      <c r="R98" s="11"/>
      <c r="S98" s="11">
        <v>1</v>
      </c>
      <c r="T98" s="11"/>
      <c r="U98" s="11" t="s">
        <v>38</v>
      </c>
      <c r="V98" s="16" t="s">
        <v>31</v>
      </c>
    </row>
    <row r="99" spans="1:22" hidden="1" x14ac:dyDescent="0.25">
      <c r="A99" s="90">
        <v>46078</v>
      </c>
      <c r="B99" s="11">
        <v>138211</v>
      </c>
      <c r="C99" s="11" t="s">
        <v>31</v>
      </c>
      <c r="D99" s="11" t="s">
        <v>93</v>
      </c>
      <c r="E99" s="11" t="s">
        <v>24</v>
      </c>
      <c r="F99" s="11" t="s">
        <v>25</v>
      </c>
      <c r="G99" s="12">
        <v>8</v>
      </c>
      <c r="H99" s="13">
        <v>189</v>
      </c>
      <c r="I99" s="14">
        <f>vendas2026[[#This Row],[Qtde]]*vendas2026[[#This Row],[VlrUnitário]]</f>
        <v>1512</v>
      </c>
      <c r="J99" s="23">
        <f>(vendas2026[[#This Row],[VlrTotal]]*0.2)+vendas2026[[#This Row],[VlrTotal]]</f>
        <v>1814.4</v>
      </c>
      <c r="K99" s="15">
        <v>0.25</v>
      </c>
      <c r="L99" s="15">
        <f>vendas2026[[#This Row],[%Comissão]]*0.25</f>
        <v>6.25E-2</v>
      </c>
      <c r="M99" s="14" t="s">
        <v>26</v>
      </c>
      <c r="N99" s="23">
        <f>vendas2026[[#This Row],[VlrTotal]]*vendas2026[[#This Row],[%Comissão]]</f>
        <v>378</v>
      </c>
      <c r="O99" s="14">
        <f>vendas2026[[#This Row],[VlrTotal]]*vendas2026[[#This Row],[%ComissãoSupervisor]]</f>
        <v>94.5</v>
      </c>
      <c r="P99" s="11" t="s">
        <v>36</v>
      </c>
      <c r="Q99" s="11" t="s">
        <v>37</v>
      </c>
      <c r="R99" s="11"/>
      <c r="S99" s="11">
        <v>1</v>
      </c>
      <c r="T99" s="11"/>
      <c r="U99" s="11" t="s">
        <v>38</v>
      </c>
      <c r="V99" s="16" t="s">
        <v>31</v>
      </c>
    </row>
    <row r="100" spans="1:22" hidden="1" x14ac:dyDescent="0.25">
      <c r="A100" s="10">
        <v>46083</v>
      </c>
      <c r="B100" s="11">
        <v>137844</v>
      </c>
      <c r="C100" s="11" t="s">
        <v>31</v>
      </c>
      <c r="D100" s="11" t="s">
        <v>94</v>
      </c>
      <c r="E100" s="11" t="s">
        <v>35</v>
      </c>
      <c r="F100" s="11" t="s">
        <v>35</v>
      </c>
      <c r="G100" s="12">
        <v>3</v>
      </c>
      <c r="H100" s="13">
        <v>176</v>
      </c>
      <c r="I100" s="14">
        <f>vendas2026[[#This Row],[Qtde]]*vendas2026[[#This Row],[VlrUnitário]]</f>
        <v>528</v>
      </c>
      <c r="J100" s="23">
        <f>vendas2026[[#This Row],[VlrTotal]]</f>
        <v>528</v>
      </c>
      <c r="K100" s="15">
        <v>0.01</v>
      </c>
      <c r="L100" s="15">
        <f>vendas2026[[#This Row],[%Comissão]]*0.25</f>
        <v>2.5000000000000001E-3</v>
      </c>
      <c r="M100" s="14" t="s">
        <v>26</v>
      </c>
      <c r="N100" s="23">
        <f>vendas2026[[#This Row],[VlrTotal]]*vendas2026[[#This Row],[%Comissão]]</f>
        <v>5.28</v>
      </c>
      <c r="O100" s="14">
        <f>vendas2026[[#This Row],[VlrTotal]]*vendas2026[[#This Row],[%ComissãoSupervisor]]</f>
        <v>1.32</v>
      </c>
      <c r="P100" s="11" t="s">
        <v>36</v>
      </c>
      <c r="Q100" s="11" t="s">
        <v>37</v>
      </c>
      <c r="R100" s="11"/>
      <c r="S100" s="11">
        <v>1</v>
      </c>
      <c r="T100" s="11"/>
      <c r="U100" s="11" t="s">
        <v>38</v>
      </c>
      <c r="V100" s="16" t="s">
        <v>31</v>
      </c>
    </row>
    <row r="101" spans="1:22" hidden="1" x14ac:dyDescent="0.25">
      <c r="A101" s="10">
        <v>46083</v>
      </c>
      <c r="B101" s="11">
        <v>138891</v>
      </c>
      <c r="C101" s="11" t="s">
        <v>31</v>
      </c>
      <c r="D101" s="11" t="s">
        <v>95</v>
      </c>
      <c r="E101" s="11" t="s">
        <v>89</v>
      </c>
      <c r="F101" s="11" t="s">
        <v>25</v>
      </c>
      <c r="G101" s="12">
        <v>8</v>
      </c>
      <c r="H101" s="13">
        <v>210</v>
      </c>
      <c r="I101" s="14">
        <f>vendas2026[[#This Row],[Qtde]]*vendas2026[[#This Row],[VlrUnitário]]</f>
        <v>1680</v>
      </c>
      <c r="J101" s="23">
        <f>(vendas2026[[#This Row],[VlrTotal]]*0.2)+vendas2026[[#This Row],[VlrTotal]]</f>
        <v>2016</v>
      </c>
      <c r="K101" s="15">
        <v>7.0000000000000007E-2</v>
      </c>
      <c r="L101" s="15">
        <f>vendas2026[[#This Row],[%Comissão]]*0.25</f>
        <v>1.7500000000000002E-2</v>
      </c>
      <c r="M101" s="14" t="s">
        <v>26</v>
      </c>
      <c r="N101" s="23">
        <f>vendas2026[[#This Row],[VlrTotal]]*vendas2026[[#This Row],[%Comissão]]</f>
        <v>117.60000000000001</v>
      </c>
      <c r="O101" s="14">
        <f>vendas2026[[#This Row],[VlrTotal]]*vendas2026[[#This Row],[%ComissãoSupervisor]]</f>
        <v>29.400000000000002</v>
      </c>
      <c r="P101" s="11" t="s">
        <v>27</v>
      </c>
      <c r="Q101" s="11" t="s">
        <v>27</v>
      </c>
      <c r="R101" s="11"/>
      <c r="S101" s="11">
        <v>4</v>
      </c>
      <c r="T101" s="11"/>
      <c r="U101" s="11" t="s">
        <v>28</v>
      </c>
      <c r="V101" s="16" t="s">
        <v>31</v>
      </c>
    </row>
    <row r="102" spans="1:22" hidden="1" x14ac:dyDescent="0.25">
      <c r="A102" s="10">
        <v>46083</v>
      </c>
      <c r="B102" s="11">
        <v>138891</v>
      </c>
      <c r="C102" s="11" t="s">
        <v>31</v>
      </c>
      <c r="D102" s="11" t="s">
        <v>95</v>
      </c>
      <c r="E102" s="11" t="s">
        <v>89</v>
      </c>
      <c r="F102" s="11" t="s">
        <v>30</v>
      </c>
      <c r="G102" s="12">
        <v>1</v>
      </c>
      <c r="H102" s="13">
        <v>356.4</v>
      </c>
      <c r="I102" s="14">
        <f>vendas2026[[#This Row],[Qtde]]*vendas2026[[#This Row],[VlrUnitário]]</f>
        <v>356.4</v>
      </c>
      <c r="J102" s="23">
        <f>(vendas2026[[#This Row],[VlrTotal]]*0.2)+vendas2026[[#This Row],[VlrTotal]]</f>
        <v>427.67999999999995</v>
      </c>
      <c r="K102" s="15">
        <v>1</v>
      </c>
      <c r="L102" s="15">
        <f>vendas2026[[#This Row],[%Comissão]]*0.25</f>
        <v>0.25</v>
      </c>
      <c r="M102" s="14" t="s">
        <v>26</v>
      </c>
      <c r="N102" s="23">
        <f>vendas2026[[#This Row],[VlrTotal]]*vendas2026[[#This Row],[%Comissão]]</f>
        <v>356.4</v>
      </c>
      <c r="O102" s="14">
        <f>vendas2026[[#This Row],[VlrTotal]]*vendas2026[[#This Row],[%ComissãoSupervisor]]</f>
        <v>89.1</v>
      </c>
      <c r="P102" s="11" t="s">
        <v>27</v>
      </c>
      <c r="Q102" s="11" t="s">
        <v>27</v>
      </c>
      <c r="R102" s="11"/>
      <c r="S102" s="11">
        <v>1</v>
      </c>
      <c r="T102" s="11"/>
      <c r="U102" s="11" t="s">
        <v>28</v>
      </c>
      <c r="V102" s="16" t="s">
        <v>31</v>
      </c>
    </row>
    <row r="103" spans="1:22" hidden="1" x14ac:dyDescent="0.25">
      <c r="A103" s="10">
        <v>46092</v>
      </c>
      <c r="B103" s="11">
        <v>134510</v>
      </c>
      <c r="C103" s="11" t="s">
        <v>31</v>
      </c>
      <c r="D103" s="11" t="s">
        <v>96</v>
      </c>
      <c r="E103" s="11" t="s">
        <v>24</v>
      </c>
      <c r="F103" s="11" t="s">
        <v>25</v>
      </c>
      <c r="G103" s="12">
        <v>14</v>
      </c>
      <c r="H103" s="13">
        <v>178.5</v>
      </c>
      <c r="I103" s="14">
        <f>vendas2026[[#This Row],[Qtde]]*vendas2026[[#This Row],[VlrUnitário]]</f>
        <v>2499</v>
      </c>
      <c r="J103" s="23">
        <f>(vendas2026[[#This Row],[VlrTotal]]*0.2)+vendas2026[[#This Row],[VlrTotal]]</f>
        <v>2998.8</v>
      </c>
      <c r="K103" s="15">
        <v>6.6900000000000001E-2</v>
      </c>
      <c r="L103" s="15">
        <f>vendas2026[[#This Row],[%Comissão]]*0.25</f>
        <v>1.6725E-2</v>
      </c>
      <c r="M103" s="14" t="s">
        <v>26</v>
      </c>
      <c r="N103" s="23">
        <f>vendas2026[[#This Row],[VlrTotal]]*vendas2026[[#This Row],[%Comissão]]</f>
        <v>167.1831</v>
      </c>
      <c r="O103" s="14">
        <f>vendas2026[[#This Row],[VlrTotal]]*vendas2026[[#This Row],[%ComissãoSupervisor]]</f>
        <v>41.795774999999999</v>
      </c>
      <c r="P103" s="11" t="s">
        <v>36</v>
      </c>
      <c r="Q103" s="11" t="s">
        <v>37</v>
      </c>
      <c r="R103" s="11"/>
      <c r="S103" s="11">
        <v>3</v>
      </c>
      <c r="T103" s="11"/>
      <c r="U103" s="11" t="s">
        <v>38</v>
      </c>
      <c r="V103" s="16" t="s">
        <v>31</v>
      </c>
    </row>
    <row r="104" spans="1:22" hidden="1" x14ac:dyDescent="0.25">
      <c r="A104" s="10">
        <v>46092</v>
      </c>
      <c r="B104" s="11">
        <v>139165</v>
      </c>
      <c r="C104" s="11" t="s">
        <v>31</v>
      </c>
      <c r="D104" s="11" t="s">
        <v>93</v>
      </c>
      <c r="E104" s="11" t="s">
        <v>40</v>
      </c>
      <c r="F104" s="11" t="s">
        <v>41</v>
      </c>
      <c r="G104" s="12">
        <v>1</v>
      </c>
      <c r="H104" s="13">
        <v>7472.2</v>
      </c>
      <c r="I104" s="14">
        <f>vendas2026[[#This Row],[Qtde]]*vendas2026[[#This Row],[VlrUnitário]]</f>
        <v>7472.2</v>
      </c>
      <c r="J104" s="23">
        <f>(vendas2026[[#This Row],[VlrTotal]]*0.2)+vendas2026[[#This Row],[VlrTotal]]</f>
        <v>8966.64</v>
      </c>
      <c r="K104" s="15">
        <v>7.0000000000000007E-2</v>
      </c>
      <c r="L104" s="15">
        <f>vendas2026[[#This Row],[%Comissão]]*0.25</f>
        <v>1.7500000000000002E-2</v>
      </c>
      <c r="M104" s="14" t="s">
        <v>26</v>
      </c>
      <c r="N104" s="23">
        <f>vendas2026[[#This Row],[VlrTotal]]*vendas2026[[#This Row],[%Comissão]]</f>
        <v>523.05400000000009</v>
      </c>
      <c r="O104" s="14">
        <f>vendas2026[[#This Row],[VlrTotal]]*vendas2026[[#This Row],[%ComissãoSupervisor]]</f>
        <v>130.76350000000002</v>
      </c>
      <c r="P104" s="11" t="s">
        <v>27</v>
      </c>
      <c r="Q104" s="11" t="s">
        <v>27</v>
      </c>
      <c r="R104" s="11"/>
      <c r="S104" s="11">
        <v>6</v>
      </c>
      <c r="T104" s="11"/>
      <c r="U104" s="11" t="s">
        <v>28</v>
      </c>
      <c r="V104" s="16" t="s">
        <v>31</v>
      </c>
    </row>
    <row r="105" spans="1:22" hidden="1" x14ac:dyDescent="0.25">
      <c r="A105" s="10">
        <v>46092</v>
      </c>
      <c r="B105" s="11">
        <v>138115</v>
      </c>
      <c r="C105" s="11" t="s">
        <v>31</v>
      </c>
      <c r="D105" s="11" t="s">
        <v>97</v>
      </c>
      <c r="E105" s="11" t="s">
        <v>35</v>
      </c>
      <c r="F105" s="11" t="s">
        <v>35</v>
      </c>
      <c r="G105" s="12">
        <v>6</v>
      </c>
      <c r="H105" s="13">
        <v>176</v>
      </c>
      <c r="I105" s="14">
        <f>vendas2026[[#This Row],[Qtde]]*vendas2026[[#This Row],[VlrUnitário]]</f>
        <v>1056</v>
      </c>
      <c r="J105" s="23">
        <v>1056</v>
      </c>
      <c r="K105" s="15">
        <v>0.01</v>
      </c>
      <c r="L105" s="15">
        <f>vendas2026[[#This Row],[%Comissão]]*0.25</f>
        <v>2.5000000000000001E-3</v>
      </c>
      <c r="M105" s="14" t="s">
        <v>26</v>
      </c>
      <c r="N105" s="23">
        <f>vendas2026[[#This Row],[VlrTotal]]*vendas2026[[#This Row],[%Comissão]]</f>
        <v>10.56</v>
      </c>
      <c r="O105" s="14">
        <f>vendas2026[[#This Row],[VlrTotal]]*vendas2026[[#This Row],[%ComissãoSupervisor]]</f>
        <v>2.64</v>
      </c>
      <c r="P105" s="11" t="s">
        <v>36</v>
      </c>
      <c r="Q105" s="11" t="s">
        <v>37</v>
      </c>
      <c r="R105" s="11"/>
      <c r="S105" s="11">
        <v>1</v>
      </c>
      <c r="T105" s="11"/>
      <c r="U105" s="11" t="s">
        <v>38</v>
      </c>
      <c r="V105" s="16" t="s">
        <v>31</v>
      </c>
    </row>
    <row r="106" spans="1:22" hidden="1" x14ac:dyDescent="0.25">
      <c r="A106" s="10">
        <v>46092</v>
      </c>
      <c r="B106" s="11">
        <v>137749</v>
      </c>
      <c r="C106" s="11" t="s">
        <v>31</v>
      </c>
      <c r="D106" s="11" t="s">
        <v>98</v>
      </c>
      <c r="E106" s="11" t="s">
        <v>35</v>
      </c>
      <c r="F106" s="11" t="s">
        <v>35</v>
      </c>
      <c r="G106" s="12">
        <v>20</v>
      </c>
      <c r="H106" s="13">
        <v>176</v>
      </c>
      <c r="I106" s="14">
        <f>vendas2026[[#This Row],[Qtde]]*vendas2026[[#This Row],[VlrUnitário]]</f>
        <v>3520</v>
      </c>
      <c r="J106" s="14">
        <v>3520</v>
      </c>
      <c r="K106" s="15">
        <v>0.01</v>
      </c>
      <c r="L106" s="15">
        <f>vendas2026[[#This Row],[%Comissão]]*0.25</f>
        <v>2.5000000000000001E-3</v>
      </c>
      <c r="M106" s="14" t="s">
        <v>26</v>
      </c>
      <c r="N106" s="23">
        <f>vendas2026[[#This Row],[VlrTotal]]*vendas2026[[#This Row],[%Comissão]]</f>
        <v>35.200000000000003</v>
      </c>
      <c r="O106" s="14">
        <f>vendas2026[[#This Row],[VlrTotal]]*vendas2026[[#This Row],[%ComissãoSupervisor]]</f>
        <v>8.8000000000000007</v>
      </c>
      <c r="P106" s="11" t="s">
        <v>36</v>
      </c>
      <c r="Q106" s="11" t="s">
        <v>37</v>
      </c>
      <c r="R106" s="11"/>
      <c r="S106" s="11">
        <v>1</v>
      </c>
      <c r="T106" s="11"/>
      <c r="U106" s="11" t="s">
        <v>38</v>
      </c>
      <c r="V106" s="16" t="s">
        <v>31</v>
      </c>
    </row>
    <row r="107" spans="1:22" hidden="1" x14ac:dyDescent="0.25">
      <c r="A107" s="10">
        <v>46092</v>
      </c>
      <c r="B107" s="11" t="s">
        <v>99</v>
      </c>
      <c r="C107" s="11" t="s">
        <v>31</v>
      </c>
      <c r="D107" s="11" t="s">
        <v>79</v>
      </c>
      <c r="E107" s="11" t="s">
        <v>35</v>
      </c>
      <c r="F107" s="11" t="s">
        <v>35</v>
      </c>
      <c r="G107" s="12">
        <v>56</v>
      </c>
      <c r="H107" s="13">
        <v>176</v>
      </c>
      <c r="I107" s="14">
        <f>vendas2026[[#This Row],[Qtde]]*vendas2026[[#This Row],[VlrUnitário]]</f>
        <v>9856</v>
      </c>
      <c r="J107" s="14">
        <v>9856</v>
      </c>
      <c r="K107" s="15">
        <v>0.01</v>
      </c>
      <c r="L107" s="15">
        <f>vendas2026[[#This Row],[%Comissão]]*0.25</f>
        <v>2.5000000000000001E-3</v>
      </c>
      <c r="M107" s="14" t="s">
        <v>26</v>
      </c>
      <c r="N107" s="23">
        <f>vendas2026[[#This Row],[VlrTotal]]*vendas2026[[#This Row],[%Comissão]]</f>
        <v>98.56</v>
      </c>
      <c r="O107" s="14">
        <f>vendas2026[[#This Row],[VlrTotal]]*vendas2026[[#This Row],[%ComissãoSupervisor]]</f>
        <v>24.64</v>
      </c>
      <c r="P107" s="11" t="s">
        <v>36</v>
      </c>
      <c r="Q107" s="11" t="s">
        <v>37</v>
      </c>
      <c r="R107" s="11"/>
      <c r="S107" s="11">
        <v>4</v>
      </c>
      <c r="T107" s="11"/>
      <c r="U107" s="11" t="s">
        <v>38</v>
      </c>
      <c r="V107" s="16" t="s">
        <v>31</v>
      </c>
    </row>
    <row r="108" spans="1:22" hidden="1" x14ac:dyDescent="0.25">
      <c r="A108" s="10">
        <v>46092</v>
      </c>
      <c r="B108" s="11">
        <v>137391</v>
      </c>
      <c r="C108" s="11" t="s">
        <v>31</v>
      </c>
      <c r="D108" s="11" t="s">
        <v>100</v>
      </c>
      <c r="E108" s="11" t="s">
        <v>35</v>
      </c>
      <c r="F108" s="11" t="s">
        <v>35</v>
      </c>
      <c r="G108" s="12">
        <v>2</v>
      </c>
      <c r="H108" s="13">
        <v>176</v>
      </c>
      <c r="I108" s="14">
        <f>vendas2026[[#This Row],[Qtde]]*vendas2026[[#This Row],[VlrUnitário]]</f>
        <v>352</v>
      </c>
      <c r="J108" s="14">
        <v>352</v>
      </c>
      <c r="K108" s="15">
        <v>0.01</v>
      </c>
      <c r="L108" s="15">
        <f>vendas2026[[#This Row],[%Comissão]]*0.25</f>
        <v>2.5000000000000001E-3</v>
      </c>
      <c r="M108" s="14" t="s">
        <v>26</v>
      </c>
      <c r="N108" s="23">
        <f>vendas2026[[#This Row],[VlrTotal]]*vendas2026[[#This Row],[%Comissão]]</f>
        <v>3.52</v>
      </c>
      <c r="O108" s="14">
        <f>vendas2026[[#This Row],[VlrTotal]]*vendas2026[[#This Row],[%ComissãoSupervisor]]</f>
        <v>0.88</v>
      </c>
      <c r="P108" s="11" t="s">
        <v>36</v>
      </c>
      <c r="Q108" s="11" t="s">
        <v>37</v>
      </c>
      <c r="R108" s="11"/>
      <c r="S108" s="11">
        <v>1</v>
      </c>
      <c r="T108" s="11"/>
      <c r="U108" s="11" t="s">
        <v>38</v>
      </c>
      <c r="V108" s="16" t="s">
        <v>31</v>
      </c>
    </row>
    <row r="109" spans="1:22" hidden="1" x14ac:dyDescent="0.25">
      <c r="A109" s="10">
        <v>46092</v>
      </c>
      <c r="B109" s="11">
        <v>139463</v>
      </c>
      <c r="C109" s="11" t="s">
        <v>44</v>
      </c>
      <c r="D109" s="11" t="s">
        <v>101</v>
      </c>
      <c r="E109" s="11" t="s">
        <v>47</v>
      </c>
      <c r="F109" s="11" t="s">
        <v>25</v>
      </c>
      <c r="G109" s="12">
        <v>340</v>
      </c>
      <c r="H109" s="13">
        <v>171</v>
      </c>
      <c r="I109" s="14">
        <f>vendas2026[[#This Row],[Qtde]]*vendas2026[[#This Row],[VlrUnitário]]</f>
        <v>58140</v>
      </c>
      <c r="J109" s="14">
        <f>vendas2026[[#This Row],[VlrTotal]]</f>
        <v>58140</v>
      </c>
      <c r="K109" s="15">
        <v>0.05</v>
      </c>
      <c r="L109" s="15">
        <f>vendas2026[[#This Row],[%Comissão]]*0.25</f>
        <v>1.2500000000000001E-2</v>
      </c>
      <c r="M109" s="14" t="s">
        <v>46</v>
      </c>
      <c r="N109" s="23">
        <f>vendas2026[[#This Row],[VlrTotal]]*vendas2026[[#This Row],[%Comissão]]</f>
        <v>2907</v>
      </c>
      <c r="O109" s="14">
        <f>vendas2026[[#This Row],[VlrTotal]]*vendas2026[[#This Row],[%ComissãoSupervisor]]</f>
        <v>726.75</v>
      </c>
      <c r="P109" s="11" t="s">
        <v>27</v>
      </c>
      <c r="Q109" s="11" t="s">
        <v>27</v>
      </c>
      <c r="R109" s="11"/>
      <c r="S109" s="11">
        <v>6</v>
      </c>
      <c r="T109" s="11"/>
      <c r="U109" s="11" t="s">
        <v>28</v>
      </c>
      <c r="V109" s="16" t="s">
        <v>44</v>
      </c>
    </row>
    <row r="110" spans="1:22" hidden="1" x14ac:dyDescent="0.25">
      <c r="A110" s="10">
        <v>46092</v>
      </c>
      <c r="B110" s="11">
        <v>139463</v>
      </c>
      <c r="C110" s="11" t="s">
        <v>44</v>
      </c>
      <c r="D110" s="11" t="s">
        <v>101</v>
      </c>
      <c r="E110" s="11" t="s">
        <v>63</v>
      </c>
      <c r="F110" s="11" t="s">
        <v>25</v>
      </c>
      <c r="G110" s="12">
        <v>60</v>
      </c>
      <c r="H110" s="13">
        <v>171</v>
      </c>
      <c r="I110" s="14">
        <f>vendas2026[[#This Row],[Qtde]]*vendas2026[[#This Row],[VlrUnitário]]</f>
        <v>10260</v>
      </c>
      <c r="J110" s="14">
        <f>vendas2026[[#This Row],[VlrTotal]]</f>
        <v>10260</v>
      </c>
      <c r="K110" s="15">
        <v>0.05</v>
      </c>
      <c r="L110" s="15">
        <f>vendas2026[[#This Row],[%Comissão]]*0.25</f>
        <v>1.2500000000000001E-2</v>
      </c>
      <c r="M110" s="14" t="s">
        <v>46</v>
      </c>
      <c r="N110" s="23">
        <f>vendas2026[[#This Row],[VlrTotal]]*vendas2026[[#This Row],[%Comissão]]</f>
        <v>513</v>
      </c>
      <c r="O110" s="14">
        <f>vendas2026[[#This Row],[VlrTotal]]*vendas2026[[#This Row],[%ComissãoSupervisor]]</f>
        <v>128.25</v>
      </c>
      <c r="P110" s="11" t="s">
        <v>27</v>
      </c>
      <c r="Q110" s="11" t="s">
        <v>27</v>
      </c>
      <c r="R110" s="11"/>
      <c r="S110" s="11">
        <v>6</v>
      </c>
      <c r="T110" s="11"/>
      <c r="U110" s="11" t="s">
        <v>28</v>
      </c>
      <c r="V110" s="16" t="s">
        <v>44</v>
      </c>
    </row>
    <row r="111" spans="1:22" hidden="1" x14ac:dyDescent="0.25">
      <c r="A111" s="10">
        <v>46092</v>
      </c>
      <c r="B111" s="11">
        <v>139463</v>
      </c>
      <c r="C111" s="11" t="s">
        <v>44</v>
      </c>
      <c r="D111" s="11" t="s">
        <v>101</v>
      </c>
      <c r="E111" s="11" t="s">
        <v>54</v>
      </c>
      <c r="F111" s="11" t="s">
        <v>25</v>
      </c>
      <c r="G111" s="12">
        <v>48</v>
      </c>
      <c r="H111" s="13">
        <v>171</v>
      </c>
      <c r="I111" s="14">
        <v>0</v>
      </c>
      <c r="J111" s="14">
        <v>0</v>
      </c>
      <c r="K111" s="15">
        <v>0.05</v>
      </c>
      <c r="L111" s="15">
        <f>vendas2026[[#This Row],[%Comissão]]*0.25</f>
        <v>1.2500000000000001E-2</v>
      </c>
      <c r="M111" s="14" t="s">
        <v>46</v>
      </c>
      <c r="N111" s="23">
        <f>vendas2026[[#This Row],[VlrTotal]]*vendas2026[[#This Row],[%Comissão]]</f>
        <v>0</v>
      </c>
      <c r="O111" s="14">
        <f>vendas2026[[#This Row],[VlrTotal]]*vendas2026[[#This Row],[%ComissãoSupervisor]]</f>
        <v>0</v>
      </c>
      <c r="P111" s="11" t="s">
        <v>27</v>
      </c>
      <c r="Q111" s="11" t="s">
        <v>27</v>
      </c>
      <c r="R111" s="11"/>
      <c r="S111" s="11">
        <v>6</v>
      </c>
      <c r="T111" s="11"/>
      <c r="U111" s="11" t="s">
        <v>28</v>
      </c>
      <c r="V111" s="16" t="s">
        <v>44</v>
      </c>
    </row>
    <row r="112" spans="1:22" hidden="1" x14ac:dyDescent="0.25">
      <c r="A112" s="10">
        <v>46092</v>
      </c>
      <c r="B112" s="11">
        <v>139465</v>
      </c>
      <c r="C112" s="11" t="s">
        <v>44</v>
      </c>
      <c r="D112" s="11" t="s">
        <v>101</v>
      </c>
      <c r="E112" s="11" t="s">
        <v>102</v>
      </c>
      <c r="F112" s="11" t="s">
        <v>30</v>
      </c>
      <c r="G112" s="12">
        <v>1</v>
      </c>
      <c r="H112" s="13">
        <v>3844.54</v>
      </c>
      <c r="I112" s="14">
        <f>vendas2026[[#This Row],[Qtde]]*vendas2026[[#This Row],[VlrUnitário]]</f>
        <v>3844.54</v>
      </c>
      <c r="J112" s="14">
        <f>vendas2026[[#This Row],[VlrTotal]]</f>
        <v>3844.54</v>
      </c>
      <c r="K112" s="15">
        <v>1</v>
      </c>
      <c r="L112" s="15">
        <f>vendas2026[[#This Row],[%Comissão]]*0.25</f>
        <v>0.25</v>
      </c>
      <c r="M112" s="14" t="s">
        <v>46</v>
      </c>
      <c r="N112" s="23">
        <f>vendas2026[[#This Row],[VlrTotal]]*vendas2026[[#This Row],[%Comissão]]</f>
        <v>3844.54</v>
      </c>
      <c r="O112" s="14">
        <f>vendas2026[[#This Row],[VlrTotal]]*vendas2026[[#This Row],[%ComissãoSupervisor]]</f>
        <v>961.13499999999999</v>
      </c>
      <c r="P112" s="11" t="s">
        <v>27</v>
      </c>
      <c r="Q112" s="11" t="s">
        <v>27</v>
      </c>
      <c r="R112" s="11"/>
      <c r="S112" s="11">
        <v>1</v>
      </c>
      <c r="T112" s="11"/>
      <c r="U112" s="11" t="s">
        <v>28</v>
      </c>
      <c r="V112" s="16" t="s">
        <v>44</v>
      </c>
    </row>
    <row r="113" spans="1:22" hidden="1" x14ac:dyDescent="0.25">
      <c r="A113" s="10">
        <v>46092</v>
      </c>
      <c r="B113" s="11">
        <v>139463</v>
      </c>
      <c r="C113" s="11" t="s">
        <v>44</v>
      </c>
      <c r="D113" s="11" t="s">
        <v>101</v>
      </c>
      <c r="E113" s="11" t="s">
        <v>47</v>
      </c>
      <c r="F113" s="11" t="s">
        <v>30</v>
      </c>
      <c r="G113" s="12" t="s">
        <v>103</v>
      </c>
      <c r="H113" s="13">
        <v>285.62</v>
      </c>
      <c r="I113" s="14">
        <f>vendas2026[[#This Row],[VlrUnitário]]*15</f>
        <v>4284.3</v>
      </c>
      <c r="J113" s="14">
        <f>vendas2026[[#This Row],[VlrTotal]]</f>
        <v>4284.3</v>
      </c>
      <c r="K113" s="15">
        <v>1</v>
      </c>
      <c r="L113" s="15">
        <f>vendas2026[[#This Row],[%Comissão]]*0.25</f>
        <v>0.25</v>
      </c>
      <c r="M113" s="14" t="s">
        <v>46</v>
      </c>
      <c r="N113" s="23">
        <f>vendas2026[[#This Row],[VlrTotal]]*vendas2026[[#This Row],[%Comissão]]</f>
        <v>4284.3</v>
      </c>
      <c r="O113" s="14">
        <f>vendas2026[[#This Row],[VlrTotal]]*vendas2026[[#This Row],[%ComissãoSupervisor]]</f>
        <v>1071.075</v>
      </c>
      <c r="P113" s="11" t="s">
        <v>27</v>
      </c>
      <c r="Q113" s="11" t="s">
        <v>27</v>
      </c>
      <c r="R113" s="11"/>
      <c r="S113" s="11">
        <v>1</v>
      </c>
      <c r="T113" s="11"/>
      <c r="U113" s="11" t="s">
        <v>28</v>
      </c>
      <c r="V113" s="16" t="s">
        <v>44</v>
      </c>
    </row>
    <row r="114" spans="1:22" hidden="1" x14ac:dyDescent="0.25">
      <c r="A114" s="10">
        <v>46092</v>
      </c>
      <c r="B114" s="11">
        <v>139463</v>
      </c>
      <c r="C114" s="11" t="s">
        <v>44</v>
      </c>
      <c r="D114" s="11" t="s">
        <v>101</v>
      </c>
      <c r="E114" s="11" t="s">
        <v>54</v>
      </c>
      <c r="F114" s="11" t="s">
        <v>30</v>
      </c>
      <c r="G114" s="12" t="s">
        <v>103</v>
      </c>
      <c r="H114" s="13">
        <v>148</v>
      </c>
      <c r="I114" s="14">
        <f>vendas2026[[#This Row],[VlrUnitário]]*15</f>
        <v>2220</v>
      </c>
      <c r="J114" s="14">
        <f>vendas2026[[#This Row],[VlrTotal]]</f>
        <v>2220</v>
      </c>
      <c r="K114" s="15">
        <v>1</v>
      </c>
      <c r="L114" s="15">
        <f>vendas2026[[#This Row],[%Comissão]]*0.25</f>
        <v>0.25</v>
      </c>
      <c r="M114" s="14" t="s">
        <v>46</v>
      </c>
      <c r="N114" s="23">
        <f>vendas2026[[#This Row],[VlrTotal]]*vendas2026[[#This Row],[%Comissão]]</f>
        <v>2220</v>
      </c>
      <c r="O114" s="14">
        <f>vendas2026[[#This Row],[VlrTotal]]*vendas2026[[#This Row],[%ComissãoSupervisor]]</f>
        <v>555</v>
      </c>
      <c r="P114" s="11" t="s">
        <v>27</v>
      </c>
      <c r="Q114" s="11" t="s">
        <v>27</v>
      </c>
      <c r="R114" s="11"/>
      <c r="S114" s="11">
        <v>1</v>
      </c>
      <c r="T114" s="11"/>
      <c r="U114" s="11" t="s">
        <v>28</v>
      </c>
      <c r="V114" s="16" t="s">
        <v>44</v>
      </c>
    </row>
    <row r="115" spans="1:22" hidden="1" x14ac:dyDescent="0.25">
      <c r="A115" s="10">
        <v>46092</v>
      </c>
      <c r="B115" s="11">
        <v>139463</v>
      </c>
      <c r="C115" s="11" t="s">
        <v>44</v>
      </c>
      <c r="D115" s="11" t="s">
        <v>101</v>
      </c>
      <c r="E115" s="11" t="s">
        <v>89</v>
      </c>
      <c r="F115" s="11" t="s">
        <v>30</v>
      </c>
      <c r="G115" s="12">
        <v>1</v>
      </c>
      <c r="H115" s="13">
        <v>356.4</v>
      </c>
      <c r="I115" s="14">
        <f>vendas2026[[#This Row],[Qtde]]*vendas2026[[#This Row],[VlrUnitário]]</f>
        <v>356.4</v>
      </c>
      <c r="J115" s="14">
        <f>vendas2026[[#This Row],[VlrTotal]]</f>
        <v>356.4</v>
      </c>
      <c r="K115" s="15">
        <v>1</v>
      </c>
      <c r="L115" s="15">
        <f>vendas2026[[#This Row],[%Comissão]]*0.25</f>
        <v>0.25</v>
      </c>
      <c r="M115" s="14" t="s">
        <v>46</v>
      </c>
      <c r="N115" s="23">
        <f>vendas2026[[#This Row],[VlrTotal]]*vendas2026[[#This Row],[%Comissão]]</f>
        <v>356.4</v>
      </c>
      <c r="O115" s="14">
        <f>vendas2026[[#This Row],[VlrTotal]]*vendas2026[[#This Row],[%ComissãoSupervisor]]</f>
        <v>89.1</v>
      </c>
      <c r="P115" s="11" t="s">
        <v>27</v>
      </c>
      <c r="Q115" s="11" t="s">
        <v>27</v>
      </c>
      <c r="R115" s="11"/>
      <c r="S115" s="11">
        <v>1</v>
      </c>
      <c r="T115" s="11"/>
      <c r="U115" s="11" t="s">
        <v>28</v>
      </c>
      <c r="V115" s="16" t="s">
        <v>44</v>
      </c>
    </row>
    <row r="116" spans="1:22" hidden="1" x14ac:dyDescent="0.25">
      <c r="A116" s="10">
        <v>46092</v>
      </c>
      <c r="B116" s="11">
        <v>139463</v>
      </c>
      <c r="C116" s="11" t="s">
        <v>44</v>
      </c>
      <c r="D116" s="11" t="s">
        <v>101</v>
      </c>
      <c r="E116" s="11" t="s">
        <v>63</v>
      </c>
      <c r="F116" s="11" t="s">
        <v>30</v>
      </c>
      <c r="G116" s="12" t="s">
        <v>104</v>
      </c>
      <c r="H116" s="13">
        <v>115</v>
      </c>
      <c r="I116" s="14">
        <f>vendas2026[[#This Row],[VlrUnitário]]*40</f>
        <v>4600</v>
      </c>
      <c r="J116" s="14">
        <f>vendas2026[[#This Row],[VlrTotal]]</f>
        <v>4600</v>
      </c>
      <c r="K116" s="15">
        <v>1</v>
      </c>
      <c r="L116" s="15">
        <f>vendas2026[[#This Row],[%Comissão]]*0.25</f>
        <v>0.25</v>
      </c>
      <c r="M116" s="14" t="s">
        <v>46</v>
      </c>
      <c r="N116" s="23">
        <f>vendas2026[[#This Row],[VlrTotal]]*vendas2026[[#This Row],[%Comissão]]</f>
        <v>4600</v>
      </c>
      <c r="O116" s="14">
        <f>vendas2026[[#This Row],[VlrTotal]]*vendas2026[[#This Row],[%ComissãoSupervisor]]</f>
        <v>1150</v>
      </c>
      <c r="P116" s="11" t="s">
        <v>27</v>
      </c>
      <c r="Q116" s="11" t="s">
        <v>27</v>
      </c>
      <c r="R116" s="11"/>
      <c r="S116" s="11">
        <v>1</v>
      </c>
      <c r="T116" s="11"/>
      <c r="U116" s="11" t="s">
        <v>28</v>
      </c>
      <c r="V116" s="16" t="s">
        <v>44</v>
      </c>
    </row>
    <row r="117" spans="1:22" hidden="1" x14ac:dyDescent="0.25">
      <c r="A117" s="10">
        <v>46092</v>
      </c>
      <c r="B117" s="11">
        <v>128860</v>
      </c>
      <c r="C117" s="11" t="s">
        <v>22</v>
      </c>
      <c r="D117" s="11" t="s">
        <v>70</v>
      </c>
      <c r="E117" s="11" t="s">
        <v>24</v>
      </c>
      <c r="F117" s="11" t="s">
        <v>25</v>
      </c>
      <c r="G117" s="12">
        <v>40</v>
      </c>
      <c r="H117" s="13">
        <v>185</v>
      </c>
      <c r="I117" s="14">
        <f>vendas2026[[#This Row],[VlrUnitário]]*40</f>
        <v>7400</v>
      </c>
      <c r="J117" s="23">
        <v>7400</v>
      </c>
      <c r="K117" s="15">
        <v>7.0000000000000007E-2</v>
      </c>
      <c r="L117" s="15">
        <v>0</v>
      </c>
      <c r="M117" s="14" t="s">
        <v>46</v>
      </c>
      <c r="N117" s="23">
        <f>vendas2026[[#This Row],[VlrTotal]]*vendas2026[[#This Row],[%Comissão]]</f>
        <v>518</v>
      </c>
      <c r="O117" s="14">
        <f>vendas2026[[#This Row],[VlrTotal]]*vendas2026[[#This Row],[%ComissãoSupervisor]]</f>
        <v>0</v>
      </c>
      <c r="P117" s="11" t="s">
        <v>36</v>
      </c>
      <c r="Q117" s="11" t="s">
        <v>37</v>
      </c>
      <c r="R117" s="11"/>
      <c r="S117" s="11">
        <v>4</v>
      </c>
      <c r="T117" s="11"/>
      <c r="U117" s="11" t="s">
        <v>38</v>
      </c>
      <c r="V117" s="16" t="s">
        <v>22</v>
      </c>
    </row>
    <row r="118" spans="1:22" hidden="1" x14ac:dyDescent="0.25">
      <c r="A118" s="10">
        <v>46093</v>
      </c>
      <c r="B118" s="11">
        <v>137729</v>
      </c>
      <c r="C118" s="11" t="s">
        <v>31</v>
      </c>
      <c r="D118" s="11" t="s">
        <v>65</v>
      </c>
      <c r="E118" s="11" t="s">
        <v>35</v>
      </c>
      <c r="F118" s="11" t="s">
        <v>35</v>
      </c>
      <c r="G118" s="12">
        <v>48</v>
      </c>
      <c r="H118" s="13">
        <v>176</v>
      </c>
      <c r="I118" s="14">
        <f>vendas2026[[#This Row],[Qtde]]*vendas2026[[#This Row],[VlrUnitário]]</f>
        <v>8448</v>
      </c>
      <c r="J118" s="23">
        <f>vendas2026[[#This Row],[VlrTotal]]</f>
        <v>8448</v>
      </c>
      <c r="K118" s="15">
        <v>0.01</v>
      </c>
      <c r="L118" s="15">
        <f>vendas2026[[#This Row],[%Comissão]]*0.25</f>
        <v>2.5000000000000001E-3</v>
      </c>
      <c r="M118" s="14" t="s">
        <v>26</v>
      </c>
      <c r="N118" s="23">
        <f>vendas2026[[#This Row],[VlrTotal]]*vendas2026[[#This Row],[%Comissão]]</f>
        <v>84.48</v>
      </c>
      <c r="O118" s="14">
        <f>vendas2026[[#This Row],[VlrTotal]]*vendas2026[[#This Row],[%ComissãoSupervisor]]</f>
        <v>21.12</v>
      </c>
      <c r="P118" s="11" t="s">
        <v>36</v>
      </c>
      <c r="Q118" s="11" t="s">
        <v>37</v>
      </c>
      <c r="R118" s="11"/>
      <c r="S118" s="11">
        <v>3</v>
      </c>
      <c r="T118" s="11"/>
      <c r="U118" s="11" t="s">
        <v>38</v>
      </c>
      <c r="V118" s="16" t="s">
        <v>31</v>
      </c>
    </row>
    <row r="119" spans="1:22" hidden="1" x14ac:dyDescent="0.25">
      <c r="A119" s="10">
        <v>46093</v>
      </c>
      <c r="B119" s="11">
        <v>138126</v>
      </c>
      <c r="C119" s="11" t="s">
        <v>31</v>
      </c>
      <c r="D119" s="11" t="s">
        <v>49</v>
      </c>
      <c r="E119" s="11" t="s">
        <v>35</v>
      </c>
      <c r="F119" s="11" t="s">
        <v>35</v>
      </c>
      <c r="G119" s="12">
        <v>8</v>
      </c>
      <c r="H119" s="13">
        <v>176</v>
      </c>
      <c r="I119" s="14">
        <f>vendas2026[[#This Row],[Qtde]]*vendas2026[[#This Row],[VlrUnitário]]</f>
        <v>1408</v>
      </c>
      <c r="J119" s="23">
        <f>vendas2026[[#This Row],[VlrTotal]]</f>
        <v>1408</v>
      </c>
      <c r="K119" s="15">
        <v>0.01</v>
      </c>
      <c r="L119" s="15">
        <f>vendas2026[[#This Row],[%Comissão]]*0.25</f>
        <v>2.5000000000000001E-3</v>
      </c>
      <c r="M119" s="14" t="s">
        <v>26</v>
      </c>
      <c r="N119" s="23">
        <f>vendas2026[[#This Row],[VlrTotal]]*vendas2026[[#This Row],[%Comissão]]</f>
        <v>14.08</v>
      </c>
      <c r="O119" s="14">
        <f>vendas2026[[#This Row],[VlrTotal]]*vendas2026[[#This Row],[%ComissãoSupervisor]]</f>
        <v>3.52</v>
      </c>
      <c r="P119" s="11" t="s">
        <v>36</v>
      </c>
      <c r="Q119" s="11" t="s">
        <v>37</v>
      </c>
      <c r="R119" s="11"/>
      <c r="S119" s="11">
        <v>1</v>
      </c>
      <c r="T119" s="11"/>
      <c r="U119" s="11" t="s">
        <v>38</v>
      </c>
      <c r="V119" s="16" t="s">
        <v>31</v>
      </c>
    </row>
    <row r="120" spans="1:22" hidden="1" x14ac:dyDescent="0.25">
      <c r="A120" s="10">
        <v>46094</v>
      </c>
      <c r="B120" s="11">
        <v>116031</v>
      </c>
      <c r="C120" s="11" t="s">
        <v>44</v>
      </c>
      <c r="D120" s="11" t="s">
        <v>105</v>
      </c>
      <c r="E120" s="11" t="s">
        <v>24</v>
      </c>
      <c r="F120" s="11" t="s">
        <v>25</v>
      </c>
      <c r="G120" s="12">
        <v>101.75</v>
      </c>
      <c r="H120" s="13">
        <v>162.44999999999999</v>
      </c>
      <c r="I120" s="14">
        <f>vendas2026[[#This Row],[Qtde]]*vendas2026[[#This Row],[VlrUnitário]]</f>
        <v>16529.287499999999</v>
      </c>
      <c r="J120" s="23">
        <f>vendas2026[[#This Row],[VlrTotal]]</f>
        <v>16529.287499999999</v>
      </c>
      <c r="K120" s="15">
        <v>0.05</v>
      </c>
      <c r="L120" s="15">
        <f>vendas2026[[#This Row],[%Comissão]]*0.25</f>
        <v>1.2500000000000001E-2</v>
      </c>
      <c r="M120" s="14" t="s">
        <v>26</v>
      </c>
      <c r="N120" s="23">
        <f>vendas2026[[#This Row],[VlrTotal]]*vendas2026[[#This Row],[%Comissão]]</f>
        <v>826.46437500000002</v>
      </c>
      <c r="O120" s="14">
        <f>vendas2026[[#This Row],[VlrTotal]]*vendas2026[[#This Row],[%ComissãoSupervisor]]</f>
        <v>206.61609375</v>
      </c>
      <c r="P120" s="11" t="s">
        <v>36</v>
      </c>
      <c r="Q120" s="11" t="s">
        <v>37</v>
      </c>
      <c r="R120" s="11"/>
      <c r="S120" s="11">
        <v>8</v>
      </c>
      <c r="T120" s="11"/>
      <c r="U120" s="11" t="s">
        <v>38</v>
      </c>
      <c r="V120" s="16" t="s">
        <v>44</v>
      </c>
    </row>
    <row r="121" spans="1:22" hidden="1" x14ac:dyDescent="0.25">
      <c r="A121" s="10">
        <v>46099</v>
      </c>
      <c r="B121" s="11">
        <v>139762</v>
      </c>
      <c r="C121" s="11" t="s">
        <v>31</v>
      </c>
      <c r="D121" s="11" t="s">
        <v>106</v>
      </c>
      <c r="E121" s="11" t="s">
        <v>35</v>
      </c>
      <c r="F121" s="11" t="s">
        <v>35</v>
      </c>
      <c r="G121" s="12">
        <v>3</v>
      </c>
      <c r="H121" s="13">
        <v>176</v>
      </c>
      <c r="I121" s="14">
        <f>vendas2026[[#This Row],[Qtde]]*vendas2026[[#This Row],[VlrUnitário]]</f>
        <v>528</v>
      </c>
      <c r="J121" s="23">
        <f>vendas2026[[#This Row],[VlrTotal]]</f>
        <v>528</v>
      </c>
      <c r="K121" s="15">
        <v>0.01</v>
      </c>
      <c r="L121" s="15">
        <f>vendas2026[[#This Row],[%Comissão]]*0.25</f>
        <v>2.5000000000000001E-3</v>
      </c>
      <c r="M121" s="14" t="s">
        <v>26</v>
      </c>
      <c r="N121" s="23">
        <f>vendas2026[[#This Row],[VlrTotal]]*vendas2026[[#This Row],[%Comissão]]</f>
        <v>5.28</v>
      </c>
      <c r="O121" s="14">
        <f>vendas2026[[#This Row],[VlrTotal]]*vendas2026[[#This Row],[%ComissãoSupervisor]]</f>
        <v>1.32</v>
      </c>
      <c r="P121" s="11" t="s">
        <v>36</v>
      </c>
      <c r="Q121" s="11" t="s">
        <v>37</v>
      </c>
      <c r="R121" s="11"/>
      <c r="S121" s="11">
        <v>1</v>
      </c>
      <c r="T121" s="11"/>
      <c r="U121" s="11" t="s">
        <v>38</v>
      </c>
      <c r="V121" s="16" t="s">
        <v>31</v>
      </c>
    </row>
    <row r="122" spans="1:22" hidden="1" x14ac:dyDescent="0.25">
      <c r="A122" s="10">
        <v>46099</v>
      </c>
      <c r="B122" s="11">
        <v>137720</v>
      </c>
      <c r="C122" s="11" t="s">
        <v>31</v>
      </c>
      <c r="D122" s="11" t="s">
        <v>74</v>
      </c>
      <c r="E122" s="11" t="s">
        <v>24</v>
      </c>
      <c r="F122" s="11" t="s">
        <v>25</v>
      </c>
      <c r="G122" s="12">
        <v>10</v>
      </c>
      <c r="H122" s="13">
        <v>210</v>
      </c>
      <c r="I122" s="14">
        <f>vendas2026[[#This Row],[Qtde]]*vendas2026[[#This Row],[VlrUnitário]]</f>
        <v>2100</v>
      </c>
      <c r="J122" s="23">
        <f>vendas2026[[#This Row],[VlrTotal]]</f>
        <v>2100</v>
      </c>
      <c r="K122" s="15">
        <v>7.0000000000000007E-2</v>
      </c>
      <c r="L122" s="15">
        <f>vendas2026[[#This Row],[%Comissão]]*0.25</f>
        <v>1.7500000000000002E-2</v>
      </c>
      <c r="M122" s="14" t="s">
        <v>26</v>
      </c>
      <c r="N122" s="23">
        <f>vendas2026[[#This Row],[VlrTotal]]*vendas2026[[#This Row],[%Comissão]]</f>
        <v>147</v>
      </c>
      <c r="O122" s="14">
        <f>vendas2026[[#This Row],[VlrTotal]]*vendas2026[[#This Row],[%ComissãoSupervisor]]</f>
        <v>36.75</v>
      </c>
      <c r="P122" s="11" t="s">
        <v>36</v>
      </c>
      <c r="Q122" s="11" t="s">
        <v>37</v>
      </c>
      <c r="R122" s="11"/>
      <c r="S122" s="11">
        <v>6</v>
      </c>
      <c r="T122" s="11"/>
      <c r="U122" s="11" t="s">
        <v>38</v>
      </c>
      <c r="V122" s="16" t="s">
        <v>31</v>
      </c>
    </row>
    <row r="123" spans="1:22" hidden="1" x14ac:dyDescent="0.25">
      <c r="A123" s="10">
        <v>46099</v>
      </c>
      <c r="B123" s="11">
        <v>139891</v>
      </c>
      <c r="C123" s="11" t="s">
        <v>31</v>
      </c>
      <c r="D123" s="11" t="s">
        <v>107</v>
      </c>
      <c r="E123" s="11" t="s">
        <v>102</v>
      </c>
      <c r="F123" s="11" t="s">
        <v>41</v>
      </c>
      <c r="G123" s="12">
        <v>1</v>
      </c>
      <c r="H123" s="13">
        <v>1600</v>
      </c>
      <c r="I123" s="14">
        <f>vendas2026[[#This Row],[Qtde]]*vendas2026[[#This Row],[VlrUnitário]]</f>
        <v>1600</v>
      </c>
      <c r="J123" s="23">
        <f>(vendas2026[[#This Row],[VlrTotal]]*0.2)+vendas2026[[#This Row],[VlrTotal]]</f>
        <v>1920</v>
      </c>
      <c r="K123" s="15">
        <v>0.25</v>
      </c>
      <c r="L123" s="15">
        <f>vendas2026[[#This Row],[%Comissão]]*0.25</f>
        <v>6.25E-2</v>
      </c>
      <c r="M123" s="14" t="s">
        <v>26</v>
      </c>
      <c r="N123" s="23">
        <f>vendas2026[[#This Row],[VlrTotal]]*vendas2026[[#This Row],[%Comissão]]</f>
        <v>400</v>
      </c>
      <c r="O123" s="14">
        <f>vendas2026[[#This Row],[VlrTotal]]*vendas2026[[#This Row],[%ComissãoSupervisor]]</f>
        <v>100</v>
      </c>
      <c r="P123" s="11" t="s">
        <v>27</v>
      </c>
      <c r="Q123" s="11" t="s">
        <v>27</v>
      </c>
      <c r="R123" s="11"/>
      <c r="S123" s="11">
        <v>1</v>
      </c>
      <c r="T123" s="11"/>
      <c r="U123" s="11" t="s">
        <v>28</v>
      </c>
      <c r="V123" s="16" t="s">
        <v>31</v>
      </c>
    </row>
    <row r="124" spans="1:22" hidden="1" x14ac:dyDescent="0.25">
      <c r="A124" s="10">
        <v>46099</v>
      </c>
      <c r="B124" s="11">
        <v>139891</v>
      </c>
      <c r="C124" s="11" t="s">
        <v>31</v>
      </c>
      <c r="D124" s="11" t="s">
        <v>107</v>
      </c>
      <c r="E124" s="11" t="s">
        <v>102</v>
      </c>
      <c r="F124" s="11" t="s">
        <v>30</v>
      </c>
      <c r="G124" s="12">
        <v>1</v>
      </c>
      <c r="H124" s="13">
        <v>3442.8</v>
      </c>
      <c r="I124" s="14">
        <f>vendas2026[[#This Row],[Qtde]]*vendas2026[[#This Row],[VlrUnitário]]</f>
        <v>3442.8</v>
      </c>
      <c r="J124" s="23">
        <f>(vendas2026[[#This Row],[VlrTotal]]*0.2)+vendas2026[[#This Row],[VlrTotal]]</f>
        <v>4131.3600000000006</v>
      </c>
      <c r="K124" s="15">
        <v>1</v>
      </c>
      <c r="L124" s="15">
        <f>vendas2026[[#This Row],[%Comissão]]*0.25</f>
        <v>0.25</v>
      </c>
      <c r="M124" s="14" t="s">
        <v>26</v>
      </c>
      <c r="N124" s="23">
        <f>vendas2026[[#This Row],[VlrTotal]]*vendas2026[[#This Row],[%Comissão]]</f>
        <v>3442.8</v>
      </c>
      <c r="O124" s="14">
        <f>vendas2026[[#This Row],[VlrTotal]]*vendas2026[[#This Row],[%ComissãoSupervisor]]</f>
        <v>860.7</v>
      </c>
      <c r="P124" s="11" t="s">
        <v>27</v>
      </c>
      <c r="Q124" s="11" t="s">
        <v>27</v>
      </c>
      <c r="R124" s="11"/>
      <c r="S124" s="11">
        <v>1</v>
      </c>
      <c r="T124" s="11"/>
      <c r="U124" s="11" t="s">
        <v>28</v>
      </c>
      <c r="V124" s="16" t="s">
        <v>31</v>
      </c>
    </row>
    <row r="125" spans="1:22" hidden="1" x14ac:dyDescent="0.25">
      <c r="A125" s="10">
        <v>46100</v>
      </c>
      <c r="B125" s="11">
        <v>136464</v>
      </c>
      <c r="C125" s="11" t="s">
        <v>31</v>
      </c>
      <c r="D125" s="11" t="s">
        <v>94</v>
      </c>
      <c r="E125" s="11" t="s">
        <v>35</v>
      </c>
      <c r="F125" s="11" t="s">
        <v>35</v>
      </c>
      <c r="G125" s="12">
        <v>8</v>
      </c>
      <c r="H125" s="13">
        <v>176</v>
      </c>
      <c r="I125" s="14">
        <f>vendas2026[[#This Row],[Qtde]]*vendas2026[[#This Row],[VlrUnitário]]</f>
        <v>1408</v>
      </c>
      <c r="J125" s="23">
        <f>vendas2026[[#This Row],[VlrTotal]]</f>
        <v>1408</v>
      </c>
      <c r="K125" s="15">
        <v>0.01</v>
      </c>
      <c r="L125" s="15">
        <f>vendas2026[[#This Row],[%Comissão]]*0.25</f>
        <v>2.5000000000000001E-3</v>
      </c>
      <c r="M125" s="14" t="s">
        <v>26</v>
      </c>
      <c r="N125" s="23">
        <f>vendas2026[[#This Row],[VlrTotal]]*vendas2026[[#This Row],[%Comissão]]</f>
        <v>14.08</v>
      </c>
      <c r="O125" s="14">
        <f>vendas2026[[#This Row],[VlrTotal]]*vendas2026[[#This Row],[%ComissãoSupervisor]]</f>
        <v>3.52</v>
      </c>
      <c r="P125" s="11" t="s">
        <v>36</v>
      </c>
      <c r="Q125" s="11" t="s">
        <v>37</v>
      </c>
      <c r="R125" s="11"/>
      <c r="S125" s="11">
        <v>3</v>
      </c>
      <c r="T125" s="11"/>
      <c r="U125" s="11" t="s">
        <v>38</v>
      </c>
      <c r="V125" s="16" t="s">
        <v>31</v>
      </c>
    </row>
    <row r="126" spans="1:22" hidden="1" x14ac:dyDescent="0.25">
      <c r="A126" s="10">
        <v>46100</v>
      </c>
      <c r="B126" s="11">
        <v>137380</v>
      </c>
      <c r="C126" s="11" t="s">
        <v>31</v>
      </c>
      <c r="D126" s="11" t="s">
        <v>93</v>
      </c>
      <c r="E126" s="11" t="s">
        <v>35</v>
      </c>
      <c r="F126" s="11" t="s">
        <v>35</v>
      </c>
      <c r="G126" s="12">
        <v>16</v>
      </c>
      <c r="H126" s="13">
        <v>140.80000000000001</v>
      </c>
      <c r="I126" s="14">
        <f>vendas2026[[#This Row],[Qtde]]*vendas2026[[#This Row],[VlrUnitário]]</f>
        <v>2252.8000000000002</v>
      </c>
      <c r="J126" s="23">
        <f>vendas2026[[#This Row],[VlrTotal]]</f>
        <v>2252.8000000000002</v>
      </c>
      <c r="K126" s="15">
        <v>6.8999999999999999E-3</v>
      </c>
      <c r="L126" s="15">
        <f>vendas2026[[#This Row],[%Comissão]]*0.25</f>
        <v>1.725E-3</v>
      </c>
      <c r="M126" s="14" t="s">
        <v>26</v>
      </c>
      <c r="N126" s="23">
        <f>vendas2026[[#This Row],[VlrTotal]]*vendas2026[[#This Row],[%Comissão]]</f>
        <v>15.544320000000001</v>
      </c>
      <c r="O126" s="14">
        <f>vendas2026[[#This Row],[VlrTotal]]*vendas2026[[#This Row],[%ComissãoSupervisor]]</f>
        <v>3.8860800000000002</v>
      </c>
      <c r="P126" s="11" t="s">
        <v>36</v>
      </c>
      <c r="Q126" s="11" t="s">
        <v>37</v>
      </c>
      <c r="R126" s="11"/>
      <c r="S126" s="11">
        <v>3</v>
      </c>
      <c r="T126" s="11"/>
      <c r="U126" s="11" t="s">
        <v>38</v>
      </c>
      <c r="V126" s="16" t="s">
        <v>31</v>
      </c>
    </row>
    <row r="127" spans="1:22" hidden="1" x14ac:dyDescent="0.25">
      <c r="A127" s="10">
        <v>46100</v>
      </c>
      <c r="B127" s="11">
        <v>138380</v>
      </c>
      <c r="C127" s="11" t="s">
        <v>31</v>
      </c>
      <c r="D127" s="11" t="s">
        <v>108</v>
      </c>
      <c r="E127" s="11" t="s">
        <v>35</v>
      </c>
      <c r="F127" s="11" t="s">
        <v>35</v>
      </c>
      <c r="G127" s="12">
        <v>16</v>
      </c>
      <c r="H127" s="13">
        <v>140.80000000000001</v>
      </c>
      <c r="I127" s="14">
        <f>vendas2026[[#This Row],[Qtde]]*vendas2026[[#This Row],[VlrUnitário]]</f>
        <v>2252.8000000000002</v>
      </c>
      <c r="J127" s="23">
        <f>vendas2026[[#This Row],[VlrTotal]]</f>
        <v>2252.8000000000002</v>
      </c>
      <c r="K127" s="15">
        <v>6.8999999999999999E-3</v>
      </c>
      <c r="L127" s="15">
        <f>vendas2026[[#This Row],[%Comissão]]*0.25</f>
        <v>1.725E-3</v>
      </c>
      <c r="M127" s="14" t="s">
        <v>26</v>
      </c>
      <c r="N127" s="23">
        <f>vendas2026[[#This Row],[VlrTotal]]*vendas2026[[#This Row],[%Comissão]]</f>
        <v>15.544320000000001</v>
      </c>
      <c r="O127" s="14">
        <f>vendas2026[[#This Row],[VlrTotal]]*vendas2026[[#This Row],[%ComissãoSupervisor]]</f>
        <v>3.8860800000000002</v>
      </c>
      <c r="P127" s="11" t="s">
        <v>36</v>
      </c>
      <c r="Q127" s="11" t="s">
        <v>37</v>
      </c>
      <c r="R127" s="11"/>
      <c r="S127" s="11">
        <v>3</v>
      </c>
      <c r="T127" s="11"/>
      <c r="U127" s="11" t="s">
        <v>38</v>
      </c>
      <c r="V127" s="16" t="s">
        <v>31</v>
      </c>
    </row>
    <row r="128" spans="1:22" hidden="1" x14ac:dyDescent="0.25">
      <c r="A128" s="10">
        <v>46100</v>
      </c>
      <c r="B128" s="11">
        <v>139938</v>
      </c>
      <c r="C128" s="11" t="s">
        <v>31</v>
      </c>
      <c r="D128" s="11" t="s">
        <v>109</v>
      </c>
      <c r="E128" s="11" t="s">
        <v>35</v>
      </c>
      <c r="F128" s="11" t="s">
        <v>35</v>
      </c>
      <c r="G128" s="12">
        <v>4</v>
      </c>
      <c r="H128" s="13">
        <v>176</v>
      </c>
      <c r="I128" s="14">
        <f>vendas2026[[#This Row],[Qtde]]*vendas2026[[#This Row],[VlrUnitário]]</f>
        <v>704</v>
      </c>
      <c r="J128" s="23">
        <f>vendas2026[[#This Row],[VlrTotal]]</f>
        <v>704</v>
      </c>
      <c r="K128" s="15">
        <v>0.01</v>
      </c>
      <c r="L128" s="15">
        <f>vendas2026[[#This Row],[%Comissão]]*0.25</f>
        <v>2.5000000000000001E-3</v>
      </c>
      <c r="M128" s="14" t="s">
        <v>26</v>
      </c>
      <c r="N128" s="23">
        <f>vendas2026[[#This Row],[VlrTotal]]*vendas2026[[#This Row],[%Comissão]]</f>
        <v>7.04</v>
      </c>
      <c r="O128" s="14">
        <f>vendas2026[[#This Row],[VlrTotal]]*vendas2026[[#This Row],[%ComissãoSupervisor]]</f>
        <v>1.76</v>
      </c>
      <c r="P128" s="11" t="s">
        <v>36</v>
      </c>
      <c r="Q128" s="11" t="s">
        <v>37</v>
      </c>
      <c r="R128" s="11"/>
      <c r="S128" s="11">
        <v>1</v>
      </c>
      <c r="T128" s="11"/>
      <c r="U128" s="11" t="s">
        <v>38</v>
      </c>
      <c r="V128" s="16" t="s">
        <v>31</v>
      </c>
    </row>
    <row r="129" spans="1:22" hidden="1" x14ac:dyDescent="0.25">
      <c r="A129" s="10">
        <v>46100</v>
      </c>
      <c r="B129" s="11">
        <v>140072</v>
      </c>
      <c r="C129" s="11" t="s">
        <v>22</v>
      </c>
      <c r="D129" s="11" t="s">
        <v>110</v>
      </c>
      <c r="E129" s="11" t="s">
        <v>111</v>
      </c>
      <c r="F129" s="11" t="s">
        <v>30</v>
      </c>
      <c r="G129" s="12">
        <v>1</v>
      </c>
      <c r="H129" s="13">
        <v>301.26</v>
      </c>
      <c r="I129" s="14">
        <f>vendas2026[[#This Row],[Qtde]]*vendas2026[[#This Row],[VlrUnitário]]</f>
        <v>301.26</v>
      </c>
      <c r="J129" s="23">
        <f>vendas2026[[#This Row],[VlrTotal]]</f>
        <v>301.26</v>
      </c>
      <c r="K129" s="15">
        <v>1</v>
      </c>
      <c r="L129" s="15">
        <v>0</v>
      </c>
      <c r="M129" s="14" t="s">
        <v>26</v>
      </c>
      <c r="N129" s="23">
        <f>vendas2026[[#This Row],[VlrTotal]]*vendas2026[[#This Row],[%Comissão]]</f>
        <v>301.26</v>
      </c>
      <c r="O129" s="14">
        <f>vendas2026[[#This Row],[VlrTotal]]*vendas2026[[#This Row],[%ComissãoSupervisor]]</f>
        <v>0</v>
      </c>
      <c r="P129" s="11" t="s">
        <v>36</v>
      </c>
      <c r="Q129" s="11" t="s">
        <v>37</v>
      </c>
      <c r="R129" s="11"/>
      <c r="S129" s="11">
        <v>1</v>
      </c>
      <c r="T129" s="11"/>
      <c r="U129" s="11" t="s">
        <v>28</v>
      </c>
      <c r="V129" s="16" t="s">
        <v>31</v>
      </c>
    </row>
    <row r="130" spans="1:22" hidden="1" x14ac:dyDescent="0.25">
      <c r="A130" s="10">
        <v>46104</v>
      </c>
      <c r="B130" s="11">
        <v>139635</v>
      </c>
      <c r="C130" s="11" t="s">
        <v>31</v>
      </c>
      <c r="D130" s="11" t="s">
        <v>112</v>
      </c>
      <c r="E130" s="11" t="s">
        <v>35</v>
      </c>
      <c r="F130" s="11" t="s">
        <v>35</v>
      </c>
      <c r="G130" s="12">
        <v>4</v>
      </c>
      <c r="H130" s="13">
        <v>176</v>
      </c>
      <c r="I130" s="14">
        <f>vendas2026[[#This Row],[Qtde]]*vendas2026[[#This Row],[VlrUnitário]]</f>
        <v>704</v>
      </c>
      <c r="J130" s="23">
        <f>vendas2026[[#This Row],[VlrTotal]]</f>
        <v>704</v>
      </c>
      <c r="K130" s="15">
        <v>0.01</v>
      </c>
      <c r="L130" s="15">
        <f>vendas2026[[#This Row],[%Comissão]]*0.25</f>
        <v>2.5000000000000001E-3</v>
      </c>
      <c r="M130" s="14" t="s">
        <v>26</v>
      </c>
      <c r="N130" s="23">
        <f>vendas2026[[#This Row],[VlrTotal]]*vendas2026[[#This Row],[%Comissão]]</f>
        <v>7.04</v>
      </c>
      <c r="O130" s="14">
        <f>vendas2026[[#This Row],[VlrTotal]]*vendas2026[[#This Row],[%ComissãoSupervisor]]</f>
        <v>1.76</v>
      </c>
      <c r="P130" s="11" t="s">
        <v>36</v>
      </c>
      <c r="Q130" s="11" t="s">
        <v>37</v>
      </c>
      <c r="R130" s="11"/>
      <c r="S130" s="11">
        <v>1</v>
      </c>
      <c r="T130" s="11"/>
      <c r="U130" s="11" t="s">
        <v>38</v>
      </c>
      <c r="V130" s="16" t="s">
        <v>31</v>
      </c>
    </row>
    <row r="131" spans="1:22" hidden="1" x14ac:dyDescent="0.25">
      <c r="A131" s="10">
        <v>46104</v>
      </c>
      <c r="B131" s="11">
        <v>140133</v>
      </c>
      <c r="C131" s="11" t="s">
        <v>44</v>
      </c>
      <c r="D131" s="11" t="s">
        <v>113</v>
      </c>
      <c r="E131" s="11" t="s">
        <v>63</v>
      </c>
      <c r="F131" s="11" t="s">
        <v>25</v>
      </c>
      <c r="G131" s="12">
        <v>80</v>
      </c>
      <c r="H131" s="13">
        <v>186.56</v>
      </c>
      <c r="I131" s="14">
        <f>vendas2026[[#This Row],[Qtde]]*vendas2026[[#This Row],[VlrUnitário]]</f>
        <v>14924.8</v>
      </c>
      <c r="J131" s="23">
        <f>vendas2026[[#This Row],[VlrTotal]]</f>
        <v>14924.8</v>
      </c>
      <c r="K131" s="15">
        <v>7.0000000000000007E-2</v>
      </c>
      <c r="L131" s="15">
        <f>vendas2026[[#This Row],[%Comissão]]*0.25</f>
        <v>1.7500000000000002E-2</v>
      </c>
      <c r="M131" s="14" t="s">
        <v>46</v>
      </c>
      <c r="N131" s="23">
        <f>vendas2026[[#This Row],[VlrTotal]]*vendas2026[[#This Row],[%Comissão]]</f>
        <v>1044.7360000000001</v>
      </c>
      <c r="O131" s="14">
        <f>vendas2026[[#This Row],[VlrTotal]]*vendas2026[[#This Row],[%ComissãoSupervisor]]</f>
        <v>261.18400000000003</v>
      </c>
      <c r="P131" s="11" t="s">
        <v>36</v>
      </c>
      <c r="Q131" s="11" t="s">
        <v>37</v>
      </c>
      <c r="R131" s="11"/>
      <c r="S131" s="11">
        <v>1</v>
      </c>
      <c r="T131" s="11"/>
      <c r="U131" s="11" t="s">
        <v>28</v>
      </c>
      <c r="V131" s="16" t="s">
        <v>44</v>
      </c>
    </row>
    <row r="132" spans="1:22" hidden="1" x14ac:dyDescent="0.25">
      <c r="A132" s="10">
        <v>46104</v>
      </c>
      <c r="B132" s="11">
        <v>140133</v>
      </c>
      <c r="C132" s="11" t="s">
        <v>44</v>
      </c>
      <c r="D132" s="11" t="s">
        <v>113</v>
      </c>
      <c r="E132" s="11" t="s">
        <v>63</v>
      </c>
      <c r="F132" s="11" t="s">
        <v>30</v>
      </c>
      <c r="G132" s="12">
        <v>10</v>
      </c>
      <c r="H132" s="13">
        <v>98.33</v>
      </c>
      <c r="I132" s="14">
        <f>vendas2026[[#This Row],[Qtde]]*vendas2026[[#This Row],[VlrUnitário]]</f>
        <v>983.3</v>
      </c>
      <c r="J132" s="23">
        <f>vendas2026[[#This Row],[VlrTotal]]</f>
        <v>983.3</v>
      </c>
      <c r="K132" s="15">
        <v>1</v>
      </c>
      <c r="L132" s="15">
        <f>vendas2026[[#This Row],[%Comissão]]*0.25</f>
        <v>0.25</v>
      </c>
      <c r="M132" s="14" t="s">
        <v>46</v>
      </c>
      <c r="N132" s="23">
        <f>vendas2026[[#This Row],[VlrTotal]]*vendas2026[[#This Row],[%Comissão]]</f>
        <v>983.3</v>
      </c>
      <c r="O132" s="14">
        <f>vendas2026[[#This Row],[VlrTotal]]*vendas2026[[#This Row],[%ComissãoSupervisor]]</f>
        <v>245.82499999999999</v>
      </c>
      <c r="P132" s="11" t="s">
        <v>27</v>
      </c>
      <c r="Q132" s="11" t="s">
        <v>27</v>
      </c>
      <c r="R132" s="11"/>
      <c r="S132" s="11">
        <v>1</v>
      </c>
      <c r="T132" s="11"/>
      <c r="U132" s="11" t="s">
        <v>28</v>
      </c>
      <c r="V132" s="16" t="s">
        <v>44</v>
      </c>
    </row>
    <row r="133" spans="1:22" hidden="1" x14ac:dyDescent="0.25">
      <c r="A133" s="10">
        <v>46104</v>
      </c>
      <c r="B133" s="11">
        <v>138651</v>
      </c>
      <c r="C133" s="11" t="s">
        <v>31</v>
      </c>
      <c r="D133" s="11" t="s">
        <v>114</v>
      </c>
      <c r="E133" s="11" t="s">
        <v>35</v>
      </c>
      <c r="F133" s="11" t="s">
        <v>35</v>
      </c>
      <c r="G133" s="12">
        <v>2</v>
      </c>
      <c r="H133" s="13">
        <v>176</v>
      </c>
      <c r="I133" s="14">
        <f>vendas2026[[#This Row],[Qtde]]*vendas2026[[#This Row],[VlrUnitário]]</f>
        <v>352</v>
      </c>
      <c r="J133" s="23">
        <f>vendas2026[[#This Row],[VlrTotal]]</f>
        <v>352</v>
      </c>
      <c r="K133" s="15">
        <v>0.01</v>
      </c>
      <c r="L133" s="15">
        <f>vendas2026[[#This Row],[%Comissão]]*0.25</f>
        <v>2.5000000000000001E-3</v>
      </c>
      <c r="M133" s="14" t="s">
        <v>26</v>
      </c>
      <c r="N133" s="23">
        <f>vendas2026[[#This Row],[VlrTotal]]*vendas2026[[#This Row],[%Comissão]]</f>
        <v>3.52</v>
      </c>
      <c r="O133" s="14">
        <f>vendas2026[[#This Row],[VlrTotal]]*vendas2026[[#This Row],[%ComissãoSupervisor]]</f>
        <v>0.88</v>
      </c>
      <c r="P133" s="11" t="s">
        <v>36</v>
      </c>
      <c r="Q133" s="11" t="s">
        <v>37</v>
      </c>
      <c r="R133" s="11"/>
      <c r="S133" s="11">
        <v>1</v>
      </c>
      <c r="T133" s="11"/>
      <c r="U133" s="11" t="s">
        <v>38</v>
      </c>
      <c r="V133" s="16" t="s">
        <v>31</v>
      </c>
    </row>
    <row r="134" spans="1:22" hidden="1" x14ac:dyDescent="0.25">
      <c r="A134" s="10">
        <v>46105</v>
      </c>
      <c r="B134" s="11">
        <v>138954</v>
      </c>
      <c r="C134" s="11" t="s">
        <v>31</v>
      </c>
      <c r="D134" s="11" t="s">
        <v>114</v>
      </c>
      <c r="E134" s="11" t="s">
        <v>35</v>
      </c>
      <c r="F134" s="11" t="s">
        <v>35</v>
      </c>
      <c r="G134" s="12">
        <v>36</v>
      </c>
      <c r="H134" s="13">
        <v>176</v>
      </c>
      <c r="I134" s="14">
        <f>vendas2026[[#This Row],[Qtde]]*vendas2026[[#This Row],[VlrUnitário]]</f>
        <v>6336</v>
      </c>
      <c r="J134" s="23">
        <f>vendas2026[[#This Row],[VlrTotal]]</f>
        <v>6336</v>
      </c>
      <c r="K134" s="15">
        <v>0.01</v>
      </c>
      <c r="L134" s="15">
        <f>vendas2026[[#This Row],[%Comissão]]*0.25</f>
        <v>2.5000000000000001E-3</v>
      </c>
      <c r="M134" s="14" t="s">
        <v>46</v>
      </c>
      <c r="N134" s="23">
        <f>vendas2026[[#This Row],[VlrTotal]]*vendas2026[[#This Row],[%Comissão]]</f>
        <v>63.36</v>
      </c>
      <c r="O134" s="14">
        <f>vendas2026[[#This Row],[VlrTotal]]*vendas2026[[#This Row],[%ComissãoSupervisor]]</f>
        <v>15.84</v>
      </c>
      <c r="P134" s="11" t="s">
        <v>36</v>
      </c>
      <c r="Q134" s="11" t="s">
        <v>37</v>
      </c>
      <c r="R134" s="11"/>
      <c r="S134" s="11">
        <v>3</v>
      </c>
      <c r="T134" s="11"/>
      <c r="U134" s="11" t="s">
        <v>38</v>
      </c>
      <c r="V134" s="16" t="s">
        <v>31</v>
      </c>
    </row>
    <row r="135" spans="1:22" hidden="1" x14ac:dyDescent="0.25">
      <c r="A135" s="10">
        <v>46111</v>
      </c>
      <c r="B135" s="11">
        <v>140520</v>
      </c>
      <c r="C135" s="11" t="s">
        <v>31</v>
      </c>
      <c r="D135" s="11" t="s">
        <v>115</v>
      </c>
      <c r="E135" s="11" t="s">
        <v>52</v>
      </c>
      <c r="F135" s="11" t="s">
        <v>30</v>
      </c>
      <c r="G135" s="12">
        <v>1</v>
      </c>
      <c r="H135" s="13">
        <v>1080</v>
      </c>
      <c r="I135" s="14">
        <f>vendas2026[[#This Row],[Qtde]]*vendas2026[[#This Row],[VlrUnitário]]</f>
        <v>1080</v>
      </c>
      <c r="J135" s="23">
        <f>(vendas2026[[#This Row],[VlrTotal]]*0.2)+vendas2026[[#This Row],[VlrTotal]]</f>
        <v>1296</v>
      </c>
      <c r="K135" s="15">
        <v>1</v>
      </c>
      <c r="L135" s="15">
        <f>vendas2026[[#This Row],[%Comissão]]*0.25</f>
        <v>0.25</v>
      </c>
      <c r="M135" s="14" t="s">
        <v>26</v>
      </c>
      <c r="N135" s="23">
        <f>vendas2026[[#This Row],[VlrTotal]]*vendas2026[[#This Row],[%Comissão]]</f>
        <v>1080</v>
      </c>
      <c r="O135" s="14">
        <f>vendas2026[[#This Row],[VlrTotal]]*vendas2026[[#This Row],[%ComissãoSupervisor]]</f>
        <v>270</v>
      </c>
      <c r="P135" s="11" t="s">
        <v>27</v>
      </c>
      <c r="Q135" s="11" t="s">
        <v>27</v>
      </c>
      <c r="R135" s="11"/>
      <c r="S135" s="11">
        <v>1</v>
      </c>
      <c r="T135" s="11"/>
      <c r="U135" s="11" t="s">
        <v>28</v>
      </c>
      <c r="V135" s="16" t="s">
        <v>31</v>
      </c>
    </row>
    <row r="136" spans="1:22" hidden="1" x14ac:dyDescent="0.25">
      <c r="A136" s="10">
        <v>46111</v>
      </c>
      <c r="B136" s="11">
        <v>140267</v>
      </c>
      <c r="C136" s="11" t="s">
        <v>31</v>
      </c>
      <c r="D136" s="11" t="s">
        <v>116</v>
      </c>
      <c r="E136" s="11" t="s">
        <v>117</v>
      </c>
      <c r="F136" s="11" t="s">
        <v>30</v>
      </c>
      <c r="G136" s="12">
        <v>32</v>
      </c>
      <c r="H136" s="13">
        <v>14.85</v>
      </c>
      <c r="I136" s="14">
        <f>vendas2026[[#This Row],[Qtde]]*vendas2026[[#This Row],[VlrUnitário]]</f>
        <v>475.2</v>
      </c>
      <c r="J136" s="23">
        <f>(vendas2026[[#This Row],[VlrTotal]]*0.2)+vendas2026[[#This Row],[VlrTotal]]</f>
        <v>570.24</v>
      </c>
      <c r="K136" s="15">
        <v>1</v>
      </c>
      <c r="L136" s="15">
        <f>vendas2026[[#This Row],[%Comissão]]*0.25</f>
        <v>0.25</v>
      </c>
      <c r="M136" s="14" t="s">
        <v>26</v>
      </c>
      <c r="N136" s="23">
        <f>vendas2026[[#This Row],[VlrTotal]]*vendas2026[[#This Row],[%Comissão]]</f>
        <v>475.2</v>
      </c>
      <c r="O136" s="14">
        <f>vendas2026[[#This Row],[VlrTotal]]*vendas2026[[#This Row],[%ComissãoSupervisor]]</f>
        <v>118.8</v>
      </c>
      <c r="P136" s="11" t="s">
        <v>27</v>
      </c>
      <c r="Q136" s="11" t="s">
        <v>27</v>
      </c>
      <c r="R136" s="11"/>
      <c r="S136" s="11">
        <v>1</v>
      </c>
      <c r="T136" s="11"/>
      <c r="U136" s="11" t="s">
        <v>28</v>
      </c>
      <c r="V136" s="16" t="s">
        <v>31</v>
      </c>
    </row>
    <row r="137" spans="1:22" hidden="1" x14ac:dyDescent="0.25">
      <c r="A137" s="10">
        <v>46111</v>
      </c>
      <c r="B137" s="11">
        <v>140084</v>
      </c>
      <c r="C137" s="11" t="s">
        <v>31</v>
      </c>
      <c r="D137" s="11" t="s">
        <v>118</v>
      </c>
      <c r="E137" s="11" t="s">
        <v>35</v>
      </c>
      <c r="F137" s="11" t="s">
        <v>35</v>
      </c>
      <c r="G137" s="12">
        <v>48</v>
      </c>
      <c r="H137" s="13">
        <v>176</v>
      </c>
      <c r="I137" s="14">
        <f>vendas2026[[#This Row],[Qtde]]*vendas2026[[#This Row],[VlrUnitário]]</f>
        <v>8448</v>
      </c>
      <c r="J137" s="23">
        <v>8448</v>
      </c>
      <c r="K137" s="15">
        <v>0.01</v>
      </c>
      <c r="L137" s="15">
        <f>vendas2026[[#This Row],[%Comissão]]*0.25</f>
        <v>2.5000000000000001E-3</v>
      </c>
      <c r="M137" s="14" t="s">
        <v>26</v>
      </c>
      <c r="N137" s="23">
        <f>vendas2026[[#This Row],[VlrTotal]]*vendas2026[[#This Row],[%Comissão]]</f>
        <v>84.48</v>
      </c>
      <c r="O137" s="14">
        <f>vendas2026[[#This Row],[VlrTotal]]*vendas2026[[#This Row],[%ComissãoSupervisor]]</f>
        <v>21.12</v>
      </c>
      <c r="P137" s="11" t="s">
        <v>36</v>
      </c>
      <c r="Q137" s="11" t="s">
        <v>37</v>
      </c>
      <c r="R137" s="11"/>
      <c r="S137" s="11">
        <v>3</v>
      </c>
      <c r="T137" s="11"/>
      <c r="U137" s="11" t="s">
        <v>38</v>
      </c>
      <c r="V137" s="16" t="s">
        <v>31</v>
      </c>
    </row>
    <row r="138" spans="1:22" hidden="1" x14ac:dyDescent="0.25">
      <c r="A138" s="10">
        <v>46107</v>
      </c>
      <c r="B138" s="11">
        <v>133508</v>
      </c>
      <c r="C138" s="11" t="s">
        <v>31</v>
      </c>
      <c r="D138" s="11" t="s">
        <v>112</v>
      </c>
      <c r="E138" s="11" t="s">
        <v>35</v>
      </c>
      <c r="F138" s="11" t="s">
        <v>35</v>
      </c>
      <c r="G138" s="12">
        <v>38.4</v>
      </c>
      <c r="H138" s="13">
        <v>176</v>
      </c>
      <c r="I138" s="14">
        <f>vendas2026[[#This Row],[Qtde]]*vendas2026[[#This Row],[VlrUnitário]]</f>
        <v>6758.4</v>
      </c>
      <c r="J138" s="23">
        <f>vendas2026[[#This Row],[VlrTotal]]</f>
        <v>6758.4</v>
      </c>
      <c r="K138" s="15">
        <v>0.01</v>
      </c>
      <c r="L138" s="15">
        <f>vendas2026[[#This Row],[%Comissão]]*0.25</f>
        <v>2.5000000000000001E-3</v>
      </c>
      <c r="M138" s="14" t="s">
        <v>46</v>
      </c>
      <c r="N138" s="23">
        <f>vendas2026[[#This Row],[VlrTotal]]*vendas2026[[#This Row],[%Comissão]]</f>
        <v>67.584000000000003</v>
      </c>
      <c r="O138" s="14">
        <f>vendas2026[[#This Row],[VlrTotal]]*vendas2026[[#This Row],[%ComissãoSupervisor]]</f>
        <v>16.896000000000001</v>
      </c>
      <c r="P138" s="11" t="s">
        <v>36</v>
      </c>
      <c r="Q138" s="11" t="s">
        <v>37</v>
      </c>
      <c r="R138" s="11"/>
      <c r="S138" s="11">
        <v>3</v>
      </c>
      <c r="T138" s="11"/>
      <c r="U138" s="11" t="s">
        <v>38</v>
      </c>
      <c r="V138" s="16" t="s">
        <v>31</v>
      </c>
    </row>
    <row r="139" spans="1:22" hidden="1" x14ac:dyDescent="0.25">
      <c r="A139" s="90">
        <v>46113</v>
      </c>
      <c r="B139" s="11">
        <v>138583</v>
      </c>
      <c r="C139" s="11" t="s">
        <v>44</v>
      </c>
      <c r="D139" s="11" t="s">
        <v>119</v>
      </c>
      <c r="E139" s="11" t="s">
        <v>63</v>
      </c>
      <c r="F139" s="11" t="s">
        <v>41</v>
      </c>
      <c r="G139" s="12">
        <v>1</v>
      </c>
      <c r="H139" s="13">
        <v>24000</v>
      </c>
      <c r="I139" s="14">
        <f>vendas2026[[#This Row],[Qtde]]*vendas2026[[#This Row],[VlrUnitário]]</f>
        <v>24000</v>
      </c>
      <c r="J139" s="309">
        <f>vendas2026[[#This Row],[VlrTotal]]</f>
        <v>24000</v>
      </c>
      <c r="K139" s="15">
        <v>0.25</v>
      </c>
      <c r="L139" s="15">
        <f>vendas2026[[#This Row],[%Comissão]]*0.25</f>
        <v>6.25E-2</v>
      </c>
      <c r="M139" s="14" t="s">
        <v>46</v>
      </c>
      <c r="N139" s="23">
        <f>vendas2026[[#This Row],[VlrTotal]]*vendas2026[[#This Row],[%Comissão]]</f>
        <v>6000</v>
      </c>
      <c r="O139" s="14">
        <f>vendas2026[[#This Row],[VlrTotal]]*vendas2026[[#This Row],[%ComissãoSupervisor]]</f>
        <v>1500</v>
      </c>
      <c r="P139" s="11" t="s">
        <v>27</v>
      </c>
      <c r="Q139" s="11" t="s">
        <v>27</v>
      </c>
      <c r="R139" s="11"/>
      <c r="S139" s="11">
        <v>6</v>
      </c>
      <c r="T139" s="11"/>
      <c r="U139" s="11" t="s">
        <v>28</v>
      </c>
      <c r="V139" s="16" t="s">
        <v>44</v>
      </c>
    </row>
    <row r="140" spans="1:22" hidden="1" x14ac:dyDescent="0.25">
      <c r="A140" s="10">
        <v>46113</v>
      </c>
      <c r="B140" s="11">
        <v>138583</v>
      </c>
      <c r="C140" s="11" t="s">
        <v>44</v>
      </c>
      <c r="D140" s="11" t="s">
        <v>119</v>
      </c>
      <c r="E140" s="11" t="s">
        <v>63</v>
      </c>
      <c r="F140" s="11" t="s">
        <v>25</v>
      </c>
      <c r="G140" s="12">
        <v>100</v>
      </c>
      <c r="H140" s="13">
        <v>212</v>
      </c>
      <c r="I140" s="14">
        <f>vendas2026[[#This Row],[Qtde]]*vendas2026[[#This Row],[VlrUnitário]]</f>
        <v>21200</v>
      </c>
      <c r="J140" s="309">
        <f>vendas2026[[#This Row],[VlrTotal]]</f>
        <v>21200</v>
      </c>
      <c r="K140" s="15">
        <v>7.0000000000000007E-2</v>
      </c>
      <c r="L140" s="15">
        <f>vendas2026[[#This Row],[%Comissão]]*0.25</f>
        <v>1.7500000000000002E-2</v>
      </c>
      <c r="M140" s="14" t="s">
        <v>46</v>
      </c>
      <c r="N140" s="23">
        <f>vendas2026[[#This Row],[VlrTotal]]*vendas2026[[#This Row],[%Comissão]]</f>
        <v>1484.0000000000002</v>
      </c>
      <c r="O140" s="14">
        <f>vendas2026[[#This Row],[VlrTotal]]*vendas2026[[#This Row],[%ComissãoSupervisor]]</f>
        <v>371.00000000000006</v>
      </c>
      <c r="P140" s="11" t="s">
        <v>27</v>
      </c>
      <c r="Q140" s="11" t="s">
        <v>27</v>
      </c>
      <c r="R140" s="11"/>
      <c r="S140" s="11">
        <v>6</v>
      </c>
      <c r="T140" s="11"/>
      <c r="U140" s="11" t="s">
        <v>28</v>
      </c>
      <c r="V140" s="16" t="s">
        <v>44</v>
      </c>
    </row>
    <row r="141" spans="1:22" hidden="1" x14ac:dyDescent="0.25">
      <c r="A141" s="10">
        <v>46113</v>
      </c>
      <c r="B141" s="11">
        <v>138583</v>
      </c>
      <c r="C141" s="11" t="s">
        <v>44</v>
      </c>
      <c r="D141" s="11" t="s">
        <v>119</v>
      </c>
      <c r="E141" s="11" t="s">
        <v>63</v>
      </c>
      <c r="F141" s="11" t="s">
        <v>30</v>
      </c>
      <c r="G141" s="12">
        <v>61</v>
      </c>
      <c r="H141" s="13">
        <v>85.65</v>
      </c>
      <c r="I141" s="14">
        <f>vendas2026[[#This Row],[Qtde]]*vendas2026[[#This Row],[VlrUnitário]]</f>
        <v>5224.6500000000005</v>
      </c>
      <c r="J141" s="309">
        <f>vendas2026[[#This Row],[VlrTotal]]</f>
        <v>5224.6500000000005</v>
      </c>
      <c r="K141" s="15">
        <v>1</v>
      </c>
      <c r="L141" s="15">
        <f>vendas2026[[#This Row],[%Comissão]]*0.25</f>
        <v>0.25</v>
      </c>
      <c r="M141" s="14" t="s">
        <v>46</v>
      </c>
      <c r="N141" s="23">
        <f>vendas2026[[#This Row],[VlrTotal]]*vendas2026[[#This Row],[%Comissão]]</f>
        <v>5224.6500000000005</v>
      </c>
      <c r="O141" s="14">
        <f>vendas2026[[#This Row],[VlrTotal]]*vendas2026[[#This Row],[%ComissãoSupervisor]]</f>
        <v>1306.1625000000001</v>
      </c>
      <c r="P141" s="11" t="s">
        <v>27</v>
      </c>
      <c r="Q141" s="11" t="s">
        <v>27</v>
      </c>
      <c r="R141" s="11"/>
      <c r="S141" s="11">
        <v>1</v>
      </c>
      <c r="T141" s="11"/>
      <c r="U141" s="11" t="s">
        <v>28</v>
      </c>
      <c r="V141" s="16" t="s">
        <v>44</v>
      </c>
    </row>
    <row r="142" spans="1:22" hidden="1" x14ac:dyDescent="0.25">
      <c r="A142" s="10">
        <v>46119</v>
      </c>
      <c r="B142" s="11">
        <v>138780</v>
      </c>
      <c r="C142" s="11" t="s">
        <v>31</v>
      </c>
      <c r="D142" s="11" t="s">
        <v>100</v>
      </c>
      <c r="E142" s="11" t="s">
        <v>35</v>
      </c>
      <c r="F142" s="11" t="s">
        <v>35</v>
      </c>
      <c r="G142" s="12">
        <v>8</v>
      </c>
      <c r="H142" s="13">
        <v>176</v>
      </c>
      <c r="I142" s="14">
        <f>vendas2026[[#This Row],[Qtde]]*vendas2026[[#This Row],[VlrUnitário]]</f>
        <v>1408</v>
      </c>
      <c r="J142" s="309">
        <f>vendas2026[[#This Row],[VlrTotal]]</f>
        <v>1408</v>
      </c>
      <c r="K142" s="15">
        <v>0.01</v>
      </c>
      <c r="L142" s="15">
        <f>vendas2026[[#This Row],[%Comissão]]*0.25</f>
        <v>2.5000000000000001E-3</v>
      </c>
      <c r="M142" s="14" t="s">
        <v>26</v>
      </c>
      <c r="N142" s="23">
        <f>vendas2026[[#This Row],[VlrTotal]]*vendas2026[[#This Row],[%Comissão]]</f>
        <v>14.08</v>
      </c>
      <c r="O142" s="14">
        <f>vendas2026[[#This Row],[VlrTotal]]*vendas2026[[#This Row],[%ComissãoSupervisor]]</f>
        <v>3.52</v>
      </c>
      <c r="P142" s="11" t="s">
        <v>36</v>
      </c>
      <c r="Q142" s="11" t="s">
        <v>37</v>
      </c>
      <c r="R142" s="11"/>
      <c r="S142" s="11">
        <v>3</v>
      </c>
      <c r="T142" s="11"/>
      <c r="U142" s="11" t="s">
        <v>38</v>
      </c>
      <c r="V142" s="16" t="s">
        <v>31</v>
      </c>
    </row>
    <row r="143" spans="1:22" hidden="1" x14ac:dyDescent="0.25">
      <c r="A143" s="10">
        <v>46119</v>
      </c>
      <c r="B143" s="11">
        <v>138897</v>
      </c>
      <c r="C143" s="11" t="s">
        <v>31</v>
      </c>
      <c r="D143" s="11" t="s">
        <v>49</v>
      </c>
      <c r="E143" s="11" t="s">
        <v>35</v>
      </c>
      <c r="F143" s="11" t="s">
        <v>35</v>
      </c>
      <c r="G143" s="12">
        <v>64</v>
      </c>
      <c r="H143" s="13">
        <v>156.25</v>
      </c>
      <c r="I143" s="14">
        <f>vendas2026[[#This Row],[Qtde]]*vendas2026[[#This Row],[VlrUnitário]]</f>
        <v>10000</v>
      </c>
      <c r="J143" s="309">
        <f>vendas2026[[#This Row],[VlrTotal]]</f>
        <v>10000</v>
      </c>
      <c r="K143" s="15">
        <v>6.8999999999999999E-3</v>
      </c>
      <c r="L143" s="15">
        <f>vendas2026[[#This Row],[%Comissão]]*0.25</f>
        <v>1.725E-3</v>
      </c>
      <c r="M143" s="14" t="s">
        <v>26</v>
      </c>
      <c r="N143" s="23">
        <f>vendas2026[[#This Row],[VlrTotal]]*vendas2026[[#This Row],[%Comissão]]</f>
        <v>69</v>
      </c>
      <c r="O143" s="14">
        <f>vendas2026[[#This Row],[VlrTotal]]*vendas2026[[#This Row],[%ComissãoSupervisor]]</f>
        <v>17.25</v>
      </c>
      <c r="P143" s="11" t="s">
        <v>36</v>
      </c>
      <c r="Q143" s="11" t="s">
        <v>37</v>
      </c>
      <c r="R143" s="11"/>
      <c r="S143" s="11">
        <v>5</v>
      </c>
      <c r="T143" s="11"/>
      <c r="U143" s="11" t="s">
        <v>38</v>
      </c>
      <c r="V143" s="16" t="s">
        <v>31</v>
      </c>
    </row>
    <row r="144" spans="1:22" hidden="1" x14ac:dyDescent="0.25">
      <c r="A144" s="10">
        <v>46119</v>
      </c>
      <c r="B144" s="11">
        <v>140964</v>
      </c>
      <c r="C144" s="11" t="s">
        <v>31</v>
      </c>
      <c r="D144" s="11" t="s">
        <v>120</v>
      </c>
      <c r="E144" s="11" t="s">
        <v>121</v>
      </c>
      <c r="F144" s="11" t="s">
        <v>25</v>
      </c>
      <c r="G144" s="12">
        <v>16</v>
      </c>
      <c r="H144" s="13">
        <v>210</v>
      </c>
      <c r="I144" s="14">
        <f>vendas2026[[#This Row],[Qtde]]*vendas2026[[#This Row],[VlrUnitário]]</f>
        <v>3360</v>
      </c>
      <c r="J144" s="309">
        <f>(vendas2026[[#This Row],[VlrTotal]]*0.2)+vendas2026[[#This Row],[VlrTotal]]</f>
        <v>4032</v>
      </c>
      <c r="K144" s="15">
        <v>7.0000000000000007E-2</v>
      </c>
      <c r="L144" s="15">
        <f>vendas2026[[#This Row],[%Comissão]]*0.25</f>
        <v>1.7500000000000002E-2</v>
      </c>
      <c r="M144" s="14" t="s">
        <v>26</v>
      </c>
      <c r="N144" s="23">
        <f>vendas2026[[#This Row],[VlrTotal]]*vendas2026[[#This Row],[%Comissão]]</f>
        <v>235.20000000000002</v>
      </c>
      <c r="O144" s="14">
        <f>vendas2026[[#This Row],[VlrTotal]]*vendas2026[[#This Row],[%ComissãoSupervisor]]</f>
        <v>58.800000000000004</v>
      </c>
      <c r="P144" s="11" t="s">
        <v>27</v>
      </c>
      <c r="Q144" s="11" t="s">
        <v>27</v>
      </c>
      <c r="R144" s="11"/>
      <c r="S144" s="11">
        <v>6</v>
      </c>
      <c r="T144" s="11"/>
      <c r="U144" s="11" t="s">
        <v>28</v>
      </c>
      <c r="V144" s="16" t="s">
        <v>31</v>
      </c>
    </row>
    <row r="145" spans="1:22" hidden="1" x14ac:dyDescent="0.25">
      <c r="A145" s="10">
        <v>46119</v>
      </c>
      <c r="B145" s="11">
        <v>140964</v>
      </c>
      <c r="C145" s="11" t="s">
        <v>31</v>
      </c>
      <c r="D145" s="11" t="s">
        <v>120</v>
      </c>
      <c r="E145" s="11" t="s">
        <v>121</v>
      </c>
      <c r="F145" s="11" t="s">
        <v>30</v>
      </c>
      <c r="G145" s="12">
        <v>1</v>
      </c>
      <c r="H145" s="13">
        <v>712.8</v>
      </c>
      <c r="I145" s="14">
        <f>vendas2026[[#This Row],[Qtde]]*vendas2026[[#This Row],[VlrUnitário]]</f>
        <v>712.8</v>
      </c>
      <c r="J145" s="309">
        <f>(vendas2026[[#This Row],[VlrTotal]]*0.2)+vendas2026[[#This Row],[VlrTotal]]</f>
        <v>855.3599999999999</v>
      </c>
      <c r="K145" s="15">
        <v>1</v>
      </c>
      <c r="L145" s="15">
        <f>vendas2026[[#This Row],[%Comissão]]*0.25</f>
        <v>0.25</v>
      </c>
      <c r="M145" s="14" t="s">
        <v>26</v>
      </c>
      <c r="N145" s="23">
        <f>vendas2026[[#This Row],[VlrTotal]]*vendas2026[[#This Row],[%Comissão]]</f>
        <v>712.8</v>
      </c>
      <c r="O145" s="14">
        <f>vendas2026[[#This Row],[VlrTotal]]*vendas2026[[#This Row],[%ComissãoSupervisor]]</f>
        <v>178.2</v>
      </c>
      <c r="P145" s="11" t="s">
        <v>27</v>
      </c>
      <c r="Q145" s="11" t="s">
        <v>27</v>
      </c>
      <c r="R145" s="11"/>
      <c r="S145" s="11">
        <v>1</v>
      </c>
      <c r="T145" s="11"/>
      <c r="U145" s="11" t="s">
        <v>28</v>
      </c>
      <c r="V145" s="16" t="s">
        <v>31</v>
      </c>
    </row>
    <row r="146" spans="1:22" hidden="1" x14ac:dyDescent="0.25">
      <c r="A146" s="10">
        <v>46119</v>
      </c>
      <c r="B146" s="11">
        <v>138641</v>
      </c>
      <c r="C146" s="11" t="s">
        <v>22</v>
      </c>
      <c r="D146" s="11" t="s">
        <v>87</v>
      </c>
      <c r="E146" s="11" t="s">
        <v>54</v>
      </c>
      <c r="F146" s="11" t="s">
        <v>30</v>
      </c>
      <c r="G146" s="12">
        <v>10</v>
      </c>
      <c r="H146" s="13">
        <v>142.56</v>
      </c>
      <c r="I146" s="14">
        <f>vendas2026[[#This Row],[Qtde]]*vendas2026[[#This Row],[VlrUnitário]]</f>
        <v>1425.6</v>
      </c>
      <c r="J146" s="309">
        <f>vendas2026[[#This Row],[VlrTotal]]</f>
        <v>1425.6</v>
      </c>
      <c r="K146" s="15">
        <v>1</v>
      </c>
      <c r="L146" s="15">
        <v>0</v>
      </c>
      <c r="M146" s="308" t="s">
        <v>26</v>
      </c>
      <c r="N146" s="23">
        <f>vendas2026[[#This Row],[VlrTotal]]*vendas2026[[#This Row],[%Comissão]]</f>
        <v>1425.6</v>
      </c>
      <c r="O146" s="14">
        <f>vendas2026[[#This Row],[VlrTotal]]*vendas2026[[#This Row],[%ComissãoSupervisor]]</f>
        <v>0</v>
      </c>
      <c r="P146" s="11" t="s">
        <v>36</v>
      </c>
      <c r="Q146" s="11" t="s">
        <v>37</v>
      </c>
      <c r="R146" s="11"/>
      <c r="S146" s="11">
        <v>1</v>
      </c>
      <c r="T146" s="11"/>
      <c r="U146" s="11" t="s">
        <v>38</v>
      </c>
      <c r="V146" s="16" t="s">
        <v>22</v>
      </c>
    </row>
    <row r="147" spans="1:22" hidden="1" x14ac:dyDescent="0.25">
      <c r="A147" s="10">
        <v>46120</v>
      </c>
      <c r="B147" s="11">
        <v>140153</v>
      </c>
      <c r="C147" s="11" t="s">
        <v>31</v>
      </c>
      <c r="D147" s="11" t="s">
        <v>122</v>
      </c>
      <c r="E147" s="11" t="s">
        <v>35</v>
      </c>
      <c r="F147" s="11" t="s">
        <v>35</v>
      </c>
      <c r="G147" s="12">
        <v>48</v>
      </c>
      <c r="H147" s="13">
        <v>176</v>
      </c>
      <c r="I147" s="14">
        <f>vendas2026[[#This Row],[Qtde]]*vendas2026[[#This Row],[VlrUnitário]]</f>
        <v>8448</v>
      </c>
      <c r="J147" s="309">
        <f>vendas2026[[#This Row],[VlrTotal]]</f>
        <v>8448</v>
      </c>
      <c r="K147" s="15">
        <v>0.01</v>
      </c>
      <c r="L147" s="15">
        <f>vendas2026[[#This Row],[%Comissão]]*0.25</f>
        <v>2.5000000000000001E-3</v>
      </c>
      <c r="M147" s="14" t="s">
        <v>26</v>
      </c>
      <c r="N147" s="23">
        <f>vendas2026[[#This Row],[VlrTotal]]*vendas2026[[#This Row],[%Comissão]]</f>
        <v>84.48</v>
      </c>
      <c r="O147" s="14">
        <f>vendas2026[[#This Row],[VlrTotal]]*vendas2026[[#This Row],[%ComissãoSupervisor]]</f>
        <v>21.12</v>
      </c>
      <c r="P147" s="11" t="s">
        <v>36</v>
      </c>
      <c r="Q147" s="11" t="s">
        <v>37</v>
      </c>
      <c r="R147" s="11"/>
      <c r="S147" s="11">
        <v>6</v>
      </c>
      <c r="T147" s="11"/>
      <c r="U147" s="11" t="s">
        <v>38</v>
      </c>
      <c r="V147" s="16" t="s">
        <v>31</v>
      </c>
    </row>
    <row r="148" spans="1:22" hidden="1" x14ac:dyDescent="0.25">
      <c r="A148" s="10">
        <v>46120</v>
      </c>
      <c r="B148" s="11">
        <v>138614</v>
      </c>
      <c r="C148" s="11" t="s">
        <v>22</v>
      </c>
      <c r="D148" s="11" t="s">
        <v>87</v>
      </c>
      <c r="E148" s="11" t="s">
        <v>123</v>
      </c>
      <c r="F148" s="11" t="s">
        <v>30</v>
      </c>
      <c r="G148" s="12">
        <v>60</v>
      </c>
      <c r="H148" s="13">
        <v>19.25</v>
      </c>
      <c r="I148" s="14">
        <f>vendas2026[[#This Row],[Qtde]]*vendas2026[[#This Row],[VlrUnitário]]</f>
        <v>1155</v>
      </c>
      <c r="J148" s="309">
        <f>vendas2026[[#This Row],[VlrTotal]]</f>
        <v>1155</v>
      </c>
      <c r="K148" s="15">
        <v>1</v>
      </c>
      <c r="L148" s="15">
        <v>0</v>
      </c>
      <c r="M148" s="14" t="s">
        <v>46</v>
      </c>
      <c r="N148" s="23">
        <f>vendas2026[[#This Row],[VlrTotal]]*vendas2026[[#This Row],[%Comissão]]</f>
        <v>1155</v>
      </c>
      <c r="O148" s="14">
        <f>vendas2026[[#This Row],[VlrTotal]]*vendas2026[[#This Row],[%ComissãoSupervisor]]</f>
        <v>0</v>
      </c>
      <c r="P148" s="11" t="s">
        <v>27</v>
      </c>
      <c r="Q148" s="11" t="s">
        <v>27</v>
      </c>
      <c r="R148" s="11"/>
      <c r="S148" s="11">
        <v>1</v>
      </c>
      <c r="T148" s="11"/>
      <c r="U148" s="11" t="s">
        <v>28</v>
      </c>
      <c r="V148" s="16" t="s">
        <v>22</v>
      </c>
    </row>
    <row r="149" spans="1:22" hidden="1" x14ac:dyDescent="0.25">
      <c r="A149" s="10">
        <v>46126</v>
      </c>
      <c r="B149" s="11">
        <v>125596</v>
      </c>
      <c r="C149" s="11" t="s">
        <v>22</v>
      </c>
      <c r="D149" s="11" t="s">
        <v>67</v>
      </c>
      <c r="E149" s="11" t="s">
        <v>24</v>
      </c>
      <c r="F149" s="11" t="s">
        <v>25</v>
      </c>
      <c r="G149" s="12">
        <v>43</v>
      </c>
      <c r="H149" s="13">
        <v>169.78</v>
      </c>
      <c r="I149" s="14">
        <f>vendas2026[[#This Row],[Qtde]]*vendas2026[[#This Row],[VlrUnitário]]</f>
        <v>7300.54</v>
      </c>
      <c r="J149" s="309">
        <f>vendas2026[[#This Row],[VlrTotal]]</f>
        <v>7300.54</v>
      </c>
      <c r="K149" s="15">
        <v>3.5900000000000001E-2</v>
      </c>
      <c r="L149" s="15">
        <v>0</v>
      </c>
      <c r="M149" s="14" t="s">
        <v>46</v>
      </c>
      <c r="N149" s="23">
        <f>vendas2026[[#This Row],[VlrTotal]]*vendas2026[[#This Row],[%Comissão]]</f>
        <v>262.08938599999999</v>
      </c>
      <c r="O149" s="14">
        <f>vendas2026[[#This Row],[VlrTotal]]*vendas2026[[#This Row],[%ComissãoSupervisor]]</f>
        <v>0</v>
      </c>
      <c r="P149" s="11" t="s">
        <v>36</v>
      </c>
      <c r="Q149" s="11" t="s">
        <v>37</v>
      </c>
      <c r="R149" s="11"/>
      <c r="S149" s="11">
        <v>6</v>
      </c>
      <c r="T149" s="11"/>
      <c r="U149" s="11" t="s">
        <v>38</v>
      </c>
      <c r="V149" s="16" t="s">
        <v>22</v>
      </c>
    </row>
    <row r="150" spans="1:22" hidden="1" x14ac:dyDescent="0.25">
      <c r="A150" s="10">
        <v>46126</v>
      </c>
      <c r="B150" s="11">
        <v>141238</v>
      </c>
      <c r="C150" s="11" t="s">
        <v>31</v>
      </c>
      <c r="D150" s="11" t="s">
        <v>57</v>
      </c>
      <c r="E150" s="11" t="s">
        <v>69</v>
      </c>
      <c r="F150" s="11" t="s">
        <v>30</v>
      </c>
      <c r="G150" s="12">
        <v>1</v>
      </c>
      <c r="H150" s="13">
        <v>1530</v>
      </c>
      <c r="I150" s="14">
        <f>vendas2026[[#This Row],[Qtde]]*vendas2026[[#This Row],[VlrUnitário]]</f>
        <v>1530</v>
      </c>
      <c r="J150" s="309">
        <f>(vendas2026[[#This Row],[VlrTotal]]*0.2)+vendas2026[[#This Row],[VlrTotal]]</f>
        <v>1836</v>
      </c>
      <c r="K150" s="15">
        <v>1</v>
      </c>
      <c r="L150" s="15">
        <f>vendas2026[[#This Row],[%Comissão]]*0.25</f>
        <v>0.25</v>
      </c>
      <c r="M150" s="14" t="s">
        <v>26</v>
      </c>
      <c r="N150" s="23">
        <f>vendas2026[[#This Row],[VlrTotal]]*vendas2026[[#This Row],[%Comissão]]</f>
        <v>1530</v>
      </c>
      <c r="O150" s="14">
        <f>vendas2026[[#This Row],[VlrTotal]]*vendas2026[[#This Row],[%ComissãoSupervisor]]</f>
        <v>382.5</v>
      </c>
      <c r="P150" s="11" t="s">
        <v>27</v>
      </c>
      <c r="Q150" s="11" t="s">
        <v>27</v>
      </c>
      <c r="R150" s="11"/>
      <c r="S150" s="11">
        <v>6</v>
      </c>
      <c r="T150" s="11"/>
      <c r="U150" s="11" t="s">
        <v>28</v>
      </c>
      <c r="V150" s="16" t="s">
        <v>31</v>
      </c>
    </row>
    <row r="151" spans="1:22" hidden="1" x14ac:dyDescent="0.25">
      <c r="A151" s="10">
        <v>46126</v>
      </c>
      <c r="B151" s="11">
        <v>141238</v>
      </c>
      <c r="C151" s="11" t="s">
        <v>31</v>
      </c>
      <c r="D151" s="11" t="s">
        <v>57</v>
      </c>
      <c r="E151" s="11" t="s">
        <v>69</v>
      </c>
      <c r="F151" s="11" t="s">
        <v>41</v>
      </c>
      <c r="G151" s="12">
        <v>1</v>
      </c>
      <c r="H151" s="13">
        <v>10480</v>
      </c>
      <c r="I151" s="14">
        <f>vendas2026[[#This Row],[Qtde]]*vendas2026[[#This Row],[VlrUnitário]]</f>
        <v>10480</v>
      </c>
      <c r="J151" s="309">
        <f>(vendas2026[[#This Row],[VlrTotal]]*0.2)+vendas2026[[#This Row],[VlrTotal]]</f>
        <v>12576</v>
      </c>
      <c r="K151" s="15">
        <v>7.0000000000000007E-2</v>
      </c>
      <c r="L151" s="15">
        <f>vendas2026[[#This Row],[%Comissão]]*0.25</f>
        <v>1.7500000000000002E-2</v>
      </c>
      <c r="M151" s="14" t="s">
        <v>26</v>
      </c>
      <c r="N151" s="23">
        <f>vendas2026[[#This Row],[VlrTotal]]*vendas2026[[#This Row],[%Comissão]]</f>
        <v>733.6</v>
      </c>
      <c r="O151" s="14">
        <f>vendas2026[[#This Row],[VlrTotal]]*vendas2026[[#This Row],[%ComissãoSupervisor]]</f>
        <v>183.4</v>
      </c>
      <c r="P151" s="11" t="s">
        <v>27</v>
      </c>
      <c r="Q151" s="11" t="s">
        <v>27</v>
      </c>
      <c r="R151" s="11"/>
      <c r="S151" s="11">
        <v>6</v>
      </c>
      <c r="T151" s="11"/>
      <c r="U151" s="11" t="s">
        <v>28</v>
      </c>
      <c r="V151" s="16" t="s">
        <v>31</v>
      </c>
    </row>
    <row r="152" spans="1:22" hidden="1" x14ac:dyDescent="0.25">
      <c r="A152" s="10">
        <v>46131</v>
      </c>
      <c r="B152" s="11">
        <v>140455</v>
      </c>
      <c r="C152" s="11" t="s">
        <v>31</v>
      </c>
      <c r="D152" s="11" t="s">
        <v>64</v>
      </c>
      <c r="E152" s="11" t="s">
        <v>35</v>
      </c>
      <c r="F152" s="11" t="s">
        <v>35</v>
      </c>
      <c r="G152" s="12">
        <v>1</v>
      </c>
      <c r="H152" s="13">
        <v>1056</v>
      </c>
      <c r="I152" s="14">
        <f>vendas2026[[#This Row],[Qtde]]*vendas2026[[#This Row],[VlrUnitário]]</f>
        <v>1056</v>
      </c>
      <c r="J152" s="309">
        <f>vendas2026[[#This Row],[VlrTotal]]</f>
        <v>1056</v>
      </c>
      <c r="K152" s="15">
        <v>0.01</v>
      </c>
      <c r="L152" s="15">
        <f>vendas2026[[#This Row],[%Comissão]]*0.25</f>
        <v>2.5000000000000001E-3</v>
      </c>
      <c r="M152" s="14" t="s">
        <v>26</v>
      </c>
      <c r="N152" s="23">
        <f>vendas2026[[#This Row],[VlrTotal]]*vendas2026[[#This Row],[%Comissão]]</f>
        <v>10.56</v>
      </c>
      <c r="O152" s="14">
        <f>vendas2026[[#This Row],[VlrTotal]]*vendas2026[[#This Row],[%ComissãoSupervisor]]</f>
        <v>2.64</v>
      </c>
      <c r="P152" s="11" t="s">
        <v>36</v>
      </c>
      <c r="Q152" s="11" t="s">
        <v>37</v>
      </c>
      <c r="R152" s="11"/>
      <c r="S152" s="11">
        <v>3</v>
      </c>
      <c r="T152" s="11"/>
      <c r="U152" s="11" t="s">
        <v>38</v>
      </c>
      <c r="V152" s="16" t="s">
        <v>31</v>
      </c>
    </row>
    <row r="153" spans="1:22" hidden="1" x14ac:dyDescent="0.25">
      <c r="A153" s="10">
        <v>46136</v>
      </c>
      <c r="B153" s="11">
        <v>141764</v>
      </c>
      <c r="C153" s="11" t="s">
        <v>31</v>
      </c>
      <c r="D153" s="11" t="s">
        <v>124</v>
      </c>
      <c r="E153" s="11" t="s">
        <v>35</v>
      </c>
      <c r="F153" s="11" t="s">
        <v>35</v>
      </c>
      <c r="G153" s="12">
        <v>2</v>
      </c>
      <c r="H153" s="13">
        <v>176</v>
      </c>
      <c r="I153" s="14">
        <f>vendas2026[[#This Row],[Qtde]]*vendas2026[[#This Row],[VlrUnitário]]</f>
        <v>352</v>
      </c>
      <c r="J153" s="309">
        <f>vendas2026[[#This Row],[VlrTotal]]</f>
        <v>352</v>
      </c>
      <c r="K153" s="15">
        <v>0.01</v>
      </c>
      <c r="L153" s="15">
        <f>vendas2026[[#This Row],[%Comissão]]*0.25</f>
        <v>2.5000000000000001E-3</v>
      </c>
      <c r="M153" s="14" t="s">
        <v>26</v>
      </c>
      <c r="N153" s="23">
        <f>vendas2026[[#This Row],[VlrTotal]]*vendas2026[[#This Row],[%Comissão]]</f>
        <v>3.52</v>
      </c>
      <c r="O153" s="14">
        <f>vendas2026[[#This Row],[VlrTotal]]*vendas2026[[#This Row],[%ComissãoSupervisor]]</f>
        <v>0.88</v>
      </c>
      <c r="P153" s="11" t="s">
        <v>36</v>
      </c>
      <c r="Q153" s="11" t="s">
        <v>37</v>
      </c>
      <c r="R153" s="11"/>
      <c r="S153" s="11">
        <v>1</v>
      </c>
      <c r="T153" s="11"/>
      <c r="U153" s="11" t="s">
        <v>38</v>
      </c>
      <c r="V153" s="16" t="s">
        <v>31</v>
      </c>
    </row>
    <row r="154" spans="1:22" hidden="1" x14ac:dyDescent="0.25">
      <c r="A154" s="10">
        <v>46140</v>
      </c>
      <c r="B154" s="11">
        <v>142146</v>
      </c>
      <c r="C154" s="11" t="s">
        <v>22</v>
      </c>
      <c r="D154" s="11" t="s">
        <v>87</v>
      </c>
      <c r="E154" s="11" t="s">
        <v>69</v>
      </c>
      <c r="F154" s="11" t="s">
        <v>41</v>
      </c>
      <c r="G154" s="12">
        <v>1</v>
      </c>
      <c r="H154" s="13">
        <v>10500</v>
      </c>
      <c r="I154" s="14">
        <f>vendas2026[[#This Row],[Qtde]]*vendas2026[[#This Row],[VlrUnitário]]</f>
        <v>10500</v>
      </c>
      <c r="J154" s="309">
        <f>vendas2026[[#This Row],[VlrTotal]]</f>
        <v>10500</v>
      </c>
      <c r="K154" s="15">
        <v>7.0000000000000007E-2</v>
      </c>
      <c r="L154" s="15">
        <v>0</v>
      </c>
      <c r="M154" s="14" t="s">
        <v>46</v>
      </c>
      <c r="N154" s="23">
        <f>vendas2026[[#This Row],[VlrTotal]]*vendas2026[[#This Row],[%Comissão]]</f>
        <v>735.00000000000011</v>
      </c>
      <c r="O154" s="14">
        <f>vendas2026[[#This Row],[VlrTotal]]*vendas2026[[#This Row],[%ComissãoSupervisor]]</f>
        <v>0</v>
      </c>
      <c r="P154" s="11" t="s">
        <v>27</v>
      </c>
      <c r="Q154" s="11" t="s">
        <v>27</v>
      </c>
      <c r="R154" s="11"/>
      <c r="S154" s="11">
        <v>6</v>
      </c>
      <c r="T154" s="11"/>
      <c r="U154" s="11" t="s">
        <v>28</v>
      </c>
      <c r="V154" s="16" t="s">
        <v>22</v>
      </c>
    </row>
    <row r="155" spans="1:22" hidden="1" x14ac:dyDescent="0.25">
      <c r="A155" s="10">
        <v>46140</v>
      </c>
      <c r="B155" s="11">
        <v>142146</v>
      </c>
      <c r="C155" s="11" t="s">
        <v>22</v>
      </c>
      <c r="D155" s="11" t="s">
        <v>87</v>
      </c>
      <c r="E155" s="11" t="s">
        <v>69</v>
      </c>
      <c r="F155" s="11" t="s">
        <v>30</v>
      </c>
      <c r="G155" s="12">
        <v>1</v>
      </c>
      <c r="H155" s="13">
        <v>1700</v>
      </c>
      <c r="I155" s="14">
        <f>vendas2026[[#This Row],[Qtde]]*vendas2026[[#This Row],[VlrUnitário]]</f>
        <v>1700</v>
      </c>
      <c r="J155" s="309">
        <f>vendas2026[[#This Row],[VlrTotal]]</f>
        <v>1700</v>
      </c>
      <c r="K155" s="15">
        <v>1</v>
      </c>
      <c r="L155" s="15">
        <v>0</v>
      </c>
      <c r="M155" s="14" t="s">
        <v>46</v>
      </c>
      <c r="N155" s="23">
        <f>vendas2026[[#This Row],[VlrTotal]]*vendas2026[[#This Row],[%Comissão]]</f>
        <v>1700</v>
      </c>
      <c r="O155" s="14">
        <f>vendas2026[[#This Row],[VlrTotal]]*vendas2026[[#This Row],[%ComissãoSupervisor]]</f>
        <v>0</v>
      </c>
      <c r="P155" s="11" t="s">
        <v>27</v>
      </c>
      <c r="Q155" s="11" t="s">
        <v>27</v>
      </c>
      <c r="R155" s="11"/>
      <c r="S155" s="11">
        <v>1</v>
      </c>
      <c r="T155" s="11"/>
      <c r="U155" s="11" t="s">
        <v>28</v>
      </c>
      <c r="V155" s="16" t="s">
        <v>22</v>
      </c>
    </row>
    <row r="156" spans="1:22" hidden="1" x14ac:dyDescent="0.25">
      <c r="A156" s="10">
        <v>46140</v>
      </c>
      <c r="B156" s="11">
        <v>142325</v>
      </c>
      <c r="C156" s="11" t="s">
        <v>22</v>
      </c>
      <c r="D156" s="11" t="s">
        <v>82</v>
      </c>
      <c r="E156" s="11" t="s">
        <v>69</v>
      </c>
      <c r="F156" s="11" t="s">
        <v>41</v>
      </c>
      <c r="G156" s="12">
        <v>1</v>
      </c>
      <c r="H156" s="13">
        <v>10500</v>
      </c>
      <c r="I156" s="14">
        <f>vendas2026[[#This Row],[Qtde]]*vendas2026[[#This Row],[VlrUnitário]]</f>
        <v>10500</v>
      </c>
      <c r="J156" s="309">
        <f>vendas2026[[#This Row],[VlrTotal]]</f>
        <v>10500</v>
      </c>
      <c r="K156" s="15">
        <v>7.0000000000000007E-2</v>
      </c>
      <c r="L156" s="15">
        <v>0</v>
      </c>
      <c r="M156" s="14" t="s">
        <v>46</v>
      </c>
      <c r="N156" s="23">
        <f>vendas2026[[#This Row],[VlrTotal]]*vendas2026[[#This Row],[%Comissão]]</f>
        <v>735.00000000000011</v>
      </c>
      <c r="O156" s="14">
        <f>vendas2026[[#This Row],[VlrTotal]]*vendas2026[[#This Row],[%ComissãoSupervisor]]</f>
        <v>0</v>
      </c>
      <c r="P156" s="11" t="s">
        <v>27</v>
      </c>
      <c r="Q156" s="11" t="s">
        <v>27</v>
      </c>
      <c r="R156" s="11"/>
      <c r="S156" s="11">
        <v>6</v>
      </c>
      <c r="T156" s="11"/>
      <c r="U156" s="11" t="s">
        <v>28</v>
      </c>
      <c r="V156" s="16" t="s">
        <v>22</v>
      </c>
    </row>
    <row r="157" spans="1:22" hidden="1" x14ac:dyDescent="0.25">
      <c r="A157" s="10">
        <v>46140</v>
      </c>
      <c r="B157" s="11">
        <v>142325</v>
      </c>
      <c r="C157" s="11" t="s">
        <v>22</v>
      </c>
      <c r="D157" s="11" t="s">
        <v>82</v>
      </c>
      <c r="E157" s="11" t="s">
        <v>69</v>
      </c>
      <c r="F157" s="11" t="s">
        <v>30</v>
      </c>
      <c r="G157" s="12">
        <v>1</v>
      </c>
      <c r="H157" s="13">
        <v>1700</v>
      </c>
      <c r="I157" s="14">
        <f>vendas2026[[#This Row],[Qtde]]*vendas2026[[#This Row],[VlrUnitário]]</f>
        <v>1700</v>
      </c>
      <c r="J157" s="309">
        <f>vendas2026[[#This Row],[VlrTotal]]</f>
        <v>1700</v>
      </c>
      <c r="K157" s="15">
        <v>1</v>
      </c>
      <c r="L157" s="15">
        <v>0</v>
      </c>
      <c r="M157" s="14" t="s">
        <v>46</v>
      </c>
      <c r="N157" s="23">
        <f>vendas2026[[#This Row],[VlrTotal]]*vendas2026[[#This Row],[%Comissão]]</f>
        <v>1700</v>
      </c>
      <c r="O157" s="14">
        <f>vendas2026[[#This Row],[VlrTotal]]*vendas2026[[#This Row],[%ComissãoSupervisor]]</f>
        <v>0</v>
      </c>
      <c r="P157" s="11" t="s">
        <v>27</v>
      </c>
      <c r="Q157" s="11" t="s">
        <v>27</v>
      </c>
      <c r="R157" s="11"/>
      <c r="S157" s="11">
        <v>1</v>
      </c>
      <c r="T157" s="11"/>
      <c r="U157" s="11" t="s">
        <v>28</v>
      </c>
      <c r="V157" s="16" t="s">
        <v>22</v>
      </c>
    </row>
    <row r="158" spans="1:22" hidden="1" x14ac:dyDescent="0.25">
      <c r="A158" s="10">
        <v>46140</v>
      </c>
      <c r="B158" s="11">
        <v>142326</v>
      </c>
      <c r="C158" s="11" t="s">
        <v>22</v>
      </c>
      <c r="D158" s="11" t="s">
        <v>125</v>
      </c>
      <c r="E158" s="11" t="s">
        <v>69</v>
      </c>
      <c r="F158" s="11" t="s">
        <v>41</v>
      </c>
      <c r="G158" s="12">
        <v>1</v>
      </c>
      <c r="H158" s="13">
        <v>10500</v>
      </c>
      <c r="I158" s="14">
        <f>vendas2026[[#This Row],[Qtde]]*vendas2026[[#This Row],[VlrUnitário]]</f>
        <v>10500</v>
      </c>
      <c r="J158" s="309">
        <f>vendas2026[[#This Row],[VlrTotal]]</f>
        <v>10500</v>
      </c>
      <c r="K158" s="15">
        <v>7.0000000000000007E-2</v>
      </c>
      <c r="L158" s="15">
        <v>0</v>
      </c>
      <c r="M158" s="14" t="s">
        <v>46</v>
      </c>
      <c r="N158" s="23">
        <f>vendas2026[[#This Row],[VlrTotal]]*vendas2026[[#This Row],[%Comissão]]</f>
        <v>735.00000000000011</v>
      </c>
      <c r="O158" s="14">
        <f>vendas2026[[#This Row],[VlrTotal]]*vendas2026[[#This Row],[%ComissãoSupervisor]]</f>
        <v>0</v>
      </c>
      <c r="P158" s="11" t="s">
        <v>27</v>
      </c>
      <c r="Q158" s="11" t="s">
        <v>27</v>
      </c>
      <c r="R158" s="11"/>
      <c r="S158" s="11">
        <v>6</v>
      </c>
      <c r="T158" s="11"/>
      <c r="U158" s="11" t="s">
        <v>28</v>
      </c>
      <c r="V158" s="16" t="s">
        <v>22</v>
      </c>
    </row>
    <row r="159" spans="1:22" hidden="1" x14ac:dyDescent="0.25">
      <c r="A159" s="10">
        <v>46140</v>
      </c>
      <c r="B159" s="11">
        <v>142326</v>
      </c>
      <c r="C159" s="11" t="s">
        <v>22</v>
      </c>
      <c r="D159" s="11" t="s">
        <v>125</v>
      </c>
      <c r="E159" s="11" t="s">
        <v>69</v>
      </c>
      <c r="F159" s="11" t="s">
        <v>30</v>
      </c>
      <c r="G159" s="12">
        <v>1</v>
      </c>
      <c r="H159" s="13">
        <v>1700</v>
      </c>
      <c r="I159" s="14">
        <f>vendas2026[[#This Row],[Qtde]]*vendas2026[[#This Row],[VlrUnitário]]</f>
        <v>1700</v>
      </c>
      <c r="J159" s="309">
        <f>vendas2026[[#This Row],[VlrTotal]]</f>
        <v>1700</v>
      </c>
      <c r="K159" s="15">
        <v>1</v>
      </c>
      <c r="L159" s="15">
        <v>0</v>
      </c>
      <c r="M159" s="14" t="s">
        <v>46</v>
      </c>
      <c r="N159" s="23">
        <f>vendas2026[[#This Row],[VlrTotal]]*vendas2026[[#This Row],[%Comissão]]</f>
        <v>1700</v>
      </c>
      <c r="O159" s="14">
        <f>vendas2026[[#This Row],[VlrTotal]]*vendas2026[[#This Row],[%ComissãoSupervisor]]</f>
        <v>0</v>
      </c>
      <c r="P159" s="11" t="s">
        <v>27</v>
      </c>
      <c r="Q159" s="11" t="s">
        <v>27</v>
      </c>
      <c r="R159" s="11"/>
      <c r="S159" s="11">
        <v>1</v>
      </c>
      <c r="T159" s="11"/>
      <c r="U159" s="11" t="s">
        <v>28</v>
      </c>
      <c r="V159" s="16" t="s">
        <v>22</v>
      </c>
    </row>
    <row r="160" spans="1:22" hidden="1" x14ac:dyDescent="0.25">
      <c r="A160" s="10">
        <v>46140</v>
      </c>
      <c r="B160" s="11">
        <v>140910</v>
      </c>
      <c r="C160" s="11" t="s">
        <v>31</v>
      </c>
      <c r="D160" s="11" t="s">
        <v>126</v>
      </c>
      <c r="E160" s="11" t="s">
        <v>35</v>
      </c>
      <c r="F160" s="11" t="s">
        <v>35</v>
      </c>
      <c r="G160" s="12">
        <v>8</v>
      </c>
      <c r="H160" s="13">
        <v>176</v>
      </c>
      <c r="I160" s="14">
        <f>vendas2026[[#This Row],[Qtde]]*vendas2026[[#This Row],[VlrUnitário]]</f>
        <v>1408</v>
      </c>
      <c r="J160" s="309">
        <f>vendas2026[[#This Row],[VlrTotal]]</f>
        <v>1408</v>
      </c>
      <c r="K160" s="15">
        <v>0.01</v>
      </c>
      <c r="L160" s="15">
        <f>vendas2026[[#This Row],[%Comissão]]*0.25</f>
        <v>2.5000000000000001E-3</v>
      </c>
      <c r="M160" s="14" t="s">
        <v>26</v>
      </c>
      <c r="N160" s="23">
        <f>vendas2026[[#This Row],[VlrTotal]]*vendas2026[[#This Row],[%Comissão]]</f>
        <v>14.08</v>
      </c>
      <c r="O160" s="14">
        <f>vendas2026[[#This Row],[VlrTotal]]*vendas2026[[#This Row],[%ComissãoSupervisor]]</f>
        <v>3.52</v>
      </c>
      <c r="P160" s="11" t="s">
        <v>36</v>
      </c>
      <c r="Q160" s="11" t="s">
        <v>37</v>
      </c>
      <c r="R160" s="11"/>
      <c r="S160" s="11">
        <v>1</v>
      </c>
      <c r="T160" s="11"/>
      <c r="U160" s="11" t="s">
        <v>38</v>
      </c>
      <c r="V160" s="16" t="s">
        <v>31</v>
      </c>
    </row>
    <row r="161" spans="1:22" hidden="1" x14ac:dyDescent="0.25">
      <c r="A161" s="10">
        <v>46140</v>
      </c>
      <c r="B161" s="11">
        <v>141508</v>
      </c>
      <c r="C161" s="11" t="s">
        <v>31</v>
      </c>
      <c r="D161" s="11" t="s">
        <v>57</v>
      </c>
      <c r="E161" s="11" t="s">
        <v>35</v>
      </c>
      <c r="F161" s="11" t="s">
        <v>35</v>
      </c>
      <c r="G161" s="12">
        <v>3</v>
      </c>
      <c r="H161" s="13">
        <v>176</v>
      </c>
      <c r="I161" s="14">
        <f>vendas2026[[#This Row],[Qtde]]*vendas2026[[#This Row],[VlrUnitário]]</f>
        <v>528</v>
      </c>
      <c r="J161" s="309">
        <f>vendas2026[[#This Row],[VlrTotal]]</f>
        <v>528</v>
      </c>
      <c r="K161" s="15">
        <v>0.01</v>
      </c>
      <c r="L161" s="15">
        <f>vendas2026[[#This Row],[%Comissão]]*0.25</f>
        <v>2.5000000000000001E-3</v>
      </c>
      <c r="M161" s="14" t="s">
        <v>26</v>
      </c>
      <c r="N161" s="23">
        <f>vendas2026[[#This Row],[VlrTotal]]*vendas2026[[#This Row],[%Comissão]]</f>
        <v>5.28</v>
      </c>
      <c r="O161" s="14">
        <f>vendas2026[[#This Row],[VlrTotal]]*vendas2026[[#This Row],[%ComissãoSupervisor]]</f>
        <v>1.32</v>
      </c>
      <c r="P161" s="11" t="s">
        <v>36</v>
      </c>
      <c r="Q161" s="11" t="s">
        <v>37</v>
      </c>
      <c r="R161" s="11"/>
      <c r="S161" s="11">
        <v>1</v>
      </c>
      <c r="T161" s="11"/>
      <c r="U161" s="11" t="s">
        <v>38</v>
      </c>
      <c r="V161" s="16" t="s">
        <v>31</v>
      </c>
    </row>
    <row r="162" spans="1:22" hidden="1" x14ac:dyDescent="0.25">
      <c r="A162" s="10">
        <v>46140</v>
      </c>
      <c r="B162" s="11">
        <v>140836</v>
      </c>
      <c r="C162" s="11" t="s">
        <v>31</v>
      </c>
      <c r="D162" s="11" t="s">
        <v>87</v>
      </c>
      <c r="E162" s="11" t="s">
        <v>35</v>
      </c>
      <c r="F162" s="11" t="s">
        <v>35</v>
      </c>
      <c r="G162" s="12">
        <v>52</v>
      </c>
      <c r="H162" s="13">
        <v>176</v>
      </c>
      <c r="I162" s="14">
        <f>vendas2026[[#This Row],[Qtde]]*vendas2026[[#This Row],[VlrUnitário]]</f>
        <v>9152</v>
      </c>
      <c r="J162" s="309">
        <f>vendas2026[[#This Row],[VlrTotal]]</f>
        <v>9152</v>
      </c>
      <c r="K162" s="15">
        <v>0.01</v>
      </c>
      <c r="L162" s="15">
        <f>vendas2026[[#This Row],[%Comissão]]*0.25</f>
        <v>2.5000000000000001E-3</v>
      </c>
      <c r="M162" s="14" t="s">
        <v>26</v>
      </c>
      <c r="N162" s="23">
        <f>vendas2026[[#This Row],[VlrTotal]]*vendas2026[[#This Row],[%Comissão]]</f>
        <v>91.52</v>
      </c>
      <c r="O162" s="14">
        <f>vendas2026[[#This Row],[VlrTotal]]*vendas2026[[#This Row],[%ComissãoSupervisor]]</f>
        <v>22.88</v>
      </c>
      <c r="P162" s="11" t="s">
        <v>36</v>
      </c>
      <c r="Q162" s="11" t="s">
        <v>37</v>
      </c>
      <c r="R162" s="11"/>
      <c r="S162" s="11">
        <v>1</v>
      </c>
      <c r="T162" s="11"/>
      <c r="U162" s="11" t="s">
        <v>38</v>
      </c>
      <c r="V162" s="16" t="s">
        <v>31</v>
      </c>
    </row>
    <row r="163" spans="1:22" hidden="1" x14ac:dyDescent="0.25">
      <c r="A163" s="10">
        <v>46140</v>
      </c>
      <c r="B163" s="11">
        <v>138986</v>
      </c>
      <c r="C163" s="11" t="s">
        <v>31</v>
      </c>
      <c r="D163" s="11" t="s">
        <v>92</v>
      </c>
      <c r="E163" s="11" t="s">
        <v>35</v>
      </c>
      <c r="F163" s="11" t="s">
        <v>35</v>
      </c>
      <c r="G163" s="12">
        <v>12</v>
      </c>
      <c r="H163" s="13">
        <v>176</v>
      </c>
      <c r="I163" s="14">
        <f>vendas2026[[#This Row],[Qtde]]*vendas2026[[#This Row],[VlrUnitário]]</f>
        <v>2112</v>
      </c>
      <c r="J163" s="309">
        <f>vendas2026[[#This Row],[VlrTotal]]</f>
        <v>2112</v>
      </c>
      <c r="K163" s="15">
        <v>0.01</v>
      </c>
      <c r="L163" s="15">
        <f>vendas2026[[#This Row],[%Comissão]]*0.25</f>
        <v>2.5000000000000001E-3</v>
      </c>
      <c r="M163" s="14" t="s">
        <v>26</v>
      </c>
      <c r="N163" s="23">
        <f>vendas2026[[#This Row],[VlrTotal]]*vendas2026[[#This Row],[%Comissão]]</f>
        <v>21.12</v>
      </c>
      <c r="O163" s="14">
        <f>vendas2026[[#This Row],[VlrTotal]]*vendas2026[[#This Row],[%ComissãoSupervisor]]</f>
        <v>5.28</v>
      </c>
      <c r="P163" s="11" t="s">
        <v>36</v>
      </c>
      <c r="Q163" s="11" t="s">
        <v>37</v>
      </c>
      <c r="R163" s="11"/>
      <c r="S163" s="11">
        <v>1</v>
      </c>
      <c r="T163" s="11"/>
      <c r="U163" s="11" t="s">
        <v>38</v>
      </c>
      <c r="V163" s="16" t="s">
        <v>31</v>
      </c>
    </row>
    <row r="164" spans="1:22" hidden="1" x14ac:dyDescent="0.25">
      <c r="A164" s="10">
        <v>46140</v>
      </c>
      <c r="B164" s="11">
        <v>130958</v>
      </c>
      <c r="C164" s="11" t="s">
        <v>31</v>
      </c>
      <c r="D164" s="11" t="s">
        <v>127</v>
      </c>
      <c r="E164" s="11" t="s">
        <v>35</v>
      </c>
      <c r="F164" s="11" t="s">
        <v>35</v>
      </c>
      <c r="G164" s="12">
        <v>20</v>
      </c>
      <c r="H164" s="13">
        <v>176</v>
      </c>
      <c r="I164" s="14">
        <f>vendas2026[[#This Row],[Qtde]]*vendas2026[[#This Row],[VlrUnitário]]</f>
        <v>3520</v>
      </c>
      <c r="J164" s="309">
        <f>vendas2026[[#This Row],[VlrTotal]]</f>
        <v>3520</v>
      </c>
      <c r="K164" s="15">
        <v>0.01</v>
      </c>
      <c r="L164" s="15">
        <f>vendas2026[[#This Row],[%Comissão]]*0.25</f>
        <v>2.5000000000000001E-3</v>
      </c>
      <c r="M164" s="14" t="s">
        <v>26</v>
      </c>
      <c r="N164" s="23">
        <f>vendas2026[[#This Row],[VlrTotal]]*vendas2026[[#This Row],[%Comissão]]</f>
        <v>35.200000000000003</v>
      </c>
      <c r="O164" s="14">
        <f>vendas2026[[#This Row],[VlrTotal]]*vendas2026[[#This Row],[%ComissãoSupervisor]]</f>
        <v>8.8000000000000007</v>
      </c>
      <c r="P164" s="11" t="s">
        <v>36</v>
      </c>
      <c r="Q164" s="11" t="s">
        <v>37</v>
      </c>
      <c r="R164" s="11"/>
      <c r="S164" s="11">
        <v>3</v>
      </c>
      <c r="T164" s="11"/>
      <c r="U164" s="11" t="s">
        <v>38</v>
      </c>
      <c r="V164" s="16" t="s">
        <v>31</v>
      </c>
    </row>
    <row r="165" spans="1:22" hidden="1" x14ac:dyDescent="0.25">
      <c r="A165" s="10">
        <v>46140</v>
      </c>
      <c r="B165" s="11">
        <v>139375</v>
      </c>
      <c r="C165" s="11" t="s">
        <v>31</v>
      </c>
      <c r="D165" s="11" t="s">
        <v>128</v>
      </c>
      <c r="E165" s="11" t="s">
        <v>35</v>
      </c>
      <c r="F165" s="11" t="s">
        <v>35</v>
      </c>
      <c r="G165" s="12">
        <v>6</v>
      </c>
      <c r="H165" s="13">
        <v>176</v>
      </c>
      <c r="I165" s="14">
        <f>vendas2026[[#This Row],[Qtde]]*vendas2026[[#This Row],[VlrUnitário]]</f>
        <v>1056</v>
      </c>
      <c r="J165" s="309">
        <f>vendas2026[[#This Row],[VlrTotal]]</f>
        <v>1056</v>
      </c>
      <c r="K165" s="15">
        <v>0.01</v>
      </c>
      <c r="L165" s="15">
        <f>vendas2026[[#This Row],[%Comissão]]*0.25</f>
        <v>2.5000000000000001E-3</v>
      </c>
      <c r="M165" s="14" t="s">
        <v>26</v>
      </c>
      <c r="N165" s="23">
        <f>vendas2026[[#This Row],[VlrTotal]]*vendas2026[[#This Row],[%Comissão]]</f>
        <v>10.56</v>
      </c>
      <c r="O165" s="14">
        <f>vendas2026[[#This Row],[VlrTotal]]*vendas2026[[#This Row],[%ComissãoSupervisor]]</f>
        <v>2.64</v>
      </c>
      <c r="P165" s="11" t="s">
        <v>36</v>
      </c>
      <c r="Q165" s="11" t="s">
        <v>37</v>
      </c>
      <c r="R165" s="11"/>
      <c r="S165" s="11">
        <v>3</v>
      </c>
      <c r="T165" s="11"/>
      <c r="U165" s="11" t="s">
        <v>38</v>
      </c>
      <c r="V165" s="16" t="s">
        <v>31</v>
      </c>
    </row>
    <row r="166" spans="1:22" hidden="1" x14ac:dyDescent="0.25">
      <c r="A166" s="90">
        <v>46147</v>
      </c>
      <c r="B166" s="11">
        <v>138641</v>
      </c>
      <c r="C166" s="11" t="s">
        <v>22</v>
      </c>
      <c r="D166" s="11" t="s">
        <v>87</v>
      </c>
      <c r="E166" s="11" t="s">
        <v>54</v>
      </c>
      <c r="F166" s="11" t="s">
        <v>30</v>
      </c>
      <c r="G166" s="12">
        <v>6</v>
      </c>
      <c r="H166" s="13">
        <v>142.56</v>
      </c>
      <c r="I166" s="14">
        <f>vendas2026[[#This Row],[Qtde]]*vendas2026[[#This Row],[VlrUnitário]]</f>
        <v>855.36</v>
      </c>
      <c r="J166" s="382">
        <f>vendas2026[[#This Row],[VlrTotal]]</f>
        <v>855.36</v>
      </c>
      <c r="K166" s="15">
        <v>1</v>
      </c>
      <c r="L166" s="15">
        <v>0</v>
      </c>
      <c r="M166" s="14" t="s">
        <v>46</v>
      </c>
      <c r="N166" s="23">
        <f>vendas2026[[#This Row],[VlrTotal]]*vendas2026[[#This Row],[%Comissão]]</f>
        <v>855.36</v>
      </c>
      <c r="O166" s="14">
        <f>vendas2026[[#This Row],[VlrTotal]]*vendas2026[[#This Row],[%ComissãoSupervisor]]</f>
        <v>0</v>
      </c>
      <c r="P166" s="11" t="s">
        <v>36</v>
      </c>
      <c r="Q166" s="11" t="s">
        <v>37</v>
      </c>
      <c r="R166" s="11"/>
      <c r="S166" s="11">
        <v>1</v>
      </c>
      <c r="T166" s="379"/>
      <c r="U166" s="11" t="s">
        <v>38</v>
      </c>
      <c r="V166" s="16" t="s">
        <v>22</v>
      </c>
    </row>
    <row r="167" spans="1:22" hidden="1" x14ac:dyDescent="0.25">
      <c r="A167" s="10">
        <v>46147</v>
      </c>
      <c r="B167" s="11">
        <v>142282</v>
      </c>
      <c r="C167" s="11" t="s">
        <v>31</v>
      </c>
      <c r="D167" s="11" t="s">
        <v>66</v>
      </c>
      <c r="E167" s="11" t="s">
        <v>56</v>
      </c>
      <c r="F167" s="11" t="s">
        <v>25</v>
      </c>
      <c r="G167" s="12">
        <v>2</v>
      </c>
      <c r="H167" s="13">
        <v>210</v>
      </c>
      <c r="I167" s="14">
        <f>vendas2026[[#This Row],[Qtde]]*vendas2026[[#This Row],[VlrUnitário]]</f>
        <v>420</v>
      </c>
      <c r="J167" s="382">
        <f>(vendas2026[[#This Row],[VlrTotal]]*0.2)+vendas2026[[#This Row],[VlrTotal]]</f>
        <v>504</v>
      </c>
      <c r="K167" s="15">
        <v>7.0000000000000007E-2</v>
      </c>
      <c r="L167" s="15">
        <f>vendas2026[[#This Row],[%Comissão]]*0.25</f>
        <v>1.7500000000000002E-2</v>
      </c>
      <c r="M167" s="14" t="s">
        <v>46</v>
      </c>
      <c r="N167" s="23">
        <f>vendas2026[[#This Row],[VlrTotal]]*vendas2026[[#This Row],[%Comissão]]</f>
        <v>29.400000000000002</v>
      </c>
      <c r="O167" s="14">
        <f>vendas2026[[#This Row],[VlrTotal]]*vendas2026[[#This Row],[%ComissãoSupervisor]]</f>
        <v>7.3500000000000005</v>
      </c>
      <c r="P167" s="11" t="s">
        <v>27</v>
      </c>
      <c r="Q167" s="11" t="s">
        <v>27</v>
      </c>
      <c r="R167" s="11"/>
      <c r="S167" s="11">
        <v>1</v>
      </c>
      <c r="T167" s="380">
        <v>46147</v>
      </c>
      <c r="U167" s="11" t="s">
        <v>28</v>
      </c>
      <c r="V167" s="16" t="s">
        <v>31</v>
      </c>
    </row>
    <row r="168" spans="1:22" hidden="1" x14ac:dyDescent="0.25">
      <c r="A168" s="10">
        <v>46147</v>
      </c>
      <c r="B168" s="11">
        <v>142282</v>
      </c>
      <c r="C168" s="11" t="s">
        <v>31</v>
      </c>
      <c r="D168" s="11" t="s">
        <v>66</v>
      </c>
      <c r="E168" s="11" t="s">
        <v>56</v>
      </c>
      <c r="F168" s="11" t="s">
        <v>30</v>
      </c>
      <c r="G168" s="12">
        <v>1</v>
      </c>
      <c r="H168" s="13">
        <v>356.4</v>
      </c>
      <c r="I168" s="14">
        <f>vendas2026[[#This Row],[Qtde]]*vendas2026[[#This Row],[VlrUnitário]]</f>
        <v>356.4</v>
      </c>
      <c r="J168" s="382">
        <f>(vendas2026[[#This Row],[VlrTotal]]*0.2)+vendas2026[[#This Row],[VlrTotal]]</f>
        <v>427.67999999999995</v>
      </c>
      <c r="K168" s="15">
        <v>1</v>
      </c>
      <c r="L168" s="15">
        <f>vendas2026[[#This Row],[%Comissão]]*0.25</f>
        <v>0.25</v>
      </c>
      <c r="M168" s="14" t="s">
        <v>46</v>
      </c>
      <c r="N168" s="23">
        <f>vendas2026[[#This Row],[VlrTotal]]*vendas2026[[#This Row],[%Comissão]]</f>
        <v>356.4</v>
      </c>
      <c r="O168" s="14">
        <f>vendas2026[[#This Row],[VlrTotal]]*vendas2026[[#This Row],[%ComissãoSupervisor]]</f>
        <v>89.1</v>
      </c>
      <c r="P168" s="11" t="s">
        <v>27</v>
      </c>
      <c r="Q168" s="11" t="s">
        <v>27</v>
      </c>
      <c r="R168" s="11"/>
      <c r="S168" s="11">
        <v>1</v>
      </c>
      <c r="T168" s="380">
        <v>46147</v>
      </c>
      <c r="U168" s="11" t="s">
        <v>28</v>
      </c>
      <c r="V168" s="16" t="s">
        <v>31</v>
      </c>
    </row>
    <row r="169" spans="1:22" hidden="1" x14ac:dyDescent="0.25">
      <c r="A169" s="10">
        <v>46147</v>
      </c>
      <c r="B169" s="11" t="s">
        <v>129</v>
      </c>
      <c r="C169" s="11" t="s">
        <v>31</v>
      </c>
      <c r="D169" s="11" t="s">
        <v>100</v>
      </c>
      <c r="E169" s="11" t="s">
        <v>35</v>
      </c>
      <c r="F169" s="11" t="s">
        <v>35</v>
      </c>
      <c r="G169" s="12">
        <v>12</v>
      </c>
      <c r="H169" s="13">
        <v>176</v>
      </c>
      <c r="I169" s="14">
        <f>vendas2026[[#This Row],[Qtde]]*vendas2026[[#This Row],[VlrUnitário]]</f>
        <v>2112</v>
      </c>
      <c r="J169" s="382">
        <f>vendas2026[[#This Row],[VlrTotal]]</f>
        <v>2112</v>
      </c>
      <c r="K169" s="15">
        <v>0.01</v>
      </c>
      <c r="L169" s="15">
        <f>vendas2026[[#This Row],[%Comissão]]*0.25</f>
        <v>2.5000000000000001E-3</v>
      </c>
      <c r="M169" s="14" t="s">
        <v>46</v>
      </c>
      <c r="N169" s="23">
        <f>vendas2026[[#This Row],[VlrTotal]]*vendas2026[[#This Row],[%Comissão]]</f>
        <v>21.12</v>
      </c>
      <c r="O169" s="14">
        <f>vendas2026[[#This Row],[VlrTotal]]*vendas2026[[#This Row],[%ComissãoSupervisor]]</f>
        <v>5.28</v>
      </c>
      <c r="P169" s="11" t="s">
        <v>36</v>
      </c>
      <c r="Q169" s="11" t="s">
        <v>37</v>
      </c>
      <c r="R169" s="11"/>
      <c r="S169" s="11">
        <v>3</v>
      </c>
      <c r="T169" s="379"/>
      <c r="U169" s="11" t="s">
        <v>38</v>
      </c>
      <c r="V169" s="16" t="s">
        <v>31</v>
      </c>
    </row>
    <row r="170" spans="1:22" hidden="1" x14ac:dyDescent="0.25">
      <c r="A170" s="10">
        <v>46147</v>
      </c>
      <c r="B170" s="11">
        <v>138375</v>
      </c>
      <c r="C170" s="11" t="s">
        <v>31</v>
      </c>
      <c r="D170" s="11" t="s">
        <v>116</v>
      </c>
      <c r="E170" s="11" t="s">
        <v>35</v>
      </c>
      <c r="F170" s="11" t="s">
        <v>35</v>
      </c>
      <c r="G170" s="12">
        <v>28</v>
      </c>
      <c r="H170" s="13">
        <v>158.4</v>
      </c>
      <c r="I170" s="14">
        <f>vendas2026[[#This Row],[Qtde]]*vendas2026[[#This Row],[VlrUnitário]]</f>
        <v>4435.2</v>
      </c>
      <c r="J170" s="382">
        <f>vendas2026[[#This Row],[VlrTotal]]</f>
        <v>4435.2</v>
      </c>
      <c r="K170" s="15">
        <v>6.8999999999999999E-3</v>
      </c>
      <c r="L170" s="15">
        <f>vendas2026[[#This Row],[%Comissão]]*0.25</f>
        <v>1.725E-3</v>
      </c>
      <c r="M170" s="14" t="s">
        <v>46</v>
      </c>
      <c r="N170" s="23">
        <f>vendas2026[[#This Row],[VlrTotal]]*vendas2026[[#This Row],[%Comissão]]</f>
        <v>30.602879999999999</v>
      </c>
      <c r="O170" s="14">
        <f>vendas2026[[#This Row],[VlrTotal]]*vendas2026[[#This Row],[%ComissãoSupervisor]]</f>
        <v>7.6507199999999997</v>
      </c>
      <c r="P170" s="11" t="s">
        <v>36</v>
      </c>
      <c r="Q170" s="11" t="s">
        <v>37</v>
      </c>
      <c r="R170" s="11"/>
      <c r="S170" s="11">
        <v>3</v>
      </c>
      <c r="T170" s="379"/>
      <c r="U170" s="11" t="s">
        <v>38</v>
      </c>
      <c r="V170" s="16" t="s">
        <v>31</v>
      </c>
    </row>
    <row r="171" spans="1:22" hidden="1" x14ac:dyDescent="0.25">
      <c r="A171" s="10">
        <v>46147</v>
      </c>
      <c r="B171" s="11">
        <v>138486</v>
      </c>
      <c r="C171" s="11" t="s">
        <v>31</v>
      </c>
      <c r="D171" s="11" t="s">
        <v>65</v>
      </c>
      <c r="E171" s="11" t="s">
        <v>35</v>
      </c>
      <c r="F171" s="11" t="s">
        <v>35</v>
      </c>
      <c r="G171" s="12">
        <v>52</v>
      </c>
      <c r="H171" s="13">
        <v>176</v>
      </c>
      <c r="I171" s="14">
        <f>vendas2026[[#This Row],[Qtde]]*vendas2026[[#This Row],[VlrUnitário]]</f>
        <v>9152</v>
      </c>
      <c r="J171" s="382">
        <f>vendas2026[[#This Row],[VlrTotal]]</f>
        <v>9152</v>
      </c>
      <c r="K171" s="15">
        <v>0.01</v>
      </c>
      <c r="L171" s="15">
        <f>vendas2026[[#This Row],[%Comissão]]*0.25</f>
        <v>2.5000000000000001E-3</v>
      </c>
      <c r="M171" s="14" t="s">
        <v>46</v>
      </c>
      <c r="N171" s="23">
        <f>vendas2026[[#This Row],[VlrTotal]]*vendas2026[[#This Row],[%Comissão]]</f>
        <v>91.52</v>
      </c>
      <c r="O171" s="14">
        <f>vendas2026[[#This Row],[VlrTotal]]*vendas2026[[#This Row],[%ComissãoSupervisor]]</f>
        <v>22.88</v>
      </c>
      <c r="P171" s="11" t="s">
        <v>36</v>
      </c>
      <c r="Q171" s="11" t="s">
        <v>37</v>
      </c>
      <c r="R171" s="11"/>
      <c r="S171" s="11">
        <v>3</v>
      </c>
      <c r="T171" s="379"/>
      <c r="U171" s="11" t="s">
        <v>38</v>
      </c>
      <c r="V171" s="16" t="s">
        <v>31</v>
      </c>
    </row>
    <row r="172" spans="1:22" hidden="1" x14ac:dyDescent="0.25">
      <c r="A172" s="10">
        <v>46147</v>
      </c>
      <c r="B172" s="11" t="s">
        <v>130</v>
      </c>
      <c r="C172" s="11" t="s">
        <v>31</v>
      </c>
      <c r="D172" s="11" t="s">
        <v>79</v>
      </c>
      <c r="E172" s="11" t="s">
        <v>35</v>
      </c>
      <c r="F172" s="11" t="s">
        <v>35</v>
      </c>
      <c r="G172" s="12">
        <v>14</v>
      </c>
      <c r="H172" s="13">
        <v>176</v>
      </c>
      <c r="I172" s="14">
        <f>vendas2026[[#This Row],[Qtde]]*vendas2026[[#This Row],[VlrUnitário]]</f>
        <v>2464</v>
      </c>
      <c r="J172" s="382">
        <f>vendas2026[[#This Row],[VlrTotal]]</f>
        <v>2464</v>
      </c>
      <c r="K172" s="15">
        <v>0.01</v>
      </c>
      <c r="L172" s="15">
        <f>vendas2026[[#This Row],[%Comissão]]*0.25</f>
        <v>2.5000000000000001E-3</v>
      </c>
      <c r="M172" s="14" t="s">
        <v>46</v>
      </c>
      <c r="N172" s="23">
        <f>vendas2026[[#This Row],[VlrTotal]]*vendas2026[[#This Row],[%Comissão]]</f>
        <v>24.64</v>
      </c>
      <c r="O172" s="14">
        <f>vendas2026[[#This Row],[VlrTotal]]*vendas2026[[#This Row],[%ComissãoSupervisor]]</f>
        <v>6.16</v>
      </c>
      <c r="P172" s="11" t="s">
        <v>36</v>
      </c>
      <c r="Q172" s="11" t="s">
        <v>37</v>
      </c>
      <c r="R172" s="11"/>
      <c r="S172" s="11">
        <v>4</v>
      </c>
      <c r="T172" s="379"/>
      <c r="U172" s="11" t="s">
        <v>38</v>
      </c>
      <c r="V172" s="16" t="s">
        <v>31</v>
      </c>
    </row>
    <row r="173" spans="1:22" hidden="1" x14ac:dyDescent="0.25">
      <c r="A173" s="10">
        <v>46148</v>
      </c>
      <c r="B173" s="11">
        <v>142268</v>
      </c>
      <c r="C173" s="11" t="s">
        <v>44</v>
      </c>
      <c r="D173" s="11" t="s">
        <v>131</v>
      </c>
      <c r="E173" s="11" t="s">
        <v>47</v>
      </c>
      <c r="F173" s="11" t="s">
        <v>25</v>
      </c>
      <c r="G173" s="12">
        <v>220</v>
      </c>
      <c r="H173" s="13">
        <v>173.08</v>
      </c>
      <c r="I173" s="14">
        <f>vendas2026[[#This Row],[Qtde]]*vendas2026[[#This Row],[VlrUnitário]]</f>
        <v>38077.600000000006</v>
      </c>
      <c r="J173" s="382">
        <f>vendas2026[[#This Row],[VlrTotal]]</f>
        <v>38077.600000000006</v>
      </c>
      <c r="K173" s="15">
        <v>0.05</v>
      </c>
      <c r="L173" s="15">
        <f>vendas2026[[#This Row],[%Comissão]]*0.25</f>
        <v>1.2500000000000001E-2</v>
      </c>
      <c r="M173" s="14" t="s">
        <v>46</v>
      </c>
      <c r="N173" s="23">
        <f>vendas2026[[#This Row],[VlrTotal]]*vendas2026[[#This Row],[%Comissão]]</f>
        <v>1903.8800000000003</v>
      </c>
      <c r="O173" s="14">
        <f>vendas2026[[#This Row],[VlrTotal]]*vendas2026[[#This Row],[%ComissãoSupervisor]]</f>
        <v>475.97000000000008</v>
      </c>
      <c r="P173" s="11" t="s">
        <v>27</v>
      </c>
      <c r="Q173" s="11" t="s">
        <v>27</v>
      </c>
      <c r="R173" s="11"/>
      <c r="S173" s="11">
        <v>8</v>
      </c>
      <c r="T173" s="380">
        <v>46148</v>
      </c>
      <c r="U173" s="11" t="s">
        <v>28</v>
      </c>
      <c r="V173" s="16" t="s">
        <v>44</v>
      </c>
    </row>
    <row r="174" spans="1:22" hidden="1" x14ac:dyDescent="0.25">
      <c r="A174" s="10">
        <v>46148</v>
      </c>
      <c r="B174" s="11">
        <v>142268</v>
      </c>
      <c r="C174" s="11" t="s">
        <v>44</v>
      </c>
      <c r="D174" s="11" t="s">
        <v>131</v>
      </c>
      <c r="E174" s="11" t="s">
        <v>63</v>
      </c>
      <c r="F174" s="11" t="s">
        <v>25</v>
      </c>
      <c r="G174" s="12">
        <v>40</v>
      </c>
      <c r="H174" s="13">
        <v>173.08</v>
      </c>
      <c r="I174" s="14">
        <f>vendas2026[[#This Row],[Qtde]]*vendas2026[[#This Row],[VlrUnitário]]</f>
        <v>6923.2000000000007</v>
      </c>
      <c r="J174" s="382">
        <f>vendas2026[[#This Row],[VlrTotal]]</f>
        <v>6923.2000000000007</v>
      </c>
      <c r="K174" s="15">
        <v>0.05</v>
      </c>
      <c r="L174" s="15">
        <f>vendas2026[[#This Row],[%Comissão]]*0.25</f>
        <v>1.2500000000000001E-2</v>
      </c>
      <c r="M174" s="14" t="s">
        <v>46</v>
      </c>
      <c r="N174" s="23">
        <f>vendas2026[[#This Row],[VlrTotal]]*vendas2026[[#This Row],[%Comissão]]</f>
        <v>346.16000000000008</v>
      </c>
      <c r="O174" s="14">
        <f>vendas2026[[#This Row],[VlrTotal]]*vendas2026[[#This Row],[%ComissãoSupervisor]]</f>
        <v>86.54000000000002</v>
      </c>
      <c r="P174" s="11" t="s">
        <v>27</v>
      </c>
      <c r="Q174" s="11" t="s">
        <v>27</v>
      </c>
      <c r="R174" s="11"/>
      <c r="S174" s="11">
        <v>8</v>
      </c>
      <c r="T174" s="380"/>
      <c r="U174" s="11" t="s">
        <v>28</v>
      </c>
      <c r="V174" s="16" t="s">
        <v>44</v>
      </c>
    </row>
    <row r="175" spans="1:22" hidden="1" x14ac:dyDescent="0.25">
      <c r="A175" s="10">
        <v>46148</v>
      </c>
      <c r="B175" s="11">
        <v>142268</v>
      </c>
      <c r="C175" s="11" t="s">
        <v>44</v>
      </c>
      <c r="D175" s="11" t="s">
        <v>131</v>
      </c>
      <c r="E175" s="11" t="s">
        <v>53</v>
      </c>
      <c r="F175" s="11" t="s">
        <v>30</v>
      </c>
      <c r="G175" s="12">
        <v>1</v>
      </c>
      <c r="H175" s="13">
        <v>1700</v>
      </c>
      <c r="I175" s="14">
        <f>vendas2026[[#This Row],[Qtde]]*vendas2026[[#This Row],[VlrUnitário]]</f>
        <v>1700</v>
      </c>
      <c r="J175" s="382">
        <f>vendas2026[[#This Row],[VlrTotal]]</f>
        <v>1700</v>
      </c>
      <c r="K175" s="15">
        <v>1</v>
      </c>
      <c r="L175" s="15">
        <f>vendas2026[[#This Row],[%Comissão]]*0.25</f>
        <v>0.25</v>
      </c>
      <c r="M175" s="14" t="s">
        <v>46</v>
      </c>
      <c r="N175" s="23">
        <f>vendas2026[[#This Row],[VlrTotal]]*vendas2026[[#This Row],[%Comissão]]</f>
        <v>1700</v>
      </c>
      <c r="O175" s="14">
        <f>vendas2026[[#This Row],[VlrTotal]]*vendas2026[[#This Row],[%ComissãoSupervisor]]</f>
        <v>425</v>
      </c>
      <c r="P175" s="11" t="s">
        <v>27</v>
      </c>
      <c r="Q175" s="11" t="s">
        <v>27</v>
      </c>
      <c r="R175" s="11"/>
      <c r="S175" s="11">
        <v>1</v>
      </c>
      <c r="T175" s="380"/>
      <c r="U175" s="11" t="s">
        <v>28</v>
      </c>
      <c r="V175" s="16" t="s">
        <v>44</v>
      </c>
    </row>
    <row r="176" spans="1:22" hidden="1" x14ac:dyDescent="0.25">
      <c r="A176" s="10">
        <v>46148</v>
      </c>
      <c r="B176" s="11">
        <v>142268</v>
      </c>
      <c r="C176" s="11" t="s">
        <v>44</v>
      </c>
      <c r="D176" s="11" t="s">
        <v>131</v>
      </c>
      <c r="E176" s="11" t="s">
        <v>47</v>
      </c>
      <c r="F176" s="11" t="s">
        <v>30</v>
      </c>
      <c r="G176" s="12">
        <v>4</v>
      </c>
      <c r="H176" s="13">
        <v>248.05</v>
      </c>
      <c r="I176" s="14">
        <f>vendas2026[[#This Row],[Qtde]]*vendas2026[[#This Row],[VlrUnitário]]</f>
        <v>992.2</v>
      </c>
      <c r="J176" s="382">
        <f>vendas2026[[#This Row],[VlrTotal]]</f>
        <v>992.2</v>
      </c>
      <c r="K176" s="15">
        <v>1</v>
      </c>
      <c r="L176" s="15">
        <f>vendas2026[[#This Row],[%Comissão]]*0.25</f>
        <v>0.25</v>
      </c>
      <c r="M176" s="14" t="s">
        <v>46</v>
      </c>
      <c r="N176" s="23">
        <f>vendas2026[[#This Row],[VlrTotal]]*vendas2026[[#This Row],[%Comissão]]</f>
        <v>992.2</v>
      </c>
      <c r="O176" s="14">
        <f>vendas2026[[#This Row],[VlrTotal]]*vendas2026[[#This Row],[%ComissãoSupervisor]]</f>
        <v>248.05</v>
      </c>
      <c r="P176" s="11" t="s">
        <v>27</v>
      </c>
      <c r="Q176" s="11" t="s">
        <v>27</v>
      </c>
      <c r="R176" s="11"/>
      <c r="S176" s="11">
        <v>1</v>
      </c>
      <c r="T176" s="380"/>
      <c r="U176" s="11" t="s">
        <v>28</v>
      </c>
      <c r="V176" s="16" t="s">
        <v>44</v>
      </c>
    </row>
    <row r="177" spans="1:22" hidden="1" x14ac:dyDescent="0.25">
      <c r="A177" s="10">
        <v>46148</v>
      </c>
      <c r="B177" s="11">
        <v>142268</v>
      </c>
      <c r="C177" s="11" t="s">
        <v>44</v>
      </c>
      <c r="D177" s="11" t="s">
        <v>131</v>
      </c>
      <c r="E177" s="11" t="s">
        <v>63</v>
      </c>
      <c r="F177" s="11" t="s">
        <v>30</v>
      </c>
      <c r="G177" s="12">
        <v>1</v>
      </c>
      <c r="H177" s="13">
        <v>88.68</v>
      </c>
      <c r="I177" s="14">
        <f>vendas2026[[#This Row],[Qtde]]*vendas2026[[#This Row],[VlrUnitário]]</f>
        <v>88.68</v>
      </c>
      <c r="J177" s="382">
        <f>vendas2026[[#This Row],[VlrTotal]]</f>
        <v>88.68</v>
      </c>
      <c r="K177" s="15">
        <v>1</v>
      </c>
      <c r="L177" s="15">
        <f>vendas2026[[#This Row],[%Comissão]]*0.25</f>
        <v>0.25</v>
      </c>
      <c r="M177" s="14" t="s">
        <v>46</v>
      </c>
      <c r="N177" s="23">
        <f>vendas2026[[#This Row],[VlrTotal]]*vendas2026[[#This Row],[%Comissão]]</f>
        <v>88.68</v>
      </c>
      <c r="O177" s="14">
        <f>vendas2026[[#This Row],[VlrTotal]]*vendas2026[[#This Row],[%ComissãoSupervisor]]</f>
        <v>22.17</v>
      </c>
      <c r="P177" s="11" t="s">
        <v>27</v>
      </c>
      <c r="Q177" s="11" t="s">
        <v>27</v>
      </c>
      <c r="R177" s="11"/>
      <c r="S177" s="11">
        <v>1</v>
      </c>
      <c r="T177" s="380"/>
      <c r="U177" s="11" t="s">
        <v>28</v>
      </c>
      <c r="V177" s="16" t="s">
        <v>44</v>
      </c>
    </row>
    <row r="178" spans="1:22" hidden="1" x14ac:dyDescent="0.25">
      <c r="A178" s="10">
        <v>46154</v>
      </c>
      <c r="B178" s="11">
        <v>142439</v>
      </c>
      <c r="C178" s="11" t="s">
        <v>31</v>
      </c>
      <c r="D178" s="11" t="s">
        <v>95</v>
      </c>
      <c r="E178" s="11" t="s">
        <v>83</v>
      </c>
      <c r="F178" s="11" t="s">
        <v>25</v>
      </c>
      <c r="G178" s="12">
        <v>72</v>
      </c>
      <c r="H178" s="13">
        <v>180.83</v>
      </c>
      <c r="I178" s="14">
        <f>vendas2026[[#This Row],[Qtde]]*vendas2026[[#This Row],[VlrUnitário]]</f>
        <v>13019.76</v>
      </c>
      <c r="J178" s="382">
        <f>(vendas2026[[#This Row],[VlrTotal]]*0.2)+vendas2026[[#This Row],[VlrTotal]]</f>
        <v>15623.712</v>
      </c>
      <c r="K178" s="15">
        <v>6.6900000000000001E-2</v>
      </c>
      <c r="L178" s="15">
        <f>vendas2026[[#This Row],[%Comissão]]*0.25</f>
        <v>1.6725E-2</v>
      </c>
      <c r="M178" s="14" t="s">
        <v>26</v>
      </c>
      <c r="N178" s="23">
        <f>vendas2026[[#This Row],[VlrTotal]]*vendas2026[[#This Row],[%Comissão]]</f>
        <v>871.02194400000008</v>
      </c>
      <c r="O178" s="14">
        <f>vendas2026[[#This Row],[VlrTotal]]*vendas2026[[#This Row],[%ComissãoSupervisor]]</f>
        <v>217.75548600000002</v>
      </c>
      <c r="P178" s="11" t="s">
        <v>27</v>
      </c>
      <c r="Q178" s="11" t="s">
        <v>27</v>
      </c>
      <c r="R178" s="11"/>
      <c r="S178" s="11">
        <v>6</v>
      </c>
      <c r="T178" s="380">
        <v>46148</v>
      </c>
      <c r="U178" s="11" t="s">
        <v>28</v>
      </c>
      <c r="V178" s="16" t="s">
        <v>31</v>
      </c>
    </row>
    <row r="179" spans="1:22" hidden="1" x14ac:dyDescent="0.25">
      <c r="A179" s="10">
        <v>46154</v>
      </c>
      <c r="B179" s="11">
        <v>142439</v>
      </c>
      <c r="C179" s="11" t="s">
        <v>31</v>
      </c>
      <c r="D179" s="11" t="s">
        <v>95</v>
      </c>
      <c r="E179" s="11" t="s">
        <v>83</v>
      </c>
      <c r="F179" s="11" t="s">
        <v>30</v>
      </c>
      <c r="G179" s="12">
        <v>1</v>
      </c>
      <c r="H179" s="13">
        <v>689.04</v>
      </c>
      <c r="I179" s="14">
        <f>vendas2026[[#This Row],[Qtde]]*vendas2026[[#This Row],[VlrUnitário]]</f>
        <v>689.04</v>
      </c>
      <c r="J179" s="382">
        <f>(vendas2026[[#This Row],[VlrTotal]]*0.2)+vendas2026[[#This Row],[VlrTotal]]</f>
        <v>826.84799999999996</v>
      </c>
      <c r="K179" s="15">
        <v>1</v>
      </c>
      <c r="L179" s="15">
        <f>vendas2026[[#This Row],[%Comissão]]*0.25</f>
        <v>0.25</v>
      </c>
      <c r="M179" s="14" t="s">
        <v>26</v>
      </c>
      <c r="N179" s="23">
        <f>vendas2026[[#This Row],[VlrTotal]]*vendas2026[[#This Row],[%Comissão]]</f>
        <v>689.04</v>
      </c>
      <c r="O179" s="14">
        <f>vendas2026[[#This Row],[VlrTotal]]*vendas2026[[#This Row],[%ComissãoSupervisor]]</f>
        <v>172.26</v>
      </c>
      <c r="P179" s="11" t="s">
        <v>27</v>
      </c>
      <c r="Q179" s="11" t="s">
        <v>27</v>
      </c>
      <c r="R179" s="11"/>
      <c r="S179" s="11">
        <v>1</v>
      </c>
      <c r="T179" s="380">
        <v>46148</v>
      </c>
      <c r="U179" s="11" t="s">
        <v>28</v>
      </c>
      <c r="V179" s="16" t="s">
        <v>31</v>
      </c>
    </row>
    <row r="180" spans="1:22" hidden="1" x14ac:dyDescent="0.25">
      <c r="A180" s="10">
        <v>46156</v>
      </c>
      <c r="B180" s="11" t="s">
        <v>132</v>
      </c>
      <c r="C180" s="11" t="s">
        <v>44</v>
      </c>
      <c r="D180" s="11" t="s">
        <v>133</v>
      </c>
      <c r="E180" s="11" t="s">
        <v>47</v>
      </c>
      <c r="F180" s="11" t="s">
        <v>25</v>
      </c>
      <c r="G180" s="12">
        <v>228</v>
      </c>
      <c r="H180" s="13">
        <v>190.8</v>
      </c>
      <c r="I180" s="14">
        <f>vendas2026[[#This Row],[Qtde]]*vendas2026[[#This Row],[VlrUnitário]]</f>
        <v>43502.400000000001</v>
      </c>
      <c r="J180" s="382">
        <f>vendas2026[[#This Row],[VlrTotal]]</f>
        <v>43502.400000000001</v>
      </c>
      <c r="K180" s="15">
        <v>7.0000000000000007E-2</v>
      </c>
      <c r="L180" s="15">
        <f>vendas2026[[#This Row],[%Comissão]]*0.25</f>
        <v>1.7500000000000002E-2</v>
      </c>
      <c r="M180" s="14" t="s">
        <v>46</v>
      </c>
      <c r="N180" s="23">
        <f>vendas2026[[#This Row],[VlrTotal]]*vendas2026[[#This Row],[%Comissão]]</f>
        <v>3045.1680000000006</v>
      </c>
      <c r="O180" s="14">
        <f>vendas2026[[#This Row],[VlrTotal]]*vendas2026[[#This Row],[%ComissãoSupervisor]]</f>
        <v>761.29200000000014</v>
      </c>
      <c r="P180" s="11" t="s">
        <v>27</v>
      </c>
      <c r="Q180" s="11" t="s">
        <v>27</v>
      </c>
      <c r="R180" s="11"/>
      <c r="S180" s="11">
        <v>10</v>
      </c>
      <c r="T180" s="380">
        <v>46156</v>
      </c>
      <c r="U180" s="11" t="s">
        <v>28</v>
      </c>
      <c r="V180" s="16" t="s">
        <v>44</v>
      </c>
    </row>
    <row r="181" spans="1:22" hidden="1" x14ac:dyDescent="0.25">
      <c r="A181" s="10">
        <v>46156</v>
      </c>
      <c r="B181" s="11" t="s">
        <v>132</v>
      </c>
      <c r="C181" s="11" t="s">
        <v>44</v>
      </c>
      <c r="D181" s="11" t="s">
        <v>133</v>
      </c>
      <c r="E181" s="11" t="s">
        <v>47</v>
      </c>
      <c r="F181" s="11" t="s">
        <v>30</v>
      </c>
      <c r="G181" s="12">
        <v>4</v>
      </c>
      <c r="H181" s="13">
        <v>285.62</v>
      </c>
      <c r="I181" s="14">
        <f>vendas2026[[#This Row],[Qtde]]*vendas2026[[#This Row],[VlrUnitário]]</f>
        <v>1142.48</v>
      </c>
      <c r="J181" s="382">
        <f>vendas2026[[#This Row],[VlrTotal]]</f>
        <v>1142.48</v>
      </c>
      <c r="K181" s="15">
        <v>1</v>
      </c>
      <c r="L181" s="15">
        <f>vendas2026[[#This Row],[%Comissão]]*0.25</f>
        <v>0.25</v>
      </c>
      <c r="M181" s="14" t="s">
        <v>46</v>
      </c>
      <c r="N181" s="23">
        <f>vendas2026[[#This Row],[VlrTotal]]*vendas2026[[#This Row],[%Comissão]]</f>
        <v>1142.48</v>
      </c>
      <c r="O181" s="14">
        <f>vendas2026[[#This Row],[VlrTotal]]*vendas2026[[#This Row],[%ComissãoSupervisor]]</f>
        <v>285.62</v>
      </c>
      <c r="P181" s="11" t="s">
        <v>27</v>
      </c>
      <c r="Q181" s="11" t="s">
        <v>27</v>
      </c>
      <c r="R181" s="11"/>
      <c r="S181" s="11">
        <v>1</v>
      </c>
      <c r="T181" s="380">
        <v>46156</v>
      </c>
      <c r="U181" s="11" t="s">
        <v>28</v>
      </c>
      <c r="V181" s="16" t="s">
        <v>44</v>
      </c>
    </row>
    <row r="182" spans="1:22" hidden="1" x14ac:dyDescent="0.25">
      <c r="A182" s="10">
        <v>46156</v>
      </c>
      <c r="B182" s="11" t="s">
        <v>132</v>
      </c>
      <c r="C182" s="11" t="s">
        <v>44</v>
      </c>
      <c r="D182" s="11" t="s">
        <v>133</v>
      </c>
      <c r="E182" s="11" t="s">
        <v>54</v>
      </c>
      <c r="F182" s="11" t="s">
        <v>25</v>
      </c>
      <c r="G182" s="12">
        <v>80</v>
      </c>
      <c r="H182" s="13">
        <v>190.8</v>
      </c>
      <c r="I182" s="14">
        <f>vendas2026[[#This Row],[Qtde]]*vendas2026[[#This Row],[VlrUnitário]]</f>
        <v>15264</v>
      </c>
      <c r="J182" s="382">
        <f>vendas2026[[#This Row],[VlrTotal]]</f>
        <v>15264</v>
      </c>
      <c r="K182" s="15">
        <v>7.0000000000000007E-2</v>
      </c>
      <c r="L182" s="15">
        <f>vendas2026[[#This Row],[%Comissão]]*0.25</f>
        <v>1.7500000000000002E-2</v>
      </c>
      <c r="M182" s="14" t="s">
        <v>46</v>
      </c>
      <c r="N182" s="23">
        <f>vendas2026[[#This Row],[VlrTotal]]*vendas2026[[#This Row],[%Comissão]]</f>
        <v>1068.48</v>
      </c>
      <c r="O182" s="14">
        <f>vendas2026[[#This Row],[VlrTotal]]*vendas2026[[#This Row],[%ComissãoSupervisor]]</f>
        <v>267.12</v>
      </c>
      <c r="P182" s="11" t="s">
        <v>27</v>
      </c>
      <c r="Q182" s="11" t="s">
        <v>27</v>
      </c>
      <c r="R182" s="11"/>
      <c r="S182" s="11">
        <v>10</v>
      </c>
      <c r="T182" s="380">
        <v>46156</v>
      </c>
      <c r="U182" s="11" t="s">
        <v>28</v>
      </c>
      <c r="V182" s="16" t="s">
        <v>44</v>
      </c>
    </row>
    <row r="183" spans="1:22" hidden="1" x14ac:dyDescent="0.25">
      <c r="A183" s="10">
        <v>46156</v>
      </c>
      <c r="B183" s="11" t="s">
        <v>132</v>
      </c>
      <c r="C183" s="11" t="s">
        <v>44</v>
      </c>
      <c r="D183" s="11" t="s">
        <v>133</v>
      </c>
      <c r="E183" s="11" t="s">
        <v>54</v>
      </c>
      <c r="F183" s="11" t="s">
        <v>30</v>
      </c>
      <c r="G183" s="12">
        <v>2</v>
      </c>
      <c r="H183" s="13">
        <v>148</v>
      </c>
      <c r="I183" s="14">
        <f>vendas2026[[#This Row],[Qtde]]*vendas2026[[#This Row],[VlrUnitário]]</f>
        <v>296</v>
      </c>
      <c r="J183" s="382">
        <f>vendas2026[[#This Row],[VlrTotal]]</f>
        <v>296</v>
      </c>
      <c r="K183" s="15">
        <v>1</v>
      </c>
      <c r="L183" s="15">
        <f>vendas2026[[#This Row],[%Comissão]]*0.25</f>
        <v>0.25</v>
      </c>
      <c r="M183" s="14" t="s">
        <v>46</v>
      </c>
      <c r="N183" s="23">
        <f>vendas2026[[#This Row],[VlrTotal]]*vendas2026[[#This Row],[%Comissão]]</f>
        <v>296</v>
      </c>
      <c r="O183" s="14">
        <f>vendas2026[[#This Row],[VlrTotal]]*vendas2026[[#This Row],[%ComissãoSupervisor]]</f>
        <v>74</v>
      </c>
      <c r="P183" s="11" t="s">
        <v>27</v>
      </c>
      <c r="Q183" s="11" t="s">
        <v>27</v>
      </c>
      <c r="R183" s="11"/>
      <c r="S183" s="11">
        <v>1</v>
      </c>
      <c r="T183" s="380">
        <v>46156</v>
      </c>
      <c r="U183" s="11" t="s">
        <v>28</v>
      </c>
      <c r="V183" s="16" t="s">
        <v>44</v>
      </c>
    </row>
    <row r="184" spans="1:22" hidden="1" x14ac:dyDescent="0.25">
      <c r="A184" s="10">
        <v>46156</v>
      </c>
      <c r="B184" s="11" t="s">
        <v>132</v>
      </c>
      <c r="C184" s="11" t="s">
        <v>44</v>
      </c>
      <c r="D184" s="11" t="s">
        <v>133</v>
      </c>
      <c r="E184" s="11" t="s">
        <v>63</v>
      </c>
      <c r="F184" s="11" t="s">
        <v>25</v>
      </c>
      <c r="G184" s="12">
        <v>56</v>
      </c>
      <c r="H184" s="13">
        <v>190.8</v>
      </c>
      <c r="I184" s="14">
        <f>vendas2026[[#This Row],[Qtde]]*vendas2026[[#This Row],[VlrUnitário]]</f>
        <v>10684.800000000001</v>
      </c>
      <c r="J184" s="382">
        <f>vendas2026[[#This Row],[VlrTotal]]</f>
        <v>10684.800000000001</v>
      </c>
      <c r="K184" s="15">
        <v>7.0000000000000007E-2</v>
      </c>
      <c r="L184" s="15">
        <f>vendas2026[[#This Row],[%Comissão]]*0.25</f>
        <v>1.7500000000000002E-2</v>
      </c>
      <c r="M184" s="14" t="s">
        <v>46</v>
      </c>
      <c r="N184" s="23">
        <f>vendas2026[[#This Row],[VlrTotal]]*vendas2026[[#This Row],[%Comissão]]</f>
        <v>747.93600000000015</v>
      </c>
      <c r="O184" s="14">
        <f>vendas2026[[#This Row],[VlrTotal]]*vendas2026[[#This Row],[%ComissãoSupervisor]]</f>
        <v>186.98400000000004</v>
      </c>
      <c r="P184" s="11" t="s">
        <v>27</v>
      </c>
      <c r="Q184" s="11" t="s">
        <v>27</v>
      </c>
      <c r="R184" s="11"/>
      <c r="S184" s="11">
        <v>10</v>
      </c>
      <c r="T184" s="380">
        <v>46156</v>
      </c>
      <c r="U184" s="11" t="s">
        <v>28</v>
      </c>
      <c r="V184" s="16" t="s">
        <v>44</v>
      </c>
    </row>
    <row r="185" spans="1:22" hidden="1" x14ac:dyDescent="0.25">
      <c r="A185" s="10">
        <v>46156</v>
      </c>
      <c r="B185" s="11" t="s">
        <v>132</v>
      </c>
      <c r="C185" s="11" t="s">
        <v>44</v>
      </c>
      <c r="D185" s="11" t="s">
        <v>133</v>
      </c>
      <c r="E185" s="11" t="s">
        <v>63</v>
      </c>
      <c r="F185" s="11" t="s">
        <v>30</v>
      </c>
      <c r="G185" s="12">
        <v>5</v>
      </c>
      <c r="H185" s="13">
        <v>115</v>
      </c>
      <c r="I185" s="14">
        <f>vendas2026[[#This Row],[Qtde]]*vendas2026[[#This Row],[VlrUnitário]]</f>
        <v>575</v>
      </c>
      <c r="J185" s="382">
        <f>vendas2026[[#This Row],[VlrTotal]]</f>
        <v>575</v>
      </c>
      <c r="K185" s="15">
        <v>1</v>
      </c>
      <c r="L185" s="15">
        <f>vendas2026[[#This Row],[%Comissão]]*0.25</f>
        <v>0.25</v>
      </c>
      <c r="M185" s="14" t="s">
        <v>46</v>
      </c>
      <c r="N185" s="23">
        <f>vendas2026[[#This Row],[VlrTotal]]*vendas2026[[#This Row],[%Comissão]]</f>
        <v>575</v>
      </c>
      <c r="O185" s="14">
        <f>vendas2026[[#This Row],[VlrTotal]]*vendas2026[[#This Row],[%ComissãoSupervisor]]</f>
        <v>143.75</v>
      </c>
      <c r="P185" s="11" t="s">
        <v>27</v>
      </c>
      <c r="Q185" s="11" t="s">
        <v>27</v>
      </c>
      <c r="R185" s="11"/>
      <c r="S185" s="11">
        <v>1</v>
      </c>
      <c r="T185" s="380">
        <v>46156</v>
      </c>
      <c r="U185" s="11" t="s">
        <v>28</v>
      </c>
      <c r="V185" s="16" t="s">
        <v>44</v>
      </c>
    </row>
    <row r="186" spans="1:22" hidden="1" x14ac:dyDescent="0.25">
      <c r="A186" s="10">
        <v>46156</v>
      </c>
      <c r="B186" s="11" t="s">
        <v>132</v>
      </c>
      <c r="C186" s="11" t="s">
        <v>44</v>
      </c>
      <c r="D186" s="11" t="s">
        <v>133</v>
      </c>
      <c r="E186" s="11" t="s">
        <v>102</v>
      </c>
      <c r="F186" s="11" t="s">
        <v>30</v>
      </c>
      <c r="G186" s="12">
        <v>1</v>
      </c>
      <c r="H186" s="13">
        <v>2400</v>
      </c>
      <c r="I186" s="14">
        <f>vendas2026[[#This Row],[Qtde]]*vendas2026[[#This Row],[VlrUnitário]]</f>
        <v>2400</v>
      </c>
      <c r="J186" s="382">
        <f>vendas2026[[#This Row],[VlrTotal]]</f>
        <v>2400</v>
      </c>
      <c r="K186" s="15">
        <v>1</v>
      </c>
      <c r="L186" s="15">
        <f>vendas2026[[#This Row],[%Comissão]]*0.25</f>
        <v>0.25</v>
      </c>
      <c r="M186" s="14" t="s">
        <v>46</v>
      </c>
      <c r="N186" s="23">
        <f>vendas2026[[#This Row],[VlrTotal]]*vendas2026[[#This Row],[%Comissão]]</f>
        <v>2400</v>
      </c>
      <c r="O186" s="14">
        <f>vendas2026[[#This Row],[VlrTotal]]*vendas2026[[#This Row],[%ComissãoSupervisor]]</f>
        <v>600</v>
      </c>
      <c r="P186" s="11" t="s">
        <v>27</v>
      </c>
      <c r="Q186" s="11" t="s">
        <v>27</v>
      </c>
      <c r="R186" s="11"/>
      <c r="S186" s="11">
        <v>1</v>
      </c>
      <c r="T186" s="380">
        <v>46156</v>
      </c>
      <c r="U186" s="11" t="s">
        <v>28</v>
      </c>
      <c r="V186" s="16" t="s">
        <v>44</v>
      </c>
    </row>
    <row r="187" spans="1:22" hidden="1" x14ac:dyDescent="0.25">
      <c r="A187" s="10">
        <v>46157</v>
      </c>
      <c r="B187" s="11">
        <v>139244</v>
      </c>
      <c r="C187" s="11" t="s">
        <v>31</v>
      </c>
      <c r="D187" s="11" t="s">
        <v>134</v>
      </c>
      <c r="E187" s="11" t="s">
        <v>35</v>
      </c>
      <c r="F187" s="11" t="s">
        <v>35</v>
      </c>
      <c r="G187" s="12">
        <v>10</v>
      </c>
      <c r="H187" s="13">
        <v>176</v>
      </c>
      <c r="I187" s="14">
        <f>vendas2026[[#This Row],[Qtde]]*vendas2026[[#This Row],[VlrUnitário]]</f>
        <v>1760</v>
      </c>
      <c r="J187" s="382">
        <f>vendas2026[[#This Row],[VlrTotal]]</f>
        <v>1760</v>
      </c>
      <c r="K187" s="15">
        <v>0.01</v>
      </c>
      <c r="L187" s="15">
        <f>vendas2026[[#This Row],[%Comissão]]*0.25</f>
        <v>2.5000000000000001E-3</v>
      </c>
      <c r="M187" s="14" t="s">
        <v>26</v>
      </c>
      <c r="N187" s="23">
        <f>vendas2026[[#This Row],[VlrTotal]]*vendas2026[[#This Row],[%Comissão]]</f>
        <v>17.600000000000001</v>
      </c>
      <c r="O187" s="14">
        <f>vendas2026[[#This Row],[VlrTotal]]*vendas2026[[#This Row],[%ComissãoSupervisor]]</f>
        <v>4.4000000000000004</v>
      </c>
      <c r="P187" s="11" t="s">
        <v>36</v>
      </c>
      <c r="Q187" s="11" t="s">
        <v>37</v>
      </c>
      <c r="R187" s="11"/>
      <c r="S187" s="11">
        <v>3</v>
      </c>
      <c r="T187" s="380"/>
      <c r="U187" s="11" t="s">
        <v>38</v>
      </c>
      <c r="V187" s="16" t="s">
        <v>31</v>
      </c>
    </row>
    <row r="188" spans="1:22" hidden="1" x14ac:dyDescent="0.25">
      <c r="A188" s="10">
        <v>46157</v>
      </c>
      <c r="B188" s="11" t="s">
        <v>135</v>
      </c>
      <c r="C188" s="11" t="s">
        <v>31</v>
      </c>
      <c r="D188" s="11" t="s">
        <v>87</v>
      </c>
      <c r="E188" s="11" t="s">
        <v>35</v>
      </c>
      <c r="F188" s="11" t="s">
        <v>35</v>
      </c>
      <c r="G188" s="12">
        <v>56</v>
      </c>
      <c r="H188" s="13">
        <v>176</v>
      </c>
      <c r="I188" s="14">
        <f>vendas2026[[#This Row],[Qtde]]*vendas2026[[#This Row],[VlrUnitário]]</f>
        <v>9856</v>
      </c>
      <c r="J188" s="382">
        <f>vendas2026[[#This Row],[VlrTotal]]</f>
        <v>9856</v>
      </c>
      <c r="K188" s="15">
        <v>0.01</v>
      </c>
      <c r="L188" s="15">
        <f>vendas2026[[#This Row],[%Comissão]]*0.25</f>
        <v>2.5000000000000001E-3</v>
      </c>
      <c r="M188" s="14" t="s">
        <v>26</v>
      </c>
      <c r="N188" s="23">
        <f>vendas2026[[#This Row],[VlrTotal]]*vendas2026[[#This Row],[%Comissão]]</f>
        <v>98.56</v>
      </c>
      <c r="O188" s="14">
        <f>vendas2026[[#This Row],[VlrTotal]]*vendas2026[[#This Row],[%ComissãoSupervisor]]</f>
        <v>24.64</v>
      </c>
      <c r="P188" s="11" t="s">
        <v>36</v>
      </c>
      <c r="Q188" s="11" t="s">
        <v>37</v>
      </c>
      <c r="R188" s="11"/>
      <c r="S188" s="11">
        <v>3</v>
      </c>
      <c r="T188" s="380"/>
      <c r="U188" s="11" t="s">
        <v>38</v>
      </c>
      <c r="V188" s="16" t="s">
        <v>31</v>
      </c>
    </row>
    <row r="189" spans="1:22" hidden="1" x14ac:dyDescent="0.25">
      <c r="A189" s="10">
        <v>46160</v>
      </c>
      <c r="B189" s="11">
        <v>143029</v>
      </c>
      <c r="C189" s="11" t="s">
        <v>31</v>
      </c>
      <c r="D189" s="11" t="s">
        <v>136</v>
      </c>
      <c r="E189" s="11" t="s">
        <v>24</v>
      </c>
      <c r="F189" s="11" t="s">
        <v>25</v>
      </c>
      <c r="G189" s="12">
        <v>109</v>
      </c>
      <c r="H189" s="13">
        <v>210</v>
      </c>
      <c r="I189" s="14">
        <f>vendas2026[[#This Row],[Qtde]]*vendas2026[[#This Row],[VlrUnitário]]</f>
        <v>22890</v>
      </c>
      <c r="J189" s="382">
        <f>(vendas2026[[#This Row],[VlrTotal]]*0.2)+vendas2026[[#This Row],[VlrTotal]]</f>
        <v>27468</v>
      </c>
      <c r="K189" s="15">
        <v>7.0000000000000007E-2</v>
      </c>
      <c r="L189" s="15">
        <f>vendas2026[[#This Row],[%Comissão]]*0.25</f>
        <v>1.7500000000000002E-2</v>
      </c>
      <c r="M189" s="14" t="s">
        <v>26</v>
      </c>
      <c r="N189" s="23">
        <f>vendas2026[[#This Row],[VlrTotal]]*vendas2026[[#This Row],[%Comissão]]</f>
        <v>1602.3000000000002</v>
      </c>
      <c r="O189" s="14">
        <f>vendas2026[[#This Row],[VlrTotal]]*vendas2026[[#This Row],[%ComissãoSupervisor]]</f>
        <v>400.57500000000005</v>
      </c>
      <c r="P189" s="11" t="s">
        <v>36</v>
      </c>
      <c r="Q189" s="11" t="s">
        <v>37</v>
      </c>
      <c r="R189" s="11"/>
      <c r="S189" s="11">
        <v>6</v>
      </c>
      <c r="T189" s="380"/>
      <c r="U189" s="11" t="s">
        <v>38</v>
      </c>
      <c r="V189" s="16" t="s">
        <v>31</v>
      </c>
    </row>
    <row r="190" spans="1:22" hidden="1" x14ac:dyDescent="0.25">
      <c r="A190" s="10">
        <v>46160</v>
      </c>
      <c r="B190" s="11">
        <v>142167</v>
      </c>
      <c r="C190" s="11" t="s">
        <v>31</v>
      </c>
      <c r="D190" s="11" t="s">
        <v>86</v>
      </c>
      <c r="E190" s="11" t="s">
        <v>35</v>
      </c>
      <c r="F190" s="11" t="s">
        <v>35</v>
      </c>
      <c r="G190" s="12">
        <v>52</v>
      </c>
      <c r="H190" s="13">
        <v>176</v>
      </c>
      <c r="I190" s="14">
        <f>vendas2026[[#This Row],[Qtde]]*vendas2026[[#This Row],[VlrUnitário]]</f>
        <v>9152</v>
      </c>
      <c r="J190" s="382">
        <f>vendas2026[[#This Row],[VlrTotal]]</f>
        <v>9152</v>
      </c>
      <c r="K190" s="15">
        <v>0.01</v>
      </c>
      <c r="L190" s="15">
        <f>vendas2026[[#This Row],[%Comissão]]*0.25</f>
        <v>2.5000000000000001E-3</v>
      </c>
      <c r="M190" s="14" t="s">
        <v>26</v>
      </c>
      <c r="N190" s="23">
        <f>vendas2026[[#This Row],[VlrTotal]]*vendas2026[[#This Row],[%Comissão]]</f>
        <v>91.52</v>
      </c>
      <c r="O190" s="14">
        <f>vendas2026[[#This Row],[VlrTotal]]*vendas2026[[#This Row],[%ComissãoSupervisor]]</f>
        <v>22.88</v>
      </c>
      <c r="P190" s="11" t="s">
        <v>36</v>
      </c>
      <c r="Q190" s="11" t="s">
        <v>37</v>
      </c>
      <c r="R190" s="11"/>
      <c r="S190" s="11">
        <v>3</v>
      </c>
      <c r="T190" s="380"/>
      <c r="U190" s="11" t="s">
        <v>38</v>
      </c>
      <c r="V190" s="16" t="s">
        <v>31</v>
      </c>
    </row>
    <row r="191" spans="1:22" hidden="1" x14ac:dyDescent="0.25">
      <c r="A191" s="10">
        <v>46160</v>
      </c>
      <c r="B191" s="11">
        <v>126943</v>
      </c>
      <c r="C191" s="11" t="s">
        <v>44</v>
      </c>
      <c r="D191" s="11" t="s">
        <v>137</v>
      </c>
      <c r="E191" s="11" t="s">
        <v>24</v>
      </c>
      <c r="F191" s="11" t="s">
        <v>25</v>
      </c>
      <c r="G191" s="12">
        <v>86.5</v>
      </c>
      <c r="H191" s="13">
        <v>171.72</v>
      </c>
      <c r="I191" s="14">
        <f>vendas2026[[#This Row],[Qtde]]*vendas2026[[#This Row],[VlrUnitário]]</f>
        <v>14853.78</v>
      </c>
      <c r="J191" s="382">
        <f>vendas2026[[#This Row],[VlrTotal]]</f>
        <v>14853.78</v>
      </c>
      <c r="K191" s="15">
        <v>0.05</v>
      </c>
      <c r="L191" s="15">
        <f>vendas2026[[#This Row],[%Comissão]]*0.25</f>
        <v>1.2500000000000001E-2</v>
      </c>
      <c r="M191" s="14" t="s">
        <v>26</v>
      </c>
      <c r="N191" s="23">
        <f>vendas2026[[#This Row],[VlrTotal]]*vendas2026[[#This Row],[%Comissão]]</f>
        <v>742.68900000000008</v>
      </c>
      <c r="O191" s="14">
        <f>vendas2026[[#This Row],[VlrTotal]]*vendas2026[[#This Row],[%ComissãoSupervisor]]</f>
        <v>185.67225000000002</v>
      </c>
      <c r="P191" s="11" t="s">
        <v>36</v>
      </c>
      <c r="Q191" s="11" t="s">
        <v>37</v>
      </c>
      <c r="R191" s="11"/>
      <c r="S191" s="11">
        <v>10</v>
      </c>
      <c r="T191" s="380"/>
      <c r="U191" s="11" t="s">
        <v>38</v>
      </c>
      <c r="V191" s="16" t="s">
        <v>44</v>
      </c>
    </row>
    <row r="192" spans="1:22" hidden="1" x14ac:dyDescent="0.25">
      <c r="A192" s="10">
        <v>46161</v>
      </c>
      <c r="B192" s="11">
        <v>137120</v>
      </c>
      <c r="C192" s="11" t="s">
        <v>31</v>
      </c>
      <c r="D192" s="11" t="s">
        <v>93</v>
      </c>
      <c r="E192" s="11" t="s">
        <v>35</v>
      </c>
      <c r="F192" s="11" t="s">
        <v>35</v>
      </c>
      <c r="G192" s="12">
        <v>26</v>
      </c>
      <c r="H192" s="13">
        <v>176</v>
      </c>
      <c r="I192" s="14">
        <f>vendas2026[[#This Row],[Qtde]]*vendas2026[[#This Row],[VlrUnitário]]</f>
        <v>4576</v>
      </c>
      <c r="J192" s="382">
        <f>vendas2026[[#This Row],[VlrTotal]]</f>
        <v>4576</v>
      </c>
      <c r="K192" s="15">
        <v>0.01</v>
      </c>
      <c r="L192" s="15">
        <f>vendas2026[[#This Row],[%Comissão]]*0.25</f>
        <v>2.5000000000000001E-3</v>
      </c>
      <c r="M192" s="14" t="s">
        <v>26</v>
      </c>
      <c r="N192" s="23">
        <f>vendas2026[[#This Row],[VlrTotal]]*vendas2026[[#This Row],[%Comissão]]</f>
        <v>45.76</v>
      </c>
      <c r="O192" s="14">
        <f>vendas2026[[#This Row],[VlrTotal]]*vendas2026[[#This Row],[%ComissãoSupervisor]]</f>
        <v>11.44</v>
      </c>
      <c r="P192" s="11" t="s">
        <v>36</v>
      </c>
      <c r="Q192" s="11" t="s">
        <v>37</v>
      </c>
      <c r="R192" s="11"/>
      <c r="S192" s="11">
        <v>3</v>
      </c>
      <c r="T192" s="380"/>
      <c r="U192" s="11" t="s">
        <v>38</v>
      </c>
      <c r="V192" s="16" t="s">
        <v>31</v>
      </c>
    </row>
    <row r="193" spans="1:22" hidden="1" x14ac:dyDescent="0.25">
      <c r="A193" s="10">
        <v>46161</v>
      </c>
      <c r="B193" s="11">
        <v>137120</v>
      </c>
      <c r="C193" s="11" t="s">
        <v>31</v>
      </c>
      <c r="D193" s="11" t="s">
        <v>108</v>
      </c>
      <c r="E193" s="11" t="s">
        <v>35</v>
      </c>
      <c r="F193" s="11" t="s">
        <v>35</v>
      </c>
      <c r="G193" s="12">
        <v>26</v>
      </c>
      <c r="H193" s="13">
        <v>176</v>
      </c>
      <c r="I193" s="14">
        <f>vendas2026[[#This Row],[Qtde]]*vendas2026[[#This Row],[VlrUnitário]]</f>
        <v>4576</v>
      </c>
      <c r="J193" s="382">
        <f>vendas2026[[#This Row],[VlrTotal]]</f>
        <v>4576</v>
      </c>
      <c r="K193" s="15">
        <v>0.01</v>
      </c>
      <c r="L193" s="15">
        <f>vendas2026[[#This Row],[%Comissão]]*0.25</f>
        <v>2.5000000000000001E-3</v>
      </c>
      <c r="M193" s="14" t="s">
        <v>26</v>
      </c>
      <c r="N193" s="23">
        <f>vendas2026[[#This Row],[VlrTotal]]*vendas2026[[#This Row],[%Comissão]]</f>
        <v>45.76</v>
      </c>
      <c r="O193" s="14">
        <f>vendas2026[[#This Row],[VlrTotal]]*vendas2026[[#This Row],[%ComissãoSupervisor]]</f>
        <v>11.44</v>
      </c>
      <c r="P193" s="11" t="s">
        <v>36</v>
      </c>
      <c r="Q193" s="11" t="s">
        <v>37</v>
      </c>
      <c r="R193" s="11"/>
      <c r="S193" s="11">
        <v>3</v>
      </c>
      <c r="T193" s="380"/>
      <c r="U193" s="11" t="s">
        <v>38</v>
      </c>
      <c r="V193" s="16" t="s">
        <v>31</v>
      </c>
    </row>
    <row r="194" spans="1:22" hidden="1" x14ac:dyDescent="0.25">
      <c r="A194" s="10">
        <v>46161</v>
      </c>
      <c r="B194" s="11">
        <v>138641</v>
      </c>
      <c r="C194" s="11" t="s">
        <v>22</v>
      </c>
      <c r="D194" s="11" t="s">
        <v>87</v>
      </c>
      <c r="E194" s="11" t="s">
        <v>138</v>
      </c>
      <c r="F194" s="11" t="s">
        <v>30</v>
      </c>
      <c r="G194" s="12">
        <v>30</v>
      </c>
      <c r="H194" s="13">
        <v>62</v>
      </c>
      <c r="I194" s="14">
        <f>vendas2026[[#This Row],[Qtde]]*vendas2026[[#This Row],[VlrUnitário]]</f>
        <v>1860</v>
      </c>
      <c r="J194" s="382">
        <f>vendas2026[[#This Row],[VlrTotal]]</f>
        <v>1860</v>
      </c>
      <c r="K194" s="15">
        <v>1</v>
      </c>
      <c r="L194" s="15">
        <v>0</v>
      </c>
      <c r="M194" s="14" t="s">
        <v>26</v>
      </c>
      <c r="N194" s="23">
        <f>vendas2026[[#This Row],[VlrTotal]]*vendas2026[[#This Row],[%Comissão]]</f>
        <v>1860</v>
      </c>
      <c r="O194" s="14">
        <f>vendas2026[[#This Row],[VlrTotal]]*vendas2026[[#This Row],[%ComissãoSupervisor]]</f>
        <v>0</v>
      </c>
      <c r="P194" s="11" t="s">
        <v>36</v>
      </c>
      <c r="Q194" s="11" t="s">
        <v>37</v>
      </c>
      <c r="R194" s="11"/>
      <c r="S194" s="11">
        <v>1</v>
      </c>
      <c r="T194" s="380"/>
      <c r="U194" s="11" t="s">
        <v>38</v>
      </c>
      <c r="V194" s="16" t="s">
        <v>22</v>
      </c>
    </row>
    <row r="195" spans="1:22" hidden="1" x14ac:dyDescent="0.25">
      <c r="A195" s="10">
        <v>46167</v>
      </c>
      <c r="B195" s="11">
        <v>142315</v>
      </c>
      <c r="C195" s="11" t="s">
        <v>31</v>
      </c>
      <c r="D195" s="11" t="s">
        <v>57</v>
      </c>
      <c r="E195" s="11" t="s">
        <v>35</v>
      </c>
      <c r="F195" s="11" t="s">
        <v>35</v>
      </c>
      <c r="G195" s="12">
        <v>2</v>
      </c>
      <c r="H195" s="13">
        <v>158.4</v>
      </c>
      <c r="I195" s="14">
        <f>vendas2026[[#This Row],[Qtde]]*vendas2026[[#This Row],[VlrUnitário]]</f>
        <v>316.8</v>
      </c>
      <c r="J195" s="382">
        <f>vendas2026[[#This Row],[VlrTotal]]</f>
        <v>316.8</v>
      </c>
      <c r="K195" s="15">
        <v>6.8999999999999999E-3</v>
      </c>
      <c r="L195" s="15">
        <f>vendas2026[[#This Row],[%Comissão]]*0.25</f>
        <v>1.725E-3</v>
      </c>
      <c r="M195" s="14" t="s">
        <v>26</v>
      </c>
      <c r="N195" s="23">
        <f>vendas2026[[#This Row],[VlrTotal]]*vendas2026[[#This Row],[%Comissão]]</f>
        <v>2.1859199999999999</v>
      </c>
      <c r="O195" s="14">
        <f>vendas2026[[#This Row],[VlrTotal]]*vendas2026[[#This Row],[%ComissãoSupervisor]]</f>
        <v>0.54647999999999997</v>
      </c>
      <c r="P195" s="11" t="s">
        <v>36</v>
      </c>
      <c r="Q195" s="11" t="s">
        <v>37</v>
      </c>
      <c r="R195" s="11"/>
      <c r="S195" s="11">
        <v>1</v>
      </c>
      <c r="T195" s="380"/>
      <c r="U195" s="11" t="s">
        <v>38</v>
      </c>
      <c r="V195" s="16" t="s">
        <v>31</v>
      </c>
    </row>
    <row r="196" spans="1:22" hidden="1" x14ac:dyDescent="0.25">
      <c r="A196" s="10">
        <v>46171</v>
      </c>
      <c r="B196" s="11">
        <v>143759</v>
      </c>
      <c r="C196" s="11" t="s">
        <v>31</v>
      </c>
      <c r="D196" s="11" t="s">
        <v>139</v>
      </c>
      <c r="E196" s="11" t="s">
        <v>24</v>
      </c>
      <c r="F196" s="11" t="s">
        <v>25</v>
      </c>
      <c r="G196" s="12">
        <v>10</v>
      </c>
      <c r="H196" s="13">
        <v>189</v>
      </c>
      <c r="I196" s="14">
        <f>vendas2026[[#This Row],[Qtde]]*vendas2026[[#This Row],[VlrUnitário]]</f>
        <v>1890</v>
      </c>
      <c r="J196" s="382">
        <f>(vendas2026[[#This Row],[VlrTotal]]*0.2)+vendas2026[[#This Row],[VlrTotal]]</f>
        <v>2268</v>
      </c>
      <c r="K196" s="15">
        <v>7.0000000000000007E-2</v>
      </c>
      <c r="L196" s="15">
        <f>vendas2026[[#This Row],[%Comissão]]*0.25</f>
        <v>1.7500000000000002E-2</v>
      </c>
      <c r="M196" s="14" t="s">
        <v>26</v>
      </c>
      <c r="N196" s="23">
        <f>vendas2026[[#This Row],[VlrTotal]]*vendas2026[[#This Row],[%Comissão]]</f>
        <v>132.30000000000001</v>
      </c>
      <c r="O196" s="14">
        <f>vendas2026[[#This Row],[VlrTotal]]*vendas2026[[#This Row],[%ComissãoSupervisor]]</f>
        <v>33.075000000000003</v>
      </c>
      <c r="P196" s="11" t="s">
        <v>36</v>
      </c>
      <c r="Q196" s="11" t="s">
        <v>37</v>
      </c>
      <c r="R196" s="11"/>
      <c r="S196" s="11">
        <v>4</v>
      </c>
      <c r="T196" s="380"/>
      <c r="U196" s="11" t="s">
        <v>38</v>
      </c>
      <c r="V196" s="16" t="s">
        <v>31</v>
      </c>
    </row>
    <row r="197" spans="1:22" x14ac:dyDescent="0.25">
      <c r="A197" s="10">
        <v>46181</v>
      </c>
      <c r="B197" s="11">
        <v>135343</v>
      </c>
      <c r="C197" s="11" t="s">
        <v>31</v>
      </c>
      <c r="D197" s="11" t="s">
        <v>108</v>
      </c>
      <c r="E197" s="11" t="s">
        <v>54</v>
      </c>
      <c r="F197" s="11" t="s">
        <v>25</v>
      </c>
      <c r="G197" s="12">
        <v>24</v>
      </c>
      <c r="H197" s="13">
        <v>187.5</v>
      </c>
      <c r="I197" s="14">
        <f>vendas2026[[#This Row],[Qtde]]*vendas2026[[#This Row],[VlrUnitário]]</f>
        <v>4500</v>
      </c>
      <c r="J197" s="390">
        <f>(vendas2026[[#This Row],[VlrTotal]]*0.2)+vendas2026[[#This Row],[VlrTotal]]</f>
        <v>5400</v>
      </c>
      <c r="K197" s="15">
        <v>7.0000000000000007E-2</v>
      </c>
      <c r="L197" s="15">
        <f>vendas2026[[#This Row],[%Comissão]]*0.25</f>
        <v>1.7500000000000002E-2</v>
      </c>
      <c r="M197" s="14" t="s">
        <v>26</v>
      </c>
      <c r="N197" s="23">
        <f>vendas2026[[#This Row],[VlrTotal]]*vendas2026[[#This Row],[%Comissão]]</f>
        <v>315.00000000000006</v>
      </c>
      <c r="O197" s="14">
        <f>vendas2026[[#This Row],[VlrTotal]]*vendas2026[[#This Row],[%ComissãoSupervisor]]</f>
        <v>78.750000000000014</v>
      </c>
      <c r="P197" s="11" t="s">
        <v>36</v>
      </c>
      <c r="Q197" s="11" t="s">
        <v>37</v>
      </c>
      <c r="R197" s="11"/>
      <c r="S197" s="11">
        <v>6</v>
      </c>
      <c r="T197" s="380">
        <v>46181</v>
      </c>
      <c r="U197" s="11" t="s">
        <v>28</v>
      </c>
      <c r="V197" s="16" t="s">
        <v>31</v>
      </c>
    </row>
    <row r="198" spans="1:22" x14ac:dyDescent="0.25">
      <c r="A198" s="10">
        <v>46181</v>
      </c>
      <c r="B198" s="11">
        <v>135343</v>
      </c>
      <c r="C198" s="11" t="s">
        <v>31</v>
      </c>
      <c r="D198" s="11" t="s">
        <v>108</v>
      </c>
      <c r="E198" s="11" t="s">
        <v>54</v>
      </c>
      <c r="F198" s="11" t="s">
        <v>30</v>
      </c>
      <c r="G198" s="12">
        <v>2</v>
      </c>
      <c r="H198" s="13">
        <v>142.56</v>
      </c>
      <c r="I198" s="14">
        <f>vendas2026[[#This Row],[Qtde]]*vendas2026[[#This Row],[VlrUnitário]]</f>
        <v>285.12</v>
      </c>
      <c r="J198" s="390">
        <f>(vendas2026[[#This Row],[VlrTotal]]*0.2)+vendas2026[[#This Row],[VlrTotal]]</f>
        <v>342.14400000000001</v>
      </c>
      <c r="K198" s="15">
        <v>1</v>
      </c>
      <c r="L198" s="15">
        <f>vendas2026[[#This Row],[%Comissão]]*0.25</f>
        <v>0.25</v>
      </c>
      <c r="M198" s="14" t="s">
        <v>26</v>
      </c>
      <c r="N198" s="23">
        <f>vendas2026[[#This Row],[VlrTotal]]*vendas2026[[#This Row],[%Comissão]]</f>
        <v>285.12</v>
      </c>
      <c r="O198" s="14">
        <f>vendas2026[[#This Row],[VlrTotal]]*vendas2026[[#This Row],[%ComissãoSupervisor]]</f>
        <v>71.28</v>
      </c>
      <c r="P198" s="11" t="s">
        <v>36</v>
      </c>
      <c r="Q198" s="11" t="s">
        <v>37</v>
      </c>
      <c r="R198" s="11"/>
      <c r="S198" s="11">
        <v>1</v>
      </c>
      <c r="T198" s="380">
        <v>46181</v>
      </c>
      <c r="U198" s="11" t="s">
        <v>28</v>
      </c>
      <c r="V198" s="16" t="s">
        <v>31</v>
      </c>
    </row>
    <row r="199" spans="1:22" x14ac:dyDescent="0.25">
      <c r="A199" s="10">
        <v>46181</v>
      </c>
      <c r="B199" s="11">
        <v>118061</v>
      </c>
      <c r="C199" s="11" t="s">
        <v>44</v>
      </c>
      <c r="D199" s="11" t="s">
        <v>140</v>
      </c>
      <c r="E199" s="11" t="s">
        <v>24</v>
      </c>
      <c r="F199" s="11" t="s">
        <v>25</v>
      </c>
      <c r="G199" s="12">
        <v>198</v>
      </c>
      <c r="H199" s="13">
        <v>180.04</v>
      </c>
      <c r="I199" s="14">
        <f>vendas2026[[#This Row],[Qtde]]*vendas2026[[#This Row],[VlrUnitário]]</f>
        <v>35647.919999999998</v>
      </c>
      <c r="J199" s="390">
        <f>vendas2026[[#This Row],[VlrTotal]]</f>
        <v>35647.919999999998</v>
      </c>
      <c r="K199" s="15">
        <v>7.0000000000000007E-2</v>
      </c>
      <c r="L199" s="15">
        <f>vendas2026[[#This Row],[%Comissão]]*0.25</f>
        <v>1.7500000000000002E-2</v>
      </c>
      <c r="M199" s="14" t="s">
        <v>26</v>
      </c>
      <c r="N199" s="23">
        <f>vendas2026[[#This Row],[VlrTotal]]*vendas2026[[#This Row],[%Comissão]]</f>
        <v>2495.3544000000002</v>
      </c>
      <c r="O199" s="14">
        <f>vendas2026[[#This Row],[VlrTotal]]*vendas2026[[#This Row],[%ComissãoSupervisor]]</f>
        <v>623.83860000000004</v>
      </c>
      <c r="P199" s="11" t="s">
        <v>36</v>
      </c>
      <c r="Q199" s="11" t="s">
        <v>37</v>
      </c>
      <c r="R199" s="11"/>
      <c r="S199" s="11">
        <v>6</v>
      </c>
      <c r="T199" s="380"/>
      <c r="U199" s="11" t="s">
        <v>38</v>
      </c>
      <c r="V199" s="16" t="s">
        <v>44</v>
      </c>
    </row>
    <row r="200" spans="1:22" x14ac:dyDescent="0.25">
      <c r="A200" s="10">
        <v>46183</v>
      </c>
      <c r="B200" s="11">
        <v>140986</v>
      </c>
      <c r="C200" s="11" t="s">
        <v>31</v>
      </c>
      <c r="D200" s="11" t="s">
        <v>141</v>
      </c>
      <c r="E200" s="11" t="s">
        <v>35</v>
      </c>
      <c r="F200" s="11" t="s">
        <v>35</v>
      </c>
      <c r="G200" s="12">
        <v>16</v>
      </c>
      <c r="H200" s="13">
        <v>156.25</v>
      </c>
      <c r="I200" s="14">
        <f>vendas2026[[#This Row],[Qtde]]*vendas2026[[#This Row],[VlrUnitário]]</f>
        <v>2500</v>
      </c>
      <c r="J200" s="390">
        <f>vendas2026[[#This Row],[VlrTotal]]</f>
        <v>2500</v>
      </c>
      <c r="K200" s="15">
        <v>6.8999999999999999E-3</v>
      </c>
      <c r="L200" s="15">
        <f>vendas2026[[#This Row],[%Comissão]]*0.25</f>
        <v>1.725E-3</v>
      </c>
      <c r="M200" s="14" t="s">
        <v>26</v>
      </c>
      <c r="N200" s="23">
        <f>vendas2026[[#This Row],[VlrTotal]]*vendas2026[[#This Row],[%Comissão]]</f>
        <v>17.25</v>
      </c>
      <c r="O200" s="14">
        <f>vendas2026[[#This Row],[VlrTotal]]*vendas2026[[#This Row],[%ComissãoSupervisor]]</f>
        <v>4.3125</v>
      </c>
      <c r="P200" s="11" t="s">
        <v>36</v>
      </c>
      <c r="Q200" s="11" t="s">
        <v>37</v>
      </c>
      <c r="R200" s="11"/>
      <c r="S200" s="11">
        <v>1</v>
      </c>
      <c r="T200" s="380"/>
      <c r="U200" s="11" t="s">
        <v>38</v>
      </c>
      <c r="V200" s="16" t="s">
        <v>31</v>
      </c>
    </row>
    <row r="201" spans="1:22" x14ac:dyDescent="0.25">
      <c r="A201" s="10">
        <v>46184</v>
      </c>
      <c r="B201" s="11">
        <v>142241</v>
      </c>
      <c r="C201" s="11" t="s">
        <v>31</v>
      </c>
      <c r="D201" s="11" t="s">
        <v>87</v>
      </c>
      <c r="E201" s="11" t="s">
        <v>35</v>
      </c>
      <c r="F201" s="11" t="s">
        <v>35</v>
      </c>
      <c r="G201" s="12">
        <v>6</v>
      </c>
      <c r="H201" s="13">
        <v>176</v>
      </c>
      <c r="I201" s="14">
        <f>vendas2026[[#This Row],[Qtde]]*vendas2026[[#This Row],[VlrUnitário]]</f>
        <v>1056</v>
      </c>
      <c r="J201" s="390">
        <f>vendas2026[[#This Row],[VlrTotal]]</f>
        <v>1056</v>
      </c>
      <c r="K201" s="15">
        <v>0.01</v>
      </c>
      <c r="L201" s="15">
        <f>vendas2026[[#This Row],[%Comissão]]*0.25</f>
        <v>2.5000000000000001E-3</v>
      </c>
      <c r="M201" s="14" t="s">
        <v>26</v>
      </c>
      <c r="N201" s="23">
        <f>vendas2026[[#This Row],[VlrTotal]]*vendas2026[[#This Row],[%Comissão]]</f>
        <v>10.56</v>
      </c>
      <c r="O201" s="14">
        <f>vendas2026[[#This Row],[VlrTotal]]*vendas2026[[#This Row],[%ComissãoSupervisor]]</f>
        <v>2.64</v>
      </c>
      <c r="P201" s="11" t="s">
        <v>36</v>
      </c>
      <c r="Q201" s="11" t="s">
        <v>37</v>
      </c>
      <c r="R201" s="11"/>
      <c r="S201" s="11">
        <v>1</v>
      </c>
      <c r="T201" s="380"/>
      <c r="U201" s="11" t="s">
        <v>38</v>
      </c>
      <c r="V201" s="16" t="s">
        <v>31</v>
      </c>
    </row>
    <row r="202" spans="1:22" x14ac:dyDescent="0.25">
      <c r="A202" s="10">
        <v>46188</v>
      </c>
      <c r="B202" s="11">
        <v>144483</v>
      </c>
      <c r="C202" s="11" t="s">
        <v>142</v>
      </c>
      <c r="D202" s="11" t="s">
        <v>143</v>
      </c>
      <c r="E202" s="11" t="s">
        <v>47</v>
      </c>
      <c r="F202" s="11" t="s">
        <v>25</v>
      </c>
      <c r="G202" s="12">
        <v>400</v>
      </c>
      <c r="H202" s="13">
        <v>190</v>
      </c>
      <c r="I202" s="14">
        <f>vendas2026[[#This Row],[Qtde]]*vendas2026[[#This Row],[VlrUnitário]]</f>
        <v>76000</v>
      </c>
      <c r="J202" s="390">
        <f>vendas2026[[#This Row],[VlrTotal]]</f>
        <v>76000</v>
      </c>
      <c r="K202" s="15">
        <v>7.0000000000000007E-2</v>
      </c>
      <c r="L202" s="15">
        <f>vendas2026[[#This Row],[%Comissão]]*0.25</f>
        <v>1.7500000000000002E-2</v>
      </c>
      <c r="M202" s="14" t="s">
        <v>46</v>
      </c>
      <c r="N202" s="23">
        <v>0</v>
      </c>
      <c r="O202" s="14">
        <f>vendas2026[[#This Row],[VlrTotal]]*vendas2026[[#This Row],[%ComissãoSupervisor]]</f>
        <v>1330.0000000000002</v>
      </c>
      <c r="P202" s="11" t="s">
        <v>27</v>
      </c>
      <c r="Q202" s="11" t="s">
        <v>27</v>
      </c>
      <c r="R202" s="11"/>
      <c r="S202" s="11">
        <v>10</v>
      </c>
      <c r="T202" s="380">
        <v>46188</v>
      </c>
      <c r="U202" s="11" t="s">
        <v>28</v>
      </c>
      <c r="V202" s="16" t="s">
        <v>142</v>
      </c>
    </row>
    <row r="203" spans="1:22" x14ac:dyDescent="0.25">
      <c r="A203" s="10">
        <v>46188</v>
      </c>
      <c r="B203" s="11">
        <v>144483</v>
      </c>
      <c r="C203" s="11" t="s">
        <v>142</v>
      </c>
      <c r="D203" s="11" t="s">
        <v>143</v>
      </c>
      <c r="E203" s="11" t="s">
        <v>63</v>
      </c>
      <c r="F203" s="11" t="s">
        <v>25</v>
      </c>
      <c r="G203" s="12">
        <v>24</v>
      </c>
      <c r="H203" s="13">
        <v>190</v>
      </c>
      <c r="I203" s="14">
        <f>vendas2026[[#This Row],[Qtde]]*vendas2026[[#This Row],[VlrUnitário]]</f>
        <v>4560</v>
      </c>
      <c r="J203" s="390">
        <f>vendas2026[[#This Row],[VlrTotal]]</f>
        <v>4560</v>
      </c>
      <c r="K203" s="15">
        <v>7.0000000000000007E-2</v>
      </c>
      <c r="L203" s="15">
        <f>vendas2026[[#This Row],[%Comissão]]*0.25</f>
        <v>1.7500000000000002E-2</v>
      </c>
      <c r="M203" s="14" t="s">
        <v>46</v>
      </c>
      <c r="N203" s="23">
        <v>0</v>
      </c>
      <c r="O203" s="14">
        <f>vendas2026[[#This Row],[VlrTotal]]*vendas2026[[#This Row],[%ComissãoSupervisor]]</f>
        <v>79.800000000000011</v>
      </c>
      <c r="P203" s="11" t="s">
        <v>27</v>
      </c>
      <c r="Q203" s="11" t="s">
        <v>27</v>
      </c>
      <c r="R203" s="11"/>
      <c r="S203" s="11">
        <v>10</v>
      </c>
      <c r="T203" s="380">
        <v>46188</v>
      </c>
      <c r="U203" s="11" t="s">
        <v>28</v>
      </c>
      <c r="V203" s="16" t="s">
        <v>142</v>
      </c>
    </row>
    <row r="204" spans="1:22" x14ac:dyDescent="0.25">
      <c r="A204" s="10">
        <v>46188</v>
      </c>
      <c r="B204" s="11">
        <v>144484</v>
      </c>
      <c r="C204" s="11" t="s">
        <v>142</v>
      </c>
      <c r="D204" s="11" t="s">
        <v>143</v>
      </c>
      <c r="E204" s="11" t="s">
        <v>102</v>
      </c>
      <c r="F204" s="11" t="s">
        <v>41</v>
      </c>
      <c r="G204" s="12">
        <v>1</v>
      </c>
      <c r="H204" s="13">
        <v>1600</v>
      </c>
      <c r="I204" s="14">
        <f>vendas2026[[#This Row],[Qtde]]*vendas2026[[#This Row],[VlrUnitário]]</f>
        <v>1600</v>
      </c>
      <c r="J204" s="390">
        <f>vendas2026[[#This Row],[VlrTotal]]</f>
        <v>1600</v>
      </c>
      <c r="K204" s="15">
        <v>7.0000000000000007E-2</v>
      </c>
      <c r="L204" s="15">
        <f>vendas2026[[#This Row],[%Comissão]]*0.25</f>
        <v>1.7500000000000002E-2</v>
      </c>
      <c r="M204" s="14" t="s">
        <v>46</v>
      </c>
      <c r="N204" s="23">
        <v>0</v>
      </c>
      <c r="O204" s="14">
        <f>vendas2026[[#This Row],[VlrTotal]]*vendas2026[[#This Row],[%ComissãoSupervisor]]</f>
        <v>28.000000000000004</v>
      </c>
      <c r="P204" s="11" t="s">
        <v>27</v>
      </c>
      <c r="Q204" s="11" t="s">
        <v>27</v>
      </c>
      <c r="R204" s="11"/>
      <c r="S204" s="11">
        <v>10</v>
      </c>
      <c r="T204" s="380">
        <v>46188</v>
      </c>
      <c r="U204" s="11" t="s">
        <v>28</v>
      </c>
      <c r="V204" s="16" t="s">
        <v>142</v>
      </c>
    </row>
    <row r="205" spans="1:22" x14ac:dyDescent="0.25">
      <c r="A205" s="10">
        <v>46188</v>
      </c>
      <c r="B205" s="11">
        <v>144483</v>
      </c>
      <c r="C205" s="11" t="s">
        <v>142</v>
      </c>
      <c r="D205" s="11" t="s">
        <v>143</v>
      </c>
      <c r="E205" s="11" t="s">
        <v>47</v>
      </c>
      <c r="F205" s="11" t="s">
        <v>30</v>
      </c>
      <c r="G205" s="12">
        <v>8</v>
      </c>
      <c r="H205" s="13">
        <v>275.62</v>
      </c>
      <c r="I205" s="14">
        <f>vendas2026[[#This Row],[Qtde]]*vendas2026[[#This Row],[VlrUnitário]]</f>
        <v>2204.96</v>
      </c>
      <c r="J205" s="390">
        <f>vendas2026[[#This Row],[VlrTotal]]</f>
        <v>2204.96</v>
      </c>
      <c r="K205" s="15">
        <v>1</v>
      </c>
      <c r="L205" s="15">
        <f>vendas2026[[#This Row],[%Comissão]]*0.25</f>
        <v>0.25</v>
      </c>
      <c r="M205" s="14" t="s">
        <v>46</v>
      </c>
      <c r="N205" s="23">
        <v>0</v>
      </c>
      <c r="O205" s="14">
        <f>vendas2026[[#This Row],[VlrTotal]]*vendas2026[[#This Row],[%ComissãoSupervisor]]</f>
        <v>551.24</v>
      </c>
      <c r="P205" s="11" t="s">
        <v>27</v>
      </c>
      <c r="Q205" s="11" t="s">
        <v>27</v>
      </c>
      <c r="R205" s="11"/>
      <c r="S205" s="11">
        <v>1</v>
      </c>
      <c r="T205" s="380">
        <v>46188</v>
      </c>
      <c r="U205" s="11" t="s">
        <v>28</v>
      </c>
      <c r="V205" s="16" t="s">
        <v>142</v>
      </c>
    </row>
    <row r="206" spans="1:22" x14ac:dyDescent="0.25">
      <c r="A206" s="10">
        <v>46188</v>
      </c>
      <c r="B206" s="11">
        <v>144483</v>
      </c>
      <c r="C206" s="11" t="s">
        <v>142</v>
      </c>
      <c r="D206" s="11" t="s">
        <v>143</v>
      </c>
      <c r="E206" s="11" t="s">
        <v>63</v>
      </c>
      <c r="F206" s="11" t="s">
        <v>30</v>
      </c>
      <c r="G206" s="12">
        <v>12</v>
      </c>
      <c r="H206" s="13">
        <v>115</v>
      </c>
      <c r="I206" s="14">
        <f>vendas2026[[#This Row],[Qtde]]*vendas2026[[#This Row],[VlrUnitário]]</f>
        <v>1380</v>
      </c>
      <c r="J206" s="390">
        <f>vendas2026[[#This Row],[VlrTotal]]</f>
        <v>1380</v>
      </c>
      <c r="K206" s="15">
        <v>1</v>
      </c>
      <c r="L206" s="15">
        <f>vendas2026[[#This Row],[%Comissão]]*0.25</f>
        <v>0.25</v>
      </c>
      <c r="M206" s="14" t="s">
        <v>46</v>
      </c>
      <c r="N206" s="23">
        <v>0</v>
      </c>
      <c r="O206" s="14">
        <f>vendas2026[[#This Row],[VlrTotal]]*vendas2026[[#This Row],[%ComissãoSupervisor]]</f>
        <v>345</v>
      </c>
      <c r="P206" s="11" t="s">
        <v>27</v>
      </c>
      <c r="Q206" s="11" t="s">
        <v>27</v>
      </c>
      <c r="R206" s="11"/>
      <c r="S206" s="11">
        <v>1</v>
      </c>
      <c r="T206" s="380">
        <v>46188</v>
      </c>
      <c r="U206" s="11" t="s">
        <v>28</v>
      </c>
      <c r="V206" s="16" t="s">
        <v>142</v>
      </c>
    </row>
    <row r="207" spans="1:22" x14ac:dyDescent="0.25">
      <c r="A207" s="10">
        <v>46188</v>
      </c>
      <c r="B207" s="11">
        <v>144483</v>
      </c>
      <c r="C207" s="11" t="s">
        <v>142</v>
      </c>
      <c r="D207" s="11" t="s">
        <v>143</v>
      </c>
      <c r="E207" s="11" t="s">
        <v>144</v>
      </c>
      <c r="F207" s="11" t="s">
        <v>30</v>
      </c>
      <c r="G207" s="12">
        <v>1</v>
      </c>
      <c r="H207" s="13">
        <v>712.8</v>
      </c>
      <c r="I207" s="14">
        <f>vendas2026[[#This Row],[Qtde]]*vendas2026[[#This Row],[VlrUnitário]]</f>
        <v>712.8</v>
      </c>
      <c r="J207" s="390">
        <f>vendas2026[[#This Row],[VlrTotal]]</f>
        <v>712.8</v>
      </c>
      <c r="K207" s="15">
        <v>1</v>
      </c>
      <c r="L207" s="15">
        <f>vendas2026[[#This Row],[%Comissão]]*0.25</f>
        <v>0.25</v>
      </c>
      <c r="M207" s="14" t="s">
        <v>46</v>
      </c>
      <c r="N207" s="23">
        <v>0</v>
      </c>
      <c r="O207" s="14">
        <f>vendas2026[[#This Row],[VlrTotal]]*vendas2026[[#This Row],[%ComissãoSupervisor]]</f>
        <v>178.2</v>
      </c>
      <c r="P207" s="11" t="s">
        <v>27</v>
      </c>
      <c r="Q207" s="11" t="s">
        <v>27</v>
      </c>
      <c r="R207" s="11"/>
      <c r="S207" s="11">
        <v>1</v>
      </c>
      <c r="T207" s="380">
        <v>46188</v>
      </c>
      <c r="U207" s="11" t="s">
        <v>28</v>
      </c>
      <c r="V207" s="16" t="s">
        <v>142</v>
      </c>
    </row>
    <row r="208" spans="1:22" x14ac:dyDescent="0.25">
      <c r="A208" s="10">
        <v>46188</v>
      </c>
      <c r="B208" s="11">
        <v>144483</v>
      </c>
      <c r="C208" s="11" t="s">
        <v>142</v>
      </c>
      <c r="D208" s="11" t="s">
        <v>143</v>
      </c>
      <c r="E208" s="11" t="s">
        <v>56</v>
      </c>
      <c r="F208" s="11" t="s">
        <v>30</v>
      </c>
      <c r="G208" s="12">
        <v>1</v>
      </c>
      <c r="H208" s="13">
        <v>356.4</v>
      </c>
      <c r="I208" s="14">
        <f>vendas2026[[#This Row],[Qtde]]*vendas2026[[#This Row],[VlrUnitário]]</f>
        <v>356.4</v>
      </c>
      <c r="J208" s="390">
        <f>vendas2026[[#This Row],[VlrTotal]]</f>
        <v>356.4</v>
      </c>
      <c r="K208" s="15">
        <v>1</v>
      </c>
      <c r="L208" s="15">
        <f>vendas2026[[#This Row],[%Comissão]]*0.25</f>
        <v>0.25</v>
      </c>
      <c r="M208" s="14" t="s">
        <v>46</v>
      </c>
      <c r="N208" s="23">
        <v>0</v>
      </c>
      <c r="O208" s="14">
        <f>vendas2026[[#This Row],[VlrTotal]]*vendas2026[[#This Row],[%ComissãoSupervisor]]</f>
        <v>89.1</v>
      </c>
      <c r="P208" s="11" t="s">
        <v>27</v>
      </c>
      <c r="Q208" s="11" t="s">
        <v>27</v>
      </c>
      <c r="R208" s="11"/>
      <c r="S208" s="11">
        <v>1</v>
      </c>
      <c r="T208" s="380">
        <v>46188</v>
      </c>
      <c r="U208" s="11" t="s">
        <v>28</v>
      </c>
      <c r="V208" s="16" t="s">
        <v>142</v>
      </c>
    </row>
    <row r="209" spans="1:22" x14ac:dyDescent="0.25">
      <c r="A209" s="10">
        <v>46188</v>
      </c>
      <c r="B209" s="11">
        <v>144483</v>
      </c>
      <c r="C209" s="11" t="s">
        <v>142</v>
      </c>
      <c r="D209" s="11" t="s">
        <v>143</v>
      </c>
      <c r="E209" s="11" t="s">
        <v>145</v>
      </c>
      <c r="F209" s="11" t="s">
        <v>30</v>
      </c>
      <c r="G209" s="12">
        <v>1</v>
      </c>
      <c r="H209" s="13">
        <v>356.4</v>
      </c>
      <c r="I209" s="14">
        <f>vendas2026[[#This Row],[Qtde]]*vendas2026[[#This Row],[VlrUnitário]]</f>
        <v>356.4</v>
      </c>
      <c r="J209" s="390">
        <f>vendas2026[[#This Row],[VlrTotal]]</f>
        <v>356.4</v>
      </c>
      <c r="K209" s="15">
        <v>1</v>
      </c>
      <c r="L209" s="15">
        <f>vendas2026[[#This Row],[%Comissão]]*0.25</f>
        <v>0.25</v>
      </c>
      <c r="M209" s="14" t="s">
        <v>46</v>
      </c>
      <c r="N209" s="23">
        <v>0</v>
      </c>
      <c r="O209" s="14">
        <f>vendas2026[[#This Row],[VlrTotal]]*vendas2026[[#This Row],[%ComissãoSupervisor]]</f>
        <v>89.1</v>
      </c>
      <c r="P209" s="11" t="s">
        <v>27</v>
      </c>
      <c r="Q209" s="11" t="s">
        <v>27</v>
      </c>
      <c r="R209" s="11"/>
      <c r="S209" s="11">
        <v>1</v>
      </c>
      <c r="T209" s="380">
        <v>46188</v>
      </c>
      <c r="U209" s="11" t="s">
        <v>28</v>
      </c>
      <c r="V209" s="16" t="s">
        <v>142</v>
      </c>
    </row>
    <row r="210" spans="1:22" x14ac:dyDescent="0.25">
      <c r="A210" s="10">
        <v>46188</v>
      </c>
      <c r="B210" s="11">
        <v>144483</v>
      </c>
      <c r="C210" s="11" t="s">
        <v>142</v>
      </c>
      <c r="D210" s="11" t="s">
        <v>143</v>
      </c>
      <c r="E210" s="11" t="s">
        <v>48</v>
      </c>
      <c r="F210" s="11" t="s">
        <v>30</v>
      </c>
      <c r="G210" s="12">
        <v>1</v>
      </c>
      <c r="H210" s="13">
        <v>356.4</v>
      </c>
      <c r="I210" s="14">
        <f>vendas2026[[#This Row],[Qtde]]*vendas2026[[#This Row],[VlrUnitário]]</f>
        <v>356.4</v>
      </c>
      <c r="J210" s="390">
        <f>vendas2026[[#This Row],[VlrTotal]]</f>
        <v>356.4</v>
      </c>
      <c r="K210" s="15">
        <v>1</v>
      </c>
      <c r="L210" s="15">
        <f>vendas2026[[#This Row],[%Comissão]]*0.25</f>
        <v>0.25</v>
      </c>
      <c r="M210" s="14" t="s">
        <v>46</v>
      </c>
      <c r="N210" s="23">
        <v>0</v>
      </c>
      <c r="O210" s="14">
        <f>vendas2026[[#This Row],[VlrTotal]]*vendas2026[[#This Row],[%ComissãoSupervisor]]</f>
        <v>89.1</v>
      </c>
      <c r="P210" s="11" t="s">
        <v>27</v>
      </c>
      <c r="Q210" s="11" t="s">
        <v>27</v>
      </c>
      <c r="R210" s="11"/>
      <c r="S210" s="11">
        <v>1</v>
      </c>
      <c r="T210" s="380">
        <v>46188</v>
      </c>
      <c r="U210" s="11" t="s">
        <v>28</v>
      </c>
      <c r="V210" s="16" t="s">
        <v>142</v>
      </c>
    </row>
    <row r="211" spans="1:22" x14ac:dyDescent="0.25">
      <c r="A211" s="10">
        <v>46188</v>
      </c>
      <c r="B211" s="11">
        <v>144484</v>
      </c>
      <c r="C211" s="11" t="s">
        <v>142</v>
      </c>
      <c r="D211" s="11" t="s">
        <v>143</v>
      </c>
      <c r="E211" s="11" t="s">
        <v>102</v>
      </c>
      <c r="F211" s="11" t="s">
        <v>30</v>
      </c>
      <c r="G211" s="12">
        <v>1</v>
      </c>
      <c r="H211" s="13">
        <v>2295.1999999999998</v>
      </c>
      <c r="I211" s="14">
        <f>vendas2026[[#This Row],[Qtde]]*vendas2026[[#This Row],[VlrUnitário]]</f>
        <v>2295.1999999999998</v>
      </c>
      <c r="J211" s="390">
        <f>vendas2026[[#This Row],[VlrTotal]]</f>
        <v>2295.1999999999998</v>
      </c>
      <c r="K211" s="15">
        <v>1</v>
      </c>
      <c r="L211" s="15">
        <f>vendas2026[[#This Row],[%Comissão]]*0.25</f>
        <v>0.25</v>
      </c>
      <c r="M211" s="14" t="s">
        <v>46</v>
      </c>
      <c r="N211" s="23">
        <v>0</v>
      </c>
      <c r="O211" s="14">
        <f>vendas2026[[#This Row],[VlrTotal]]*vendas2026[[#This Row],[%ComissãoSupervisor]]</f>
        <v>573.79999999999995</v>
      </c>
      <c r="P211" s="11" t="s">
        <v>27</v>
      </c>
      <c r="Q211" s="11" t="s">
        <v>27</v>
      </c>
      <c r="R211" s="11"/>
      <c r="S211" s="11">
        <v>1</v>
      </c>
      <c r="T211" s="380">
        <v>46188</v>
      </c>
      <c r="U211" s="11" t="s">
        <v>28</v>
      </c>
      <c r="V211" s="16" t="s">
        <v>142</v>
      </c>
    </row>
    <row r="212" spans="1:22" x14ac:dyDescent="0.25">
      <c r="A212" s="10">
        <v>46188</v>
      </c>
      <c r="B212" s="11">
        <v>134873</v>
      </c>
      <c r="C212" s="11" t="s">
        <v>31</v>
      </c>
      <c r="D212" s="11" t="s">
        <v>92</v>
      </c>
      <c r="E212" s="11" t="s">
        <v>24</v>
      </c>
      <c r="F212" s="11" t="s">
        <v>25</v>
      </c>
      <c r="G212" s="12">
        <v>15</v>
      </c>
      <c r="H212" s="13">
        <v>180</v>
      </c>
      <c r="I212" s="14">
        <f>vendas2026[[#This Row],[Qtde]]*vendas2026[[#This Row],[VlrUnitário]]</f>
        <v>2700</v>
      </c>
      <c r="J212" s="390">
        <f>(vendas2026[[#This Row],[VlrTotal]]*0.2)+vendas2026[[#This Row],[VlrTotal]]</f>
        <v>3240</v>
      </c>
      <c r="K212" s="15">
        <v>7.0000000000000007E-2</v>
      </c>
      <c r="L212" s="15">
        <f>vendas2026[[#This Row],[%Comissão]]*0.25</f>
        <v>1.7500000000000002E-2</v>
      </c>
      <c r="M212" s="14" t="s">
        <v>26</v>
      </c>
      <c r="N212" s="23">
        <f>vendas2026[[#This Row],[VlrTotal]]*vendas2026[[#This Row],[%Comissão]]</f>
        <v>189.00000000000003</v>
      </c>
      <c r="O212" s="14">
        <f>vendas2026[[#This Row],[VlrTotal]]*vendas2026[[#This Row],[%ComissãoSupervisor]]</f>
        <v>47.250000000000007</v>
      </c>
      <c r="P212" s="11" t="s">
        <v>36</v>
      </c>
      <c r="Q212" s="11" t="s">
        <v>37</v>
      </c>
      <c r="R212" s="11"/>
      <c r="S212" s="11">
        <v>1</v>
      </c>
      <c r="T212" s="380"/>
      <c r="U212" s="11" t="s">
        <v>38</v>
      </c>
      <c r="V212" s="16" t="s">
        <v>31</v>
      </c>
    </row>
    <row r="213" spans="1:22" x14ac:dyDescent="0.25">
      <c r="A213" s="10">
        <v>46188</v>
      </c>
      <c r="B213" s="11">
        <v>144460</v>
      </c>
      <c r="C213" s="11" t="s">
        <v>31</v>
      </c>
      <c r="D213" s="11" t="s">
        <v>146</v>
      </c>
      <c r="E213" s="11" t="s">
        <v>24</v>
      </c>
      <c r="F213" s="11" t="s">
        <v>25</v>
      </c>
      <c r="G213" s="12">
        <v>8</v>
      </c>
      <c r="H213" s="13">
        <v>180</v>
      </c>
      <c r="I213" s="14">
        <f>vendas2026[[#This Row],[Qtde]]*vendas2026[[#This Row],[VlrUnitário]]</f>
        <v>1440</v>
      </c>
      <c r="J213" s="390">
        <f>(vendas2026[[#This Row],[VlrTotal]]*0.2)+vendas2026[[#This Row],[VlrTotal]]</f>
        <v>1728</v>
      </c>
      <c r="K213" s="15">
        <v>7.0000000000000007E-2</v>
      </c>
      <c r="L213" s="15">
        <f>vendas2026[[#This Row],[%Comissão]]*0.25</f>
        <v>1.7500000000000002E-2</v>
      </c>
      <c r="M213" s="14" t="s">
        <v>26</v>
      </c>
      <c r="N213" s="23">
        <f>vendas2026[[#This Row],[VlrTotal]]*vendas2026[[#This Row],[%Comissão]]</f>
        <v>100.80000000000001</v>
      </c>
      <c r="O213" s="14">
        <f>vendas2026[[#This Row],[VlrTotal]]*vendas2026[[#This Row],[%ComissãoSupervisor]]</f>
        <v>25.200000000000003</v>
      </c>
      <c r="P213" s="11" t="s">
        <v>36</v>
      </c>
      <c r="Q213" s="11" t="s">
        <v>37</v>
      </c>
      <c r="R213" s="11"/>
      <c r="S213" s="11">
        <v>3</v>
      </c>
      <c r="T213" s="380"/>
      <c r="U213" s="11" t="s">
        <v>38</v>
      </c>
      <c r="V213" s="16" t="s">
        <v>31</v>
      </c>
    </row>
    <row r="214" spans="1:22" x14ac:dyDescent="0.25">
      <c r="A214" s="10">
        <v>46189</v>
      </c>
      <c r="B214" s="11">
        <v>142677</v>
      </c>
      <c r="C214" s="11" t="s">
        <v>31</v>
      </c>
      <c r="D214" s="11" t="s">
        <v>105</v>
      </c>
      <c r="E214" s="11" t="s">
        <v>52</v>
      </c>
      <c r="F214" s="11" t="s">
        <v>41</v>
      </c>
      <c r="G214" s="12">
        <v>1</v>
      </c>
      <c r="H214" s="13">
        <v>8100</v>
      </c>
      <c r="I214" s="14">
        <f>vendas2026[[#This Row],[Qtde]]*vendas2026[[#This Row],[VlrUnitário]]</f>
        <v>8100</v>
      </c>
      <c r="J214" s="390">
        <f>(vendas2026[[#This Row],[VlrTotal]]*0.2)+vendas2026[[#This Row],[VlrTotal]]</f>
        <v>9720</v>
      </c>
      <c r="K214" s="15">
        <v>7.0000000000000007E-2</v>
      </c>
      <c r="L214" s="15">
        <f>vendas2026[[#This Row],[%Comissão]]*0.25</f>
        <v>1.7500000000000002E-2</v>
      </c>
      <c r="M214" s="14" t="s">
        <v>26</v>
      </c>
      <c r="N214" s="23">
        <f>vendas2026[[#This Row],[VlrTotal]]*vendas2026[[#This Row],[%Comissão]]</f>
        <v>567</v>
      </c>
      <c r="O214" s="14">
        <f>vendas2026[[#This Row],[VlrTotal]]*vendas2026[[#This Row],[%ComissãoSupervisor]]</f>
        <v>141.75</v>
      </c>
      <c r="P214" s="11" t="s">
        <v>27</v>
      </c>
      <c r="Q214" s="11" t="s">
        <v>27</v>
      </c>
      <c r="R214" s="11"/>
      <c r="S214" s="11">
        <v>6</v>
      </c>
      <c r="T214" s="380">
        <v>46189</v>
      </c>
      <c r="U214" s="11" t="s">
        <v>28</v>
      </c>
      <c r="V214" s="16" t="s">
        <v>31</v>
      </c>
    </row>
    <row r="215" spans="1:22" x14ac:dyDescent="0.25">
      <c r="A215" s="10">
        <v>46189</v>
      </c>
      <c r="B215" s="11">
        <v>142677</v>
      </c>
      <c r="C215" s="11" t="s">
        <v>31</v>
      </c>
      <c r="D215" s="11" t="s">
        <v>105</v>
      </c>
      <c r="E215" s="11" t="s">
        <v>52</v>
      </c>
      <c r="F215" s="11" t="s">
        <v>30</v>
      </c>
      <c r="G215" s="12">
        <v>1</v>
      </c>
      <c r="H215" s="13">
        <v>1080</v>
      </c>
      <c r="I215" s="14">
        <f>vendas2026[[#This Row],[Qtde]]*vendas2026[[#This Row],[VlrUnitário]]</f>
        <v>1080</v>
      </c>
      <c r="J215" s="390">
        <f>(vendas2026[[#This Row],[VlrTotal]]*0.2)+vendas2026[[#This Row],[VlrTotal]]</f>
        <v>1296</v>
      </c>
      <c r="K215" s="15">
        <v>1</v>
      </c>
      <c r="L215" s="15">
        <f>vendas2026[[#This Row],[%Comissão]]*0.25</f>
        <v>0.25</v>
      </c>
      <c r="M215" s="14" t="s">
        <v>26</v>
      </c>
      <c r="N215" s="23">
        <f>vendas2026[[#This Row],[VlrTotal]]*vendas2026[[#This Row],[%Comissão]]</f>
        <v>1080</v>
      </c>
      <c r="O215" s="14">
        <f>vendas2026[[#This Row],[VlrTotal]]*vendas2026[[#This Row],[%ComissãoSupervisor]]</f>
        <v>270</v>
      </c>
      <c r="P215" s="11" t="s">
        <v>27</v>
      </c>
      <c r="Q215" s="11" t="s">
        <v>27</v>
      </c>
      <c r="R215" s="11"/>
      <c r="S215" s="11">
        <v>1</v>
      </c>
      <c r="T215" s="380">
        <v>46189</v>
      </c>
      <c r="U215" s="11" t="s">
        <v>28</v>
      </c>
      <c r="V215" s="16" t="s">
        <v>31</v>
      </c>
    </row>
    <row r="216" spans="1:22" x14ac:dyDescent="0.25">
      <c r="A216" s="10">
        <v>46192</v>
      </c>
      <c r="B216" s="11">
        <v>144800</v>
      </c>
      <c r="C216" s="11" t="s">
        <v>31</v>
      </c>
      <c r="D216" s="11" t="s">
        <v>108</v>
      </c>
      <c r="E216" s="11" t="s">
        <v>24</v>
      </c>
      <c r="F216" s="11" t="s">
        <v>25</v>
      </c>
      <c r="G216" s="12">
        <v>10</v>
      </c>
      <c r="H216" s="13">
        <v>180</v>
      </c>
      <c r="I216" s="14">
        <f>vendas2026[[#This Row],[Qtde]]*vendas2026[[#This Row],[VlrUnitário]]</f>
        <v>1800</v>
      </c>
      <c r="J216" s="390">
        <f>(vendas2026[[#This Row],[VlrTotal]]*0.2)+vendas2026[[#This Row],[VlrTotal]]</f>
        <v>2160</v>
      </c>
      <c r="K216" s="15">
        <v>7.0000000000000007E-2</v>
      </c>
      <c r="L216" s="15">
        <f>vendas2026[[#This Row],[%Comissão]]*0.25</f>
        <v>1.7500000000000002E-2</v>
      </c>
      <c r="M216" s="14" t="s">
        <v>26</v>
      </c>
      <c r="N216" s="23">
        <f>vendas2026[[#This Row],[VlrTotal]]*vendas2026[[#This Row],[%Comissão]]</f>
        <v>126.00000000000001</v>
      </c>
      <c r="O216" s="14">
        <f>vendas2026[[#This Row],[VlrTotal]]*vendas2026[[#This Row],[%ComissãoSupervisor]]</f>
        <v>31.500000000000004</v>
      </c>
      <c r="P216" s="11" t="s">
        <v>27</v>
      </c>
      <c r="Q216" s="11" t="s">
        <v>27</v>
      </c>
      <c r="R216" s="11"/>
      <c r="S216" s="11">
        <v>4</v>
      </c>
      <c r="T216" s="380"/>
      <c r="U216" s="11" t="s">
        <v>38</v>
      </c>
      <c r="V216" s="16" t="s">
        <v>31</v>
      </c>
    </row>
    <row r="217" spans="1:22" x14ac:dyDescent="0.25">
      <c r="A217" s="10">
        <v>46197</v>
      </c>
      <c r="B217" s="11">
        <v>144344</v>
      </c>
      <c r="C217" s="11" t="s">
        <v>44</v>
      </c>
      <c r="D217" s="11" t="s">
        <v>149</v>
      </c>
      <c r="E217" s="11" t="s">
        <v>63</v>
      </c>
      <c r="F217" s="11" t="s">
        <v>25</v>
      </c>
      <c r="G217" s="12">
        <v>80</v>
      </c>
      <c r="H217" s="13">
        <v>171.19</v>
      </c>
      <c r="I217" s="14">
        <f>vendas2026[[#This Row],[Qtde]]*vendas2026[[#This Row],[VlrUnitário]]</f>
        <v>13695.2</v>
      </c>
      <c r="J217" s="390">
        <f>vendas2026[[#This Row],[VlrTotal]]</f>
        <v>13695.2</v>
      </c>
      <c r="K217" s="15">
        <v>7.0000000000000007E-2</v>
      </c>
      <c r="L217" s="15">
        <f>vendas2026[[#This Row],[%Comissão]]*0.25</f>
        <v>1.7500000000000002E-2</v>
      </c>
      <c r="M217" s="14" t="s">
        <v>46</v>
      </c>
      <c r="N217" s="23">
        <f>vendas2026[[#This Row],[VlrTotal]]*vendas2026[[#This Row],[%Comissão]]</f>
        <v>958.6640000000001</v>
      </c>
      <c r="O217" s="14">
        <f>vendas2026[[#This Row],[VlrTotal]]*vendas2026[[#This Row],[%ComissãoSupervisor]]</f>
        <v>239.66600000000003</v>
      </c>
      <c r="P217" s="11" t="s">
        <v>27</v>
      </c>
      <c r="Q217" s="11" t="s">
        <v>27</v>
      </c>
      <c r="R217" s="11"/>
      <c r="S217" s="11">
        <v>1</v>
      </c>
      <c r="T217" s="380">
        <v>46197</v>
      </c>
      <c r="U217" s="11" t="s">
        <v>28</v>
      </c>
      <c r="V217" s="16" t="s">
        <v>44</v>
      </c>
    </row>
    <row r="218" spans="1:22" x14ac:dyDescent="0.25">
      <c r="A218" s="10">
        <v>46197</v>
      </c>
      <c r="B218" s="11">
        <v>144344</v>
      </c>
      <c r="C218" s="11" t="s">
        <v>44</v>
      </c>
      <c r="D218" s="11" t="s">
        <v>149</v>
      </c>
      <c r="E218" s="11" t="s">
        <v>63</v>
      </c>
      <c r="F218" s="11" t="s">
        <v>30</v>
      </c>
      <c r="G218" s="12">
        <v>200</v>
      </c>
      <c r="H218" s="13">
        <v>73.64</v>
      </c>
      <c r="I218" s="14">
        <f>vendas2026[[#This Row],[Qtde]]*vendas2026[[#This Row],[VlrUnitário]]</f>
        <v>14728</v>
      </c>
      <c r="J218" s="390">
        <f>vendas2026[[#This Row],[VlrTotal]]</f>
        <v>14728</v>
      </c>
      <c r="K218" s="15">
        <v>1</v>
      </c>
      <c r="L218" s="15">
        <f>vendas2026[[#This Row],[%Comissão]]*0.25</f>
        <v>0.25</v>
      </c>
      <c r="M218" s="14" t="s">
        <v>46</v>
      </c>
      <c r="N218" s="23">
        <f>vendas2026[[#This Row],[VlrTotal]]*vendas2026[[#This Row],[%Comissão]]</f>
        <v>14728</v>
      </c>
      <c r="O218" s="14">
        <f>vendas2026[[#This Row],[VlrTotal]]*vendas2026[[#This Row],[%ComissãoSupervisor]]</f>
        <v>3682</v>
      </c>
      <c r="P218" s="11" t="s">
        <v>27</v>
      </c>
      <c r="Q218" s="11" t="s">
        <v>27</v>
      </c>
      <c r="R218" s="11"/>
      <c r="S218" s="11">
        <v>1</v>
      </c>
      <c r="T218" s="380">
        <v>46197</v>
      </c>
      <c r="U218" s="11" t="s">
        <v>28</v>
      </c>
      <c r="V218" s="16" t="s">
        <v>44</v>
      </c>
    </row>
    <row r="219" spans="1:22" x14ac:dyDescent="0.25">
      <c r="A219" s="10">
        <v>46197</v>
      </c>
      <c r="B219" s="11">
        <v>143904</v>
      </c>
      <c r="C219" s="11" t="s">
        <v>31</v>
      </c>
      <c r="D219" s="11" t="s">
        <v>72</v>
      </c>
      <c r="E219" s="11" t="s">
        <v>35</v>
      </c>
      <c r="F219" s="11" t="s">
        <v>35</v>
      </c>
      <c r="G219" s="12">
        <v>40</v>
      </c>
      <c r="H219" s="13">
        <v>176</v>
      </c>
      <c r="I219" s="14">
        <f>vendas2026[[#This Row],[Qtde]]*vendas2026[[#This Row],[VlrUnitário]]</f>
        <v>7040</v>
      </c>
      <c r="J219" s="390">
        <f>vendas2026[[#This Row],[VlrTotal]]</f>
        <v>7040</v>
      </c>
      <c r="K219" s="15">
        <v>0.01</v>
      </c>
      <c r="L219" s="15">
        <f>vendas2026[[#This Row],[%Comissão]]*0.25</f>
        <v>2.5000000000000001E-3</v>
      </c>
      <c r="M219" s="14" t="s">
        <v>46</v>
      </c>
      <c r="N219" s="23">
        <f>vendas2026[[#This Row],[VlrTotal]]*vendas2026[[#This Row],[%Comissão]]</f>
        <v>70.400000000000006</v>
      </c>
      <c r="O219" s="14">
        <f>vendas2026[[#This Row],[VlrTotal]]*vendas2026[[#This Row],[%ComissãoSupervisor]]</f>
        <v>17.600000000000001</v>
      </c>
      <c r="P219" s="11" t="s">
        <v>36</v>
      </c>
      <c r="Q219" s="11" t="s">
        <v>37</v>
      </c>
      <c r="R219" s="11"/>
      <c r="S219" s="11">
        <v>3</v>
      </c>
      <c r="T219" s="380"/>
      <c r="U219" s="11" t="s">
        <v>38</v>
      </c>
      <c r="V219" s="16" t="s">
        <v>31</v>
      </c>
    </row>
    <row r="220" spans="1:22" s="420" customFormat="1" x14ac:dyDescent="0.25">
      <c r="A220" s="10">
        <v>46203</v>
      </c>
      <c r="B220" s="11">
        <v>141269</v>
      </c>
      <c r="C220" s="11" t="s">
        <v>31</v>
      </c>
      <c r="D220" s="11" t="s">
        <v>604</v>
      </c>
      <c r="E220" s="11" t="s">
        <v>35</v>
      </c>
      <c r="F220" s="11" t="s">
        <v>35</v>
      </c>
      <c r="G220" s="12">
        <v>10</v>
      </c>
      <c r="H220" s="13">
        <v>176</v>
      </c>
      <c r="I220" s="14">
        <v>1760</v>
      </c>
      <c r="J220" s="23">
        <v>1760</v>
      </c>
      <c r="K220" s="15">
        <v>6.8999999999999999E-3</v>
      </c>
      <c r="L220" s="15">
        <v>1.725E-3</v>
      </c>
      <c r="M220" s="14" t="s">
        <v>46</v>
      </c>
      <c r="N220" s="23">
        <v>12.144</v>
      </c>
      <c r="O220" s="14">
        <v>3.036</v>
      </c>
      <c r="P220" s="11" t="s">
        <v>36</v>
      </c>
      <c r="Q220" s="11" t="s">
        <v>37</v>
      </c>
      <c r="R220" s="11"/>
      <c r="S220" s="11">
        <v>1</v>
      </c>
      <c r="T220" s="380"/>
      <c r="U220" s="11" t="s">
        <v>38</v>
      </c>
      <c r="V220" s="16" t="s">
        <v>31</v>
      </c>
    </row>
    <row r="221" spans="1:22" s="420" customFormat="1" x14ac:dyDescent="0.25">
      <c r="A221" s="10">
        <v>46203</v>
      </c>
      <c r="B221" s="11">
        <v>145143</v>
      </c>
      <c r="C221" s="11" t="s">
        <v>31</v>
      </c>
      <c r="D221" s="11" t="s">
        <v>93</v>
      </c>
      <c r="E221" s="11" t="s">
        <v>24</v>
      </c>
      <c r="F221" s="11" t="s">
        <v>25</v>
      </c>
      <c r="G221" s="12">
        <v>8</v>
      </c>
      <c r="H221" s="13">
        <v>177.5</v>
      </c>
      <c r="I221" s="14">
        <v>1420</v>
      </c>
      <c r="J221" s="23">
        <v>1704</v>
      </c>
      <c r="K221" s="15">
        <v>7.0000000000000007E-2</v>
      </c>
      <c r="L221" s="15">
        <v>1.7500000000000002E-2</v>
      </c>
      <c r="M221" s="14" t="s">
        <v>46</v>
      </c>
      <c r="N221" s="23">
        <v>99.4</v>
      </c>
      <c r="O221" s="14">
        <v>24.85</v>
      </c>
      <c r="P221" s="11" t="s">
        <v>36</v>
      </c>
      <c r="Q221" s="11" t="s">
        <v>37</v>
      </c>
      <c r="R221" s="11"/>
      <c r="S221" s="11">
        <v>1</v>
      </c>
      <c r="T221" s="380"/>
      <c r="U221" s="11" t="s">
        <v>38</v>
      </c>
      <c r="V221" s="16" t="s">
        <v>31</v>
      </c>
    </row>
    <row r="222" spans="1:22" s="420" customFormat="1" x14ac:dyDescent="0.25">
      <c r="A222" s="10">
        <v>46203</v>
      </c>
      <c r="B222" s="11">
        <v>144215</v>
      </c>
      <c r="C222" s="11" t="s">
        <v>31</v>
      </c>
      <c r="D222" s="11" t="s">
        <v>87</v>
      </c>
      <c r="E222" s="11" t="s">
        <v>35</v>
      </c>
      <c r="F222" s="11" t="s">
        <v>35</v>
      </c>
      <c r="G222" s="12">
        <v>8</v>
      </c>
      <c r="H222" s="13">
        <v>176</v>
      </c>
      <c r="I222" s="14">
        <v>1408</v>
      </c>
      <c r="J222" s="23">
        <v>1408</v>
      </c>
      <c r="K222" s="15">
        <v>0.01</v>
      </c>
      <c r="L222" s="15">
        <v>2.5000000000000001E-3</v>
      </c>
      <c r="M222" s="14" t="s">
        <v>46</v>
      </c>
      <c r="N222" s="23">
        <v>14.08</v>
      </c>
      <c r="O222" s="14">
        <v>3.52</v>
      </c>
      <c r="P222" s="11" t="s">
        <v>36</v>
      </c>
      <c r="Q222" s="11" t="s">
        <v>37</v>
      </c>
      <c r="R222" s="11"/>
      <c r="S222" s="11">
        <v>1</v>
      </c>
      <c r="T222" s="380"/>
      <c r="U222" s="11" t="s">
        <v>38</v>
      </c>
      <c r="V222" s="16" t="s">
        <v>31</v>
      </c>
    </row>
    <row r="223" spans="1:22" hidden="1" x14ac:dyDescent="0.25">
      <c r="A223" s="10">
        <v>46204</v>
      </c>
      <c r="B223" s="11">
        <v>72582</v>
      </c>
      <c r="C223" s="11" t="s">
        <v>44</v>
      </c>
      <c r="D223" s="11" t="s">
        <v>148</v>
      </c>
      <c r="E223" s="11" t="s">
        <v>40</v>
      </c>
      <c r="F223" s="11" t="s">
        <v>41</v>
      </c>
      <c r="G223" s="12">
        <v>1</v>
      </c>
      <c r="H223" s="13">
        <v>3583.06</v>
      </c>
      <c r="I223" s="14">
        <f>vendas2026[[#This Row],[Qtde]]*vendas2026[[#This Row],[VlrUnitário]]</f>
        <v>3583.06</v>
      </c>
      <c r="J223" s="390">
        <f>vendas2026[[#This Row],[VlrTotal]]</f>
        <v>3583.06</v>
      </c>
      <c r="K223" s="15">
        <v>7.0000000000000007E-2</v>
      </c>
      <c r="L223" s="15">
        <f>vendas2026[[#This Row],[%Comissão]]*0.25</f>
        <v>1.7500000000000002E-2</v>
      </c>
      <c r="M223" s="14" t="s">
        <v>26</v>
      </c>
      <c r="N223" s="23">
        <f>vendas2026[[#This Row],[VlrTotal]]*vendas2026[[#This Row],[%Comissão]]</f>
        <v>250.81420000000003</v>
      </c>
      <c r="O223" s="14">
        <f>vendas2026[[#This Row],[VlrTotal]]*vendas2026[[#This Row],[%ComissãoSupervisor]]</f>
        <v>62.703550000000007</v>
      </c>
      <c r="P223" s="11" t="s">
        <v>27</v>
      </c>
      <c r="Q223" s="11" t="s">
        <v>27</v>
      </c>
      <c r="R223" s="11"/>
      <c r="S223" s="11">
        <v>3</v>
      </c>
      <c r="T223" s="380">
        <v>46192</v>
      </c>
      <c r="U223" s="11" t="s">
        <v>147</v>
      </c>
      <c r="V223" s="16" t="s">
        <v>44</v>
      </c>
    </row>
    <row r="224" spans="1:22" ht="13.9" customHeight="1" x14ac:dyDescent="0.25">
      <c r="A224" s="76" t="s">
        <v>150</v>
      </c>
      <c r="B224" s="21"/>
      <c r="C224" s="21"/>
      <c r="D224" s="11"/>
      <c r="E224" s="21"/>
      <c r="F224" s="21"/>
      <c r="G224" s="22">
        <f>SUBTOTAL(109,vendas2026[Qtde])</f>
        <v>1077</v>
      </c>
      <c r="H224" s="21"/>
      <c r="I224" s="23">
        <f>SUBTOTAL(109,vendas2026[VlrTotal])</f>
        <v>188982.40000000002</v>
      </c>
      <c r="J224" s="23">
        <f>SUBTOTAL(109,vendas2026[Vlr Meta])</f>
        <v>193247.424</v>
      </c>
      <c r="K224" s="21"/>
      <c r="L224" s="21"/>
      <c r="M224" s="21"/>
      <c r="N224" s="23">
        <f>SUBTOTAL(109,vendas2026[[ComissãoVendedor ]])</f>
        <v>21068.772400000005</v>
      </c>
      <c r="O224" s="23">
        <f>SUBTOTAL(109,vendas2026[ComissãoSupervisor])</f>
        <v>8620.5331000000006</v>
      </c>
      <c r="P224" s="21"/>
      <c r="Q224" s="21"/>
      <c r="R224" s="21"/>
      <c r="S224" s="21"/>
      <c r="T224" s="381"/>
      <c r="U224" s="21"/>
      <c r="V224" s="75">
        <f>SUBTOTAL(103,vendas2026[SDR_RESPONSÁVEL])</f>
        <v>26</v>
      </c>
    </row>
  </sheetData>
  <pageMargins left="0.511811024" right="0.511811024" top="0.78740157499999996" bottom="0.78740157499999996" header="0.31496062000000002" footer="0.31496062000000002"/>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30"/>
  <sheetViews>
    <sheetView showGridLines="0" workbookViewId="0">
      <selection activeCell="E14" sqref="E14"/>
    </sheetView>
  </sheetViews>
  <sheetFormatPr defaultRowHeight="15" x14ac:dyDescent="0.25"/>
  <cols>
    <col min="1" max="1" width="22.140625" bestFit="1" customWidth="1"/>
    <col min="2" max="3" width="14.42578125" bestFit="1" customWidth="1"/>
    <col min="4" max="4" width="9.42578125" bestFit="1" customWidth="1"/>
    <col min="6" max="6" width="12.140625" bestFit="1" customWidth="1"/>
  </cols>
  <sheetData>
    <row r="1" spans="1:6" x14ac:dyDescent="0.25">
      <c r="A1" s="1" t="s">
        <v>154</v>
      </c>
      <c r="D1" s="32"/>
    </row>
    <row r="3" spans="1:6" ht="15" customHeight="1" thickBot="1" x14ac:dyDescent="0.3">
      <c r="A3" s="78" t="s">
        <v>155</v>
      </c>
      <c r="B3" s="79" t="s">
        <v>156</v>
      </c>
      <c r="C3" s="79" t="s">
        <v>157</v>
      </c>
      <c r="D3" s="79" t="s">
        <v>158</v>
      </c>
    </row>
    <row r="4" spans="1:6" ht="15.6" customHeight="1" thickTop="1" thickBot="1" x14ac:dyDescent="0.3">
      <c r="A4" s="80" t="s">
        <v>159</v>
      </c>
      <c r="B4" s="81">
        <v>90000</v>
      </c>
      <c r="C4" s="82">
        <v>0</v>
      </c>
      <c r="D4" s="83">
        <f>C4/B4</f>
        <v>0</v>
      </c>
    </row>
    <row r="5" spans="1:6" ht="15.6" customHeight="1" thickTop="1" thickBot="1" x14ac:dyDescent="0.3">
      <c r="A5" s="80" t="s">
        <v>160</v>
      </c>
      <c r="B5" s="81">
        <v>10000</v>
      </c>
      <c r="C5" s="82">
        <v>0</v>
      </c>
      <c r="D5" s="83">
        <f>C5/B5</f>
        <v>0</v>
      </c>
      <c r="F5" s="33"/>
    </row>
    <row r="6" spans="1:6" ht="15.6" customHeight="1" thickTop="1" thickBot="1" x14ac:dyDescent="0.3">
      <c r="A6" s="80"/>
      <c r="B6" s="80"/>
      <c r="C6" s="80"/>
      <c r="D6" s="80"/>
    </row>
    <row r="7" spans="1:6" ht="15.6" customHeight="1" thickTop="1" thickBot="1" x14ac:dyDescent="0.3">
      <c r="A7" s="78" t="s">
        <v>161</v>
      </c>
      <c r="B7" s="80"/>
      <c r="C7" s="80"/>
      <c r="D7" s="80"/>
    </row>
    <row r="8" spans="1:6" ht="15.6" customHeight="1" thickTop="1" thickBot="1" x14ac:dyDescent="0.3">
      <c r="A8" s="80" t="s">
        <v>159</v>
      </c>
      <c r="B8" s="81">
        <v>90000</v>
      </c>
      <c r="C8" s="82">
        <v>0</v>
      </c>
      <c r="D8" s="83">
        <f>C8/B8</f>
        <v>0</v>
      </c>
    </row>
    <row r="9" spans="1:6" ht="15.6" customHeight="1" thickTop="1" thickBot="1" x14ac:dyDescent="0.3">
      <c r="A9" s="80" t="s">
        <v>160</v>
      </c>
      <c r="B9" s="81">
        <v>9000</v>
      </c>
      <c r="C9" s="82">
        <v>0</v>
      </c>
      <c r="D9" s="83">
        <f>C9/B9</f>
        <v>0</v>
      </c>
      <c r="F9" s="33"/>
    </row>
    <row r="10" spans="1:6" ht="15.6" customHeight="1" thickTop="1" thickBot="1" x14ac:dyDescent="0.3">
      <c r="A10" s="80"/>
      <c r="B10" s="80"/>
      <c r="C10" s="80"/>
      <c r="D10" s="80"/>
    </row>
    <row r="11" spans="1:6" ht="15" customHeight="1" thickTop="1" x14ac:dyDescent="0.25"/>
    <row r="12" spans="1:6" ht="15" customHeight="1" thickBot="1" x14ac:dyDescent="0.3">
      <c r="A12" s="78" t="s">
        <v>162</v>
      </c>
      <c r="B12" s="79" t="s">
        <v>156</v>
      </c>
      <c r="C12" s="79" t="s">
        <v>157</v>
      </c>
      <c r="D12" s="79" t="s">
        <v>158</v>
      </c>
    </row>
    <row r="13" spans="1:6" ht="15.6" customHeight="1" thickTop="1" thickBot="1" x14ac:dyDescent="0.3">
      <c r="A13" s="80" t="s">
        <v>159</v>
      </c>
      <c r="B13" s="81">
        <v>90000</v>
      </c>
      <c r="C13" s="82">
        <v>0</v>
      </c>
      <c r="D13" s="83">
        <f>C13/B13</f>
        <v>0</v>
      </c>
    </row>
    <row r="14" spans="1:6" ht="15.6" customHeight="1" thickTop="1" thickBot="1" x14ac:dyDescent="0.3">
      <c r="A14" s="80" t="s">
        <v>160</v>
      </c>
      <c r="B14" s="81">
        <v>10000</v>
      </c>
      <c r="C14" s="82">
        <v>0</v>
      </c>
      <c r="D14" s="83">
        <f>C14/B14</f>
        <v>0</v>
      </c>
      <c r="F14" s="33"/>
    </row>
    <row r="15" spans="1:6" ht="15" customHeight="1" thickTop="1" x14ac:dyDescent="0.25"/>
    <row r="16" spans="1:6" ht="15" customHeight="1" thickBot="1" x14ac:dyDescent="0.3">
      <c r="A16" s="78" t="s">
        <v>142</v>
      </c>
      <c r="B16" s="79" t="s">
        <v>156</v>
      </c>
      <c r="C16" s="79" t="s">
        <v>157</v>
      </c>
      <c r="D16" s="79" t="s">
        <v>158</v>
      </c>
    </row>
    <row r="17" spans="1:6" ht="15.6" customHeight="1" thickTop="1" thickBot="1" x14ac:dyDescent="0.3">
      <c r="A17" s="80" t="s">
        <v>159</v>
      </c>
      <c r="B17" s="81">
        <v>54000</v>
      </c>
      <c r="C17" s="82">
        <v>0</v>
      </c>
      <c r="D17" s="83">
        <f>C17/B17</f>
        <v>0</v>
      </c>
    </row>
    <row r="18" spans="1:6" ht="15.6" customHeight="1" thickTop="1" thickBot="1" x14ac:dyDescent="0.3">
      <c r="A18" s="80" t="s">
        <v>160</v>
      </c>
      <c r="B18" s="81">
        <v>7000</v>
      </c>
      <c r="C18" s="82">
        <v>0</v>
      </c>
      <c r="D18" s="83">
        <f>C18/B18</f>
        <v>0</v>
      </c>
    </row>
    <row r="19" spans="1:6" ht="15" customHeight="1" thickTop="1" x14ac:dyDescent="0.25"/>
    <row r="20" spans="1:6" ht="15" customHeight="1" thickBot="1" x14ac:dyDescent="0.3">
      <c r="A20" s="78" t="s">
        <v>163</v>
      </c>
      <c r="B20" s="79" t="s">
        <v>156</v>
      </c>
      <c r="C20" s="79" t="s">
        <v>157</v>
      </c>
      <c r="D20" s="79" t="s">
        <v>158</v>
      </c>
      <c r="F20" s="33"/>
    </row>
    <row r="21" spans="1:6" ht="15.6" customHeight="1" thickTop="1" thickBot="1" x14ac:dyDescent="0.3">
      <c r="A21" s="80" t="s">
        <v>159</v>
      </c>
      <c r="B21" s="81">
        <v>90000</v>
      </c>
      <c r="C21" s="82">
        <v>0</v>
      </c>
      <c r="D21" s="83">
        <f>C21/B21</f>
        <v>0</v>
      </c>
    </row>
    <row r="22" spans="1:6" ht="15.6" customHeight="1" thickTop="1" thickBot="1" x14ac:dyDescent="0.3">
      <c r="A22" s="80" t="s">
        <v>160</v>
      </c>
      <c r="B22" s="81">
        <v>10000</v>
      </c>
      <c r="C22" s="82">
        <v>0</v>
      </c>
      <c r="D22" s="83">
        <f>C22/B22</f>
        <v>0</v>
      </c>
    </row>
    <row r="23" spans="1:6" ht="15" customHeight="1" thickTop="1" x14ac:dyDescent="0.25"/>
    <row r="24" spans="1:6" ht="15" customHeight="1" thickBot="1" x14ac:dyDescent="0.3">
      <c r="A24" s="84" t="s">
        <v>164</v>
      </c>
      <c r="B24" s="85">
        <f>90000*4</f>
        <v>360000</v>
      </c>
      <c r="C24" s="85">
        <f>C4+C8+C13+C21+C17</f>
        <v>0</v>
      </c>
      <c r="D24" s="86">
        <f>C24/B24</f>
        <v>0</v>
      </c>
    </row>
    <row r="25" spans="1:6" ht="15.6" customHeight="1" thickTop="1" thickBot="1" x14ac:dyDescent="0.3">
      <c r="A25" s="84" t="s">
        <v>165</v>
      </c>
      <c r="B25" s="87">
        <f>B9+B14+B18+B5</f>
        <v>36000</v>
      </c>
      <c r="C25" s="87">
        <f>C5+C9+C14+C18</f>
        <v>0</v>
      </c>
      <c r="D25" s="88">
        <f>C25/B25</f>
        <v>0</v>
      </c>
      <c r="F25" s="189"/>
    </row>
    <row r="26" spans="1:6" ht="15" customHeight="1" thickTop="1" x14ac:dyDescent="0.25">
      <c r="D26" s="33"/>
    </row>
    <row r="27" spans="1:6" ht="15" customHeight="1" thickBot="1" x14ac:dyDescent="0.3">
      <c r="A27" s="78" t="s">
        <v>166</v>
      </c>
      <c r="B27" s="79" t="s">
        <v>156</v>
      </c>
      <c r="C27" s="79" t="s">
        <v>157</v>
      </c>
      <c r="D27" s="79" t="s">
        <v>158</v>
      </c>
    </row>
    <row r="28" spans="1:6" ht="15.6" customHeight="1" thickTop="1" thickBot="1" x14ac:dyDescent="0.3">
      <c r="A28" s="80" t="s">
        <v>159</v>
      </c>
      <c r="B28" s="85">
        <f>90000*4</f>
        <v>360000</v>
      </c>
      <c r="C28" s="89">
        <f>C4+C8+C13+C17</f>
        <v>0</v>
      </c>
      <c r="D28" s="86">
        <f>C28/B28</f>
        <v>0</v>
      </c>
    </row>
    <row r="29" spans="1:6" ht="15.6" customHeight="1" thickTop="1" thickBot="1" x14ac:dyDescent="0.3">
      <c r="A29" s="80" t="s">
        <v>160</v>
      </c>
      <c r="B29" s="85">
        <f>B25</f>
        <v>36000</v>
      </c>
      <c r="C29" s="89">
        <f>C9+C14+C18+C5</f>
        <v>0</v>
      </c>
      <c r="D29" s="86">
        <f>C29/B29</f>
        <v>0</v>
      </c>
    </row>
    <row r="30" spans="1:6" ht="15" customHeight="1" thickTop="1" x14ac:dyDescent="0.25"/>
  </sheetData>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8D2C9"/>
  </sheetPr>
  <dimension ref="A1:AD109"/>
  <sheetViews>
    <sheetView showGridLines="0" tabSelected="1" topLeftCell="M1" zoomScale="90" zoomScaleNormal="90" workbookViewId="0">
      <pane xSplit="3" ySplit="1" topLeftCell="Q38" activePane="bottomRight" state="frozen"/>
      <selection activeCell="M1" sqref="M1"/>
      <selection pane="topRight" activeCell="P1" sqref="P1"/>
      <selection pane="bottomLeft" activeCell="M2" sqref="M2"/>
      <selection pane="bottomRight" activeCell="R59" sqref="R59"/>
    </sheetView>
  </sheetViews>
  <sheetFormatPr defaultRowHeight="15" x14ac:dyDescent="0.25"/>
  <cols>
    <col min="1" max="1" width="19" hidden="1" customWidth="1"/>
    <col min="2" max="2" width="7.28515625" hidden="1" customWidth="1"/>
    <col min="3" max="3" width="10.7109375" hidden="1" customWidth="1"/>
    <col min="4" max="4" width="14.42578125" hidden="1" customWidth="1"/>
    <col min="5" max="5" width="15.42578125" hidden="1" customWidth="1"/>
    <col min="6" max="6" width="7.28515625" hidden="1" customWidth="1"/>
    <col min="7" max="7" width="12.140625" hidden="1" customWidth="1"/>
    <col min="8" max="8" width="14.42578125" hidden="1" customWidth="1"/>
    <col min="9" max="9" width="15.42578125" hidden="1" customWidth="1"/>
    <col min="10" max="10" width="7.28515625" hidden="1" customWidth="1"/>
    <col min="11" max="11" width="10.7109375" hidden="1" customWidth="1"/>
    <col min="12" max="12" width="14.42578125" hidden="1" customWidth="1"/>
    <col min="13" max="14" width="12.85546875" style="32" bestFit="1" customWidth="1"/>
    <col min="15" max="15" width="17.85546875" bestFit="1" customWidth="1"/>
    <col min="16" max="16" width="10" bestFit="1" customWidth="1"/>
    <col min="17" max="17" width="10.85546875" customWidth="1"/>
    <col min="18" max="18" width="10.7109375" customWidth="1"/>
    <col min="19" max="19" width="14.42578125" customWidth="1"/>
    <col min="20" max="20" width="16.42578125" customWidth="1"/>
    <col min="21" max="21" width="18" bestFit="1" customWidth="1"/>
    <col min="22" max="22" width="12.42578125" bestFit="1" customWidth="1"/>
    <col min="23" max="23" width="14.7109375" customWidth="1"/>
    <col min="24" max="24" width="14" customWidth="1"/>
    <col min="25" max="25" width="17.5703125" customWidth="1"/>
    <col min="26" max="26" width="14.7109375" customWidth="1"/>
    <col min="27" max="27" width="14.140625" bestFit="1" customWidth="1"/>
    <col min="28" max="28" width="13.42578125" bestFit="1" customWidth="1"/>
    <col min="29" max="29" width="12.140625" bestFit="1" customWidth="1"/>
  </cols>
  <sheetData>
    <row r="1" spans="1:30" x14ac:dyDescent="0.25">
      <c r="A1" s="47" t="s">
        <v>167</v>
      </c>
      <c r="B1" s="47"/>
      <c r="C1" s="47"/>
      <c r="D1" s="47"/>
      <c r="E1" s="47"/>
      <c r="F1" s="47"/>
      <c r="G1" s="47"/>
      <c r="H1" s="47"/>
      <c r="I1" s="47"/>
      <c r="J1" s="47"/>
      <c r="K1" s="47"/>
      <c r="L1" s="47"/>
      <c r="M1" s="48" t="s">
        <v>168</v>
      </c>
      <c r="N1" s="48" t="s">
        <v>169</v>
      </c>
      <c r="O1" s="48" t="s">
        <v>2</v>
      </c>
      <c r="P1" s="48" t="s">
        <v>170</v>
      </c>
      <c r="Q1" s="49" t="s">
        <v>171</v>
      </c>
      <c r="R1" s="49" t="s">
        <v>172</v>
      </c>
      <c r="S1" s="49" t="s">
        <v>173</v>
      </c>
      <c r="T1" s="49" t="s">
        <v>166</v>
      </c>
      <c r="U1" s="49" t="s">
        <v>174</v>
      </c>
      <c r="V1" s="49" t="s">
        <v>175</v>
      </c>
      <c r="W1" s="50" t="s">
        <v>176</v>
      </c>
      <c r="X1" s="50" t="s">
        <v>177</v>
      </c>
      <c r="Y1" s="243" t="s">
        <v>178</v>
      </c>
      <c r="Z1" s="50" t="s">
        <v>179</v>
      </c>
      <c r="AA1" s="50" t="s">
        <v>180</v>
      </c>
      <c r="AB1" s="244" t="s">
        <v>181</v>
      </c>
      <c r="AC1" s="50" t="s">
        <v>182</v>
      </c>
      <c r="AD1" s="51"/>
    </row>
    <row r="2" spans="1:30" hidden="1" x14ac:dyDescent="0.25">
      <c r="A2" s="47" t="s">
        <v>183</v>
      </c>
      <c r="B2" s="47"/>
      <c r="C2" s="47"/>
      <c r="D2" s="47"/>
      <c r="E2" s="47"/>
      <c r="F2" s="47"/>
      <c r="G2" s="47"/>
      <c r="H2" s="47"/>
      <c r="I2" s="47"/>
      <c r="J2" s="47"/>
      <c r="K2" s="47"/>
      <c r="L2" s="47"/>
      <c r="M2" s="238" t="s">
        <v>184</v>
      </c>
      <c r="N2" s="52">
        <v>45658</v>
      </c>
      <c r="O2" s="52" t="s">
        <v>31</v>
      </c>
      <c r="P2" s="52"/>
      <c r="Q2" s="32">
        <f>C5</f>
        <v>33</v>
      </c>
      <c r="R2" s="32">
        <f>C6</f>
        <v>18</v>
      </c>
      <c r="S2" s="53">
        <f>C7</f>
        <v>926.64</v>
      </c>
      <c r="T2" s="53">
        <f>C8</f>
        <v>32622.62</v>
      </c>
      <c r="U2" s="53">
        <f>C9</f>
        <v>62289.8</v>
      </c>
      <c r="V2" s="376">
        <v>150</v>
      </c>
      <c r="W2">
        <v>15</v>
      </c>
      <c r="X2">
        <v>12</v>
      </c>
      <c r="Y2" s="236">
        <v>10</v>
      </c>
      <c r="Z2" s="236">
        <v>30</v>
      </c>
      <c r="AA2" s="54">
        <v>90000</v>
      </c>
      <c r="AB2" s="35">
        <f>metas[[#This Row],[Meta Individual]]/10000</f>
        <v>9.2663999999999996E-2</v>
      </c>
      <c r="AC2" s="245">
        <f>metas[[#This Row],[Meta Equipe]]/30000/3</f>
        <v>0.36247355555555555</v>
      </c>
    </row>
    <row r="3" spans="1:30" hidden="1" x14ac:dyDescent="0.25">
      <c r="A3" s="47" t="s">
        <v>185</v>
      </c>
      <c r="B3" s="47"/>
      <c r="C3" s="47"/>
      <c r="D3" s="47"/>
      <c r="E3" s="47" t="s">
        <v>186</v>
      </c>
      <c r="F3" s="47"/>
      <c r="G3" s="47"/>
      <c r="H3" s="47"/>
      <c r="I3" s="47" t="s">
        <v>187</v>
      </c>
      <c r="J3" s="47"/>
      <c r="K3" s="47"/>
      <c r="L3" s="47"/>
      <c r="M3" s="238" t="s">
        <v>184</v>
      </c>
      <c r="N3" s="52">
        <v>45658</v>
      </c>
      <c r="O3" s="32" t="s">
        <v>44</v>
      </c>
      <c r="P3" s="32"/>
      <c r="Q3" s="32">
        <f>G5</f>
        <v>14</v>
      </c>
      <c r="R3" s="32">
        <f>G6</f>
        <v>12</v>
      </c>
      <c r="S3" s="53">
        <f>G7</f>
        <v>31339.58</v>
      </c>
      <c r="T3" s="53">
        <f>G8</f>
        <v>32622.62</v>
      </c>
      <c r="U3" s="53">
        <f>G9</f>
        <v>315102.82</v>
      </c>
      <c r="V3" s="376">
        <v>150</v>
      </c>
      <c r="W3">
        <v>15</v>
      </c>
      <c r="X3">
        <v>12</v>
      </c>
      <c r="Y3" s="236">
        <v>10</v>
      </c>
      <c r="Z3" s="236">
        <v>30</v>
      </c>
      <c r="AA3" s="54">
        <v>90000</v>
      </c>
      <c r="AB3" s="35">
        <f>metas[[#This Row],[Meta Individual]]/10000</f>
        <v>3.1339580000000002</v>
      </c>
      <c r="AC3" s="245">
        <f>metas[[#This Row],[Meta Equipe]]/30000/3</f>
        <v>0.36247355555555555</v>
      </c>
    </row>
    <row r="4" spans="1:30" hidden="1" x14ac:dyDescent="0.25">
      <c r="A4" s="47"/>
      <c r="B4" s="47" t="s">
        <v>156</v>
      </c>
      <c r="C4" s="47" t="s">
        <v>188</v>
      </c>
      <c r="D4" s="47" t="s">
        <v>158</v>
      </c>
      <c r="E4" s="47"/>
      <c r="F4" s="47" t="s">
        <v>156</v>
      </c>
      <c r="G4" s="47" t="s">
        <v>188</v>
      </c>
      <c r="H4" s="47" t="s">
        <v>158</v>
      </c>
      <c r="I4" s="47"/>
      <c r="J4" s="47" t="s">
        <v>156</v>
      </c>
      <c r="K4" s="47" t="s">
        <v>188</v>
      </c>
      <c r="L4" s="47" t="s">
        <v>158</v>
      </c>
      <c r="M4" s="238" t="s">
        <v>184</v>
      </c>
      <c r="N4" s="52">
        <v>45658</v>
      </c>
      <c r="O4" s="32" t="s">
        <v>22</v>
      </c>
      <c r="P4" s="32"/>
      <c r="Q4" s="32">
        <f>K5</f>
        <v>15</v>
      </c>
      <c r="R4" s="32">
        <f>K6</f>
        <v>16</v>
      </c>
      <c r="S4" s="53">
        <f>K7</f>
        <v>356.4</v>
      </c>
      <c r="T4" s="53">
        <f>K8</f>
        <v>32622.62</v>
      </c>
      <c r="U4" s="53">
        <f>K9</f>
        <v>14022.08</v>
      </c>
      <c r="V4" s="376">
        <v>150</v>
      </c>
      <c r="W4">
        <v>15</v>
      </c>
      <c r="X4">
        <v>12</v>
      </c>
      <c r="Y4" s="236">
        <v>10</v>
      </c>
      <c r="Z4" s="236">
        <v>30</v>
      </c>
      <c r="AA4" s="54">
        <v>90000</v>
      </c>
      <c r="AB4" s="35">
        <f>metas[[#This Row],[Meta Individual]]/10000</f>
        <v>3.5639999999999998E-2</v>
      </c>
      <c r="AC4" s="245">
        <f>metas[[#This Row],[Meta Equipe]]/30000/3</f>
        <v>0.36247355555555555</v>
      </c>
    </row>
    <row r="5" spans="1:30" hidden="1" x14ac:dyDescent="0.25">
      <c r="A5" t="s">
        <v>189</v>
      </c>
      <c r="B5">
        <v>15</v>
      </c>
      <c r="C5">
        <v>33</v>
      </c>
      <c r="D5">
        <v>2.2000000000000002</v>
      </c>
      <c r="E5" t="s">
        <v>189</v>
      </c>
      <c r="F5">
        <v>15</v>
      </c>
      <c r="G5">
        <v>14</v>
      </c>
      <c r="H5">
        <v>0.93333333333333335</v>
      </c>
      <c r="I5" t="s">
        <v>189</v>
      </c>
      <c r="J5">
        <v>15</v>
      </c>
      <c r="K5">
        <v>15</v>
      </c>
      <c r="L5">
        <v>1</v>
      </c>
      <c r="M5" s="238" t="s">
        <v>184</v>
      </c>
      <c r="N5" s="52">
        <v>45689</v>
      </c>
      <c r="O5" s="52" t="s">
        <v>31</v>
      </c>
      <c r="P5" s="52"/>
      <c r="Q5" s="32">
        <f>C15</f>
        <v>23</v>
      </c>
      <c r="R5" s="32">
        <f>C16</f>
        <v>22</v>
      </c>
      <c r="S5" s="53">
        <f>C17</f>
        <v>1288.03</v>
      </c>
      <c r="T5" s="53">
        <f>C18</f>
        <v>14565.4</v>
      </c>
      <c r="U5" s="53">
        <f>C19</f>
        <v>85015.22</v>
      </c>
      <c r="V5" s="376">
        <v>150</v>
      </c>
      <c r="W5">
        <v>15</v>
      </c>
      <c r="X5">
        <v>12</v>
      </c>
      <c r="Y5" s="236">
        <v>10</v>
      </c>
      <c r="Z5" s="236">
        <v>30</v>
      </c>
      <c r="AA5" s="54">
        <v>90000</v>
      </c>
      <c r="AB5" s="35">
        <f>metas[[#This Row],[Meta Individual]]/10000</f>
        <v>0.128803</v>
      </c>
      <c r="AC5" s="245">
        <f>metas[[#This Row],[Meta Equipe]]/30000/3</f>
        <v>0.16183777777777777</v>
      </c>
    </row>
    <row r="6" spans="1:30" hidden="1" x14ac:dyDescent="0.25">
      <c r="A6" t="s">
        <v>190</v>
      </c>
      <c r="B6">
        <v>12</v>
      </c>
      <c r="C6">
        <v>18</v>
      </c>
      <c r="D6">
        <v>1.5</v>
      </c>
      <c r="E6" t="s">
        <v>190</v>
      </c>
      <c r="F6">
        <v>12</v>
      </c>
      <c r="G6">
        <v>12</v>
      </c>
      <c r="H6">
        <v>1</v>
      </c>
      <c r="I6" t="s">
        <v>190</v>
      </c>
      <c r="J6">
        <v>12</v>
      </c>
      <c r="K6">
        <v>16</v>
      </c>
      <c r="L6">
        <v>1.333333333333333</v>
      </c>
      <c r="M6" s="238" t="s">
        <v>184</v>
      </c>
      <c r="N6" s="52">
        <v>45689</v>
      </c>
      <c r="O6" s="32" t="s">
        <v>44</v>
      </c>
      <c r="P6" s="32"/>
      <c r="Q6" s="32">
        <f>G15</f>
        <v>16</v>
      </c>
      <c r="R6" s="32">
        <f>G16</f>
        <v>16</v>
      </c>
      <c r="S6" s="53">
        <f>G17</f>
        <v>11189.93</v>
      </c>
      <c r="T6" s="53">
        <f>G18</f>
        <v>14565.4</v>
      </c>
      <c r="U6" s="53">
        <f>G19</f>
        <v>121887.86</v>
      </c>
      <c r="V6" s="376">
        <v>150</v>
      </c>
      <c r="W6">
        <v>15</v>
      </c>
      <c r="X6">
        <v>12</v>
      </c>
      <c r="Y6" s="236">
        <v>10</v>
      </c>
      <c r="Z6" s="236">
        <v>30</v>
      </c>
      <c r="AA6" s="54">
        <v>90000</v>
      </c>
      <c r="AB6" s="35">
        <f>metas[[#This Row],[Meta Individual]]/10000</f>
        <v>1.1189930000000001</v>
      </c>
      <c r="AC6" s="245">
        <f>metas[[#This Row],[Meta Equipe]]/30000/3</f>
        <v>0.16183777777777777</v>
      </c>
    </row>
    <row r="7" spans="1:30" hidden="1" x14ac:dyDescent="0.25">
      <c r="A7" t="s">
        <v>173</v>
      </c>
      <c r="B7">
        <v>10000</v>
      </c>
      <c r="C7">
        <v>926.64</v>
      </c>
      <c r="D7">
        <v>9.2663999999999996E-2</v>
      </c>
      <c r="E7" t="s">
        <v>173</v>
      </c>
      <c r="F7">
        <v>10000</v>
      </c>
      <c r="G7">
        <v>31339.58</v>
      </c>
      <c r="H7">
        <v>3.1339579999999998</v>
      </c>
      <c r="I7" t="s">
        <v>173</v>
      </c>
      <c r="J7">
        <v>10000</v>
      </c>
      <c r="K7">
        <v>356.4</v>
      </c>
      <c r="L7">
        <v>3.5639999999999998E-2</v>
      </c>
      <c r="M7" s="238" t="s">
        <v>184</v>
      </c>
      <c r="N7" s="52">
        <v>45689</v>
      </c>
      <c r="O7" s="32" t="s">
        <v>22</v>
      </c>
      <c r="P7" s="32"/>
      <c r="Q7" s="32">
        <f>K15</f>
        <v>9</v>
      </c>
      <c r="R7" s="32">
        <f>K16</f>
        <v>21</v>
      </c>
      <c r="S7" s="53">
        <f>K17</f>
        <v>2087.44</v>
      </c>
      <c r="T7" s="53">
        <f>K18</f>
        <v>14565.4</v>
      </c>
      <c r="U7" s="53">
        <f>K19</f>
        <v>19104</v>
      </c>
      <c r="V7" s="376">
        <v>150</v>
      </c>
      <c r="W7">
        <v>15</v>
      </c>
      <c r="X7">
        <v>12</v>
      </c>
      <c r="Y7" s="236">
        <v>10</v>
      </c>
      <c r="Z7" s="236">
        <v>30</v>
      </c>
      <c r="AA7" s="54">
        <v>90000</v>
      </c>
      <c r="AB7" s="35">
        <f>metas[[#This Row],[Meta Individual]]/10000</f>
        <v>0.20874400000000001</v>
      </c>
      <c r="AC7" s="245">
        <f>metas[[#This Row],[Meta Equipe]]/30000/3</f>
        <v>0.16183777777777777</v>
      </c>
    </row>
    <row r="8" spans="1:30" hidden="1" x14ac:dyDescent="0.25">
      <c r="A8" t="s">
        <v>166</v>
      </c>
      <c r="B8">
        <v>30000</v>
      </c>
      <c r="C8">
        <v>32622.62</v>
      </c>
      <c r="D8">
        <v>1.087420666666667</v>
      </c>
      <c r="E8" t="s">
        <v>166</v>
      </c>
      <c r="F8">
        <v>30000</v>
      </c>
      <c r="G8">
        <v>32622.62</v>
      </c>
      <c r="H8">
        <v>1.087420666666667</v>
      </c>
      <c r="I8" t="s">
        <v>166</v>
      </c>
      <c r="J8">
        <v>30000</v>
      </c>
      <c r="K8">
        <v>32622.62</v>
      </c>
      <c r="L8">
        <v>1.087420666666667</v>
      </c>
      <c r="M8" s="238" t="s">
        <v>184</v>
      </c>
      <c r="N8" s="52">
        <v>45717</v>
      </c>
      <c r="O8" s="52" t="s">
        <v>31</v>
      </c>
      <c r="P8" s="52"/>
      <c r="Q8" s="32">
        <f>C25</f>
        <v>17</v>
      </c>
      <c r="R8" s="32">
        <f>C26</f>
        <v>7</v>
      </c>
      <c r="S8" s="53">
        <f>C27</f>
        <v>6712.41</v>
      </c>
      <c r="T8" s="53">
        <f>C28</f>
        <v>14901.7</v>
      </c>
      <c r="U8" s="53">
        <f>C29</f>
        <v>111207.36</v>
      </c>
      <c r="V8" s="376">
        <v>150</v>
      </c>
      <c r="W8">
        <v>15</v>
      </c>
      <c r="X8">
        <v>12</v>
      </c>
      <c r="Y8" s="236">
        <v>10</v>
      </c>
      <c r="Z8" s="236">
        <v>30</v>
      </c>
      <c r="AA8" s="54">
        <v>90000</v>
      </c>
      <c r="AB8" s="35">
        <f>metas[[#This Row],[Meta Individual]]/10000</f>
        <v>0.67124099999999998</v>
      </c>
      <c r="AC8" s="245">
        <f>metas[[#This Row],[Meta Equipe]]/30000/3</f>
        <v>0.16557444444444444</v>
      </c>
    </row>
    <row r="9" spans="1:30" hidden="1" x14ac:dyDescent="0.25">
      <c r="A9" t="s">
        <v>174</v>
      </c>
      <c r="B9">
        <v>90000</v>
      </c>
      <c r="C9">
        <v>62289.8</v>
      </c>
      <c r="D9">
        <v>0.69210888888888888</v>
      </c>
      <c r="E9" t="s">
        <v>174</v>
      </c>
      <c r="F9">
        <v>90000</v>
      </c>
      <c r="G9">
        <v>315102.82</v>
      </c>
      <c r="H9">
        <v>3.501142444444445</v>
      </c>
      <c r="I9" t="s">
        <v>174</v>
      </c>
      <c r="J9">
        <v>90000</v>
      </c>
      <c r="K9">
        <v>14022.08</v>
      </c>
      <c r="L9">
        <v>0.15580088888888891</v>
      </c>
      <c r="M9" s="238" t="s">
        <v>184</v>
      </c>
      <c r="N9" s="52">
        <v>45717</v>
      </c>
      <c r="O9" s="32" t="s">
        <v>44</v>
      </c>
      <c r="P9" s="32"/>
      <c r="Q9" s="32">
        <f>G25</f>
        <v>17</v>
      </c>
      <c r="R9" s="32">
        <f>G26</f>
        <v>12</v>
      </c>
      <c r="S9" s="53">
        <f>G27</f>
        <v>3064.57</v>
      </c>
      <c r="T9" s="53">
        <f>G28</f>
        <v>14901.7</v>
      </c>
      <c r="U9" s="53">
        <f>G29</f>
        <v>70833.33</v>
      </c>
      <c r="V9" s="376">
        <v>150</v>
      </c>
      <c r="W9">
        <v>15</v>
      </c>
      <c r="X9">
        <v>12</v>
      </c>
      <c r="Y9" s="236">
        <v>10</v>
      </c>
      <c r="Z9" s="236">
        <v>30</v>
      </c>
      <c r="AA9" s="54">
        <v>90000</v>
      </c>
      <c r="AB9" s="35">
        <f>metas[[#This Row],[Meta Individual]]/10000</f>
        <v>0.30645700000000003</v>
      </c>
      <c r="AC9" s="245">
        <f>metas[[#This Row],[Meta Equipe]]/30000/3</f>
        <v>0.16557444444444444</v>
      </c>
    </row>
    <row r="10" spans="1:30" hidden="1" x14ac:dyDescent="0.25">
      <c r="A10" s="47"/>
      <c r="B10" s="47"/>
      <c r="C10" s="47"/>
      <c r="D10" s="47"/>
      <c r="E10" s="47"/>
      <c r="F10" s="47"/>
      <c r="G10" s="47"/>
      <c r="H10" s="47"/>
      <c r="I10" s="47"/>
      <c r="J10" s="47"/>
      <c r="K10" s="47"/>
      <c r="L10" s="47"/>
      <c r="M10" s="238" t="s">
        <v>184</v>
      </c>
      <c r="N10" s="52">
        <v>45717</v>
      </c>
      <c r="O10" s="32" t="s">
        <v>22</v>
      </c>
      <c r="P10" s="32"/>
      <c r="Q10" s="32">
        <f>K25</f>
        <v>4</v>
      </c>
      <c r="R10" s="32">
        <f>K26</f>
        <v>4</v>
      </c>
      <c r="S10" s="53">
        <f>K27</f>
        <v>5124.72</v>
      </c>
      <c r="T10" s="53">
        <f>K28</f>
        <v>14901.7</v>
      </c>
      <c r="U10" s="53">
        <f>K29</f>
        <v>73632</v>
      </c>
      <c r="V10" s="376">
        <v>150</v>
      </c>
      <c r="W10">
        <v>15</v>
      </c>
      <c r="X10">
        <v>12</v>
      </c>
      <c r="Y10" s="236">
        <v>10</v>
      </c>
      <c r="Z10" s="236">
        <v>30</v>
      </c>
      <c r="AA10" s="54">
        <v>90000</v>
      </c>
      <c r="AB10" s="35">
        <f>metas[[#This Row],[Meta Individual]]/10000</f>
        <v>0.51247200000000004</v>
      </c>
      <c r="AC10" s="245">
        <f>metas[[#This Row],[Meta Equipe]]/30000/3</f>
        <v>0.16557444444444444</v>
      </c>
    </row>
    <row r="11" spans="1:30" hidden="1" x14ac:dyDescent="0.25">
      <c r="A11" s="47" t="s">
        <v>191</v>
      </c>
      <c r="B11" s="47"/>
      <c r="C11" s="47"/>
      <c r="D11" s="47"/>
      <c r="E11" s="47"/>
      <c r="F11" s="47"/>
      <c r="G11" s="47"/>
      <c r="H11" s="47"/>
      <c r="I11" s="47"/>
      <c r="J11" s="47"/>
      <c r="K11" s="47"/>
      <c r="L11" s="47"/>
      <c r="M11" s="238" t="s">
        <v>184</v>
      </c>
      <c r="N11" s="52">
        <v>45748</v>
      </c>
      <c r="O11" s="52" t="s">
        <v>31</v>
      </c>
      <c r="P11" s="52"/>
      <c r="Q11" s="32">
        <f>C35</f>
        <v>29</v>
      </c>
      <c r="R11" s="32">
        <f>C36</f>
        <v>15</v>
      </c>
      <c r="S11" s="53">
        <f>C37</f>
        <v>193</v>
      </c>
      <c r="T11" s="53">
        <f>C38</f>
        <v>13345.68</v>
      </c>
      <c r="U11" s="53">
        <f>C39</f>
        <v>29258.82</v>
      </c>
      <c r="V11" s="376">
        <v>150</v>
      </c>
      <c r="W11">
        <v>15</v>
      </c>
      <c r="X11">
        <v>12</v>
      </c>
      <c r="Y11" s="236">
        <v>10</v>
      </c>
      <c r="Z11" s="236">
        <v>30</v>
      </c>
      <c r="AA11" s="54">
        <v>90000</v>
      </c>
      <c r="AB11" s="35">
        <f>metas[[#This Row],[Meta Individual]]/10000</f>
        <v>1.9300000000000001E-2</v>
      </c>
      <c r="AC11" s="245">
        <f>metas[[#This Row],[Meta Equipe]]/30000/3</f>
        <v>0.14828533333333335</v>
      </c>
    </row>
    <row r="12" spans="1:30" hidden="1" x14ac:dyDescent="0.25">
      <c r="A12" s="47" t="s">
        <v>183</v>
      </c>
      <c r="B12" s="47"/>
      <c r="C12" s="47"/>
      <c r="D12" s="47"/>
      <c r="E12" s="47"/>
      <c r="F12" s="47"/>
      <c r="G12" s="47"/>
      <c r="H12" s="47"/>
      <c r="I12" s="47"/>
      <c r="J12" s="47"/>
      <c r="K12" s="47"/>
      <c r="L12" s="47"/>
      <c r="M12" s="238" t="s">
        <v>184</v>
      </c>
      <c r="N12" s="52">
        <v>45748</v>
      </c>
      <c r="O12" s="32" t="s">
        <v>44</v>
      </c>
      <c r="P12" s="32"/>
      <c r="Q12" s="32">
        <f>G35</f>
        <v>15</v>
      </c>
      <c r="R12" s="32">
        <f>G36</f>
        <v>13</v>
      </c>
      <c r="S12" s="53">
        <f>G37</f>
        <v>11064.68</v>
      </c>
      <c r="T12" s="53">
        <f>G38</f>
        <v>13345.68</v>
      </c>
      <c r="U12" s="53">
        <f>G39</f>
        <v>124112.08</v>
      </c>
      <c r="V12" s="376">
        <v>150</v>
      </c>
      <c r="W12">
        <v>15</v>
      </c>
      <c r="X12">
        <v>12</v>
      </c>
      <c r="Y12" s="236">
        <v>10</v>
      </c>
      <c r="Z12" s="236">
        <v>30</v>
      </c>
      <c r="AA12" s="54">
        <v>90000</v>
      </c>
      <c r="AB12" s="35">
        <f>metas[[#This Row],[Meta Individual]]/10000</f>
        <v>1.106468</v>
      </c>
      <c r="AC12" s="245">
        <f>metas[[#This Row],[Meta Equipe]]/30000/3</f>
        <v>0.14828533333333335</v>
      </c>
    </row>
    <row r="13" spans="1:30" hidden="1" x14ac:dyDescent="0.25">
      <c r="A13" s="47" t="s">
        <v>185</v>
      </c>
      <c r="B13" s="47"/>
      <c r="C13" s="47"/>
      <c r="D13" s="47"/>
      <c r="E13" s="47" t="s">
        <v>186</v>
      </c>
      <c r="F13" s="47"/>
      <c r="G13" s="47"/>
      <c r="H13" s="47"/>
      <c r="I13" s="47" t="s">
        <v>187</v>
      </c>
      <c r="J13" s="47"/>
      <c r="K13" s="47"/>
      <c r="L13" s="47"/>
      <c r="M13" s="238" t="s">
        <v>184</v>
      </c>
      <c r="N13" s="52">
        <v>45748</v>
      </c>
      <c r="O13" s="32" t="s">
        <v>22</v>
      </c>
      <c r="P13" s="32"/>
      <c r="Q13" s="32">
        <f>K35</f>
        <v>5</v>
      </c>
      <c r="R13" s="32">
        <f>K36</f>
        <v>6</v>
      </c>
      <c r="S13" s="53">
        <f>K37</f>
        <v>2088</v>
      </c>
      <c r="T13" s="53">
        <f>K38</f>
        <v>13345.68</v>
      </c>
      <c r="U13" s="53">
        <f>K39</f>
        <v>32058</v>
      </c>
      <c r="V13" s="376">
        <v>150</v>
      </c>
      <c r="W13">
        <v>15</v>
      </c>
      <c r="X13">
        <v>12</v>
      </c>
      <c r="Y13" s="236">
        <v>10</v>
      </c>
      <c r="Z13" s="236">
        <v>30</v>
      </c>
      <c r="AA13" s="54">
        <v>90000</v>
      </c>
      <c r="AB13" s="35">
        <f>metas[[#This Row],[Meta Individual]]/10000</f>
        <v>0.20880000000000001</v>
      </c>
      <c r="AC13" s="245">
        <f>metas[[#This Row],[Meta Equipe]]/30000/3</f>
        <v>0.14828533333333335</v>
      </c>
    </row>
    <row r="14" spans="1:30" hidden="1" x14ac:dyDescent="0.25">
      <c r="A14" s="47"/>
      <c r="B14" s="47" t="s">
        <v>156</v>
      </c>
      <c r="C14" s="47" t="s">
        <v>188</v>
      </c>
      <c r="D14" s="47" t="s">
        <v>158</v>
      </c>
      <c r="E14" s="47"/>
      <c r="F14" s="47" t="s">
        <v>156</v>
      </c>
      <c r="G14" s="47" t="s">
        <v>188</v>
      </c>
      <c r="H14" s="47" t="s">
        <v>158</v>
      </c>
      <c r="I14" s="47"/>
      <c r="J14" s="47" t="s">
        <v>156</v>
      </c>
      <c r="K14" s="47" t="s">
        <v>188</v>
      </c>
      <c r="L14" s="47" t="s">
        <v>158</v>
      </c>
      <c r="M14" s="238" t="s">
        <v>184</v>
      </c>
      <c r="N14" s="52">
        <v>45778</v>
      </c>
      <c r="O14" s="52" t="s">
        <v>31</v>
      </c>
      <c r="P14" s="52"/>
      <c r="Q14" s="32">
        <f>C45</f>
        <v>23</v>
      </c>
      <c r="R14" s="32">
        <f>C46</f>
        <v>20</v>
      </c>
      <c r="S14" s="53" t="str">
        <f>C47</f>
        <v>Realizado</v>
      </c>
      <c r="T14" s="53">
        <f>C48</f>
        <v>23</v>
      </c>
      <c r="U14" s="53">
        <f>C49</f>
        <v>20</v>
      </c>
      <c r="V14" s="376">
        <v>150</v>
      </c>
      <c r="W14">
        <v>15</v>
      </c>
      <c r="X14">
        <v>12</v>
      </c>
      <c r="Y14" s="236">
        <v>10</v>
      </c>
      <c r="Z14" s="236">
        <v>30</v>
      </c>
      <c r="AA14" s="54">
        <v>90000</v>
      </c>
      <c r="AB14" s="35" t="e">
        <f>metas[[#This Row],[Meta Individual]]/10000</f>
        <v>#VALUE!</v>
      </c>
      <c r="AC14" s="245">
        <f>metas[[#This Row],[Meta Equipe]]/30000/3</f>
        <v>2.5555555555555558E-4</v>
      </c>
    </row>
    <row r="15" spans="1:30" hidden="1" x14ac:dyDescent="0.25">
      <c r="A15" t="s">
        <v>189</v>
      </c>
      <c r="B15">
        <v>15</v>
      </c>
      <c r="C15">
        <v>23</v>
      </c>
      <c r="D15">
        <v>1.533333333333333</v>
      </c>
      <c r="E15" t="s">
        <v>189</v>
      </c>
      <c r="F15">
        <v>15</v>
      </c>
      <c r="G15">
        <v>16</v>
      </c>
      <c r="H15">
        <v>1.0666666666666671</v>
      </c>
      <c r="I15" t="s">
        <v>189</v>
      </c>
      <c r="J15">
        <v>15</v>
      </c>
      <c r="K15">
        <v>9</v>
      </c>
      <c r="L15">
        <v>0.6</v>
      </c>
      <c r="M15" s="238" t="s">
        <v>184</v>
      </c>
      <c r="N15" s="52">
        <v>45778</v>
      </c>
      <c r="O15" s="32" t="s">
        <v>44</v>
      </c>
      <c r="P15" s="32"/>
      <c r="Q15" s="32">
        <f>G45</f>
        <v>17</v>
      </c>
      <c r="R15" s="32">
        <f>G46</f>
        <v>14</v>
      </c>
      <c r="S15" s="53" t="str">
        <f>G47</f>
        <v>Realizado</v>
      </c>
      <c r="T15" s="53">
        <f>G48</f>
        <v>17</v>
      </c>
      <c r="U15" s="53">
        <f>G49</f>
        <v>14</v>
      </c>
      <c r="V15" s="376">
        <v>150</v>
      </c>
      <c r="W15">
        <v>15</v>
      </c>
      <c r="X15">
        <v>12</v>
      </c>
      <c r="Y15" s="236">
        <v>10</v>
      </c>
      <c r="Z15" s="236">
        <v>30</v>
      </c>
      <c r="AA15" s="54">
        <v>90000</v>
      </c>
      <c r="AB15" s="35" t="e">
        <f>metas[[#This Row],[Meta Individual]]/10000</f>
        <v>#VALUE!</v>
      </c>
      <c r="AC15" s="245">
        <f>metas[[#This Row],[Meta Equipe]]/30000/3</f>
        <v>1.8888888888888891E-4</v>
      </c>
    </row>
    <row r="16" spans="1:30" hidden="1" x14ac:dyDescent="0.25">
      <c r="A16" t="s">
        <v>190</v>
      </c>
      <c r="B16">
        <v>12</v>
      </c>
      <c r="C16">
        <v>22</v>
      </c>
      <c r="D16">
        <v>1.833333333333333</v>
      </c>
      <c r="E16" t="s">
        <v>190</v>
      </c>
      <c r="F16">
        <v>12</v>
      </c>
      <c r="G16">
        <v>16</v>
      </c>
      <c r="H16">
        <v>1.333333333333333</v>
      </c>
      <c r="I16" t="s">
        <v>190</v>
      </c>
      <c r="J16">
        <v>12</v>
      </c>
      <c r="K16">
        <v>21</v>
      </c>
      <c r="L16">
        <v>1.75</v>
      </c>
      <c r="M16" s="238" t="s">
        <v>184</v>
      </c>
      <c r="N16" s="52">
        <v>45778</v>
      </c>
      <c r="O16" s="32" t="s">
        <v>22</v>
      </c>
      <c r="P16" s="32"/>
      <c r="Q16" s="32">
        <f>K45</f>
        <v>2</v>
      </c>
      <c r="R16" s="32">
        <f>K46</f>
        <v>1</v>
      </c>
      <c r="S16" s="53" t="str">
        <f>K47</f>
        <v>Realizado</v>
      </c>
      <c r="T16" s="53">
        <f>K48</f>
        <v>2</v>
      </c>
      <c r="U16" s="53">
        <f>K49</f>
        <v>1</v>
      </c>
      <c r="V16" s="376">
        <v>150</v>
      </c>
      <c r="W16">
        <v>15</v>
      </c>
      <c r="X16">
        <v>12</v>
      </c>
      <c r="Y16" s="236">
        <v>10</v>
      </c>
      <c r="Z16" s="236">
        <v>30</v>
      </c>
      <c r="AA16" s="54">
        <v>90000</v>
      </c>
      <c r="AB16" s="35" t="e">
        <f>metas[[#This Row],[Meta Individual]]/10000</f>
        <v>#VALUE!</v>
      </c>
      <c r="AC16" s="245">
        <f>metas[[#This Row],[Meta Equipe]]/30000/3</f>
        <v>2.2222222222222223E-5</v>
      </c>
    </row>
    <row r="17" spans="1:29" hidden="1" x14ac:dyDescent="0.25">
      <c r="A17" t="s">
        <v>173</v>
      </c>
      <c r="B17">
        <v>10000</v>
      </c>
      <c r="C17">
        <v>1288.03</v>
      </c>
      <c r="D17">
        <v>0.128803</v>
      </c>
      <c r="E17" t="s">
        <v>173</v>
      </c>
      <c r="F17">
        <v>10000</v>
      </c>
      <c r="G17">
        <v>11189.93</v>
      </c>
      <c r="H17">
        <v>1.1189929999999999</v>
      </c>
      <c r="I17" t="s">
        <v>173</v>
      </c>
      <c r="J17">
        <v>10000</v>
      </c>
      <c r="K17">
        <v>2087.44</v>
      </c>
      <c r="L17">
        <v>0.20874400000000001</v>
      </c>
      <c r="M17" s="238" t="s">
        <v>184</v>
      </c>
      <c r="N17" s="52">
        <v>45809</v>
      </c>
      <c r="O17" s="52" t="s">
        <v>31</v>
      </c>
      <c r="P17" s="52"/>
      <c r="Q17" s="32">
        <f>C55</f>
        <v>25</v>
      </c>
      <c r="R17" s="32">
        <f>C56</f>
        <v>19</v>
      </c>
      <c r="S17" s="53">
        <f>C57</f>
        <v>4260.96</v>
      </c>
      <c r="T17" s="53">
        <f>C58</f>
        <v>30275.77</v>
      </c>
      <c r="U17" s="53">
        <f>C59</f>
        <v>85918.58</v>
      </c>
      <c r="V17" s="376">
        <v>150</v>
      </c>
      <c r="W17">
        <v>15</v>
      </c>
      <c r="X17">
        <v>12</v>
      </c>
      <c r="Y17" s="236">
        <v>10</v>
      </c>
      <c r="Z17" s="236">
        <v>30</v>
      </c>
      <c r="AA17" s="54">
        <v>90000</v>
      </c>
      <c r="AB17" s="35">
        <f>metas[[#This Row],[Meta Individual]]/10000</f>
        <v>0.42609600000000003</v>
      </c>
      <c r="AC17" s="245">
        <f>metas[[#This Row],[Meta Equipe]]/30000/3</f>
        <v>0.33639744444444442</v>
      </c>
    </row>
    <row r="18" spans="1:29" hidden="1" x14ac:dyDescent="0.25">
      <c r="A18" t="s">
        <v>166</v>
      </c>
      <c r="B18">
        <v>30000</v>
      </c>
      <c r="C18">
        <v>14565.4</v>
      </c>
      <c r="D18">
        <v>0.48551333333333341</v>
      </c>
      <c r="E18" t="s">
        <v>166</v>
      </c>
      <c r="F18">
        <v>30000</v>
      </c>
      <c r="G18">
        <v>14565.4</v>
      </c>
      <c r="H18">
        <v>0.48551333333333341</v>
      </c>
      <c r="I18" t="s">
        <v>166</v>
      </c>
      <c r="J18">
        <v>30000</v>
      </c>
      <c r="K18">
        <v>14565.4</v>
      </c>
      <c r="L18">
        <v>0.48551333333333341</v>
      </c>
      <c r="M18" s="238" t="s">
        <v>184</v>
      </c>
      <c r="N18" s="52">
        <v>45809</v>
      </c>
      <c r="O18" s="32" t="s">
        <v>44</v>
      </c>
      <c r="P18" s="32"/>
      <c r="Q18" s="32">
        <f>G55</f>
        <v>18</v>
      </c>
      <c r="R18" s="32">
        <f>G56</f>
        <v>13</v>
      </c>
      <c r="S18" s="53">
        <f>G57</f>
        <v>4579.8</v>
      </c>
      <c r="T18" s="53">
        <f>G58</f>
        <v>30275.77</v>
      </c>
      <c r="U18" s="53">
        <f>G59</f>
        <v>33826.339999999997</v>
      </c>
      <c r="V18" s="376">
        <v>150</v>
      </c>
      <c r="W18">
        <v>15</v>
      </c>
      <c r="X18">
        <v>12</v>
      </c>
      <c r="Y18" s="236">
        <v>10</v>
      </c>
      <c r="Z18" s="236">
        <v>30</v>
      </c>
      <c r="AA18" s="54">
        <v>90000</v>
      </c>
      <c r="AB18" s="35">
        <f>metas[[#This Row],[Meta Individual]]/10000</f>
        <v>0.45798</v>
      </c>
      <c r="AC18" s="245">
        <f>metas[[#This Row],[Meta Equipe]]/30000/3</f>
        <v>0.33639744444444442</v>
      </c>
    </row>
    <row r="19" spans="1:29" hidden="1" x14ac:dyDescent="0.25">
      <c r="A19" t="s">
        <v>174</v>
      </c>
      <c r="B19">
        <v>90000</v>
      </c>
      <c r="C19">
        <v>85015.22</v>
      </c>
      <c r="D19">
        <v>0.9446135555555556</v>
      </c>
      <c r="E19" t="s">
        <v>174</v>
      </c>
      <c r="F19">
        <v>90000</v>
      </c>
      <c r="G19">
        <v>121887.86</v>
      </c>
      <c r="H19">
        <v>1.354309555555556</v>
      </c>
      <c r="I19" t="s">
        <v>174</v>
      </c>
      <c r="J19">
        <v>90000</v>
      </c>
      <c r="K19">
        <v>19104</v>
      </c>
      <c r="L19">
        <v>0.21226666666666669</v>
      </c>
      <c r="M19" s="238" t="s">
        <v>184</v>
      </c>
      <c r="N19" s="52">
        <v>45809</v>
      </c>
      <c r="O19" s="32" t="s">
        <v>22</v>
      </c>
      <c r="P19" s="32"/>
      <c r="Q19" s="32">
        <f>K55</f>
        <v>3</v>
      </c>
      <c r="R19" s="32">
        <f>K56</f>
        <v>1</v>
      </c>
      <c r="S19" s="53">
        <f>K57</f>
        <v>21435.01</v>
      </c>
      <c r="T19" s="53">
        <f>K58</f>
        <v>30275.77</v>
      </c>
      <c r="U19" s="53">
        <f>K59</f>
        <v>211246</v>
      </c>
      <c r="V19" s="376">
        <v>150</v>
      </c>
      <c r="W19">
        <v>15</v>
      </c>
      <c r="X19">
        <v>12</v>
      </c>
      <c r="Y19" s="236">
        <v>10</v>
      </c>
      <c r="Z19" s="236">
        <v>30</v>
      </c>
      <c r="AA19" s="54">
        <v>90000</v>
      </c>
      <c r="AB19" s="35">
        <f>metas[[#This Row],[Meta Individual]]/10000</f>
        <v>2.1435009999999997</v>
      </c>
      <c r="AC19" s="245">
        <f>metas[[#This Row],[Meta Equipe]]/30000/3</f>
        <v>0.33639744444444442</v>
      </c>
    </row>
    <row r="20" spans="1:29" hidden="1" x14ac:dyDescent="0.25">
      <c r="M20" s="238" t="s">
        <v>184</v>
      </c>
      <c r="N20" s="52">
        <v>45839</v>
      </c>
      <c r="O20" s="52" t="s">
        <v>31</v>
      </c>
      <c r="P20" s="52"/>
      <c r="Q20" s="32">
        <f>C65</f>
        <v>22</v>
      </c>
      <c r="R20" s="32">
        <f>C66</f>
        <v>14</v>
      </c>
      <c r="S20" s="53">
        <f>C67</f>
        <v>1733.34</v>
      </c>
      <c r="T20" s="53">
        <f>C68</f>
        <v>11875.9</v>
      </c>
      <c r="U20" s="53">
        <f>C69</f>
        <v>86932.5</v>
      </c>
      <c r="V20" s="376">
        <v>150</v>
      </c>
      <c r="W20">
        <v>15</v>
      </c>
      <c r="X20">
        <v>12</v>
      </c>
      <c r="Y20" s="236">
        <v>10</v>
      </c>
      <c r="Z20" s="236">
        <v>30</v>
      </c>
      <c r="AA20" s="54">
        <v>90000</v>
      </c>
      <c r="AB20" s="35">
        <f>metas[[#This Row],[Meta Individual]]/10000</f>
        <v>0.17333399999999999</v>
      </c>
      <c r="AC20" s="245">
        <f>metas[[#This Row],[Meta Equipe]]/30000/3</f>
        <v>0.13195444444444446</v>
      </c>
    </row>
    <row r="21" spans="1:29" hidden="1" x14ac:dyDescent="0.25">
      <c r="A21" s="47" t="s">
        <v>192</v>
      </c>
      <c r="B21" s="47"/>
      <c r="C21" s="47"/>
      <c r="D21" s="47"/>
      <c r="E21" s="47"/>
      <c r="F21" s="47"/>
      <c r="G21" s="47"/>
      <c r="H21" s="47"/>
      <c r="I21" s="47"/>
      <c r="J21" s="47"/>
      <c r="K21" s="47"/>
      <c r="L21" s="47"/>
      <c r="M21" s="238" t="s">
        <v>184</v>
      </c>
      <c r="N21" s="52">
        <v>45839</v>
      </c>
      <c r="O21" s="32" t="s">
        <v>44</v>
      </c>
      <c r="P21" s="32"/>
      <c r="Q21" s="32">
        <f>G65</f>
        <v>17</v>
      </c>
      <c r="R21" s="32">
        <f>G66</f>
        <v>12</v>
      </c>
      <c r="S21" s="53">
        <f>G67</f>
        <v>142.56</v>
      </c>
      <c r="T21" s="53">
        <f>G68</f>
        <v>11875.9</v>
      </c>
      <c r="U21" s="53">
        <f>G69</f>
        <v>6071.21</v>
      </c>
      <c r="V21" s="376">
        <v>150</v>
      </c>
      <c r="W21">
        <v>15</v>
      </c>
      <c r="X21">
        <v>12</v>
      </c>
      <c r="Y21" s="236">
        <v>10</v>
      </c>
      <c r="Z21" s="236">
        <v>30</v>
      </c>
      <c r="AA21" s="54">
        <v>90000</v>
      </c>
      <c r="AB21" s="35">
        <f>metas[[#This Row],[Meta Individual]]/10000</f>
        <v>1.4256E-2</v>
      </c>
      <c r="AC21" s="245">
        <f>metas[[#This Row],[Meta Equipe]]/30000/3</f>
        <v>0.13195444444444446</v>
      </c>
    </row>
    <row r="22" spans="1:29" hidden="1" x14ac:dyDescent="0.25">
      <c r="A22" s="47" t="s">
        <v>183</v>
      </c>
      <c r="B22" s="47"/>
      <c r="C22" s="47"/>
      <c r="D22" s="47"/>
      <c r="E22" s="47"/>
      <c r="F22" s="47"/>
      <c r="G22" s="47"/>
      <c r="H22" s="47"/>
      <c r="I22" s="47"/>
      <c r="J22" s="47"/>
      <c r="K22" s="47"/>
      <c r="L22" s="47"/>
      <c r="M22" s="238" t="s">
        <v>184</v>
      </c>
      <c r="N22" s="52">
        <v>45839</v>
      </c>
      <c r="O22" s="32" t="s">
        <v>22</v>
      </c>
      <c r="P22" s="32"/>
      <c r="Q22" s="32">
        <f>K65</f>
        <v>2</v>
      </c>
      <c r="R22" s="32">
        <f>K66</f>
        <v>1</v>
      </c>
      <c r="S22" s="53">
        <f>K67</f>
        <v>10000</v>
      </c>
      <c r="T22" s="53">
        <f>K68</f>
        <v>11875.9</v>
      </c>
      <c r="U22" s="53">
        <f>K69</f>
        <v>90575</v>
      </c>
      <c r="V22" s="376">
        <v>150</v>
      </c>
      <c r="W22">
        <v>15</v>
      </c>
      <c r="X22">
        <v>12</v>
      </c>
      <c r="Y22" s="236">
        <v>10</v>
      </c>
      <c r="Z22" s="236">
        <v>30</v>
      </c>
      <c r="AA22" s="54">
        <v>90000</v>
      </c>
      <c r="AB22" s="35">
        <f>metas[[#This Row],[Meta Individual]]/10000</f>
        <v>1</v>
      </c>
      <c r="AC22" s="245">
        <f>metas[[#This Row],[Meta Equipe]]/30000/3</f>
        <v>0.13195444444444446</v>
      </c>
    </row>
    <row r="23" spans="1:29" hidden="1" x14ac:dyDescent="0.25">
      <c r="A23" s="47" t="s">
        <v>185</v>
      </c>
      <c r="B23" s="47"/>
      <c r="C23" s="47"/>
      <c r="D23" s="47"/>
      <c r="E23" s="47" t="s">
        <v>186</v>
      </c>
      <c r="F23" s="47"/>
      <c r="G23" s="47"/>
      <c r="H23" s="47"/>
      <c r="I23" s="47" t="s">
        <v>187</v>
      </c>
      <c r="J23" s="47"/>
      <c r="K23" s="47"/>
      <c r="L23" s="47"/>
      <c r="M23" s="238" t="s">
        <v>184</v>
      </c>
      <c r="N23" s="52">
        <v>45870</v>
      </c>
      <c r="O23" s="52" t="s">
        <v>31</v>
      </c>
      <c r="P23" s="52"/>
      <c r="Q23" s="32">
        <f>C75</f>
        <v>25</v>
      </c>
      <c r="R23" s="32">
        <f>C76</f>
        <v>17</v>
      </c>
      <c r="S23" s="53">
        <f>C77</f>
        <v>1667.4</v>
      </c>
      <c r="T23" s="53">
        <f>C78</f>
        <v>14580.27</v>
      </c>
      <c r="U23" s="53">
        <f>C79</f>
        <v>37218.92</v>
      </c>
      <c r="V23" s="376">
        <v>150</v>
      </c>
      <c r="W23">
        <v>15</v>
      </c>
      <c r="X23">
        <v>12</v>
      </c>
      <c r="Y23" s="236">
        <v>10</v>
      </c>
      <c r="Z23" s="236">
        <v>30</v>
      </c>
      <c r="AA23" s="54">
        <v>90000</v>
      </c>
      <c r="AB23" s="35">
        <f>metas[[#This Row],[Meta Individual]]/10000</f>
        <v>0.16674</v>
      </c>
      <c r="AC23" s="245">
        <f>metas[[#This Row],[Meta Equipe]]/30000/3</f>
        <v>0.16200300000000001</v>
      </c>
    </row>
    <row r="24" spans="1:29" hidden="1" x14ac:dyDescent="0.25">
      <c r="A24" s="47"/>
      <c r="B24" s="47" t="s">
        <v>156</v>
      </c>
      <c r="C24" s="47" t="s">
        <v>188</v>
      </c>
      <c r="D24" s="47" t="s">
        <v>158</v>
      </c>
      <c r="E24" s="47"/>
      <c r="F24" s="47" t="s">
        <v>156</v>
      </c>
      <c r="G24" s="47" t="s">
        <v>188</v>
      </c>
      <c r="H24" s="47" t="s">
        <v>158</v>
      </c>
      <c r="I24" s="47"/>
      <c r="J24" s="47" t="s">
        <v>156</v>
      </c>
      <c r="K24" s="47" t="s">
        <v>188</v>
      </c>
      <c r="L24" s="47" t="s">
        <v>158</v>
      </c>
      <c r="M24" s="238" t="s">
        <v>184</v>
      </c>
      <c r="N24" s="52">
        <v>45870</v>
      </c>
      <c r="O24" s="32" t="s">
        <v>44</v>
      </c>
      <c r="P24" s="32"/>
      <c r="Q24" s="32">
        <f>G75</f>
        <v>16</v>
      </c>
      <c r="R24" s="32">
        <f>G76</f>
        <v>13</v>
      </c>
      <c r="S24" s="53">
        <f>G77</f>
        <v>5551.4</v>
      </c>
      <c r="T24" s="53">
        <f>G78</f>
        <v>14580.27</v>
      </c>
      <c r="U24" s="53">
        <f>G79</f>
        <v>69366.399999999994</v>
      </c>
      <c r="V24" s="376">
        <v>150</v>
      </c>
      <c r="W24">
        <v>15</v>
      </c>
      <c r="X24">
        <v>12</v>
      </c>
      <c r="Y24" s="236">
        <v>10</v>
      </c>
      <c r="Z24" s="236">
        <v>30</v>
      </c>
      <c r="AA24" s="54">
        <v>90000</v>
      </c>
      <c r="AB24" s="35">
        <f>metas[[#This Row],[Meta Individual]]/10000</f>
        <v>0.55513999999999997</v>
      </c>
      <c r="AC24" s="245">
        <f>metas[[#This Row],[Meta Equipe]]/30000/3</f>
        <v>0.16200300000000001</v>
      </c>
    </row>
    <row r="25" spans="1:29" hidden="1" x14ac:dyDescent="0.25">
      <c r="A25" t="s">
        <v>189</v>
      </c>
      <c r="B25">
        <v>15</v>
      </c>
      <c r="C25">
        <v>17</v>
      </c>
      <c r="D25">
        <v>1.1333333333333331</v>
      </c>
      <c r="E25" t="s">
        <v>189</v>
      </c>
      <c r="F25">
        <v>15</v>
      </c>
      <c r="G25">
        <v>17</v>
      </c>
      <c r="H25">
        <v>1.1333333333333331</v>
      </c>
      <c r="I25" t="s">
        <v>189</v>
      </c>
      <c r="J25">
        <v>15</v>
      </c>
      <c r="K25">
        <v>4</v>
      </c>
      <c r="L25">
        <v>0.26666666666666672</v>
      </c>
      <c r="M25" s="238" t="s">
        <v>184</v>
      </c>
      <c r="N25" s="52">
        <v>45870</v>
      </c>
      <c r="O25" s="32" t="s">
        <v>22</v>
      </c>
      <c r="P25" s="32"/>
      <c r="Q25" s="32">
        <f>K75</f>
        <v>8</v>
      </c>
      <c r="R25" s="32">
        <f>K76</f>
        <v>8</v>
      </c>
      <c r="S25" s="53">
        <f>K77</f>
        <v>7361.47</v>
      </c>
      <c r="T25" s="53">
        <f>K78</f>
        <v>14580.27</v>
      </c>
      <c r="U25" s="53">
        <f>K79</f>
        <v>57100</v>
      </c>
      <c r="V25" s="376">
        <v>150</v>
      </c>
      <c r="W25">
        <v>15</v>
      </c>
      <c r="X25">
        <v>12</v>
      </c>
      <c r="Y25" s="236">
        <v>10</v>
      </c>
      <c r="Z25" s="236">
        <v>30</v>
      </c>
      <c r="AA25" s="54">
        <v>90000</v>
      </c>
      <c r="AB25" s="35">
        <f>metas[[#This Row],[Meta Individual]]/10000</f>
        <v>0.736147</v>
      </c>
      <c r="AC25" s="245">
        <f>metas[[#This Row],[Meta Equipe]]/30000/3</f>
        <v>0.16200300000000001</v>
      </c>
    </row>
    <row r="26" spans="1:29" hidden="1" x14ac:dyDescent="0.25">
      <c r="A26" t="s">
        <v>190</v>
      </c>
      <c r="B26">
        <v>12</v>
      </c>
      <c r="C26">
        <v>7</v>
      </c>
      <c r="D26">
        <v>0.58333333333333337</v>
      </c>
      <c r="E26" t="s">
        <v>190</v>
      </c>
      <c r="F26">
        <v>12</v>
      </c>
      <c r="G26">
        <v>12</v>
      </c>
      <c r="H26">
        <v>1</v>
      </c>
      <c r="I26" t="s">
        <v>190</v>
      </c>
      <c r="J26">
        <v>12</v>
      </c>
      <c r="K26">
        <v>4</v>
      </c>
      <c r="L26">
        <v>0.33333333333333331</v>
      </c>
      <c r="M26" s="238" t="s">
        <v>184</v>
      </c>
      <c r="N26" s="52">
        <v>45901</v>
      </c>
      <c r="O26" s="52" t="s">
        <v>31</v>
      </c>
      <c r="P26" s="52"/>
      <c r="Q26" s="32">
        <f>C85</f>
        <v>25</v>
      </c>
      <c r="R26" s="32">
        <f>C86</f>
        <v>16</v>
      </c>
      <c r="S26" s="53">
        <f>C87</f>
        <v>3619.87</v>
      </c>
      <c r="T26" s="53">
        <f>C88</f>
        <v>12925.19</v>
      </c>
      <c r="U26" s="53">
        <f>C89</f>
        <v>156911.70000000001</v>
      </c>
      <c r="V26" s="376">
        <v>150</v>
      </c>
      <c r="W26">
        <v>15</v>
      </c>
      <c r="X26">
        <v>12</v>
      </c>
      <c r="Y26" s="236">
        <v>10</v>
      </c>
      <c r="Z26" s="236">
        <v>30</v>
      </c>
      <c r="AA26" s="54">
        <v>90000</v>
      </c>
      <c r="AB26" s="35">
        <f>metas[[#This Row],[Meta Individual]]/10000</f>
        <v>0.361987</v>
      </c>
      <c r="AC26" s="245">
        <f>metas[[#This Row],[Meta Equipe]]/30000/3</f>
        <v>0.14361322222222223</v>
      </c>
    </row>
    <row r="27" spans="1:29" hidden="1" x14ac:dyDescent="0.25">
      <c r="A27" t="s">
        <v>173</v>
      </c>
      <c r="B27">
        <v>10000</v>
      </c>
      <c r="C27">
        <v>6712.41</v>
      </c>
      <c r="D27">
        <v>0.67124099999999998</v>
      </c>
      <c r="E27" t="s">
        <v>173</v>
      </c>
      <c r="F27">
        <v>10000</v>
      </c>
      <c r="G27">
        <v>3064.57</v>
      </c>
      <c r="H27">
        <v>0.30645699999999998</v>
      </c>
      <c r="I27" t="s">
        <v>173</v>
      </c>
      <c r="J27">
        <v>10000</v>
      </c>
      <c r="K27">
        <v>5124.72</v>
      </c>
      <c r="L27">
        <v>0.51247200000000004</v>
      </c>
      <c r="M27" s="238" t="s">
        <v>184</v>
      </c>
      <c r="N27" s="52">
        <v>45901</v>
      </c>
      <c r="O27" s="32" t="s">
        <v>44</v>
      </c>
      <c r="P27" s="32"/>
      <c r="Q27" s="32">
        <f>G85</f>
        <v>16</v>
      </c>
      <c r="R27" s="32">
        <f>G86</f>
        <v>18</v>
      </c>
      <c r="S27" s="53">
        <f>G87</f>
        <v>6448.22</v>
      </c>
      <c r="T27" s="53">
        <f>G88</f>
        <v>12925.19</v>
      </c>
      <c r="U27" s="53">
        <f>G89</f>
        <v>134306.46</v>
      </c>
      <c r="V27" s="376">
        <v>150</v>
      </c>
      <c r="W27">
        <v>15</v>
      </c>
      <c r="X27">
        <v>12</v>
      </c>
      <c r="Y27" s="236">
        <v>10</v>
      </c>
      <c r="Z27" s="236">
        <v>30</v>
      </c>
      <c r="AA27" s="54">
        <v>90000</v>
      </c>
      <c r="AB27" s="35">
        <f>metas[[#This Row],[Meta Individual]]/10000</f>
        <v>0.64482200000000001</v>
      </c>
      <c r="AC27" s="245">
        <f>metas[[#This Row],[Meta Equipe]]/30000/3</f>
        <v>0.14361322222222223</v>
      </c>
    </row>
    <row r="28" spans="1:29" hidden="1" x14ac:dyDescent="0.25">
      <c r="A28" t="s">
        <v>166</v>
      </c>
      <c r="B28">
        <v>30000</v>
      </c>
      <c r="C28">
        <v>14901.7</v>
      </c>
      <c r="D28">
        <v>0.49672333333333341</v>
      </c>
      <c r="E28" t="s">
        <v>166</v>
      </c>
      <c r="F28">
        <v>30000</v>
      </c>
      <c r="G28">
        <v>14901.7</v>
      </c>
      <c r="H28">
        <v>0.49672333333333341</v>
      </c>
      <c r="I28" t="s">
        <v>166</v>
      </c>
      <c r="J28">
        <v>30000</v>
      </c>
      <c r="K28">
        <v>14901.7</v>
      </c>
      <c r="L28">
        <v>0.49672333333333341</v>
      </c>
      <c r="M28" s="238" t="s">
        <v>184</v>
      </c>
      <c r="N28" s="52">
        <v>45901</v>
      </c>
      <c r="O28" s="32" t="s">
        <v>22</v>
      </c>
      <c r="P28" s="32"/>
      <c r="Q28" s="32">
        <f>K85</f>
        <v>11</v>
      </c>
      <c r="R28" s="32">
        <f>K86</f>
        <v>11</v>
      </c>
      <c r="S28" s="53">
        <f>K87</f>
        <v>2857.1</v>
      </c>
      <c r="T28" s="53">
        <f>K88</f>
        <v>12925.19</v>
      </c>
      <c r="U28" s="53">
        <f>K89</f>
        <v>47500</v>
      </c>
      <c r="V28" s="376">
        <v>150</v>
      </c>
      <c r="W28">
        <v>15</v>
      </c>
      <c r="X28">
        <v>12</v>
      </c>
      <c r="Y28" s="236">
        <v>10</v>
      </c>
      <c r="Z28" s="236">
        <v>30</v>
      </c>
      <c r="AA28" s="54">
        <v>90000</v>
      </c>
      <c r="AB28" s="35">
        <f>metas[[#This Row],[Meta Individual]]/10000</f>
        <v>0.28570999999999996</v>
      </c>
      <c r="AC28" s="245">
        <f>metas[[#This Row],[Meta Equipe]]/30000/3</f>
        <v>0.14361322222222223</v>
      </c>
    </row>
    <row r="29" spans="1:29" hidden="1" x14ac:dyDescent="0.25">
      <c r="A29" t="s">
        <v>174</v>
      </c>
      <c r="B29">
        <v>90000</v>
      </c>
      <c r="C29">
        <v>111207.36</v>
      </c>
      <c r="D29">
        <v>1.235637333333333</v>
      </c>
      <c r="E29" t="s">
        <v>174</v>
      </c>
      <c r="F29">
        <v>90000</v>
      </c>
      <c r="G29">
        <v>70833.33</v>
      </c>
      <c r="H29">
        <v>0.78703699999999999</v>
      </c>
      <c r="I29" t="s">
        <v>174</v>
      </c>
      <c r="J29">
        <v>90000</v>
      </c>
      <c r="K29">
        <v>73632</v>
      </c>
      <c r="L29">
        <v>0.81813333333333338</v>
      </c>
      <c r="M29" s="238" t="s">
        <v>184</v>
      </c>
      <c r="N29" s="52">
        <v>45931</v>
      </c>
      <c r="O29" s="52" t="s">
        <v>31</v>
      </c>
      <c r="P29" s="52"/>
      <c r="Q29" s="32">
        <f>C95</f>
        <v>15</v>
      </c>
      <c r="R29" s="32">
        <f>C96</f>
        <v>12</v>
      </c>
      <c r="S29" s="53">
        <f>C97</f>
        <v>1927.89</v>
      </c>
      <c r="T29" s="53">
        <f>C98</f>
        <v>1927.89</v>
      </c>
      <c r="U29" s="53">
        <f>C99</f>
        <v>117851.89</v>
      </c>
      <c r="V29" s="376">
        <v>150</v>
      </c>
      <c r="W29">
        <v>15</v>
      </c>
      <c r="X29">
        <v>12</v>
      </c>
      <c r="Y29" s="236">
        <v>10</v>
      </c>
      <c r="Z29" s="236">
        <v>30</v>
      </c>
      <c r="AA29" s="54">
        <v>90000</v>
      </c>
      <c r="AB29" s="35">
        <f>metas[[#This Row],[Meta Individual]]/10000</f>
        <v>0.19278900000000002</v>
      </c>
      <c r="AC29" s="245">
        <f>metas[[#This Row],[Meta Equipe]]/30000/3</f>
        <v>2.1420999999999999E-2</v>
      </c>
    </row>
    <row r="30" spans="1:29" hidden="1" x14ac:dyDescent="0.25">
      <c r="M30" s="238" t="s">
        <v>184</v>
      </c>
      <c r="N30" s="52">
        <v>45931</v>
      </c>
      <c r="O30" s="32" t="s">
        <v>44</v>
      </c>
      <c r="P30" s="32"/>
      <c r="Q30" s="32">
        <f>G95</f>
        <v>15</v>
      </c>
      <c r="R30" s="32">
        <f>G96</f>
        <v>12</v>
      </c>
      <c r="S30" s="53">
        <f>G97</f>
        <v>0</v>
      </c>
      <c r="T30" s="53">
        <f>G98</f>
        <v>1927.89</v>
      </c>
      <c r="U30" s="53">
        <f>G99</f>
        <v>39131.15</v>
      </c>
      <c r="V30" s="376">
        <v>150</v>
      </c>
      <c r="W30">
        <v>15</v>
      </c>
      <c r="X30">
        <v>12</v>
      </c>
      <c r="Y30" s="236">
        <v>10</v>
      </c>
      <c r="Z30" s="236">
        <v>30</v>
      </c>
      <c r="AA30" s="54">
        <v>90000</v>
      </c>
      <c r="AB30" s="35">
        <f>metas[[#This Row],[Meta Individual]]/10000</f>
        <v>0</v>
      </c>
      <c r="AC30" s="245">
        <f>metas[[#This Row],[Meta Equipe]]/30000/3</f>
        <v>2.1420999999999999E-2</v>
      </c>
    </row>
    <row r="31" spans="1:29" hidden="1" x14ac:dyDescent="0.25">
      <c r="A31" s="47" t="s">
        <v>193</v>
      </c>
      <c r="B31" s="47"/>
      <c r="C31" s="47"/>
      <c r="D31" s="47"/>
      <c r="E31" s="47"/>
      <c r="F31" s="47"/>
      <c r="G31" s="47"/>
      <c r="H31" s="47"/>
      <c r="I31" s="47"/>
      <c r="J31" s="47"/>
      <c r="K31" s="47"/>
      <c r="L31" s="47"/>
      <c r="M31" s="238" t="s">
        <v>184</v>
      </c>
      <c r="N31" s="52">
        <v>45931</v>
      </c>
      <c r="O31" s="32" t="s">
        <v>22</v>
      </c>
      <c r="P31" s="32"/>
      <c r="Q31" s="32">
        <f>K95</f>
        <v>15</v>
      </c>
      <c r="R31" s="32">
        <f>K96</f>
        <v>12</v>
      </c>
      <c r="S31" s="53">
        <f>K97</f>
        <v>0</v>
      </c>
      <c r="T31" s="53">
        <f>K98</f>
        <v>1927.89</v>
      </c>
      <c r="U31" s="53">
        <f>K99</f>
        <v>0</v>
      </c>
      <c r="V31" s="376">
        <v>150</v>
      </c>
      <c r="W31">
        <v>15</v>
      </c>
      <c r="X31">
        <v>12</v>
      </c>
      <c r="Y31" s="236">
        <v>10</v>
      </c>
      <c r="Z31" s="236">
        <v>30</v>
      </c>
      <c r="AA31" s="54">
        <v>90000</v>
      </c>
      <c r="AB31" s="35">
        <f>metas[[#This Row],[Meta Individual]]/10000</f>
        <v>0</v>
      </c>
      <c r="AC31" s="245">
        <f>metas[[#This Row],[Meta Equipe]]/30000/3</f>
        <v>2.1420999999999999E-2</v>
      </c>
    </row>
    <row r="32" spans="1:29" hidden="1" x14ac:dyDescent="0.25">
      <c r="A32" s="47" t="s">
        <v>183</v>
      </c>
      <c r="B32" s="47"/>
      <c r="C32" s="47"/>
      <c r="D32" s="47"/>
      <c r="E32" s="47"/>
      <c r="F32" s="47"/>
      <c r="G32" s="47"/>
      <c r="H32" s="47"/>
      <c r="I32" s="47"/>
      <c r="J32" s="47"/>
      <c r="K32" s="47"/>
      <c r="L32" s="47"/>
      <c r="M32" s="238" t="s">
        <v>184</v>
      </c>
      <c r="N32" s="52">
        <v>45962</v>
      </c>
      <c r="O32" s="52" t="s">
        <v>31</v>
      </c>
      <c r="P32" s="52"/>
      <c r="Q32" s="32">
        <f>C105</f>
        <v>20</v>
      </c>
      <c r="R32" s="32">
        <f>C106</f>
        <v>18</v>
      </c>
      <c r="S32" s="53">
        <f>C107</f>
        <v>285.12</v>
      </c>
      <c r="T32" s="53">
        <f>C108</f>
        <v>641.52</v>
      </c>
      <c r="U32" s="53">
        <f>C109</f>
        <v>49993.72</v>
      </c>
      <c r="V32" s="376">
        <v>150</v>
      </c>
      <c r="W32">
        <v>15</v>
      </c>
      <c r="X32">
        <v>12</v>
      </c>
      <c r="Y32" s="236">
        <v>10</v>
      </c>
      <c r="Z32" s="236">
        <v>30</v>
      </c>
      <c r="AA32" s="54">
        <v>90000</v>
      </c>
      <c r="AB32" s="35">
        <f>metas[[#This Row],[Meta Individual]]/10000</f>
        <v>2.8511999999999999E-2</v>
      </c>
      <c r="AC32" s="245">
        <f>metas[[#This Row],[Meta Equipe]]/30000/3</f>
        <v>7.1279999999999998E-3</v>
      </c>
    </row>
    <row r="33" spans="1:29" hidden="1" x14ac:dyDescent="0.25">
      <c r="A33" s="47" t="s">
        <v>185</v>
      </c>
      <c r="B33" s="47"/>
      <c r="C33" s="47"/>
      <c r="D33" s="47"/>
      <c r="E33" s="47" t="s">
        <v>186</v>
      </c>
      <c r="F33" s="47"/>
      <c r="G33" s="47"/>
      <c r="H33" s="47"/>
      <c r="I33" s="47" t="s">
        <v>187</v>
      </c>
      <c r="J33" s="47"/>
      <c r="K33" s="47"/>
      <c r="L33" s="47"/>
      <c r="M33" s="238" t="s">
        <v>184</v>
      </c>
      <c r="N33" s="52">
        <v>45962</v>
      </c>
      <c r="O33" s="32" t="s">
        <v>44</v>
      </c>
      <c r="P33" s="32"/>
      <c r="Q33" s="32">
        <f>G105</f>
        <v>15</v>
      </c>
      <c r="R33" s="32">
        <f>G106</f>
        <v>13</v>
      </c>
      <c r="S33" s="53">
        <f>G107</f>
        <v>356.4</v>
      </c>
      <c r="T33" s="53">
        <f>G108</f>
        <v>641.52</v>
      </c>
      <c r="U33" s="53">
        <f>G109</f>
        <v>3307.14</v>
      </c>
      <c r="V33" s="376">
        <v>150</v>
      </c>
      <c r="W33">
        <v>15</v>
      </c>
      <c r="X33">
        <v>12</v>
      </c>
      <c r="Y33" s="236">
        <v>10</v>
      </c>
      <c r="Z33" s="236">
        <v>30</v>
      </c>
      <c r="AA33" s="54">
        <v>90000</v>
      </c>
      <c r="AB33" s="35">
        <f>metas[[#This Row],[Meta Individual]]/10000</f>
        <v>3.5639999999999998E-2</v>
      </c>
      <c r="AC33" s="245">
        <f>metas[[#This Row],[Meta Equipe]]/30000/3</f>
        <v>7.1279999999999998E-3</v>
      </c>
    </row>
    <row r="34" spans="1:29" hidden="1" x14ac:dyDescent="0.25">
      <c r="A34" s="47"/>
      <c r="B34" s="47" t="s">
        <v>156</v>
      </c>
      <c r="C34" s="47" t="s">
        <v>188</v>
      </c>
      <c r="D34" s="47" t="s">
        <v>158</v>
      </c>
      <c r="E34" s="47"/>
      <c r="F34" s="47" t="s">
        <v>156</v>
      </c>
      <c r="G34" s="47" t="s">
        <v>188</v>
      </c>
      <c r="H34" s="47" t="s">
        <v>158</v>
      </c>
      <c r="I34" s="47"/>
      <c r="J34" s="47" t="s">
        <v>156</v>
      </c>
      <c r="K34" s="47" t="s">
        <v>188</v>
      </c>
      <c r="L34" s="47" t="s">
        <v>158</v>
      </c>
      <c r="M34" s="238" t="s">
        <v>184</v>
      </c>
      <c r="N34" s="52">
        <v>45962</v>
      </c>
      <c r="O34" s="32" t="s">
        <v>22</v>
      </c>
      <c r="P34" s="32"/>
      <c r="Q34" s="32">
        <f>K105</f>
        <v>12</v>
      </c>
      <c r="R34" s="32">
        <f>K106</f>
        <v>12</v>
      </c>
      <c r="S34" s="53">
        <f>K108</f>
        <v>641.52</v>
      </c>
      <c r="T34" s="53">
        <f>K108</f>
        <v>641.52</v>
      </c>
      <c r="U34" s="53">
        <f>K109</f>
        <v>6253</v>
      </c>
      <c r="V34" s="376">
        <v>150</v>
      </c>
      <c r="W34">
        <v>15</v>
      </c>
      <c r="X34">
        <v>12</v>
      </c>
      <c r="Y34" s="236">
        <v>10</v>
      </c>
      <c r="Z34" s="236">
        <v>30</v>
      </c>
      <c r="AA34" s="54">
        <v>90000</v>
      </c>
      <c r="AB34" s="35">
        <f>metas[[#This Row],[Meta Individual]]/10000</f>
        <v>6.4152000000000001E-2</v>
      </c>
      <c r="AC34" s="245">
        <f>metas[[#This Row],[Meta Equipe]]/30000/3</f>
        <v>7.1279999999999998E-3</v>
      </c>
    </row>
    <row r="35" spans="1:29" hidden="1" x14ac:dyDescent="0.25">
      <c r="A35" t="s">
        <v>189</v>
      </c>
      <c r="B35">
        <v>15</v>
      </c>
      <c r="C35">
        <v>29</v>
      </c>
      <c r="D35">
        <v>1.9333333333333329</v>
      </c>
      <c r="E35" t="s">
        <v>189</v>
      </c>
      <c r="F35">
        <v>15</v>
      </c>
      <c r="G35">
        <v>15</v>
      </c>
      <c r="H35">
        <v>1</v>
      </c>
      <c r="I35" t="s">
        <v>189</v>
      </c>
      <c r="J35">
        <v>15</v>
      </c>
      <c r="K35">
        <v>5</v>
      </c>
      <c r="L35">
        <v>0.33333333333333331</v>
      </c>
      <c r="M35" s="238" t="s">
        <v>184</v>
      </c>
      <c r="N35" s="52">
        <v>45992</v>
      </c>
      <c r="O35" s="52" t="s">
        <v>31</v>
      </c>
      <c r="P35" s="52"/>
      <c r="Q35" s="32">
        <v>10</v>
      </c>
      <c r="R35" s="32">
        <v>8</v>
      </c>
      <c r="S35" s="53">
        <v>3149.32</v>
      </c>
      <c r="T35" s="53">
        <v>10160.040000000001</v>
      </c>
      <c r="U35" s="53">
        <v>97189.92</v>
      </c>
      <c r="V35" s="376">
        <v>150</v>
      </c>
      <c r="W35">
        <v>15</v>
      </c>
      <c r="X35">
        <v>12</v>
      </c>
      <c r="Y35" s="236">
        <v>6</v>
      </c>
      <c r="Z35" s="236">
        <v>26</v>
      </c>
      <c r="AA35" s="54">
        <v>90000</v>
      </c>
      <c r="AB35" s="35">
        <f>metas[[#This Row],[Meta Individual]]/6000</f>
        <v>0.52488666666666672</v>
      </c>
      <c r="AC35" s="245">
        <f>metas[[#This Row],[Meta Equipe]]/26000/3</f>
        <v>0.13025692307692308</v>
      </c>
    </row>
    <row r="36" spans="1:29" hidden="1" x14ac:dyDescent="0.25">
      <c r="A36" t="s">
        <v>190</v>
      </c>
      <c r="B36">
        <v>12</v>
      </c>
      <c r="C36">
        <v>15</v>
      </c>
      <c r="D36">
        <v>1.25</v>
      </c>
      <c r="E36" t="s">
        <v>190</v>
      </c>
      <c r="F36">
        <v>12</v>
      </c>
      <c r="G36">
        <v>13</v>
      </c>
      <c r="H36">
        <v>1.083333333333333</v>
      </c>
      <c r="I36" t="s">
        <v>190</v>
      </c>
      <c r="J36">
        <v>12</v>
      </c>
      <c r="K36">
        <v>6</v>
      </c>
      <c r="L36">
        <v>0.5</v>
      </c>
      <c r="M36" s="238" t="s">
        <v>184</v>
      </c>
      <c r="N36" s="52">
        <v>45992</v>
      </c>
      <c r="O36" s="32" t="s">
        <v>44</v>
      </c>
      <c r="P36" s="32"/>
      <c r="Q36" s="32">
        <v>10</v>
      </c>
      <c r="R36" s="32">
        <v>11</v>
      </c>
      <c r="S36" s="53">
        <v>6440.48</v>
      </c>
      <c r="T36" s="53">
        <v>10160.040000000001</v>
      </c>
      <c r="U36" s="53">
        <v>38960</v>
      </c>
      <c r="V36" s="376">
        <v>150</v>
      </c>
      <c r="W36">
        <v>15</v>
      </c>
      <c r="X36">
        <v>12</v>
      </c>
      <c r="Y36" s="236">
        <v>10</v>
      </c>
      <c r="Z36" s="236">
        <v>26</v>
      </c>
      <c r="AA36" s="54">
        <v>90000</v>
      </c>
      <c r="AB36" s="35">
        <f>metas[[#This Row],[Meta Individual]]/10000</f>
        <v>0.64404799999999995</v>
      </c>
      <c r="AC36" s="245">
        <f>metas[[#This Row],[Meta Equipe]]/26000/3</f>
        <v>0.13025692307692308</v>
      </c>
    </row>
    <row r="37" spans="1:29" hidden="1" x14ac:dyDescent="0.25">
      <c r="A37" t="s">
        <v>173</v>
      </c>
      <c r="B37">
        <v>10000</v>
      </c>
      <c r="C37">
        <v>193</v>
      </c>
      <c r="D37">
        <v>1.9300000000000001E-2</v>
      </c>
      <c r="E37" t="s">
        <v>173</v>
      </c>
      <c r="F37">
        <v>10000</v>
      </c>
      <c r="G37">
        <v>11064.68</v>
      </c>
      <c r="H37">
        <v>1.106468</v>
      </c>
      <c r="I37" t="s">
        <v>173</v>
      </c>
      <c r="J37">
        <v>10000</v>
      </c>
      <c r="K37">
        <v>2088</v>
      </c>
      <c r="L37">
        <v>0.20880000000000001</v>
      </c>
      <c r="M37" s="238" t="s">
        <v>184</v>
      </c>
      <c r="N37" s="52">
        <v>45992</v>
      </c>
      <c r="O37" s="32" t="s">
        <v>22</v>
      </c>
      <c r="P37" s="32"/>
      <c r="Q37" s="32">
        <v>8</v>
      </c>
      <c r="R37" s="32">
        <v>8</v>
      </c>
      <c r="S37" s="53">
        <v>570.24</v>
      </c>
      <c r="T37" s="53">
        <v>10160.040000000001</v>
      </c>
      <c r="U37" s="53">
        <f>K112</f>
        <v>0</v>
      </c>
      <c r="V37" s="376">
        <v>150</v>
      </c>
      <c r="W37">
        <v>15</v>
      </c>
      <c r="X37">
        <v>12</v>
      </c>
      <c r="Y37" s="236">
        <v>10</v>
      </c>
      <c r="Z37" s="236">
        <v>26</v>
      </c>
      <c r="AA37" s="54">
        <v>90000</v>
      </c>
      <c r="AB37" s="35">
        <f>metas[[#This Row],[Meta Individual]]/10000</f>
        <v>5.7023999999999998E-2</v>
      </c>
      <c r="AC37" s="245">
        <f>metas[[#This Row],[Meta Equipe]]/26000/3</f>
        <v>0.13025692307692308</v>
      </c>
    </row>
    <row r="38" spans="1:29" x14ac:dyDescent="0.25">
      <c r="A38" t="s">
        <v>166</v>
      </c>
      <c r="B38">
        <v>30000</v>
      </c>
      <c r="C38">
        <v>13345.68</v>
      </c>
      <c r="D38">
        <v>0.44485599999999997</v>
      </c>
      <c r="E38" t="s">
        <v>166</v>
      </c>
      <c r="F38">
        <v>30000</v>
      </c>
      <c r="G38">
        <v>13345.68</v>
      </c>
      <c r="H38">
        <v>0.44485599999999997</v>
      </c>
      <c r="I38" t="s">
        <v>166</v>
      </c>
      <c r="J38">
        <v>30000</v>
      </c>
      <c r="K38">
        <v>13345.68</v>
      </c>
      <c r="L38">
        <v>0.44485599999999997</v>
      </c>
      <c r="M38" s="238" t="s">
        <v>194</v>
      </c>
      <c r="N38" s="52">
        <v>46023</v>
      </c>
      <c r="O38" s="52" t="s">
        <v>31</v>
      </c>
      <c r="P38" s="52"/>
      <c r="Q38" s="32">
        <v>24</v>
      </c>
      <c r="R38" s="32">
        <v>16</v>
      </c>
      <c r="S38" s="53">
        <v>2698.22</v>
      </c>
      <c r="T38" s="53">
        <v>17506.46</v>
      </c>
      <c r="U38" s="53">
        <v>58587.27</v>
      </c>
      <c r="V38" s="376">
        <v>150</v>
      </c>
      <c r="W38">
        <v>15</v>
      </c>
      <c r="X38">
        <v>12</v>
      </c>
      <c r="Y38" s="236">
        <v>6</v>
      </c>
      <c r="Z38" s="236">
        <v>26</v>
      </c>
      <c r="AA38" s="54">
        <v>90000</v>
      </c>
      <c r="AB38" s="35">
        <f>metas[[#This Row],[Meta Individual]]/6000</f>
        <v>0.44970333333333329</v>
      </c>
      <c r="AC38" s="35">
        <f>metas[[#This Row],[Meta Equipe]]/26000/3</f>
        <v>0.22444179487179486</v>
      </c>
    </row>
    <row r="39" spans="1:29" x14ac:dyDescent="0.25">
      <c r="A39" t="s">
        <v>174</v>
      </c>
      <c r="B39">
        <v>90000</v>
      </c>
      <c r="C39">
        <v>29258.82</v>
      </c>
      <c r="D39">
        <v>0.325098</v>
      </c>
      <c r="E39" t="s">
        <v>174</v>
      </c>
      <c r="F39">
        <v>90000</v>
      </c>
      <c r="G39">
        <v>124112.08</v>
      </c>
      <c r="H39">
        <v>1.3790231111111111</v>
      </c>
      <c r="I39" t="s">
        <v>174</v>
      </c>
      <c r="J39">
        <v>90000</v>
      </c>
      <c r="K39">
        <v>32058</v>
      </c>
      <c r="L39">
        <v>0.35620000000000002</v>
      </c>
      <c r="M39" s="238" t="s">
        <v>194</v>
      </c>
      <c r="N39" s="52">
        <v>46023</v>
      </c>
      <c r="O39" s="32" t="s">
        <v>44</v>
      </c>
      <c r="P39" s="32"/>
      <c r="Q39" s="32">
        <v>16</v>
      </c>
      <c r="R39" s="32">
        <v>16</v>
      </c>
      <c r="S39" s="53">
        <v>4434.5</v>
      </c>
      <c r="T39" s="53">
        <v>17506.46</v>
      </c>
      <c r="U39" s="53">
        <v>101301</v>
      </c>
      <c r="V39" s="376">
        <v>150</v>
      </c>
      <c r="W39">
        <v>15</v>
      </c>
      <c r="X39">
        <v>12</v>
      </c>
      <c r="Y39" s="236">
        <v>10</v>
      </c>
      <c r="Z39" s="236">
        <v>26</v>
      </c>
      <c r="AA39" s="54">
        <v>90000</v>
      </c>
      <c r="AB39" s="35">
        <f>metas[[#This Row],[Meta Individual]]/10000</f>
        <v>0.44345000000000001</v>
      </c>
      <c r="AC39" s="35">
        <f>metas[[#This Row],[Meta Equipe]]/26000/3</f>
        <v>0.22444179487179486</v>
      </c>
    </row>
    <row r="40" spans="1:29" x14ac:dyDescent="0.25">
      <c r="M40" s="238" t="s">
        <v>194</v>
      </c>
      <c r="N40" s="52">
        <v>46023</v>
      </c>
      <c r="O40" s="32" t="s">
        <v>22</v>
      </c>
      <c r="P40" s="32"/>
      <c r="Q40" s="32">
        <v>10</v>
      </c>
      <c r="R40" s="32">
        <v>10</v>
      </c>
      <c r="S40" s="53">
        <v>10373.74</v>
      </c>
      <c r="T40" s="53">
        <v>17506.46</v>
      </c>
      <c r="U40" s="53">
        <v>97790.97</v>
      </c>
      <c r="V40" s="376">
        <v>150</v>
      </c>
      <c r="W40">
        <v>15</v>
      </c>
      <c r="X40">
        <v>12</v>
      </c>
      <c r="Y40" s="236">
        <v>10</v>
      </c>
      <c r="Z40" s="236">
        <v>26</v>
      </c>
      <c r="AA40" s="54">
        <v>90000</v>
      </c>
      <c r="AB40" s="35">
        <f>metas[[#This Row],[Meta Individual]]/10000</f>
        <v>1.037374</v>
      </c>
      <c r="AC40" s="35">
        <f>metas[[#This Row],[Meta Equipe]]/26000/3</f>
        <v>0.22444179487179486</v>
      </c>
    </row>
    <row r="41" spans="1:29" x14ac:dyDescent="0.25">
      <c r="A41" s="47" t="s">
        <v>195</v>
      </c>
      <c r="B41" s="47"/>
      <c r="C41" s="47"/>
      <c r="D41" s="47"/>
      <c r="E41" s="47"/>
      <c r="F41" s="47"/>
      <c r="G41" s="47"/>
      <c r="H41" s="47"/>
      <c r="I41" s="47"/>
      <c r="J41" s="47"/>
      <c r="K41" s="47"/>
      <c r="L41" s="47"/>
      <c r="M41" s="238">
        <v>2026</v>
      </c>
      <c r="N41" s="52">
        <v>46054</v>
      </c>
      <c r="O41" s="52" t="s">
        <v>31</v>
      </c>
      <c r="P41" s="52"/>
      <c r="Q41" s="32">
        <v>26</v>
      </c>
      <c r="R41" s="32">
        <v>31</v>
      </c>
      <c r="S41" s="53">
        <v>2413.6799999999998</v>
      </c>
      <c r="T41" s="53">
        <v>71696.53</v>
      </c>
      <c r="U41" s="54">
        <v>96796.800000000003</v>
      </c>
      <c r="V41" s="376">
        <v>150</v>
      </c>
      <c r="W41">
        <v>15</v>
      </c>
      <c r="X41">
        <v>12</v>
      </c>
      <c r="Y41" s="236">
        <v>6.5</v>
      </c>
      <c r="Z41" s="236">
        <v>26.5</v>
      </c>
      <c r="AA41" s="54">
        <v>90000</v>
      </c>
      <c r="AB41" s="35">
        <f>metas[[#This Row],[Meta Individual]]/6500</f>
        <v>0.37133538461538457</v>
      </c>
      <c r="AC41" s="35">
        <f>metas[[#This Row],[Meta Equipe]]/26500/3</f>
        <v>0.9018431446540881</v>
      </c>
    </row>
    <row r="42" spans="1:29" x14ac:dyDescent="0.25">
      <c r="A42" s="47" t="s">
        <v>183</v>
      </c>
      <c r="B42" s="47"/>
      <c r="C42" s="47"/>
      <c r="D42" s="47"/>
      <c r="E42" s="47"/>
      <c r="F42" s="47"/>
      <c r="G42" s="47"/>
      <c r="H42" s="47"/>
      <c r="I42" s="47"/>
      <c r="J42" s="47"/>
      <c r="K42" s="47"/>
      <c r="L42" s="47"/>
      <c r="M42" s="238">
        <v>2026</v>
      </c>
      <c r="N42" s="52">
        <v>46054</v>
      </c>
      <c r="O42" s="32" t="s">
        <v>44</v>
      </c>
      <c r="P42" s="32"/>
      <c r="Q42" s="32">
        <v>16</v>
      </c>
      <c r="R42" s="32">
        <v>13</v>
      </c>
      <c r="S42" s="53">
        <v>14107.5</v>
      </c>
      <c r="T42" s="53">
        <v>71696.53</v>
      </c>
      <c r="U42" s="54">
        <v>97230</v>
      </c>
      <c r="V42" s="376">
        <v>150</v>
      </c>
      <c r="W42">
        <v>15</v>
      </c>
      <c r="X42">
        <v>12</v>
      </c>
      <c r="Y42" s="236">
        <v>10</v>
      </c>
      <c r="Z42" s="236">
        <v>26.5</v>
      </c>
      <c r="AA42" s="54">
        <v>90000</v>
      </c>
      <c r="AB42" s="35">
        <f>metas[[#This Row],[Meta Individual]]/10000</f>
        <v>1.4107499999999999</v>
      </c>
      <c r="AC42" s="35">
        <f>metas[[#This Row],[Meta Equipe]]/26500/3</f>
        <v>0.9018431446540881</v>
      </c>
    </row>
    <row r="43" spans="1:29" x14ac:dyDescent="0.25">
      <c r="A43" s="47" t="s">
        <v>185</v>
      </c>
      <c r="B43" s="47"/>
      <c r="C43" s="47"/>
      <c r="D43" s="47"/>
      <c r="E43" s="47" t="s">
        <v>186</v>
      </c>
      <c r="F43" s="47"/>
      <c r="G43" s="47"/>
      <c r="H43" s="47"/>
      <c r="I43" s="47" t="s">
        <v>187</v>
      </c>
      <c r="J43" s="47"/>
      <c r="K43" s="47"/>
      <c r="L43" s="47"/>
      <c r="M43" s="238">
        <v>2026</v>
      </c>
      <c r="N43" s="52">
        <v>46054</v>
      </c>
      <c r="O43" s="32" t="s">
        <v>22</v>
      </c>
      <c r="P43" s="32"/>
      <c r="Q43" s="32">
        <v>15</v>
      </c>
      <c r="R43" s="32">
        <v>17</v>
      </c>
      <c r="S43" s="53">
        <v>55175.4</v>
      </c>
      <c r="T43" s="53">
        <v>71696.53</v>
      </c>
      <c r="U43" s="54">
        <v>367161.59999999998</v>
      </c>
      <c r="V43" s="376">
        <v>150</v>
      </c>
      <c r="W43">
        <v>15</v>
      </c>
      <c r="X43">
        <v>12</v>
      </c>
      <c r="Y43" s="236">
        <v>10</v>
      </c>
      <c r="Z43" s="236">
        <v>26.5</v>
      </c>
      <c r="AA43" s="54">
        <v>90000</v>
      </c>
      <c r="AB43" s="35">
        <f>metas[[#This Row],[Meta Individual]]/10000</f>
        <v>5.5175400000000003</v>
      </c>
      <c r="AC43" s="35">
        <f>metas[[#This Row],[Meta Equipe]]/26500/3</f>
        <v>0.9018431446540881</v>
      </c>
    </row>
    <row r="44" spans="1:29" x14ac:dyDescent="0.25">
      <c r="B44" t="s">
        <v>156</v>
      </c>
      <c r="C44" t="s">
        <v>188</v>
      </c>
      <c r="D44" t="s">
        <v>158</v>
      </c>
      <c r="F44" t="s">
        <v>156</v>
      </c>
      <c r="G44" t="s">
        <v>188</v>
      </c>
      <c r="H44" t="s">
        <v>158</v>
      </c>
      <c r="J44" t="s">
        <v>156</v>
      </c>
      <c r="K44" t="s">
        <v>188</v>
      </c>
      <c r="L44" t="s">
        <v>158</v>
      </c>
      <c r="M44" s="238">
        <v>2026</v>
      </c>
      <c r="N44" s="52">
        <v>46082</v>
      </c>
      <c r="O44" s="52" t="s">
        <v>31</v>
      </c>
      <c r="P44" s="52"/>
      <c r="Q44" s="32">
        <v>21</v>
      </c>
      <c r="R44" s="32">
        <v>16</v>
      </c>
      <c r="S44" s="53">
        <v>6425.28</v>
      </c>
      <c r="T44" s="53">
        <v>23015.18</v>
      </c>
      <c r="U44" s="53">
        <v>72913.240000000005</v>
      </c>
      <c r="V44" s="376">
        <v>150</v>
      </c>
      <c r="W44">
        <v>15</v>
      </c>
      <c r="X44">
        <v>12</v>
      </c>
      <c r="Y44" s="236">
        <v>7</v>
      </c>
      <c r="Z44" s="236">
        <v>27</v>
      </c>
      <c r="AA44" s="54">
        <v>90000</v>
      </c>
      <c r="AB44" s="35">
        <f>metas[[#This Row],[Meta Individual]]/7000</f>
        <v>0.91789714285714286</v>
      </c>
      <c r="AC44" s="35">
        <f>metas[[#This Row],[Meta Equipe]]/27000/3</f>
        <v>0.28413802469135802</v>
      </c>
    </row>
    <row r="45" spans="1:29" x14ac:dyDescent="0.25">
      <c r="A45" t="s">
        <v>189</v>
      </c>
      <c r="B45">
        <v>15</v>
      </c>
      <c r="C45">
        <v>23</v>
      </c>
      <c r="D45">
        <v>1.533333333333333</v>
      </c>
      <c r="E45" t="s">
        <v>189</v>
      </c>
      <c r="F45">
        <v>15</v>
      </c>
      <c r="G45">
        <v>17</v>
      </c>
      <c r="H45">
        <v>1.1333333333333331</v>
      </c>
      <c r="I45" t="s">
        <v>189</v>
      </c>
      <c r="J45">
        <v>15</v>
      </c>
      <c r="K45">
        <v>2</v>
      </c>
      <c r="L45">
        <v>0.1333333333333333</v>
      </c>
      <c r="M45" s="238">
        <v>2026</v>
      </c>
      <c r="N45" s="52">
        <v>46082</v>
      </c>
      <c r="O45" s="32" t="s">
        <v>44</v>
      </c>
      <c r="P45" s="32"/>
      <c r="Q45" s="32">
        <v>18</v>
      </c>
      <c r="R45" s="32">
        <v>16</v>
      </c>
      <c r="S45" s="53">
        <v>16288.54</v>
      </c>
      <c r="T45" s="53">
        <v>23015.18</v>
      </c>
      <c r="U45" s="53">
        <v>99854.09</v>
      </c>
      <c r="V45" s="376">
        <v>150</v>
      </c>
      <c r="W45">
        <v>15</v>
      </c>
      <c r="X45">
        <v>12</v>
      </c>
      <c r="Y45" s="236">
        <v>10</v>
      </c>
      <c r="Z45" s="236">
        <v>27</v>
      </c>
      <c r="AA45" s="54">
        <v>90000</v>
      </c>
      <c r="AB45" s="35">
        <f>metas[[#This Row],[Meta Individual]]/10000</f>
        <v>1.628854</v>
      </c>
      <c r="AC45" s="35">
        <f>metas[[#This Row],[Meta Equipe]]/27000/3</f>
        <v>0.28413802469135802</v>
      </c>
    </row>
    <row r="46" spans="1:29" x14ac:dyDescent="0.25">
      <c r="A46" t="s">
        <v>190</v>
      </c>
      <c r="B46">
        <v>12</v>
      </c>
      <c r="C46">
        <v>20</v>
      </c>
      <c r="D46">
        <v>1.666666666666667</v>
      </c>
      <c r="E46" t="s">
        <v>190</v>
      </c>
      <c r="F46">
        <v>12</v>
      </c>
      <c r="G46">
        <v>14</v>
      </c>
      <c r="H46">
        <v>1.166666666666667</v>
      </c>
      <c r="I46" t="s">
        <v>190</v>
      </c>
      <c r="J46">
        <v>12</v>
      </c>
      <c r="K46">
        <v>1</v>
      </c>
      <c r="L46">
        <v>8.3333333333333329E-2</v>
      </c>
      <c r="M46" s="238">
        <v>2026</v>
      </c>
      <c r="N46" s="52">
        <v>46082</v>
      </c>
      <c r="O46" s="32" t="s">
        <v>22</v>
      </c>
      <c r="P46" s="32"/>
      <c r="Q46" s="32">
        <v>7</v>
      </c>
      <c r="R46" s="32">
        <v>6</v>
      </c>
      <c r="S46" s="53">
        <v>301.26</v>
      </c>
      <c r="T46" s="53">
        <v>23015.18</v>
      </c>
      <c r="U46" s="53">
        <v>7400</v>
      </c>
      <c r="V46" s="376">
        <v>150</v>
      </c>
      <c r="W46">
        <v>15</v>
      </c>
      <c r="X46">
        <v>12</v>
      </c>
      <c r="Y46" s="236">
        <v>10</v>
      </c>
      <c r="Z46" s="236">
        <v>27</v>
      </c>
      <c r="AA46" s="54">
        <v>90000</v>
      </c>
      <c r="AB46" s="35">
        <f>metas[[#This Row],[Meta Individual]]/10000</f>
        <v>3.0126E-2</v>
      </c>
      <c r="AC46" s="35">
        <f>metas[[#This Row],[Meta Equipe]]/27000/3</f>
        <v>0.28413802469135802</v>
      </c>
    </row>
    <row r="47" spans="1:29" x14ac:dyDescent="0.25">
      <c r="A47" s="47"/>
      <c r="B47" s="47" t="s">
        <v>156</v>
      </c>
      <c r="C47" s="47" t="s">
        <v>188</v>
      </c>
      <c r="D47" s="47" t="s">
        <v>158</v>
      </c>
      <c r="E47" s="47"/>
      <c r="F47" s="47" t="s">
        <v>156</v>
      </c>
      <c r="G47" s="47" t="s">
        <v>188</v>
      </c>
      <c r="H47" s="47" t="s">
        <v>158</v>
      </c>
      <c r="I47" s="47"/>
      <c r="J47" s="47" t="s">
        <v>156</v>
      </c>
      <c r="K47" s="47" t="s">
        <v>188</v>
      </c>
      <c r="L47" s="47" t="s">
        <v>158</v>
      </c>
      <c r="M47" s="238">
        <v>2026</v>
      </c>
      <c r="N47" s="52">
        <v>46113</v>
      </c>
      <c r="O47" s="52" t="s">
        <v>31</v>
      </c>
      <c r="P47" s="52"/>
      <c r="Q47" s="32">
        <v>9</v>
      </c>
      <c r="R47" s="32">
        <v>13</v>
      </c>
      <c r="S47" s="53">
        <v>2691.36</v>
      </c>
      <c r="T47" s="53">
        <v>15596.61</v>
      </c>
      <c r="U47" s="53">
        <v>55648</v>
      </c>
      <c r="V47" s="376">
        <v>150</v>
      </c>
      <c r="W47">
        <v>15</v>
      </c>
      <c r="X47">
        <v>12</v>
      </c>
      <c r="Y47" s="236">
        <v>7.5</v>
      </c>
      <c r="Z47" s="236">
        <v>27.5</v>
      </c>
      <c r="AA47" s="54">
        <v>90000</v>
      </c>
      <c r="AB47" s="378">
        <f>S47/7500</f>
        <v>0.358848</v>
      </c>
      <c r="AC47" s="378">
        <f>T47/27500/3</f>
        <v>0.18904981818181818</v>
      </c>
    </row>
    <row r="48" spans="1:29" x14ac:dyDescent="0.25">
      <c r="A48" t="s">
        <v>189</v>
      </c>
      <c r="B48">
        <v>15</v>
      </c>
      <c r="C48">
        <v>23</v>
      </c>
      <c r="D48">
        <v>1.533333333333333</v>
      </c>
      <c r="E48" t="s">
        <v>189</v>
      </c>
      <c r="F48">
        <v>15</v>
      </c>
      <c r="G48">
        <v>17</v>
      </c>
      <c r="H48">
        <v>1.1333333333333331</v>
      </c>
      <c r="I48" t="s">
        <v>189</v>
      </c>
      <c r="J48">
        <v>15</v>
      </c>
      <c r="K48">
        <v>2</v>
      </c>
      <c r="L48">
        <v>0.1333333333333333</v>
      </c>
      <c r="M48" s="238">
        <v>2026</v>
      </c>
      <c r="N48" s="52">
        <v>46113</v>
      </c>
      <c r="O48" s="32" t="s">
        <v>44</v>
      </c>
      <c r="P48" s="32"/>
      <c r="Q48" s="32">
        <v>7</v>
      </c>
      <c r="R48" s="32">
        <v>7</v>
      </c>
      <c r="S48" s="53">
        <v>5224.6499999999996</v>
      </c>
      <c r="T48" s="53">
        <v>15596.61</v>
      </c>
      <c r="U48" s="53">
        <v>45200</v>
      </c>
      <c r="V48" s="376">
        <v>150</v>
      </c>
      <c r="W48">
        <v>15</v>
      </c>
      <c r="X48">
        <v>12</v>
      </c>
      <c r="Y48" s="236">
        <v>10</v>
      </c>
      <c r="Z48" s="236">
        <v>27.5</v>
      </c>
      <c r="AA48" s="54">
        <v>90000</v>
      </c>
      <c r="AB48" s="378">
        <f>S48/10000</f>
        <v>0.52246499999999996</v>
      </c>
      <c r="AC48" s="378">
        <f>T48/27500/3</f>
        <v>0.18904981818181818</v>
      </c>
    </row>
    <row r="49" spans="1:29" x14ac:dyDescent="0.25">
      <c r="A49" t="s">
        <v>190</v>
      </c>
      <c r="B49">
        <v>12</v>
      </c>
      <c r="C49">
        <v>20</v>
      </c>
      <c r="D49">
        <v>1.666666666666667</v>
      </c>
      <c r="E49" t="s">
        <v>190</v>
      </c>
      <c r="F49">
        <v>12</v>
      </c>
      <c r="G49">
        <v>14</v>
      </c>
      <c r="H49">
        <v>1.166666666666667</v>
      </c>
      <c r="I49" t="s">
        <v>190</v>
      </c>
      <c r="J49">
        <v>12</v>
      </c>
      <c r="K49">
        <v>1</v>
      </c>
      <c r="L49">
        <v>8.3333333333333329E-2</v>
      </c>
      <c r="M49" s="238">
        <v>2026</v>
      </c>
      <c r="N49" s="52">
        <v>46113</v>
      </c>
      <c r="O49" s="32" t="s">
        <v>22</v>
      </c>
      <c r="P49" s="32"/>
      <c r="Q49" s="32">
        <v>2</v>
      </c>
      <c r="R49" s="32">
        <v>2</v>
      </c>
      <c r="S49" s="53">
        <v>7680.6</v>
      </c>
      <c r="T49" s="53">
        <v>15596.61</v>
      </c>
      <c r="U49" s="53">
        <v>38800.639999999999</v>
      </c>
      <c r="V49" s="376">
        <v>150</v>
      </c>
      <c r="W49">
        <v>15</v>
      </c>
      <c r="X49">
        <v>12</v>
      </c>
      <c r="Y49" s="236">
        <v>10</v>
      </c>
      <c r="Z49" s="236">
        <v>27.5</v>
      </c>
      <c r="AA49" s="54">
        <v>90000</v>
      </c>
      <c r="AB49" s="378">
        <f>S49/10000</f>
        <v>0.76806000000000008</v>
      </c>
      <c r="AC49" s="378">
        <f>T49/27500/3</f>
        <v>0.18904981818181818</v>
      </c>
    </row>
    <row r="50" spans="1:29" x14ac:dyDescent="0.25">
      <c r="M50" s="238">
        <v>2026</v>
      </c>
      <c r="N50" s="52">
        <v>46143</v>
      </c>
      <c r="O50" s="52" t="s">
        <v>31</v>
      </c>
      <c r="P50" s="52"/>
      <c r="Q50" s="32">
        <v>16</v>
      </c>
      <c r="R50" s="32">
        <v>15</v>
      </c>
      <c r="S50" s="53">
        <v>1254.53</v>
      </c>
      <c r="T50" s="53">
        <v>11164.25</v>
      </c>
      <c r="U50" s="53">
        <v>94263.71</v>
      </c>
      <c r="V50" s="376">
        <v>150</v>
      </c>
      <c r="W50">
        <v>15</v>
      </c>
      <c r="X50">
        <v>12</v>
      </c>
      <c r="Y50" s="236">
        <v>8</v>
      </c>
      <c r="Z50" s="236">
        <v>34</v>
      </c>
      <c r="AA50" s="54">
        <v>90000</v>
      </c>
      <c r="AB50" s="35">
        <f>metas[[#This Row],[Meta Individual]]/8000</f>
        <v>0.15681624999999999</v>
      </c>
      <c r="AC50" s="35">
        <f>metas[[#This Row],[Meta Equipe]]/34000/4</f>
        <v>8.2090073529411764E-2</v>
      </c>
    </row>
    <row r="51" spans="1:29" x14ac:dyDescent="0.25">
      <c r="A51" s="47" t="s">
        <v>196</v>
      </c>
      <c r="B51" s="47"/>
      <c r="C51" s="47"/>
      <c r="D51" s="47"/>
      <c r="E51" s="47"/>
      <c r="F51" s="47"/>
      <c r="G51" s="47"/>
      <c r="H51" s="47"/>
      <c r="I51" s="47"/>
      <c r="J51" s="47"/>
      <c r="K51" s="47"/>
      <c r="L51" s="47"/>
      <c r="M51" s="238">
        <v>2026</v>
      </c>
      <c r="N51" s="52">
        <v>46143</v>
      </c>
      <c r="O51" s="32" t="s">
        <v>44</v>
      </c>
      <c r="P51" s="32"/>
      <c r="Q51" s="32">
        <v>18</v>
      </c>
      <c r="R51" s="32">
        <v>19</v>
      </c>
      <c r="S51" s="53">
        <v>7194.36</v>
      </c>
      <c r="T51" s="53">
        <v>11164.25</v>
      </c>
      <c r="U51" s="53">
        <v>129305.78</v>
      </c>
      <c r="V51" s="376">
        <v>150</v>
      </c>
      <c r="W51">
        <v>15</v>
      </c>
      <c r="X51">
        <v>12</v>
      </c>
      <c r="Y51" s="236">
        <v>10</v>
      </c>
      <c r="Z51" s="236">
        <v>34</v>
      </c>
      <c r="AA51" s="54">
        <v>90000</v>
      </c>
      <c r="AB51" s="35">
        <f>metas[[#This Row],[Meta Individual]]/10000</f>
        <v>0.71943599999999996</v>
      </c>
      <c r="AC51" s="35">
        <f>metas[[#This Row],[Meta Equipe]]/34000/4</f>
        <v>8.2090073529411764E-2</v>
      </c>
    </row>
    <row r="52" spans="1:29" x14ac:dyDescent="0.25">
      <c r="A52" s="47" t="s">
        <v>183</v>
      </c>
      <c r="B52" s="47"/>
      <c r="C52" s="47"/>
      <c r="D52" s="47"/>
      <c r="E52" s="47"/>
      <c r="F52" s="47"/>
      <c r="G52" s="47"/>
      <c r="H52" s="47"/>
      <c r="I52" s="47"/>
      <c r="J52" s="47"/>
      <c r="K52" s="47"/>
      <c r="L52" s="47"/>
      <c r="M52" s="238">
        <v>2026</v>
      </c>
      <c r="N52" s="52">
        <v>46143</v>
      </c>
      <c r="O52" s="32" t="s">
        <v>22</v>
      </c>
      <c r="P52" s="32"/>
      <c r="Q52" s="32">
        <v>2</v>
      </c>
      <c r="R52" s="32">
        <v>1</v>
      </c>
      <c r="S52" s="53">
        <v>2715.36</v>
      </c>
      <c r="T52" s="53">
        <v>11164.25</v>
      </c>
      <c r="U52" s="53">
        <v>0</v>
      </c>
      <c r="V52" s="376">
        <v>150</v>
      </c>
      <c r="W52">
        <v>15</v>
      </c>
      <c r="X52">
        <v>12</v>
      </c>
      <c r="Y52" s="236">
        <v>10</v>
      </c>
      <c r="Z52" s="236">
        <v>34</v>
      </c>
      <c r="AA52" s="54">
        <v>90000</v>
      </c>
      <c r="AB52" s="35">
        <f>metas[[#This Row],[Meta Individual]]/10000</f>
        <v>0.271536</v>
      </c>
      <c r="AC52" s="35">
        <f>metas[[#This Row],[Meta Equipe]]/34000/4</f>
        <v>8.2090073529411764E-2</v>
      </c>
    </row>
    <row r="53" spans="1:29" x14ac:dyDescent="0.25">
      <c r="A53" s="47" t="s">
        <v>185</v>
      </c>
      <c r="B53" s="47"/>
      <c r="C53" s="47"/>
      <c r="D53" s="47"/>
      <c r="E53" s="47" t="s">
        <v>186</v>
      </c>
      <c r="F53" s="47"/>
      <c r="G53" s="47"/>
      <c r="H53" s="47"/>
      <c r="I53" s="47" t="s">
        <v>187</v>
      </c>
      <c r="J53" s="47"/>
      <c r="K53" s="47"/>
      <c r="L53" s="47"/>
      <c r="M53" s="238">
        <v>2026</v>
      </c>
      <c r="N53" s="52">
        <v>46143</v>
      </c>
      <c r="O53" t="s">
        <v>142</v>
      </c>
      <c r="Q53" s="32">
        <v>2</v>
      </c>
      <c r="R53" s="32">
        <v>4</v>
      </c>
      <c r="S53" s="53">
        <v>0</v>
      </c>
      <c r="T53" s="53">
        <v>11164.25</v>
      </c>
      <c r="U53" s="53">
        <v>0</v>
      </c>
      <c r="V53" s="376">
        <v>150</v>
      </c>
      <c r="W53">
        <v>15</v>
      </c>
      <c r="X53">
        <v>12</v>
      </c>
      <c r="Y53" s="236">
        <v>6</v>
      </c>
      <c r="Z53" s="236">
        <v>34</v>
      </c>
      <c r="AA53" s="54">
        <v>54000</v>
      </c>
      <c r="AB53" s="35">
        <f>metas[[#This Row],[Meta Individual]]/6000</f>
        <v>0</v>
      </c>
      <c r="AC53" s="35">
        <f>metas[[#This Row],[Meta Equipe]]/34000/4</f>
        <v>8.2090073529411764E-2</v>
      </c>
    </row>
    <row r="54" spans="1:29" x14ac:dyDescent="0.25">
      <c r="A54" s="47"/>
      <c r="B54" s="47" t="s">
        <v>156</v>
      </c>
      <c r="C54" s="47" t="s">
        <v>188</v>
      </c>
      <c r="D54" s="47" t="s">
        <v>158</v>
      </c>
      <c r="E54" s="47"/>
      <c r="F54" s="47" t="s">
        <v>156</v>
      </c>
      <c r="G54" s="47" t="s">
        <v>188</v>
      </c>
      <c r="H54" s="47" t="s">
        <v>158</v>
      </c>
      <c r="I54" s="47"/>
      <c r="J54" s="47" t="s">
        <v>156</v>
      </c>
      <c r="K54" s="47" t="s">
        <v>188</v>
      </c>
      <c r="L54" s="47" t="s">
        <v>158</v>
      </c>
      <c r="M54" s="238">
        <v>2026</v>
      </c>
      <c r="N54" s="52">
        <v>46174</v>
      </c>
      <c r="O54" s="52" t="s">
        <v>31</v>
      </c>
      <c r="P54" s="32"/>
      <c r="Q54" s="377">
        <v>18</v>
      </c>
      <c r="R54" s="377">
        <v>15</v>
      </c>
      <c r="S54" s="53">
        <v>1638.14</v>
      </c>
      <c r="T54" s="53">
        <v>24028.3</v>
      </c>
      <c r="U54" s="53">
        <v>37716</v>
      </c>
      <c r="V54" s="376">
        <v>150</v>
      </c>
      <c r="W54">
        <v>15</v>
      </c>
      <c r="X54">
        <v>12</v>
      </c>
      <c r="Y54" s="236">
        <v>8.5</v>
      </c>
      <c r="Z54" s="236">
        <v>35</v>
      </c>
      <c r="AA54" s="54">
        <v>90000</v>
      </c>
      <c r="AB54" s="35">
        <f>metas[[#This Row],[Meta Individual]]/8500</f>
        <v>0.19272235294117648</v>
      </c>
      <c r="AC54" s="35">
        <f>metas[[#This Row],[Meta Equipe]]/35000/4</f>
        <v>0.17163071428571428</v>
      </c>
    </row>
    <row r="55" spans="1:29" x14ac:dyDescent="0.25">
      <c r="A55" t="s">
        <v>189</v>
      </c>
      <c r="B55">
        <v>15</v>
      </c>
      <c r="C55">
        <v>25</v>
      </c>
      <c r="D55">
        <v>1.666666666666667</v>
      </c>
      <c r="E55" t="s">
        <v>189</v>
      </c>
      <c r="F55">
        <v>15</v>
      </c>
      <c r="G55">
        <v>18</v>
      </c>
      <c r="H55">
        <v>1.2</v>
      </c>
      <c r="I55" t="s">
        <v>189</v>
      </c>
      <c r="J55">
        <v>15</v>
      </c>
      <c r="K55">
        <v>3</v>
      </c>
      <c r="L55">
        <v>0.2</v>
      </c>
      <c r="M55" s="238">
        <v>2026</v>
      </c>
      <c r="N55" s="52">
        <v>46174</v>
      </c>
      <c r="O55" s="32" t="s">
        <v>44</v>
      </c>
      <c r="P55" s="32"/>
      <c r="Q55" s="377">
        <v>16</v>
      </c>
      <c r="R55" s="377">
        <v>17</v>
      </c>
      <c r="S55" s="53">
        <v>14728</v>
      </c>
      <c r="T55" s="53">
        <v>24028.3</v>
      </c>
      <c r="U55" s="53">
        <v>49343.12</v>
      </c>
      <c r="V55" s="376">
        <v>150</v>
      </c>
      <c r="W55">
        <v>15</v>
      </c>
      <c r="X55">
        <v>12</v>
      </c>
      <c r="Y55" s="236">
        <v>10</v>
      </c>
      <c r="Z55" s="236">
        <v>35</v>
      </c>
      <c r="AA55" s="54">
        <v>90000</v>
      </c>
      <c r="AB55" s="35">
        <f>metas[[#This Row],[Meta Individual]]/10000</f>
        <v>1.4728000000000001</v>
      </c>
      <c r="AC55" s="35">
        <f>metas[[#This Row],[Meta Equipe]]/35000/4</f>
        <v>0.17163071428571428</v>
      </c>
    </row>
    <row r="56" spans="1:29" x14ac:dyDescent="0.25">
      <c r="A56" t="s">
        <v>190</v>
      </c>
      <c r="B56">
        <v>12</v>
      </c>
      <c r="C56">
        <v>19</v>
      </c>
      <c r="D56">
        <v>1.583333333333333</v>
      </c>
      <c r="E56" t="s">
        <v>190</v>
      </c>
      <c r="F56">
        <v>12</v>
      </c>
      <c r="G56">
        <v>13</v>
      </c>
      <c r="H56">
        <v>1.083333333333333</v>
      </c>
      <c r="I56" t="s">
        <v>190</v>
      </c>
      <c r="J56">
        <v>12</v>
      </c>
      <c r="K56">
        <v>1</v>
      </c>
      <c r="L56">
        <v>8.3333333333333329E-2</v>
      </c>
      <c r="M56" s="238">
        <v>2026</v>
      </c>
      <c r="N56" s="52">
        <v>46174</v>
      </c>
      <c r="O56" s="32" t="s">
        <v>22</v>
      </c>
      <c r="P56" s="32"/>
      <c r="Q56" s="377">
        <v>0</v>
      </c>
      <c r="R56" s="377">
        <v>0</v>
      </c>
      <c r="S56" s="53">
        <v>0</v>
      </c>
      <c r="T56" s="53">
        <v>24028.3</v>
      </c>
      <c r="U56" s="53">
        <v>0</v>
      </c>
      <c r="V56" s="376">
        <v>150</v>
      </c>
      <c r="W56">
        <v>15</v>
      </c>
      <c r="X56">
        <v>12</v>
      </c>
      <c r="Y56" s="236">
        <v>10</v>
      </c>
      <c r="Z56" s="236">
        <v>35</v>
      </c>
      <c r="AA56" s="54">
        <v>90000</v>
      </c>
      <c r="AB56" s="35">
        <f>metas[[#This Row],[Meta Individual]]/10000</f>
        <v>0</v>
      </c>
      <c r="AC56" s="35">
        <f>metas[[#This Row],[Meta Equipe]]/35000/4</f>
        <v>0.17163071428571428</v>
      </c>
    </row>
    <row r="57" spans="1:29" x14ac:dyDescent="0.25">
      <c r="A57" t="s">
        <v>173</v>
      </c>
      <c r="B57">
        <v>10000</v>
      </c>
      <c r="C57">
        <v>4260.96</v>
      </c>
      <c r="D57">
        <v>0.42609599999999997</v>
      </c>
      <c r="E57" t="s">
        <v>173</v>
      </c>
      <c r="F57">
        <v>10000</v>
      </c>
      <c r="G57">
        <v>4579.8</v>
      </c>
      <c r="H57">
        <v>0.45798</v>
      </c>
      <c r="I57" t="s">
        <v>173</v>
      </c>
      <c r="J57">
        <v>10000</v>
      </c>
      <c r="K57">
        <v>21435.01</v>
      </c>
      <c r="L57">
        <v>2.1435010000000001</v>
      </c>
      <c r="M57" s="238">
        <v>2026</v>
      </c>
      <c r="N57" s="52">
        <v>46174</v>
      </c>
      <c r="O57" t="s">
        <v>142</v>
      </c>
      <c r="P57" s="32"/>
      <c r="Q57" s="377">
        <v>3</v>
      </c>
      <c r="R57" s="377">
        <v>8</v>
      </c>
      <c r="S57" s="53">
        <v>7662.16</v>
      </c>
      <c r="T57" s="53">
        <v>24028.3</v>
      </c>
      <c r="U57" s="53">
        <v>82160</v>
      </c>
      <c r="V57" s="376">
        <v>150</v>
      </c>
      <c r="W57">
        <v>15</v>
      </c>
      <c r="X57">
        <v>12</v>
      </c>
      <c r="Y57" s="236">
        <v>6.5</v>
      </c>
      <c r="Z57" s="236">
        <v>35</v>
      </c>
      <c r="AA57" s="54">
        <v>58500</v>
      </c>
      <c r="AB57" s="35">
        <f>metas[[#This Row],[Meta Individual]]/6500</f>
        <v>1.1787938461538461</v>
      </c>
      <c r="AC57" s="35">
        <f>metas[[#This Row],[Meta Equipe]]/35000/4</f>
        <v>0.17163071428571428</v>
      </c>
    </row>
    <row r="58" spans="1:29" x14ac:dyDescent="0.25">
      <c r="A58" t="s">
        <v>166</v>
      </c>
      <c r="B58">
        <v>30000</v>
      </c>
      <c r="C58">
        <v>30275.77</v>
      </c>
      <c r="D58">
        <v>1.009192333333333</v>
      </c>
      <c r="E58" t="s">
        <v>166</v>
      </c>
      <c r="F58">
        <v>30000</v>
      </c>
      <c r="G58">
        <v>30275.77</v>
      </c>
      <c r="H58">
        <v>1.009192333333333</v>
      </c>
      <c r="I58" t="s">
        <v>166</v>
      </c>
      <c r="J58">
        <v>30000</v>
      </c>
      <c r="K58">
        <v>30275.77</v>
      </c>
      <c r="L58">
        <v>1.009192333333333</v>
      </c>
      <c r="M58" s="238">
        <v>2026</v>
      </c>
      <c r="N58" s="52">
        <v>46204</v>
      </c>
      <c r="O58" s="52" t="s">
        <v>31</v>
      </c>
      <c r="P58" s="32"/>
      <c r="Q58" s="32">
        <v>0</v>
      </c>
      <c r="R58" s="32">
        <v>0</v>
      </c>
      <c r="S58" s="53">
        <f>'Metas Quadro'!C9</f>
        <v>0</v>
      </c>
      <c r="T58" s="53">
        <f>'Metas Quadro'!C29</f>
        <v>0</v>
      </c>
      <c r="U58" s="53">
        <f>'Metas Quadro'!C8</f>
        <v>0</v>
      </c>
      <c r="V58" s="376">
        <v>150</v>
      </c>
      <c r="W58">
        <v>15</v>
      </c>
      <c r="X58">
        <v>12</v>
      </c>
      <c r="Y58" s="236">
        <v>9</v>
      </c>
      <c r="Z58" s="236">
        <v>36</v>
      </c>
      <c r="AA58" s="54">
        <v>90000</v>
      </c>
      <c r="AB58" s="421">
        <f>metas[[#This Row],[Meta Individual]]/9000</f>
        <v>0</v>
      </c>
      <c r="AC58" s="421">
        <f>metas[[#This Row],[Meta Equipe]]/36000/4</f>
        <v>0</v>
      </c>
    </row>
    <row r="59" spans="1:29" x14ac:dyDescent="0.25">
      <c r="A59" t="s">
        <v>174</v>
      </c>
      <c r="B59">
        <v>90000</v>
      </c>
      <c r="C59">
        <v>85918.58</v>
      </c>
      <c r="D59">
        <v>0.95465088888888894</v>
      </c>
      <c r="E59" t="s">
        <v>174</v>
      </c>
      <c r="F59">
        <v>90000</v>
      </c>
      <c r="G59">
        <v>33826.339999999997</v>
      </c>
      <c r="H59">
        <v>0.37584822222222219</v>
      </c>
      <c r="I59" t="s">
        <v>174</v>
      </c>
      <c r="J59">
        <v>90000</v>
      </c>
      <c r="K59">
        <v>211246</v>
      </c>
      <c r="L59">
        <v>2.347177777777778</v>
      </c>
      <c r="M59" s="238">
        <v>2026</v>
      </c>
      <c r="N59" s="52">
        <v>46204</v>
      </c>
      <c r="O59" s="32" t="s">
        <v>44</v>
      </c>
      <c r="P59" s="32"/>
      <c r="Q59" s="32">
        <v>0</v>
      </c>
      <c r="R59" s="32">
        <v>0</v>
      </c>
      <c r="S59" s="53">
        <f>'Metas Quadro'!C5</f>
        <v>0</v>
      </c>
      <c r="T59" s="53">
        <f>T58</f>
        <v>0</v>
      </c>
      <c r="U59" s="53">
        <f>'Metas Quadro'!C4</f>
        <v>0</v>
      </c>
      <c r="V59" s="376">
        <v>150</v>
      </c>
      <c r="W59">
        <v>15</v>
      </c>
      <c r="X59">
        <v>12</v>
      </c>
      <c r="Y59" s="236">
        <v>10</v>
      </c>
      <c r="Z59" s="236">
        <v>36</v>
      </c>
      <c r="AA59" s="54">
        <v>90000</v>
      </c>
      <c r="AB59" s="421">
        <f>metas[[#This Row],[Meta Individual]]/10000</f>
        <v>0</v>
      </c>
      <c r="AC59" s="421">
        <f>metas[[#This Row],[Meta Equipe]]/36000/4</f>
        <v>0</v>
      </c>
    </row>
    <row r="60" spans="1:29" x14ac:dyDescent="0.25">
      <c r="M60" s="238">
        <v>2026</v>
      </c>
      <c r="N60" s="52">
        <v>46204</v>
      </c>
      <c r="O60" s="32" t="s">
        <v>22</v>
      </c>
      <c r="P60" s="32"/>
      <c r="Q60" s="32">
        <v>0</v>
      </c>
      <c r="R60" s="32">
        <v>0</v>
      </c>
      <c r="S60" s="53">
        <f>'Metas Quadro'!C14</f>
        <v>0</v>
      </c>
      <c r="T60" s="53">
        <f>T59</f>
        <v>0</v>
      </c>
      <c r="U60" s="53">
        <f>'Metas Quadro'!C13</f>
        <v>0</v>
      </c>
      <c r="V60" s="376">
        <v>150</v>
      </c>
      <c r="W60">
        <v>15</v>
      </c>
      <c r="X60">
        <v>12</v>
      </c>
      <c r="Y60" s="236">
        <v>10</v>
      </c>
      <c r="Z60" s="236">
        <v>36</v>
      </c>
      <c r="AA60" s="54">
        <v>90000</v>
      </c>
      <c r="AB60" s="421">
        <f>metas[[#This Row],[Meta Individual]]/1000</f>
        <v>0</v>
      </c>
      <c r="AC60" s="421">
        <f>metas[[#This Row],[Meta Equipe]]/36000/4</f>
        <v>0</v>
      </c>
    </row>
    <row r="61" spans="1:29" x14ac:dyDescent="0.25">
      <c r="A61" s="47" t="s">
        <v>197</v>
      </c>
      <c r="B61" s="47"/>
      <c r="C61" s="47"/>
      <c r="D61" s="47"/>
      <c r="E61" s="47"/>
      <c r="F61" s="47"/>
      <c r="G61" s="47"/>
      <c r="H61" s="47"/>
      <c r="I61" s="47"/>
      <c r="J61" s="47"/>
      <c r="K61" s="47"/>
      <c r="L61" s="47"/>
      <c r="M61" s="238">
        <v>2026</v>
      </c>
      <c r="N61" s="52">
        <v>46204</v>
      </c>
      <c r="O61" t="s">
        <v>142</v>
      </c>
      <c r="P61" s="32"/>
      <c r="Q61" s="32">
        <v>1</v>
      </c>
      <c r="R61" s="32">
        <v>1</v>
      </c>
      <c r="S61" s="53">
        <f>'Metas Quadro'!C18</f>
        <v>0</v>
      </c>
      <c r="T61" s="53">
        <f>T60</f>
        <v>0</v>
      </c>
      <c r="U61" s="53">
        <f>'Metas Quadro'!C17</f>
        <v>0</v>
      </c>
      <c r="V61" s="376">
        <v>150</v>
      </c>
      <c r="W61">
        <v>15</v>
      </c>
      <c r="X61">
        <v>12</v>
      </c>
      <c r="Y61" s="236">
        <v>7</v>
      </c>
      <c r="Z61" s="236">
        <v>36</v>
      </c>
      <c r="AA61" s="54">
        <v>63000</v>
      </c>
      <c r="AB61" s="421">
        <f>metas[[#This Row],[Meta Individual]]/7000</f>
        <v>0</v>
      </c>
      <c r="AC61" s="421">
        <f>metas[[#This Row],[Meta Equipe]]/36000/4</f>
        <v>0</v>
      </c>
    </row>
    <row r="62" spans="1:29" x14ac:dyDescent="0.25">
      <c r="A62" s="47" t="s">
        <v>183</v>
      </c>
      <c r="B62" s="47"/>
      <c r="C62" s="47"/>
      <c r="D62" s="47"/>
      <c r="E62" s="47"/>
      <c r="F62" s="47"/>
      <c r="G62" s="47"/>
      <c r="H62" s="47"/>
      <c r="I62" s="47"/>
      <c r="J62" s="47"/>
      <c r="K62" s="47"/>
      <c r="L62" s="47"/>
    </row>
    <row r="63" spans="1:29" x14ac:dyDescent="0.25">
      <c r="A63" s="47" t="s">
        <v>185</v>
      </c>
      <c r="B63" s="47"/>
      <c r="C63" s="47"/>
      <c r="D63" s="47"/>
      <c r="E63" s="47" t="s">
        <v>186</v>
      </c>
      <c r="F63" s="47"/>
      <c r="G63" s="47"/>
      <c r="H63" s="47"/>
      <c r="I63" s="47" t="s">
        <v>187</v>
      </c>
      <c r="J63" s="47"/>
      <c r="K63" s="47"/>
      <c r="L63" s="47"/>
    </row>
    <row r="64" spans="1:29" x14ac:dyDescent="0.25">
      <c r="A64" s="47"/>
      <c r="B64" s="47" t="s">
        <v>156</v>
      </c>
      <c r="C64" s="47" t="s">
        <v>188</v>
      </c>
      <c r="D64" s="47" t="s">
        <v>158</v>
      </c>
      <c r="E64" s="47"/>
      <c r="F64" s="47" t="s">
        <v>156</v>
      </c>
      <c r="G64" s="47" t="s">
        <v>188</v>
      </c>
      <c r="H64" s="47" t="s">
        <v>158</v>
      </c>
      <c r="I64" s="47"/>
      <c r="J64" s="47" t="s">
        <v>156</v>
      </c>
      <c r="K64" s="47" t="s">
        <v>188</v>
      </c>
      <c r="L64" s="47" t="s">
        <v>158</v>
      </c>
      <c r="AA64" s="54"/>
    </row>
    <row r="65" spans="1:12" x14ac:dyDescent="0.25">
      <c r="A65" t="s">
        <v>189</v>
      </c>
      <c r="B65">
        <v>15</v>
      </c>
      <c r="C65">
        <v>22</v>
      </c>
      <c r="D65">
        <v>1.466666666666667</v>
      </c>
      <c r="E65" t="s">
        <v>189</v>
      </c>
      <c r="F65">
        <v>15</v>
      </c>
      <c r="G65">
        <v>17</v>
      </c>
      <c r="H65">
        <v>1.1333333333333331</v>
      </c>
      <c r="I65" t="s">
        <v>189</v>
      </c>
      <c r="J65">
        <v>15</v>
      </c>
      <c r="K65">
        <v>2</v>
      </c>
      <c r="L65">
        <v>0.1333333333333333</v>
      </c>
    </row>
    <row r="66" spans="1:12" x14ac:dyDescent="0.25">
      <c r="A66" t="s">
        <v>190</v>
      </c>
      <c r="B66">
        <v>12</v>
      </c>
      <c r="C66">
        <v>14</v>
      </c>
      <c r="D66">
        <v>1.166666666666667</v>
      </c>
      <c r="E66" t="s">
        <v>190</v>
      </c>
      <c r="F66">
        <v>12</v>
      </c>
      <c r="G66">
        <v>12</v>
      </c>
      <c r="H66">
        <v>1</v>
      </c>
      <c r="I66" t="s">
        <v>190</v>
      </c>
      <c r="J66">
        <v>12</v>
      </c>
      <c r="K66">
        <v>1</v>
      </c>
      <c r="L66">
        <v>8.3333333333333329E-2</v>
      </c>
    </row>
    <row r="67" spans="1:12" x14ac:dyDescent="0.25">
      <c r="A67" t="s">
        <v>173</v>
      </c>
      <c r="B67">
        <v>10000</v>
      </c>
      <c r="C67">
        <v>1733.34</v>
      </c>
      <c r="D67">
        <v>0.17333399999999999</v>
      </c>
      <c r="E67" t="s">
        <v>173</v>
      </c>
      <c r="F67">
        <v>10000</v>
      </c>
      <c r="G67">
        <v>142.56</v>
      </c>
      <c r="H67">
        <v>1.4256E-2</v>
      </c>
      <c r="I67" t="s">
        <v>173</v>
      </c>
      <c r="J67">
        <v>10000</v>
      </c>
      <c r="K67">
        <v>10000</v>
      </c>
      <c r="L67">
        <v>1</v>
      </c>
    </row>
    <row r="68" spans="1:12" x14ac:dyDescent="0.25">
      <c r="A68" t="s">
        <v>166</v>
      </c>
      <c r="B68">
        <v>30000</v>
      </c>
      <c r="C68">
        <v>11875.9</v>
      </c>
      <c r="D68">
        <v>0.39586333333333329</v>
      </c>
      <c r="E68" t="s">
        <v>166</v>
      </c>
      <c r="F68">
        <v>30000</v>
      </c>
      <c r="G68">
        <v>11875.9</v>
      </c>
      <c r="H68">
        <v>0.39586333333333329</v>
      </c>
      <c r="I68" t="s">
        <v>166</v>
      </c>
      <c r="J68">
        <v>30000</v>
      </c>
      <c r="K68">
        <v>11875.9</v>
      </c>
      <c r="L68">
        <v>0.39586333333333329</v>
      </c>
    </row>
    <row r="69" spans="1:12" x14ac:dyDescent="0.25">
      <c r="A69" t="s">
        <v>174</v>
      </c>
      <c r="B69">
        <v>90000</v>
      </c>
      <c r="C69">
        <v>86932.5</v>
      </c>
      <c r="D69">
        <v>0.96591666666666665</v>
      </c>
      <c r="E69" t="s">
        <v>174</v>
      </c>
      <c r="F69">
        <v>90000</v>
      </c>
      <c r="G69">
        <v>6071.21</v>
      </c>
      <c r="H69">
        <v>6.7457888888888887E-2</v>
      </c>
      <c r="I69" t="s">
        <v>174</v>
      </c>
      <c r="J69">
        <v>90000</v>
      </c>
      <c r="K69">
        <v>90575</v>
      </c>
      <c r="L69">
        <v>1.006388888888889</v>
      </c>
    </row>
    <row r="71" spans="1:12" x14ac:dyDescent="0.25">
      <c r="A71" s="47" t="s">
        <v>198</v>
      </c>
      <c r="B71" s="47"/>
      <c r="C71" s="47"/>
      <c r="D71" s="47"/>
      <c r="E71" s="47"/>
      <c r="F71" s="47"/>
      <c r="G71" s="47"/>
      <c r="H71" s="47"/>
      <c r="I71" s="47"/>
      <c r="J71" s="47"/>
      <c r="K71" s="47"/>
      <c r="L71" s="47"/>
    </row>
    <row r="72" spans="1:12" x14ac:dyDescent="0.25">
      <c r="A72" s="47" t="s">
        <v>183</v>
      </c>
      <c r="B72" s="47"/>
      <c r="C72" s="47"/>
      <c r="D72" s="47"/>
      <c r="E72" s="47"/>
      <c r="F72" s="47"/>
      <c r="G72" s="47"/>
      <c r="H72" s="47"/>
      <c r="I72" s="47"/>
      <c r="J72" s="47"/>
      <c r="K72" s="47"/>
      <c r="L72" s="47"/>
    </row>
    <row r="73" spans="1:12" x14ac:dyDescent="0.25">
      <c r="A73" s="47" t="s">
        <v>185</v>
      </c>
      <c r="B73" s="47"/>
      <c r="C73" s="47"/>
      <c r="D73" s="47"/>
      <c r="E73" s="47" t="s">
        <v>186</v>
      </c>
      <c r="F73" s="47"/>
      <c r="G73" s="47"/>
      <c r="H73" s="47"/>
      <c r="I73" s="47" t="s">
        <v>187</v>
      </c>
      <c r="J73" s="47"/>
      <c r="K73" s="47"/>
      <c r="L73" s="47"/>
    </row>
    <row r="74" spans="1:12" x14ac:dyDescent="0.25">
      <c r="A74" s="47"/>
      <c r="B74" s="47" t="s">
        <v>156</v>
      </c>
      <c r="C74" s="47" t="s">
        <v>188</v>
      </c>
      <c r="D74" s="47" t="s">
        <v>158</v>
      </c>
      <c r="E74" s="47"/>
      <c r="F74" s="47" t="s">
        <v>156</v>
      </c>
      <c r="G74" s="47" t="s">
        <v>188</v>
      </c>
      <c r="H74" s="47" t="s">
        <v>158</v>
      </c>
      <c r="I74" s="47"/>
      <c r="J74" s="47" t="s">
        <v>156</v>
      </c>
      <c r="K74" s="47" t="s">
        <v>188</v>
      </c>
      <c r="L74" s="47" t="s">
        <v>158</v>
      </c>
    </row>
    <row r="75" spans="1:12" x14ac:dyDescent="0.25">
      <c r="A75" t="s">
        <v>189</v>
      </c>
      <c r="B75">
        <v>15</v>
      </c>
      <c r="C75">
        <v>25</v>
      </c>
      <c r="D75">
        <v>1.666666666666667</v>
      </c>
      <c r="E75" t="s">
        <v>189</v>
      </c>
      <c r="F75">
        <v>15</v>
      </c>
      <c r="G75">
        <v>16</v>
      </c>
      <c r="H75">
        <v>1.0666666666666671</v>
      </c>
      <c r="I75" t="s">
        <v>189</v>
      </c>
      <c r="J75">
        <v>15</v>
      </c>
      <c r="K75">
        <v>8</v>
      </c>
      <c r="L75">
        <v>0.53333333333333333</v>
      </c>
    </row>
    <row r="76" spans="1:12" x14ac:dyDescent="0.25">
      <c r="A76" t="s">
        <v>190</v>
      </c>
      <c r="B76">
        <v>12</v>
      </c>
      <c r="C76">
        <v>17</v>
      </c>
      <c r="D76">
        <v>1.416666666666667</v>
      </c>
      <c r="E76" t="s">
        <v>190</v>
      </c>
      <c r="F76">
        <v>12</v>
      </c>
      <c r="G76">
        <v>13</v>
      </c>
      <c r="H76">
        <v>1.083333333333333</v>
      </c>
      <c r="I76" t="s">
        <v>190</v>
      </c>
      <c r="J76">
        <v>12</v>
      </c>
      <c r="K76">
        <v>8</v>
      </c>
      <c r="L76">
        <v>0.66666666666666663</v>
      </c>
    </row>
    <row r="77" spans="1:12" x14ac:dyDescent="0.25">
      <c r="A77" t="s">
        <v>173</v>
      </c>
      <c r="B77">
        <v>10000</v>
      </c>
      <c r="C77">
        <v>1667.4</v>
      </c>
      <c r="D77">
        <v>0.16674</v>
      </c>
      <c r="E77" t="s">
        <v>173</v>
      </c>
      <c r="F77">
        <v>10000</v>
      </c>
      <c r="G77">
        <v>5551.4</v>
      </c>
      <c r="H77">
        <v>0.55513999999999997</v>
      </c>
      <c r="I77" t="s">
        <v>173</v>
      </c>
      <c r="J77">
        <v>10000</v>
      </c>
      <c r="K77">
        <v>7361.47</v>
      </c>
      <c r="L77">
        <v>0.736147</v>
      </c>
    </row>
    <row r="78" spans="1:12" x14ac:dyDescent="0.25">
      <c r="A78" t="s">
        <v>166</v>
      </c>
      <c r="B78">
        <v>30000</v>
      </c>
      <c r="C78">
        <v>14580.27</v>
      </c>
      <c r="D78">
        <v>0.48600900000000002</v>
      </c>
      <c r="E78" t="s">
        <v>166</v>
      </c>
      <c r="F78">
        <v>30000</v>
      </c>
      <c r="G78">
        <v>14580.27</v>
      </c>
      <c r="H78">
        <v>0.48600900000000002</v>
      </c>
      <c r="I78" t="s">
        <v>166</v>
      </c>
      <c r="J78">
        <v>30000</v>
      </c>
      <c r="K78">
        <v>14580.27</v>
      </c>
      <c r="L78">
        <v>0.48600900000000002</v>
      </c>
    </row>
    <row r="79" spans="1:12" x14ac:dyDescent="0.25">
      <c r="A79" t="s">
        <v>174</v>
      </c>
      <c r="B79">
        <v>90000</v>
      </c>
      <c r="C79">
        <v>37218.92</v>
      </c>
      <c r="D79">
        <v>0.41354355555555561</v>
      </c>
      <c r="E79" t="s">
        <v>174</v>
      </c>
      <c r="F79">
        <v>90000</v>
      </c>
      <c r="G79">
        <v>69366.399999999994</v>
      </c>
      <c r="H79">
        <v>0.77073777777777774</v>
      </c>
      <c r="I79" t="s">
        <v>174</v>
      </c>
      <c r="J79">
        <v>90000</v>
      </c>
      <c r="K79">
        <v>57100</v>
      </c>
      <c r="L79">
        <v>0.63444444444444448</v>
      </c>
    </row>
    <row r="81" spans="1:12" x14ac:dyDescent="0.25">
      <c r="A81" s="47" t="s">
        <v>199</v>
      </c>
      <c r="B81" s="47"/>
      <c r="C81" s="47"/>
      <c r="D81" s="47"/>
      <c r="E81" s="47"/>
      <c r="F81" s="47"/>
      <c r="G81" s="47"/>
      <c r="H81" s="47"/>
      <c r="I81" s="47"/>
      <c r="J81" s="47"/>
      <c r="K81" s="47"/>
      <c r="L81" s="47"/>
    </row>
    <row r="82" spans="1:12" x14ac:dyDescent="0.25">
      <c r="A82" s="47" t="s">
        <v>183</v>
      </c>
      <c r="B82" s="47"/>
      <c r="C82" s="47"/>
      <c r="D82" s="47"/>
      <c r="E82" s="47"/>
      <c r="F82" s="47"/>
      <c r="G82" s="47"/>
      <c r="H82" s="47"/>
      <c r="I82" s="47"/>
      <c r="J82" s="47"/>
      <c r="K82" s="47"/>
      <c r="L82" s="47"/>
    </row>
    <row r="83" spans="1:12" x14ac:dyDescent="0.25">
      <c r="A83" s="47" t="s">
        <v>185</v>
      </c>
      <c r="B83" s="47"/>
      <c r="C83" s="47"/>
      <c r="D83" s="47"/>
      <c r="E83" s="47" t="s">
        <v>186</v>
      </c>
      <c r="F83" s="47"/>
      <c r="G83" s="47"/>
      <c r="H83" s="47"/>
      <c r="I83" s="47" t="s">
        <v>187</v>
      </c>
      <c r="J83" s="47"/>
      <c r="K83" s="47"/>
      <c r="L83" s="47"/>
    </row>
    <row r="84" spans="1:12" x14ac:dyDescent="0.25">
      <c r="A84" s="47"/>
      <c r="B84" s="47" t="s">
        <v>156</v>
      </c>
      <c r="C84" s="47" t="s">
        <v>188</v>
      </c>
      <c r="D84" s="47" t="s">
        <v>158</v>
      </c>
      <c r="E84" s="47"/>
      <c r="F84" s="47" t="s">
        <v>156</v>
      </c>
      <c r="G84" s="47" t="s">
        <v>188</v>
      </c>
      <c r="H84" s="47" t="s">
        <v>158</v>
      </c>
      <c r="I84" s="47"/>
      <c r="J84" s="47" t="s">
        <v>156</v>
      </c>
      <c r="K84" s="47" t="s">
        <v>188</v>
      </c>
      <c r="L84" s="47" t="s">
        <v>158</v>
      </c>
    </row>
    <row r="85" spans="1:12" x14ac:dyDescent="0.25">
      <c r="A85" t="s">
        <v>189</v>
      </c>
      <c r="B85">
        <v>15</v>
      </c>
      <c r="C85">
        <v>25</v>
      </c>
      <c r="D85">
        <v>1.666666666666667</v>
      </c>
      <c r="E85" t="s">
        <v>189</v>
      </c>
      <c r="F85">
        <v>15</v>
      </c>
      <c r="G85">
        <v>16</v>
      </c>
      <c r="H85">
        <v>1.0666666666666671</v>
      </c>
      <c r="I85" t="s">
        <v>189</v>
      </c>
      <c r="J85">
        <v>15</v>
      </c>
      <c r="K85">
        <v>11</v>
      </c>
      <c r="L85">
        <v>0.73333333333333328</v>
      </c>
    </row>
    <row r="86" spans="1:12" x14ac:dyDescent="0.25">
      <c r="A86" t="s">
        <v>190</v>
      </c>
      <c r="B86">
        <v>12</v>
      </c>
      <c r="C86">
        <v>16</v>
      </c>
      <c r="D86">
        <v>1.333333333333333</v>
      </c>
      <c r="E86" t="s">
        <v>190</v>
      </c>
      <c r="F86">
        <v>12</v>
      </c>
      <c r="G86">
        <v>18</v>
      </c>
      <c r="H86">
        <v>1.5</v>
      </c>
      <c r="I86" t="s">
        <v>190</v>
      </c>
      <c r="J86">
        <v>12</v>
      </c>
      <c r="K86">
        <v>11</v>
      </c>
      <c r="L86">
        <v>0.91666666666666663</v>
      </c>
    </row>
    <row r="87" spans="1:12" x14ac:dyDescent="0.25">
      <c r="A87" t="s">
        <v>173</v>
      </c>
      <c r="B87">
        <v>10000</v>
      </c>
      <c r="C87">
        <v>3619.87</v>
      </c>
      <c r="D87">
        <v>0.361987</v>
      </c>
      <c r="E87" t="s">
        <v>173</v>
      </c>
      <c r="F87">
        <v>10000</v>
      </c>
      <c r="G87">
        <v>6448.22</v>
      </c>
      <c r="H87">
        <v>0.64482200000000001</v>
      </c>
      <c r="I87" t="s">
        <v>173</v>
      </c>
      <c r="J87">
        <v>10000</v>
      </c>
      <c r="K87">
        <v>2857.1</v>
      </c>
      <c r="L87">
        <v>0.28571000000000002</v>
      </c>
    </row>
    <row r="88" spans="1:12" x14ac:dyDescent="0.25">
      <c r="A88" t="s">
        <v>166</v>
      </c>
      <c r="B88">
        <v>30000</v>
      </c>
      <c r="C88">
        <v>12925.19</v>
      </c>
      <c r="D88">
        <v>0.43083966666666668</v>
      </c>
      <c r="E88" t="s">
        <v>166</v>
      </c>
      <c r="F88">
        <v>30000</v>
      </c>
      <c r="G88">
        <v>12925.19</v>
      </c>
      <c r="H88">
        <v>0.43083966666666668</v>
      </c>
      <c r="I88" t="s">
        <v>166</v>
      </c>
      <c r="J88">
        <v>30000</v>
      </c>
      <c r="K88">
        <v>12925.19</v>
      </c>
      <c r="L88">
        <v>0.43083966666666668</v>
      </c>
    </row>
    <row r="89" spans="1:12" x14ac:dyDescent="0.25">
      <c r="A89" t="s">
        <v>174</v>
      </c>
      <c r="B89">
        <v>90000</v>
      </c>
      <c r="C89">
        <v>156911.70000000001</v>
      </c>
      <c r="D89">
        <v>1.7434633333333329</v>
      </c>
      <c r="E89" t="s">
        <v>174</v>
      </c>
      <c r="F89">
        <v>90000</v>
      </c>
      <c r="G89">
        <v>134306.46</v>
      </c>
      <c r="H89">
        <v>1.492294</v>
      </c>
      <c r="I89" t="s">
        <v>174</v>
      </c>
      <c r="J89">
        <v>90000</v>
      </c>
      <c r="K89">
        <v>47500</v>
      </c>
      <c r="L89">
        <v>0.52777777777777779</v>
      </c>
    </row>
    <row r="91" spans="1:12" x14ac:dyDescent="0.25">
      <c r="A91" s="55" t="s">
        <v>200</v>
      </c>
      <c r="B91" s="55"/>
      <c r="C91" s="55"/>
      <c r="D91" s="55"/>
      <c r="E91" s="55"/>
      <c r="F91" s="55"/>
      <c r="G91" s="55"/>
      <c r="H91" s="55"/>
      <c r="I91" s="55"/>
      <c r="J91" s="55"/>
      <c r="K91" s="55"/>
      <c r="L91" s="55"/>
    </row>
    <row r="92" spans="1:12" x14ac:dyDescent="0.25">
      <c r="A92" s="55" t="s">
        <v>183</v>
      </c>
      <c r="B92" s="55"/>
      <c r="C92" s="55"/>
      <c r="D92" s="55"/>
      <c r="E92" s="55"/>
      <c r="F92" s="55"/>
      <c r="G92" s="55"/>
      <c r="H92" s="55"/>
      <c r="I92" s="55"/>
      <c r="J92" s="55"/>
      <c r="K92" s="55"/>
      <c r="L92" s="55"/>
    </row>
    <row r="93" spans="1:12" x14ac:dyDescent="0.25">
      <c r="A93" s="55" t="s">
        <v>185</v>
      </c>
      <c r="B93" s="55"/>
      <c r="C93" s="55"/>
      <c r="D93" s="55"/>
      <c r="E93" s="55" t="s">
        <v>186</v>
      </c>
      <c r="F93" s="55"/>
      <c r="G93" s="55"/>
      <c r="H93" s="55"/>
      <c r="I93" s="55" t="s">
        <v>187</v>
      </c>
      <c r="J93" s="55"/>
      <c r="K93" s="55"/>
      <c r="L93" s="55"/>
    </row>
    <row r="94" spans="1:12" x14ac:dyDescent="0.25">
      <c r="A94" s="55"/>
      <c r="B94" s="55" t="s">
        <v>156</v>
      </c>
      <c r="C94" s="55" t="s">
        <v>188</v>
      </c>
      <c r="D94" s="55" t="s">
        <v>158</v>
      </c>
      <c r="E94" s="55"/>
      <c r="F94" s="55" t="s">
        <v>156</v>
      </c>
      <c r="G94" s="55" t="s">
        <v>188</v>
      </c>
      <c r="H94" s="55" t="s">
        <v>158</v>
      </c>
      <c r="I94" s="55"/>
      <c r="J94" s="55" t="s">
        <v>156</v>
      </c>
      <c r="K94" s="55" t="s">
        <v>188</v>
      </c>
      <c r="L94" s="55" t="s">
        <v>158</v>
      </c>
    </row>
    <row r="95" spans="1:12" x14ac:dyDescent="0.25">
      <c r="A95" t="s">
        <v>189</v>
      </c>
      <c r="B95">
        <v>15</v>
      </c>
      <c r="C95">
        <v>15</v>
      </c>
      <c r="D95">
        <v>1</v>
      </c>
      <c r="E95" t="s">
        <v>189</v>
      </c>
      <c r="F95">
        <v>15</v>
      </c>
      <c r="G95">
        <v>15</v>
      </c>
      <c r="H95">
        <v>1</v>
      </c>
      <c r="I95" t="s">
        <v>189</v>
      </c>
      <c r="J95">
        <v>15</v>
      </c>
      <c r="K95">
        <v>15</v>
      </c>
      <c r="L95">
        <v>1</v>
      </c>
    </row>
    <row r="96" spans="1:12" x14ac:dyDescent="0.25">
      <c r="A96" t="s">
        <v>190</v>
      </c>
      <c r="B96">
        <v>12</v>
      </c>
      <c r="C96">
        <v>12</v>
      </c>
      <c r="D96">
        <v>1</v>
      </c>
      <c r="E96" t="s">
        <v>190</v>
      </c>
      <c r="F96">
        <v>12</v>
      </c>
      <c r="G96">
        <v>12</v>
      </c>
      <c r="H96">
        <v>1</v>
      </c>
      <c r="I96" t="s">
        <v>190</v>
      </c>
      <c r="J96">
        <v>12</v>
      </c>
      <c r="K96">
        <v>12</v>
      </c>
      <c r="L96">
        <v>1</v>
      </c>
    </row>
    <row r="97" spans="1:12" x14ac:dyDescent="0.25">
      <c r="A97" t="s">
        <v>173</v>
      </c>
      <c r="B97">
        <v>6000</v>
      </c>
      <c r="C97">
        <v>1927.89</v>
      </c>
      <c r="D97">
        <v>0.32131500000000002</v>
      </c>
      <c r="E97" t="s">
        <v>173</v>
      </c>
      <c r="F97">
        <v>10000</v>
      </c>
      <c r="G97">
        <v>0</v>
      </c>
      <c r="H97">
        <v>0</v>
      </c>
      <c r="I97" t="s">
        <v>173</v>
      </c>
      <c r="J97">
        <v>10000</v>
      </c>
      <c r="K97">
        <v>0</v>
      </c>
      <c r="L97">
        <v>0</v>
      </c>
    </row>
    <row r="98" spans="1:12" x14ac:dyDescent="0.25">
      <c r="A98" t="s">
        <v>166</v>
      </c>
      <c r="B98">
        <v>30000</v>
      </c>
      <c r="C98">
        <v>1927.89</v>
      </c>
      <c r="D98">
        <v>6.4263000000000001E-2</v>
      </c>
      <c r="E98" t="s">
        <v>166</v>
      </c>
      <c r="F98">
        <v>30000</v>
      </c>
      <c r="G98">
        <v>1927.89</v>
      </c>
      <c r="H98">
        <v>6.4263000000000001E-2</v>
      </c>
      <c r="I98" t="s">
        <v>166</v>
      </c>
      <c r="J98">
        <v>30000</v>
      </c>
      <c r="K98">
        <v>1927.89</v>
      </c>
      <c r="L98">
        <v>6.4263000000000001E-2</v>
      </c>
    </row>
    <row r="99" spans="1:12" x14ac:dyDescent="0.25">
      <c r="A99" t="s">
        <v>174</v>
      </c>
      <c r="B99">
        <v>90000</v>
      </c>
      <c r="C99">
        <v>117851.89</v>
      </c>
      <c r="D99">
        <v>1.309465444444444</v>
      </c>
      <c r="E99" t="s">
        <v>174</v>
      </c>
      <c r="F99">
        <v>90000</v>
      </c>
      <c r="G99">
        <v>39131.15</v>
      </c>
      <c r="H99">
        <v>0.43479055555555562</v>
      </c>
      <c r="I99" t="s">
        <v>174</v>
      </c>
      <c r="J99">
        <v>90000</v>
      </c>
      <c r="K99">
        <v>0</v>
      </c>
      <c r="L99">
        <v>0</v>
      </c>
    </row>
    <row r="101" spans="1:12" x14ac:dyDescent="0.25">
      <c r="A101" s="55" t="s">
        <v>201</v>
      </c>
      <c r="B101" s="55"/>
      <c r="C101" s="55"/>
      <c r="D101" s="55"/>
      <c r="E101" s="55"/>
      <c r="F101" s="55"/>
      <c r="G101" s="55"/>
      <c r="H101" s="55"/>
      <c r="I101" s="55"/>
      <c r="J101" s="55"/>
      <c r="K101" s="55"/>
      <c r="L101" s="55"/>
    </row>
    <row r="102" spans="1:12" x14ac:dyDescent="0.25">
      <c r="A102" s="55" t="s">
        <v>183</v>
      </c>
      <c r="B102" s="55"/>
      <c r="C102" s="55"/>
      <c r="D102" s="55"/>
      <c r="E102" s="55"/>
      <c r="F102" s="55"/>
      <c r="G102" s="55"/>
      <c r="H102" s="55"/>
      <c r="I102" s="55"/>
      <c r="J102" s="55"/>
      <c r="K102" s="55"/>
      <c r="L102" s="55"/>
    </row>
    <row r="103" spans="1:12" x14ac:dyDescent="0.25">
      <c r="A103" s="55" t="s">
        <v>185</v>
      </c>
      <c r="B103" s="55"/>
      <c r="C103" s="55"/>
      <c r="D103" s="55"/>
      <c r="E103" s="55" t="s">
        <v>186</v>
      </c>
      <c r="F103" s="55"/>
      <c r="G103" s="55"/>
      <c r="H103" s="55"/>
      <c r="I103" s="55" t="s">
        <v>187</v>
      </c>
      <c r="J103" s="55"/>
      <c r="K103" s="55"/>
      <c r="L103" s="55"/>
    </row>
    <row r="104" spans="1:12" x14ac:dyDescent="0.25">
      <c r="A104" s="55"/>
      <c r="B104" s="55" t="s">
        <v>156</v>
      </c>
      <c r="C104" s="55" t="s">
        <v>188</v>
      </c>
      <c r="D104" s="55" t="s">
        <v>158</v>
      </c>
      <c r="E104" s="55"/>
      <c r="F104" s="55" t="s">
        <v>156</v>
      </c>
      <c r="G104" s="55" t="s">
        <v>188</v>
      </c>
      <c r="H104" s="55" t="s">
        <v>158</v>
      </c>
      <c r="I104" s="55"/>
      <c r="J104" s="55" t="s">
        <v>156</v>
      </c>
      <c r="K104" s="55" t="s">
        <v>188</v>
      </c>
      <c r="L104" s="55" t="s">
        <v>158</v>
      </c>
    </row>
    <row r="105" spans="1:12" x14ac:dyDescent="0.25">
      <c r="A105" t="s">
        <v>189</v>
      </c>
      <c r="B105">
        <v>15</v>
      </c>
      <c r="C105">
        <v>20</v>
      </c>
      <c r="D105">
        <v>1.333333333333333</v>
      </c>
      <c r="E105" t="s">
        <v>189</v>
      </c>
      <c r="F105">
        <v>15</v>
      </c>
      <c r="G105">
        <v>15</v>
      </c>
      <c r="H105">
        <v>1</v>
      </c>
      <c r="I105" t="s">
        <v>189</v>
      </c>
      <c r="J105">
        <v>15</v>
      </c>
      <c r="K105">
        <v>12</v>
      </c>
      <c r="L105">
        <v>0.8</v>
      </c>
    </row>
    <row r="106" spans="1:12" x14ac:dyDescent="0.25">
      <c r="A106" t="s">
        <v>190</v>
      </c>
      <c r="B106">
        <v>12</v>
      </c>
      <c r="C106">
        <v>18</v>
      </c>
      <c r="D106">
        <v>1.5</v>
      </c>
      <c r="E106" t="s">
        <v>190</v>
      </c>
      <c r="F106">
        <v>12</v>
      </c>
      <c r="G106">
        <v>13</v>
      </c>
      <c r="H106">
        <v>1.083333333333333</v>
      </c>
      <c r="I106" t="s">
        <v>190</v>
      </c>
      <c r="J106">
        <v>12</v>
      </c>
      <c r="K106">
        <v>12</v>
      </c>
      <c r="L106">
        <v>1</v>
      </c>
    </row>
    <row r="107" spans="1:12" x14ac:dyDescent="0.25">
      <c r="A107" t="s">
        <v>173</v>
      </c>
      <c r="B107">
        <v>6000</v>
      </c>
      <c r="C107">
        <v>285.12</v>
      </c>
      <c r="D107">
        <v>4.752E-2</v>
      </c>
      <c r="E107" t="s">
        <v>173</v>
      </c>
      <c r="F107">
        <v>10000</v>
      </c>
      <c r="G107">
        <v>356.4</v>
      </c>
      <c r="H107">
        <v>3.5639999999999998E-2</v>
      </c>
      <c r="I107" t="s">
        <v>173</v>
      </c>
      <c r="J107">
        <v>10000</v>
      </c>
      <c r="K107">
        <v>0</v>
      </c>
      <c r="L107">
        <v>0</v>
      </c>
    </row>
    <row r="108" spans="1:12" x14ac:dyDescent="0.25">
      <c r="A108" t="s">
        <v>166</v>
      </c>
      <c r="B108">
        <v>30000</v>
      </c>
      <c r="C108">
        <v>641.52</v>
      </c>
      <c r="D108">
        <v>2.1384E-2</v>
      </c>
      <c r="E108" t="s">
        <v>166</v>
      </c>
      <c r="F108">
        <v>30000</v>
      </c>
      <c r="G108">
        <v>641.52</v>
      </c>
      <c r="H108">
        <v>2.1384E-2</v>
      </c>
      <c r="I108" t="s">
        <v>166</v>
      </c>
      <c r="J108">
        <v>30000</v>
      </c>
      <c r="K108">
        <v>641.52</v>
      </c>
      <c r="L108">
        <v>2.1384E-2</v>
      </c>
    </row>
    <row r="109" spans="1:12" x14ac:dyDescent="0.25">
      <c r="A109" t="s">
        <v>174</v>
      </c>
      <c r="B109">
        <v>90000</v>
      </c>
      <c r="C109">
        <v>49993.72</v>
      </c>
      <c r="D109">
        <v>0.55548577777777775</v>
      </c>
      <c r="E109" t="s">
        <v>174</v>
      </c>
      <c r="F109">
        <v>90000</v>
      </c>
      <c r="G109">
        <v>3307.14</v>
      </c>
      <c r="H109">
        <v>3.6746000000000001E-2</v>
      </c>
      <c r="I109" t="s">
        <v>174</v>
      </c>
      <c r="J109">
        <v>90000</v>
      </c>
      <c r="K109">
        <v>6253</v>
      </c>
      <c r="L109">
        <v>6.9477777777777777E-2</v>
      </c>
    </row>
  </sheetData>
  <pageMargins left="0.511811024" right="0.511811024" top="0.78740157499999996" bottom="0.78740157499999996" header="0.31496062000000002" footer="0.31496062000000002"/>
  <legacyDrawing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2:AE1344"/>
  <sheetViews>
    <sheetView showGridLines="0" topLeftCell="N7" zoomScale="85" zoomScaleNormal="85" workbookViewId="0">
      <selection activeCell="Q31" sqref="Q23:Q31"/>
    </sheetView>
  </sheetViews>
  <sheetFormatPr defaultRowHeight="15" x14ac:dyDescent="0.25"/>
  <cols>
    <col min="4" max="4" width="17.85546875" bestFit="1" customWidth="1"/>
    <col min="5" max="5" width="18" bestFit="1" customWidth="1"/>
    <col min="6" max="6" width="8.28515625" bestFit="1" customWidth="1"/>
    <col min="8" max="8" width="17.42578125" bestFit="1" customWidth="1"/>
    <col min="9" max="9" width="14.7109375" bestFit="1" customWidth="1"/>
    <col min="10" max="10" width="8.140625" bestFit="1" customWidth="1"/>
    <col min="14" max="14" width="56.140625" bestFit="1" customWidth="1"/>
    <col min="15" max="15" width="20.140625" bestFit="1" customWidth="1"/>
    <col min="17" max="17" width="30.5703125" bestFit="1" customWidth="1"/>
    <col min="18" max="18" width="14.7109375" bestFit="1" customWidth="1"/>
    <col min="20" max="20" width="25.85546875" bestFit="1" customWidth="1"/>
    <col min="21" max="21" width="14.7109375" bestFit="1" customWidth="1"/>
    <col min="23" max="23" width="17.7109375" bestFit="1" customWidth="1"/>
    <col min="24" max="24" width="21.42578125" bestFit="1" customWidth="1"/>
    <col min="27" max="27" width="25.28515625" bestFit="1" customWidth="1"/>
    <col min="28" max="28" width="20.140625" bestFit="1" customWidth="1"/>
    <col min="30" max="30" width="17.42578125" bestFit="1" customWidth="1"/>
    <col min="31" max="31" width="14.7109375" bestFit="1" customWidth="1"/>
  </cols>
  <sheetData>
    <row r="2" spans="1:1" x14ac:dyDescent="0.25">
      <c r="A2" s="1" t="s">
        <v>202</v>
      </c>
    </row>
    <row r="18" spans="4:31" x14ac:dyDescent="0.25">
      <c r="D18" s="391" t="s">
        <v>203</v>
      </c>
      <c r="E18" s="392"/>
      <c r="F18" s="392"/>
      <c r="H18" s="391" t="s">
        <v>204</v>
      </c>
      <c r="I18" s="392"/>
      <c r="J18" s="392"/>
      <c r="N18" s="391" t="s">
        <v>205</v>
      </c>
      <c r="O18" s="392"/>
      <c r="Q18" s="391" t="s">
        <v>206</v>
      </c>
      <c r="R18" s="392"/>
      <c r="T18" s="391" t="s">
        <v>207</v>
      </c>
      <c r="U18" s="392"/>
      <c r="W18" s="391" t="s">
        <v>208</v>
      </c>
      <c r="X18" s="392"/>
      <c r="AA18" s="391" t="s">
        <v>209</v>
      </c>
      <c r="AB18" s="392"/>
      <c r="AD18" s="391" t="s">
        <v>210</v>
      </c>
      <c r="AE18" s="392"/>
    </row>
    <row r="19" spans="4:31" x14ac:dyDescent="0.25">
      <c r="D19" s="356" t="s">
        <v>2</v>
      </c>
      <c r="E19" s="357" t="s">
        <v>31</v>
      </c>
      <c r="H19" s="36" t="s">
        <v>168</v>
      </c>
      <c r="I19" t="s">
        <v>211</v>
      </c>
      <c r="N19" s="36" t="s">
        <v>212</v>
      </c>
      <c r="O19" t="s">
        <v>31</v>
      </c>
      <c r="Q19" s="36" t="s">
        <v>212</v>
      </c>
      <c r="R19" t="s">
        <v>44</v>
      </c>
      <c r="T19" s="36" t="s">
        <v>212</v>
      </c>
      <c r="U19" t="s">
        <v>22</v>
      </c>
      <c r="W19" s="36" t="s">
        <v>212</v>
      </c>
      <c r="X19" t="s">
        <v>142</v>
      </c>
      <c r="AA19" s="36" t="s">
        <v>212</v>
      </c>
      <c r="AB19" t="s">
        <v>31</v>
      </c>
      <c r="AD19" s="36" t="s">
        <v>212</v>
      </c>
      <c r="AE19" t="s">
        <v>22</v>
      </c>
    </row>
    <row r="20" spans="4:31" x14ac:dyDescent="0.25">
      <c r="D20" s="356" t="s">
        <v>168</v>
      </c>
      <c r="E20" s="357" t="s">
        <v>211</v>
      </c>
      <c r="F20" s="44"/>
      <c r="H20" s="36" t="s">
        <v>2</v>
      </c>
      <c r="I20" t="s">
        <v>213</v>
      </c>
      <c r="N20" s="36" t="s">
        <v>214</v>
      </c>
      <c r="O20" t="s">
        <v>211</v>
      </c>
      <c r="Q20" s="36" t="s">
        <v>214</v>
      </c>
      <c r="R20" t="s">
        <v>211</v>
      </c>
      <c r="T20" s="36" t="s">
        <v>214</v>
      </c>
      <c r="U20" t="s">
        <v>211</v>
      </c>
      <c r="W20" s="36" t="s">
        <v>214</v>
      </c>
      <c r="X20" t="s">
        <v>211</v>
      </c>
      <c r="AA20" s="36" t="s">
        <v>214</v>
      </c>
      <c r="AB20" t="s">
        <v>211</v>
      </c>
      <c r="AD20" s="36" t="s">
        <v>214</v>
      </c>
      <c r="AE20" t="s">
        <v>211</v>
      </c>
    </row>
    <row r="21" spans="4:31" x14ac:dyDescent="0.25">
      <c r="D21" s="44"/>
      <c r="E21" s="44"/>
      <c r="F21" s="44"/>
    </row>
    <row r="22" spans="4:31" x14ac:dyDescent="0.25">
      <c r="D22" s="356" t="s">
        <v>215</v>
      </c>
      <c r="E22" s="357" t="s">
        <v>158</v>
      </c>
      <c r="F22" s="357" t="s">
        <v>216</v>
      </c>
      <c r="G22" s="44"/>
      <c r="H22" s="36" t="s">
        <v>215</v>
      </c>
      <c r="I22" t="s">
        <v>158</v>
      </c>
      <c r="J22" t="s">
        <v>216</v>
      </c>
      <c r="N22" s="36" t="s">
        <v>215</v>
      </c>
      <c r="O22" t="s">
        <v>217</v>
      </c>
      <c r="Q22" s="36" t="s">
        <v>215</v>
      </c>
      <c r="R22" t="s">
        <v>218</v>
      </c>
      <c r="T22" s="36" t="s">
        <v>215</v>
      </c>
      <c r="U22" t="s">
        <v>218</v>
      </c>
      <c r="W22" s="36" t="s">
        <v>215</v>
      </c>
      <c r="X22" t="s">
        <v>217</v>
      </c>
      <c r="AA22" s="36" t="s">
        <v>215</v>
      </c>
      <c r="AB22" t="s">
        <v>219</v>
      </c>
      <c r="AD22" s="36" t="s">
        <v>215</v>
      </c>
      <c r="AE22" t="s">
        <v>219</v>
      </c>
    </row>
    <row r="23" spans="4:31" x14ac:dyDescent="0.25">
      <c r="D23" s="235" t="s">
        <v>220</v>
      </c>
      <c r="E23" s="240">
        <v>0.44970333333333329</v>
      </c>
      <c r="F23" s="237">
        <v>6</v>
      </c>
      <c r="G23" s="44"/>
      <c r="H23" s="235" t="s">
        <v>220</v>
      </c>
      <c r="I23" s="240">
        <v>0.6733253846153846</v>
      </c>
      <c r="J23" s="242">
        <v>78</v>
      </c>
      <c r="N23" s="37" t="s">
        <v>221</v>
      </c>
      <c r="O23">
        <v>1</v>
      </c>
      <c r="Q23" s="37" t="s">
        <v>222</v>
      </c>
      <c r="R23">
        <v>1</v>
      </c>
      <c r="T23" s="37" t="s">
        <v>223</v>
      </c>
      <c r="W23" s="37" t="s">
        <v>224</v>
      </c>
      <c r="X23">
        <v>1</v>
      </c>
      <c r="AA23" s="37" t="s">
        <v>225</v>
      </c>
      <c r="AB23">
        <v>1</v>
      </c>
      <c r="AD23" s="37" t="s">
        <v>223</v>
      </c>
    </row>
    <row r="24" spans="4:31" x14ac:dyDescent="0.25">
      <c r="D24" s="235" t="s">
        <v>226</v>
      </c>
      <c r="E24" s="240">
        <v>0.37133538461538462</v>
      </c>
      <c r="F24" s="237">
        <v>6.5</v>
      </c>
      <c r="G24" s="44"/>
      <c r="H24" s="235" t="s">
        <v>226</v>
      </c>
      <c r="I24" s="240">
        <v>2.7055294339622642</v>
      </c>
      <c r="J24" s="242">
        <v>79.5</v>
      </c>
      <c r="N24" s="37" t="s">
        <v>223</v>
      </c>
      <c r="O24">
        <v>1</v>
      </c>
      <c r="Q24" s="37" t="s">
        <v>227</v>
      </c>
      <c r="R24">
        <v>1</v>
      </c>
      <c r="W24" s="37" t="s">
        <v>228</v>
      </c>
      <c r="X24">
        <v>1</v>
      </c>
      <c r="AA24" s="37" t="s">
        <v>229</v>
      </c>
      <c r="AB24">
        <v>1</v>
      </c>
    </row>
    <row r="25" spans="4:31" x14ac:dyDescent="0.25">
      <c r="D25" s="235" t="s">
        <v>230</v>
      </c>
      <c r="E25" s="240">
        <v>0.91789714285714286</v>
      </c>
      <c r="F25" s="237">
        <v>7</v>
      </c>
      <c r="G25" s="44"/>
      <c r="H25" s="235" t="s">
        <v>230</v>
      </c>
      <c r="I25" s="240">
        <v>0.85241407407407399</v>
      </c>
      <c r="J25" s="242">
        <v>81</v>
      </c>
      <c r="Q25" s="37" t="s">
        <v>231</v>
      </c>
      <c r="R25">
        <v>1</v>
      </c>
      <c r="W25" s="37" t="s">
        <v>232</v>
      </c>
      <c r="X25">
        <v>1</v>
      </c>
      <c r="AA25" s="37" t="s">
        <v>233</v>
      </c>
      <c r="AB25">
        <v>1</v>
      </c>
    </row>
    <row r="26" spans="4:31" x14ac:dyDescent="0.25">
      <c r="D26" s="235" t="s">
        <v>234</v>
      </c>
      <c r="E26" s="240">
        <v>0.358848</v>
      </c>
      <c r="F26" s="237">
        <v>7.5</v>
      </c>
      <c r="H26" s="235" t="s">
        <v>234</v>
      </c>
      <c r="I26" s="240">
        <v>0.56714945454545451</v>
      </c>
      <c r="J26" s="242">
        <v>82.5</v>
      </c>
      <c r="Q26" s="37" t="s">
        <v>235</v>
      </c>
      <c r="R26">
        <v>1</v>
      </c>
      <c r="W26" s="37" t="s">
        <v>223</v>
      </c>
      <c r="X26">
        <v>3</v>
      </c>
      <c r="AA26" s="37" t="s">
        <v>236</v>
      </c>
      <c r="AB26">
        <v>1</v>
      </c>
    </row>
    <row r="27" spans="4:31" x14ac:dyDescent="0.25">
      <c r="D27" s="235" t="s">
        <v>237</v>
      </c>
      <c r="E27" s="240">
        <v>0.14790624999999999</v>
      </c>
      <c r="F27" s="237">
        <v>8</v>
      </c>
      <c r="H27" s="235" t="s">
        <v>237</v>
      </c>
      <c r="I27" s="240">
        <v>0.27155794117647059</v>
      </c>
      <c r="J27" s="242">
        <v>136</v>
      </c>
      <c r="Q27" s="37" t="s">
        <v>238</v>
      </c>
      <c r="R27">
        <v>1</v>
      </c>
      <c r="AA27" s="37" t="s">
        <v>239</v>
      </c>
      <c r="AB27">
        <v>1</v>
      </c>
    </row>
    <row r="28" spans="4:31" x14ac:dyDescent="0.25">
      <c r="D28" s="235" t="s">
        <v>223</v>
      </c>
      <c r="E28" s="241">
        <v>2.2456901108058611</v>
      </c>
      <c r="F28" s="237">
        <v>35</v>
      </c>
      <c r="H28" s="235" t="s">
        <v>223</v>
      </c>
      <c r="I28" s="240">
        <v>5.0699762883736481</v>
      </c>
      <c r="J28" s="242">
        <v>457</v>
      </c>
      <c r="Q28" s="37" t="s">
        <v>240</v>
      </c>
      <c r="R28">
        <v>1</v>
      </c>
      <c r="AA28" s="37" t="s">
        <v>241</v>
      </c>
      <c r="AB28">
        <v>1</v>
      </c>
    </row>
    <row r="29" spans="4:31" x14ac:dyDescent="0.25">
      <c r="Q29" s="37" t="s">
        <v>242</v>
      </c>
      <c r="R29">
        <v>1</v>
      </c>
      <c r="AA29" s="37" t="s">
        <v>223</v>
      </c>
      <c r="AB29">
        <v>6</v>
      </c>
    </row>
    <row r="30" spans="4:31" x14ac:dyDescent="0.25">
      <c r="Q30" s="37" t="s">
        <v>243</v>
      </c>
      <c r="R30">
        <v>1</v>
      </c>
    </row>
    <row r="31" spans="4:31" x14ac:dyDescent="0.25">
      <c r="Q31" s="37" t="s">
        <v>244</v>
      </c>
      <c r="R31">
        <v>1</v>
      </c>
    </row>
    <row r="32" spans="4:31" x14ac:dyDescent="0.25">
      <c r="Q32" s="37" t="s">
        <v>223</v>
      </c>
      <c r="R32">
        <v>9</v>
      </c>
    </row>
    <row r="50" hidden="1" x14ac:dyDescent="0.25"/>
    <row r="51" hidden="1" x14ac:dyDescent="0.25"/>
    <row r="52" hidden="1" x14ac:dyDescent="0.25"/>
    <row r="53" hidden="1" x14ac:dyDescent="0.25"/>
    <row r="54" hidden="1" x14ac:dyDescent="0.25"/>
    <row r="55" hidden="1" x14ac:dyDescent="0.25"/>
    <row r="56" hidden="1" x14ac:dyDescent="0.25"/>
    <row r="57" hidden="1" x14ac:dyDescent="0.25"/>
    <row r="58" hidden="1" x14ac:dyDescent="0.25"/>
    <row r="59" hidden="1" x14ac:dyDescent="0.25"/>
    <row r="60" hidden="1" x14ac:dyDescent="0.25"/>
    <row r="61" hidden="1" x14ac:dyDescent="0.25"/>
    <row r="62" hidden="1" x14ac:dyDescent="0.25"/>
    <row r="63" hidden="1" x14ac:dyDescent="0.25"/>
    <row r="64" hidden="1" x14ac:dyDescent="0.25"/>
    <row r="65" hidden="1" x14ac:dyDescent="0.25"/>
    <row r="66" hidden="1" x14ac:dyDescent="0.25"/>
    <row r="67" hidden="1" x14ac:dyDescent="0.25"/>
    <row r="68" hidden="1" x14ac:dyDescent="0.25"/>
    <row r="69" hidden="1" x14ac:dyDescent="0.25"/>
    <row r="70" hidden="1" x14ac:dyDescent="0.25"/>
    <row r="71" hidden="1" x14ac:dyDescent="0.25"/>
    <row r="72" hidden="1" x14ac:dyDescent="0.25"/>
    <row r="73" hidden="1" x14ac:dyDescent="0.25"/>
    <row r="74" hidden="1" x14ac:dyDescent="0.25"/>
    <row r="75" hidden="1" x14ac:dyDescent="0.25"/>
    <row r="76" hidden="1" x14ac:dyDescent="0.25"/>
    <row r="77" hidden="1" x14ac:dyDescent="0.25"/>
    <row r="78" hidden="1" x14ac:dyDescent="0.25"/>
    <row r="79" hidden="1" x14ac:dyDescent="0.25"/>
    <row r="80" hidden="1" x14ac:dyDescent="0.25"/>
    <row r="81" hidden="1" x14ac:dyDescent="0.25"/>
    <row r="82" hidden="1" x14ac:dyDescent="0.25"/>
    <row r="83" hidden="1" x14ac:dyDescent="0.25"/>
    <row r="84" hidden="1" x14ac:dyDescent="0.25"/>
    <row r="85" hidden="1" x14ac:dyDescent="0.25"/>
    <row r="86" hidden="1" x14ac:dyDescent="0.25"/>
    <row r="87" hidden="1" x14ac:dyDescent="0.25"/>
    <row r="88" hidden="1" x14ac:dyDescent="0.25"/>
    <row r="89" hidden="1" x14ac:dyDescent="0.25"/>
    <row r="90" hidden="1" x14ac:dyDescent="0.25"/>
    <row r="91" hidden="1" x14ac:dyDescent="0.25"/>
    <row r="92" hidden="1" x14ac:dyDescent="0.25"/>
    <row r="93" hidden="1" x14ac:dyDescent="0.25"/>
    <row r="94" hidden="1" x14ac:dyDescent="0.25"/>
    <row r="95" hidden="1" x14ac:dyDescent="0.25"/>
    <row r="96" hidden="1" x14ac:dyDescent="0.25"/>
    <row r="97" hidden="1" x14ac:dyDescent="0.25"/>
    <row r="98" hidden="1" x14ac:dyDescent="0.25"/>
    <row r="99" hidden="1" x14ac:dyDescent="0.25"/>
    <row r="100" hidden="1" x14ac:dyDescent="0.25"/>
    <row r="101" hidden="1" x14ac:dyDescent="0.25"/>
    <row r="102" hidden="1" x14ac:dyDescent="0.25"/>
    <row r="103" hidden="1" x14ac:dyDescent="0.25"/>
    <row r="104" hidden="1" x14ac:dyDescent="0.25"/>
    <row r="105" hidden="1" x14ac:dyDescent="0.25"/>
    <row r="106" hidden="1" x14ac:dyDescent="0.25"/>
    <row r="107" hidden="1" x14ac:dyDescent="0.25"/>
    <row r="108" hidden="1" x14ac:dyDescent="0.25"/>
    <row r="109" hidden="1" x14ac:dyDescent="0.25"/>
    <row r="110" hidden="1" x14ac:dyDescent="0.25"/>
    <row r="111" hidden="1" x14ac:dyDescent="0.25"/>
    <row r="112" hidden="1" x14ac:dyDescent="0.25"/>
    <row r="113" hidden="1" x14ac:dyDescent="0.25"/>
    <row r="114" hidden="1" x14ac:dyDescent="0.25"/>
    <row r="115" hidden="1" x14ac:dyDescent="0.25"/>
    <row r="116" hidden="1" x14ac:dyDescent="0.25"/>
    <row r="117" hidden="1" x14ac:dyDescent="0.25"/>
    <row r="118" hidden="1" x14ac:dyDescent="0.25"/>
    <row r="119" hidden="1" x14ac:dyDescent="0.25"/>
    <row r="120" hidden="1" x14ac:dyDescent="0.25"/>
    <row r="121" hidden="1" x14ac:dyDescent="0.25"/>
    <row r="122" hidden="1" x14ac:dyDescent="0.25"/>
    <row r="123" hidden="1" x14ac:dyDescent="0.25"/>
    <row r="124" hidden="1" x14ac:dyDescent="0.25"/>
    <row r="125" hidden="1" x14ac:dyDescent="0.25"/>
    <row r="126" hidden="1" x14ac:dyDescent="0.25"/>
    <row r="127" hidden="1" x14ac:dyDescent="0.25"/>
    <row r="128" hidden="1" x14ac:dyDescent="0.25"/>
    <row r="129" hidden="1" x14ac:dyDescent="0.25"/>
    <row r="130" hidden="1" x14ac:dyDescent="0.25"/>
    <row r="131" hidden="1" x14ac:dyDescent="0.25"/>
    <row r="132" hidden="1" x14ac:dyDescent="0.25"/>
    <row r="133" hidden="1" x14ac:dyDescent="0.25"/>
    <row r="134" hidden="1" x14ac:dyDescent="0.25"/>
    <row r="135" hidden="1" x14ac:dyDescent="0.25"/>
    <row r="136" hidden="1" x14ac:dyDescent="0.25"/>
    <row r="137" hidden="1" x14ac:dyDescent="0.25"/>
    <row r="138" hidden="1" x14ac:dyDescent="0.25"/>
    <row r="139" hidden="1" x14ac:dyDescent="0.25"/>
    <row r="140" hidden="1" x14ac:dyDescent="0.25"/>
    <row r="141" hidden="1" x14ac:dyDescent="0.25"/>
    <row r="142" hidden="1" x14ac:dyDescent="0.25"/>
    <row r="143" hidden="1" x14ac:dyDescent="0.25"/>
    <row r="144" hidden="1" x14ac:dyDescent="0.25"/>
    <row r="145" hidden="1" x14ac:dyDescent="0.25"/>
    <row r="146" hidden="1" x14ac:dyDescent="0.25"/>
    <row r="147" hidden="1" x14ac:dyDescent="0.25"/>
    <row r="148" hidden="1" x14ac:dyDescent="0.25"/>
    <row r="149" hidden="1" x14ac:dyDescent="0.25"/>
    <row r="150" hidden="1" x14ac:dyDescent="0.25"/>
    <row r="151" hidden="1" x14ac:dyDescent="0.25"/>
    <row r="152" hidden="1" x14ac:dyDescent="0.25"/>
    <row r="153" hidden="1" x14ac:dyDescent="0.25"/>
    <row r="154" hidden="1" x14ac:dyDescent="0.25"/>
    <row r="155" hidden="1" x14ac:dyDescent="0.25"/>
    <row r="156" hidden="1" x14ac:dyDescent="0.25"/>
    <row r="157" hidden="1" x14ac:dyDescent="0.25"/>
    <row r="158" hidden="1" x14ac:dyDescent="0.25"/>
    <row r="159" hidden="1" x14ac:dyDescent="0.25"/>
    <row r="160" hidden="1" x14ac:dyDescent="0.25"/>
    <row r="161" hidden="1" x14ac:dyDescent="0.25"/>
    <row r="162" hidden="1" x14ac:dyDescent="0.25"/>
    <row r="163" hidden="1" x14ac:dyDescent="0.25"/>
    <row r="164" hidden="1" x14ac:dyDescent="0.25"/>
    <row r="165" hidden="1" x14ac:dyDescent="0.25"/>
    <row r="166" hidden="1" x14ac:dyDescent="0.25"/>
    <row r="167" hidden="1" x14ac:dyDescent="0.25"/>
    <row r="168" hidden="1" x14ac:dyDescent="0.25"/>
    <row r="169" hidden="1" x14ac:dyDescent="0.25"/>
    <row r="170" hidden="1" x14ac:dyDescent="0.25"/>
    <row r="171" hidden="1" x14ac:dyDescent="0.25"/>
    <row r="172" hidden="1" x14ac:dyDescent="0.25"/>
    <row r="173" hidden="1" x14ac:dyDescent="0.25"/>
    <row r="174" hidden="1" x14ac:dyDescent="0.25"/>
    <row r="175" hidden="1" x14ac:dyDescent="0.25"/>
    <row r="176" hidden="1" x14ac:dyDescent="0.25"/>
    <row r="177" hidden="1" x14ac:dyDescent="0.25"/>
    <row r="178" hidden="1" x14ac:dyDescent="0.25"/>
    <row r="179" hidden="1" x14ac:dyDescent="0.25"/>
    <row r="180" hidden="1" x14ac:dyDescent="0.25"/>
    <row r="181" hidden="1" x14ac:dyDescent="0.25"/>
    <row r="182" hidden="1" x14ac:dyDescent="0.25"/>
    <row r="183" hidden="1" x14ac:dyDescent="0.25"/>
    <row r="184" hidden="1" x14ac:dyDescent="0.25"/>
    <row r="185" hidden="1" x14ac:dyDescent="0.25"/>
    <row r="186" hidden="1" x14ac:dyDescent="0.25"/>
    <row r="187" hidden="1" x14ac:dyDescent="0.25"/>
    <row r="188" hidden="1" x14ac:dyDescent="0.25"/>
    <row r="189" hidden="1" x14ac:dyDescent="0.25"/>
    <row r="190" hidden="1" x14ac:dyDescent="0.25"/>
    <row r="191" hidden="1" x14ac:dyDescent="0.25"/>
    <row r="192" hidden="1" x14ac:dyDescent="0.25"/>
    <row r="193" hidden="1" x14ac:dyDescent="0.25"/>
    <row r="194" hidden="1" x14ac:dyDescent="0.25"/>
    <row r="195" hidden="1" x14ac:dyDescent="0.25"/>
    <row r="196" hidden="1" x14ac:dyDescent="0.25"/>
    <row r="197" hidden="1" x14ac:dyDescent="0.25"/>
    <row r="198" hidden="1" x14ac:dyDescent="0.25"/>
    <row r="199" hidden="1" x14ac:dyDescent="0.25"/>
    <row r="200" hidden="1" x14ac:dyDescent="0.25"/>
    <row r="201" hidden="1" x14ac:dyDescent="0.25"/>
    <row r="202" hidden="1" x14ac:dyDescent="0.25"/>
    <row r="203" hidden="1" x14ac:dyDescent="0.25"/>
    <row r="204" hidden="1" x14ac:dyDescent="0.25"/>
    <row r="205" hidden="1" x14ac:dyDescent="0.25"/>
    <row r="206" hidden="1" x14ac:dyDescent="0.25"/>
    <row r="207" hidden="1" x14ac:dyDescent="0.25"/>
    <row r="208" hidden="1" x14ac:dyDescent="0.25"/>
    <row r="209" hidden="1" x14ac:dyDescent="0.25"/>
    <row r="210" hidden="1" x14ac:dyDescent="0.25"/>
    <row r="211" hidden="1" x14ac:dyDescent="0.25"/>
    <row r="212" hidden="1" x14ac:dyDescent="0.25"/>
    <row r="213" hidden="1" x14ac:dyDescent="0.25"/>
    <row r="214" hidden="1" x14ac:dyDescent="0.25"/>
    <row r="215" hidden="1" x14ac:dyDescent="0.25"/>
    <row r="216" hidden="1" x14ac:dyDescent="0.25"/>
    <row r="217" hidden="1" x14ac:dyDescent="0.25"/>
    <row r="218" hidden="1" x14ac:dyDescent="0.25"/>
    <row r="219" hidden="1" x14ac:dyDescent="0.25"/>
    <row r="220" hidden="1" x14ac:dyDescent="0.25"/>
    <row r="221" hidden="1" x14ac:dyDescent="0.25"/>
    <row r="222" hidden="1" x14ac:dyDescent="0.25"/>
    <row r="223" hidden="1" x14ac:dyDescent="0.25"/>
    <row r="224" hidden="1" x14ac:dyDescent="0.25"/>
    <row r="225" hidden="1" x14ac:dyDescent="0.25"/>
    <row r="226" hidden="1" x14ac:dyDescent="0.25"/>
    <row r="227" hidden="1" x14ac:dyDescent="0.25"/>
    <row r="228" hidden="1" x14ac:dyDescent="0.25"/>
    <row r="229" hidden="1" x14ac:dyDescent="0.25"/>
    <row r="230" hidden="1" x14ac:dyDescent="0.25"/>
    <row r="231" hidden="1" x14ac:dyDescent="0.25"/>
    <row r="232" hidden="1" x14ac:dyDescent="0.25"/>
    <row r="233" hidden="1" x14ac:dyDescent="0.25"/>
    <row r="234" hidden="1" x14ac:dyDescent="0.25"/>
    <row r="235" hidden="1" x14ac:dyDescent="0.25"/>
    <row r="236" hidden="1" x14ac:dyDescent="0.25"/>
    <row r="237" hidden="1" x14ac:dyDescent="0.25"/>
    <row r="238" hidden="1" x14ac:dyDescent="0.25"/>
    <row r="239" hidden="1" x14ac:dyDescent="0.25"/>
    <row r="240" hidden="1" x14ac:dyDescent="0.25"/>
    <row r="241" hidden="1" x14ac:dyDescent="0.25"/>
    <row r="242" hidden="1" x14ac:dyDescent="0.25"/>
    <row r="243" hidden="1" x14ac:dyDescent="0.25"/>
    <row r="244" hidden="1" x14ac:dyDescent="0.25"/>
    <row r="245" hidden="1" x14ac:dyDescent="0.25"/>
    <row r="246" hidden="1" x14ac:dyDescent="0.25"/>
    <row r="247" hidden="1" x14ac:dyDescent="0.25"/>
    <row r="248" hidden="1" x14ac:dyDescent="0.25"/>
    <row r="249" hidden="1" x14ac:dyDescent="0.25"/>
    <row r="250" hidden="1" x14ac:dyDescent="0.25"/>
    <row r="251" hidden="1" x14ac:dyDescent="0.25"/>
    <row r="252" hidden="1" x14ac:dyDescent="0.25"/>
    <row r="253" hidden="1" x14ac:dyDescent="0.25"/>
    <row r="254" hidden="1" x14ac:dyDescent="0.25"/>
    <row r="255" hidden="1" x14ac:dyDescent="0.25"/>
    <row r="256" hidden="1" x14ac:dyDescent="0.25"/>
    <row r="257" hidden="1" x14ac:dyDescent="0.25"/>
    <row r="258" hidden="1" x14ac:dyDescent="0.25"/>
    <row r="259" hidden="1" x14ac:dyDescent="0.25"/>
    <row r="260" hidden="1" x14ac:dyDescent="0.25"/>
    <row r="261" hidden="1" x14ac:dyDescent="0.25"/>
    <row r="262" hidden="1" x14ac:dyDescent="0.25"/>
    <row r="263" hidden="1" x14ac:dyDescent="0.25"/>
    <row r="264" hidden="1" x14ac:dyDescent="0.25"/>
    <row r="265" hidden="1" x14ac:dyDescent="0.25"/>
    <row r="266" hidden="1" x14ac:dyDescent="0.25"/>
    <row r="267" hidden="1" x14ac:dyDescent="0.25"/>
    <row r="268" hidden="1" x14ac:dyDescent="0.25"/>
    <row r="269" hidden="1" x14ac:dyDescent="0.25"/>
    <row r="270" hidden="1" x14ac:dyDescent="0.25"/>
    <row r="271" hidden="1" x14ac:dyDescent="0.25"/>
    <row r="272" hidden="1" x14ac:dyDescent="0.25"/>
    <row r="273" hidden="1" x14ac:dyDescent="0.25"/>
    <row r="274" hidden="1" x14ac:dyDescent="0.25"/>
    <row r="275" hidden="1" x14ac:dyDescent="0.25"/>
    <row r="276" hidden="1" x14ac:dyDescent="0.25"/>
    <row r="277" hidden="1" x14ac:dyDescent="0.25"/>
    <row r="278" hidden="1" x14ac:dyDescent="0.25"/>
    <row r="279" hidden="1" x14ac:dyDescent="0.25"/>
    <row r="280" hidden="1" x14ac:dyDescent="0.25"/>
    <row r="281" hidden="1" x14ac:dyDescent="0.25"/>
    <row r="282" hidden="1" x14ac:dyDescent="0.25"/>
    <row r="283" hidden="1" x14ac:dyDescent="0.25"/>
    <row r="284" hidden="1" x14ac:dyDescent="0.25"/>
    <row r="285" hidden="1" x14ac:dyDescent="0.25"/>
    <row r="286" hidden="1" x14ac:dyDescent="0.25"/>
    <row r="287" hidden="1" x14ac:dyDescent="0.25"/>
    <row r="288" hidden="1" x14ac:dyDescent="0.25"/>
    <row r="289" hidden="1" x14ac:dyDescent="0.25"/>
    <row r="290" hidden="1" x14ac:dyDescent="0.25"/>
    <row r="291" hidden="1" x14ac:dyDescent="0.25"/>
    <row r="292" hidden="1" x14ac:dyDescent="0.25"/>
    <row r="293" hidden="1" x14ac:dyDescent="0.25"/>
    <row r="294" hidden="1" x14ac:dyDescent="0.25"/>
    <row r="295" hidden="1" x14ac:dyDescent="0.25"/>
    <row r="296" hidden="1" x14ac:dyDescent="0.25"/>
    <row r="297" hidden="1" x14ac:dyDescent="0.25"/>
    <row r="298" hidden="1" x14ac:dyDescent="0.25"/>
    <row r="299" hidden="1" x14ac:dyDescent="0.25"/>
    <row r="300" hidden="1" x14ac:dyDescent="0.25"/>
    <row r="301" hidden="1" x14ac:dyDescent="0.25"/>
    <row r="302" hidden="1" x14ac:dyDescent="0.25"/>
    <row r="303" hidden="1" x14ac:dyDescent="0.25"/>
    <row r="304" hidden="1" x14ac:dyDescent="0.25"/>
    <row r="305" hidden="1" x14ac:dyDescent="0.25"/>
    <row r="306" hidden="1" x14ac:dyDescent="0.25"/>
    <row r="307" hidden="1" x14ac:dyDescent="0.25"/>
    <row r="308" hidden="1" x14ac:dyDescent="0.25"/>
    <row r="309" hidden="1" x14ac:dyDescent="0.25"/>
    <row r="310" hidden="1" x14ac:dyDescent="0.25"/>
    <row r="311" hidden="1" x14ac:dyDescent="0.25"/>
    <row r="312" hidden="1" x14ac:dyDescent="0.25"/>
    <row r="313" hidden="1" x14ac:dyDescent="0.25"/>
    <row r="314" hidden="1" x14ac:dyDescent="0.25"/>
    <row r="315" hidden="1" x14ac:dyDescent="0.25"/>
    <row r="316" hidden="1" x14ac:dyDescent="0.25"/>
    <row r="317" hidden="1" x14ac:dyDescent="0.25"/>
    <row r="318" hidden="1" x14ac:dyDescent="0.25"/>
    <row r="319" hidden="1" x14ac:dyDescent="0.25"/>
    <row r="320" hidden="1" x14ac:dyDescent="0.25"/>
    <row r="321" hidden="1" x14ac:dyDescent="0.25"/>
    <row r="322" hidden="1" x14ac:dyDescent="0.25"/>
    <row r="323" hidden="1" x14ac:dyDescent="0.25"/>
    <row r="324" hidden="1" x14ac:dyDescent="0.25"/>
    <row r="325" hidden="1" x14ac:dyDescent="0.25"/>
    <row r="326" hidden="1" x14ac:dyDescent="0.25"/>
    <row r="327" hidden="1" x14ac:dyDescent="0.25"/>
    <row r="328" hidden="1" x14ac:dyDescent="0.25"/>
    <row r="329" hidden="1" x14ac:dyDescent="0.25"/>
    <row r="330" hidden="1" x14ac:dyDescent="0.25"/>
    <row r="331" hidden="1" x14ac:dyDescent="0.25"/>
    <row r="332" hidden="1" x14ac:dyDescent="0.25"/>
    <row r="333" hidden="1" x14ac:dyDescent="0.25"/>
    <row r="334" hidden="1" x14ac:dyDescent="0.25"/>
    <row r="335" hidden="1" x14ac:dyDescent="0.25"/>
    <row r="336" hidden="1" x14ac:dyDescent="0.25"/>
    <row r="337" hidden="1" x14ac:dyDescent="0.25"/>
    <row r="338" hidden="1" x14ac:dyDescent="0.25"/>
    <row r="339" hidden="1" x14ac:dyDescent="0.25"/>
    <row r="340" hidden="1" x14ac:dyDescent="0.25"/>
    <row r="341" hidden="1" x14ac:dyDescent="0.25"/>
    <row r="342" hidden="1" x14ac:dyDescent="0.25"/>
    <row r="343" hidden="1" x14ac:dyDescent="0.25"/>
    <row r="344" hidden="1" x14ac:dyDescent="0.25"/>
    <row r="345" hidden="1" x14ac:dyDescent="0.25"/>
    <row r="346" hidden="1" x14ac:dyDescent="0.25"/>
    <row r="347" hidden="1" x14ac:dyDescent="0.25"/>
    <row r="348" hidden="1" x14ac:dyDescent="0.25"/>
    <row r="349" hidden="1" x14ac:dyDescent="0.25"/>
    <row r="350" hidden="1" x14ac:dyDescent="0.25"/>
    <row r="351" hidden="1" x14ac:dyDescent="0.25"/>
    <row r="352" hidden="1" x14ac:dyDescent="0.25"/>
    <row r="353" hidden="1" x14ac:dyDescent="0.25"/>
    <row r="354" hidden="1" x14ac:dyDescent="0.25"/>
    <row r="355" hidden="1" x14ac:dyDescent="0.25"/>
    <row r="356" hidden="1" x14ac:dyDescent="0.25"/>
    <row r="357" hidden="1" x14ac:dyDescent="0.25"/>
    <row r="358" hidden="1" x14ac:dyDescent="0.25"/>
    <row r="359" hidden="1" x14ac:dyDescent="0.25"/>
    <row r="360" hidden="1" x14ac:dyDescent="0.25"/>
    <row r="361" hidden="1" x14ac:dyDescent="0.25"/>
    <row r="362" hidden="1" x14ac:dyDescent="0.25"/>
    <row r="363" hidden="1" x14ac:dyDescent="0.25"/>
    <row r="364" hidden="1" x14ac:dyDescent="0.25"/>
    <row r="365" hidden="1" x14ac:dyDescent="0.25"/>
    <row r="366" hidden="1" x14ac:dyDescent="0.25"/>
    <row r="367" hidden="1" x14ac:dyDescent="0.25"/>
    <row r="368" hidden="1" x14ac:dyDescent="0.25"/>
    <row r="369" hidden="1" x14ac:dyDescent="0.25"/>
    <row r="370" hidden="1" x14ac:dyDescent="0.25"/>
    <row r="371" hidden="1" x14ac:dyDescent="0.25"/>
    <row r="372" hidden="1" x14ac:dyDescent="0.25"/>
    <row r="373" hidden="1" x14ac:dyDescent="0.25"/>
    <row r="374" hidden="1" x14ac:dyDescent="0.25"/>
    <row r="375" hidden="1" x14ac:dyDescent="0.25"/>
    <row r="376" hidden="1" x14ac:dyDescent="0.25"/>
    <row r="377" hidden="1" x14ac:dyDescent="0.25"/>
    <row r="378" hidden="1" x14ac:dyDescent="0.25"/>
    <row r="379" hidden="1" x14ac:dyDescent="0.25"/>
    <row r="380" hidden="1" x14ac:dyDescent="0.25"/>
    <row r="381" hidden="1" x14ac:dyDescent="0.25"/>
    <row r="382" hidden="1" x14ac:dyDescent="0.25"/>
    <row r="383" hidden="1" x14ac:dyDescent="0.25"/>
    <row r="384" hidden="1" x14ac:dyDescent="0.25"/>
    <row r="385" hidden="1" x14ac:dyDescent="0.25"/>
    <row r="386" hidden="1" x14ac:dyDescent="0.25"/>
    <row r="387" hidden="1" x14ac:dyDescent="0.25"/>
    <row r="388" hidden="1" x14ac:dyDescent="0.25"/>
    <row r="389" hidden="1" x14ac:dyDescent="0.25"/>
    <row r="390" hidden="1" x14ac:dyDescent="0.25"/>
    <row r="391" hidden="1" x14ac:dyDescent="0.25"/>
    <row r="392" hidden="1" x14ac:dyDescent="0.25"/>
    <row r="393" hidden="1" x14ac:dyDescent="0.25"/>
    <row r="394" hidden="1" x14ac:dyDescent="0.25"/>
    <row r="395" hidden="1" x14ac:dyDescent="0.25"/>
    <row r="396" hidden="1" x14ac:dyDescent="0.25"/>
    <row r="397" hidden="1" x14ac:dyDescent="0.25"/>
    <row r="398" hidden="1" x14ac:dyDescent="0.25"/>
    <row r="399" hidden="1" x14ac:dyDescent="0.25"/>
    <row r="400" hidden="1" x14ac:dyDescent="0.25"/>
    <row r="401" hidden="1" x14ac:dyDescent="0.25"/>
    <row r="402" hidden="1" x14ac:dyDescent="0.25"/>
    <row r="403" hidden="1" x14ac:dyDescent="0.25"/>
    <row r="404" hidden="1" x14ac:dyDescent="0.25"/>
    <row r="405" hidden="1" x14ac:dyDescent="0.25"/>
    <row r="406" hidden="1" x14ac:dyDescent="0.25"/>
    <row r="407" hidden="1" x14ac:dyDescent="0.25"/>
    <row r="408" hidden="1" x14ac:dyDescent="0.25"/>
    <row r="409" hidden="1" x14ac:dyDescent="0.25"/>
    <row r="410" hidden="1" x14ac:dyDescent="0.25"/>
    <row r="411" hidden="1" x14ac:dyDescent="0.25"/>
    <row r="412" hidden="1" x14ac:dyDescent="0.25"/>
    <row r="413" hidden="1" x14ac:dyDescent="0.25"/>
    <row r="414" hidden="1" x14ac:dyDescent="0.25"/>
    <row r="415" hidden="1" x14ac:dyDescent="0.25"/>
    <row r="416" hidden="1" x14ac:dyDescent="0.25"/>
    <row r="417" hidden="1" x14ac:dyDescent="0.25"/>
    <row r="418" hidden="1" x14ac:dyDescent="0.25"/>
    <row r="419" hidden="1" x14ac:dyDescent="0.25"/>
    <row r="420" hidden="1" x14ac:dyDescent="0.25"/>
    <row r="421" hidden="1" x14ac:dyDescent="0.25"/>
    <row r="422" hidden="1" x14ac:dyDescent="0.25"/>
    <row r="423" hidden="1" x14ac:dyDescent="0.25"/>
    <row r="424" hidden="1" x14ac:dyDescent="0.25"/>
    <row r="425" hidden="1" x14ac:dyDescent="0.25"/>
    <row r="426" hidden="1" x14ac:dyDescent="0.25"/>
    <row r="427" hidden="1" x14ac:dyDescent="0.25"/>
    <row r="428" hidden="1" x14ac:dyDescent="0.25"/>
    <row r="429" hidden="1" x14ac:dyDescent="0.25"/>
    <row r="430" hidden="1" x14ac:dyDescent="0.25"/>
    <row r="431" hidden="1" x14ac:dyDescent="0.25"/>
    <row r="432" hidden="1" x14ac:dyDescent="0.25"/>
    <row r="433" hidden="1" x14ac:dyDescent="0.25"/>
    <row r="434" hidden="1" x14ac:dyDescent="0.25"/>
    <row r="435" hidden="1" x14ac:dyDescent="0.25"/>
    <row r="436" hidden="1" x14ac:dyDescent="0.25"/>
    <row r="437" hidden="1" x14ac:dyDescent="0.25"/>
    <row r="438" hidden="1" x14ac:dyDescent="0.25"/>
    <row r="439" hidden="1" x14ac:dyDescent="0.25"/>
    <row r="440" hidden="1" x14ac:dyDescent="0.25"/>
    <row r="441" hidden="1" x14ac:dyDescent="0.25"/>
    <row r="442" hidden="1" x14ac:dyDescent="0.25"/>
    <row r="443" hidden="1" x14ac:dyDescent="0.25"/>
    <row r="444" hidden="1" x14ac:dyDescent="0.25"/>
    <row r="445" hidden="1" x14ac:dyDescent="0.25"/>
    <row r="446" hidden="1" x14ac:dyDescent="0.25"/>
    <row r="447" hidden="1" x14ac:dyDescent="0.25"/>
    <row r="448" hidden="1" x14ac:dyDescent="0.25"/>
    <row r="449" hidden="1" x14ac:dyDescent="0.25"/>
    <row r="450" hidden="1" x14ac:dyDescent="0.25"/>
    <row r="451" hidden="1" x14ac:dyDescent="0.25"/>
    <row r="452" hidden="1" x14ac:dyDescent="0.25"/>
    <row r="453" hidden="1" x14ac:dyDescent="0.25"/>
    <row r="454" hidden="1" x14ac:dyDescent="0.25"/>
    <row r="455" hidden="1" x14ac:dyDescent="0.25"/>
    <row r="456" hidden="1" x14ac:dyDescent="0.25"/>
    <row r="457" hidden="1" x14ac:dyDescent="0.25"/>
    <row r="458" hidden="1" x14ac:dyDescent="0.25"/>
    <row r="459" hidden="1" x14ac:dyDescent="0.25"/>
    <row r="460" hidden="1" x14ac:dyDescent="0.25"/>
    <row r="461" hidden="1" x14ac:dyDescent="0.25"/>
    <row r="462" hidden="1" x14ac:dyDescent="0.25"/>
    <row r="463" hidden="1" x14ac:dyDescent="0.25"/>
    <row r="464" hidden="1" x14ac:dyDescent="0.25"/>
    <row r="465" hidden="1" x14ac:dyDescent="0.25"/>
    <row r="466" hidden="1" x14ac:dyDescent="0.25"/>
    <row r="467" hidden="1" x14ac:dyDescent="0.25"/>
    <row r="468" hidden="1" x14ac:dyDescent="0.25"/>
    <row r="469" hidden="1" x14ac:dyDescent="0.25"/>
    <row r="470" hidden="1" x14ac:dyDescent="0.25"/>
    <row r="471" hidden="1" x14ac:dyDescent="0.25"/>
    <row r="472" hidden="1" x14ac:dyDescent="0.25"/>
    <row r="473" hidden="1" x14ac:dyDescent="0.25"/>
    <row r="474" hidden="1" x14ac:dyDescent="0.25"/>
    <row r="475" hidden="1" x14ac:dyDescent="0.25"/>
    <row r="476" hidden="1" x14ac:dyDescent="0.25"/>
    <row r="477" hidden="1" x14ac:dyDescent="0.25"/>
    <row r="478" hidden="1" x14ac:dyDescent="0.25"/>
    <row r="479" hidden="1" x14ac:dyDescent="0.25"/>
    <row r="480" hidden="1" x14ac:dyDescent="0.25"/>
    <row r="481" hidden="1" x14ac:dyDescent="0.25"/>
    <row r="482" hidden="1" x14ac:dyDescent="0.25"/>
    <row r="483" hidden="1" x14ac:dyDescent="0.25"/>
    <row r="484" hidden="1" x14ac:dyDescent="0.25"/>
    <row r="485" hidden="1" x14ac:dyDescent="0.25"/>
    <row r="486" hidden="1" x14ac:dyDescent="0.25"/>
    <row r="487" hidden="1" x14ac:dyDescent="0.25"/>
    <row r="488" hidden="1" x14ac:dyDescent="0.25"/>
    <row r="489" hidden="1" x14ac:dyDescent="0.25"/>
    <row r="490" hidden="1" x14ac:dyDescent="0.25"/>
    <row r="491" hidden="1" x14ac:dyDescent="0.25"/>
    <row r="492" hidden="1" x14ac:dyDescent="0.25"/>
    <row r="493" hidden="1" x14ac:dyDescent="0.25"/>
    <row r="494" hidden="1" x14ac:dyDescent="0.25"/>
    <row r="495" hidden="1" x14ac:dyDescent="0.25"/>
    <row r="496" hidden="1" x14ac:dyDescent="0.25"/>
    <row r="497" hidden="1" x14ac:dyDescent="0.25"/>
    <row r="498" hidden="1" x14ac:dyDescent="0.25"/>
    <row r="499" hidden="1" x14ac:dyDescent="0.25"/>
    <row r="500" hidden="1" x14ac:dyDescent="0.25"/>
    <row r="501" hidden="1" x14ac:dyDescent="0.25"/>
    <row r="502" hidden="1" x14ac:dyDescent="0.25"/>
    <row r="503" hidden="1" x14ac:dyDescent="0.25"/>
    <row r="504" hidden="1" x14ac:dyDescent="0.25"/>
    <row r="505" hidden="1" x14ac:dyDescent="0.25"/>
    <row r="506" hidden="1" x14ac:dyDescent="0.25"/>
    <row r="507" hidden="1" x14ac:dyDescent="0.25"/>
    <row r="508" hidden="1" x14ac:dyDescent="0.25"/>
    <row r="509" hidden="1" x14ac:dyDescent="0.25"/>
    <row r="510" hidden="1" x14ac:dyDescent="0.25"/>
    <row r="511" hidden="1" x14ac:dyDescent="0.25"/>
    <row r="512" hidden="1" x14ac:dyDescent="0.25"/>
    <row r="513" hidden="1" x14ac:dyDescent="0.25"/>
    <row r="514" hidden="1" x14ac:dyDescent="0.25"/>
    <row r="515" hidden="1" x14ac:dyDescent="0.25"/>
    <row r="516" hidden="1" x14ac:dyDescent="0.25"/>
    <row r="517" hidden="1" x14ac:dyDescent="0.25"/>
    <row r="518" hidden="1" x14ac:dyDescent="0.25"/>
    <row r="519" hidden="1" x14ac:dyDescent="0.25"/>
    <row r="520" hidden="1" x14ac:dyDescent="0.25"/>
    <row r="521" hidden="1" x14ac:dyDescent="0.25"/>
    <row r="522" hidden="1" x14ac:dyDescent="0.25"/>
    <row r="523" hidden="1" x14ac:dyDescent="0.25"/>
    <row r="524" hidden="1" x14ac:dyDescent="0.25"/>
    <row r="525" hidden="1" x14ac:dyDescent="0.25"/>
    <row r="526" hidden="1" x14ac:dyDescent="0.25"/>
    <row r="527" hidden="1" x14ac:dyDescent="0.25"/>
    <row r="528" hidden="1" x14ac:dyDescent="0.25"/>
    <row r="529" hidden="1" x14ac:dyDescent="0.25"/>
    <row r="530" hidden="1" x14ac:dyDescent="0.25"/>
    <row r="531" hidden="1" x14ac:dyDescent="0.25"/>
    <row r="532" hidden="1" x14ac:dyDescent="0.25"/>
    <row r="533" hidden="1" x14ac:dyDescent="0.25"/>
    <row r="534" hidden="1" x14ac:dyDescent="0.25"/>
    <row r="535" hidden="1" x14ac:dyDescent="0.25"/>
    <row r="536" hidden="1" x14ac:dyDescent="0.25"/>
    <row r="537" hidden="1" x14ac:dyDescent="0.25"/>
    <row r="538" hidden="1" x14ac:dyDescent="0.25"/>
    <row r="539" hidden="1" x14ac:dyDescent="0.25"/>
    <row r="540" hidden="1" x14ac:dyDescent="0.25"/>
    <row r="541" hidden="1" x14ac:dyDescent="0.25"/>
    <row r="542" hidden="1" x14ac:dyDescent="0.25"/>
    <row r="543" hidden="1" x14ac:dyDescent="0.25"/>
    <row r="544" hidden="1" x14ac:dyDescent="0.25"/>
    <row r="545" hidden="1" x14ac:dyDescent="0.25"/>
    <row r="546" hidden="1" x14ac:dyDescent="0.25"/>
    <row r="547" hidden="1" x14ac:dyDescent="0.25"/>
    <row r="548" hidden="1" x14ac:dyDescent="0.25"/>
    <row r="549" hidden="1" x14ac:dyDescent="0.25"/>
    <row r="550" hidden="1" x14ac:dyDescent="0.25"/>
    <row r="551" hidden="1" x14ac:dyDescent="0.25"/>
    <row r="552" hidden="1" x14ac:dyDescent="0.25"/>
    <row r="553" hidden="1" x14ac:dyDescent="0.25"/>
    <row r="554" hidden="1" x14ac:dyDescent="0.25"/>
    <row r="555" hidden="1" x14ac:dyDescent="0.25"/>
    <row r="556" hidden="1" x14ac:dyDescent="0.25"/>
    <row r="557" hidden="1" x14ac:dyDescent="0.25"/>
    <row r="558" hidden="1" x14ac:dyDescent="0.25"/>
    <row r="559" hidden="1" x14ac:dyDescent="0.25"/>
    <row r="560" hidden="1" x14ac:dyDescent="0.25"/>
    <row r="561" hidden="1" x14ac:dyDescent="0.25"/>
    <row r="562" hidden="1" x14ac:dyDescent="0.25"/>
    <row r="563" hidden="1" x14ac:dyDescent="0.25"/>
    <row r="564" hidden="1" x14ac:dyDescent="0.25"/>
    <row r="565" hidden="1" x14ac:dyDescent="0.25"/>
    <row r="566" hidden="1" x14ac:dyDescent="0.25"/>
    <row r="567" hidden="1" x14ac:dyDescent="0.25"/>
    <row r="568" hidden="1" x14ac:dyDescent="0.25"/>
    <row r="569" hidden="1" x14ac:dyDescent="0.25"/>
    <row r="570" hidden="1" x14ac:dyDescent="0.25"/>
    <row r="571" hidden="1" x14ac:dyDescent="0.25"/>
    <row r="572" hidden="1" x14ac:dyDescent="0.25"/>
    <row r="573" hidden="1" x14ac:dyDescent="0.25"/>
    <row r="574" hidden="1" x14ac:dyDescent="0.25"/>
    <row r="575" hidden="1" x14ac:dyDescent="0.25"/>
    <row r="576" hidden="1" x14ac:dyDescent="0.25"/>
    <row r="577" hidden="1" x14ac:dyDescent="0.25"/>
    <row r="578" hidden="1" x14ac:dyDescent="0.25"/>
    <row r="579" hidden="1" x14ac:dyDescent="0.25"/>
    <row r="580" hidden="1" x14ac:dyDescent="0.25"/>
    <row r="581" hidden="1" x14ac:dyDescent="0.25"/>
    <row r="582" hidden="1" x14ac:dyDescent="0.25"/>
    <row r="583" hidden="1" x14ac:dyDescent="0.25"/>
    <row r="584" hidden="1" x14ac:dyDescent="0.25"/>
    <row r="585" hidden="1" x14ac:dyDescent="0.25"/>
    <row r="586" hidden="1" x14ac:dyDescent="0.25"/>
    <row r="587" hidden="1" x14ac:dyDescent="0.25"/>
    <row r="588" hidden="1" x14ac:dyDescent="0.25"/>
    <row r="589" hidden="1" x14ac:dyDescent="0.25"/>
    <row r="590" hidden="1" x14ac:dyDescent="0.25"/>
    <row r="591" hidden="1" x14ac:dyDescent="0.25"/>
    <row r="592" hidden="1" x14ac:dyDescent="0.25"/>
    <row r="593" hidden="1" x14ac:dyDescent="0.25"/>
    <row r="594" hidden="1" x14ac:dyDescent="0.25"/>
    <row r="595" hidden="1" x14ac:dyDescent="0.25"/>
    <row r="596" hidden="1" x14ac:dyDescent="0.25"/>
    <row r="597" hidden="1" x14ac:dyDescent="0.25"/>
    <row r="598" hidden="1" x14ac:dyDescent="0.25"/>
    <row r="599" hidden="1" x14ac:dyDescent="0.25"/>
    <row r="600" hidden="1" x14ac:dyDescent="0.25"/>
    <row r="601" hidden="1" x14ac:dyDescent="0.25"/>
    <row r="602" hidden="1" x14ac:dyDescent="0.25"/>
    <row r="603" hidden="1" x14ac:dyDescent="0.25"/>
    <row r="604" hidden="1" x14ac:dyDescent="0.25"/>
    <row r="605" hidden="1" x14ac:dyDescent="0.25"/>
    <row r="606" hidden="1" x14ac:dyDescent="0.25"/>
    <row r="607" hidden="1" x14ac:dyDescent="0.25"/>
    <row r="608" hidden="1" x14ac:dyDescent="0.25"/>
    <row r="609" hidden="1" x14ac:dyDescent="0.25"/>
    <row r="610" hidden="1" x14ac:dyDescent="0.25"/>
    <row r="611" hidden="1" x14ac:dyDescent="0.25"/>
    <row r="612" hidden="1" x14ac:dyDescent="0.25"/>
    <row r="613" hidden="1" x14ac:dyDescent="0.25"/>
    <row r="614" hidden="1" x14ac:dyDescent="0.25"/>
    <row r="615" hidden="1" x14ac:dyDescent="0.25"/>
    <row r="616" hidden="1" x14ac:dyDescent="0.25"/>
    <row r="617" hidden="1" x14ac:dyDescent="0.25"/>
    <row r="618" hidden="1" x14ac:dyDescent="0.25"/>
    <row r="619" hidden="1" x14ac:dyDescent="0.25"/>
    <row r="620" hidden="1" x14ac:dyDescent="0.25"/>
    <row r="621" hidden="1" x14ac:dyDescent="0.25"/>
    <row r="622" hidden="1" x14ac:dyDescent="0.25"/>
    <row r="623" hidden="1" x14ac:dyDescent="0.25"/>
    <row r="624" hidden="1" x14ac:dyDescent="0.25"/>
    <row r="625" hidden="1" x14ac:dyDescent="0.25"/>
    <row r="626" hidden="1" x14ac:dyDescent="0.25"/>
    <row r="627" hidden="1" x14ac:dyDescent="0.25"/>
    <row r="628" hidden="1" x14ac:dyDescent="0.25"/>
    <row r="629" hidden="1" x14ac:dyDescent="0.25"/>
    <row r="630" hidden="1" x14ac:dyDescent="0.25"/>
    <row r="631" hidden="1" x14ac:dyDescent="0.25"/>
    <row r="632" hidden="1" x14ac:dyDescent="0.25"/>
    <row r="633" hidden="1" x14ac:dyDescent="0.25"/>
    <row r="634" hidden="1" x14ac:dyDescent="0.25"/>
    <row r="635" hidden="1" x14ac:dyDescent="0.25"/>
    <row r="636" hidden="1" x14ac:dyDescent="0.25"/>
    <row r="637" hidden="1" x14ac:dyDescent="0.25"/>
    <row r="638" hidden="1" x14ac:dyDescent="0.25"/>
    <row r="639" hidden="1" x14ac:dyDescent="0.25"/>
    <row r="640" hidden="1" x14ac:dyDescent="0.25"/>
    <row r="641" hidden="1" x14ac:dyDescent="0.25"/>
    <row r="642" hidden="1" x14ac:dyDescent="0.25"/>
    <row r="643" hidden="1" x14ac:dyDescent="0.25"/>
    <row r="644" hidden="1" x14ac:dyDescent="0.25"/>
    <row r="645" hidden="1" x14ac:dyDescent="0.25"/>
    <row r="646" hidden="1" x14ac:dyDescent="0.25"/>
    <row r="647" hidden="1" x14ac:dyDescent="0.25"/>
    <row r="648" hidden="1" x14ac:dyDescent="0.25"/>
    <row r="649" hidden="1" x14ac:dyDescent="0.25"/>
    <row r="650" hidden="1" x14ac:dyDescent="0.25"/>
    <row r="651" hidden="1" x14ac:dyDescent="0.25"/>
    <row r="652" hidden="1" x14ac:dyDescent="0.25"/>
    <row r="653" hidden="1" x14ac:dyDescent="0.25"/>
    <row r="654" hidden="1" x14ac:dyDescent="0.25"/>
    <row r="655" hidden="1" x14ac:dyDescent="0.25"/>
    <row r="656" hidden="1" x14ac:dyDescent="0.25"/>
    <row r="657" hidden="1" x14ac:dyDescent="0.25"/>
    <row r="658" hidden="1" x14ac:dyDescent="0.25"/>
    <row r="659" hidden="1" x14ac:dyDescent="0.25"/>
    <row r="660" hidden="1" x14ac:dyDescent="0.25"/>
    <row r="661" hidden="1" x14ac:dyDescent="0.25"/>
    <row r="662" hidden="1" x14ac:dyDescent="0.25"/>
    <row r="663" hidden="1" x14ac:dyDescent="0.25"/>
    <row r="664" hidden="1" x14ac:dyDescent="0.25"/>
    <row r="665" hidden="1" x14ac:dyDescent="0.25"/>
    <row r="666" hidden="1" x14ac:dyDescent="0.25"/>
    <row r="667" hidden="1" x14ac:dyDescent="0.25"/>
    <row r="668" hidden="1" x14ac:dyDescent="0.25"/>
    <row r="669" hidden="1" x14ac:dyDescent="0.25"/>
    <row r="670" hidden="1" x14ac:dyDescent="0.25"/>
    <row r="671" hidden="1" x14ac:dyDescent="0.25"/>
    <row r="672" hidden="1" x14ac:dyDescent="0.25"/>
    <row r="673" hidden="1" x14ac:dyDescent="0.25"/>
    <row r="674" hidden="1" x14ac:dyDescent="0.25"/>
    <row r="675" hidden="1" x14ac:dyDescent="0.25"/>
    <row r="676" hidden="1" x14ac:dyDescent="0.25"/>
    <row r="677" hidden="1" x14ac:dyDescent="0.25"/>
    <row r="678" hidden="1" x14ac:dyDescent="0.25"/>
    <row r="679" hidden="1" x14ac:dyDescent="0.25"/>
    <row r="680" hidden="1" x14ac:dyDescent="0.25"/>
    <row r="681" hidden="1" x14ac:dyDescent="0.25"/>
    <row r="682" hidden="1" x14ac:dyDescent="0.25"/>
    <row r="683" hidden="1" x14ac:dyDescent="0.25"/>
    <row r="684" hidden="1" x14ac:dyDescent="0.25"/>
    <row r="685" hidden="1" x14ac:dyDescent="0.25"/>
    <row r="686" hidden="1" x14ac:dyDescent="0.25"/>
    <row r="687" hidden="1" x14ac:dyDescent="0.25"/>
    <row r="688" hidden="1" x14ac:dyDescent="0.25"/>
    <row r="689" hidden="1" x14ac:dyDescent="0.25"/>
    <row r="690" hidden="1" x14ac:dyDescent="0.25"/>
    <row r="691" hidden="1" x14ac:dyDescent="0.25"/>
    <row r="692" hidden="1" x14ac:dyDescent="0.25"/>
    <row r="693" hidden="1" x14ac:dyDescent="0.25"/>
    <row r="694" hidden="1" x14ac:dyDescent="0.25"/>
    <row r="695" hidden="1" x14ac:dyDescent="0.25"/>
    <row r="696" hidden="1" x14ac:dyDescent="0.25"/>
    <row r="697" hidden="1" x14ac:dyDescent="0.25"/>
    <row r="698" hidden="1" x14ac:dyDescent="0.25"/>
    <row r="699" hidden="1" x14ac:dyDescent="0.25"/>
    <row r="700" hidden="1" x14ac:dyDescent="0.25"/>
    <row r="701" hidden="1" x14ac:dyDescent="0.25"/>
    <row r="702" hidden="1" x14ac:dyDescent="0.25"/>
    <row r="703" hidden="1" x14ac:dyDescent="0.25"/>
    <row r="704" hidden="1" x14ac:dyDescent="0.25"/>
    <row r="705" hidden="1" x14ac:dyDescent="0.25"/>
    <row r="706" hidden="1" x14ac:dyDescent="0.25"/>
    <row r="707" hidden="1" x14ac:dyDescent="0.25"/>
    <row r="708" hidden="1" x14ac:dyDescent="0.25"/>
    <row r="709" hidden="1" x14ac:dyDescent="0.25"/>
    <row r="710" hidden="1" x14ac:dyDescent="0.25"/>
    <row r="711" hidden="1" x14ac:dyDescent="0.25"/>
    <row r="712" hidden="1" x14ac:dyDescent="0.25"/>
    <row r="713" hidden="1" x14ac:dyDescent="0.25"/>
    <row r="714" hidden="1" x14ac:dyDescent="0.25"/>
    <row r="715" hidden="1" x14ac:dyDescent="0.25"/>
    <row r="716" hidden="1" x14ac:dyDescent="0.25"/>
    <row r="717" hidden="1" x14ac:dyDescent="0.25"/>
    <row r="718" hidden="1" x14ac:dyDescent="0.25"/>
    <row r="719" hidden="1" x14ac:dyDescent="0.25"/>
    <row r="720" hidden="1" x14ac:dyDescent="0.25"/>
    <row r="721" hidden="1" x14ac:dyDescent="0.25"/>
    <row r="722" hidden="1" x14ac:dyDescent="0.25"/>
    <row r="723" hidden="1" x14ac:dyDescent="0.25"/>
    <row r="724" hidden="1" x14ac:dyDescent="0.25"/>
    <row r="725" hidden="1" x14ac:dyDescent="0.25"/>
    <row r="726" hidden="1" x14ac:dyDescent="0.25"/>
    <row r="727" hidden="1" x14ac:dyDescent="0.25"/>
    <row r="728" hidden="1" x14ac:dyDescent="0.25"/>
    <row r="729" hidden="1" x14ac:dyDescent="0.25"/>
    <row r="730" hidden="1" x14ac:dyDescent="0.25"/>
    <row r="731" hidden="1" x14ac:dyDescent="0.25"/>
    <row r="732" hidden="1" x14ac:dyDescent="0.25"/>
    <row r="733" hidden="1" x14ac:dyDescent="0.25"/>
    <row r="734" hidden="1" x14ac:dyDescent="0.25"/>
    <row r="735" hidden="1" x14ac:dyDescent="0.25"/>
    <row r="736" hidden="1" x14ac:dyDescent="0.25"/>
    <row r="737" hidden="1" x14ac:dyDescent="0.25"/>
    <row r="738" hidden="1" x14ac:dyDescent="0.25"/>
    <row r="739" hidden="1" x14ac:dyDescent="0.25"/>
    <row r="740" hidden="1" x14ac:dyDescent="0.25"/>
    <row r="741" hidden="1" x14ac:dyDescent="0.25"/>
    <row r="742" hidden="1" x14ac:dyDescent="0.25"/>
    <row r="743" hidden="1" x14ac:dyDescent="0.25"/>
    <row r="744" hidden="1" x14ac:dyDescent="0.25"/>
    <row r="745" hidden="1" x14ac:dyDescent="0.25"/>
    <row r="746" hidden="1" x14ac:dyDescent="0.25"/>
    <row r="747" hidden="1" x14ac:dyDescent="0.25"/>
    <row r="748" hidden="1" x14ac:dyDescent="0.25"/>
    <row r="749" hidden="1" x14ac:dyDescent="0.25"/>
    <row r="750" hidden="1" x14ac:dyDescent="0.25"/>
    <row r="751" hidden="1" x14ac:dyDescent="0.25"/>
    <row r="752" hidden="1" x14ac:dyDescent="0.25"/>
    <row r="753" hidden="1" x14ac:dyDescent="0.25"/>
    <row r="754" hidden="1" x14ac:dyDescent="0.25"/>
    <row r="755" hidden="1" x14ac:dyDescent="0.25"/>
    <row r="756" hidden="1" x14ac:dyDescent="0.25"/>
    <row r="757" hidden="1" x14ac:dyDescent="0.25"/>
    <row r="758" hidden="1" x14ac:dyDescent="0.25"/>
    <row r="759" hidden="1" x14ac:dyDescent="0.25"/>
    <row r="760" hidden="1" x14ac:dyDescent="0.25"/>
    <row r="761" hidden="1" x14ac:dyDescent="0.25"/>
    <row r="762" hidden="1" x14ac:dyDescent="0.25"/>
    <row r="763" hidden="1" x14ac:dyDescent="0.25"/>
    <row r="764" hidden="1" x14ac:dyDescent="0.25"/>
    <row r="765" hidden="1" x14ac:dyDescent="0.25"/>
    <row r="766" hidden="1" x14ac:dyDescent="0.25"/>
    <row r="767" hidden="1" x14ac:dyDescent="0.25"/>
    <row r="768" hidden="1" x14ac:dyDescent="0.25"/>
    <row r="769" hidden="1" x14ac:dyDescent="0.25"/>
    <row r="770" hidden="1" x14ac:dyDescent="0.25"/>
    <row r="771" hidden="1" x14ac:dyDescent="0.25"/>
    <row r="772" hidden="1" x14ac:dyDescent="0.25"/>
    <row r="773" hidden="1" x14ac:dyDescent="0.25"/>
    <row r="774" hidden="1" x14ac:dyDescent="0.25"/>
    <row r="775" hidden="1" x14ac:dyDescent="0.25"/>
    <row r="776" hidden="1" x14ac:dyDescent="0.25"/>
    <row r="777" hidden="1" x14ac:dyDescent="0.25"/>
    <row r="778" hidden="1" x14ac:dyDescent="0.25"/>
    <row r="779" hidden="1" x14ac:dyDescent="0.25"/>
    <row r="780" hidden="1" x14ac:dyDescent="0.25"/>
    <row r="781" hidden="1" x14ac:dyDescent="0.25"/>
    <row r="782" hidden="1" x14ac:dyDescent="0.25"/>
    <row r="783" hidden="1" x14ac:dyDescent="0.25"/>
    <row r="784" hidden="1" x14ac:dyDescent="0.25"/>
    <row r="785" hidden="1" x14ac:dyDescent="0.25"/>
    <row r="786" hidden="1" x14ac:dyDescent="0.25"/>
    <row r="787" hidden="1" x14ac:dyDescent="0.25"/>
    <row r="788" hidden="1" x14ac:dyDescent="0.25"/>
    <row r="789" hidden="1" x14ac:dyDescent="0.25"/>
    <row r="790" hidden="1" x14ac:dyDescent="0.25"/>
    <row r="791" hidden="1" x14ac:dyDescent="0.25"/>
    <row r="792" hidden="1" x14ac:dyDescent="0.25"/>
    <row r="793" hidden="1" x14ac:dyDescent="0.25"/>
    <row r="794" hidden="1" x14ac:dyDescent="0.25"/>
    <row r="795" hidden="1" x14ac:dyDescent="0.25"/>
    <row r="796" hidden="1" x14ac:dyDescent="0.25"/>
    <row r="797" hidden="1" x14ac:dyDescent="0.25"/>
    <row r="798" hidden="1" x14ac:dyDescent="0.25"/>
    <row r="799" hidden="1" x14ac:dyDescent="0.25"/>
    <row r="800" hidden="1" x14ac:dyDescent="0.25"/>
    <row r="801" hidden="1" x14ac:dyDescent="0.25"/>
    <row r="802" hidden="1" x14ac:dyDescent="0.25"/>
    <row r="803" hidden="1" x14ac:dyDescent="0.25"/>
    <row r="804" hidden="1" x14ac:dyDescent="0.25"/>
    <row r="805" hidden="1" x14ac:dyDescent="0.25"/>
    <row r="806" hidden="1" x14ac:dyDescent="0.25"/>
    <row r="807" hidden="1" x14ac:dyDescent="0.25"/>
    <row r="808" hidden="1" x14ac:dyDescent="0.25"/>
    <row r="809" hidden="1" x14ac:dyDescent="0.25"/>
    <row r="810" hidden="1" x14ac:dyDescent="0.25"/>
    <row r="811" hidden="1" x14ac:dyDescent="0.25"/>
    <row r="812" hidden="1" x14ac:dyDescent="0.25"/>
    <row r="813" hidden="1" x14ac:dyDescent="0.25"/>
    <row r="814" hidden="1" x14ac:dyDescent="0.25"/>
    <row r="815" hidden="1" x14ac:dyDescent="0.25"/>
    <row r="816" hidden="1" x14ac:dyDescent="0.25"/>
    <row r="817" hidden="1" x14ac:dyDescent="0.25"/>
    <row r="818" hidden="1" x14ac:dyDescent="0.25"/>
    <row r="819" hidden="1" x14ac:dyDescent="0.25"/>
    <row r="820" hidden="1" x14ac:dyDescent="0.25"/>
    <row r="821" hidden="1" x14ac:dyDescent="0.25"/>
    <row r="822" hidden="1" x14ac:dyDescent="0.25"/>
    <row r="823" hidden="1" x14ac:dyDescent="0.25"/>
    <row r="824" hidden="1" x14ac:dyDescent="0.25"/>
    <row r="825" hidden="1" x14ac:dyDescent="0.25"/>
    <row r="826" hidden="1" x14ac:dyDescent="0.25"/>
    <row r="827" hidden="1" x14ac:dyDescent="0.25"/>
    <row r="828" hidden="1" x14ac:dyDescent="0.25"/>
    <row r="829" hidden="1" x14ac:dyDescent="0.25"/>
    <row r="830" hidden="1" x14ac:dyDescent="0.25"/>
    <row r="831" hidden="1" x14ac:dyDescent="0.25"/>
    <row r="832" hidden="1" x14ac:dyDescent="0.25"/>
    <row r="833" hidden="1" x14ac:dyDescent="0.25"/>
    <row r="834" hidden="1" x14ac:dyDescent="0.25"/>
    <row r="835" hidden="1" x14ac:dyDescent="0.25"/>
    <row r="836" hidden="1" x14ac:dyDescent="0.25"/>
    <row r="837" hidden="1" x14ac:dyDescent="0.25"/>
    <row r="838" hidden="1" x14ac:dyDescent="0.25"/>
    <row r="839" hidden="1" x14ac:dyDescent="0.25"/>
    <row r="840" hidden="1" x14ac:dyDescent="0.25"/>
    <row r="841" hidden="1" x14ac:dyDescent="0.25"/>
    <row r="842" hidden="1" x14ac:dyDescent="0.25"/>
    <row r="843" hidden="1" x14ac:dyDescent="0.25"/>
    <row r="844" hidden="1" x14ac:dyDescent="0.25"/>
    <row r="845" hidden="1" x14ac:dyDescent="0.25"/>
    <row r="846" hidden="1" x14ac:dyDescent="0.25"/>
    <row r="847" hidden="1" x14ac:dyDescent="0.25"/>
    <row r="848" hidden="1" x14ac:dyDescent="0.25"/>
    <row r="849" hidden="1" x14ac:dyDescent="0.25"/>
    <row r="850" hidden="1" x14ac:dyDescent="0.25"/>
    <row r="851" hidden="1" x14ac:dyDescent="0.25"/>
    <row r="852" hidden="1" x14ac:dyDescent="0.25"/>
    <row r="853" hidden="1" x14ac:dyDescent="0.25"/>
    <row r="854" hidden="1" x14ac:dyDescent="0.25"/>
    <row r="855" hidden="1" x14ac:dyDescent="0.25"/>
    <row r="856" hidden="1" x14ac:dyDescent="0.25"/>
    <row r="857" hidden="1" x14ac:dyDescent="0.25"/>
    <row r="858" hidden="1" x14ac:dyDescent="0.25"/>
    <row r="859" hidden="1" x14ac:dyDescent="0.25"/>
    <row r="860" hidden="1" x14ac:dyDescent="0.25"/>
    <row r="861" hidden="1" x14ac:dyDescent="0.25"/>
    <row r="862" hidden="1" x14ac:dyDescent="0.25"/>
    <row r="863" hidden="1" x14ac:dyDescent="0.25"/>
    <row r="864" hidden="1" x14ac:dyDescent="0.25"/>
    <row r="865" hidden="1" x14ac:dyDescent="0.25"/>
    <row r="866" hidden="1" x14ac:dyDescent="0.25"/>
    <row r="867" hidden="1" x14ac:dyDescent="0.25"/>
    <row r="868" hidden="1" x14ac:dyDescent="0.25"/>
    <row r="869" hidden="1" x14ac:dyDescent="0.25"/>
    <row r="870" hidden="1" x14ac:dyDescent="0.25"/>
    <row r="871" hidden="1" x14ac:dyDescent="0.25"/>
    <row r="872" hidden="1" x14ac:dyDescent="0.25"/>
    <row r="873" hidden="1" x14ac:dyDescent="0.25"/>
    <row r="874" hidden="1" x14ac:dyDescent="0.25"/>
    <row r="875" hidden="1" x14ac:dyDescent="0.25"/>
    <row r="876" hidden="1" x14ac:dyDescent="0.25"/>
    <row r="877" hidden="1" x14ac:dyDescent="0.25"/>
    <row r="878" hidden="1" x14ac:dyDescent="0.25"/>
    <row r="879" hidden="1" x14ac:dyDescent="0.25"/>
    <row r="880" hidden="1" x14ac:dyDescent="0.25"/>
    <row r="881" hidden="1" x14ac:dyDescent="0.25"/>
    <row r="882" hidden="1" x14ac:dyDescent="0.25"/>
    <row r="883" hidden="1" x14ac:dyDescent="0.25"/>
    <row r="884" hidden="1" x14ac:dyDescent="0.25"/>
    <row r="885" hidden="1" x14ac:dyDescent="0.25"/>
    <row r="886" hidden="1" x14ac:dyDescent="0.25"/>
    <row r="887" hidden="1" x14ac:dyDescent="0.25"/>
    <row r="888" hidden="1" x14ac:dyDescent="0.25"/>
    <row r="889" hidden="1" x14ac:dyDescent="0.25"/>
    <row r="890" hidden="1" x14ac:dyDescent="0.25"/>
    <row r="891" hidden="1" x14ac:dyDescent="0.25"/>
    <row r="892" hidden="1" x14ac:dyDescent="0.25"/>
    <row r="893" hidden="1" x14ac:dyDescent="0.25"/>
    <row r="894" hidden="1" x14ac:dyDescent="0.25"/>
    <row r="895" hidden="1" x14ac:dyDescent="0.25"/>
    <row r="896" hidden="1" x14ac:dyDescent="0.25"/>
    <row r="897" hidden="1" x14ac:dyDescent="0.25"/>
    <row r="898" hidden="1" x14ac:dyDescent="0.25"/>
    <row r="899" hidden="1" x14ac:dyDescent="0.25"/>
    <row r="900" hidden="1" x14ac:dyDescent="0.25"/>
    <row r="901" hidden="1" x14ac:dyDescent="0.25"/>
    <row r="902" hidden="1" x14ac:dyDescent="0.25"/>
    <row r="903" hidden="1" x14ac:dyDescent="0.25"/>
    <row r="904" hidden="1" x14ac:dyDescent="0.25"/>
    <row r="905" hidden="1" x14ac:dyDescent="0.25"/>
    <row r="906" hidden="1" x14ac:dyDescent="0.25"/>
    <row r="907" hidden="1" x14ac:dyDescent="0.25"/>
    <row r="908" hidden="1" x14ac:dyDescent="0.25"/>
    <row r="909" hidden="1" x14ac:dyDescent="0.25"/>
    <row r="910" hidden="1" x14ac:dyDescent="0.25"/>
    <row r="911" hidden="1" x14ac:dyDescent="0.25"/>
    <row r="912" hidden="1" x14ac:dyDescent="0.25"/>
    <row r="913" hidden="1" x14ac:dyDescent="0.25"/>
    <row r="914" hidden="1" x14ac:dyDescent="0.25"/>
    <row r="915" hidden="1" x14ac:dyDescent="0.25"/>
    <row r="916" hidden="1" x14ac:dyDescent="0.25"/>
    <row r="917" hidden="1" x14ac:dyDescent="0.25"/>
    <row r="918" hidden="1" x14ac:dyDescent="0.25"/>
    <row r="919" hidden="1" x14ac:dyDescent="0.25"/>
    <row r="920" hidden="1" x14ac:dyDescent="0.25"/>
    <row r="921" hidden="1" x14ac:dyDescent="0.25"/>
    <row r="922" hidden="1" x14ac:dyDescent="0.25"/>
    <row r="923" hidden="1" x14ac:dyDescent="0.25"/>
    <row r="924" hidden="1" x14ac:dyDescent="0.25"/>
    <row r="925" hidden="1" x14ac:dyDescent="0.25"/>
    <row r="926" hidden="1" x14ac:dyDescent="0.25"/>
    <row r="927" hidden="1" x14ac:dyDescent="0.25"/>
    <row r="928" hidden="1" x14ac:dyDescent="0.25"/>
    <row r="929" hidden="1" x14ac:dyDescent="0.25"/>
    <row r="930" hidden="1" x14ac:dyDescent="0.25"/>
    <row r="931" hidden="1" x14ac:dyDescent="0.25"/>
    <row r="932" hidden="1" x14ac:dyDescent="0.25"/>
    <row r="933" hidden="1" x14ac:dyDescent="0.25"/>
    <row r="934" hidden="1" x14ac:dyDescent="0.25"/>
    <row r="935" hidden="1" x14ac:dyDescent="0.25"/>
    <row r="936" hidden="1" x14ac:dyDescent="0.25"/>
    <row r="937" hidden="1" x14ac:dyDescent="0.25"/>
    <row r="938" hidden="1" x14ac:dyDescent="0.25"/>
    <row r="939" hidden="1" x14ac:dyDescent="0.25"/>
    <row r="940" hidden="1" x14ac:dyDescent="0.25"/>
    <row r="941" hidden="1" x14ac:dyDescent="0.25"/>
    <row r="942" hidden="1" x14ac:dyDescent="0.25"/>
    <row r="943" hidden="1" x14ac:dyDescent="0.25"/>
    <row r="944" hidden="1" x14ac:dyDescent="0.25"/>
    <row r="945" hidden="1" x14ac:dyDescent="0.25"/>
    <row r="946" hidden="1" x14ac:dyDescent="0.25"/>
    <row r="947" hidden="1" x14ac:dyDescent="0.25"/>
    <row r="948" hidden="1" x14ac:dyDescent="0.25"/>
    <row r="949" hidden="1" x14ac:dyDescent="0.25"/>
    <row r="950" hidden="1" x14ac:dyDescent="0.25"/>
    <row r="951" hidden="1" x14ac:dyDescent="0.25"/>
    <row r="952" hidden="1" x14ac:dyDescent="0.25"/>
    <row r="953" hidden="1" x14ac:dyDescent="0.25"/>
    <row r="954" hidden="1" x14ac:dyDescent="0.25"/>
    <row r="955" hidden="1" x14ac:dyDescent="0.25"/>
    <row r="956" hidden="1" x14ac:dyDescent="0.25"/>
    <row r="957" hidden="1" x14ac:dyDescent="0.25"/>
    <row r="958" hidden="1" x14ac:dyDescent="0.25"/>
    <row r="959" hidden="1" x14ac:dyDescent="0.25"/>
    <row r="960" hidden="1" x14ac:dyDescent="0.25"/>
    <row r="961" hidden="1" x14ac:dyDescent="0.25"/>
    <row r="962" hidden="1" x14ac:dyDescent="0.25"/>
    <row r="963" hidden="1" x14ac:dyDescent="0.25"/>
    <row r="964" hidden="1" x14ac:dyDescent="0.25"/>
    <row r="965" hidden="1" x14ac:dyDescent="0.25"/>
    <row r="966" hidden="1" x14ac:dyDescent="0.25"/>
    <row r="967" hidden="1" x14ac:dyDescent="0.25"/>
    <row r="968" hidden="1" x14ac:dyDescent="0.25"/>
    <row r="969" hidden="1" x14ac:dyDescent="0.25"/>
    <row r="970" hidden="1" x14ac:dyDescent="0.25"/>
    <row r="971" hidden="1" x14ac:dyDescent="0.25"/>
    <row r="972" hidden="1" x14ac:dyDescent="0.25"/>
    <row r="973" hidden="1" x14ac:dyDescent="0.25"/>
    <row r="974" hidden="1" x14ac:dyDescent="0.25"/>
    <row r="975" hidden="1" x14ac:dyDescent="0.25"/>
    <row r="976" hidden="1" x14ac:dyDescent="0.25"/>
    <row r="977" hidden="1" x14ac:dyDescent="0.25"/>
    <row r="978" hidden="1" x14ac:dyDescent="0.25"/>
    <row r="979" hidden="1" x14ac:dyDescent="0.25"/>
    <row r="980" hidden="1" x14ac:dyDescent="0.25"/>
    <row r="981" hidden="1" x14ac:dyDescent="0.25"/>
    <row r="982" hidden="1" x14ac:dyDescent="0.25"/>
    <row r="983" hidden="1" x14ac:dyDescent="0.25"/>
    <row r="984" hidden="1" x14ac:dyDescent="0.25"/>
    <row r="985" hidden="1" x14ac:dyDescent="0.25"/>
    <row r="986" hidden="1" x14ac:dyDescent="0.25"/>
    <row r="987" hidden="1" x14ac:dyDescent="0.25"/>
    <row r="988" hidden="1" x14ac:dyDescent="0.25"/>
    <row r="989" hidden="1" x14ac:dyDescent="0.25"/>
    <row r="990" hidden="1" x14ac:dyDescent="0.25"/>
    <row r="991" hidden="1" x14ac:dyDescent="0.25"/>
    <row r="992" hidden="1" x14ac:dyDescent="0.25"/>
    <row r="993" hidden="1" x14ac:dyDescent="0.25"/>
    <row r="994" hidden="1" x14ac:dyDescent="0.25"/>
    <row r="995" hidden="1" x14ac:dyDescent="0.25"/>
    <row r="996" hidden="1" x14ac:dyDescent="0.25"/>
    <row r="997" hidden="1" x14ac:dyDescent="0.25"/>
    <row r="998" hidden="1" x14ac:dyDescent="0.25"/>
    <row r="999" hidden="1" x14ac:dyDescent="0.25"/>
    <row r="1000" hidden="1" x14ac:dyDescent="0.25"/>
    <row r="1001" hidden="1" x14ac:dyDescent="0.25"/>
    <row r="1002" hidden="1" x14ac:dyDescent="0.25"/>
    <row r="1003" hidden="1" x14ac:dyDescent="0.25"/>
    <row r="1004" hidden="1" x14ac:dyDescent="0.25"/>
    <row r="1005" hidden="1" x14ac:dyDescent="0.25"/>
    <row r="1006" hidden="1" x14ac:dyDescent="0.25"/>
    <row r="1007" hidden="1" x14ac:dyDescent="0.25"/>
    <row r="1008" hidden="1" x14ac:dyDescent="0.25"/>
    <row r="1009" hidden="1" x14ac:dyDescent="0.25"/>
    <row r="1010" hidden="1" x14ac:dyDescent="0.25"/>
    <row r="1011" hidden="1" x14ac:dyDescent="0.25"/>
    <row r="1012" hidden="1" x14ac:dyDescent="0.25"/>
    <row r="1013" hidden="1" x14ac:dyDescent="0.25"/>
    <row r="1014" hidden="1" x14ac:dyDescent="0.25"/>
    <row r="1015" hidden="1" x14ac:dyDescent="0.25"/>
    <row r="1016" hidden="1" x14ac:dyDescent="0.25"/>
    <row r="1017" hidden="1" x14ac:dyDescent="0.25"/>
    <row r="1018" hidden="1" x14ac:dyDescent="0.25"/>
    <row r="1019" hidden="1" x14ac:dyDescent="0.25"/>
    <row r="1020" hidden="1" x14ac:dyDescent="0.25"/>
    <row r="1021" hidden="1" x14ac:dyDescent="0.25"/>
    <row r="1022" hidden="1" x14ac:dyDescent="0.25"/>
    <row r="1023" hidden="1" x14ac:dyDescent="0.25"/>
    <row r="1024" hidden="1" x14ac:dyDescent="0.25"/>
    <row r="1025" hidden="1" x14ac:dyDescent="0.25"/>
    <row r="1026" hidden="1" x14ac:dyDescent="0.25"/>
    <row r="1027" hidden="1" x14ac:dyDescent="0.25"/>
    <row r="1028" hidden="1" x14ac:dyDescent="0.25"/>
    <row r="1029" hidden="1" x14ac:dyDescent="0.25"/>
    <row r="1030" hidden="1" x14ac:dyDescent="0.25"/>
    <row r="1031" hidden="1" x14ac:dyDescent="0.25"/>
    <row r="1032" hidden="1" x14ac:dyDescent="0.25"/>
    <row r="1033" hidden="1" x14ac:dyDescent="0.25"/>
    <row r="1034" hidden="1" x14ac:dyDescent="0.25"/>
    <row r="1035" hidden="1" x14ac:dyDescent="0.25"/>
    <row r="1036" hidden="1" x14ac:dyDescent="0.25"/>
    <row r="1037" hidden="1" x14ac:dyDescent="0.25"/>
    <row r="1038" hidden="1" x14ac:dyDescent="0.25"/>
    <row r="1039" hidden="1" x14ac:dyDescent="0.25"/>
    <row r="1040" hidden="1" x14ac:dyDescent="0.25"/>
    <row r="1041" hidden="1" x14ac:dyDescent="0.25"/>
    <row r="1042" hidden="1" x14ac:dyDescent="0.25"/>
    <row r="1043" hidden="1" x14ac:dyDescent="0.25"/>
    <row r="1044" hidden="1" x14ac:dyDescent="0.25"/>
    <row r="1045" hidden="1" x14ac:dyDescent="0.25"/>
    <row r="1046" hidden="1" x14ac:dyDescent="0.25"/>
    <row r="1047" hidden="1" x14ac:dyDescent="0.25"/>
    <row r="1048" hidden="1" x14ac:dyDescent="0.25"/>
    <row r="1049" hidden="1" x14ac:dyDescent="0.25"/>
    <row r="1050" hidden="1" x14ac:dyDescent="0.25"/>
    <row r="1051" hidden="1" x14ac:dyDescent="0.25"/>
    <row r="1052" hidden="1" x14ac:dyDescent="0.25"/>
    <row r="1053" hidden="1" x14ac:dyDescent="0.25"/>
    <row r="1054" hidden="1" x14ac:dyDescent="0.25"/>
    <row r="1055" hidden="1" x14ac:dyDescent="0.25"/>
    <row r="1056" hidden="1" x14ac:dyDescent="0.25"/>
    <row r="1057" hidden="1" x14ac:dyDescent="0.25"/>
    <row r="1058" hidden="1" x14ac:dyDescent="0.25"/>
    <row r="1059" hidden="1" x14ac:dyDescent="0.25"/>
    <row r="1060" hidden="1" x14ac:dyDescent="0.25"/>
    <row r="1061" hidden="1" x14ac:dyDescent="0.25"/>
    <row r="1062" hidden="1" x14ac:dyDescent="0.25"/>
    <row r="1063" hidden="1" x14ac:dyDescent="0.25"/>
    <row r="1064" hidden="1" x14ac:dyDescent="0.25"/>
    <row r="1065" hidden="1" x14ac:dyDescent="0.25"/>
    <row r="1066" hidden="1" x14ac:dyDescent="0.25"/>
    <row r="1067" hidden="1" x14ac:dyDescent="0.25"/>
    <row r="1068" hidden="1" x14ac:dyDescent="0.25"/>
    <row r="1069" hidden="1" x14ac:dyDescent="0.25"/>
    <row r="1070" hidden="1" x14ac:dyDescent="0.25"/>
    <row r="1071" hidden="1" x14ac:dyDescent="0.25"/>
    <row r="1072" hidden="1" x14ac:dyDescent="0.25"/>
    <row r="1073" hidden="1" x14ac:dyDescent="0.25"/>
    <row r="1074" hidden="1" x14ac:dyDescent="0.25"/>
    <row r="1075" hidden="1" x14ac:dyDescent="0.25"/>
    <row r="1076" hidden="1" x14ac:dyDescent="0.25"/>
    <row r="1077" hidden="1" x14ac:dyDescent="0.25"/>
    <row r="1078" hidden="1" x14ac:dyDescent="0.25"/>
    <row r="1079" hidden="1" x14ac:dyDescent="0.25"/>
    <row r="1080" hidden="1" x14ac:dyDescent="0.25"/>
    <row r="1081" hidden="1" x14ac:dyDescent="0.25"/>
    <row r="1082" hidden="1" x14ac:dyDescent="0.25"/>
    <row r="1083" hidden="1" x14ac:dyDescent="0.25"/>
    <row r="1084" hidden="1" x14ac:dyDescent="0.25"/>
    <row r="1085" hidden="1" x14ac:dyDescent="0.25"/>
    <row r="1086" hidden="1" x14ac:dyDescent="0.25"/>
    <row r="1087" hidden="1" x14ac:dyDescent="0.25"/>
    <row r="1088" hidden="1" x14ac:dyDescent="0.25"/>
    <row r="1089" hidden="1" x14ac:dyDescent="0.25"/>
    <row r="1090" hidden="1" x14ac:dyDescent="0.25"/>
    <row r="1091" hidden="1" x14ac:dyDescent="0.25"/>
    <row r="1092" hidden="1" x14ac:dyDescent="0.25"/>
    <row r="1093" hidden="1" x14ac:dyDescent="0.25"/>
    <row r="1094" hidden="1" x14ac:dyDescent="0.25"/>
    <row r="1095" hidden="1" x14ac:dyDescent="0.25"/>
    <row r="1096" hidden="1" x14ac:dyDescent="0.25"/>
    <row r="1097" hidden="1" x14ac:dyDescent="0.25"/>
    <row r="1098" hidden="1" x14ac:dyDescent="0.25"/>
    <row r="1099" hidden="1" x14ac:dyDescent="0.25"/>
    <row r="1100" hidden="1" x14ac:dyDescent="0.25"/>
    <row r="1101" hidden="1" x14ac:dyDescent="0.25"/>
    <row r="1102" hidden="1" x14ac:dyDescent="0.25"/>
    <row r="1103" hidden="1" x14ac:dyDescent="0.25"/>
    <row r="1104" hidden="1" x14ac:dyDescent="0.25"/>
    <row r="1105" hidden="1" x14ac:dyDescent="0.25"/>
    <row r="1106" hidden="1" x14ac:dyDescent="0.25"/>
    <row r="1107" hidden="1" x14ac:dyDescent="0.25"/>
    <row r="1108" hidden="1" x14ac:dyDescent="0.25"/>
    <row r="1109" hidden="1" x14ac:dyDescent="0.25"/>
    <row r="1110" hidden="1" x14ac:dyDescent="0.25"/>
    <row r="1111" hidden="1" x14ac:dyDescent="0.25"/>
    <row r="1112" hidden="1" x14ac:dyDescent="0.25"/>
    <row r="1113" hidden="1" x14ac:dyDescent="0.25"/>
    <row r="1114" hidden="1" x14ac:dyDescent="0.25"/>
    <row r="1115" hidden="1" x14ac:dyDescent="0.25"/>
    <row r="1116" hidden="1" x14ac:dyDescent="0.25"/>
    <row r="1117" hidden="1" x14ac:dyDescent="0.25"/>
    <row r="1118" hidden="1" x14ac:dyDescent="0.25"/>
    <row r="1119" hidden="1" x14ac:dyDescent="0.25"/>
    <row r="1120" hidden="1" x14ac:dyDescent="0.25"/>
    <row r="1121" hidden="1" x14ac:dyDescent="0.25"/>
    <row r="1122" hidden="1" x14ac:dyDescent="0.25"/>
    <row r="1123" hidden="1" x14ac:dyDescent="0.25"/>
    <row r="1124" hidden="1" x14ac:dyDescent="0.25"/>
    <row r="1125" hidden="1" x14ac:dyDescent="0.25"/>
    <row r="1126" hidden="1" x14ac:dyDescent="0.25"/>
    <row r="1127" hidden="1" x14ac:dyDescent="0.25"/>
    <row r="1128" hidden="1" x14ac:dyDescent="0.25"/>
    <row r="1129" hidden="1" x14ac:dyDescent="0.25"/>
    <row r="1130" hidden="1" x14ac:dyDescent="0.25"/>
    <row r="1131" hidden="1" x14ac:dyDescent="0.25"/>
    <row r="1132" hidden="1" x14ac:dyDescent="0.25"/>
    <row r="1133" hidden="1" x14ac:dyDescent="0.25"/>
    <row r="1134" hidden="1" x14ac:dyDescent="0.25"/>
    <row r="1135" hidden="1" x14ac:dyDescent="0.25"/>
    <row r="1136" hidden="1" x14ac:dyDescent="0.25"/>
    <row r="1137" hidden="1" x14ac:dyDescent="0.25"/>
    <row r="1138" hidden="1" x14ac:dyDescent="0.25"/>
    <row r="1139" hidden="1" x14ac:dyDescent="0.25"/>
    <row r="1140" hidden="1" x14ac:dyDescent="0.25"/>
    <row r="1141" hidden="1" x14ac:dyDescent="0.25"/>
    <row r="1142" hidden="1" x14ac:dyDescent="0.25"/>
    <row r="1143" hidden="1" x14ac:dyDescent="0.25"/>
    <row r="1144" hidden="1" x14ac:dyDescent="0.25"/>
    <row r="1145" hidden="1" x14ac:dyDescent="0.25"/>
    <row r="1146" hidden="1" x14ac:dyDescent="0.25"/>
    <row r="1147" hidden="1" x14ac:dyDescent="0.25"/>
    <row r="1148" hidden="1" x14ac:dyDescent="0.25"/>
    <row r="1149" hidden="1" x14ac:dyDescent="0.25"/>
    <row r="1150" hidden="1" x14ac:dyDescent="0.25"/>
    <row r="1151" hidden="1" x14ac:dyDescent="0.25"/>
    <row r="1152" hidden="1" x14ac:dyDescent="0.25"/>
    <row r="1153" hidden="1" x14ac:dyDescent="0.25"/>
    <row r="1154" hidden="1" x14ac:dyDescent="0.25"/>
    <row r="1155" hidden="1" x14ac:dyDescent="0.25"/>
    <row r="1156" hidden="1" x14ac:dyDescent="0.25"/>
    <row r="1157" hidden="1" x14ac:dyDescent="0.25"/>
    <row r="1158" hidden="1" x14ac:dyDescent="0.25"/>
    <row r="1159" hidden="1" x14ac:dyDescent="0.25"/>
    <row r="1160" hidden="1" x14ac:dyDescent="0.25"/>
    <row r="1161" hidden="1" x14ac:dyDescent="0.25"/>
    <row r="1162" hidden="1" x14ac:dyDescent="0.25"/>
    <row r="1163" hidden="1" x14ac:dyDescent="0.25"/>
    <row r="1164" hidden="1" x14ac:dyDescent="0.25"/>
    <row r="1165" hidden="1" x14ac:dyDescent="0.25"/>
    <row r="1166" hidden="1" x14ac:dyDescent="0.25"/>
    <row r="1167" hidden="1" x14ac:dyDescent="0.25"/>
    <row r="1168" hidden="1" x14ac:dyDescent="0.25"/>
    <row r="1169" hidden="1" x14ac:dyDescent="0.25"/>
    <row r="1170" hidden="1" x14ac:dyDescent="0.25"/>
    <row r="1171" hidden="1" x14ac:dyDescent="0.25"/>
    <row r="1172" hidden="1" x14ac:dyDescent="0.25"/>
    <row r="1173" hidden="1" x14ac:dyDescent="0.25"/>
    <row r="1174" hidden="1" x14ac:dyDescent="0.25"/>
    <row r="1175" hidden="1" x14ac:dyDescent="0.25"/>
    <row r="1176" hidden="1" x14ac:dyDescent="0.25"/>
    <row r="1177" hidden="1" x14ac:dyDescent="0.25"/>
    <row r="1178" hidden="1" x14ac:dyDescent="0.25"/>
    <row r="1179" hidden="1" x14ac:dyDescent="0.25"/>
    <row r="1180" hidden="1" x14ac:dyDescent="0.25"/>
    <row r="1181" hidden="1" x14ac:dyDescent="0.25"/>
    <row r="1182" hidden="1" x14ac:dyDescent="0.25"/>
    <row r="1183" hidden="1" x14ac:dyDescent="0.25"/>
    <row r="1184" hidden="1" x14ac:dyDescent="0.25"/>
    <row r="1185" hidden="1" x14ac:dyDescent="0.25"/>
    <row r="1186" hidden="1" x14ac:dyDescent="0.25"/>
    <row r="1187" hidden="1" x14ac:dyDescent="0.25"/>
    <row r="1188" hidden="1" x14ac:dyDescent="0.25"/>
    <row r="1189" hidden="1" x14ac:dyDescent="0.25"/>
    <row r="1190" hidden="1" x14ac:dyDescent="0.25"/>
    <row r="1191" hidden="1" x14ac:dyDescent="0.25"/>
    <row r="1192" hidden="1" x14ac:dyDescent="0.25"/>
    <row r="1193" hidden="1" x14ac:dyDescent="0.25"/>
    <row r="1194" hidden="1" x14ac:dyDescent="0.25"/>
    <row r="1195" hidden="1" x14ac:dyDescent="0.25"/>
    <row r="1196" hidden="1" x14ac:dyDescent="0.25"/>
    <row r="1197" hidden="1" x14ac:dyDescent="0.25"/>
    <row r="1198" hidden="1" x14ac:dyDescent="0.25"/>
    <row r="1199" hidden="1" x14ac:dyDescent="0.25"/>
    <row r="1200" hidden="1" x14ac:dyDescent="0.25"/>
    <row r="1201" hidden="1" x14ac:dyDescent="0.25"/>
    <row r="1202" hidden="1" x14ac:dyDescent="0.25"/>
    <row r="1203" hidden="1" x14ac:dyDescent="0.25"/>
    <row r="1204" hidden="1" x14ac:dyDescent="0.25"/>
    <row r="1205" hidden="1" x14ac:dyDescent="0.25"/>
    <row r="1206" hidden="1" x14ac:dyDescent="0.25"/>
    <row r="1207" hidden="1" x14ac:dyDescent="0.25"/>
    <row r="1208" hidden="1" x14ac:dyDescent="0.25"/>
    <row r="1209" hidden="1" x14ac:dyDescent="0.25"/>
    <row r="1210" hidden="1" x14ac:dyDescent="0.25"/>
    <row r="1211" hidden="1" x14ac:dyDescent="0.25"/>
    <row r="1212" hidden="1" x14ac:dyDescent="0.25"/>
    <row r="1213" hidden="1" x14ac:dyDescent="0.25"/>
    <row r="1214" hidden="1" x14ac:dyDescent="0.25"/>
    <row r="1215" hidden="1" x14ac:dyDescent="0.25"/>
    <row r="1216" hidden="1" x14ac:dyDescent="0.25"/>
    <row r="1217" hidden="1" x14ac:dyDescent="0.25"/>
    <row r="1218" hidden="1" x14ac:dyDescent="0.25"/>
    <row r="1219" hidden="1" x14ac:dyDescent="0.25"/>
    <row r="1220" hidden="1" x14ac:dyDescent="0.25"/>
    <row r="1221" hidden="1" x14ac:dyDescent="0.25"/>
    <row r="1222" hidden="1" x14ac:dyDescent="0.25"/>
    <row r="1223" hidden="1" x14ac:dyDescent="0.25"/>
    <row r="1224" hidden="1" x14ac:dyDescent="0.25"/>
    <row r="1225" hidden="1" x14ac:dyDescent="0.25"/>
    <row r="1226" hidden="1" x14ac:dyDescent="0.25"/>
    <row r="1227" hidden="1" x14ac:dyDescent="0.25"/>
    <row r="1228" hidden="1" x14ac:dyDescent="0.25"/>
    <row r="1229" hidden="1" x14ac:dyDescent="0.25"/>
    <row r="1230" hidden="1" x14ac:dyDescent="0.25"/>
    <row r="1231" hidden="1" x14ac:dyDescent="0.25"/>
    <row r="1232" hidden="1" x14ac:dyDescent="0.25"/>
    <row r="1233" hidden="1" x14ac:dyDescent="0.25"/>
    <row r="1234" hidden="1" x14ac:dyDescent="0.25"/>
    <row r="1235" hidden="1" x14ac:dyDescent="0.25"/>
    <row r="1236" hidden="1" x14ac:dyDescent="0.25"/>
    <row r="1237" hidden="1" x14ac:dyDescent="0.25"/>
    <row r="1238" hidden="1" x14ac:dyDescent="0.25"/>
    <row r="1239" hidden="1" x14ac:dyDescent="0.25"/>
    <row r="1240" hidden="1" x14ac:dyDescent="0.25"/>
    <row r="1241" hidden="1" x14ac:dyDescent="0.25"/>
    <row r="1242" hidden="1" x14ac:dyDescent="0.25"/>
    <row r="1243" hidden="1" x14ac:dyDescent="0.25"/>
    <row r="1244" hidden="1" x14ac:dyDescent="0.25"/>
    <row r="1245" hidden="1" x14ac:dyDescent="0.25"/>
    <row r="1246" hidden="1" x14ac:dyDescent="0.25"/>
    <row r="1247" hidden="1" x14ac:dyDescent="0.25"/>
    <row r="1248" hidden="1" x14ac:dyDescent="0.25"/>
    <row r="1249" hidden="1" x14ac:dyDescent="0.25"/>
    <row r="1250" hidden="1" x14ac:dyDescent="0.25"/>
    <row r="1251" hidden="1" x14ac:dyDescent="0.25"/>
    <row r="1252" hidden="1" x14ac:dyDescent="0.25"/>
    <row r="1253" hidden="1" x14ac:dyDescent="0.25"/>
    <row r="1254" hidden="1" x14ac:dyDescent="0.25"/>
    <row r="1255" hidden="1" x14ac:dyDescent="0.25"/>
    <row r="1256" hidden="1" x14ac:dyDescent="0.25"/>
    <row r="1257" hidden="1" x14ac:dyDescent="0.25"/>
    <row r="1258" hidden="1" x14ac:dyDescent="0.25"/>
    <row r="1259" hidden="1" x14ac:dyDescent="0.25"/>
    <row r="1260" hidden="1" x14ac:dyDescent="0.25"/>
    <row r="1261" hidden="1" x14ac:dyDescent="0.25"/>
    <row r="1262" hidden="1" x14ac:dyDescent="0.25"/>
    <row r="1263" hidden="1" x14ac:dyDescent="0.25"/>
    <row r="1264" hidden="1" x14ac:dyDescent="0.25"/>
    <row r="1265" hidden="1" x14ac:dyDescent="0.25"/>
    <row r="1266" hidden="1" x14ac:dyDescent="0.25"/>
    <row r="1267" hidden="1" x14ac:dyDescent="0.25"/>
    <row r="1268" hidden="1" x14ac:dyDescent="0.25"/>
    <row r="1269" hidden="1" x14ac:dyDescent="0.25"/>
    <row r="1270" hidden="1" x14ac:dyDescent="0.25"/>
    <row r="1271" hidden="1" x14ac:dyDescent="0.25"/>
    <row r="1272" hidden="1" x14ac:dyDescent="0.25"/>
    <row r="1273" hidden="1" x14ac:dyDescent="0.25"/>
    <row r="1274" hidden="1" x14ac:dyDescent="0.25"/>
    <row r="1275" hidden="1" x14ac:dyDescent="0.25"/>
    <row r="1276" hidden="1" x14ac:dyDescent="0.25"/>
    <row r="1277" hidden="1" x14ac:dyDescent="0.25"/>
    <row r="1278" hidden="1" x14ac:dyDescent="0.25"/>
    <row r="1279" hidden="1" x14ac:dyDescent="0.25"/>
    <row r="1280" hidden="1" x14ac:dyDescent="0.25"/>
    <row r="1281" hidden="1" x14ac:dyDescent="0.25"/>
    <row r="1282" hidden="1" x14ac:dyDescent="0.25"/>
    <row r="1283" hidden="1" x14ac:dyDescent="0.25"/>
    <row r="1284" hidden="1" x14ac:dyDescent="0.25"/>
    <row r="1285" hidden="1" x14ac:dyDescent="0.25"/>
    <row r="1286" hidden="1" x14ac:dyDescent="0.25"/>
    <row r="1287" hidden="1" x14ac:dyDescent="0.25"/>
    <row r="1288" hidden="1" x14ac:dyDescent="0.25"/>
    <row r="1289" hidden="1" x14ac:dyDescent="0.25"/>
    <row r="1290" hidden="1" x14ac:dyDescent="0.25"/>
    <row r="1291" hidden="1" x14ac:dyDescent="0.25"/>
    <row r="1292" hidden="1" x14ac:dyDescent="0.25"/>
    <row r="1293" hidden="1" x14ac:dyDescent="0.25"/>
    <row r="1294" hidden="1" x14ac:dyDescent="0.25"/>
    <row r="1295" hidden="1" x14ac:dyDescent="0.25"/>
    <row r="1296" hidden="1" x14ac:dyDescent="0.25"/>
    <row r="1297" hidden="1" x14ac:dyDescent="0.25"/>
    <row r="1298" hidden="1" x14ac:dyDescent="0.25"/>
    <row r="1299" hidden="1" x14ac:dyDescent="0.25"/>
    <row r="1300" hidden="1" x14ac:dyDescent="0.25"/>
    <row r="1301" hidden="1" x14ac:dyDescent="0.25"/>
    <row r="1302" hidden="1" x14ac:dyDescent="0.25"/>
    <row r="1303" hidden="1" x14ac:dyDescent="0.25"/>
    <row r="1304" hidden="1" x14ac:dyDescent="0.25"/>
    <row r="1305" hidden="1" x14ac:dyDescent="0.25"/>
    <row r="1306" hidden="1" x14ac:dyDescent="0.25"/>
    <row r="1307" hidden="1" x14ac:dyDescent="0.25"/>
    <row r="1308" hidden="1" x14ac:dyDescent="0.25"/>
    <row r="1309" hidden="1" x14ac:dyDescent="0.25"/>
    <row r="1310" hidden="1" x14ac:dyDescent="0.25"/>
    <row r="1311" hidden="1" x14ac:dyDescent="0.25"/>
    <row r="1312" hidden="1" x14ac:dyDescent="0.25"/>
    <row r="1313" hidden="1" x14ac:dyDescent="0.25"/>
    <row r="1314" hidden="1" x14ac:dyDescent="0.25"/>
    <row r="1315" hidden="1" x14ac:dyDescent="0.25"/>
    <row r="1316" hidden="1" x14ac:dyDescent="0.25"/>
    <row r="1317" hidden="1" x14ac:dyDescent="0.25"/>
    <row r="1318" hidden="1" x14ac:dyDescent="0.25"/>
    <row r="1319" hidden="1" x14ac:dyDescent="0.25"/>
    <row r="1320" hidden="1" x14ac:dyDescent="0.25"/>
    <row r="1321" hidden="1" x14ac:dyDescent="0.25"/>
    <row r="1322" hidden="1" x14ac:dyDescent="0.25"/>
    <row r="1323" hidden="1" x14ac:dyDescent="0.25"/>
    <row r="1324" hidden="1" x14ac:dyDescent="0.25"/>
    <row r="1325" hidden="1" x14ac:dyDescent="0.25"/>
    <row r="1326" hidden="1" x14ac:dyDescent="0.25"/>
    <row r="1327" hidden="1" x14ac:dyDescent="0.25"/>
    <row r="1330" spans="14:31" x14ac:dyDescent="0.25">
      <c r="N1330" s="391" t="s">
        <v>245</v>
      </c>
      <c r="O1330" s="392"/>
      <c r="Q1330" s="391" t="s">
        <v>246</v>
      </c>
      <c r="R1330" s="392"/>
      <c r="T1330" s="391" t="s">
        <v>247</v>
      </c>
      <c r="U1330" s="392"/>
      <c r="W1330" s="391" t="s">
        <v>248</v>
      </c>
      <c r="X1330" s="392"/>
      <c r="AA1330" s="391" t="s">
        <v>245</v>
      </c>
      <c r="AB1330" s="392"/>
      <c r="AD1330" s="391" t="s">
        <v>247</v>
      </c>
      <c r="AE1330" s="392"/>
    </row>
    <row r="1331" spans="14:31" x14ac:dyDescent="0.25">
      <c r="N1331" s="36" t="s">
        <v>212</v>
      </c>
      <c r="O1331" t="s">
        <v>31</v>
      </c>
      <c r="Q1331" s="36" t="s">
        <v>212</v>
      </c>
      <c r="R1331" t="s">
        <v>44</v>
      </c>
      <c r="T1331" s="36" t="s">
        <v>212</v>
      </c>
      <c r="U1331" t="s">
        <v>22</v>
      </c>
      <c r="W1331" s="36" t="s">
        <v>212</v>
      </c>
      <c r="X1331" t="s">
        <v>142</v>
      </c>
      <c r="AA1331" s="36" t="s">
        <v>212</v>
      </c>
      <c r="AB1331" t="s">
        <v>31</v>
      </c>
      <c r="AD1331" s="36" t="s">
        <v>212</v>
      </c>
      <c r="AE1331" t="s">
        <v>22</v>
      </c>
    </row>
    <row r="1332" spans="14:31" x14ac:dyDescent="0.25">
      <c r="N1332" s="36" t="s">
        <v>249</v>
      </c>
      <c r="O1332" t="s">
        <v>211</v>
      </c>
      <c r="Q1332" s="36" t="s">
        <v>249</v>
      </c>
      <c r="R1332" t="s">
        <v>211</v>
      </c>
      <c r="T1332" s="36" t="s">
        <v>249</v>
      </c>
      <c r="U1332" t="s">
        <v>211</v>
      </c>
      <c r="W1332" s="36" t="s">
        <v>249</v>
      </c>
      <c r="X1332" t="s">
        <v>211</v>
      </c>
      <c r="AA1332" s="36" t="s">
        <v>249</v>
      </c>
      <c r="AB1332" t="s">
        <v>211</v>
      </c>
      <c r="AD1332" s="36" t="s">
        <v>249</v>
      </c>
      <c r="AE1332" t="s">
        <v>211</v>
      </c>
    </row>
    <row r="1334" spans="14:31" x14ac:dyDescent="0.25">
      <c r="N1334" s="36" t="s">
        <v>215</v>
      </c>
      <c r="O1334" t="s">
        <v>218</v>
      </c>
      <c r="Q1334" s="36" t="s">
        <v>215</v>
      </c>
      <c r="R1334" t="s">
        <v>218</v>
      </c>
      <c r="T1334" s="36" t="s">
        <v>215</v>
      </c>
      <c r="U1334" t="s">
        <v>218</v>
      </c>
      <c r="W1334" s="36" t="s">
        <v>215</v>
      </c>
      <c r="X1334" t="s">
        <v>217</v>
      </c>
      <c r="AA1334" s="36" t="s">
        <v>215</v>
      </c>
      <c r="AB1334" t="s">
        <v>219</v>
      </c>
      <c r="AD1334" s="36" t="s">
        <v>215</v>
      </c>
      <c r="AE1334" t="s">
        <v>219</v>
      </c>
    </row>
    <row r="1335" spans="14:31" x14ac:dyDescent="0.25">
      <c r="N1335" s="37" t="s">
        <v>250</v>
      </c>
      <c r="O1335">
        <v>1</v>
      </c>
      <c r="Q1335" s="37" t="s">
        <v>227</v>
      </c>
      <c r="R1335">
        <v>1</v>
      </c>
      <c r="T1335" s="37" t="s">
        <v>251</v>
      </c>
      <c r="U1335">
        <v>1</v>
      </c>
      <c r="W1335" s="37" t="s">
        <v>228</v>
      </c>
      <c r="X1335">
        <v>1</v>
      </c>
      <c r="AA1335" s="37" t="s">
        <v>229</v>
      </c>
      <c r="AB1335">
        <v>1</v>
      </c>
      <c r="AD1335" s="37" t="s">
        <v>223</v>
      </c>
    </row>
    <row r="1336" spans="14:31" x14ac:dyDescent="0.25">
      <c r="N1336" s="37" t="s">
        <v>252</v>
      </c>
      <c r="O1336">
        <v>1</v>
      </c>
      <c r="Q1336" s="37" t="s">
        <v>231</v>
      </c>
      <c r="R1336">
        <v>1</v>
      </c>
      <c r="T1336" s="37" t="s">
        <v>223</v>
      </c>
      <c r="U1336">
        <v>1</v>
      </c>
      <c r="W1336" s="37" t="s">
        <v>223</v>
      </c>
      <c r="X1336">
        <v>1</v>
      </c>
      <c r="AA1336" s="37" t="s">
        <v>225</v>
      </c>
      <c r="AB1336">
        <v>1</v>
      </c>
    </row>
    <row r="1337" spans="14:31" x14ac:dyDescent="0.25">
      <c r="N1337" s="37" t="s">
        <v>223</v>
      </c>
      <c r="O1337">
        <v>2</v>
      </c>
      <c r="Q1337" s="37" t="s">
        <v>253</v>
      </c>
      <c r="R1337">
        <v>1</v>
      </c>
      <c r="AA1337" s="37" t="s">
        <v>233</v>
      </c>
      <c r="AB1337">
        <v>1</v>
      </c>
    </row>
    <row r="1338" spans="14:31" x14ac:dyDescent="0.25">
      <c r="Q1338" s="37" t="s">
        <v>238</v>
      </c>
      <c r="R1338">
        <v>1</v>
      </c>
      <c r="AA1338" s="37" t="s">
        <v>236</v>
      </c>
      <c r="AB1338">
        <v>1</v>
      </c>
    </row>
    <row r="1339" spans="14:31" x14ac:dyDescent="0.25">
      <c r="Q1339" s="37" t="s">
        <v>240</v>
      </c>
      <c r="R1339">
        <v>1</v>
      </c>
      <c r="AA1339" s="37" t="s">
        <v>239</v>
      </c>
      <c r="AB1339">
        <v>1</v>
      </c>
    </row>
    <row r="1340" spans="14:31" x14ac:dyDescent="0.25">
      <c r="Q1340" s="37" t="s">
        <v>254</v>
      </c>
      <c r="R1340">
        <v>1</v>
      </c>
      <c r="AA1340" s="37" t="s">
        <v>255</v>
      </c>
      <c r="AB1340">
        <v>1</v>
      </c>
    </row>
    <row r="1341" spans="14:31" x14ac:dyDescent="0.25">
      <c r="Q1341" s="37" t="s">
        <v>256</v>
      </c>
      <c r="R1341">
        <v>1</v>
      </c>
      <c r="AA1341" s="37" t="s">
        <v>241</v>
      </c>
      <c r="AB1341">
        <v>1</v>
      </c>
    </row>
    <row r="1342" spans="14:31" x14ac:dyDescent="0.25">
      <c r="Q1342" s="37" t="s">
        <v>243</v>
      </c>
      <c r="R1342">
        <v>1</v>
      </c>
      <c r="AA1342" s="37" t="s">
        <v>223</v>
      </c>
      <c r="AB1342">
        <v>7</v>
      </c>
    </row>
    <row r="1343" spans="14:31" x14ac:dyDescent="0.25">
      <c r="Q1343" s="37" t="s">
        <v>244</v>
      </c>
      <c r="R1343">
        <v>1</v>
      </c>
    </row>
    <row r="1344" spans="14:31" x14ac:dyDescent="0.25">
      <c r="Q1344" s="37" t="s">
        <v>223</v>
      </c>
      <c r="R1344">
        <v>9</v>
      </c>
    </row>
  </sheetData>
  <mergeCells count="14">
    <mergeCell ref="AD1330:AE1330"/>
    <mergeCell ref="H18:J18"/>
    <mergeCell ref="AD18:AE18"/>
    <mergeCell ref="D18:F18"/>
    <mergeCell ref="N1330:O1330"/>
    <mergeCell ref="N18:O18"/>
    <mergeCell ref="Q18:R18"/>
    <mergeCell ref="W1330:X1330"/>
    <mergeCell ref="T18:U18"/>
    <mergeCell ref="AA1330:AB1330"/>
    <mergeCell ref="W18:X18"/>
    <mergeCell ref="Q1330:R1330"/>
    <mergeCell ref="T1330:U1330"/>
    <mergeCell ref="AA18:AB18"/>
  </mergeCells>
  <pageMargins left="0.511811024" right="0.511811024" top="0.78740157499999996" bottom="0.78740157499999996" header="0.31496062000000002" footer="0.31496062000000002"/>
  <pageSetup paperSize="9" scale="93" orientation="landscape"/>
  <drawing r:id="rId1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K83"/>
  <sheetViews>
    <sheetView showGridLines="0" workbookViewId="0">
      <selection activeCell="B23" sqref="B23"/>
    </sheetView>
  </sheetViews>
  <sheetFormatPr defaultRowHeight="15" x14ac:dyDescent="0.25"/>
  <cols>
    <col min="1" max="1" width="7.42578125" bestFit="1" customWidth="1"/>
    <col min="2" max="2" width="43.28515625" bestFit="1" customWidth="1"/>
    <col min="3" max="3" width="24.5703125" bestFit="1" customWidth="1"/>
    <col min="4" max="4" width="17.85546875" bestFit="1" customWidth="1"/>
    <col min="5" max="5" width="14.42578125" style="65" bestFit="1" customWidth="1"/>
    <col min="6" max="6" width="15.42578125" style="65" customWidth="1"/>
    <col min="7" max="7" width="14.42578125" style="66" bestFit="1" customWidth="1"/>
    <col min="8" max="8" width="10.140625" customWidth="1"/>
    <col min="9" max="9" width="14" customWidth="1"/>
  </cols>
  <sheetData>
    <row r="1" spans="1:9" x14ac:dyDescent="0.25">
      <c r="A1" s="57" t="s">
        <v>6</v>
      </c>
      <c r="B1" s="57" t="s">
        <v>3</v>
      </c>
      <c r="C1" s="57" t="s">
        <v>4</v>
      </c>
      <c r="D1" s="57" t="s">
        <v>212</v>
      </c>
      <c r="E1" s="63" t="s">
        <v>257</v>
      </c>
      <c r="F1" s="63" t="s">
        <v>30</v>
      </c>
      <c r="G1" s="64" t="s">
        <v>258</v>
      </c>
      <c r="H1" s="57" t="s">
        <v>259</v>
      </c>
      <c r="I1" s="57" t="s">
        <v>260</v>
      </c>
    </row>
    <row r="2" spans="1:9" x14ac:dyDescent="0.25">
      <c r="A2">
        <v>1</v>
      </c>
      <c r="B2" s="1" t="s">
        <v>261</v>
      </c>
      <c r="C2" t="s">
        <v>63</v>
      </c>
      <c r="D2" t="s">
        <v>44</v>
      </c>
      <c r="E2" s="65">
        <v>33920</v>
      </c>
      <c r="F2" s="65">
        <v>3768</v>
      </c>
      <c r="G2" s="66">
        <v>160</v>
      </c>
      <c r="H2" t="s">
        <v>262</v>
      </c>
      <c r="I2" s="56">
        <v>0.5</v>
      </c>
    </row>
    <row r="3" spans="1:9" x14ac:dyDescent="0.25">
      <c r="A3">
        <v>1</v>
      </c>
      <c r="B3" s="1" t="s">
        <v>263</v>
      </c>
      <c r="C3" t="s">
        <v>63</v>
      </c>
      <c r="D3" t="s">
        <v>44</v>
      </c>
      <c r="E3" s="65">
        <v>55713</v>
      </c>
      <c r="F3" s="65">
        <v>6391</v>
      </c>
      <c r="G3" s="66">
        <v>292</v>
      </c>
      <c r="H3" t="s">
        <v>262</v>
      </c>
      <c r="I3" s="56">
        <v>0.3</v>
      </c>
    </row>
    <row r="4" spans="1:9" x14ac:dyDescent="0.25">
      <c r="A4">
        <v>1</v>
      </c>
      <c r="B4" s="1" t="s">
        <v>264</v>
      </c>
      <c r="C4" t="s">
        <v>69</v>
      </c>
      <c r="D4" t="s">
        <v>44</v>
      </c>
      <c r="E4" s="65">
        <v>26200</v>
      </c>
      <c r="F4" s="65">
        <v>3000</v>
      </c>
      <c r="G4" s="66">
        <v>80</v>
      </c>
      <c r="H4" t="s">
        <v>262</v>
      </c>
      <c r="I4" s="56">
        <v>0.9</v>
      </c>
    </row>
    <row r="5" spans="1:9" x14ac:dyDescent="0.25">
      <c r="A5">
        <v>1</v>
      </c>
      <c r="B5" s="1" t="s">
        <v>265</v>
      </c>
      <c r="C5" t="s">
        <v>47</v>
      </c>
      <c r="D5" t="s">
        <v>44</v>
      </c>
      <c r="E5" s="65">
        <v>51300</v>
      </c>
      <c r="F5" s="65">
        <v>1734</v>
      </c>
      <c r="G5" s="66">
        <v>270</v>
      </c>
      <c r="H5" t="s">
        <v>262</v>
      </c>
      <c r="I5" s="56">
        <v>0.9</v>
      </c>
    </row>
    <row r="6" spans="1:9" x14ac:dyDescent="0.25">
      <c r="A6">
        <v>1</v>
      </c>
      <c r="B6" s="1" t="s">
        <v>266</v>
      </c>
      <c r="C6" t="s">
        <v>53</v>
      </c>
      <c r="D6" t="s">
        <v>44</v>
      </c>
      <c r="E6" s="65">
        <v>1600</v>
      </c>
      <c r="F6" s="65">
        <v>2568</v>
      </c>
      <c r="G6" s="66">
        <v>16</v>
      </c>
      <c r="H6" t="s">
        <v>262</v>
      </c>
      <c r="I6" s="56">
        <v>0.8</v>
      </c>
    </row>
    <row r="7" spans="1:9" x14ac:dyDescent="0.25">
      <c r="A7">
        <v>1</v>
      </c>
      <c r="B7" s="1" t="s">
        <v>267</v>
      </c>
      <c r="C7" t="s">
        <v>47</v>
      </c>
      <c r="D7" t="s">
        <v>44</v>
      </c>
      <c r="E7" s="65">
        <v>81786</v>
      </c>
      <c r="F7" s="65">
        <v>7965</v>
      </c>
      <c r="G7" s="66">
        <v>430</v>
      </c>
      <c r="H7" t="s">
        <v>262</v>
      </c>
      <c r="I7" s="56">
        <v>0.5</v>
      </c>
    </row>
    <row r="8" spans="1:9" x14ac:dyDescent="0.25">
      <c r="A8">
        <v>1</v>
      </c>
      <c r="B8" s="1" t="s">
        <v>268</v>
      </c>
      <c r="C8" t="s">
        <v>53</v>
      </c>
      <c r="D8" t="s">
        <v>44</v>
      </c>
      <c r="E8" s="65">
        <v>1600</v>
      </c>
      <c r="F8" s="65">
        <v>3356</v>
      </c>
      <c r="G8" s="66">
        <v>16</v>
      </c>
      <c r="H8" t="s">
        <v>262</v>
      </c>
      <c r="I8" s="56">
        <v>0.5</v>
      </c>
    </row>
    <row r="9" spans="1:9" x14ac:dyDescent="0.25">
      <c r="A9">
        <v>1</v>
      </c>
      <c r="B9" s="1" t="s">
        <v>269</v>
      </c>
      <c r="C9" t="s">
        <v>270</v>
      </c>
      <c r="D9" t="s">
        <v>44</v>
      </c>
      <c r="E9" s="65">
        <v>0</v>
      </c>
      <c r="F9" s="65">
        <v>356.4</v>
      </c>
      <c r="G9" s="66">
        <v>0</v>
      </c>
      <c r="H9" t="s">
        <v>262</v>
      </c>
      <c r="I9" s="56">
        <v>0.5</v>
      </c>
    </row>
    <row r="10" spans="1:9" x14ac:dyDescent="0.25">
      <c r="A10">
        <v>1</v>
      </c>
      <c r="B10" s="1" t="s">
        <v>271</v>
      </c>
      <c r="C10" t="s">
        <v>47</v>
      </c>
      <c r="D10" t="s">
        <v>44</v>
      </c>
      <c r="E10" s="65">
        <v>118908</v>
      </c>
      <c r="F10" s="65">
        <v>13048</v>
      </c>
      <c r="G10" s="66">
        <v>540</v>
      </c>
      <c r="H10" t="s">
        <v>262</v>
      </c>
      <c r="I10" s="56">
        <v>0.8</v>
      </c>
    </row>
    <row r="11" spans="1:9" x14ac:dyDescent="0.25">
      <c r="A11">
        <v>1</v>
      </c>
      <c r="B11" s="1" t="s">
        <v>272</v>
      </c>
      <c r="C11" t="s">
        <v>53</v>
      </c>
      <c r="D11" t="s">
        <v>44</v>
      </c>
      <c r="E11" s="65">
        <v>1600</v>
      </c>
      <c r="F11" s="65">
        <v>6846</v>
      </c>
      <c r="G11" s="66">
        <v>16</v>
      </c>
      <c r="H11" t="s">
        <v>262</v>
      </c>
      <c r="I11" s="56">
        <v>0.8</v>
      </c>
    </row>
    <row r="12" spans="1:9" x14ac:dyDescent="0.25">
      <c r="A12">
        <v>1</v>
      </c>
      <c r="B12" s="1" t="s">
        <v>273</v>
      </c>
      <c r="C12" t="s">
        <v>47</v>
      </c>
      <c r="D12" t="s">
        <v>44</v>
      </c>
      <c r="E12" s="65">
        <v>38380</v>
      </c>
      <c r="F12" s="65">
        <v>1075</v>
      </c>
      <c r="G12" s="66">
        <v>190</v>
      </c>
      <c r="H12" t="s">
        <v>262</v>
      </c>
      <c r="I12" s="56">
        <v>0.3</v>
      </c>
    </row>
    <row r="13" spans="1:9" x14ac:dyDescent="0.25">
      <c r="A13">
        <v>1</v>
      </c>
      <c r="B13" s="1" t="s">
        <v>274</v>
      </c>
      <c r="C13" t="s">
        <v>53</v>
      </c>
      <c r="D13" t="s">
        <v>44</v>
      </c>
      <c r="E13" s="65">
        <v>1600</v>
      </c>
      <c r="F13" s="65">
        <v>2174</v>
      </c>
      <c r="G13" s="66">
        <v>16</v>
      </c>
      <c r="H13" t="s">
        <v>262</v>
      </c>
      <c r="I13" s="56">
        <v>0.3</v>
      </c>
    </row>
    <row r="14" spans="1:9" x14ac:dyDescent="0.25">
      <c r="A14">
        <v>1</v>
      </c>
      <c r="B14" s="1" t="s">
        <v>275</v>
      </c>
      <c r="C14" t="s">
        <v>54</v>
      </c>
      <c r="D14" t="s">
        <v>44</v>
      </c>
      <c r="E14" s="65">
        <v>23584</v>
      </c>
      <c r="F14" s="65">
        <v>142.56</v>
      </c>
      <c r="G14" s="66">
        <v>124</v>
      </c>
      <c r="H14" t="s">
        <v>262</v>
      </c>
      <c r="I14" s="56">
        <v>0.5</v>
      </c>
    </row>
    <row r="15" spans="1:9" x14ac:dyDescent="0.25">
      <c r="A15">
        <v>1</v>
      </c>
      <c r="B15" s="1" t="s">
        <v>276</v>
      </c>
      <c r="C15" t="s">
        <v>47</v>
      </c>
      <c r="D15" t="s">
        <v>44</v>
      </c>
      <c r="E15" s="65">
        <v>44000</v>
      </c>
      <c r="F15" s="65">
        <v>1378</v>
      </c>
      <c r="G15" s="66">
        <v>220</v>
      </c>
      <c r="H15" t="s">
        <v>262</v>
      </c>
      <c r="I15" s="56">
        <v>0.5</v>
      </c>
    </row>
    <row r="16" spans="1:9" x14ac:dyDescent="0.25">
      <c r="A16">
        <v>1</v>
      </c>
      <c r="B16" s="1" t="s">
        <v>277</v>
      </c>
      <c r="C16" t="s">
        <v>63</v>
      </c>
      <c r="D16" t="s">
        <v>44</v>
      </c>
      <c r="E16" s="65">
        <v>8000</v>
      </c>
      <c r="F16" s="65">
        <v>1964</v>
      </c>
      <c r="G16" s="66">
        <v>40</v>
      </c>
      <c r="H16" t="s">
        <v>262</v>
      </c>
      <c r="I16" s="56">
        <v>0.5</v>
      </c>
    </row>
    <row r="17" spans="1:9" x14ac:dyDescent="0.25">
      <c r="A17">
        <v>1</v>
      </c>
      <c r="B17" s="1" t="s">
        <v>278</v>
      </c>
      <c r="C17" t="s">
        <v>53</v>
      </c>
      <c r="D17" t="s">
        <v>44</v>
      </c>
      <c r="E17" s="65">
        <v>1600</v>
      </c>
      <c r="F17" s="65">
        <v>3442</v>
      </c>
      <c r="G17" s="66">
        <v>16</v>
      </c>
      <c r="H17" t="s">
        <v>262</v>
      </c>
      <c r="I17" s="56">
        <v>0.5</v>
      </c>
    </row>
    <row r="18" spans="1:9" x14ac:dyDescent="0.25">
      <c r="A18">
        <v>1</v>
      </c>
      <c r="B18" s="1" t="s">
        <v>279</v>
      </c>
      <c r="C18" t="s">
        <v>47</v>
      </c>
      <c r="D18" t="s">
        <v>44</v>
      </c>
      <c r="E18" s="65">
        <v>72000</v>
      </c>
      <c r="F18" s="65">
        <v>4215</v>
      </c>
      <c r="G18" s="66">
        <v>360</v>
      </c>
      <c r="H18" t="s">
        <v>262</v>
      </c>
      <c r="I18" s="56">
        <v>0.5</v>
      </c>
    </row>
    <row r="19" spans="1:9" x14ac:dyDescent="0.25">
      <c r="A19">
        <v>1</v>
      </c>
      <c r="B19" s="1" t="s">
        <v>280</v>
      </c>
      <c r="C19" t="s">
        <v>63</v>
      </c>
      <c r="D19" t="s">
        <v>44</v>
      </c>
      <c r="E19" s="65">
        <f>40*180</f>
        <v>7200</v>
      </c>
      <c r="F19" s="65">
        <v>1964.2</v>
      </c>
      <c r="G19" s="66">
        <v>8</v>
      </c>
      <c r="H19" t="s">
        <v>262</v>
      </c>
      <c r="I19" s="56">
        <v>0.5</v>
      </c>
    </row>
    <row r="20" spans="1:9" x14ac:dyDescent="0.25">
      <c r="A20">
        <v>1</v>
      </c>
      <c r="B20" s="1" t="s">
        <v>281</v>
      </c>
      <c r="C20" t="s">
        <v>53</v>
      </c>
      <c r="D20" t="s">
        <v>44</v>
      </c>
      <c r="E20" s="65">
        <v>1600</v>
      </c>
      <c r="F20" s="65">
        <v>5242</v>
      </c>
      <c r="G20" s="66">
        <v>16</v>
      </c>
      <c r="H20" t="s">
        <v>262</v>
      </c>
      <c r="I20" s="56">
        <v>0.5</v>
      </c>
    </row>
    <row r="21" spans="1:9" x14ac:dyDescent="0.25">
      <c r="A21">
        <v>1</v>
      </c>
      <c r="B21" s="1" t="s">
        <v>282</v>
      </c>
      <c r="C21" t="s">
        <v>69</v>
      </c>
      <c r="D21" t="s">
        <v>44</v>
      </c>
      <c r="E21" s="65">
        <v>26200</v>
      </c>
      <c r="F21" s="65">
        <v>3400</v>
      </c>
      <c r="G21" s="66">
        <v>80</v>
      </c>
      <c r="H21" t="s">
        <v>262</v>
      </c>
      <c r="I21" s="56">
        <v>0.3</v>
      </c>
    </row>
    <row r="22" spans="1:9" x14ac:dyDescent="0.25">
      <c r="A22">
        <v>1</v>
      </c>
      <c r="B22" s="1" t="s">
        <v>283</v>
      </c>
      <c r="C22" t="s">
        <v>284</v>
      </c>
      <c r="D22" t="s">
        <v>44</v>
      </c>
      <c r="E22" s="65">
        <v>3392</v>
      </c>
      <c r="F22" s="65">
        <v>356.4</v>
      </c>
      <c r="G22" s="66">
        <v>16</v>
      </c>
      <c r="H22" t="s">
        <v>262</v>
      </c>
      <c r="I22" s="56">
        <v>0.5</v>
      </c>
    </row>
    <row r="23" spans="1:9" x14ac:dyDescent="0.25">
      <c r="A23">
        <v>1</v>
      </c>
      <c r="B23" s="1" t="s">
        <v>285</v>
      </c>
      <c r="C23" t="s">
        <v>47</v>
      </c>
      <c r="D23" t="s">
        <v>44</v>
      </c>
      <c r="E23" s="65">
        <v>44000</v>
      </c>
      <c r="F23" s="65">
        <v>1102</v>
      </c>
      <c r="G23" s="66">
        <v>220</v>
      </c>
      <c r="H23" t="s">
        <v>262</v>
      </c>
      <c r="I23" s="56">
        <v>0.3</v>
      </c>
    </row>
    <row r="24" spans="1:9" x14ac:dyDescent="0.25">
      <c r="A24">
        <v>1</v>
      </c>
      <c r="B24" s="1" t="s">
        <v>286</v>
      </c>
      <c r="C24" t="s">
        <v>63</v>
      </c>
      <c r="D24" t="s">
        <v>44</v>
      </c>
      <c r="E24" s="65">
        <v>8000</v>
      </c>
      <c r="F24" s="65">
        <v>1865</v>
      </c>
      <c r="G24" s="66">
        <v>40</v>
      </c>
      <c r="H24" t="s">
        <v>262</v>
      </c>
      <c r="I24" s="56">
        <v>0.3</v>
      </c>
    </row>
    <row r="25" spans="1:9" x14ac:dyDescent="0.25">
      <c r="A25">
        <v>1</v>
      </c>
      <c r="B25" s="1" t="s">
        <v>287</v>
      </c>
      <c r="C25" t="s">
        <v>288</v>
      </c>
      <c r="D25" t="s">
        <v>44</v>
      </c>
      <c r="E25" s="65" t="s">
        <v>289</v>
      </c>
      <c r="F25" s="65" t="s">
        <v>289</v>
      </c>
      <c r="G25" s="65" t="s">
        <v>289</v>
      </c>
      <c r="H25" t="s">
        <v>262</v>
      </c>
      <c r="I25" s="56">
        <v>0.3</v>
      </c>
    </row>
    <row r="26" spans="1:9" x14ac:dyDescent="0.25">
      <c r="A26">
        <v>1</v>
      </c>
      <c r="B26" s="1" t="s">
        <v>290</v>
      </c>
      <c r="C26" t="s">
        <v>288</v>
      </c>
      <c r="D26" t="s">
        <v>44</v>
      </c>
      <c r="E26" s="65" t="s">
        <v>289</v>
      </c>
      <c r="F26" s="65" t="s">
        <v>289</v>
      </c>
      <c r="G26" s="66" t="s">
        <v>289</v>
      </c>
      <c r="H26" t="s">
        <v>262</v>
      </c>
      <c r="I26" s="56">
        <v>0.3</v>
      </c>
    </row>
    <row r="27" spans="1:9" x14ac:dyDescent="0.25">
      <c r="A27">
        <v>1</v>
      </c>
      <c r="B27" s="1" t="s">
        <v>291</v>
      </c>
      <c r="C27" t="s">
        <v>288</v>
      </c>
      <c r="D27" t="s">
        <v>44</v>
      </c>
      <c r="E27" s="65" t="s">
        <v>289</v>
      </c>
      <c r="F27" s="65" t="s">
        <v>289</v>
      </c>
      <c r="G27" s="66" t="s">
        <v>289</v>
      </c>
      <c r="H27" t="s">
        <v>262</v>
      </c>
      <c r="I27" s="56">
        <v>0.3</v>
      </c>
    </row>
    <row r="28" spans="1:9" x14ac:dyDescent="0.25">
      <c r="A28">
        <v>1</v>
      </c>
      <c r="B28" s="1" t="s">
        <v>292</v>
      </c>
      <c r="C28" t="s">
        <v>288</v>
      </c>
      <c r="D28" t="s">
        <v>44</v>
      </c>
      <c r="E28" s="65" t="s">
        <v>293</v>
      </c>
      <c r="F28" s="65" t="s">
        <v>293</v>
      </c>
      <c r="G28" s="65" t="s">
        <v>293</v>
      </c>
      <c r="H28" t="s">
        <v>262</v>
      </c>
      <c r="I28" s="56">
        <v>0.3</v>
      </c>
    </row>
    <row r="29" spans="1:9" x14ac:dyDescent="0.25">
      <c r="A29">
        <v>1</v>
      </c>
      <c r="B29" s="1" t="s">
        <v>294</v>
      </c>
      <c r="C29" t="s">
        <v>288</v>
      </c>
      <c r="D29" t="s">
        <v>44</v>
      </c>
      <c r="E29" s="65" t="s">
        <v>293</v>
      </c>
      <c r="F29" s="65" t="s">
        <v>293</v>
      </c>
      <c r="G29" s="65" t="s">
        <v>293</v>
      </c>
      <c r="H29" t="s">
        <v>262</v>
      </c>
      <c r="I29" s="56">
        <v>0.3</v>
      </c>
    </row>
    <row r="30" spans="1:9" x14ac:dyDescent="0.25">
      <c r="A30">
        <v>1</v>
      </c>
      <c r="B30" s="1" t="s">
        <v>295</v>
      </c>
      <c r="C30" t="s">
        <v>47</v>
      </c>
      <c r="D30" t="s">
        <v>22</v>
      </c>
      <c r="E30" s="65" t="s">
        <v>289</v>
      </c>
      <c r="F30" s="65" t="s">
        <v>289</v>
      </c>
      <c r="G30" s="65" t="s">
        <v>289</v>
      </c>
      <c r="H30" t="s">
        <v>262</v>
      </c>
      <c r="I30" s="56">
        <v>0.5</v>
      </c>
    </row>
    <row r="31" spans="1:9" x14ac:dyDescent="0.25">
      <c r="A31">
        <v>1</v>
      </c>
      <c r="B31" s="1" t="s">
        <v>296</v>
      </c>
      <c r="C31" t="s">
        <v>63</v>
      </c>
      <c r="D31" t="s">
        <v>22</v>
      </c>
      <c r="E31" s="65">
        <v>16000</v>
      </c>
      <c r="F31" s="65">
        <v>1558</v>
      </c>
      <c r="G31" s="66">
        <v>80</v>
      </c>
      <c r="H31" t="s">
        <v>262</v>
      </c>
      <c r="I31" s="56">
        <v>0.5</v>
      </c>
    </row>
    <row r="32" spans="1:9" x14ac:dyDescent="0.25">
      <c r="A32">
        <v>1</v>
      </c>
      <c r="B32" s="1" t="s">
        <v>297</v>
      </c>
      <c r="C32" t="s">
        <v>47</v>
      </c>
      <c r="D32" t="s">
        <v>22</v>
      </c>
      <c r="E32" s="65">
        <v>153599</v>
      </c>
      <c r="F32" s="65">
        <v>9247.44</v>
      </c>
      <c r="G32" s="66">
        <v>768</v>
      </c>
      <c r="H32" t="s">
        <v>262</v>
      </c>
      <c r="I32" s="56">
        <v>0.3</v>
      </c>
    </row>
    <row r="33" spans="1:11" x14ac:dyDescent="0.25">
      <c r="A33">
        <v>1</v>
      </c>
      <c r="B33" s="1" t="s">
        <v>298</v>
      </c>
      <c r="C33" t="s">
        <v>47</v>
      </c>
      <c r="D33" t="s">
        <v>22</v>
      </c>
      <c r="E33" s="65">
        <v>254760</v>
      </c>
      <c r="F33" s="65">
        <v>15786</v>
      </c>
      <c r="G33" s="66">
        <v>1158</v>
      </c>
      <c r="H33" t="s">
        <v>262</v>
      </c>
      <c r="I33" s="56">
        <v>0.3</v>
      </c>
    </row>
    <row r="34" spans="1:11" x14ac:dyDescent="0.25">
      <c r="A34">
        <v>1</v>
      </c>
      <c r="B34" s="1" t="s">
        <v>299</v>
      </c>
      <c r="C34" t="s">
        <v>63</v>
      </c>
      <c r="D34" t="s">
        <v>22</v>
      </c>
      <c r="E34" s="65">
        <v>20000</v>
      </c>
      <c r="F34" s="65">
        <v>5880</v>
      </c>
      <c r="G34" s="66">
        <v>80</v>
      </c>
      <c r="H34" t="s">
        <v>262</v>
      </c>
      <c r="I34" s="56">
        <v>0.3</v>
      </c>
    </row>
    <row r="35" spans="1:11" x14ac:dyDescent="0.25">
      <c r="A35">
        <v>1</v>
      </c>
      <c r="B35" s="1" t="s">
        <v>300</v>
      </c>
      <c r="C35" t="s">
        <v>301</v>
      </c>
      <c r="D35" t="s">
        <v>22</v>
      </c>
      <c r="E35" s="65">
        <v>130600</v>
      </c>
      <c r="F35" s="65">
        <v>16809</v>
      </c>
      <c r="G35" s="66">
        <v>653</v>
      </c>
      <c r="H35" t="s">
        <v>262</v>
      </c>
      <c r="I35" s="56">
        <v>0.3</v>
      </c>
      <c r="K35" s="56"/>
    </row>
    <row r="36" spans="1:11" x14ac:dyDescent="0.25">
      <c r="A36">
        <v>1</v>
      </c>
      <c r="B36" s="1" t="s">
        <v>302</v>
      </c>
      <c r="C36" t="s">
        <v>63</v>
      </c>
      <c r="D36" t="s">
        <v>22</v>
      </c>
      <c r="E36" s="65">
        <v>16000</v>
      </c>
      <c r="F36" s="65">
        <v>5880</v>
      </c>
      <c r="G36" s="66">
        <v>80</v>
      </c>
      <c r="H36" t="s">
        <v>262</v>
      </c>
      <c r="I36" s="56">
        <v>0.9</v>
      </c>
      <c r="K36" s="56"/>
    </row>
    <row r="37" spans="1:11" x14ac:dyDescent="0.25">
      <c r="A37">
        <v>1</v>
      </c>
      <c r="B37" s="1" t="s">
        <v>303</v>
      </c>
      <c r="C37" t="s">
        <v>304</v>
      </c>
      <c r="D37" t="s">
        <v>22</v>
      </c>
      <c r="E37" s="65">
        <v>72000</v>
      </c>
      <c r="F37" s="65">
        <v>8045</v>
      </c>
      <c r="G37" s="66">
        <v>360</v>
      </c>
      <c r="H37" t="s">
        <v>262</v>
      </c>
      <c r="I37" s="56">
        <v>0.3</v>
      </c>
      <c r="K37" s="56"/>
    </row>
    <row r="38" spans="1:11" x14ac:dyDescent="0.25">
      <c r="A38">
        <v>1</v>
      </c>
      <c r="B38" s="1" t="s">
        <v>305</v>
      </c>
      <c r="C38" t="s">
        <v>47</v>
      </c>
      <c r="D38" t="s">
        <v>22</v>
      </c>
      <c r="E38" s="65" t="s">
        <v>289</v>
      </c>
      <c r="F38" s="65" t="s">
        <v>289</v>
      </c>
      <c r="G38" s="65" t="s">
        <v>289</v>
      </c>
      <c r="H38" t="s">
        <v>262</v>
      </c>
      <c r="I38" s="56">
        <v>0.3</v>
      </c>
      <c r="K38" s="56"/>
    </row>
    <row r="39" spans="1:11" x14ac:dyDescent="0.25">
      <c r="A39">
        <v>1</v>
      </c>
      <c r="B39" s="1" t="s">
        <v>306</v>
      </c>
      <c r="C39" t="s">
        <v>63</v>
      </c>
      <c r="D39" t="s">
        <v>22</v>
      </c>
      <c r="E39" s="65" t="s">
        <v>289</v>
      </c>
      <c r="F39" s="65" t="s">
        <v>289</v>
      </c>
      <c r="G39" s="65" t="s">
        <v>289</v>
      </c>
      <c r="H39" t="s">
        <v>262</v>
      </c>
      <c r="I39" s="56">
        <v>0.3</v>
      </c>
      <c r="K39" s="56"/>
    </row>
    <row r="40" spans="1:11" x14ac:dyDescent="0.25">
      <c r="A40">
        <v>1</v>
      </c>
      <c r="B40" s="1" t="s">
        <v>307</v>
      </c>
      <c r="C40" t="s">
        <v>308</v>
      </c>
      <c r="D40" t="s">
        <v>22</v>
      </c>
      <c r="E40" s="65" t="s">
        <v>289</v>
      </c>
      <c r="F40" s="65" t="s">
        <v>289</v>
      </c>
      <c r="G40" s="65" t="s">
        <v>289</v>
      </c>
      <c r="H40" t="s">
        <v>262</v>
      </c>
      <c r="I40" s="56">
        <v>0.3</v>
      </c>
      <c r="K40" s="56"/>
    </row>
    <row r="41" spans="1:11" x14ac:dyDescent="0.25">
      <c r="A41">
        <v>1</v>
      </c>
      <c r="B41" s="1" t="s">
        <v>309</v>
      </c>
      <c r="C41" t="s">
        <v>47</v>
      </c>
      <c r="D41" t="s">
        <v>22</v>
      </c>
      <c r="E41" s="65">
        <v>315000</v>
      </c>
      <c r="F41" s="65">
        <v>32575</v>
      </c>
      <c r="G41" s="66">
        <v>1500</v>
      </c>
      <c r="H41" t="s">
        <v>262</v>
      </c>
      <c r="I41" s="56">
        <v>0.3</v>
      </c>
      <c r="K41" s="56"/>
    </row>
    <row r="42" spans="1:11" x14ac:dyDescent="0.25">
      <c r="A42">
        <v>1</v>
      </c>
      <c r="B42" s="1" t="s">
        <v>310</v>
      </c>
      <c r="C42" t="s">
        <v>47</v>
      </c>
      <c r="D42" t="s">
        <v>22</v>
      </c>
      <c r="E42" s="65">
        <v>47200</v>
      </c>
      <c r="F42" s="65">
        <v>2298.1</v>
      </c>
      <c r="G42" s="66">
        <v>236</v>
      </c>
      <c r="H42" t="s">
        <v>262</v>
      </c>
      <c r="I42" s="56">
        <v>0.3</v>
      </c>
      <c r="K42" s="56"/>
    </row>
    <row r="43" spans="1:11" x14ac:dyDescent="0.25">
      <c r="A43">
        <v>1</v>
      </c>
      <c r="B43" s="1" t="s">
        <v>311</v>
      </c>
      <c r="C43" t="s">
        <v>69</v>
      </c>
      <c r="D43" t="s">
        <v>22</v>
      </c>
      <c r="E43" s="65" t="s">
        <v>289</v>
      </c>
      <c r="F43" s="65" t="s">
        <v>289</v>
      </c>
      <c r="G43" s="65" t="s">
        <v>289</v>
      </c>
      <c r="H43" t="s">
        <v>262</v>
      </c>
      <c r="I43" s="56">
        <v>0.3</v>
      </c>
      <c r="K43" s="56"/>
    </row>
    <row r="44" spans="1:11" x14ac:dyDescent="0.25">
      <c r="A44">
        <v>1</v>
      </c>
      <c r="B44" s="1" t="s">
        <v>312</v>
      </c>
      <c r="C44" t="s">
        <v>47</v>
      </c>
      <c r="D44" t="s">
        <v>22</v>
      </c>
      <c r="E44" s="65" t="s">
        <v>289</v>
      </c>
      <c r="F44" s="65" t="s">
        <v>289</v>
      </c>
      <c r="G44" s="65" t="s">
        <v>289</v>
      </c>
      <c r="H44" t="s">
        <v>262</v>
      </c>
      <c r="I44" s="56">
        <v>0.3</v>
      </c>
      <c r="K44" s="56"/>
    </row>
    <row r="45" spans="1:11" x14ac:dyDescent="0.25">
      <c r="A45">
        <v>1</v>
      </c>
      <c r="B45" s="1" t="s">
        <v>313</v>
      </c>
      <c r="C45" t="s">
        <v>47</v>
      </c>
      <c r="D45" t="s">
        <v>22</v>
      </c>
      <c r="E45" s="65" t="s">
        <v>289</v>
      </c>
      <c r="F45" s="65" t="s">
        <v>289</v>
      </c>
      <c r="G45" s="65" t="s">
        <v>289</v>
      </c>
      <c r="H45" t="s">
        <v>262</v>
      </c>
      <c r="I45" s="56">
        <v>0.3</v>
      </c>
      <c r="K45" s="56"/>
    </row>
    <row r="46" spans="1:11" x14ac:dyDescent="0.25">
      <c r="A46">
        <v>1</v>
      </c>
      <c r="B46" s="1" t="s">
        <v>314</v>
      </c>
      <c r="C46" t="s">
        <v>47</v>
      </c>
      <c r="D46" t="s">
        <v>22</v>
      </c>
      <c r="E46" s="65" t="s">
        <v>289</v>
      </c>
      <c r="F46" s="65" t="s">
        <v>289</v>
      </c>
      <c r="G46" s="65" t="s">
        <v>289</v>
      </c>
      <c r="H46" t="s">
        <v>262</v>
      </c>
      <c r="I46" s="56">
        <v>0.3</v>
      </c>
      <c r="K46" s="56"/>
    </row>
    <row r="47" spans="1:11" x14ac:dyDescent="0.25">
      <c r="A47">
        <v>1</v>
      </c>
      <c r="B47" s="1" t="s">
        <v>315</v>
      </c>
      <c r="C47" t="s">
        <v>316</v>
      </c>
      <c r="D47" t="s">
        <v>22</v>
      </c>
      <c r="E47" s="65">
        <v>0</v>
      </c>
      <c r="F47" s="65">
        <v>66</v>
      </c>
      <c r="G47" s="66">
        <v>0</v>
      </c>
      <c r="H47" t="s">
        <v>262</v>
      </c>
      <c r="I47" s="56">
        <v>0.9</v>
      </c>
      <c r="K47" s="56"/>
    </row>
    <row r="48" spans="1:11" x14ac:dyDescent="0.25">
      <c r="A48">
        <v>1</v>
      </c>
      <c r="B48" s="1" t="s">
        <v>317</v>
      </c>
      <c r="C48" t="s">
        <v>318</v>
      </c>
      <c r="D48" t="s">
        <v>22</v>
      </c>
      <c r="E48" s="65">
        <v>63200</v>
      </c>
      <c r="F48" s="65">
        <v>0</v>
      </c>
      <c r="G48" s="66">
        <v>316</v>
      </c>
      <c r="H48" t="s">
        <v>319</v>
      </c>
      <c r="I48" s="56">
        <v>0.5</v>
      </c>
      <c r="K48" s="56"/>
    </row>
    <row r="49" spans="1:11" x14ac:dyDescent="0.25">
      <c r="A49">
        <v>1</v>
      </c>
      <c r="B49" s="1" t="s">
        <v>320</v>
      </c>
      <c r="C49" t="s">
        <v>47</v>
      </c>
      <c r="D49" t="s">
        <v>22</v>
      </c>
      <c r="E49" s="65" t="s">
        <v>289</v>
      </c>
      <c r="F49" s="65" t="s">
        <v>289</v>
      </c>
      <c r="G49" s="65" t="s">
        <v>289</v>
      </c>
      <c r="H49" t="s">
        <v>262</v>
      </c>
      <c r="I49" s="56">
        <v>0.3</v>
      </c>
      <c r="K49" s="56"/>
    </row>
    <row r="50" spans="1:11" x14ac:dyDescent="0.25">
      <c r="A50">
        <v>1</v>
      </c>
      <c r="B50" s="1" t="s">
        <v>51</v>
      </c>
      <c r="C50" t="s">
        <v>321</v>
      </c>
      <c r="D50" t="s">
        <v>22</v>
      </c>
      <c r="E50" s="65">
        <v>72000</v>
      </c>
      <c r="F50" s="65">
        <v>8241</v>
      </c>
      <c r="G50" s="66">
        <v>360</v>
      </c>
      <c r="H50" t="s">
        <v>262</v>
      </c>
      <c r="I50" s="56">
        <v>0.3</v>
      </c>
      <c r="K50" s="56"/>
    </row>
    <row r="51" spans="1:11" x14ac:dyDescent="0.25">
      <c r="A51">
        <v>1</v>
      </c>
      <c r="B51" s="1" t="s">
        <v>322</v>
      </c>
      <c r="C51" t="s">
        <v>63</v>
      </c>
      <c r="D51" t="s">
        <v>22</v>
      </c>
      <c r="E51" s="65">
        <v>16000</v>
      </c>
      <c r="F51" s="65">
        <v>18330</v>
      </c>
      <c r="G51" s="66">
        <v>80</v>
      </c>
      <c r="H51" t="s">
        <v>262</v>
      </c>
      <c r="I51" s="56">
        <v>0.9</v>
      </c>
      <c r="K51" s="56"/>
    </row>
    <row r="52" spans="1:11" x14ac:dyDescent="0.25">
      <c r="A52">
        <v>1</v>
      </c>
      <c r="B52" s="1" t="s">
        <v>323</v>
      </c>
      <c r="C52" t="s">
        <v>288</v>
      </c>
      <c r="D52" t="s">
        <v>22</v>
      </c>
      <c r="E52" s="65" t="s">
        <v>293</v>
      </c>
      <c r="F52" s="65" t="s">
        <v>293</v>
      </c>
      <c r="G52" s="65" t="s">
        <v>293</v>
      </c>
      <c r="H52" t="s">
        <v>262</v>
      </c>
      <c r="I52" s="56">
        <v>0.3</v>
      </c>
      <c r="K52" s="56"/>
    </row>
    <row r="53" spans="1:11" x14ac:dyDescent="0.25">
      <c r="A53">
        <v>1</v>
      </c>
      <c r="B53" s="1" t="s">
        <v>324</v>
      </c>
      <c r="C53" t="s">
        <v>288</v>
      </c>
      <c r="D53" t="s">
        <v>22</v>
      </c>
      <c r="E53" s="65" t="s">
        <v>289</v>
      </c>
      <c r="F53" s="65" t="s">
        <v>289</v>
      </c>
      <c r="G53" s="65" t="s">
        <v>289</v>
      </c>
      <c r="H53" t="s">
        <v>262</v>
      </c>
      <c r="I53" s="56">
        <v>0.3</v>
      </c>
      <c r="K53" s="56"/>
    </row>
    <row r="54" spans="1:11" x14ac:dyDescent="0.25">
      <c r="A54">
        <v>1</v>
      </c>
      <c r="B54" s="1" t="s">
        <v>325</v>
      </c>
      <c r="C54" t="s">
        <v>288</v>
      </c>
      <c r="D54" t="s">
        <v>22</v>
      </c>
      <c r="E54" s="65" t="s">
        <v>289</v>
      </c>
      <c r="F54" s="65" t="s">
        <v>289</v>
      </c>
      <c r="G54" s="65" t="s">
        <v>289</v>
      </c>
      <c r="H54" t="s">
        <v>262</v>
      </c>
      <c r="I54" s="56">
        <v>0.3</v>
      </c>
      <c r="K54" s="56"/>
    </row>
    <row r="55" spans="1:11" x14ac:dyDescent="0.25">
      <c r="A55">
        <v>1</v>
      </c>
      <c r="B55" s="1" t="s">
        <v>326</v>
      </c>
      <c r="C55" t="s">
        <v>288</v>
      </c>
      <c r="D55" t="s">
        <v>22</v>
      </c>
      <c r="E55" s="65" t="s">
        <v>293</v>
      </c>
      <c r="F55" s="65" t="s">
        <v>293</v>
      </c>
      <c r="G55" s="65" t="s">
        <v>293</v>
      </c>
      <c r="H55" t="s">
        <v>262</v>
      </c>
      <c r="I55" s="56">
        <v>0.3</v>
      </c>
      <c r="K55" s="56"/>
    </row>
    <row r="56" spans="1:11" x14ac:dyDescent="0.25">
      <c r="A56">
        <v>1</v>
      </c>
      <c r="B56" s="1" t="s">
        <v>327</v>
      </c>
      <c r="C56" t="s">
        <v>288</v>
      </c>
      <c r="D56" t="s">
        <v>22</v>
      </c>
      <c r="H56" t="s">
        <v>262</v>
      </c>
      <c r="I56" s="56">
        <v>0.3</v>
      </c>
      <c r="K56" s="56"/>
    </row>
    <row r="57" spans="1:11" x14ac:dyDescent="0.25">
      <c r="A57">
        <v>1</v>
      </c>
      <c r="B57" s="1" t="s">
        <v>328</v>
      </c>
      <c r="C57" t="s">
        <v>329</v>
      </c>
      <c r="D57" t="s">
        <v>31</v>
      </c>
      <c r="E57" s="65">
        <v>46200</v>
      </c>
      <c r="F57" s="65">
        <v>1460.47</v>
      </c>
      <c r="G57" s="66">
        <v>220</v>
      </c>
      <c r="H57" t="s">
        <v>262</v>
      </c>
      <c r="I57" s="56">
        <v>0.5</v>
      </c>
      <c r="K57" s="56"/>
    </row>
    <row r="58" spans="1:11" x14ac:dyDescent="0.25">
      <c r="A58">
        <v>1</v>
      </c>
      <c r="B58" s="1" t="s">
        <v>330</v>
      </c>
      <c r="C58" t="s">
        <v>47</v>
      </c>
      <c r="D58" t="s">
        <v>31</v>
      </c>
      <c r="E58" s="65" t="s">
        <v>289</v>
      </c>
      <c r="F58" s="65" t="s">
        <v>289</v>
      </c>
      <c r="G58" s="65" t="s">
        <v>289</v>
      </c>
      <c r="H58" t="s">
        <v>262</v>
      </c>
      <c r="I58" s="56">
        <v>0.3</v>
      </c>
      <c r="K58" s="56"/>
    </row>
    <row r="59" spans="1:11" x14ac:dyDescent="0.25">
      <c r="A59">
        <v>1</v>
      </c>
      <c r="B59" s="1" t="s">
        <v>331</v>
      </c>
      <c r="C59" t="s">
        <v>321</v>
      </c>
      <c r="D59" t="s">
        <v>31</v>
      </c>
      <c r="E59" s="65" t="s">
        <v>289</v>
      </c>
      <c r="F59" s="65" t="s">
        <v>289</v>
      </c>
      <c r="G59" s="66" t="s">
        <v>289</v>
      </c>
      <c r="H59" t="s">
        <v>262</v>
      </c>
      <c r="I59" s="56">
        <v>0.3</v>
      </c>
    </row>
    <row r="60" spans="1:11" x14ac:dyDescent="0.25">
      <c r="A60">
        <v>1</v>
      </c>
      <c r="B60" s="1" t="s">
        <v>332</v>
      </c>
      <c r="C60" t="s">
        <v>47</v>
      </c>
      <c r="D60" t="s">
        <v>31</v>
      </c>
      <c r="E60" s="65" t="s">
        <v>289</v>
      </c>
      <c r="F60" s="65" t="s">
        <v>289</v>
      </c>
      <c r="G60" s="66" t="s">
        <v>289</v>
      </c>
      <c r="H60" t="s">
        <v>262</v>
      </c>
      <c r="I60" s="56">
        <v>0.3</v>
      </c>
    </row>
    <row r="61" spans="1:11" x14ac:dyDescent="0.25">
      <c r="A61">
        <v>1</v>
      </c>
      <c r="B61" s="1" t="s">
        <v>333</v>
      </c>
      <c r="C61" t="s">
        <v>288</v>
      </c>
      <c r="D61" t="s">
        <v>31</v>
      </c>
      <c r="E61" s="65" t="s">
        <v>293</v>
      </c>
      <c r="F61" s="65" t="s">
        <v>293</v>
      </c>
      <c r="G61" s="65" t="s">
        <v>293</v>
      </c>
      <c r="H61" t="s">
        <v>262</v>
      </c>
      <c r="I61" s="56">
        <v>0.3</v>
      </c>
    </row>
    <row r="62" spans="1:11" x14ac:dyDescent="0.25">
      <c r="A62">
        <v>1</v>
      </c>
      <c r="B62" s="1" t="s">
        <v>334</v>
      </c>
      <c r="C62" t="s">
        <v>288</v>
      </c>
      <c r="D62" t="s">
        <v>31</v>
      </c>
      <c r="E62" s="65" t="s">
        <v>293</v>
      </c>
      <c r="F62" s="65" t="s">
        <v>293</v>
      </c>
      <c r="G62" s="65" t="s">
        <v>293</v>
      </c>
      <c r="H62" t="s">
        <v>262</v>
      </c>
      <c r="I62" s="56">
        <v>0.3</v>
      </c>
    </row>
    <row r="63" spans="1:11" x14ac:dyDescent="0.25">
      <c r="A63">
        <v>1</v>
      </c>
      <c r="B63" s="1" t="s">
        <v>335</v>
      </c>
      <c r="C63" t="s">
        <v>288</v>
      </c>
      <c r="D63" t="s">
        <v>31</v>
      </c>
      <c r="E63" s="65" t="s">
        <v>293</v>
      </c>
      <c r="F63" s="65" t="s">
        <v>293</v>
      </c>
      <c r="G63" s="65" t="s">
        <v>293</v>
      </c>
      <c r="H63" t="s">
        <v>262</v>
      </c>
      <c r="I63" s="56">
        <v>0.3</v>
      </c>
    </row>
    <row r="64" spans="1:11" x14ac:dyDescent="0.25">
      <c r="A64">
        <v>1</v>
      </c>
      <c r="B64" s="1" t="s">
        <v>336</v>
      </c>
      <c r="C64" t="s">
        <v>288</v>
      </c>
      <c r="D64" t="s">
        <v>31</v>
      </c>
      <c r="E64" s="65" t="s">
        <v>293</v>
      </c>
      <c r="F64" s="65" t="s">
        <v>293</v>
      </c>
      <c r="G64" s="65" t="s">
        <v>293</v>
      </c>
      <c r="H64" t="s">
        <v>262</v>
      </c>
      <c r="I64" s="56">
        <v>0.3</v>
      </c>
    </row>
    <row r="65" spans="1:9" x14ac:dyDescent="0.25">
      <c r="A65">
        <v>1</v>
      </c>
      <c r="B65" s="1" t="s">
        <v>337</v>
      </c>
      <c r="C65" t="s">
        <v>288</v>
      </c>
      <c r="D65" t="s">
        <v>31</v>
      </c>
      <c r="E65" s="65" t="s">
        <v>293</v>
      </c>
      <c r="F65" s="65" t="s">
        <v>293</v>
      </c>
      <c r="G65" s="65" t="s">
        <v>293</v>
      </c>
      <c r="H65" t="s">
        <v>262</v>
      </c>
      <c r="I65" s="56">
        <v>0.3</v>
      </c>
    </row>
    <row r="66" spans="1:9" x14ac:dyDescent="0.25">
      <c r="A66">
        <v>1</v>
      </c>
      <c r="B66" s="1" t="s">
        <v>338</v>
      </c>
      <c r="C66" t="s">
        <v>288</v>
      </c>
      <c r="D66" t="s">
        <v>31</v>
      </c>
      <c r="E66" s="65" t="s">
        <v>293</v>
      </c>
      <c r="F66" s="65" t="s">
        <v>293</v>
      </c>
      <c r="G66" s="65" t="s">
        <v>293</v>
      </c>
      <c r="H66" t="s">
        <v>262</v>
      </c>
      <c r="I66" s="56">
        <v>0.3</v>
      </c>
    </row>
    <row r="67" spans="1:9" x14ac:dyDescent="0.25">
      <c r="A67">
        <v>1</v>
      </c>
      <c r="B67" s="1" t="s">
        <v>339</v>
      </c>
      <c r="C67" t="s">
        <v>340</v>
      </c>
      <c r="D67" t="s">
        <v>31</v>
      </c>
      <c r="E67" s="65">
        <v>3360</v>
      </c>
      <c r="F67" s="65">
        <v>712.8</v>
      </c>
      <c r="G67" s="66">
        <v>16</v>
      </c>
      <c r="H67" t="s">
        <v>319</v>
      </c>
      <c r="I67" s="56">
        <v>0.3</v>
      </c>
    </row>
    <row r="68" spans="1:9" x14ac:dyDescent="0.25">
      <c r="A68">
        <v>1</v>
      </c>
      <c r="B68" s="1" t="s">
        <v>341</v>
      </c>
      <c r="C68" t="s">
        <v>342</v>
      </c>
      <c r="D68" t="s">
        <v>31</v>
      </c>
      <c r="E68" s="65">
        <v>16200</v>
      </c>
      <c r="F68" s="65">
        <v>712.8</v>
      </c>
      <c r="G68" s="66">
        <v>80</v>
      </c>
      <c r="H68" t="s">
        <v>319</v>
      </c>
      <c r="I68" s="56">
        <v>0.5</v>
      </c>
    </row>
    <row r="69" spans="1:9" x14ac:dyDescent="0.25">
      <c r="A69">
        <v>1</v>
      </c>
      <c r="B69" s="1" t="s">
        <v>343</v>
      </c>
      <c r="C69" t="s">
        <v>102</v>
      </c>
      <c r="D69" t="s">
        <v>31</v>
      </c>
      <c r="E69" s="65">
        <v>1600</v>
      </c>
      <c r="F69" s="65">
        <v>4718.3</v>
      </c>
      <c r="G69" s="66">
        <v>8</v>
      </c>
      <c r="H69" t="s">
        <v>319</v>
      </c>
      <c r="I69" s="56">
        <v>0.8</v>
      </c>
    </row>
    <row r="70" spans="1:9" x14ac:dyDescent="0.25">
      <c r="A70">
        <v>1</v>
      </c>
      <c r="B70" s="1" t="s">
        <v>344</v>
      </c>
      <c r="C70" t="s">
        <v>345</v>
      </c>
      <c r="D70" t="s">
        <v>31</v>
      </c>
      <c r="E70" s="65" t="s">
        <v>289</v>
      </c>
      <c r="F70" s="65" t="s">
        <v>289</v>
      </c>
      <c r="G70" s="66" t="s">
        <v>289</v>
      </c>
      <c r="H70" t="s">
        <v>319</v>
      </c>
      <c r="I70" s="56">
        <v>0.3</v>
      </c>
    </row>
    <row r="71" spans="1:9" x14ac:dyDescent="0.25">
      <c r="A71">
        <v>1</v>
      </c>
      <c r="B71" s="1" t="s">
        <v>346</v>
      </c>
      <c r="C71" t="s">
        <v>48</v>
      </c>
      <c r="D71" t="s">
        <v>31</v>
      </c>
      <c r="E71" s="65">
        <v>3360</v>
      </c>
      <c r="F71" s="65">
        <v>356.4</v>
      </c>
      <c r="G71" s="66">
        <v>16</v>
      </c>
      <c r="H71" t="s">
        <v>319</v>
      </c>
      <c r="I71" s="56">
        <v>0.3</v>
      </c>
    </row>
    <row r="72" spans="1:9" x14ac:dyDescent="0.25">
      <c r="A72">
        <v>1</v>
      </c>
      <c r="B72" s="1" t="s">
        <v>347</v>
      </c>
      <c r="C72" t="s">
        <v>348</v>
      </c>
      <c r="D72" t="s">
        <v>31</v>
      </c>
      <c r="E72" s="65">
        <v>25200</v>
      </c>
      <c r="F72" s="65">
        <v>1045.44</v>
      </c>
      <c r="G72" s="66">
        <v>120</v>
      </c>
      <c r="H72" t="s">
        <v>319</v>
      </c>
      <c r="I72" s="56">
        <v>0.3</v>
      </c>
    </row>
    <row r="73" spans="1:9" x14ac:dyDescent="0.25">
      <c r="A73">
        <v>1</v>
      </c>
      <c r="B73" s="1" t="s">
        <v>349</v>
      </c>
      <c r="C73" t="s">
        <v>144</v>
      </c>
      <c r="D73" t="s">
        <v>31</v>
      </c>
      <c r="E73" s="65">
        <v>3360</v>
      </c>
      <c r="F73" s="65">
        <v>712.8</v>
      </c>
      <c r="G73" s="66">
        <v>16</v>
      </c>
      <c r="H73" t="s">
        <v>319</v>
      </c>
      <c r="I73" s="56">
        <v>0.3</v>
      </c>
    </row>
    <row r="74" spans="1:9" x14ac:dyDescent="0.25">
      <c r="A74">
        <v>1</v>
      </c>
      <c r="B74" s="1" t="s">
        <v>350</v>
      </c>
      <c r="C74" t="s">
        <v>63</v>
      </c>
      <c r="D74" t="s">
        <v>31</v>
      </c>
      <c r="E74" s="65">
        <v>3360</v>
      </c>
      <c r="F74" s="65">
        <v>196.42</v>
      </c>
      <c r="G74" s="66">
        <v>16</v>
      </c>
      <c r="H74" t="s">
        <v>319</v>
      </c>
      <c r="I74" s="56">
        <v>0.5</v>
      </c>
    </row>
    <row r="75" spans="1:9" x14ac:dyDescent="0.25">
      <c r="A75">
        <v>1</v>
      </c>
      <c r="B75" s="1" t="s">
        <v>351</v>
      </c>
      <c r="C75" t="s">
        <v>352</v>
      </c>
      <c r="D75" t="s">
        <v>31</v>
      </c>
      <c r="E75" s="65">
        <v>5040</v>
      </c>
      <c r="F75" s="65">
        <v>1140.48</v>
      </c>
      <c r="G75" s="66">
        <v>24</v>
      </c>
      <c r="H75" t="s">
        <v>319</v>
      </c>
      <c r="I75" s="56">
        <v>0.8</v>
      </c>
    </row>
    <row r="76" spans="1:9" x14ac:dyDescent="0.25">
      <c r="A76">
        <v>1</v>
      </c>
      <c r="B76" s="1" t="s">
        <v>353</v>
      </c>
      <c r="C76" t="s">
        <v>117</v>
      </c>
      <c r="D76" t="s">
        <v>31</v>
      </c>
      <c r="E76" s="65">
        <v>0</v>
      </c>
      <c r="F76" s="65">
        <v>2613.6</v>
      </c>
      <c r="G76" s="66">
        <v>0</v>
      </c>
      <c r="H76" t="s">
        <v>319</v>
      </c>
      <c r="I76" s="56">
        <v>0.3</v>
      </c>
    </row>
    <row r="77" spans="1:9" x14ac:dyDescent="0.25">
      <c r="A77">
        <v>1</v>
      </c>
      <c r="B77" s="1" t="s">
        <v>354</v>
      </c>
      <c r="C77" t="s">
        <v>24</v>
      </c>
      <c r="D77" t="s">
        <v>31</v>
      </c>
      <c r="E77" s="65">
        <v>3360</v>
      </c>
      <c r="F77" s="65">
        <v>0</v>
      </c>
      <c r="G77" s="66">
        <v>16</v>
      </c>
      <c r="H77" t="s">
        <v>319</v>
      </c>
      <c r="I77" s="56">
        <v>0.3</v>
      </c>
    </row>
    <row r="78" spans="1:9" x14ac:dyDescent="0.25">
      <c r="A78">
        <v>1</v>
      </c>
      <c r="B78" s="1" t="s">
        <v>355</v>
      </c>
      <c r="C78" t="s">
        <v>69</v>
      </c>
      <c r="D78" t="s">
        <v>31</v>
      </c>
      <c r="E78" s="65">
        <v>13100</v>
      </c>
      <c r="F78" s="65">
        <v>1700</v>
      </c>
      <c r="G78" s="66">
        <v>80</v>
      </c>
      <c r="H78" t="s">
        <v>319</v>
      </c>
      <c r="I78" s="56">
        <v>0.3</v>
      </c>
    </row>
    <row r="79" spans="1:9" x14ac:dyDescent="0.25">
      <c r="A79">
        <v>1</v>
      </c>
      <c r="B79" s="1" t="s">
        <v>356</v>
      </c>
      <c r="C79" t="s">
        <v>52</v>
      </c>
      <c r="D79" t="s">
        <v>31</v>
      </c>
      <c r="E79" s="65" t="s">
        <v>289</v>
      </c>
      <c r="F79" s="65" t="s">
        <v>289</v>
      </c>
      <c r="G79" s="65" t="s">
        <v>289</v>
      </c>
      <c r="H79" t="s">
        <v>319</v>
      </c>
      <c r="I79" s="56">
        <v>0.3</v>
      </c>
    </row>
    <row r="80" spans="1:9" x14ac:dyDescent="0.25">
      <c r="A80">
        <v>1</v>
      </c>
      <c r="B80" s="1" t="s">
        <v>357</v>
      </c>
      <c r="C80" t="s">
        <v>40</v>
      </c>
      <c r="D80" t="s">
        <v>31</v>
      </c>
      <c r="E80" s="65">
        <v>10671</v>
      </c>
      <c r="F80" s="65">
        <v>1680</v>
      </c>
      <c r="G80" s="66">
        <v>8</v>
      </c>
      <c r="H80" t="s">
        <v>319</v>
      </c>
      <c r="I80" s="56">
        <v>0.3</v>
      </c>
    </row>
    <row r="81" spans="1:9" x14ac:dyDescent="0.25">
      <c r="A81">
        <v>1</v>
      </c>
      <c r="B81" s="1" t="s">
        <v>358</v>
      </c>
      <c r="C81" t="s">
        <v>52</v>
      </c>
      <c r="D81" t="s">
        <v>31</v>
      </c>
      <c r="E81" s="65">
        <v>8100</v>
      </c>
      <c r="F81" s="65">
        <v>1080</v>
      </c>
      <c r="G81" s="66">
        <v>60</v>
      </c>
      <c r="H81" t="s">
        <v>319</v>
      </c>
      <c r="I81" s="56">
        <v>0.3</v>
      </c>
    </row>
    <row r="82" spans="1:9" x14ac:dyDescent="0.25">
      <c r="A82">
        <v>1</v>
      </c>
      <c r="B82" s="1" t="s">
        <v>359</v>
      </c>
      <c r="C82" t="s">
        <v>54</v>
      </c>
      <c r="D82" t="s">
        <v>31</v>
      </c>
      <c r="E82" s="65">
        <v>29400</v>
      </c>
      <c r="F82" s="65">
        <v>0</v>
      </c>
      <c r="G82" s="66">
        <v>160</v>
      </c>
      <c r="H82" t="s">
        <v>319</v>
      </c>
      <c r="I82" s="56">
        <v>0.3</v>
      </c>
    </row>
    <row r="83" spans="1:9" x14ac:dyDescent="0.25">
      <c r="A83">
        <v>1</v>
      </c>
      <c r="B83" s="1" t="s">
        <v>360</v>
      </c>
      <c r="C83" t="s">
        <v>24</v>
      </c>
      <c r="D83" t="s">
        <v>31</v>
      </c>
      <c r="E83" s="65">
        <v>5040</v>
      </c>
      <c r="F83" s="65">
        <v>0</v>
      </c>
      <c r="G83" s="66">
        <v>28</v>
      </c>
      <c r="H83" t="s">
        <v>319</v>
      </c>
      <c r="I83" s="56">
        <v>0.3</v>
      </c>
    </row>
  </sheetData>
  <pageMargins left="0.511811024" right="0.511811024" top="0.78740157499999996" bottom="0.78740157499999996" header="0.31496062000000002" footer="0.31496062000000002"/>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
  <sheetViews>
    <sheetView workbookViewId="0">
      <selection activeCell="O36" sqref="O36"/>
    </sheetView>
  </sheetViews>
  <sheetFormatPr defaultRowHeight="15" x14ac:dyDescent="0.25"/>
  <sheetData/>
  <pageMargins left="0.511811024" right="0.511811024" top="0.78740157499999996" bottom="0.78740157499999996" header="0.31496062000000002" footer="0.3149606200000000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ER47"/>
  <sheetViews>
    <sheetView showGridLines="0" topLeftCell="AX1" workbookViewId="0">
      <selection activeCell="CY12" sqref="CY12"/>
    </sheetView>
  </sheetViews>
  <sheetFormatPr defaultRowHeight="15" outlineLevelCol="1" x14ac:dyDescent="0.25"/>
  <cols>
    <col min="1" max="1" width="29.140625" hidden="1" customWidth="1" outlineLevel="1"/>
    <col min="2" max="2" width="15.5703125" hidden="1" customWidth="1" outlineLevel="1"/>
    <col min="3" max="3" width="11.7109375" hidden="1" customWidth="1" outlineLevel="1"/>
    <col min="4" max="4" width="15.85546875" hidden="1" customWidth="1" outlineLevel="1"/>
    <col min="5" max="5" width="5.7109375" hidden="1" customWidth="1" outlineLevel="1"/>
    <col min="6" max="6" width="13.5703125" hidden="1" customWidth="1" outlineLevel="1"/>
    <col min="7" max="7" width="10.7109375" hidden="1" customWidth="1" outlineLevel="1"/>
    <col min="8" max="8" width="12.42578125" hidden="1" customWidth="1" outlineLevel="1"/>
    <col min="9" max="10" width="13.5703125" hidden="1" customWidth="1" outlineLevel="1"/>
    <col min="11" max="11" width="12.85546875" hidden="1" customWidth="1" outlineLevel="1"/>
    <col min="12" max="12" width="5" hidden="1" customWidth="1" outlineLevel="1"/>
    <col min="13" max="13" width="11.42578125" hidden="1" customWidth="1" outlineLevel="1"/>
    <col min="14" max="15" width="12.42578125" hidden="1" customWidth="1" outlineLevel="1"/>
    <col min="16" max="16" width="15.5703125" hidden="1" customWidth="1" outlineLevel="1"/>
    <col min="17" max="17" width="35.42578125" hidden="1" customWidth="1" outlineLevel="1"/>
    <col min="18" max="19" width="10.7109375" hidden="1" customWidth="1" outlineLevel="1"/>
    <col min="20" max="21" width="7.85546875" hidden="1" customWidth="1" outlineLevel="1"/>
    <col min="22" max="22" width="5.7109375" hidden="1" customWidth="1" outlineLevel="1"/>
    <col min="23" max="23" width="10.42578125" hidden="1" customWidth="1" outlineLevel="1"/>
    <col min="24" max="24" width="7" hidden="1" customWidth="1" outlineLevel="1"/>
    <col min="25" max="25" width="10.7109375" hidden="1" customWidth="1" outlineLevel="1"/>
    <col min="26" max="26" width="14.7109375" hidden="1" customWidth="1" outlineLevel="1"/>
    <col min="27" max="27" width="7.42578125" hidden="1" customWidth="1" outlineLevel="1"/>
    <col min="28" max="28" width="24.5703125" hidden="1" customWidth="1" outlineLevel="1"/>
    <col min="29" max="29" width="5" hidden="1" customWidth="1" outlineLevel="1"/>
    <col min="30" max="30" width="12.42578125" hidden="1" customWidth="1" outlineLevel="1"/>
    <col min="31" max="32" width="13.5703125" hidden="1" customWidth="1" outlineLevel="1"/>
    <col min="33" max="33" width="5.7109375" style="72" hidden="1" customWidth="1" outlineLevel="1"/>
    <col min="34" max="34" width="35.42578125" hidden="1" customWidth="1" outlineLevel="1"/>
    <col min="35" max="35" width="15.5703125" hidden="1" customWidth="1" outlineLevel="1"/>
    <col min="36" max="36" width="10.7109375" hidden="1" customWidth="1" outlineLevel="1"/>
    <col min="37" max="37" width="7.85546875" hidden="1" customWidth="1" outlineLevel="1"/>
    <col min="38" max="38" width="5.7109375" hidden="1" customWidth="1" outlineLevel="1"/>
    <col min="39" max="39" width="10.42578125" hidden="1" customWidth="1" outlineLevel="1"/>
    <col min="40" max="40" width="14.42578125" hidden="1" customWidth="1" outlineLevel="1"/>
    <col min="41" max="41" width="10.5703125" hidden="1" customWidth="1" outlineLevel="1"/>
    <col min="42" max="42" width="8" hidden="1" customWidth="1" outlineLevel="1"/>
    <col min="43" max="43" width="19.5703125" hidden="1" customWidth="1" outlineLevel="1"/>
    <col min="44" max="44" width="24.5703125" hidden="1" customWidth="1" outlineLevel="1"/>
    <col min="45" max="45" width="5" hidden="1" customWidth="1" outlineLevel="1"/>
    <col min="46" max="46" width="12.42578125" hidden="1" customWidth="1" outlineLevel="1"/>
    <col min="47" max="48" width="13.5703125" hidden="1" customWidth="1" outlineLevel="1"/>
    <col min="49" max="49" width="8.85546875" hidden="1" customWidth="1" outlineLevel="1"/>
    <col min="50" max="50" width="9.140625" customWidth="1" collapsed="1"/>
    <col min="51" max="51" width="29.140625" hidden="1" customWidth="1" outlineLevel="1"/>
    <col min="52" max="52" width="15.5703125" hidden="1" customWidth="1" outlineLevel="1"/>
    <col min="53" max="53" width="11.7109375" hidden="1" customWidth="1" outlineLevel="1"/>
    <col min="54" max="54" width="15.85546875" hidden="1" customWidth="1" outlineLevel="1"/>
    <col min="55" max="55" width="5.7109375" hidden="1" customWidth="1" outlineLevel="1"/>
    <col min="56" max="56" width="13.5703125" hidden="1" customWidth="1" outlineLevel="1"/>
    <col min="57" max="57" width="10.7109375" hidden="1" customWidth="1" outlineLevel="1"/>
    <col min="58" max="58" width="16.5703125" hidden="1" customWidth="1" outlineLevel="1"/>
    <col min="59" max="60" width="13.5703125" hidden="1" customWidth="1" outlineLevel="1"/>
    <col min="61" max="61" width="12.85546875" hidden="1" customWidth="1" outlineLevel="1"/>
    <col min="62" max="62" width="5" hidden="1" customWidth="1" outlineLevel="1"/>
    <col min="63" max="63" width="11.42578125" hidden="1" customWidth="1" outlineLevel="1"/>
    <col min="64" max="65" width="12.42578125" hidden="1" customWidth="1" outlineLevel="1"/>
    <col min="66" max="66" width="15.5703125" hidden="1" customWidth="1" outlineLevel="1"/>
    <col min="67" max="67" width="35.42578125" hidden="1" customWidth="1" outlineLevel="1"/>
    <col min="68" max="69" width="10.7109375" hidden="1" customWidth="1" outlineLevel="1"/>
    <col min="70" max="71" width="7.85546875" hidden="1" customWidth="1" outlineLevel="1"/>
    <col min="72" max="72" width="5.7109375" hidden="1" customWidth="1" outlineLevel="1"/>
    <col min="73" max="73" width="10.42578125" hidden="1" customWidth="1" outlineLevel="1"/>
    <col min="74" max="74" width="7" hidden="1" customWidth="1" outlineLevel="1"/>
    <col min="75" max="75" width="10.7109375" hidden="1" customWidth="1" outlineLevel="1"/>
    <col min="76" max="76" width="14.7109375" hidden="1" customWidth="1" outlineLevel="1"/>
    <col min="77" max="77" width="7.42578125" hidden="1" customWidth="1" outlineLevel="1"/>
    <col min="78" max="78" width="24.5703125" hidden="1" customWidth="1" outlineLevel="1"/>
    <col min="79" max="79" width="5" hidden="1" customWidth="1" outlineLevel="1"/>
    <col min="80" max="80" width="12.42578125" hidden="1" customWidth="1" outlineLevel="1"/>
    <col min="81" max="82" width="13.5703125" hidden="1" customWidth="1" outlineLevel="1"/>
    <col min="83" max="83" width="5.7109375" style="72" hidden="1" customWidth="1" outlineLevel="1"/>
    <col min="84" max="84" width="35.42578125" hidden="1" customWidth="1" outlineLevel="1"/>
    <col min="85" max="85" width="15.5703125" hidden="1" customWidth="1" outlineLevel="1"/>
    <col min="86" max="86" width="10.7109375" hidden="1" customWidth="1" outlineLevel="1"/>
    <col min="87" max="87" width="7.85546875" hidden="1" customWidth="1" outlineLevel="1"/>
    <col min="88" max="88" width="5.7109375" hidden="1" customWidth="1" outlineLevel="1"/>
    <col min="89" max="89" width="10.42578125" hidden="1" customWidth="1" outlineLevel="1"/>
    <col min="90" max="90" width="14.42578125" hidden="1" customWidth="1" outlineLevel="1"/>
    <col min="91" max="91" width="10.5703125" hidden="1" customWidth="1" outlineLevel="1"/>
    <col min="92" max="92" width="8" hidden="1" customWidth="1" outlineLevel="1"/>
    <col min="93" max="93" width="19.5703125" hidden="1" customWidth="1" outlineLevel="1"/>
    <col min="94" max="94" width="24.5703125" hidden="1" customWidth="1" outlineLevel="1"/>
    <col min="95" max="95" width="5" hidden="1" customWidth="1" outlineLevel="1"/>
    <col min="96" max="96" width="12.42578125" hidden="1" customWidth="1" outlineLevel="1"/>
    <col min="97" max="98" width="13.5703125" hidden="1" customWidth="1" outlineLevel="1"/>
    <col min="99" max="99" width="8.85546875" customWidth="1" collapsed="1"/>
    <col min="101" max="101" width="46.28515625" bestFit="1" customWidth="1"/>
    <col min="102" max="103" width="12.28515625" bestFit="1" customWidth="1"/>
    <col min="104" max="104" width="7.85546875" bestFit="1" customWidth="1"/>
    <col min="106" max="106" width="10.42578125" bestFit="1" customWidth="1"/>
    <col min="107" max="107" width="7.140625" bestFit="1" customWidth="1"/>
    <col min="108" max="108" width="17.85546875" bestFit="1" customWidth="1"/>
    <col min="109" max="109" width="10" bestFit="1" customWidth="1"/>
    <col min="110" max="110" width="8.5703125" bestFit="1" customWidth="1"/>
    <col min="111" max="111" width="26.85546875" bestFit="1" customWidth="1"/>
    <col min="112" max="112" width="5.140625" bestFit="1" customWidth="1"/>
    <col min="113" max="115" width="13" bestFit="1" customWidth="1"/>
    <col min="117" max="117" width="46.28515625" bestFit="1" customWidth="1"/>
    <col min="118" max="119" width="10.42578125" bestFit="1" customWidth="1"/>
    <col min="120" max="120" width="7.7109375" bestFit="1" customWidth="1"/>
    <col min="123" max="123" width="10.28515625" bestFit="1" customWidth="1"/>
    <col min="124" max="124" width="7" bestFit="1" customWidth="1"/>
    <col min="125" max="125" width="11.7109375" bestFit="1" customWidth="1"/>
    <col min="126" max="126" width="11" bestFit="1" customWidth="1"/>
    <col min="127" max="127" width="7.28515625" bestFit="1" customWidth="1"/>
    <col min="128" max="128" width="26.85546875" bestFit="1" customWidth="1"/>
    <col min="129" max="129" width="5" bestFit="1" customWidth="1"/>
    <col min="130" max="132" width="12.85546875" bestFit="1" customWidth="1"/>
    <col min="134" max="134" width="46.28515625" bestFit="1" customWidth="1"/>
    <col min="135" max="136" width="10.42578125" bestFit="1" customWidth="1"/>
    <col min="137" max="137" width="7.7109375" bestFit="1" customWidth="1"/>
    <col min="139" max="139" width="10.28515625" bestFit="1" customWidth="1"/>
    <col min="140" max="140" width="7" bestFit="1" customWidth="1"/>
    <col min="141" max="141" width="11.5703125" bestFit="1" customWidth="1"/>
    <col min="142" max="142" width="10" bestFit="1" customWidth="1"/>
    <col min="143" max="143" width="14.28515625" bestFit="1" customWidth="1"/>
    <col min="144" max="144" width="26.85546875" bestFit="1" customWidth="1"/>
    <col min="145" max="145" width="5" bestFit="1" customWidth="1"/>
    <col min="146" max="148" width="12.85546875" bestFit="1" customWidth="1"/>
  </cols>
  <sheetData>
    <row r="1" spans="1:148" x14ac:dyDescent="0.25">
      <c r="A1" s="1" t="s">
        <v>361</v>
      </c>
      <c r="Q1" s="1" t="str">
        <f>A1</f>
        <v>RELATÓTIO APURAÇÃO OBJETIVOS DE FEVEREIRO 2026</v>
      </c>
      <c r="AH1" s="1" t="str">
        <f>Q1</f>
        <v>RELATÓTIO APURAÇÃO OBJETIVOS DE FEVEREIRO 2026</v>
      </c>
      <c r="AY1" s="1" t="s">
        <v>362</v>
      </c>
      <c r="BO1" s="1" t="str">
        <f>AY1</f>
        <v>RELATÓTIO APURAÇÃO OBJETIVOS DE MARÇO 2026</v>
      </c>
      <c r="CF1" s="1" t="str">
        <f>BO1</f>
        <v>RELATÓTIO APURAÇÃO OBJETIVOS DE MARÇO 2026</v>
      </c>
      <c r="CW1" s="1" t="s">
        <v>362</v>
      </c>
      <c r="DM1" s="1" t="str">
        <f>CW1</f>
        <v>RELATÓTIO APURAÇÃO OBJETIVOS DE MARÇO 2026</v>
      </c>
      <c r="ED1" s="1" t="str">
        <f>DM1</f>
        <v>RELATÓTIO APURAÇÃO OBJETIVOS DE MARÇO 2026</v>
      </c>
    </row>
    <row r="2" spans="1:148" x14ac:dyDescent="0.25">
      <c r="A2" s="1" t="s">
        <v>363</v>
      </c>
      <c r="Q2" s="1" t="str">
        <f>A2</f>
        <v>APURAÇÃO: 02/03/2026</v>
      </c>
      <c r="AH2" s="1" t="str">
        <f>Q2</f>
        <v>APURAÇÃO: 02/03/2026</v>
      </c>
      <c r="AY2" s="1" t="s">
        <v>364</v>
      </c>
      <c r="BO2" s="1" t="str">
        <f>AY2</f>
        <v>APURAÇÃO: 02/04/2026</v>
      </c>
      <c r="CF2" s="1" t="str">
        <f>BO2</f>
        <v>APURAÇÃO: 02/04/2026</v>
      </c>
      <c r="CW2" s="1" t="s">
        <v>365</v>
      </c>
      <c r="DM2" s="1" t="str">
        <f>CW2</f>
        <v>APURAÇÃO: 03/05/2026</v>
      </c>
      <c r="ED2" s="1" t="str">
        <f>DM2</f>
        <v>APURAÇÃO: 03/05/2026</v>
      </c>
    </row>
    <row r="3" spans="1:148" x14ac:dyDescent="0.25">
      <c r="A3" s="1" t="s">
        <v>366</v>
      </c>
      <c r="Q3" s="1" t="str">
        <f>A3</f>
        <v>PERÍODO: 01/02/2026 até 28/02/2026</v>
      </c>
      <c r="V3" s="72"/>
      <c r="AH3" s="1" t="str">
        <f>Q3</f>
        <v>PERÍODO: 01/02/2026 até 28/02/2026</v>
      </c>
      <c r="AY3" s="1" t="s">
        <v>367</v>
      </c>
      <c r="BO3" s="1" t="str">
        <f>AY3</f>
        <v>PERÍODO: 01/03/2026 até 31/03/2026</v>
      </c>
      <c r="BT3" s="72"/>
      <c r="CF3" s="1" t="str">
        <f>BO3</f>
        <v>PERÍODO: 01/03/2026 até 31/03/2026</v>
      </c>
      <c r="CW3" s="1" t="s">
        <v>368</v>
      </c>
      <c r="DM3" s="1" t="str">
        <f>CW3</f>
        <v>PERÍODO: 01/04/2026 até 30/04/2026</v>
      </c>
      <c r="DR3" s="72"/>
      <c r="ED3" s="1" t="str">
        <f>DM3</f>
        <v>PERÍODO: 01/04/2026 até 30/04/2026</v>
      </c>
    </row>
    <row r="4" spans="1:148" x14ac:dyDescent="0.25">
      <c r="P4" s="72"/>
      <c r="V4" s="72"/>
      <c r="BN4" s="72"/>
      <c r="BT4" s="72"/>
      <c r="DR4" s="72"/>
    </row>
    <row r="5" spans="1:148" x14ac:dyDescent="0.25">
      <c r="A5" s="393" t="s">
        <v>185</v>
      </c>
      <c r="B5" s="392"/>
      <c r="C5" s="392"/>
      <c r="D5" s="392"/>
      <c r="E5" s="283"/>
      <c r="F5" s="282" t="s">
        <v>369</v>
      </c>
      <c r="G5" s="282"/>
      <c r="H5" s="282"/>
      <c r="I5" s="282"/>
      <c r="J5" s="282"/>
      <c r="K5" s="282"/>
      <c r="L5" s="282"/>
      <c r="M5" s="282"/>
      <c r="N5" s="282"/>
      <c r="O5" s="282"/>
      <c r="P5" s="287"/>
      <c r="Q5" s="282"/>
      <c r="R5" s="281"/>
      <c r="S5" s="281"/>
      <c r="T5" s="281"/>
      <c r="U5" s="281"/>
      <c r="V5" s="284"/>
      <c r="W5" s="282" t="s">
        <v>369</v>
      </c>
      <c r="X5" s="281"/>
      <c r="Y5" s="281"/>
      <c r="Z5" s="281"/>
      <c r="AA5" s="281"/>
      <c r="AB5" s="281"/>
      <c r="AC5" s="281"/>
      <c r="AD5" s="281"/>
      <c r="AE5" s="281"/>
      <c r="AF5" s="281"/>
      <c r="AG5" s="283"/>
      <c r="AH5" s="281" t="s">
        <v>187</v>
      </c>
      <c r="AI5" s="281"/>
      <c r="AJ5" s="281"/>
      <c r="AK5" s="281"/>
      <c r="AM5" s="282" t="s">
        <v>369</v>
      </c>
      <c r="AN5" s="281"/>
      <c r="AO5" s="281"/>
      <c r="AP5" s="281"/>
      <c r="AQ5" s="281"/>
      <c r="AR5" s="281"/>
      <c r="AS5" s="281"/>
      <c r="AT5" s="281"/>
      <c r="AU5" s="281"/>
      <c r="AV5" s="281"/>
      <c r="AY5" s="393" t="s">
        <v>185</v>
      </c>
      <c r="AZ5" s="392"/>
      <c r="BA5" s="392"/>
      <c r="BB5" s="392"/>
      <c r="BC5" s="283"/>
      <c r="BD5" s="282" t="s">
        <v>369</v>
      </c>
      <c r="BE5" s="282"/>
      <c r="BF5" s="282"/>
      <c r="BG5" s="282"/>
      <c r="BH5" s="282"/>
      <c r="BI5" s="282"/>
      <c r="BJ5" s="282"/>
      <c r="BK5" s="282"/>
      <c r="BL5" s="282"/>
      <c r="BM5" s="282"/>
      <c r="BN5" s="287"/>
      <c r="BO5" s="282" t="s">
        <v>186</v>
      </c>
      <c r="BP5" s="281"/>
      <c r="BQ5" s="281"/>
      <c r="BR5" s="281"/>
      <c r="BS5" s="281"/>
      <c r="BT5" s="284"/>
      <c r="BU5" s="282" t="s">
        <v>369</v>
      </c>
      <c r="BV5" s="281"/>
      <c r="BW5" s="281"/>
      <c r="BX5" s="281"/>
      <c r="BY5" s="281"/>
      <c r="BZ5" s="281"/>
      <c r="CA5" s="281"/>
      <c r="CB5" s="281"/>
      <c r="CC5" s="281"/>
      <c r="CD5" s="281"/>
      <c r="CE5" s="283"/>
      <c r="CF5" s="281" t="s">
        <v>187</v>
      </c>
      <c r="CG5" s="281"/>
      <c r="CH5" s="281"/>
      <c r="CI5" s="281"/>
      <c r="CK5" s="282" t="s">
        <v>369</v>
      </c>
      <c r="CL5" s="281"/>
      <c r="CM5" s="281"/>
      <c r="CN5" s="281"/>
      <c r="CO5" s="281"/>
      <c r="CP5" s="281"/>
      <c r="CQ5" s="281"/>
      <c r="CR5" s="281"/>
      <c r="CS5" s="281"/>
      <c r="CT5" s="281"/>
      <c r="CW5" s="394" t="s">
        <v>185</v>
      </c>
      <c r="CX5" s="392"/>
      <c r="CY5" s="392"/>
      <c r="CZ5" s="392"/>
      <c r="DA5" s="335"/>
      <c r="DB5" s="336" t="s">
        <v>369</v>
      </c>
      <c r="DC5" s="336"/>
      <c r="DD5" s="336"/>
      <c r="DE5" s="336"/>
      <c r="DF5" s="336"/>
      <c r="DG5" s="336"/>
      <c r="DH5" s="336"/>
      <c r="DI5" s="336"/>
      <c r="DJ5" s="336"/>
      <c r="DK5" s="336"/>
      <c r="DM5" s="282" t="s">
        <v>186</v>
      </c>
      <c r="DN5" s="281"/>
      <c r="DO5" s="281"/>
      <c r="DP5" s="281"/>
      <c r="DQ5" s="281"/>
      <c r="DR5" s="284"/>
      <c r="DS5" s="282" t="s">
        <v>369</v>
      </c>
      <c r="DT5" s="281"/>
      <c r="DU5" s="281"/>
      <c r="DV5" s="281"/>
      <c r="DW5" s="281"/>
      <c r="DX5" s="281"/>
      <c r="DY5" s="281"/>
      <c r="DZ5" s="281"/>
      <c r="EA5" s="281"/>
      <c r="EB5" s="281"/>
      <c r="ED5" s="281" t="s">
        <v>187</v>
      </c>
      <c r="EE5" s="281"/>
      <c r="EF5" s="281"/>
      <c r="EG5" s="281"/>
      <c r="EI5" s="282" t="s">
        <v>369</v>
      </c>
      <c r="EJ5" s="281"/>
      <c r="EK5" s="281"/>
      <c r="EL5" s="281"/>
      <c r="EM5" s="281"/>
      <c r="EN5" s="281"/>
      <c r="EO5" s="281"/>
      <c r="EP5" s="281"/>
      <c r="EQ5" s="281"/>
      <c r="ER5" s="281"/>
    </row>
    <row r="6" spans="1:148" x14ac:dyDescent="0.25">
      <c r="A6" s="113"/>
      <c r="B6" s="114" t="s">
        <v>156</v>
      </c>
      <c r="C6" s="115" t="s">
        <v>188</v>
      </c>
      <c r="D6" s="115" t="s">
        <v>158</v>
      </c>
      <c r="F6" s="281" t="s">
        <v>185</v>
      </c>
      <c r="G6" s="281"/>
      <c r="H6" s="281"/>
      <c r="I6" s="281"/>
      <c r="J6" s="281" t="s">
        <v>185</v>
      </c>
      <c r="K6" s="281"/>
      <c r="L6" s="281"/>
      <c r="M6" s="281"/>
      <c r="N6" s="281"/>
      <c r="O6" s="281"/>
      <c r="P6" s="72"/>
      <c r="Q6" s="113"/>
      <c r="R6" s="114" t="s">
        <v>156</v>
      </c>
      <c r="S6" s="115" t="s">
        <v>188</v>
      </c>
      <c r="T6" s="115" t="s">
        <v>158</v>
      </c>
      <c r="U6" s="115"/>
      <c r="V6" s="285"/>
      <c r="W6" s="281" t="s">
        <v>186</v>
      </c>
      <c r="X6" s="281"/>
      <c r="Y6" s="281"/>
      <c r="Z6" s="281"/>
      <c r="AA6" s="281"/>
      <c r="AB6" s="281"/>
      <c r="AC6" s="281"/>
      <c r="AD6" s="281"/>
      <c r="AE6" s="281"/>
      <c r="AF6" s="281"/>
      <c r="AH6" s="113"/>
      <c r="AI6" s="114" t="s">
        <v>156</v>
      </c>
      <c r="AJ6" s="115" t="s">
        <v>188</v>
      </c>
      <c r="AK6" s="115" t="s">
        <v>158</v>
      </c>
      <c r="AM6" s="281" t="s">
        <v>187</v>
      </c>
      <c r="AN6" s="267"/>
      <c r="AO6" s="267"/>
      <c r="AP6" s="267"/>
      <c r="AQ6" s="267"/>
      <c r="AR6" s="267"/>
      <c r="AS6" s="267"/>
      <c r="AT6" s="267"/>
      <c r="AU6" s="267"/>
      <c r="AV6" s="267"/>
      <c r="AY6" s="113"/>
      <c r="AZ6" s="114" t="s">
        <v>156</v>
      </c>
      <c r="BA6" s="115" t="s">
        <v>188</v>
      </c>
      <c r="BB6" s="115" t="s">
        <v>158</v>
      </c>
      <c r="BD6" s="281" t="s">
        <v>185</v>
      </c>
      <c r="BE6" s="281"/>
      <c r="BF6" s="281"/>
      <c r="BG6" s="281"/>
      <c r="BH6" s="281" t="s">
        <v>185</v>
      </c>
      <c r="BI6" s="281"/>
      <c r="BJ6" s="281"/>
      <c r="BK6" s="281"/>
      <c r="BL6" s="281"/>
      <c r="BM6" s="281"/>
      <c r="BN6" s="72"/>
      <c r="BO6" s="113"/>
      <c r="BP6" s="114" t="s">
        <v>156</v>
      </c>
      <c r="BQ6" s="115" t="s">
        <v>188</v>
      </c>
      <c r="BR6" s="115" t="s">
        <v>158</v>
      </c>
      <c r="BS6" s="115"/>
      <c r="BT6" s="285"/>
      <c r="BU6" s="281" t="s">
        <v>186</v>
      </c>
      <c r="BV6" s="281"/>
      <c r="BW6" s="281"/>
      <c r="BX6" s="281"/>
      <c r="BY6" s="281"/>
      <c r="BZ6" s="281"/>
      <c r="CA6" s="281"/>
      <c r="CB6" s="281"/>
      <c r="CC6" s="281"/>
      <c r="CD6" s="281"/>
      <c r="CF6" s="113"/>
      <c r="CG6" s="114" t="s">
        <v>156</v>
      </c>
      <c r="CH6" s="115" t="s">
        <v>188</v>
      </c>
      <c r="CI6" s="115" t="s">
        <v>158</v>
      </c>
      <c r="CK6" s="281" t="s">
        <v>187</v>
      </c>
      <c r="CL6" s="267"/>
      <c r="CM6" s="267"/>
      <c r="CN6" s="267"/>
      <c r="CO6" s="267"/>
      <c r="CP6" s="267"/>
      <c r="CQ6" s="267"/>
      <c r="CR6" s="267"/>
      <c r="CS6" s="267"/>
      <c r="CT6" s="267"/>
      <c r="CW6" s="337"/>
      <c r="CX6" s="338" t="s">
        <v>156</v>
      </c>
      <c r="CY6" s="339" t="s">
        <v>188</v>
      </c>
      <c r="CZ6" s="339" t="s">
        <v>158</v>
      </c>
      <c r="DA6" s="111"/>
      <c r="DB6" s="340" t="s">
        <v>185</v>
      </c>
      <c r="DC6" s="340"/>
      <c r="DD6" s="340"/>
      <c r="DE6" s="340"/>
      <c r="DF6" s="340" t="s">
        <v>185</v>
      </c>
      <c r="DG6" s="340"/>
      <c r="DH6" s="340"/>
      <c r="DI6" s="340"/>
      <c r="DJ6" s="340"/>
      <c r="DK6" s="340"/>
      <c r="DM6" s="113"/>
      <c r="DN6" s="114" t="s">
        <v>156</v>
      </c>
      <c r="DO6" s="115" t="s">
        <v>188</v>
      </c>
      <c r="DP6" s="115" t="s">
        <v>158</v>
      </c>
      <c r="DQ6" s="115"/>
      <c r="DR6" s="285"/>
      <c r="DS6" s="281" t="s">
        <v>186</v>
      </c>
      <c r="DT6" s="281"/>
      <c r="DU6" s="281"/>
      <c r="DV6" s="281"/>
      <c r="DW6" s="281"/>
      <c r="DX6" s="281"/>
      <c r="DY6" s="281"/>
      <c r="DZ6" s="281"/>
      <c r="EA6" s="281"/>
      <c r="EB6" s="281"/>
      <c r="ED6" s="113"/>
      <c r="EE6" s="114" t="s">
        <v>156</v>
      </c>
      <c r="EF6" s="115" t="s">
        <v>188</v>
      </c>
      <c r="EG6" s="115" t="s">
        <v>158</v>
      </c>
      <c r="EI6" s="281" t="s">
        <v>187</v>
      </c>
      <c r="EJ6" s="267"/>
      <c r="EK6" s="267"/>
      <c r="EL6" s="267"/>
      <c r="EM6" s="267"/>
      <c r="EN6" s="267"/>
      <c r="EO6" s="267"/>
      <c r="EP6" s="267"/>
      <c r="EQ6" s="267"/>
      <c r="ER6" s="267"/>
    </row>
    <row r="7" spans="1:148" x14ac:dyDescent="0.25">
      <c r="A7" s="116" t="s">
        <v>370</v>
      </c>
      <c r="B7" s="117">
        <v>15</v>
      </c>
      <c r="C7" s="118">
        <v>26</v>
      </c>
      <c r="D7" s="119">
        <f t="shared" ref="D7:D12" si="0">C7/B7</f>
        <v>1.7333333333333334</v>
      </c>
      <c r="F7" s="270" t="s">
        <v>0</v>
      </c>
      <c r="G7" s="271" t="s">
        <v>1</v>
      </c>
      <c r="H7" s="272" t="s">
        <v>2</v>
      </c>
      <c r="I7" s="272" t="s">
        <v>3</v>
      </c>
      <c r="J7" s="272" t="s">
        <v>4</v>
      </c>
      <c r="K7" s="272" t="s">
        <v>5</v>
      </c>
      <c r="L7" s="272" t="s">
        <v>6</v>
      </c>
      <c r="M7" s="272" t="s">
        <v>7</v>
      </c>
      <c r="N7" s="272" t="s">
        <v>8</v>
      </c>
      <c r="O7" s="272" t="s">
        <v>9</v>
      </c>
      <c r="P7" s="72"/>
      <c r="Q7" s="116" t="s">
        <v>189</v>
      </c>
      <c r="R7" s="117">
        <v>15</v>
      </c>
      <c r="S7" s="118">
        <v>16</v>
      </c>
      <c r="T7" s="119">
        <f t="shared" ref="T7:T12" si="1">S7/R7</f>
        <v>1.0666666666666667</v>
      </c>
      <c r="U7" s="119"/>
      <c r="V7" s="286"/>
      <c r="W7" s="270" t="s">
        <v>0</v>
      </c>
      <c r="X7" s="271" t="s">
        <v>1</v>
      </c>
      <c r="Y7" s="272" t="s">
        <v>2</v>
      </c>
      <c r="Z7" s="272" t="s">
        <v>3</v>
      </c>
      <c r="AA7" s="272" t="s">
        <v>4</v>
      </c>
      <c r="AB7" s="272" t="s">
        <v>5</v>
      </c>
      <c r="AC7" s="272" t="s">
        <v>6</v>
      </c>
      <c r="AD7" s="272" t="s">
        <v>7</v>
      </c>
      <c r="AE7" s="272" t="s">
        <v>8</v>
      </c>
      <c r="AF7" s="272" t="s">
        <v>9</v>
      </c>
      <c r="AH7" s="116" t="s">
        <v>189</v>
      </c>
      <c r="AI7" s="117">
        <v>15</v>
      </c>
      <c r="AJ7" s="118">
        <v>17</v>
      </c>
      <c r="AK7" s="119">
        <f t="shared" ref="AK7:AK12" si="2">AJ7/AI7</f>
        <v>1.1333333333333333</v>
      </c>
      <c r="AM7" s="270" t="s">
        <v>0</v>
      </c>
      <c r="AN7" s="271" t="s">
        <v>1</v>
      </c>
      <c r="AO7" s="272" t="s">
        <v>2</v>
      </c>
      <c r="AP7" s="272" t="s">
        <v>3</v>
      </c>
      <c r="AQ7" s="272" t="s">
        <v>4</v>
      </c>
      <c r="AR7" s="272" t="s">
        <v>5</v>
      </c>
      <c r="AS7" s="272" t="s">
        <v>6</v>
      </c>
      <c r="AT7" s="272" t="s">
        <v>7</v>
      </c>
      <c r="AU7" s="272" t="s">
        <v>8</v>
      </c>
      <c r="AV7" s="272" t="s">
        <v>9</v>
      </c>
      <c r="AY7" s="116" t="s">
        <v>370</v>
      </c>
      <c r="AZ7" s="117">
        <v>15</v>
      </c>
      <c r="BA7" s="118">
        <v>21</v>
      </c>
      <c r="BB7" s="119">
        <f t="shared" ref="BB7:BB12" si="3">BA7/AZ7</f>
        <v>1.4</v>
      </c>
      <c r="BD7" s="270" t="s">
        <v>0</v>
      </c>
      <c r="BE7" s="271" t="s">
        <v>1</v>
      </c>
      <c r="BF7" s="272" t="s">
        <v>2</v>
      </c>
      <c r="BG7" s="272" t="s">
        <v>3</v>
      </c>
      <c r="BH7" s="272" t="s">
        <v>4</v>
      </c>
      <c r="BI7" s="272" t="s">
        <v>5</v>
      </c>
      <c r="BJ7" s="272" t="s">
        <v>6</v>
      </c>
      <c r="BK7" s="272" t="s">
        <v>7</v>
      </c>
      <c r="BL7" s="272" t="s">
        <v>8</v>
      </c>
      <c r="BM7" s="272" t="s">
        <v>9</v>
      </c>
      <c r="BN7" s="72"/>
      <c r="BO7" s="116" t="s">
        <v>189</v>
      </c>
      <c r="BP7" s="117">
        <v>15</v>
      </c>
      <c r="BQ7" s="118">
        <v>18</v>
      </c>
      <c r="BR7" s="119">
        <f t="shared" ref="BR7:BR12" si="4">BQ7/BP7</f>
        <v>1.2</v>
      </c>
      <c r="BS7" s="119"/>
      <c r="BT7" s="286"/>
      <c r="BU7" s="270" t="s">
        <v>0</v>
      </c>
      <c r="BV7" s="271" t="s">
        <v>1</v>
      </c>
      <c r="BW7" s="272" t="s">
        <v>2</v>
      </c>
      <c r="BX7" s="272" t="s">
        <v>3</v>
      </c>
      <c r="BY7" s="272" t="s">
        <v>4</v>
      </c>
      <c r="BZ7" s="272" t="s">
        <v>5</v>
      </c>
      <c r="CA7" s="272" t="s">
        <v>6</v>
      </c>
      <c r="CB7" s="272" t="s">
        <v>7</v>
      </c>
      <c r="CC7" s="272" t="s">
        <v>8</v>
      </c>
      <c r="CD7" s="272" t="s">
        <v>9</v>
      </c>
      <c r="CF7" s="116" t="s">
        <v>189</v>
      </c>
      <c r="CG7" s="117">
        <v>15</v>
      </c>
      <c r="CH7" s="118">
        <v>7</v>
      </c>
      <c r="CI7" s="119">
        <f t="shared" ref="CI7:CI12" si="5">CH7/CG7</f>
        <v>0.46666666666666667</v>
      </c>
      <c r="CK7" s="270" t="s">
        <v>0</v>
      </c>
      <c r="CL7" s="271" t="s">
        <v>1</v>
      </c>
      <c r="CM7" s="272" t="s">
        <v>2</v>
      </c>
      <c r="CN7" s="272" t="s">
        <v>3</v>
      </c>
      <c r="CO7" s="272" t="s">
        <v>4</v>
      </c>
      <c r="CP7" s="272" t="s">
        <v>5</v>
      </c>
      <c r="CQ7" s="272" t="s">
        <v>6</v>
      </c>
      <c r="CR7" s="272" t="s">
        <v>7</v>
      </c>
      <c r="CS7" s="272" t="s">
        <v>8</v>
      </c>
      <c r="CT7" s="272" t="s">
        <v>9</v>
      </c>
      <c r="CW7" s="341" t="s">
        <v>370</v>
      </c>
      <c r="CX7" s="224">
        <v>15</v>
      </c>
      <c r="CY7" s="342">
        <v>9</v>
      </c>
      <c r="CZ7" s="343">
        <f t="shared" ref="CZ7:CZ12" si="6">CY7/CX7</f>
        <v>0.6</v>
      </c>
      <c r="DA7" s="111"/>
      <c r="DB7" s="270" t="s">
        <v>0</v>
      </c>
      <c r="DC7" s="271" t="s">
        <v>1</v>
      </c>
      <c r="DD7" s="272" t="s">
        <v>2</v>
      </c>
      <c r="DE7" s="272" t="s">
        <v>3</v>
      </c>
      <c r="DF7" s="272" t="s">
        <v>4</v>
      </c>
      <c r="DG7" s="272" t="s">
        <v>5</v>
      </c>
      <c r="DH7" s="272" t="s">
        <v>6</v>
      </c>
      <c r="DI7" s="272" t="s">
        <v>7</v>
      </c>
      <c r="DJ7" s="272" t="s">
        <v>8</v>
      </c>
      <c r="DK7" s="272" t="s">
        <v>9</v>
      </c>
      <c r="DM7" s="116" t="s">
        <v>189</v>
      </c>
      <c r="DN7" s="117">
        <v>15</v>
      </c>
      <c r="DO7" s="118">
        <v>7</v>
      </c>
      <c r="DP7" s="119">
        <f t="shared" ref="DP7:DP12" si="7">DO7/DN7</f>
        <v>0.46666666666666667</v>
      </c>
      <c r="DQ7" s="119"/>
      <c r="DR7" s="286"/>
      <c r="DS7" s="270" t="s">
        <v>0</v>
      </c>
      <c r="DT7" s="271" t="s">
        <v>1</v>
      </c>
      <c r="DU7" s="272" t="s">
        <v>2</v>
      </c>
      <c r="DV7" s="272" t="s">
        <v>3</v>
      </c>
      <c r="DW7" s="272" t="s">
        <v>4</v>
      </c>
      <c r="DX7" s="272" t="s">
        <v>5</v>
      </c>
      <c r="DY7" s="272" t="s">
        <v>6</v>
      </c>
      <c r="DZ7" s="272" t="s">
        <v>7</v>
      </c>
      <c r="EA7" s="272" t="s">
        <v>8</v>
      </c>
      <c r="EB7" s="272" t="s">
        <v>9</v>
      </c>
      <c r="ED7" s="116" t="s">
        <v>189</v>
      </c>
      <c r="EE7" s="117">
        <v>15</v>
      </c>
      <c r="EF7" s="118">
        <v>2</v>
      </c>
      <c r="EG7" s="119">
        <f t="shared" ref="EG7:EG12" si="8">EF7/EE7</f>
        <v>0.13333333333333333</v>
      </c>
      <c r="EI7" s="270" t="s">
        <v>0</v>
      </c>
      <c r="EJ7" s="271" t="s">
        <v>1</v>
      </c>
      <c r="EK7" s="272" t="s">
        <v>2</v>
      </c>
      <c r="EL7" s="272" t="s">
        <v>3</v>
      </c>
      <c r="EM7" s="272" t="s">
        <v>4</v>
      </c>
      <c r="EN7" s="272" t="s">
        <v>5</v>
      </c>
      <c r="EO7" s="272" t="s">
        <v>6</v>
      </c>
      <c r="EP7" s="272" t="s">
        <v>7</v>
      </c>
      <c r="EQ7" s="272" t="s">
        <v>8</v>
      </c>
      <c r="ER7" s="272" t="s">
        <v>9</v>
      </c>
    </row>
    <row r="8" spans="1:148" x14ac:dyDescent="0.25">
      <c r="A8" s="116" t="s">
        <v>371</v>
      </c>
      <c r="B8" s="117">
        <v>12</v>
      </c>
      <c r="C8" s="118">
        <v>31</v>
      </c>
      <c r="D8" s="119">
        <f t="shared" si="0"/>
        <v>2.5833333333333335</v>
      </c>
      <c r="F8" s="273">
        <v>46059</v>
      </c>
      <c r="G8" s="274">
        <v>137739</v>
      </c>
      <c r="H8" s="275" t="s">
        <v>31</v>
      </c>
      <c r="I8" s="275" t="s">
        <v>73</v>
      </c>
      <c r="J8" s="275" t="s">
        <v>52</v>
      </c>
      <c r="K8" s="275" t="s">
        <v>41</v>
      </c>
      <c r="L8" s="275">
        <v>1</v>
      </c>
      <c r="M8" s="276">
        <v>8100</v>
      </c>
      <c r="N8" s="276">
        <v>8100</v>
      </c>
      <c r="O8" s="276">
        <v>9720</v>
      </c>
      <c r="Q8" s="116" t="s">
        <v>190</v>
      </c>
      <c r="R8" s="117">
        <v>12</v>
      </c>
      <c r="S8" s="118">
        <v>13</v>
      </c>
      <c r="T8" s="119">
        <f t="shared" si="1"/>
        <v>1.0833333333333333</v>
      </c>
      <c r="U8" s="119"/>
      <c r="V8" s="286"/>
      <c r="W8" s="273">
        <v>46055</v>
      </c>
      <c r="X8" s="274">
        <v>130904</v>
      </c>
      <c r="Y8" s="275" t="s">
        <v>44</v>
      </c>
      <c r="Z8" s="275" t="s">
        <v>68</v>
      </c>
      <c r="AA8" s="275" t="s">
        <v>69</v>
      </c>
      <c r="AB8" s="275" t="s">
        <v>41</v>
      </c>
      <c r="AC8" s="275">
        <v>1</v>
      </c>
      <c r="AD8" s="276">
        <v>22270</v>
      </c>
      <c r="AE8" s="276">
        <v>22270</v>
      </c>
      <c r="AF8" s="276">
        <v>22270</v>
      </c>
      <c r="AH8" s="116" t="s">
        <v>190</v>
      </c>
      <c r="AI8" s="117">
        <v>12</v>
      </c>
      <c r="AJ8" s="118">
        <v>15</v>
      </c>
      <c r="AK8" s="119">
        <f t="shared" si="2"/>
        <v>1.25</v>
      </c>
      <c r="AM8" s="273">
        <v>46055</v>
      </c>
      <c r="AN8" s="274">
        <v>128860</v>
      </c>
      <c r="AO8" s="275" t="s">
        <v>22</v>
      </c>
      <c r="AP8" s="275" t="s">
        <v>70</v>
      </c>
      <c r="AQ8" s="275" t="s">
        <v>24</v>
      </c>
      <c r="AR8" s="275" t="s">
        <v>25</v>
      </c>
      <c r="AS8" s="275">
        <v>110</v>
      </c>
      <c r="AT8" s="276">
        <v>185</v>
      </c>
      <c r="AU8" s="276">
        <v>20350</v>
      </c>
      <c r="AV8" s="276">
        <v>20350</v>
      </c>
      <c r="AY8" s="116" t="s">
        <v>371</v>
      </c>
      <c r="AZ8" s="117">
        <v>12</v>
      </c>
      <c r="BA8" s="118">
        <v>16</v>
      </c>
      <c r="BB8" s="119">
        <f t="shared" si="3"/>
        <v>1.3333333333333333</v>
      </c>
      <c r="BD8" s="291">
        <v>46083</v>
      </c>
      <c r="BE8" s="292">
        <v>137844</v>
      </c>
      <c r="BF8" s="292" t="s">
        <v>31</v>
      </c>
      <c r="BG8" s="292" t="s">
        <v>94</v>
      </c>
      <c r="BH8" s="292" t="s">
        <v>35</v>
      </c>
      <c r="BI8" s="292" t="s">
        <v>35</v>
      </c>
      <c r="BJ8" s="293">
        <v>3</v>
      </c>
      <c r="BK8" s="294">
        <v>176</v>
      </c>
      <c r="BL8" s="295">
        <v>528</v>
      </c>
      <c r="BM8" s="299">
        <v>528</v>
      </c>
      <c r="BO8" s="116" t="s">
        <v>190</v>
      </c>
      <c r="BP8" s="117">
        <v>12</v>
      </c>
      <c r="BQ8" s="118">
        <v>16</v>
      </c>
      <c r="BR8" s="119">
        <f t="shared" si="4"/>
        <v>1.3333333333333333</v>
      </c>
      <c r="BS8" s="119"/>
      <c r="BT8" s="286"/>
      <c r="BU8" s="291">
        <v>46092</v>
      </c>
      <c r="BV8" s="292">
        <v>139463</v>
      </c>
      <c r="BW8" s="292" t="s">
        <v>44</v>
      </c>
      <c r="BX8" s="292" t="s">
        <v>101</v>
      </c>
      <c r="BY8" s="292" t="s">
        <v>47</v>
      </c>
      <c r="BZ8" s="292" t="s">
        <v>25</v>
      </c>
      <c r="CA8" s="293">
        <v>340</v>
      </c>
      <c r="CB8" s="294">
        <v>171</v>
      </c>
      <c r="CC8" s="295">
        <v>58140</v>
      </c>
      <c r="CD8" s="295">
        <v>58140</v>
      </c>
      <c r="CF8" s="116" t="s">
        <v>190</v>
      </c>
      <c r="CG8" s="117">
        <v>12</v>
      </c>
      <c r="CH8" s="118">
        <v>6</v>
      </c>
      <c r="CI8" s="119">
        <f t="shared" si="5"/>
        <v>0.5</v>
      </c>
      <c r="CK8" s="300" t="s">
        <v>0</v>
      </c>
      <c r="CL8" s="301" t="s">
        <v>1</v>
      </c>
      <c r="CM8" s="301" t="s">
        <v>2</v>
      </c>
      <c r="CN8" s="301" t="s">
        <v>3</v>
      </c>
      <c r="CO8" s="301" t="s">
        <v>4</v>
      </c>
      <c r="CP8" s="301" t="s">
        <v>5</v>
      </c>
      <c r="CQ8" s="301" t="s">
        <v>6</v>
      </c>
      <c r="CR8" s="301" t="s">
        <v>7</v>
      </c>
      <c r="CS8" s="301" t="s">
        <v>8</v>
      </c>
      <c r="CT8" s="301" t="s">
        <v>9</v>
      </c>
      <c r="CW8" s="341" t="s">
        <v>371</v>
      </c>
      <c r="CX8" s="224">
        <v>12</v>
      </c>
      <c r="CY8" s="342">
        <v>13</v>
      </c>
      <c r="CZ8" s="343">
        <f t="shared" si="6"/>
        <v>1.0833333333333333</v>
      </c>
      <c r="DA8" s="111"/>
      <c r="DB8" s="332">
        <v>46119</v>
      </c>
      <c r="DC8" s="333">
        <v>138780</v>
      </c>
      <c r="DD8" s="333" t="s">
        <v>31</v>
      </c>
      <c r="DE8" s="333" t="s">
        <v>100</v>
      </c>
      <c r="DF8" s="333" t="s">
        <v>35</v>
      </c>
      <c r="DG8" s="333" t="s">
        <v>35</v>
      </c>
      <c r="DH8" s="333">
        <v>8</v>
      </c>
      <c r="DI8" s="334">
        <v>176</v>
      </c>
      <c r="DJ8" s="334">
        <v>1408</v>
      </c>
      <c r="DK8" s="334">
        <v>1408</v>
      </c>
      <c r="DM8" s="116" t="s">
        <v>190</v>
      </c>
      <c r="DN8" s="117">
        <v>12</v>
      </c>
      <c r="DO8" s="118">
        <v>7</v>
      </c>
      <c r="DP8" s="119">
        <f t="shared" si="7"/>
        <v>0.58333333333333337</v>
      </c>
      <c r="DQ8" s="119"/>
      <c r="DR8" s="286"/>
      <c r="DS8" s="316">
        <v>46113</v>
      </c>
      <c r="DT8" s="199">
        <v>138583</v>
      </c>
      <c r="DU8" s="199" t="s">
        <v>44</v>
      </c>
      <c r="DV8" s="199" t="s">
        <v>119</v>
      </c>
      <c r="DW8" s="199" t="s">
        <v>63</v>
      </c>
      <c r="DX8" s="199" t="s">
        <v>41</v>
      </c>
      <c r="DY8" s="199">
        <v>1</v>
      </c>
      <c r="DZ8" s="317">
        <v>24000</v>
      </c>
      <c r="EA8" s="317">
        <v>24000</v>
      </c>
      <c r="EB8" s="317">
        <v>24000</v>
      </c>
      <c r="ED8" s="116" t="s">
        <v>190</v>
      </c>
      <c r="EE8" s="117">
        <v>12</v>
      </c>
      <c r="EF8" s="118">
        <v>2</v>
      </c>
      <c r="EG8" s="119">
        <f t="shared" si="8"/>
        <v>0.16666666666666666</v>
      </c>
      <c r="EI8" s="325" t="s">
        <v>0</v>
      </c>
      <c r="EJ8" s="326" t="s">
        <v>1</v>
      </c>
      <c r="EK8" s="326" t="s">
        <v>2</v>
      </c>
      <c r="EL8" s="326" t="s">
        <v>3</v>
      </c>
      <c r="EM8" s="326" t="s">
        <v>4</v>
      </c>
      <c r="EN8" s="326" t="s">
        <v>5</v>
      </c>
      <c r="EO8" s="326" t="s">
        <v>6</v>
      </c>
      <c r="EP8" s="326" t="s">
        <v>7</v>
      </c>
      <c r="EQ8" s="326" t="s">
        <v>8</v>
      </c>
      <c r="ER8" s="326" t="s">
        <v>9</v>
      </c>
    </row>
    <row r="9" spans="1:148" x14ac:dyDescent="0.25">
      <c r="A9" s="116" t="s">
        <v>372</v>
      </c>
      <c r="B9" s="120">
        <v>6500</v>
      </c>
      <c r="C9" s="121">
        <v>2413.6799999999998</v>
      </c>
      <c r="D9" s="119">
        <f t="shared" si="0"/>
        <v>0.37133538461538457</v>
      </c>
      <c r="F9" s="273">
        <v>46059</v>
      </c>
      <c r="G9" s="274">
        <v>137739</v>
      </c>
      <c r="H9" s="275" t="s">
        <v>31</v>
      </c>
      <c r="I9" s="275" t="s">
        <v>73</v>
      </c>
      <c r="J9" s="275" t="s">
        <v>52</v>
      </c>
      <c r="K9" s="275" t="s">
        <v>30</v>
      </c>
      <c r="L9" s="275">
        <v>1</v>
      </c>
      <c r="M9" s="276">
        <v>1080</v>
      </c>
      <c r="N9" s="276">
        <v>1080</v>
      </c>
      <c r="O9" s="276">
        <v>1296</v>
      </c>
      <c r="Q9" s="116" t="s">
        <v>173</v>
      </c>
      <c r="R9" s="120">
        <v>10000</v>
      </c>
      <c r="S9" s="121">
        <v>14107.5</v>
      </c>
      <c r="T9" s="119">
        <f t="shared" si="1"/>
        <v>1.4107499999999999</v>
      </c>
      <c r="U9" s="119"/>
      <c r="V9" s="286"/>
      <c r="W9" s="273">
        <v>46055</v>
      </c>
      <c r="X9" s="274">
        <v>130904</v>
      </c>
      <c r="Y9" s="275" t="s">
        <v>44</v>
      </c>
      <c r="Z9" s="275" t="s">
        <v>68</v>
      </c>
      <c r="AA9" s="275" t="s">
        <v>69</v>
      </c>
      <c r="AB9" s="275" t="s">
        <v>30</v>
      </c>
      <c r="AC9" s="275">
        <v>1</v>
      </c>
      <c r="AD9" s="276">
        <v>3000</v>
      </c>
      <c r="AE9" s="276">
        <v>3000</v>
      </c>
      <c r="AF9" s="276">
        <v>3600</v>
      </c>
      <c r="AH9" s="116" t="s">
        <v>173</v>
      </c>
      <c r="AI9" s="120">
        <v>10000</v>
      </c>
      <c r="AJ9" s="121">
        <v>55175.35</v>
      </c>
      <c r="AK9" s="119">
        <f t="shared" si="2"/>
        <v>5.5175349999999996</v>
      </c>
      <c r="AM9" s="273">
        <v>46055</v>
      </c>
      <c r="AN9" s="274">
        <v>128860</v>
      </c>
      <c r="AO9" s="275" t="s">
        <v>22</v>
      </c>
      <c r="AP9" s="275" t="s">
        <v>70</v>
      </c>
      <c r="AQ9" s="275" t="s">
        <v>63</v>
      </c>
      <c r="AR9" s="275" t="s">
        <v>30</v>
      </c>
      <c r="AS9" s="275">
        <v>15</v>
      </c>
      <c r="AT9" s="276">
        <v>87</v>
      </c>
      <c r="AU9" s="276">
        <v>1305</v>
      </c>
      <c r="AV9" s="276">
        <v>1305</v>
      </c>
      <c r="AY9" s="116" t="s">
        <v>373</v>
      </c>
      <c r="AZ9" s="120">
        <v>7000</v>
      </c>
      <c r="BA9" s="121">
        <v>6425.28</v>
      </c>
      <c r="BB9" s="119">
        <f t="shared" si="3"/>
        <v>0.91789714285714286</v>
      </c>
      <c r="BD9" s="291">
        <v>46083</v>
      </c>
      <c r="BE9" s="292">
        <v>138891</v>
      </c>
      <c r="BF9" s="292" t="s">
        <v>31</v>
      </c>
      <c r="BG9" s="292" t="s">
        <v>95</v>
      </c>
      <c r="BH9" s="292" t="s">
        <v>89</v>
      </c>
      <c r="BI9" s="292" t="s">
        <v>25</v>
      </c>
      <c r="BJ9" s="293">
        <v>8</v>
      </c>
      <c r="BK9" s="294">
        <v>210</v>
      </c>
      <c r="BL9" s="295">
        <v>1680</v>
      </c>
      <c r="BM9" s="299">
        <v>2016</v>
      </c>
      <c r="BO9" s="116" t="s">
        <v>173</v>
      </c>
      <c r="BP9" s="120">
        <v>10000</v>
      </c>
      <c r="BQ9" s="121">
        <v>16288.54</v>
      </c>
      <c r="BR9" s="119">
        <f t="shared" si="4"/>
        <v>1.628854</v>
      </c>
      <c r="BS9" s="119"/>
      <c r="BT9" s="286"/>
      <c r="BU9" s="291">
        <v>46092</v>
      </c>
      <c r="BV9" s="292">
        <v>139463</v>
      </c>
      <c r="BW9" s="292" t="s">
        <v>44</v>
      </c>
      <c r="BX9" s="292" t="s">
        <v>101</v>
      </c>
      <c r="BY9" s="292" t="s">
        <v>63</v>
      </c>
      <c r="BZ9" s="292" t="s">
        <v>25</v>
      </c>
      <c r="CA9" s="293">
        <v>60</v>
      </c>
      <c r="CB9" s="294">
        <v>171</v>
      </c>
      <c r="CC9" s="295">
        <v>10260</v>
      </c>
      <c r="CD9" s="295">
        <v>10260</v>
      </c>
      <c r="CF9" s="116" t="s">
        <v>173</v>
      </c>
      <c r="CG9" s="120">
        <v>10000</v>
      </c>
      <c r="CH9" s="121">
        <v>301.26</v>
      </c>
      <c r="CI9" s="119">
        <f t="shared" si="5"/>
        <v>3.0126E-2</v>
      </c>
      <c r="CK9" s="291">
        <v>46092</v>
      </c>
      <c r="CL9" s="292">
        <v>128860</v>
      </c>
      <c r="CM9" s="292" t="s">
        <v>22</v>
      </c>
      <c r="CN9" s="292" t="s">
        <v>70</v>
      </c>
      <c r="CO9" s="292" t="s">
        <v>24</v>
      </c>
      <c r="CP9" s="292" t="s">
        <v>25</v>
      </c>
      <c r="CQ9" s="293">
        <v>40</v>
      </c>
      <c r="CR9" s="294">
        <v>185</v>
      </c>
      <c r="CS9" s="295">
        <v>7400</v>
      </c>
      <c r="CT9" s="299">
        <v>7400</v>
      </c>
      <c r="CW9" s="341" t="s">
        <v>373</v>
      </c>
      <c r="CX9" s="344">
        <v>7500</v>
      </c>
      <c r="CY9" s="345">
        <v>2691.36</v>
      </c>
      <c r="CZ9" s="343">
        <f t="shared" si="6"/>
        <v>0.358848</v>
      </c>
      <c r="DA9" s="111"/>
      <c r="DB9" s="332">
        <v>46119</v>
      </c>
      <c r="DC9" s="333">
        <v>138897</v>
      </c>
      <c r="DD9" s="333" t="s">
        <v>31</v>
      </c>
      <c r="DE9" s="333" t="s">
        <v>49</v>
      </c>
      <c r="DF9" s="333" t="s">
        <v>35</v>
      </c>
      <c r="DG9" s="333" t="s">
        <v>35</v>
      </c>
      <c r="DH9" s="333">
        <v>64</v>
      </c>
      <c r="DI9" s="334">
        <v>156.25</v>
      </c>
      <c r="DJ9" s="334">
        <v>10000</v>
      </c>
      <c r="DK9" s="334">
        <v>10000</v>
      </c>
      <c r="DM9" s="116" t="s">
        <v>173</v>
      </c>
      <c r="DN9" s="120">
        <v>10000</v>
      </c>
      <c r="DO9" s="121">
        <v>5224.6499999999996</v>
      </c>
      <c r="DP9" s="119">
        <f t="shared" si="7"/>
        <v>0.52246499999999996</v>
      </c>
      <c r="DQ9" s="119"/>
      <c r="DR9" s="286"/>
      <c r="DS9" s="316">
        <v>46113</v>
      </c>
      <c r="DT9" s="199">
        <v>138583</v>
      </c>
      <c r="DU9" s="199" t="s">
        <v>44</v>
      </c>
      <c r="DV9" s="199" t="s">
        <v>119</v>
      </c>
      <c r="DW9" s="199" t="s">
        <v>63</v>
      </c>
      <c r="DX9" s="199" t="s">
        <v>25</v>
      </c>
      <c r="DY9" s="199">
        <v>100</v>
      </c>
      <c r="DZ9" s="317">
        <v>212</v>
      </c>
      <c r="EA9" s="317">
        <v>21200</v>
      </c>
      <c r="EB9" s="317">
        <v>21200</v>
      </c>
      <c r="ED9" s="116" t="s">
        <v>173</v>
      </c>
      <c r="EE9" s="120">
        <v>10000</v>
      </c>
      <c r="EF9" s="121">
        <v>7680.6</v>
      </c>
      <c r="EG9" s="119">
        <f t="shared" si="8"/>
        <v>0.76806000000000008</v>
      </c>
      <c r="EI9" s="316">
        <v>46119</v>
      </c>
      <c r="EJ9" s="199">
        <v>138641</v>
      </c>
      <c r="EK9" s="199" t="s">
        <v>22</v>
      </c>
      <c r="EL9" s="199" t="s">
        <v>87</v>
      </c>
      <c r="EM9" s="199" t="s">
        <v>54</v>
      </c>
      <c r="EN9" s="199" t="s">
        <v>30</v>
      </c>
      <c r="EO9" s="199">
        <v>10</v>
      </c>
      <c r="EP9" s="317">
        <v>142.56</v>
      </c>
      <c r="EQ9" s="317">
        <v>1425.6</v>
      </c>
      <c r="ER9" s="317">
        <v>1425.6</v>
      </c>
    </row>
    <row r="10" spans="1:148" x14ac:dyDescent="0.25">
      <c r="A10" s="116" t="s">
        <v>374</v>
      </c>
      <c r="B10" s="120">
        <v>26500</v>
      </c>
      <c r="C10" s="122">
        <f>C9+S9+AJ9</f>
        <v>71696.53</v>
      </c>
      <c r="D10" s="119">
        <f t="shared" si="0"/>
        <v>2.7055294339622642</v>
      </c>
      <c r="F10" s="273">
        <v>46059</v>
      </c>
      <c r="G10" s="274">
        <v>137720</v>
      </c>
      <c r="H10" s="275" t="s">
        <v>31</v>
      </c>
      <c r="I10" s="275" t="s">
        <v>74</v>
      </c>
      <c r="J10" s="275" t="s">
        <v>63</v>
      </c>
      <c r="K10" s="275" t="s">
        <v>30</v>
      </c>
      <c r="L10" s="275">
        <v>5</v>
      </c>
      <c r="M10" s="276">
        <v>115</v>
      </c>
      <c r="N10" s="276">
        <v>575</v>
      </c>
      <c r="O10" s="276">
        <v>690</v>
      </c>
      <c r="Q10" s="116" t="s">
        <v>166</v>
      </c>
      <c r="R10" s="120">
        <v>26500</v>
      </c>
      <c r="S10" s="122">
        <f>C10</f>
        <v>71696.53</v>
      </c>
      <c r="T10" s="119">
        <f t="shared" si="1"/>
        <v>2.7055294339622642</v>
      </c>
      <c r="U10" s="119"/>
      <c r="V10" s="286"/>
      <c r="W10" s="273">
        <v>46059</v>
      </c>
      <c r="X10" s="274">
        <v>137190</v>
      </c>
      <c r="Y10" s="275" t="s">
        <v>44</v>
      </c>
      <c r="Z10" s="275" t="s">
        <v>72</v>
      </c>
      <c r="AA10" s="275" t="s">
        <v>47</v>
      </c>
      <c r="AB10" s="275" t="s">
        <v>25</v>
      </c>
      <c r="AC10" s="275">
        <v>290</v>
      </c>
      <c r="AD10" s="276">
        <v>200</v>
      </c>
      <c r="AE10" s="276">
        <v>58000</v>
      </c>
      <c r="AF10" s="276">
        <v>58000</v>
      </c>
      <c r="AH10" s="116" t="s">
        <v>166</v>
      </c>
      <c r="AI10" s="120">
        <v>26500</v>
      </c>
      <c r="AJ10" s="122">
        <f>C10</f>
        <v>71696.53</v>
      </c>
      <c r="AK10" s="119">
        <f t="shared" si="2"/>
        <v>2.7055294339622642</v>
      </c>
      <c r="AM10" s="273">
        <v>46055</v>
      </c>
      <c r="AN10" s="274">
        <v>128860</v>
      </c>
      <c r="AO10" s="275" t="s">
        <v>22</v>
      </c>
      <c r="AP10" s="275" t="s">
        <v>70</v>
      </c>
      <c r="AQ10" s="275" t="s">
        <v>71</v>
      </c>
      <c r="AR10" s="275" t="s">
        <v>30</v>
      </c>
      <c r="AS10" s="275">
        <v>10</v>
      </c>
      <c r="AT10" s="276">
        <v>43.5</v>
      </c>
      <c r="AU10" s="276">
        <v>435</v>
      </c>
      <c r="AV10" s="276">
        <v>435</v>
      </c>
      <c r="AY10" s="116" t="s">
        <v>374</v>
      </c>
      <c r="AZ10" s="120">
        <v>27000</v>
      </c>
      <c r="BA10" s="122">
        <f>BA9+BQ9+CH9</f>
        <v>23015.079999999998</v>
      </c>
      <c r="BB10" s="119">
        <f t="shared" si="3"/>
        <v>0.85241037037037026</v>
      </c>
      <c r="BD10" s="291">
        <v>46083</v>
      </c>
      <c r="BE10" s="292">
        <v>138891</v>
      </c>
      <c r="BF10" s="292" t="s">
        <v>31</v>
      </c>
      <c r="BG10" s="292" t="s">
        <v>95</v>
      </c>
      <c r="BH10" s="292" t="s">
        <v>89</v>
      </c>
      <c r="BI10" s="292" t="s">
        <v>30</v>
      </c>
      <c r="BJ10" s="293">
        <v>1</v>
      </c>
      <c r="BK10" s="294">
        <v>356.4</v>
      </c>
      <c r="BL10" s="295">
        <v>356.4</v>
      </c>
      <c r="BM10" s="299">
        <v>427.67999999999989</v>
      </c>
      <c r="BO10" s="116" t="s">
        <v>166</v>
      </c>
      <c r="BP10" s="120">
        <v>27000</v>
      </c>
      <c r="BQ10" s="122">
        <f>BA10</f>
        <v>23015.079999999998</v>
      </c>
      <c r="BR10" s="119">
        <f t="shared" si="4"/>
        <v>0.85241037037037026</v>
      </c>
      <c r="BS10" s="119"/>
      <c r="BT10" s="286"/>
      <c r="BU10" s="291">
        <v>46092</v>
      </c>
      <c r="BV10" s="292">
        <v>139463</v>
      </c>
      <c r="BW10" s="292" t="s">
        <v>44</v>
      </c>
      <c r="BX10" s="292" t="s">
        <v>101</v>
      </c>
      <c r="BY10" s="292" t="s">
        <v>54</v>
      </c>
      <c r="BZ10" s="292" t="s">
        <v>25</v>
      </c>
      <c r="CA10" s="293">
        <v>48</v>
      </c>
      <c r="CB10" s="294">
        <v>171</v>
      </c>
      <c r="CC10" s="295">
        <v>0</v>
      </c>
      <c r="CD10" s="295">
        <v>0</v>
      </c>
      <c r="CF10" s="116" t="s">
        <v>166</v>
      </c>
      <c r="CG10" s="120">
        <v>27000</v>
      </c>
      <c r="CH10" s="122">
        <f>BA10</f>
        <v>23015.079999999998</v>
      </c>
      <c r="CI10" s="119">
        <f t="shared" si="5"/>
        <v>0.85241037037037026</v>
      </c>
      <c r="CK10" s="291">
        <v>46100</v>
      </c>
      <c r="CL10" s="292">
        <v>140072</v>
      </c>
      <c r="CM10" s="292" t="s">
        <v>22</v>
      </c>
      <c r="CN10" s="292" t="s">
        <v>110</v>
      </c>
      <c r="CO10" s="292" t="s">
        <v>111</v>
      </c>
      <c r="CP10" s="292" t="s">
        <v>30</v>
      </c>
      <c r="CQ10" s="293">
        <v>1</v>
      </c>
      <c r="CR10" s="294">
        <v>301.26</v>
      </c>
      <c r="CS10" s="295">
        <v>301.26</v>
      </c>
      <c r="CT10" s="299">
        <v>301.26</v>
      </c>
      <c r="CW10" s="341" t="s">
        <v>374</v>
      </c>
      <c r="CX10" s="344">
        <v>27500</v>
      </c>
      <c r="CY10" s="346">
        <f>CY9+DO9+EF9</f>
        <v>15596.61</v>
      </c>
      <c r="CZ10" s="343">
        <f t="shared" si="6"/>
        <v>0.56714945454545451</v>
      </c>
      <c r="DA10" s="111"/>
      <c r="DB10" s="332">
        <v>46119</v>
      </c>
      <c r="DC10" s="333">
        <v>140964</v>
      </c>
      <c r="DD10" s="333" t="s">
        <v>31</v>
      </c>
      <c r="DE10" s="333" t="s">
        <v>120</v>
      </c>
      <c r="DF10" s="333" t="s">
        <v>121</v>
      </c>
      <c r="DG10" s="333" t="s">
        <v>25</v>
      </c>
      <c r="DH10" s="333">
        <v>16</v>
      </c>
      <c r="DI10" s="334">
        <v>210</v>
      </c>
      <c r="DJ10" s="334">
        <v>3360</v>
      </c>
      <c r="DK10" s="334">
        <v>4032</v>
      </c>
      <c r="DM10" s="116" t="s">
        <v>166</v>
      </c>
      <c r="DN10" s="120">
        <v>27000</v>
      </c>
      <c r="DO10" s="122">
        <f>CY10</f>
        <v>15596.61</v>
      </c>
      <c r="DP10" s="119">
        <f t="shared" si="7"/>
        <v>0.57765222222222223</v>
      </c>
      <c r="DQ10" s="119"/>
      <c r="DR10" s="286"/>
      <c r="DS10" s="316">
        <v>46113</v>
      </c>
      <c r="DT10" s="199">
        <v>138583</v>
      </c>
      <c r="DU10" s="199" t="s">
        <v>44</v>
      </c>
      <c r="DV10" s="199" t="s">
        <v>119</v>
      </c>
      <c r="DW10" s="199" t="s">
        <v>63</v>
      </c>
      <c r="DX10" s="199" t="s">
        <v>30</v>
      </c>
      <c r="DY10" s="199">
        <v>61</v>
      </c>
      <c r="DZ10" s="317">
        <v>85.65</v>
      </c>
      <c r="EA10" s="317">
        <v>5224.6500000000005</v>
      </c>
      <c r="EB10" s="317">
        <v>5224.6500000000005</v>
      </c>
      <c r="ED10" s="116" t="s">
        <v>166</v>
      </c>
      <c r="EE10" s="120">
        <v>27000</v>
      </c>
      <c r="EF10" s="122">
        <f>CY10</f>
        <v>15596.61</v>
      </c>
      <c r="EG10" s="119">
        <f t="shared" si="8"/>
        <v>0.57765222222222223</v>
      </c>
      <c r="EI10" s="316">
        <v>46120</v>
      </c>
      <c r="EJ10" s="199">
        <v>138614</v>
      </c>
      <c r="EK10" s="199" t="s">
        <v>22</v>
      </c>
      <c r="EL10" s="199" t="s">
        <v>87</v>
      </c>
      <c r="EM10" s="199" t="s">
        <v>123</v>
      </c>
      <c r="EN10" s="199" t="s">
        <v>30</v>
      </c>
      <c r="EO10" s="199">
        <v>60</v>
      </c>
      <c r="EP10" s="317">
        <v>19.25</v>
      </c>
      <c r="EQ10" s="317">
        <v>1155</v>
      </c>
      <c r="ER10" s="317">
        <v>1155</v>
      </c>
    </row>
    <row r="11" spans="1:148" x14ac:dyDescent="0.25">
      <c r="A11" s="116" t="s">
        <v>375</v>
      </c>
      <c r="B11" s="120">
        <v>90000</v>
      </c>
      <c r="C11" s="122">
        <v>96796.800000000003</v>
      </c>
      <c r="D11" s="119">
        <f t="shared" si="0"/>
        <v>1.07552</v>
      </c>
      <c r="F11" s="273">
        <v>46059</v>
      </c>
      <c r="G11" s="274">
        <v>137481</v>
      </c>
      <c r="H11" s="275" t="s">
        <v>31</v>
      </c>
      <c r="I11" s="275" t="s">
        <v>75</v>
      </c>
      <c r="J11" s="275" t="s">
        <v>24</v>
      </c>
      <c r="K11" s="275" t="s">
        <v>25</v>
      </c>
      <c r="L11" s="275">
        <v>8</v>
      </c>
      <c r="M11" s="276">
        <v>189</v>
      </c>
      <c r="N11" s="276">
        <v>1512</v>
      </c>
      <c r="O11" s="276">
        <v>1814.4</v>
      </c>
      <c r="Q11" s="116" t="s">
        <v>174</v>
      </c>
      <c r="R11" s="120">
        <v>90000</v>
      </c>
      <c r="S11" s="122">
        <v>97230</v>
      </c>
      <c r="T11" s="119">
        <f t="shared" si="1"/>
        <v>1.0803333333333334</v>
      </c>
      <c r="U11" s="119"/>
      <c r="V11" s="286"/>
      <c r="W11" s="273">
        <v>46059</v>
      </c>
      <c r="X11" s="274">
        <v>137370</v>
      </c>
      <c r="Y11" s="275" t="s">
        <v>44</v>
      </c>
      <c r="Z11" s="275" t="s">
        <v>72</v>
      </c>
      <c r="AA11" s="275" t="s">
        <v>47</v>
      </c>
      <c r="AB11" s="275" t="s">
        <v>30</v>
      </c>
      <c r="AC11" s="275">
        <v>20</v>
      </c>
      <c r="AD11" s="276">
        <v>255</v>
      </c>
      <c r="AE11" s="276">
        <v>5100</v>
      </c>
      <c r="AF11" s="276">
        <v>5100</v>
      </c>
      <c r="AH11" s="116" t="s">
        <v>174</v>
      </c>
      <c r="AI11" s="120">
        <v>90000</v>
      </c>
      <c r="AJ11" s="122">
        <v>367161.59999999998</v>
      </c>
      <c r="AK11" s="119">
        <f t="shared" si="2"/>
        <v>4.0795733333333333</v>
      </c>
      <c r="AM11" s="273">
        <v>46065</v>
      </c>
      <c r="AN11" s="274">
        <v>128860</v>
      </c>
      <c r="AO11" s="275" t="s">
        <v>22</v>
      </c>
      <c r="AP11" s="275" t="s">
        <v>70</v>
      </c>
      <c r="AQ11" s="275" t="s">
        <v>56</v>
      </c>
      <c r="AR11" s="275" t="s">
        <v>30</v>
      </c>
      <c r="AS11" s="275">
        <v>1</v>
      </c>
      <c r="AT11" s="276">
        <v>356.4</v>
      </c>
      <c r="AU11" s="276">
        <v>356.4</v>
      </c>
      <c r="AV11" s="276">
        <v>427.67999999999989</v>
      </c>
      <c r="AY11" s="116" t="s">
        <v>375</v>
      </c>
      <c r="AZ11" s="120">
        <v>90000</v>
      </c>
      <c r="BA11" s="122">
        <v>72913.14</v>
      </c>
      <c r="BB11" s="119">
        <f t="shared" si="3"/>
        <v>0.81014600000000003</v>
      </c>
      <c r="BD11" s="291">
        <v>46092</v>
      </c>
      <c r="BE11" s="292">
        <v>134510</v>
      </c>
      <c r="BF11" s="292" t="s">
        <v>31</v>
      </c>
      <c r="BG11" s="292" t="s">
        <v>96</v>
      </c>
      <c r="BH11" s="292" t="s">
        <v>24</v>
      </c>
      <c r="BI11" s="292" t="s">
        <v>25</v>
      </c>
      <c r="BJ11" s="293">
        <v>14</v>
      </c>
      <c r="BK11" s="294">
        <v>178.5</v>
      </c>
      <c r="BL11" s="295">
        <v>2499</v>
      </c>
      <c r="BM11" s="299">
        <v>2998.8</v>
      </c>
      <c r="BO11" s="116" t="s">
        <v>174</v>
      </c>
      <c r="BP11" s="120">
        <v>90000</v>
      </c>
      <c r="BQ11" s="122">
        <v>99854.09</v>
      </c>
      <c r="BR11" s="119">
        <f t="shared" si="4"/>
        <v>1.1094898888888889</v>
      </c>
      <c r="BS11" s="119"/>
      <c r="BT11" s="286"/>
      <c r="BU11" s="291">
        <v>46092</v>
      </c>
      <c r="BV11" s="292">
        <v>139465</v>
      </c>
      <c r="BW11" s="292" t="s">
        <v>44</v>
      </c>
      <c r="BX11" s="292" t="s">
        <v>101</v>
      </c>
      <c r="BY11" s="292" t="s">
        <v>102</v>
      </c>
      <c r="BZ11" s="292" t="s">
        <v>30</v>
      </c>
      <c r="CA11" s="293">
        <v>1</v>
      </c>
      <c r="CB11" s="294">
        <v>3844.54</v>
      </c>
      <c r="CC11" s="295">
        <v>3844.54</v>
      </c>
      <c r="CD11" s="295">
        <v>3844.54</v>
      </c>
      <c r="CF11" s="116" t="s">
        <v>174</v>
      </c>
      <c r="CG11" s="120">
        <v>90000</v>
      </c>
      <c r="CH11" s="122">
        <v>7400</v>
      </c>
      <c r="CI11" s="119">
        <f t="shared" si="5"/>
        <v>8.2222222222222224E-2</v>
      </c>
      <c r="CK11" s="302" t="s">
        <v>150</v>
      </c>
      <c r="CL11" s="303"/>
      <c r="CM11" s="303"/>
      <c r="CN11" s="303"/>
      <c r="CO11" s="303"/>
      <c r="CP11" s="303"/>
      <c r="CQ11" s="303"/>
      <c r="CR11" s="303"/>
      <c r="CS11" s="304">
        <v>7701.26</v>
      </c>
      <c r="CT11" s="304">
        <v>7701.26</v>
      </c>
      <c r="CW11" s="341" t="s">
        <v>375</v>
      </c>
      <c r="CX11" s="344">
        <v>90000</v>
      </c>
      <c r="CY11" s="346">
        <v>55648</v>
      </c>
      <c r="CZ11" s="343">
        <f t="shared" si="6"/>
        <v>0.61831111111111114</v>
      </c>
      <c r="DA11" s="111"/>
      <c r="DB11" s="332">
        <v>46119</v>
      </c>
      <c r="DC11" s="333">
        <v>140964</v>
      </c>
      <c r="DD11" s="333" t="s">
        <v>31</v>
      </c>
      <c r="DE11" s="333" t="s">
        <v>120</v>
      </c>
      <c r="DF11" s="333" t="s">
        <v>121</v>
      </c>
      <c r="DG11" s="333" t="s">
        <v>30</v>
      </c>
      <c r="DH11" s="333">
        <v>1</v>
      </c>
      <c r="DI11" s="334">
        <v>712.8</v>
      </c>
      <c r="DJ11" s="334">
        <v>712.8</v>
      </c>
      <c r="DK11" s="334">
        <v>855.3599999999999</v>
      </c>
      <c r="DM11" s="116" t="s">
        <v>174</v>
      </c>
      <c r="DN11" s="120">
        <v>90000</v>
      </c>
      <c r="DO11" s="122">
        <v>45200</v>
      </c>
      <c r="DP11" s="119">
        <f t="shared" si="7"/>
        <v>0.50222222222222224</v>
      </c>
      <c r="DQ11" s="119"/>
      <c r="DR11" s="286"/>
      <c r="DS11" s="318" t="s">
        <v>150</v>
      </c>
      <c r="DT11" s="322"/>
      <c r="DU11" s="322"/>
      <c r="DV11" s="322"/>
      <c r="DW11" s="322"/>
      <c r="DX11" s="322"/>
      <c r="DY11" s="323"/>
      <c r="DZ11" s="324"/>
      <c r="EA11" s="319">
        <f>SUM(EA8:EA10)</f>
        <v>50424.65</v>
      </c>
      <c r="EB11" s="319">
        <f>SUM(EB8:EB10)</f>
        <v>50424.65</v>
      </c>
      <c r="ED11" s="116" t="s">
        <v>174</v>
      </c>
      <c r="EE11" s="120">
        <v>90000</v>
      </c>
      <c r="EF11" s="122">
        <v>38800.639999999999</v>
      </c>
      <c r="EG11" s="119">
        <f t="shared" si="8"/>
        <v>0.43111822222222224</v>
      </c>
      <c r="EI11" s="316">
        <v>46126</v>
      </c>
      <c r="EJ11" s="199">
        <v>125596</v>
      </c>
      <c r="EK11" s="199" t="s">
        <v>22</v>
      </c>
      <c r="EL11" s="199" t="s">
        <v>67</v>
      </c>
      <c r="EM11" s="199" t="s">
        <v>24</v>
      </c>
      <c r="EN11" s="199" t="s">
        <v>25</v>
      </c>
      <c r="EO11" s="199">
        <v>43</v>
      </c>
      <c r="EP11" s="317">
        <v>169.78</v>
      </c>
      <c r="EQ11" s="317">
        <v>7300.54</v>
      </c>
      <c r="ER11" s="317">
        <v>7300.54</v>
      </c>
    </row>
    <row r="12" spans="1:148" x14ac:dyDescent="0.25">
      <c r="A12" s="116" t="s">
        <v>376</v>
      </c>
      <c r="B12" s="120">
        <f>90000*3</f>
        <v>270000</v>
      </c>
      <c r="C12" s="258">
        <f>C11+S11+AJ11</f>
        <v>561188.39999999991</v>
      </c>
      <c r="D12" s="119">
        <f t="shared" si="0"/>
        <v>2.0784755555555554</v>
      </c>
      <c r="F12" s="273">
        <v>46066</v>
      </c>
      <c r="G12" s="274">
        <v>138101</v>
      </c>
      <c r="H12" s="275" t="s">
        <v>31</v>
      </c>
      <c r="I12" s="275" t="s">
        <v>77</v>
      </c>
      <c r="J12" s="275" t="s">
        <v>24</v>
      </c>
      <c r="K12" s="275" t="s">
        <v>25</v>
      </c>
      <c r="L12" s="275">
        <v>24</v>
      </c>
      <c r="M12" s="276">
        <v>125</v>
      </c>
      <c r="N12" s="276">
        <v>3000</v>
      </c>
      <c r="O12" s="276">
        <v>3600</v>
      </c>
      <c r="Q12" s="116" t="s">
        <v>376</v>
      </c>
      <c r="R12" s="120">
        <f>90000*3</f>
        <v>270000</v>
      </c>
      <c r="S12" s="258">
        <f>C12</f>
        <v>561188.39999999991</v>
      </c>
      <c r="T12" s="119">
        <f t="shared" si="1"/>
        <v>2.0784755555555554</v>
      </c>
      <c r="U12" s="119"/>
      <c r="V12" s="286"/>
      <c r="W12" s="273">
        <v>46059</v>
      </c>
      <c r="X12" s="274">
        <v>137370</v>
      </c>
      <c r="Y12" s="275" t="s">
        <v>44</v>
      </c>
      <c r="Z12" s="275" t="s">
        <v>72</v>
      </c>
      <c r="AA12" s="275" t="s">
        <v>63</v>
      </c>
      <c r="AB12" s="275" t="s">
        <v>30</v>
      </c>
      <c r="AC12" s="275">
        <v>20</v>
      </c>
      <c r="AD12" s="276">
        <v>90</v>
      </c>
      <c r="AE12" s="276">
        <v>1800</v>
      </c>
      <c r="AF12" s="276">
        <v>1800</v>
      </c>
      <c r="AH12" s="116" t="s">
        <v>376</v>
      </c>
      <c r="AI12" s="120">
        <f>90000*3</f>
        <v>270000</v>
      </c>
      <c r="AJ12" s="258">
        <f>C12</f>
        <v>561188.39999999991</v>
      </c>
      <c r="AK12" s="119">
        <f t="shared" si="2"/>
        <v>2.0784755555555554</v>
      </c>
      <c r="AM12" s="273">
        <v>46078</v>
      </c>
      <c r="AN12" s="274" t="s">
        <v>81</v>
      </c>
      <c r="AO12" s="275" t="s">
        <v>22</v>
      </c>
      <c r="AP12" s="275" t="s">
        <v>82</v>
      </c>
      <c r="AQ12" s="275" t="s">
        <v>47</v>
      </c>
      <c r="AR12" s="275" t="s">
        <v>25</v>
      </c>
      <c r="AS12" s="275">
        <v>316</v>
      </c>
      <c r="AT12" s="276">
        <v>200</v>
      </c>
      <c r="AU12" s="276">
        <v>63200</v>
      </c>
      <c r="AV12" s="276">
        <v>63200</v>
      </c>
      <c r="AY12" s="116" t="s">
        <v>376</v>
      </c>
      <c r="AZ12" s="120">
        <f>90000*3</f>
        <v>270000</v>
      </c>
      <c r="BA12" s="258">
        <f>BA11+BQ11+CH11</f>
        <v>180167.22999999998</v>
      </c>
      <c r="BB12" s="119">
        <f t="shared" si="3"/>
        <v>0.66728603703703693</v>
      </c>
      <c r="BD12" s="291">
        <v>46092</v>
      </c>
      <c r="BE12" s="292">
        <v>139165</v>
      </c>
      <c r="BF12" s="292" t="s">
        <v>31</v>
      </c>
      <c r="BG12" s="292" t="s">
        <v>93</v>
      </c>
      <c r="BH12" s="292" t="s">
        <v>40</v>
      </c>
      <c r="BI12" s="292" t="s">
        <v>41</v>
      </c>
      <c r="BJ12" s="293">
        <v>1</v>
      </c>
      <c r="BK12" s="294">
        <v>7472.2</v>
      </c>
      <c r="BL12" s="295">
        <v>7472.2</v>
      </c>
      <c r="BM12" s="299">
        <v>8966.64</v>
      </c>
      <c r="BO12" s="116" t="s">
        <v>376</v>
      </c>
      <c r="BP12" s="120">
        <f>90000*3</f>
        <v>270000</v>
      </c>
      <c r="BQ12" s="258">
        <f>BA12</f>
        <v>180167.22999999998</v>
      </c>
      <c r="BR12" s="119">
        <f t="shared" si="4"/>
        <v>0.66728603703703693</v>
      </c>
      <c r="BS12" s="119"/>
      <c r="BT12" s="286"/>
      <c r="BU12" s="291">
        <v>46092</v>
      </c>
      <c r="BV12" s="292">
        <v>139463</v>
      </c>
      <c r="BW12" s="292" t="s">
        <v>44</v>
      </c>
      <c r="BX12" s="292" t="s">
        <v>101</v>
      </c>
      <c r="BY12" s="292" t="s">
        <v>47</v>
      </c>
      <c r="BZ12" s="292" t="s">
        <v>30</v>
      </c>
      <c r="CA12" s="293" t="s">
        <v>103</v>
      </c>
      <c r="CB12" s="294">
        <v>285.62</v>
      </c>
      <c r="CC12" s="295">
        <v>4284.3</v>
      </c>
      <c r="CD12" s="295">
        <v>4284.3</v>
      </c>
      <c r="CF12" s="116" t="s">
        <v>376</v>
      </c>
      <c r="CG12" s="120">
        <f>90000*3</f>
        <v>270000</v>
      </c>
      <c r="CH12" s="258">
        <f>BA12</f>
        <v>180167.22999999998</v>
      </c>
      <c r="CI12" s="119">
        <f t="shared" si="5"/>
        <v>0.66728603703703693</v>
      </c>
      <c r="CK12" s="247"/>
      <c r="CL12" s="248"/>
      <c r="CM12" s="246"/>
      <c r="CN12" s="246"/>
      <c r="CO12" s="246"/>
      <c r="CP12" s="246"/>
      <c r="CQ12" s="246"/>
      <c r="CR12" s="249"/>
      <c r="CS12" s="249"/>
      <c r="CT12" s="249"/>
      <c r="CW12" s="341" t="s">
        <v>376</v>
      </c>
      <c r="CX12" s="344">
        <f>90000*3</f>
        <v>270000</v>
      </c>
      <c r="CY12" s="347">
        <f>CY11+DO11+EF11</f>
        <v>139648.64000000001</v>
      </c>
      <c r="CZ12" s="343">
        <f t="shared" si="6"/>
        <v>0.51721718518518522</v>
      </c>
      <c r="DA12" s="111"/>
      <c r="DB12" s="332">
        <v>46120</v>
      </c>
      <c r="DC12" s="333">
        <v>140153</v>
      </c>
      <c r="DD12" s="333" t="s">
        <v>31</v>
      </c>
      <c r="DE12" s="333" t="s">
        <v>122</v>
      </c>
      <c r="DF12" s="333" t="s">
        <v>35</v>
      </c>
      <c r="DG12" s="333" t="s">
        <v>35</v>
      </c>
      <c r="DH12" s="333">
        <v>48</v>
      </c>
      <c r="DI12" s="334">
        <v>176</v>
      </c>
      <c r="DJ12" s="334">
        <v>8448</v>
      </c>
      <c r="DK12" s="334">
        <v>8448</v>
      </c>
      <c r="DM12" s="116" t="s">
        <v>376</v>
      </c>
      <c r="DN12" s="120">
        <f>90000*3</f>
        <v>270000</v>
      </c>
      <c r="DO12" s="258">
        <f>CY12</f>
        <v>139648.64000000001</v>
      </c>
      <c r="DP12" s="119">
        <f t="shared" si="7"/>
        <v>0.51721718518518522</v>
      </c>
      <c r="DQ12" s="119"/>
      <c r="DR12" s="286"/>
      <c r="DS12" s="311"/>
      <c r="DT12" s="312"/>
      <c r="DU12" s="312"/>
      <c r="DV12" s="312"/>
      <c r="DW12" s="312"/>
      <c r="DX12" s="312"/>
      <c r="DY12" s="313"/>
      <c r="DZ12" s="314"/>
      <c r="EA12" s="315"/>
      <c r="EB12" s="315"/>
      <c r="ED12" s="116" t="s">
        <v>376</v>
      </c>
      <c r="EE12" s="120">
        <f>90000*3</f>
        <v>270000</v>
      </c>
      <c r="EF12" s="258">
        <f>CY12</f>
        <v>139648.64000000001</v>
      </c>
      <c r="EG12" s="119">
        <f t="shared" si="8"/>
        <v>0.51721718518518522</v>
      </c>
      <c r="EI12" s="316">
        <v>46140</v>
      </c>
      <c r="EJ12" s="199">
        <v>142146</v>
      </c>
      <c r="EK12" s="199" t="s">
        <v>22</v>
      </c>
      <c r="EL12" s="199" t="s">
        <v>87</v>
      </c>
      <c r="EM12" s="199" t="s">
        <v>69</v>
      </c>
      <c r="EN12" s="199" t="s">
        <v>41</v>
      </c>
      <c r="EO12" s="199">
        <v>1</v>
      </c>
      <c r="EP12" s="317">
        <v>10500</v>
      </c>
      <c r="EQ12" s="317">
        <v>10500</v>
      </c>
      <c r="ER12" s="317">
        <v>10500</v>
      </c>
    </row>
    <row r="13" spans="1:148" ht="18" customHeight="1" x14ac:dyDescent="0.3">
      <c r="A13" s="259" t="str">
        <f>IF(C9&lt;6500,"NÃO CUMPRIU A META INDIVIDUAL","CUMPRIU A META INDIVIDUAL")</f>
        <v>NÃO CUMPRIU A META INDIVIDUAL</v>
      </c>
      <c r="B13" s="257"/>
      <c r="C13" s="257"/>
      <c r="D13" s="256"/>
      <c r="F13" s="273">
        <v>46070</v>
      </c>
      <c r="G13" s="274" t="s">
        <v>78</v>
      </c>
      <c r="H13" s="275" t="s">
        <v>31</v>
      </c>
      <c r="I13" s="275" t="s">
        <v>79</v>
      </c>
      <c r="J13" s="275" t="s">
        <v>35</v>
      </c>
      <c r="K13" s="275" t="s">
        <v>35</v>
      </c>
      <c r="L13" s="275">
        <v>236</v>
      </c>
      <c r="M13" s="276">
        <v>176</v>
      </c>
      <c r="N13" s="276">
        <v>41536</v>
      </c>
      <c r="O13" s="276">
        <v>41536</v>
      </c>
      <c r="Q13" s="268" t="str">
        <f>IF(S9&lt;6500,"NÃO CUMPRIU A META INDIVIDUAL","CUMPRIU A META INDIVIDUAL")</f>
        <v>CUMPRIU A META INDIVIDUAL</v>
      </c>
      <c r="R13" s="269"/>
      <c r="S13" s="269"/>
      <c r="T13" s="267"/>
      <c r="U13" s="267"/>
      <c r="V13" s="72"/>
      <c r="W13" s="273">
        <v>46059</v>
      </c>
      <c r="X13" s="274">
        <v>137370</v>
      </c>
      <c r="Y13" s="275" t="s">
        <v>44</v>
      </c>
      <c r="Z13" s="275" t="s">
        <v>72</v>
      </c>
      <c r="AA13" s="275" t="s">
        <v>48</v>
      </c>
      <c r="AB13" s="275" t="s">
        <v>30</v>
      </c>
      <c r="AC13" s="275">
        <v>1</v>
      </c>
      <c r="AD13" s="276">
        <v>330</v>
      </c>
      <c r="AE13" s="276">
        <v>330</v>
      </c>
      <c r="AF13" s="276">
        <v>330</v>
      </c>
      <c r="AH13" s="268" t="str">
        <f>IF(AJ10&lt;6500,"NÃO CUMPRIU A META INDIVIDUAL","CUMPRIU A META INDIVIDUAL")</f>
        <v>CUMPRIU A META INDIVIDUAL</v>
      </c>
      <c r="AI13" s="269"/>
      <c r="AJ13" s="269"/>
      <c r="AK13" s="267"/>
      <c r="AM13" s="273">
        <v>46078</v>
      </c>
      <c r="AN13" s="274" t="s">
        <v>81</v>
      </c>
      <c r="AO13" s="275" t="s">
        <v>22</v>
      </c>
      <c r="AP13" s="275" t="s">
        <v>82</v>
      </c>
      <c r="AQ13" s="275" t="s">
        <v>47</v>
      </c>
      <c r="AR13" s="275" t="s">
        <v>41</v>
      </c>
      <c r="AS13" s="275">
        <v>1</v>
      </c>
      <c r="AT13" s="276">
        <v>35502.9</v>
      </c>
      <c r="AU13" s="276">
        <v>35502.9</v>
      </c>
      <c r="AV13" s="276">
        <v>35502.9</v>
      </c>
      <c r="AY13" s="259" t="str">
        <f>IF(BA9&lt;7000,"NÃO CUMPRIU A META INDIVIDUAL","CUMPRIU A META INDIVIDUAL")</f>
        <v>NÃO CUMPRIU A META INDIVIDUAL</v>
      </c>
      <c r="AZ13" s="257"/>
      <c r="BA13" s="257"/>
      <c r="BB13" s="256"/>
      <c r="BD13" s="291">
        <v>46092</v>
      </c>
      <c r="BE13" s="292">
        <v>138115</v>
      </c>
      <c r="BF13" s="292" t="s">
        <v>31</v>
      </c>
      <c r="BG13" s="292" t="s">
        <v>97</v>
      </c>
      <c r="BH13" s="292" t="s">
        <v>35</v>
      </c>
      <c r="BI13" s="292" t="s">
        <v>35</v>
      </c>
      <c r="BJ13" s="293">
        <v>6</v>
      </c>
      <c r="BK13" s="294">
        <v>176</v>
      </c>
      <c r="BL13" s="295">
        <v>1056</v>
      </c>
      <c r="BM13" s="299">
        <v>1056</v>
      </c>
      <c r="BO13" s="268" t="str">
        <f>IF(BQ9&lt;10000,"NÃO CUMPRIU A META INDIVIDUAL","CUMPRIU A META INDIVIDUAL")</f>
        <v>CUMPRIU A META INDIVIDUAL</v>
      </c>
      <c r="BP13" s="269"/>
      <c r="BQ13" s="269"/>
      <c r="BR13" s="267"/>
      <c r="BS13" s="267"/>
      <c r="BT13" s="72"/>
      <c r="BU13" s="291">
        <v>46092</v>
      </c>
      <c r="BV13" s="292">
        <v>139463</v>
      </c>
      <c r="BW13" s="292" t="s">
        <v>44</v>
      </c>
      <c r="BX13" s="292" t="s">
        <v>101</v>
      </c>
      <c r="BY13" s="292" t="s">
        <v>54</v>
      </c>
      <c r="BZ13" s="292" t="s">
        <v>30</v>
      </c>
      <c r="CA13" s="293" t="s">
        <v>103</v>
      </c>
      <c r="CB13" s="294">
        <v>148</v>
      </c>
      <c r="CC13" s="295">
        <v>2220</v>
      </c>
      <c r="CD13" s="295">
        <v>2220</v>
      </c>
      <c r="CF13" s="289" t="str">
        <f>IF(CH9&lt;10000,"NÃO CUMPRIU A META INDIVIDUAL","CUMPRIU A META INDIVIDUAL")</f>
        <v>NÃO CUMPRIU A META INDIVIDUAL</v>
      </c>
      <c r="CG13" s="290"/>
      <c r="CH13" s="290"/>
      <c r="CI13" s="256"/>
      <c r="CK13" s="247"/>
      <c r="CL13" s="248"/>
      <c r="CM13" s="246"/>
      <c r="CN13" s="246"/>
      <c r="CO13" s="246"/>
      <c r="CP13" s="246"/>
      <c r="CQ13" s="246"/>
      <c r="CR13" s="249"/>
      <c r="CS13" s="249"/>
      <c r="CT13" s="249"/>
      <c r="CW13" s="348" t="str">
        <f>IF(CY9&lt;7000,"NÃO CUMPRIU A META INDIVIDUAL","CUMPRIU A META INDIVIDUAL")</f>
        <v>NÃO CUMPRIU A META INDIVIDUAL</v>
      </c>
      <c r="CX13" s="349"/>
      <c r="CY13" s="349"/>
      <c r="CZ13" s="350"/>
      <c r="DA13" s="111"/>
      <c r="DB13" s="332">
        <v>46126</v>
      </c>
      <c r="DC13" s="333">
        <v>141238</v>
      </c>
      <c r="DD13" s="333" t="s">
        <v>31</v>
      </c>
      <c r="DE13" s="333" t="s">
        <v>57</v>
      </c>
      <c r="DF13" s="333" t="s">
        <v>69</v>
      </c>
      <c r="DG13" s="333" t="s">
        <v>30</v>
      </c>
      <c r="DH13" s="333">
        <v>1</v>
      </c>
      <c r="DI13" s="334">
        <v>1530</v>
      </c>
      <c r="DJ13" s="334">
        <v>1530</v>
      </c>
      <c r="DK13" s="334">
        <v>1836</v>
      </c>
      <c r="DM13" s="289" t="str">
        <f>IF(DO9&lt;10000,"NÃO CUMPRIU A META INDIVIDUAL","CUMPRIU A META INDIVIDUAL")</f>
        <v>NÃO CUMPRIU A META INDIVIDUAL</v>
      </c>
      <c r="DN13" s="290"/>
      <c r="DO13" s="290"/>
      <c r="DP13" s="256"/>
      <c r="DQ13" s="256"/>
      <c r="DR13" s="72"/>
      <c r="DS13" s="311"/>
      <c r="DT13" s="312"/>
      <c r="DU13" s="312"/>
      <c r="DV13" s="312"/>
      <c r="DW13" s="312"/>
      <c r="DX13" s="312"/>
      <c r="DY13" s="313"/>
      <c r="DZ13" s="314"/>
      <c r="EA13" s="315"/>
      <c r="EB13" s="315"/>
      <c r="ED13" s="289" t="str">
        <f>IF(EF9&lt;10000,"NÃO CUMPRIU A META INDIVIDUAL","CUMPRIU A META INDIVIDUAL")</f>
        <v>NÃO CUMPRIU A META INDIVIDUAL</v>
      </c>
      <c r="EE13" s="290"/>
      <c r="EF13" s="290"/>
      <c r="EG13" s="256"/>
      <c r="EI13" s="316">
        <v>46140</v>
      </c>
      <c r="EJ13" s="199">
        <v>142146</v>
      </c>
      <c r="EK13" s="199" t="s">
        <v>22</v>
      </c>
      <c r="EL13" s="199" t="s">
        <v>87</v>
      </c>
      <c r="EM13" s="199" t="s">
        <v>69</v>
      </c>
      <c r="EN13" s="199" t="s">
        <v>30</v>
      </c>
      <c r="EO13" s="199">
        <v>1</v>
      </c>
      <c r="EP13" s="317">
        <v>1700</v>
      </c>
      <c r="EQ13" s="317">
        <v>1700</v>
      </c>
      <c r="ER13" s="317">
        <v>1700</v>
      </c>
    </row>
    <row r="14" spans="1:148" ht="18" customHeight="1" x14ac:dyDescent="0.3">
      <c r="A14" s="266" t="str">
        <f>IF(C10&lt;26500,"NÃO CUMPRIU A META EQUIPE","CUMPRIU A META EQUIPE")</f>
        <v>CUMPRIU A META EQUIPE</v>
      </c>
      <c r="B14" s="266"/>
      <c r="C14" s="266"/>
      <c r="D14" s="267"/>
      <c r="F14" s="273">
        <v>46072</v>
      </c>
      <c r="G14" s="274">
        <v>135372</v>
      </c>
      <c r="H14" s="275" t="s">
        <v>31</v>
      </c>
      <c r="I14" s="275" t="s">
        <v>70</v>
      </c>
      <c r="J14" s="275" t="s">
        <v>35</v>
      </c>
      <c r="K14" s="275" t="s">
        <v>35</v>
      </c>
      <c r="L14" s="275">
        <v>24</v>
      </c>
      <c r="M14" s="276">
        <v>176</v>
      </c>
      <c r="N14" s="276">
        <v>4224</v>
      </c>
      <c r="O14" s="276">
        <v>4224</v>
      </c>
      <c r="Q14" s="266" t="str">
        <f>IF(S10&lt;26500,"NÃO CUMPRIU A META EQUIPE","CUMPRIU A META EQUIPE")</f>
        <v>CUMPRIU A META EQUIPE</v>
      </c>
      <c r="R14" s="266"/>
      <c r="S14" s="266"/>
      <c r="T14" s="267"/>
      <c r="U14" s="267"/>
      <c r="V14" s="72"/>
      <c r="W14" s="273">
        <v>46065</v>
      </c>
      <c r="X14" s="274">
        <v>138938</v>
      </c>
      <c r="Y14" s="275" t="s">
        <v>44</v>
      </c>
      <c r="Z14" s="275" t="s">
        <v>76</v>
      </c>
      <c r="AA14" s="275" t="s">
        <v>63</v>
      </c>
      <c r="AB14" s="275" t="s">
        <v>25</v>
      </c>
      <c r="AC14" s="275">
        <v>80</v>
      </c>
      <c r="AD14" s="276">
        <v>212</v>
      </c>
      <c r="AE14" s="276">
        <v>16960</v>
      </c>
      <c r="AF14" s="276">
        <v>16960</v>
      </c>
      <c r="AH14" s="266" t="str">
        <f>IF(AJ11&lt;26500,"NÃO CUMPRIU A META EQUIPE","CUMPRIU A META EQUIPE")</f>
        <v>CUMPRIU A META EQUIPE</v>
      </c>
      <c r="AI14" s="266"/>
      <c r="AJ14" s="266"/>
      <c r="AK14" s="267"/>
      <c r="AM14" s="273">
        <v>46078</v>
      </c>
      <c r="AN14" s="274" t="s">
        <v>81</v>
      </c>
      <c r="AO14" s="275" t="s">
        <v>22</v>
      </c>
      <c r="AP14" s="275" t="s">
        <v>82</v>
      </c>
      <c r="AQ14" s="275" t="s">
        <v>47</v>
      </c>
      <c r="AR14" s="275" t="s">
        <v>30</v>
      </c>
      <c r="AS14" s="275">
        <v>15</v>
      </c>
      <c r="AT14" s="276">
        <v>275.62</v>
      </c>
      <c r="AU14" s="276">
        <v>4134.3</v>
      </c>
      <c r="AV14" s="276">
        <v>4134.3</v>
      </c>
      <c r="AY14" s="288" t="str">
        <f>IF(BA10&lt;27000,"NÃO CUMPRIU A META EQUIPE","CUMPRIU A META EQUIPE")</f>
        <v>NÃO CUMPRIU A META EQUIPE</v>
      </c>
      <c r="AZ14" s="288"/>
      <c r="BA14" s="288"/>
      <c r="BB14" s="256"/>
      <c r="BD14" s="291">
        <v>46092</v>
      </c>
      <c r="BE14" s="292">
        <v>137749</v>
      </c>
      <c r="BF14" s="292" t="s">
        <v>31</v>
      </c>
      <c r="BG14" s="292" t="s">
        <v>98</v>
      </c>
      <c r="BH14" s="292" t="s">
        <v>35</v>
      </c>
      <c r="BI14" s="292" t="s">
        <v>35</v>
      </c>
      <c r="BJ14" s="293">
        <v>20</v>
      </c>
      <c r="BK14" s="294">
        <v>176</v>
      </c>
      <c r="BL14" s="295">
        <v>3520</v>
      </c>
      <c r="BM14" s="295">
        <v>3520</v>
      </c>
      <c r="BO14" s="288" t="str">
        <f>IF(BQ10&lt;26500,"NÃO CUMPRIU A META EQUIPE","CUMPRIU A META EQUIPE")</f>
        <v>NÃO CUMPRIU A META EQUIPE</v>
      </c>
      <c r="BP14" s="288"/>
      <c r="BQ14" s="288"/>
      <c r="BR14" s="256"/>
      <c r="BS14" s="256"/>
      <c r="BT14" s="72"/>
      <c r="BU14" s="291">
        <v>46092</v>
      </c>
      <c r="BV14" s="292">
        <v>139463</v>
      </c>
      <c r="BW14" s="292" t="s">
        <v>44</v>
      </c>
      <c r="BX14" s="292" t="s">
        <v>101</v>
      </c>
      <c r="BY14" s="292" t="s">
        <v>89</v>
      </c>
      <c r="BZ14" s="292" t="s">
        <v>30</v>
      </c>
      <c r="CA14" s="293">
        <v>1</v>
      </c>
      <c r="CB14" s="294">
        <v>356.4</v>
      </c>
      <c r="CC14" s="295">
        <v>356.4</v>
      </c>
      <c r="CD14" s="295">
        <v>356.4</v>
      </c>
      <c r="CF14" s="288" t="str">
        <f>IF(CH11&lt;26500,"NÃO CUMPRIU A META EQUIPE","CUMPRIU A META EQUIPE")</f>
        <v>NÃO CUMPRIU A META EQUIPE</v>
      </c>
      <c r="CG14" s="288"/>
      <c r="CH14" s="288"/>
      <c r="CI14" s="256"/>
      <c r="CK14" s="247"/>
      <c r="CL14" s="248"/>
      <c r="CM14" s="246"/>
      <c r="CN14" s="246"/>
      <c r="CO14" s="246"/>
      <c r="CP14" s="246"/>
      <c r="CQ14" s="246"/>
      <c r="CR14" s="249"/>
      <c r="CS14" s="249"/>
      <c r="CT14" s="249"/>
      <c r="CW14" s="351" t="str">
        <f>IF(CY10&lt;27000,"NÃO CUMPRIU A META EQUIPE","CUMPRIU A META EQUIPE")</f>
        <v>NÃO CUMPRIU A META EQUIPE</v>
      </c>
      <c r="CX14" s="351"/>
      <c r="CY14" s="351"/>
      <c r="CZ14" s="350"/>
      <c r="DA14" s="111"/>
      <c r="DB14" s="332">
        <v>46126</v>
      </c>
      <c r="DC14" s="333">
        <v>141238</v>
      </c>
      <c r="DD14" s="333" t="s">
        <v>31</v>
      </c>
      <c r="DE14" s="333" t="s">
        <v>57</v>
      </c>
      <c r="DF14" s="333" t="s">
        <v>69</v>
      </c>
      <c r="DG14" s="333" t="s">
        <v>41</v>
      </c>
      <c r="DH14" s="333">
        <v>1</v>
      </c>
      <c r="DI14" s="334">
        <v>10480</v>
      </c>
      <c r="DJ14" s="334">
        <v>10480</v>
      </c>
      <c r="DK14" s="334">
        <v>12576</v>
      </c>
      <c r="DM14" s="288" t="str">
        <f>IF(DO10&lt;26500,"NÃO CUMPRIU A META EQUIPE","CUMPRIU A META EQUIPE")</f>
        <v>NÃO CUMPRIU A META EQUIPE</v>
      </c>
      <c r="DN14" s="288"/>
      <c r="DO14" s="288"/>
      <c r="DP14" s="256"/>
      <c r="DQ14" s="256"/>
      <c r="DR14" s="72"/>
      <c r="DS14" s="311"/>
      <c r="DT14" s="312"/>
      <c r="DU14" s="312"/>
      <c r="DV14" s="312"/>
      <c r="DW14" s="312"/>
      <c r="DX14" s="312"/>
      <c r="DY14" s="313"/>
      <c r="DZ14" s="314"/>
      <c r="EA14" s="315"/>
      <c r="EB14" s="315"/>
      <c r="ED14" s="288" t="str">
        <f>IF(EF10&lt;26500,"NÃO CUMPRIU A META EQUIPE","CUMPRIU A META EQUIPE")</f>
        <v>NÃO CUMPRIU A META EQUIPE</v>
      </c>
      <c r="EE14" s="288"/>
      <c r="EF14" s="288"/>
      <c r="EG14" s="256"/>
      <c r="EI14" s="316">
        <v>46140</v>
      </c>
      <c r="EJ14" s="199">
        <v>142325</v>
      </c>
      <c r="EK14" s="199" t="s">
        <v>22</v>
      </c>
      <c r="EL14" s="199" t="s">
        <v>82</v>
      </c>
      <c r="EM14" s="199" t="s">
        <v>69</v>
      </c>
      <c r="EN14" s="199" t="s">
        <v>41</v>
      </c>
      <c r="EO14" s="199">
        <v>1</v>
      </c>
      <c r="EP14" s="317">
        <v>10500</v>
      </c>
      <c r="EQ14" s="317">
        <v>10500</v>
      </c>
      <c r="ER14" s="317">
        <v>10500</v>
      </c>
    </row>
    <row r="15" spans="1:148" ht="15" customHeight="1" thickBot="1" x14ac:dyDescent="0.3">
      <c r="F15" s="273">
        <v>46076</v>
      </c>
      <c r="G15" s="274">
        <v>138313</v>
      </c>
      <c r="H15" s="275" t="s">
        <v>31</v>
      </c>
      <c r="I15" s="275" t="s">
        <v>80</v>
      </c>
      <c r="J15" s="275" t="s">
        <v>40</v>
      </c>
      <c r="K15" s="275" t="s">
        <v>41</v>
      </c>
      <c r="L15" s="275">
        <v>1</v>
      </c>
      <c r="M15" s="276">
        <v>3150.4</v>
      </c>
      <c r="N15" s="276">
        <v>3150.4</v>
      </c>
      <c r="O15" s="276">
        <v>3780.48</v>
      </c>
      <c r="V15" s="72"/>
      <c r="W15" s="273">
        <v>46065</v>
      </c>
      <c r="X15" s="274">
        <v>138938</v>
      </c>
      <c r="Y15" s="275" t="s">
        <v>44</v>
      </c>
      <c r="Z15" s="275" t="s">
        <v>76</v>
      </c>
      <c r="AA15" s="275" t="s">
        <v>63</v>
      </c>
      <c r="AB15" s="275" t="s">
        <v>30</v>
      </c>
      <c r="AC15" s="275">
        <v>30</v>
      </c>
      <c r="AD15" s="276">
        <v>109.25</v>
      </c>
      <c r="AE15" s="276">
        <v>3277.5</v>
      </c>
      <c r="AF15" s="276">
        <v>3277.5</v>
      </c>
      <c r="AM15" s="273">
        <v>46078</v>
      </c>
      <c r="AN15" s="274" t="s">
        <v>81</v>
      </c>
      <c r="AO15" s="275" t="s">
        <v>22</v>
      </c>
      <c r="AP15" s="275" t="s">
        <v>82</v>
      </c>
      <c r="AQ15" s="275" t="s">
        <v>63</v>
      </c>
      <c r="AR15" s="275" t="s">
        <v>30</v>
      </c>
      <c r="AS15" s="275">
        <v>40</v>
      </c>
      <c r="AT15" s="276">
        <v>115</v>
      </c>
      <c r="AU15" s="276">
        <v>4600</v>
      </c>
      <c r="AV15" s="276">
        <v>4600</v>
      </c>
      <c r="BD15" s="291">
        <v>46092</v>
      </c>
      <c r="BE15" s="292" t="s">
        <v>99</v>
      </c>
      <c r="BF15" s="292" t="s">
        <v>31</v>
      </c>
      <c r="BG15" s="292" t="s">
        <v>79</v>
      </c>
      <c r="BH15" s="292" t="s">
        <v>35</v>
      </c>
      <c r="BI15" s="292" t="s">
        <v>35</v>
      </c>
      <c r="BJ15" s="293">
        <v>56</v>
      </c>
      <c r="BK15" s="294">
        <v>176</v>
      </c>
      <c r="BL15" s="295">
        <v>9856</v>
      </c>
      <c r="BM15" s="295">
        <v>9856</v>
      </c>
      <c r="BT15" s="72"/>
      <c r="BU15" s="291">
        <v>46092</v>
      </c>
      <c r="BV15" s="292">
        <v>139463</v>
      </c>
      <c r="BW15" s="292" t="s">
        <v>44</v>
      </c>
      <c r="BX15" s="292" t="s">
        <v>101</v>
      </c>
      <c r="BY15" s="292" t="s">
        <v>63</v>
      </c>
      <c r="BZ15" s="292" t="s">
        <v>30</v>
      </c>
      <c r="CA15" s="293" t="s">
        <v>104</v>
      </c>
      <c r="CB15" s="294">
        <v>115</v>
      </c>
      <c r="CC15" s="295">
        <v>4600</v>
      </c>
      <c r="CD15" s="295">
        <v>4600</v>
      </c>
      <c r="CK15" s="247"/>
      <c r="CL15" s="248"/>
      <c r="CM15" s="246"/>
      <c r="CN15" s="246"/>
      <c r="CO15" s="246"/>
      <c r="CP15" s="246"/>
      <c r="CQ15" s="246"/>
      <c r="CR15" s="249"/>
      <c r="CS15" s="249"/>
      <c r="CT15" s="249"/>
      <c r="CW15" s="111"/>
      <c r="CX15" s="111"/>
      <c r="CY15" s="111"/>
      <c r="CZ15" s="111"/>
      <c r="DA15" s="111"/>
      <c r="DB15" s="332">
        <v>46131</v>
      </c>
      <c r="DC15" s="333">
        <v>140455</v>
      </c>
      <c r="DD15" s="333" t="s">
        <v>31</v>
      </c>
      <c r="DE15" s="333" t="s">
        <v>64</v>
      </c>
      <c r="DF15" s="333" t="s">
        <v>35</v>
      </c>
      <c r="DG15" s="333" t="s">
        <v>35</v>
      </c>
      <c r="DH15" s="333">
        <v>1</v>
      </c>
      <c r="DI15" s="334">
        <v>1056</v>
      </c>
      <c r="DJ15" s="334">
        <v>1056</v>
      </c>
      <c r="DK15" s="334">
        <v>1056</v>
      </c>
      <c r="DR15" s="72"/>
      <c r="DS15" s="311"/>
      <c r="DT15" s="312"/>
      <c r="DU15" s="312"/>
      <c r="DV15" s="312"/>
      <c r="DW15" s="312"/>
      <c r="DX15" s="312"/>
      <c r="DY15" s="313"/>
      <c r="DZ15" s="314"/>
      <c r="EA15" s="315"/>
      <c r="EB15" s="315"/>
      <c r="EI15" s="316">
        <v>46140</v>
      </c>
      <c r="EJ15" s="199">
        <v>142325</v>
      </c>
      <c r="EK15" s="199" t="s">
        <v>22</v>
      </c>
      <c r="EL15" s="199" t="s">
        <v>82</v>
      </c>
      <c r="EM15" s="199" t="s">
        <v>69</v>
      </c>
      <c r="EN15" s="199" t="s">
        <v>30</v>
      </c>
      <c r="EO15" s="199">
        <v>1</v>
      </c>
      <c r="EP15" s="317">
        <v>1700</v>
      </c>
      <c r="EQ15" s="317">
        <v>1700</v>
      </c>
      <c r="ER15" s="317">
        <v>1700</v>
      </c>
    </row>
    <row r="16" spans="1:148" ht="15" customHeight="1" thickTop="1" x14ac:dyDescent="0.25">
      <c r="F16" s="273">
        <v>46076</v>
      </c>
      <c r="G16" s="274">
        <v>138313</v>
      </c>
      <c r="H16" s="275" t="s">
        <v>31</v>
      </c>
      <c r="I16" s="275" t="s">
        <v>80</v>
      </c>
      <c r="J16" s="275" t="s">
        <v>24</v>
      </c>
      <c r="K16" s="275" t="s">
        <v>25</v>
      </c>
      <c r="L16" s="275">
        <v>40</v>
      </c>
      <c r="M16" s="276">
        <v>146.24</v>
      </c>
      <c r="N16" s="276">
        <v>5849.6</v>
      </c>
      <c r="O16" s="276">
        <v>7019.52</v>
      </c>
      <c r="V16" s="72"/>
      <c r="W16" s="277" t="s">
        <v>150</v>
      </c>
      <c r="X16" s="278"/>
      <c r="Y16" s="279"/>
      <c r="Z16" s="279"/>
      <c r="AA16" s="279"/>
      <c r="AB16" s="279"/>
      <c r="AC16" s="279"/>
      <c r="AD16" s="279"/>
      <c r="AE16" s="280">
        <v>110737.5</v>
      </c>
      <c r="AF16" s="280">
        <v>111337.5</v>
      </c>
      <c r="AM16" s="273">
        <v>46078</v>
      </c>
      <c r="AN16" s="274" t="s">
        <v>81</v>
      </c>
      <c r="AO16" s="275" t="s">
        <v>22</v>
      </c>
      <c r="AP16" s="275" t="s">
        <v>82</v>
      </c>
      <c r="AQ16" s="275" t="s">
        <v>48</v>
      </c>
      <c r="AR16" s="275" t="s">
        <v>30</v>
      </c>
      <c r="AS16" s="275">
        <v>1</v>
      </c>
      <c r="AT16" s="276">
        <v>356.4</v>
      </c>
      <c r="AU16" s="276">
        <v>356.4</v>
      </c>
      <c r="AV16" s="276">
        <v>356.4</v>
      </c>
      <c r="BD16" s="291">
        <v>46092</v>
      </c>
      <c r="BE16" s="292">
        <v>137391</v>
      </c>
      <c r="BF16" s="292" t="s">
        <v>31</v>
      </c>
      <c r="BG16" s="292" t="s">
        <v>100</v>
      </c>
      <c r="BH16" s="292" t="s">
        <v>35</v>
      </c>
      <c r="BI16" s="292" t="s">
        <v>35</v>
      </c>
      <c r="BJ16" s="293">
        <v>2</v>
      </c>
      <c r="BK16" s="294">
        <v>176</v>
      </c>
      <c r="BL16" s="295">
        <v>352</v>
      </c>
      <c r="BM16" s="295">
        <v>352</v>
      </c>
      <c r="BT16" s="72"/>
      <c r="BU16" s="291">
        <v>46094</v>
      </c>
      <c r="BV16" s="292">
        <v>116031</v>
      </c>
      <c r="BW16" s="292" t="s">
        <v>44</v>
      </c>
      <c r="BX16" s="292" t="s">
        <v>105</v>
      </c>
      <c r="BY16" s="292" t="s">
        <v>24</v>
      </c>
      <c r="BZ16" s="292" t="s">
        <v>25</v>
      </c>
      <c r="CA16" s="293">
        <v>101.75</v>
      </c>
      <c r="CB16" s="294">
        <v>162.44999999999999</v>
      </c>
      <c r="CC16" s="295">
        <v>16529.287499999999</v>
      </c>
      <c r="CD16" s="299">
        <v>16529.287499999999</v>
      </c>
      <c r="CK16" s="247"/>
      <c r="CL16" s="248"/>
      <c r="CM16" s="246"/>
      <c r="CN16" s="246"/>
      <c r="CO16" s="246"/>
      <c r="CP16" s="246"/>
      <c r="CQ16" s="246"/>
      <c r="CR16" s="249"/>
      <c r="CS16" s="249"/>
      <c r="CT16" s="249"/>
      <c r="CW16" s="111"/>
      <c r="CX16" s="111"/>
      <c r="CY16" s="111"/>
      <c r="CZ16" s="111"/>
      <c r="DA16" s="111"/>
      <c r="DB16" s="332">
        <v>46136</v>
      </c>
      <c r="DC16" s="333">
        <v>141764</v>
      </c>
      <c r="DD16" s="333" t="s">
        <v>31</v>
      </c>
      <c r="DE16" s="333" t="s">
        <v>124</v>
      </c>
      <c r="DF16" s="333" t="s">
        <v>35</v>
      </c>
      <c r="DG16" s="333" t="s">
        <v>35</v>
      </c>
      <c r="DH16" s="333">
        <v>2</v>
      </c>
      <c r="DI16" s="334">
        <v>176</v>
      </c>
      <c r="DJ16" s="334">
        <v>352</v>
      </c>
      <c r="DK16" s="334">
        <v>352</v>
      </c>
      <c r="DR16" s="72"/>
      <c r="DS16" s="311"/>
      <c r="DT16" s="312"/>
      <c r="DU16" s="312"/>
      <c r="DV16" s="312"/>
      <c r="DW16" s="312"/>
      <c r="DX16" s="312"/>
      <c r="DY16" s="313"/>
      <c r="DZ16" s="314"/>
      <c r="EA16" s="315"/>
      <c r="EB16" s="315"/>
      <c r="EI16" s="316">
        <v>46140</v>
      </c>
      <c r="EJ16" s="199">
        <v>142326</v>
      </c>
      <c r="EK16" s="199" t="s">
        <v>22</v>
      </c>
      <c r="EL16" s="199" t="s">
        <v>125</v>
      </c>
      <c r="EM16" s="199" t="s">
        <v>69</v>
      </c>
      <c r="EN16" s="199" t="s">
        <v>41</v>
      </c>
      <c r="EO16" s="199">
        <v>1</v>
      </c>
      <c r="EP16" s="317">
        <v>10500</v>
      </c>
      <c r="EQ16" s="317">
        <v>10500</v>
      </c>
      <c r="ER16" s="317">
        <v>10500</v>
      </c>
    </row>
    <row r="17" spans="1:148" x14ac:dyDescent="0.25">
      <c r="F17" s="273">
        <v>46078</v>
      </c>
      <c r="G17" s="274">
        <v>136629</v>
      </c>
      <c r="H17" s="275" t="s">
        <v>31</v>
      </c>
      <c r="I17" s="275" t="s">
        <v>90</v>
      </c>
      <c r="J17" s="275" t="s">
        <v>35</v>
      </c>
      <c r="K17" s="275" t="s">
        <v>35</v>
      </c>
      <c r="L17" s="275">
        <v>80</v>
      </c>
      <c r="M17" s="276">
        <v>150</v>
      </c>
      <c r="N17" s="276">
        <v>12000</v>
      </c>
      <c r="O17" s="276">
        <v>12000</v>
      </c>
      <c r="V17" s="72"/>
      <c r="AM17" s="273">
        <v>46078</v>
      </c>
      <c r="AN17" s="274" t="s">
        <v>81</v>
      </c>
      <c r="AO17" s="275" t="s">
        <v>22</v>
      </c>
      <c r="AP17" s="275" t="s">
        <v>82</v>
      </c>
      <c r="AQ17" s="275" t="s">
        <v>52</v>
      </c>
      <c r="AR17" s="275" t="s">
        <v>30</v>
      </c>
      <c r="AS17" s="275">
        <v>1</v>
      </c>
      <c r="AT17" s="276">
        <v>1080</v>
      </c>
      <c r="AU17" s="276">
        <v>1080</v>
      </c>
      <c r="AV17" s="276">
        <v>1080</v>
      </c>
      <c r="BD17" s="291">
        <v>46093</v>
      </c>
      <c r="BE17" s="292">
        <v>137729</v>
      </c>
      <c r="BF17" s="292" t="s">
        <v>31</v>
      </c>
      <c r="BG17" s="292" t="s">
        <v>65</v>
      </c>
      <c r="BH17" s="292" t="s">
        <v>35</v>
      </c>
      <c r="BI17" s="292" t="s">
        <v>35</v>
      </c>
      <c r="BJ17" s="293">
        <v>48</v>
      </c>
      <c r="BK17" s="294">
        <v>176</v>
      </c>
      <c r="BL17" s="295">
        <v>8448</v>
      </c>
      <c r="BM17" s="299">
        <v>8448</v>
      </c>
      <c r="BT17" s="72"/>
      <c r="BU17" s="291">
        <v>46104</v>
      </c>
      <c r="BV17" s="292">
        <v>140133</v>
      </c>
      <c r="BW17" s="292" t="s">
        <v>44</v>
      </c>
      <c r="BX17" s="292" t="s">
        <v>113</v>
      </c>
      <c r="BY17" s="292" t="s">
        <v>63</v>
      </c>
      <c r="BZ17" s="292" t="s">
        <v>25</v>
      </c>
      <c r="CA17" s="293">
        <v>80</v>
      </c>
      <c r="CB17" s="294">
        <v>186.56</v>
      </c>
      <c r="CC17" s="295">
        <v>14924.8</v>
      </c>
      <c r="CD17" s="299">
        <v>14924.8</v>
      </c>
      <c r="CK17" s="247"/>
      <c r="CL17" s="248"/>
      <c r="CM17" s="246"/>
      <c r="CN17" s="246"/>
      <c r="CO17" s="246"/>
      <c r="CP17" s="246"/>
      <c r="CQ17" s="246"/>
      <c r="CR17" s="249"/>
      <c r="CS17" s="249"/>
      <c r="CT17" s="249"/>
      <c r="CW17" s="111"/>
      <c r="CX17" s="111"/>
      <c r="CY17" s="111"/>
      <c r="CZ17" s="111"/>
      <c r="DA17" s="111"/>
      <c r="DB17" s="332">
        <v>46140</v>
      </c>
      <c r="DC17" s="333">
        <v>140910</v>
      </c>
      <c r="DD17" s="333" t="s">
        <v>31</v>
      </c>
      <c r="DE17" s="333" t="s">
        <v>126</v>
      </c>
      <c r="DF17" s="333" t="s">
        <v>35</v>
      </c>
      <c r="DG17" s="333" t="s">
        <v>35</v>
      </c>
      <c r="DH17" s="333">
        <v>8</v>
      </c>
      <c r="DI17" s="334">
        <v>176</v>
      </c>
      <c r="DJ17" s="334">
        <v>1408</v>
      </c>
      <c r="DK17" s="334">
        <v>1408</v>
      </c>
      <c r="DR17" s="72"/>
      <c r="DS17" s="311"/>
      <c r="DT17" s="312"/>
      <c r="DU17" s="312"/>
      <c r="DV17" s="312"/>
      <c r="DW17" s="312"/>
      <c r="DX17" s="312"/>
      <c r="DY17" s="313"/>
      <c r="DZ17" s="314"/>
      <c r="EA17" s="315"/>
      <c r="EB17" s="315"/>
      <c r="EI17" s="316">
        <v>46140</v>
      </c>
      <c r="EJ17" s="199">
        <v>142326</v>
      </c>
      <c r="EK17" s="199" t="s">
        <v>22</v>
      </c>
      <c r="EL17" s="199" t="s">
        <v>125</v>
      </c>
      <c r="EM17" s="199" t="s">
        <v>69</v>
      </c>
      <c r="EN17" s="199" t="s">
        <v>30</v>
      </c>
      <c r="EO17" s="199">
        <v>1</v>
      </c>
      <c r="EP17" s="317">
        <v>1700</v>
      </c>
      <c r="EQ17" s="317">
        <v>1700</v>
      </c>
      <c r="ER17" s="317">
        <v>1700</v>
      </c>
    </row>
    <row r="18" spans="1:148" x14ac:dyDescent="0.25">
      <c r="F18" s="273">
        <v>46078</v>
      </c>
      <c r="G18" s="274">
        <v>138487</v>
      </c>
      <c r="H18" s="275" t="s">
        <v>31</v>
      </c>
      <c r="I18" s="275" t="s">
        <v>91</v>
      </c>
      <c r="J18" s="275" t="s">
        <v>56</v>
      </c>
      <c r="K18" s="275" t="s">
        <v>25</v>
      </c>
      <c r="L18" s="275">
        <v>2</v>
      </c>
      <c r="M18" s="276">
        <v>210</v>
      </c>
      <c r="N18" s="276">
        <v>420</v>
      </c>
      <c r="O18" s="276">
        <v>504</v>
      </c>
      <c r="AM18" s="273">
        <v>46078</v>
      </c>
      <c r="AN18" s="274" t="s">
        <v>81</v>
      </c>
      <c r="AO18" s="275" t="s">
        <v>22</v>
      </c>
      <c r="AP18" s="275" t="s">
        <v>82</v>
      </c>
      <c r="AQ18" s="275" t="s">
        <v>54</v>
      </c>
      <c r="AR18" s="275" t="s">
        <v>30</v>
      </c>
      <c r="AS18" s="275">
        <v>5</v>
      </c>
      <c r="AT18" s="276">
        <v>142.53</v>
      </c>
      <c r="AU18" s="276">
        <v>712.65</v>
      </c>
      <c r="AV18" s="276">
        <v>712.65</v>
      </c>
      <c r="BD18" s="291">
        <v>46093</v>
      </c>
      <c r="BE18" s="292">
        <v>138126</v>
      </c>
      <c r="BF18" s="292" t="s">
        <v>31</v>
      </c>
      <c r="BG18" s="292" t="s">
        <v>49</v>
      </c>
      <c r="BH18" s="292" t="s">
        <v>35</v>
      </c>
      <c r="BI18" s="292" t="s">
        <v>35</v>
      </c>
      <c r="BJ18" s="293">
        <v>8</v>
      </c>
      <c r="BK18" s="294">
        <v>176</v>
      </c>
      <c r="BL18" s="295">
        <v>1408</v>
      </c>
      <c r="BM18" s="299">
        <v>1408</v>
      </c>
      <c r="BU18" s="291">
        <v>46104</v>
      </c>
      <c r="BV18" s="292">
        <v>140133</v>
      </c>
      <c r="BW18" s="292" t="s">
        <v>44</v>
      </c>
      <c r="BX18" s="292" t="s">
        <v>113</v>
      </c>
      <c r="BY18" s="292" t="s">
        <v>63</v>
      </c>
      <c r="BZ18" s="292" t="s">
        <v>30</v>
      </c>
      <c r="CA18" s="293">
        <v>10</v>
      </c>
      <c r="CB18" s="294">
        <v>98.33</v>
      </c>
      <c r="CC18" s="295">
        <v>983.3</v>
      </c>
      <c r="CD18" s="299">
        <v>983.3</v>
      </c>
      <c r="CK18" s="247"/>
      <c r="CL18" s="248"/>
      <c r="CM18" s="246"/>
      <c r="CN18" s="246"/>
      <c r="CO18" s="246"/>
      <c r="CP18" s="246"/>
      <c r="CQ18" s="246"/>
      <c r="CR18" s="249"/>
      <c r="CS18" s="249"/>
      <c r="CT18" s="249"/>
      <c r="CW18" s="111"/>
      <c r="CX18" s="111"/>
      <c r="CY18" s="111"/>
      <c r="CZ18" s="111"/>
      <c r="DA18" s="111"/>
      <c r="DB18" s="332">
        <v>46140</v>
      </c>
      <c r="DC18" s="333">
        <v>141508</v>
      </c>
      <c r="DD18" s="333" t="s">
        <v>31</v>
      </c>
      <c r="DE18" s="333" t="s">
        <v>57</v>
      </c>
      <c r="DF18" s="333" t="s">
        <v>35</v>
      </c>
      <c r="DG18" s="333" t="s">
        <v>35</v>
      </c>
      <c r="DH18" s="333">
        <v>3</v>
      </c>
      <c r="DI18" s="334">
        <v>176</v>
      </c>
      <c r="DJ18" s="334">
        <v>528</v>
      </c>
      <c r="DK18" s="334">
        <v>528</v>
      </c>
      <c r="DS18" s="311"/>
      <c r="DT18" s="312"/>
      <c r="DU18" s="312"/>
      <c r="DV18" s="312"/>
      <c r="DW18" s="312"/>
      <c r="DX18" s="312"/>
      <c r="DY18" s="313"/>
      <c r="DZ18" s="314"/>
      <c r="EA18" s="315"/>
      <c r="EB18" s="315"/>
      <c r="EI18" s="327"/>
      <c r="EJ18" s="328"/>
      <c r="EK18" s="329"/>
      <c r="EL18" s="329"/>
      <c r="EM18" s="329"/>
      <c r="EN18" s="329"/>
      <c r="EO18" s="329"/>
      <c r="EP18" s="330"/>
      <c r="EQ18" s="331">
        <f>SUM(EQ9:EQ17)</f>
        <v>46481.14</v>
      </c>
      <c r="ER18" s="331">
        <f>SUM(ER9:ER17)</f>
        <v>46481.14</v>
      </c>
    </row>
    <row r="19" spans="1:148" x14ac:dyDescent="0.25">
      <c r="A19" s="1" t="s">
        <v>377</v>
      </c>
      <c r="F19" s="273">
        <v>46078</v>
      </c>
      <c r="G19" s="274">
        <v>138487</v>
      </c>
      <c r="H19" s="275" t="s">
        <v>31</v>
      </c>
      <c r="I19" s="275" t="s">
        <v>91</v>
      </c>
      <c r="J19" s="275" t="s">
        <v>56</v>
      </c>
      <c r="K19" s="275" t="s">
        <v>30</v>
      </c>
      <c r="L19" s="275">
        <v>1</v>
      </c>
      <c r="M19" s="276">
        <v>356.4</v>
      </c>
      <c r="N19" s="276">
        <v>356.4</v>
      </c>
      <c r="O19" s="276">
        <v>427.67999999999989</v>
      </c>
      <c r="Q19" s="1" t="s">
        <v>377</v>
      </c>
      <c r="AH19" s="1" t="s">
        <v>377</v>
      </c>
      <c r="AM19" s="273">
        <v>46078</v>
      </c>
      <c r="AN19" s="274" t="s">
        <v>81</v>
      </c>
      <c r="AO19" s="275" t="s">
        <v>22</v>
      </c>
      <c r="AP19" s="275" t="s">
        <v>82</v>
      </c>
      <c r="AQ19" s="275" t="s">
        <v>83</v>
      </c>
      <c r="AR19" s="275" t="s">
        <v>30</v>
      </c>
      <c r="AS19" s="275">
        <v>1</v>
      </c>
      <c r="AT19" s="276">
        <v>689</v>
      </c>
      <c r="AU19" s="276">
        <v>689</v>
      </c>
      <c r="AV19" s="276">
        <v>689</v>
      </c>
      <c r="AY19" s="1" t="s">
        <v>377</v>
      </c>
      <c r="BD19" s="291">
        <v>46099</v>
      </c>
      <c r="BE19" s="292">
        <v>139762</v>
      </c>
      <c r="BF19" s="292" t="s">
        <v>31</v>
      </c>
      <c r="BG19" s="292" t="s">
        <v>106</v>
      </c>
      <c r="BH19" s="292" t="s">
        <v>35</v>
      </c>
      <c r="BI19" s="292" t="s">
        <v>35</v>
      </c>
      <c r="BJ19" s="293">
        <v>3</v>
      </c>
      <c r="BK19" s="294">
        <v>176</v>
      </c>
      <c r="BL19" s="295">
        <v>528</v>
      </c>
      <c r="BM19" s="299">
        <v>528</v>
      </c>
      <c r="BO19" s="1" t="s">
        <v>377</v>
      </c>
      <c r="BU19" s="296" t="s">
        <v>150</v>
      </c>
      <c r="BV19" s="297"/>
      <c r="BW19" s="297"/>
      <c r="BX19" s="297"/>
      <c r="BY19" s="297"/>
      <c r="BZ19" s="297"/>
      <c r="CA19" s="297"/>
      <c r="CB19" s="297"/>
      <c r="CC19" s="298">
        <v>116142.6275</v>
      </c>
      <c r="CD19" s="298">
        <v>116142.6275</v>
      </c>
      <c r="CF19" s="1" t="s">
        <v>377</v>
      </c>
      <c r="CK19" s="247"/>
      <c r="CL19" s="248"/>
      <c r="CM19" s="246"/>
      <c r="CN19" s="246"/>
      <c r="CO19" s="246"/>
      <c r="CP19" s="246"/>
      <c r="CQ19" s="246"/>
      <c r="CR19" s="249"/>
      <c r="CS19" s="249"/>
      <c r="CT19" s="249"/>
      <c r="CW19" s="352" t="s">
        <v>377</v>
      </c>
      <c r="CX19" s="111"/>
      <c r="CY19" s="111"/>
      <c r="CZ19" s="111"/>
      <c r="DA19" s="111"/>
      <c r="DB19" s="332">
        <v>46140</v>
      </c>
      <c r="DC19" s="333">
        <v>140836</v>
      </c>
      <c r="DD19" s="333" t="s">
        <v>31</v>
      </c>
      <c r="DE19" s="333" t="s">
        <v>87</v>
      </c>
      <c r="DF19" s="333" t="s">
        <v>35</v>
      </c>
      <c r="DG19" s="333" t="s">
        <v>35</v>
      </c>
      <c r="DH19" s="333">
        <v>52</v>
      </c>
      <c r="DI19" s="334">
        <v>176</v>
      </c>
      <c r="DJ19" s="334">
        <v>9152</v>
      </c>
      <c r="DK19" s="334">
        <v>9152</v>
      </c>
      <c r="DM19" s="1" t="s">
        <v>377</v>
      </c>
      <c r="DT19" s="321"/>
      <c r="DU19" s="321"/>
      <c r="DV19" s="321"/>
      <c r="DW19" s="321"/>
      <c r="DX19" s="321"/>
      <c r="DY19" s="321"/>
      <c r="DZ19" s="321"/>
      <c r="ED19" s="1" t="s">
        <v>377</v>
      </c>
      <c r="EI19" s="247"/>
      <c r="EJ19" s="248"/>
      <c r="EK19" s="246"/>
      <c r="EL19" s="246"/>
      <c r="EM19" s="246"/>
      <c r="EN19" s="246"/>
      <c r="EO19" s="246"/>
      <c r="EP19" s="249"/>
      <c r="EQ19" s="249"/>
      <c r="ER19" s="249"/>
    </row>
    <row r="20" spans="1:148" x14ac:dyDescent="0.25">
      <c r="A20" s="261" t="s">
        <v>378</v>
      </c>
      <c r="B20" s="261" t="s">
        <v>0</v>
      </c>
      <c r="C20" s="261" t="s">
        <v>6</v>
      </c>
      <c r="F20" s="273">
        <v>46078</v>
      </c>
      <c r="G20" s="274">
        <v>138723</v>
      </c>
      <c r="H20" s="275" t="s">
        <v>31</v>
      </c>
      <c r="I20" s="275" t="s">
        <v>79</v>
      </c>
      <c r="J20" s="275" t="s">
        <v>24</v>
      </c>
      <c r="K20" s="275" t="s">
        <v>25</v>
      </c>
      <c r="L20" s="275">
        <v>40</v>
      </c>
      <c r="M20" s="276">
        <v>210</v>
      </c>
      <c r="N20" s="276">
        <v>8400</v>
      </c>
      <c r="O20" s="276">
        <v>10080</v>
      </c>
      <c r="Q20" s="261" t="s">
        <v>378</v>
      </c>
      <c r="R20" s="261" t="s">
        <v>0</v>
      </c>
      <c r="S20" s="261" t="s">
        <v>6</v>
      </c>
      <c r="AH20" s="261" t="s">
        <v>378</v>
      </c>
      <c r="AI20" s="261" t="s">
        <v>0</v>
      </c>
      <c r="AJ20" s="261" t="s">
        <v>6</v>
      </c>
      <c r="AM20" s="273">
        <v>46078</v>
      </c>
      <c r="AN20" s="274" t="s">
        <v>81</v>
      </c>
      <c r="AO20" s="275" t="s">
        <v>22</v>
      </c>
      <c r="AP20" s="275" t="s">
        <v>82</v>
      </c>
      <c r="AQ20" s="275" t="s">
        <v>84</v>
      </c>
      <c r="AR20" s="275" t="s">
        <v>30</v>
      </c>
      <c r="AS20" s="275">
        <v>1</v>
      </c>
      <c r="AT20" s="276">
        <v>712</v>
      </c>
      <c r="AU20" s="276">
        <v>712</v>
      </c>
      <c r="AV20" s="276">
        <v>712</v>
      </c>
      <c r="AY20" s="2" t="s">
        <v>378</v>
      </c>
      <c r="AZ20" s="2" t="s">
        <v>6</v>
      </c>
      <c r="BD20" s="291">
        <v>46099</v>
      </c>
      <c r="BE20" s="292">
        <v>137720</v>
      </c>
      <c r="BF20" s="292" t="s">
        <v>31</v>
      </c>
      <c r="BG20" s="292" t="s">
        <v>74</v>
      </c>
      <c r="BH20" s="292" t="s">
        <v>24</v>
      </c>
      <c r="BI20" s="292" t="s">
        <v>25</v>
      </c>
      <c r="BJ20" s="293">
        <v>10</v>
      </c>
      <c r="BK20" s="294">
        <v>210</v>
      </c>
      <c r="BL20" s="295">
        <v>2100</v>
      </c>
      <c r="BM20" s="299">
        <v>2100</v>
      </c>
      <c r="BO20" s="2" t="s">
        <v>378</v>
      </c>
      <c r="BP20" s="2" t="s">
        <v>6</v>
      </c>
      <c r="CF20" s="2" t="s">
        <v>378</v>
      </c>
      <c r="CG20" s="2" t="s">
        <v>6</v>
      </c>
      <c r="CK20" s="247"/>
      <c r="CL20" s="248"/>
      <c r="CM20" s="246"/>
      <c r="CN20" s="246"/>
      <c r="CO20" s="246"/>
      <c r="CP20" s="246"/>
      <c r="CQ20" s="246"/>
      <c r="CR20" s="249"/>
      <c r="CS20" s="249"/>
      <c r="CT20" s="249"/>
      <c r="CW20" s="339" t="s">
        <v>378</v>
      </c>
      <c r="CX20" s="339" t="s">
        <v>6</v>
      </c>
      <c r="CY20" s="111"/>
      <c r="CZ20" s="111"/>
      <c r="DA20" s="111"/>
      <c r="DB20" s="332">
        <v>46140</v>
      </c>
      <c r="DC20" s="333">
        <v>138986</v>
      </c>
      <c r="DD20" s="333" t="s">
        <v>31</v>
      </c>
      <c r="DE20" s="333" t="s">
        <v>92</v>
      </c>
      <c r="DF20" s="333" t="s">
        <v>35</v>
      </c>
      <c r="DG20" s="333" t="s">
        <v>35</v>
      </c>
      <c r="DH20" s="333">
        <v>12</v>
      </c>
      <c r="DI20" s="334">
        <v>176</v>
      </c>
      <c r="DJ20" s="334">
        <v>2112</v>
      </c>
      <c r="DK20" s="334">
        <v>2112</v>
      </c>
      <c r="DM20" s="2" t="s">
        <v>378</v>
      </c>
      <c r="DN20" s="2" t="s">
        <v>6</v>
      </c>
      <c r="ED20" s="2" t="s">
        <v>378</v>
      </c>
      <c r="EE20" s="2" t="s">
        <v>6</v>
      </c>
      <c r="EI20" s="247"/>
      <c r="EJ20" s="248"/>
      <c r="EK20" s="246"/>
      <c r="EL20" s="246"/>
      <c r="EM20" s="246"/>
      <c r="EN20" s="246"/>
      <c r="EO20" s="246"/>
      <c r="EP20" s="249"/>
      <c r="EQ20" s="249"/>
      <c r="ER20" s="249"/>
    </row>
    <row r="21" spans="1:148" x14ac:dyDescent="0.25">
      <c r="A21" s="264" t="s">
        <v>379</v>
      </c>
      <c r="B21" s="265" t="s">
        <v>380</v>
      </c>
      <c r="C21" s="263">
        <v>1</v>
      </c>
      <c r="F21" s="273">
        <v>46078</v>
      </c>
      <c r="G21" s="274">
        <v>134770</v>
      </c>
      <c r="H21" s="275" t="s">
        <v>31</v>
      </c>
      <c r="I21" s="275" t="s">
        <v>92</v>
      </c>
      <c r="J21" s="275" t="s">
        <v>35</v>
      </c>
      <c r="K21" s="275" t="s">
        <v>35</v>
      </c>
      <c r="L21" s="275">
        <v>4</v>
      </c>
      <c r="M21" s="276">
        <v>176</v>
      </c>
      <c r="N21" s="276">
        <v>704</v>
      </c>
      <c r="O21" s="276">
        <v>704</v>
      </c>
      <c r="Q21" s="262" t="s">
        <v>381</v>
      </c>
      <c r="R21" s="263" t="s">
        <v>382</v>
      </c>
      <c r="S21" s="263">
        <v>1</v>
      </c>
      <c r="AH21" s="262" t="s">
        <v>383</v>
      </c>
      <c r="AI21" s="262" t="s">
        <v>384</v>
      </c>
      <c r="AJ21" s="263">
        <v>1</v>
      </c>
      <c r="AM21" s="273">
        <v>46078</v>
      </c>
      <c r="AN21" s="274" t="s">
        <v>85</v>
      </c>
      <c r="AO21" s="275" t="s">
        <v>22</v>
      </c>
      <c r="AP21" s="275" t="s">
        <v>86</v>
      </c>
      <c r="AQ21" s="275" t="s">
        <v>47</v>
      </c>
      <c r="AR21" s="275" t="s">
        <v>25</v>
      </c>
      <c r="AS21" s="275">
        <v>196</v>
      </c>
      <c r="AT21" s="276">
        <v>200</v>
      </c>
      <c r="AU21" s="276">
        <v>39200</v>
      </c>
      <c r="AV21" s="276">
        <v>39200</v>
      </c>
      <c r="AY21" s="37" t="s">
        <v>385</v>
      </c>
      <c r="AZ21">
        <v>1</v>
      </c>
      <c r="BA21" s="32"/>
      <c r="BD21" s="291">
        <v>46099</v>
      </c>
      <c r="BE21" s="292">
        <v>139891</v>
      </c>
      <c r="BF21" s="292" t="s">
        <v>31</v>
      </c>
      <c r="BG21" s="292" t="s">
        <v>107</v>
      </c>
      <c r="BH21" s="292" t="s">
        <v>102</v>
      </c>
      <c r="BI21" s="292" t="s">
        <v>41</v>
      </c>
      <c r="BJ21" s="293">
        <v>1</v>
      </c>
      <c r="BK21" s="294">
        <v>1600</v>
      </c>
      <c r="BL21" s="295">
        <v>1600</v>
      </c>
      <c r="BM21" s="299">
        <v>1920</v>
      </c>
      <c r="BO21" s="37" t="s">
        <v>386</v>
      </c>
      <c r="BP21">
        <v>2</v>
      </c>
      <c r="BQ21" s="32"/>
      <c r="CF21" s="37" t="s">
        <v>387</v>
      </c>
      <c r="CG21">
        <v>1</v>
      </c>
      <c r="CH21" s="32"/>
      <c r="CK21" s="247"/>
      <c r="CL21" s="248"/>
      <c r="CM21" s="246"/>
      <c r="CN21" s="246"/>
      <c r="CO21" s="246"/>
      <c r="CP21" s="246"/>
      <c r="CQ21" s="246"/>
      <c r="CR21" s="249"/>
      <c r="CS21" s="249"/>
      <c r="CT21" s="249"/>
      <c r="CW21" s="353" t="s">
        <v>388</v>
      </c>
      <c r="CX21" s="111">
        <v>1</v>
      </c>
      <c r="CY21" s="224"/>
      <c r="CZ21" s="111"/>
      <c r="DA21" s="111"/>
      <c r="DB21" s="332">
        <v>46140</v>
      </c>
      <c r="DC21" s="333">
        <v>130958</v>
      </c>
      <c r="DD21" s="333" t="s">
        <v>31</v>
      </c>
      <c r="DE21" s="333" t="s">
        <v>127</v>
      </c>
      <c r="DF21" s="333" t="s">
        <v>35</v>
      </c>
      <c r="DG21" s="333" t="s">
        <v>35</v>
      </c>
      <c r="DH21" s="333">
        <v>20</v>
      </c>
      <c r="DI21" s="334">
        <v>176</v>
      </c>
      <c r="DJ21" s="334">
        <v>3520</v>
      </c>
      <c r="DK21" s="334">
        <v>3520</v>
      </c>
      <c r="DM21" s="37" t="s">
        <v>389</v>
      </c>
      <c r="DN21">
        <v>1</v>
      </c>
      <c r="DO21" s="32"/>
      <c r="ED21" s="37" t="s">
        <v>390</v>
      </c>
      <c r="EE21">
        <v>1</v>
      </c>
      <c r="EF21" s="32"/>
      <c r="EI21" s="247"/>
      <c r="EJ21" s="248"/>
      <c r="EK21" s="246"/>
      <c r="EL21" s="246"/>
      <c r="EM21" s="246"/>
      <c r="EN21" s="246"/>
      <c r="EO21" s="246"/>
      <c r="EP21" s="249"/>
      <c r="EQ21" s="249"/>
      <c r="ER21" s="249"/>
    </row>
    <row r="22" spans="1:148" ht="15" customHeight="1" thickBot="1" x14ac:dyDescent="0.3">
      <c r="A22" s="264" t="s">
        <v>391</v>
      </c>
      <c r="B22" s="265" t="s">
        <v>392</v>
      </c>
      <c r="C22" s="263">
        <v>1</v>
      </c>
      <c r="F22" s="273">
        <v>46078</v>
      </c>
      <c r="G22" s="274">
        <v>138211</v>
      </c>
      <c r="H22" s="275" t="s">
        <v>31</v>
      </c>
      <c r="I22" s="275" t="s">
        <v>93</v>
      </c>
      <c r="J22" s="275" t="s">
        <v>24</v>
      </c>
      <c r="K22" s="275" t="s">
        <v>25</v>
      </c>
      <c r="L22" s="275">
        <v>8</v>
      </c>
      <c r="M22" s="276">
        <v>189</v>
      </c>
      <c r="N22" s="276">
        <v>1512</v>
      </c>
      <c r="O22" s="276">
        <v>1814.4</v>
      </c>
      <c r="Q22" s="262" t="s">
        <v>227</v>
      </c>
      <c r="R22" s="263" t="s">
        <v>393</v>
      </c>
      <c r="S22" s="263">
        <v>1</v>
      </c>
      <c r="AH22" s="262" t="s">
        <v>394</v>
      </c>
      <c r="AI22" s="262" t="s">
        <v>395</v>
      </c>
      <c r="AJ22" s="263">
        <v>1</v>
      </c>
      <c r="AM22" s="273">
        <v>46078</v>
      </c>
      <c r="AN22" s="274" t="s">
        <v>85</v>
      </c>
      <c r="AO22" s="275" t="s">
        <v>22</v>
      </c>
      <c r="AP22" s="275" t="s">
        <v>86</v>
      </c>
      <c r="AQ22" s="275" t="s">
        <v>47</v>
      </c>
      <c r="AR22" s="275" t="s">
        <v>41</v>
      </c>
      <c r="AS22" s="275">
        <v>1</v>
      </c>
      <c r="AT22" s="276">
        <v>35502.9</v>
      </c>
      <c r="AU22" s="276">
        <v>35502.9</v>
      </c>
      <c r="AV22" s="276">
        <v>35502.9</v>
      </c>
      <c r="AY22" s="37" t="s">
        <v>396</v>
      </c>
      <c r="AZ22">
        <v>1</v>
      </c>
      <c r="BA22" s="32"/>
      <c r="BD22" s="291">
        <v>46099</v>
      </c>
      <c r="BE22" s="292">
        <v>139891</v>
      </c>
      <c r="BF22" s="292" t="s">
        <v>31</v>
      </c>
      <c r="BG22" s="292" t="s">
        <v>107</v>
      </c>
      <c r="BH22" s="292" t="s">
        <v>102</v>
      </c>
      <c r="BI22" s="292" t="s">
        <v>30</v>
      </c>
      <c r="BJ22" s="293">
        <v>1</v>
      </c>
      <c r="BK22" s="294">
        <v>3442.8</v>
      </c>
      <c r="BL22" s="295">
        <v>3442.8</v>
      </c>
      <c r="BM22" s="299">
        <v>4131.3600000000006</v>
      </c>
      <c r="BO22" s="37" t="s">
        <v>397</v>
      </c>
      <c r="BP22">
        <v>1</v>
      </c>
      <c r="BQ22" s="32"/>
      <c r="CF22" s="37" t="s">
        <v>390</v>
      </c>
      <c r="CG22">
        <v>1</v>
      </c>
      <c r="CH22" s="32"/>
      <c r="CK22" s="247"/>
      <c r="CL22" s="248"/>
      <c r="CM22" s="246"/>
      <c r="CN22" s="246"/>
      <c r="CO22" s="246"/>
      <c r="CP22" s="246"/>
      <c r="CQ22" s="246"/>
      <c r="CR22" s="249"/>
      <c r="CS22" s="249"/>
      <c r="CT22" s="249"/>
      <c r="CW22" s="353" t="s">
        <v>398</v>
      </c>
      <c r="CX22" s="111">
        <v>1</v>
      </c>
      <c r="CY22" s="224"/>
      <c r="CZ22" s="111"/>
      <c r="DA22" s="111"/>
      <c r="DB22" s="332">
        <v>46140</v>
      </c>
      <c r="DC22" s="333">
        <v>139375</v>
      </c>
      <c r="DD22" s="333" t="s">
        <v>31</v>
      </c>
      <c r="DE22" s="333" t="s">
        <v>128</v>
      </c>
      <c r="DF22" s="333" t="s">
        <v>35</v>
      </c>
      <c r="DG22" s="333" t="s">
        <v>35</v>
      </c>
      <c r="DH22" s="333">
        <v>6</v>
      </c>
      <c r="DI22" s="334">
        <v>176</v>
      </c>
      <c r="DJ22" s="334">
        <v>1056</v>
      </c>
      <c r="DK22" s="334">
        <v>1056</v>
      </c>
      <c r="DM22" s="37" t="s">
        <v>399</v>
      </c>
      <c r="DN22">
        <v>1</v>
      </c>
      <c r="DO22" s="32"/>
      <c r="ED22" s="37" t="s">
        <v>251</v>
      </c>
      <c r="EE22">
        <v>1</v>
      </c>
      <c r="EF22" s="32"/>
      <c r="EI22" s="247"/>
      <c r="EJ22" s="248"/>
      <c r="EK22" s="246"/>
      <c r="EL22" s="246"/>
      <c r="EM22" s="246"/>
      <c r="EN22" s="246"/>
      <c r="EO22" s="246"/>
      <c r="EP22" s="249"/>
      <c r="EQ22" s="249"/>
      <c r="ER22" s="249"/>
    </row>
    <row r="23" spans="1:148" ht="15" customHeight="1" thickTop="1" x14ac:dyDescent="0.25">
      <c r="A23" s="264" t="s">
        <v>400</v>
      </c>
      <c r="B23" s="265" t="s">
        <v>401</v>
      </c>
      <c r="C23" s="263">
        <v>1</v>
      </c>
      <c r="F23" s="277" t="s">
        <v>150</v>
      </c>
      <c r="G23" s="278"/>
      <c r="H23" s="279"/>
      <c r="I23" s="279"/>
      <c r="J23" s="279"/>
      <c r="K23" s="279"/>
      <c r="L23" s="279"/>
      <c r="M23" s="279"/>
      <c r="N23" s="280">
        <v>92419.4</v>
      </c>
      <c r="O23" s="280">
        <v>99210.48</v>
      </c>
      <c r="Q23" s="262" t="s">
        <v>402</v>
      </c>
      <c r="R23" s="263" t="s">
        <v>403</v>
      </c>
      <c r="S23" s="263">
        <v>1</v>
      </c>
      <c r="AH23" s="262" t="s">
        <v>404</v>
      </c>
      <c r="AI23" s="262" t="s">
        <v>405</v>
      </c>
      <c r="AJ23" s="263">
        <v>1</v>
      </c>
      <c r="AM23" s="273">
        <v>46078</v>
      </c>
      <c r="AN23" s="274" t="s">
        <v>85</v>
      </c>
      <c r="AO23" s="275" t="s">
        <v>22</v>
      </c>
      <c r="AP23" s="275" t="s">
        <v>86</v>
      </c>
      <c r="AQ23" s="275" t="s">
        <v>47</v>
      </c>
      <c r="AR23" s="275" t="s">
        <v>30</v>
      </c>
      <c r="AS23" s="275">
        <v>12</v>
      </c>
      <c r="AT23" s="276">
        <v>275.62</v>
      </c>
      <c r="AU23" s="276">
        <v>3307.44</v>
      </c>
      <c r="AV23" s="276">
        <v>3307.44</v>
      </c>
      <c r="AY23" s="37" t="s">
        <v>406</v>
      </c>
      <c r="AZ23">
        <v>1</v>
      </c>
      <c r="BA23" s="32"/>
      <c r="BD23" s="291">
        <v>46100</v>
      </c>
      <c r="BE23" s="292">
        <v>136464</v>
      </c>
      <c r="BF23" s="292" t="s">
        <v>31</v>
      </c>
      <c r="BG23" s="292" t="s">
        <v>94</v>
      </c>
      <c r="BH23" s="292" t="s">
        <v>35</v>
      </c>
      <c r="BI23" s="292" t="s">
        <v>35</v>
      </c>
      <c r="BJ23" s="293">
        <v>8</v>
      </c>
      <c r="BK23" s="294">
        <v>176</v>
      </c>
      <c r="BL23" s="295">
        <v>1408</v>
      </c>
      <c r="BM23" s="299">
        <v>1408</v>
      </c>
      <c r="BO23" s="37" t="s">
        <v>407</v>
      </c>
      <c r="BP23">
        <v>1</v>
      </c>
      <c r="BQ23" s="32"/>
      <c r="CF23" s="37" t="s">
        <v>408</v>
      </c>
      <c r="CG23">
        <v>1</v>
      </c>
      <c r="CH23" s="32"/>
      <c r="CK23" s="247"/>
      <c r="CL23" s="248"/>
      <c r="CM23" s="246"/>
      <c r="CN23" s="246"/>
      <c r="CO23" s="246"/>
      <c r="CP23" s="246"/>
      <c r="CQ23" s="246"/>
      <c r="CR23" s="249"/>
      <c r="CS23" s="249"/>
      <c r="CT23" s="249"/>
      <c r="CW23" s="353" t="s">
        <v>409</v>
      </c>
      <c r="CX23" s="111">
        <v>1</v>
      </c>
      <c r="CY23" s="224"/>
      <c r="CZ23" s="111"/>
      <c r="DA23" s="111"/>
      <c r="DB23" s="318" t="s">
        <v>150</v>
      </c>
      <c r="DC23" s="318"/>
      <c r="DD23" s="318"/>
      <c r="DE23" s="318"/>
      <c r="DF23" s="318"/>
      <c r="DG23" s="318"/>
      <c r="DH23" s="318"/>
      <c r="DI23" s="318"/>
      <c r="DJ23" s="319">
        <f>SUM(DJ8:DJ22)</f>
        <v>55122.8</v>
      </c>
      <c r="DK23" s="319">
        <f>SUM(DK8:DK22)</f>
        <v>58339.360000000001</v>
      </c>
      <c r="DM23" s="37" t="s">
        <v>410</v>
      </c>
      <c r="DN23">
        <v>1</v>
      </c>
      <c r="DO23" s="32"/>
      <c r="ED23" s="37"/>
      <c r="EE23" s="320" t="str">
        <f ca="1">SUM(EE21:EE26)</f>
        <v/>
      </c>
      <c r="EF23" s="32"/>
      <c r="EI23" s="247"/>
      <c r="EJ23" s="248"/>
      <c r="EK23" s="246"/>
      <c r="EL23" s="246"/>
      <c r="EM23" s="246"/>
      <c r="EN23" s="246"/>
      <c r="EO23" s="246"/>
      <c r="EP23" s="249"/>
      <c r="EQ23" s="249"/>
      <c r="ER23" s="249"/>
    </row>
    <row r="24" spans="1:148" x14ac:dyDescent="0.25">
      <c r="A24" s="264" t="s">
        <v>411</v>
      </c>
      <c r="B24" s="265" t="s">
        <v>401</v>
      </c>
      <c r="C24" s="263">
        <v>1</v>
      </c>
      <c r="Q24" s="262" t="s">
        <v>412</v>
      </c>
      <c r="R24" s="263" t="s">
        <v>392</v>
      </c>
      <c r="S24" s="263">
        <v>1</v>
      </c>
      <c r="AH24" s="262" t="s">
        <v>413</v>
      </c>
      <c r="AI24" s="262" t="s">
        <v>384</v>
      </c>
      <c r="AJ24" s="263">
        <v>1</v>
      </c>
      <c r="AM24" s="273">
        <v>46078</v>
      </c>
      <c r="AN24" s="274" t="s">
        <v>85</v>
      </c>
      <c r="AO24" s="275" t="s">
        <v>22</v>
      </c>
      <c r="AP24" s="275" t="s">
        <v>86</v>
      </c>
      <c r="AQ24" s="275" t="s">
        <v>63</v>
      </c>
      <c r="AR24" s="275" t="s">
        <v>30</v>
      </c>
      <c r="AS24" s="275">
        <v>40</v>
      </c>
      <c r="AT24" s="276">
        <v>115</v>
      </c>
      <c r="AU24" s="276">
        <v>4600</v>
      </c>
      <c r="AV24" s="276">
        <v>4600</v>
      </c>
      <c r="AY24" s="37" t="s">
        <v>414</v>
      </c>
      <c r="AZ24">
        <v>1</v>
      </c>
      <c r="BA24" s="32"/>
      <c r="BD24" s="291">
        <v>46100</v>
      </c>
      <c r="BE24" s="292">
        <v>137380</v>
      </c>
      <c r="BF24" s="292" t="s">
        <v>31</v>
      </c>
      <c r="BG24" s="292" t="s">
        <v>93</v>
      </c>
      <c r="BH24" s="292" t="s">
        <v>35</v>
      </c>
      <c r="BI24" s="292" t="s">
        <v>35</v>
      </c>
      <c r="BJ24" s="293">
        <v>16</v>
      </c>
      <c r="BK24" s="294">
        <v>140.80000000000001</v>
      </c>
      <c r="BL24" s="295">
        <v>2252.8000000000002</v>
      </c>
      <c r="BM24" s="299">
        <v>2252.8000000000002</v>
      </c>
      <c r="BO24" s="37" t="s">
        <v>415</v>
      </c>
      <c r="BP24">
        <v>1</v>
      </c>
      <c r="BQ24" s="32"/>
      <c r="CF24" s="37" t="s">
        <v>416</v>
      </c>
      <c r="CG24">
        <v>1</v>
      </c>
      <c r="CH24" s="32"/>
      <c r="CK24" s="247"/>
      <c r="CL24" s="248"/>
      <c r="CM24" s="246"/>
      <c r="CN24" s="246"/>
      <c r="CO24" s="246"/>
      <c r="CP24" s="246"/>
      <c r="CQ24" s="246"/>
      <c r="CR24" s="249"/>
      <c r="CS24" s="249"/>
      <c r="CT24" s="249"/>
      <c r="CW24" s="353" t="s">
        <v>417</v>
      </c>
      <c r="CX24" s="111">
        <v>1</v>
      </c>
      <c r="CY24" s="224"/>
      <c r="CZ24" s="111"/>
      <c r="DA24" s="111"/>
      <c r="DB24" s="311"/>
      <c r="DC24" s="312"/>
      <c r="DD24" s="312"/>
      <c r="DE24" s="312"/>
      <c r="DF24" s="312"/>
      <c r="DG24" s="312"/>
      <c r="DH24" s="313"/>
      <c r="DI24" s="314"/>
      <c r="DJ24" s="315"/>
      <c r="DK24" s="315"/>
      <c r="DM24" s="37" t="s">
        <v>418</v>
      </c>
      <c r="DN24">
        <v>1</v>
      </c>
      <c r="DO24" s="32"/>
      <c r="ED24" s="37"/>
      <c r="EF24" s="32"/>
      <c r="EI24" s="247"/>
      <c r="EJ24" s="248"/>
      <c r="EK24" s="246"/>
      <c r="EL24" s="246"/>
      <c r="EM24" s="246"/>
      <c r="EN24" s="246"/>
      <c r="EO24" s="246"/>
      <c r="EP24" s="249"/>
      <c r="EQ24" s="249"/>
      <c r="ER24" s="249"/>
    </row>
    <row r="25" spans="1:148" x14ac:dyDescent="0.25">
      <c r="A25" s="260" t="s">
        <v>419</v>
      </c>
      <c r="B25" s="260" t="s">
        <v>420</v>
      </c>
      <c r="C25" s="263">
        <v>1</v>
      </c>
      <c r="Q25" s="262" t="s">
        <v>421</v>
      </c>
      <c r="R25" s="263" t="s">
        <v>393</v>
      </c>
      <c r="S25" s="263">
        <v>1</v>
      </c>
      <c r="AH25" s="262" t="s">
        <v>422</v>
      </c>
      <c r="AI25" s="262" t="s">
        <v>423</v>
      </c>
      <c r="AJ25" s="263">
        <v>1</v>
      </c>
      <c r="AM25" s="273">
        <v>46078</v>
      </c>
      <c r="AN25" s="274" t="s">
        <v>85</v>
      </c>
      <c r="AO25" s="275" t="s">
        <v>22</v>
      </c>
      <c r="AP25" s="275" t="s">
        <v>86</v>
      </c>
      <c r="AQ25" s="275" t="s">
        <v>52</v>
      </c>
      <c r="AR25" s="275" t="s">
        <v>30</v>
      </c>
      <c r="AS25" s="275">
        <v>1</v>
      </c>
      <c r="AT25" s="276">
        <v>1080</v>
      </c>
      <c r="AU25" s="276">
        <v>1080</v>
      </c>
      <c r="AV25" s="276">
        <v>1080</v>
      </c>
      <c r="AY25" s="37" t="s">
        <v>424</v>
      </c>
      <c r="AZ25">
        <v>1</v>
      </c>
      <c r="BA25" s="32"/>
      <c r="BD25" s="291">
        <v>46100</v>
      </c>
      <c r="BE25" s="292">
        <v>138380</v>
      </c>
      <c r="BF25" s="292" t="s">
        <v>31</v>
      </c>
      <c r="BG25" s="292" t="s">
        <v>108</v>
      </c>
      <c r="BH25" s="292" t="s">
        <v>35</v>
      </c>
      <c r="BI25" s="292" t="s">
        <v>35</v>
      </c>
      <c r="BJ25" s="293">
        <v>16</v>
      </c>
      <c r="BK25" s="294">
        <v>140.80000000000001</v>
      </c>
      <c r="BL25" s="295">
        <v>2252.8000000000002</v>
      </c>
      <c r="BM25" s="299">
        <v>2252.8000000000002</v>
      </c>
      <c r="BO25" s="37" t="s">
        <v>425</v>
      </c>
      <c r="BP25">
        <v>1</v>
      </c>
      <c r="BQ25" s="32"/>
      <c r="CF25" s="37" t="s">
        <v>426</v>
      </c>
      <c r="CG25">
        <v>1</v>
      </c>
      <c r="CH25" s="32"/>
      <c r="CK25" s="247"/>
      <c r="CL25" s="248"/>
      <c r="CM25" s="246"/>
      <c r="CN25" s="246"/>
      <c r="CO25" s="246"/>
      <c r="CP25" s="246"/>
      <c r="CQ25" s="246"/>
      <c r="CR25" s="249"/>
      <c r="CS25" s="249"/>
      <c r="CT25" s="249"/>
      <c r="CW25" s="353" t="s">
        <v>427</v>
      </c>
      <c r="CX25" s="111">
        <v>1</v>
      </c>
      <c r="CY25" s="224"/>
      <c r="CZ25" s="111"/>
      <c r="DA25" s="111"/>
      <c r="DB25" s="311"/>
      <c r="DC25" s="312"/>
      <c r="DD25" s="312"/>
      <c r="DE25" s="312"/>
      <c r="DF25" s="312"/>
      <c r="DG25" s="312"/>
      <c r="DH25" s="313"/>
      <c r="DI25" s="314"/>
      <c r="DJ25" s="315"/>
      <c r="DK25" s="315"/>
      <c r="DM25" s="37" t="s">
        <v>253</v>
      </c>
      <c r="DN25">
        <v>1</v>
      </c>
      <c r="DO25" s="32"/>
      <c r="ED25" s="37"/>
      <c r="EF25" s="32"/>
      <c r="EI25" s="247"/>
      <c r="EJ25" s="248"/>
      <c r="EK25" s="246"/>
      <c r="EL25" s="246"/>
      <c r="EM25" s="246"/>
      <c r="EN25" s="246"/>
      <c r="EO25" s="246"/>
      <c r="EP25" s="249"/>
      <c r="EQ25" s="249"/>
      <c r="ER25" s="249"/>
    </row>
    <row r="26" spans="1:148" x14ac:dyDescent="0.25">
      <c r="A26" s="260" t="s">
        <v>428</v>
      </c>
      <c r="B26" s="260" t="s">
        <v>403</v>
      </c>
      <c r="C26" s="263">
        <v>1</v>
      </c>
      <c r="Q26" s="262" t="s">
        <v>429</v>
      </c>
      <c r="R26" s="263" t="s">
        <v>403</v>
      </c>
      <c r="S26" s="263">
        <v>1</v>
      </c>
      <c r="AH26" s="262" t="s">
        <v>430</v>
      </c>
      <c r="AI26" s="262" t="s">
        <v>384</v>
      </c>
      <c r="AJ26" s="263">
        <v>1</v>
      </c>
      <c r="AM26" s="273">
        <v>46078</v>
      </c>
      <c r="AN26" s="274" t="s">
        <v>85</v>
      </c>
      <c r="AO26" s="275" t="s">
        <v>22</v>
      </c>
      <c r="AP26" s="275" t="s">
        <v>86</v>
      </c>
      <c r="AQ26" s="275" t="s">
        <v>83</v>
      </c>
      <c r="AR26" s="275" t="s">
        <v>30</v>
      </c>
      <c r="AS26" s="275">
        <v>1</v>
      </c>
      <c r="AT26" s="276">
        <v>689</v>
      </c>
      <c r="AU26" s="276">
        <v>689</v>
      </c>
      <c r="AV26" s="276">
        <v>689</v>
      </c>
      <c r="AY26" s="37" t="s">
        <v>431</v>
      </c>
      <c r="AZ26">
        <v>1</v>
      </c>
      <c r="BA26" s="32"/>
      <c r="BD26" s="291">
        <v>46100</v>
      </c>
      <c r="BE26" s="292">
        <v>139938</v>
      </c>
      <c r="BF26" s="292" t="s">
        <v>31</v>
      </c>
      <c r="BG26" s="292" t="s">
        <v>109</v>
      </c>
      <c r="BH26" s="292" t="s">
        <v>35</v>
      </c>
      <c r="BI26" s="292" t="s">
        <v>35</v>
      </c>
      <c r="BJ26" s="293">
        <v>4</v>
      </c>
      <c r="BK26" s="294">
        <v>176</v>
      </c>
      <c r="BL26" s="295">
        <v>704</v>
      </c>
      <c r="BM26" s="299">
        <v>704</v>
      </c>
      <c r="BO26" s="37" t="s">
        <v>432</v>
      </c>
      <c r="BP26">
        <v>1</v>
      </c>
      <c r="BQ26" s="32"/>
      <c r="CF26" s="37" t="s">
        <v>433</v>
      </c>
      <c r="CG26">
        <v>1</v>
      </c>
      <c r="CH26" s="32"/>
      <c r="CK26" s="247"/>
      <c r="CL26" s="248"/>
      <c r="CM26" s="246"/>
      <c r="CN26" s="246"/>
      <c r="CO26" s="246"/>
      <c r="CP26" s="246"/>
      <c r="CQ26" s="246"/>
      <c r="CR26" s="249"/>
      <c r="CS26" s="249"/>
      <c r="CT26" s="249"/>
      <c r="CW26" s="353" t="s">
        <v>434</v>
      </c>
      <c r="CX26" s="111">
        <v>1</v>
      </c>
      <c r="CY26" s="224"/>
      <c r="CZ26" s="111"/>
      <c r="DA26" s="111"/>
      <c r="DB26" s="311"/>
      <c r="DC26" s="312"/>
      <c r="DD26" s="312"/>
      <c r="DE26" s="312"/>
      <c r="DF26" s="312"/>
      <c r="DG26" s="312"/>
      <c r="DH26" s="313"/>
      <c r="DI26" s="314"/>
      <c r="DJ26" s="315"/>
      <c r="DK26" s="315"/>
      <c r="DM26" s="37" t="s">
        <v>235</v>
      </c>
      <c r="DN26">
        <v>1</v>
      </c>
      <c r="DO26" s="32"/>
      <c r="ED26" s="37"/>
      <c r="EF26" s="32"/>
      <c r="EI26" s="247"/>
      <c r="EJ26" s="248"/>
      <c r="EK26" s="246"/>
      <c r="EL26" s="246"/>
      <c r="EM26" s="246"/>
      <c r="EN26" s="246"/>
      <c r="EO26" s="246"/>
      <c r="EP26" s="249"/>
      <c r="EQ26" s="249"/>
      <c r="ER26" s="249"/>
    </row>
    <row r="27" spans="1:148" x14ac:dyDescent="0.25">
      <c r="A27" s="260" t="s">
        <v>435</v>
      </c>
      <c r="B27" s="260" t="s">
        <v>436</v>
      </c>
      <c r="C27" s="263">
        <v>1</v>
      </c>
      <c r="Q27" s="262" t="s">
        <v>437</v>
      </c>
      <c r="R27" s="263" t="s">
        <v>403</v>
      </c>
      <c r="S27" s="263">
        <v>1</v>
      </c>
      <c r="AH27" s="262" t="s">
        <v>438</v>
      </c>
      <c r="AI27" s="262" t="s">
        <v>395</v>
      </c>
      <c r="AJ27" s="263">
        <v>1</v>
      </c>
      <c r="AM27" s="273">
        <v>46078</v>
      </c>
      <c r="AN27" s="274" t="s">
        <v>85</v>
      </c>
      <c r="AO27" s="275" t="s">
        <v>22</v>
      </c>
      <c r="AP27" s="275" t="s">
        <v>86</v>
      </c>
      <c r="AQ27" s="275" t="s">
        <v>84</v>
      </c>
      <c r="AR27" s="275" t="s">
        <v>30</v>
      </c>
      <c r="AS27" s="275">
        <v>1</v>
      </c>
      <c r="AT27" s="276">
        <v>712</v>
      </c>
      <c r="AU27" s="276">
        <v>712</v>
      </c>
      <c r="AV27" s="276">
        <v>712</v>
      </c>
      <c r="AY27" s="37" t="s">
        <v>439</v>
      </c>
      <c r="AZ27">
        <v>1</v>
      </c>
      <c r="BA27" s="32"/>
      <c r="BD27" s="291">
        <v>46104</v>
      </c>
      <c r="BE27" s="292">
        <v>139635</v>
      </c>
      <c r="BF27" s="292" t="s">
        <v>31</v>
      </c>
      <c r="BG27" s="292" t="s">
        <v>112</v>
      </c>
      <c r="BH27" s="292" t="s">
        <v>35</v>
      </c>
      <c r="BI27" s="292" t="s">
        <v>35</v>
      </c>
      <c r="BJ27" s="293">
        <v>4</v>
      </c>
      <c r="BK27" s="294">
        <v>176</v>
      </c>
      <c r="BL27" s="295">
        <v>704</v>
      </c>
      <c r="BM27" s="299">
        <v>704</v>
      </c>
      <c r="BO27" s="37" t="s">
        <v>440</v>
      </c>
      <c r="BP27">
        <v>1</v>
      </c>
      <c r="BQ27" s="32"/>
      <c r="CG27" s="1">
        <f>SUM(CG21:CG26)</f>
        <v>6</v>
      </c>
      <c r="CH27" s="32"/>
      <c r="CK27" s="247"/>
      <c r="CL27" s="248"/>
      <c r="CM27" s="246"/>
      <c r="CN27" s="246"/>
      <c r="CO27" s="246"/>
      <c r="CP27" s="246"/>
      <c r="CQ27" s="246"/>
      <c r="CR27" s="249"/>
      <c r="CS27" s="249"/>
      <c r="CT27" s="249"/>
      <c r="CW27" s="353" t="s">
        <v>441</v>
      </c>
      <c r="CX27" s="111">
        <v>1</v>
      </c>
      <c r="CY27" s="224"/>
      <c r="CZ27" s="111"/>
      <c r="DA27" s="111"/>
      <c r="DB27" s="311"/>
      <c r="DC27" s="312"/>
      <c r="DD27" s="312"/>
      <c r="DE27" s="312"/>
      <c r="DF27" s="312"/>
      <c r="DG27" s="312"/>
      <c r="DH27" s="313"/>
      <c r="DI27" s="314"/>
      <c r="DJ27" s="315"/>
      <c r="DK27" s="315"/>
      <c r="DM27" s="37" t="s">
        <v>442</v>
      </c>
      <c r="DN27">
        <v>1</v>
      </c>
      <c r="DO27" s="32"/>
      <c r="EF27" s="32"/>
      <c r="EI27" s="247"/>
      <c r="EJ27" s="248"/>
      <c r="EK27" s="246"/>
      <c r="EL27" s="246"/>
      <c r="EM27" s="246"/>
      <c r="EN27" s="246"/>
      <c r="EO27" s="246"/>
      <c r="EP27" s="249"/>
      <c r="EQ27" s="249"/>
      <c r="ER27" s="249"/>
    </row>
    <row r="28" spans="1:148" x14ac:dyDescent="0.25">
      <c r="A28" s="260" t="s">
        <v>443</v>
      </c>
      <c r="B28" s="260" t="s">
        <v>436</v>
      </c>
      <c r="C28" s="263">
        <v>1</v>
      </c>
      <c r="Q28" s="262" t="s">
        <v>444</v>
      </c>
      <c r="R28" s="263" t="s">
        <v>380</v>
      </c>
      <c r="S28" s="263">
        <v>1</v>
      </c>
      <c r="AH28" s="262" t="s">
        <v>445</v>
      </c>
      <c r="AI28" s="262" t="s">
        <v>384</v>
      </c>
      <c r="AJ28" s="263">
        <v>1</v>
      </c>
      <c r="AM28" s="273">
        <v>46078</v>
      </c>
      <c r="AN28" s="274">
        <v>138641</v>
      </c>
      <c r="AO28" s="275" t="s">
        <v>22</v>
      </c>
      <c r="AP28" s="275" t="s">
        <v>87</v>
      </c>
      <c r="AQ28" s="275" t="s">
        <v>47</v>
      </c>
      <c r="AR28" s="275" t="s">
        <v>25</v>
      </c>
      <c r="AS28" s="275">
        <v>316</v>
      </c>
      <c r="AT28" s="276">
        <v>200</v>
      </c>
      <c r="AU28" s="276">
        <v>63200</v>
      </c>
      <c r="AV28" s="276">
        <v>63200</v>
      </c>
      <c r="AY28" s="37" t="s">
        <v>434</v>
      </c>
      <c r="AZ28">
        <v>1</v>
      </c>
      <c r="BA28" s="32"/>
      <c r="BD28" s="291">
        <v>46104</v>
      </c>
      <c r="BE28" s="292">
        <v>138651</v>
      </c>
      <c r="BF28" s="292" t="s">
        <v>31</v>
      </c>
      <c r="BG28" s="292" t="s">
        <v>114</v>
      </c>
      <c r="BH28" s="292" t="s">
        <v>35</v>
      </c>
      <c r="BI28" s="292" t="s">
        <v>35</v>
      </c>
      <c r="BJ28" s="293">
        <v>2</v>
      </c>
      <c r="BK28" s="294">
        <v>176</v>
      </c>
      <c r="BL28" s="295">
        <v>352</v>
      </c>
      <c r="BM28" s="299">
        <v>352</v>
      </c>
      <c r="BO28" s="37" t="s">
        <v>446</v>
      </c>
      <c r="BP28">
        <v>1</v>
      </c>
      <c r="BQ28" s="32"/>
      <c r="CH28" s="32"/>
      <c r="CK28" s="247"/>
      <c r="CL28" s="248"/>
      <c r="CM28" s="246"/>
      <c r="CN28" s="246"/>
      <c r="CO28" s="246"/>
      <c r="CP28" s="246"/>
      <c r="CQ28" s="246"/>
      <c r="CR28" s="249"/>
      <c r="CS28" s="249"/>
      <c r="CT28" s="249"/>
      <c r="CW28" s="353" t="s">
        <v>447</v>
      </c>
      <c r="CX28" s="111">
        <v>1</v>
      </c>
      <c r="CY28" s="224"/>
      <c r="CZ28" s="111"/>
      <c r="DA28" s="111"/>
      <c r="DB28" s="311"/>
      <c r="DC28" s="312"/>
      <c r="DD28" s="312"/>
      <c r="DE28" s="312"/>
      <c r="DF28" s="312"/>
      <c r="DG28" s="312"/>
      <c r="DH28" s="313"/>
      <c r="DI28" s="314"/>
      <c r="DJ28" s="315"/>
      <c r="DK28" s="315"/>
      <c r="DM28" s="37"/>
      <c r="DN28" s="320" t="str">
        <f ca="1">SUM(DN21:DN37)</f>
        <v/>
      </c>
      <c r="DO28" s="32"/>
    </row>
    <row r="29" spans="1:148" x14ac:dyDescent="0.25">
      <c r="A29" s="260" t="s">
        <v>448</v>
      </c>
      <c r="B29" s="260" t="s">
        <v>449</v>
      </c>
      <c r="C29" s="263">
        <v>1</v>
      </c>
      <c r="Q29" s="262" t="s">
        <v>450</v>
      </c>
      <c r="R29" s="263" t="s">
        <v>380</v>
      </c>
      <c r="S29" s="263">
        <v>1</v>
      </c>
      <c r="AH29" s="262" t="s">
        <v>451</v>
      </c>
      <c r="AI29" s="262" t="s">
        <v>452</v>
      </c>
      <c r="AJ29" s="263">
        <v>1</v>
      </c>
      <c r="AM29" s="273">
        <v>46078</v>
      </c>
      <c r="AN29" s="274">
        <v>138641</v>
      </c>
      <c r="AO29" s="275" t="s">
        <v>22</v>
      </c>
      <c r="AP29" s="275" t="s">
        <v>87</v>
      </c>
      <c r="AQ29" s="275" t="s">
        <v>47</v>
      </c>
      <c r="AR29" s="275" t="s">
        <v>41</v>
      </c>
      <c r="AS29" s="275">
        <v>1</v>
      </c>
      <c r="AT29" s="276">
        <v>35502.9</v>
      </c>
      <c r="AU29" s="276">
        <v>35502.9</v>
      </c>
      <c r="AV29" s="276">
        <v>35502.9</v>
      </c>
      <c r="AY29" s="37" t="s">
        <v>453</v>
      </c>
      <c r="AZ29">
        <v>1</v>
      </c>
      <c r="BA29" s="32"/>
      <c r="BD29" s="291">
        <v>46105</v>
      </c>
      <c r="BE29" s="292">
        <v>138954</v>
      </c>
      <c r="BF29" s="292" t="s">
        <v>31</v>
      </c>
      <c r="BG29" s="292" t="s">
        <v>114</v>
      </c>
      <c r="BH29" s="292" t="s">
        <v>35</v>
      </c>
      <c r="BI29" s="292" t="s">
        <v>35</v>
      </c>
      <c r="BJ29" s="293">
        <v>36</v>
      </c>
      <c r="BK29" s="294">
        <v>176</v>
      </c>
      <c r="BL29" s="295">
        <v>6336</v>
      </c>
      <c r="BM29" s="299">
        <v>6336</v>
      </c>
      <c r="BO29" s="37" t="s">
        <v>454</v>
      </c>
      <c r="BP29">
        <v>1</v>
      </c>
      <c r="BQ29" s="32"/>
      <c r="CH29" s="32"/>
      <c r="CK29" s="247"/>
      <c r="CL29" s="248"/>
      <c r="CM29" s="246"/>
      <c r="CN29" s="246"/>
      <c r="CO29" s="246"/>
      <c r="CP29" s="246"/>
      <c r="CQ29" s="246"/>
      <c r="CR29" s="249"/>
      <c r="CS29" s="249"/>
      <c r="CT29" s="249"/>
      <c r="CW29" s="353" t="s">
        <v>455</v>
      </c>
      <c r="CX29" s="111">
        <v>1</v>
      </c>
      <c r="CY29" s="224"/>
      <c r="CZ29" s="111"/>
      <c r="DA29" s="111"/>
      <c r="DB29" s="311"/>
      <c r="DC29" s="312"/>
      <c r="DD29" s="312"/>
      <c r="DE29" s="312"/>
      <c r="DF29" s="312"/>
      <c r="DG29" s="312"/>
      <c r="DH29" s="313"/>
      <c r="DI29" s="314"/>
      <c r="DJ29" s="315"/>
      <c r="DK29" s="315"/>
      <c r="DM29" s="37"/>
      <c r="DO29" s="32"/>
    </row>
    <row r="30" spans="1:148" x14ac:dyDescent="0.25">
      <c r="A30" s="260" t="s">
        <v>456</v>
      </c>
      <c r="B30" s="260" t="s">
        <v>449</v>
      </c>
      <c r="C30" s="263">
        <v>1</v>
      </c>
      <c r="Q30" s="262" t="s">
        <v>457</v>
      </c>
      <c r="R30" s="263" t="s">
        <v>458</v>
      </c>
      <c r="S30" s="263">
        <v>1</v>
      </c>
      <c r="AH30" s="262" t="s">
        <v>459</v>
      </c>
      <c r="AI30" s="262" t="s">
        <v>395</v>
      </c>
      <c r="AJ30" s="263">
        <v>1</v>
      </c>
      <c r="AM30" s="273">
        <v>46078</v>
      </c>
      <c r="AN30" s="274">
        <v>138641</v>
      </c>
      <c r="AO30" s="275" t="s">
        <v>22</v>
      </c>
      <c r="AP30" s="275" t="s">
        <v>87</v>
      </c>
      <c r="AQ30" s="275" t="s">
        <v>47</v>
      </c>
      <c r="AR30" s="275" t="s">
        <v>30</v>
      </c>
      <c r="AS30" s="275">
        <v>30</v>
      </c>
      <c r="AT30" s="276">
        <v>275.62</v>
      </c>
      <c r="AU30" s="276">
        <v>8268.6</v>
      </c>
      <c r="AV30" s="276">
        <v>8268.6</v>
      </c>
      <c r="AY30" s="37" t="s">
        <v>460</v>
      </c>
      <c r="AZ30">
        <v>1</v>
      </c>
      <c r="BA30" s="32"/>
      <c r="BD30" s="291">
        <v>46111</v>
      </c>
      <c r="BE30" s="292">
        <v>140520</v>
      </c>
      <c r="BF30" s="292" t="s">
        <v>31</v>
      </c>
      <c r="BG30" s="292" t="s">
        <v>115</v>
      </c>
      <c r="BH30" s="292" t="s">
        <v>52</v>
      </c>
      <c r="BI30" s="292" t="s">
        <v>30</v>
      </c>
      <c r="BJ30" s="293">
        <v>1</v>
      </c>
      <c r="BK30" s="294">
        <v>1080</v>
      </c>
      <c r="BL30" s="295">
        <v>1080</v>
      </c>
      <c r="BM30" s="299">
        <v>1296</v>
      </c>
      <c r="BO30" s="37" t="s">
        <v>461</v>
      </c>
      <c r="BP30">
        <v>1</v>
      </c>
      <c r="BQ30" s="32"/>
      <c r="CH30" s="32"/>
      <c r="CK30" s="247"/>
      <c r="CL30" s="248"/>
      <c r="CM30" s="246"/>
      <c r="CN30" s="246"/>
      <c r="CO30" s="246"/>
      <c r="CP30" s="246"/>
      <c r="CQ30" s="246"/>
      <c r="CR30" s="249"/>
      <c r="CS30" s="249"/>
      <c r="CT30" s="249"/>
      <c r="CW30" s="353"/>
      <c r="CX30" s="354" t="str">
        <f ca="1">SUM(CX21:CX30)</f>
        <v/>
      </c>
      <c r="CY30" s="224"/>
      <c r="CZ30" s="111"/>
      <c r="DA30" s="111"/>
      <c r="DB30" s="311"/>
      <c r="DC30" s="312"/>
      <c r="DD30" s="312"/>
      <c r="DE30" s="312"/>
      <c r="DF30" s="312"/>
      <c r="DG30" s="312"/>
      <c r="DH30" s="313"/>
      <c r="DI30" s="314"/>
      <c r="DJ30" s="315"/>
      <c r="DK30" s="315"/>
      <c r="DM30" s="37"/>
      <c r="DO30" s="32"/>
    </row>
    <row r="31" spans="1:148" x14ac:dyDescent="0.25">
      <c r="A31" s="260" t="s">
        <v>462</v>
      </c>
      <c r="B31" s="260" t="s">
        <v>463</v>
      </c>
      <c r="C31" s="263">
        <v>1</v>
      </c>
      <c r="Q31" s="262" t="s">
        <v>464</v>
      </c>
      <c r="R31" s="263" t="s">
        <v>458</v>
      </c>
      <c r="S31" s="263">
        <v>1</v>
      </c>
      <c r="AH31" s="262" t="s">
        <v>465</v>
      </c>
      <c r="AI31" s="262" t="s">
        <v>395</v>
      </c>
      <c r="AJ31" s="263">
        <v>1</v>
      </c>
      <c r="AM31" s="273">
        <v>46078</v>
      </c>
      <c r="AN31" s="274">
        <v>138641</v>
      </c>
      <c r="AO31" s="275" t="s">
        <v>22</v>
      </c>
      <c r="AP31" s="275" t="s">
        <v>87</v>
      </c>
      <c r="AQ31" s="275" t="s">
        <v>63</v>
      </c>
      <c r="AR31" s="275" t="s">
        <v>30</v>
      </c>
      <c r="AS31" s="275">
        <v>60</v>
      </c>
      <c r="AT31" s="276">
        <v>105</v>
      </c>
      <c r="AU31" s="276">
        <v>6300</v>
      </c>
      <c r="AV31" s="276">
        <v>6300</v>
      </c>
      <c r="AY31" s="37" t="s">
        <v>466</v>
      </c>
      <c r="AZ31">
        <v>1</v>
      </c>
      <c r="BA31" s="32"/>
      <c r="BD31" s="291">
        <v>46111</v>
      </c>
      <c r="BE31" s="292">
        <v>140267</v>
      </c>
      <c r="BF31" s="292" t="s">
        <v>31</v>
      </c>
      <c r="BG31" s="292" t="s">
        <v>116</v>
      </c>
      <c r="BH31" s="292" t="s">
        <v>117</v>
      </c>
      <c r="BI31" s="292" t="s">
        <v>30</v>
      </c>
      <c r="BJ31" s="293">
        <v>32</v>
      </c>
      <c r="BK31" s="294">
        <v>14.85</v>
      </c>
      <c r="BL31" s="295">
        <v>475.2</v>
      </c>
      <c r="BM31" s="299">
        <v>570.24</v>
      </c>
      <c r="BO31" s="37" t="s">
        <v>467</v>
      </c>
      <c r="BP31">
        <v>1</v>
      </c>
      <c r="BQ31" s="32"/>
      <c r="CH31" s="32"/>
      <c r="CK31" s="247"/>
      <c r="CL31" s="248"/>
      <c r="CM31" s="246"/>
      <c r="CN31" s="246"/>
      <c r="CO31" s="246"/>
      <c r="CP31" s="246"/>
      <c r="CQ31" s="246"/>
      <c r="CR31" s="249"/>
      <c r="CS31" s="249"/>
      <c r="CT31" s="249"/>
      <c r="CW31" s="37"/>
      <c r="CY31" s="32"/>
      <c r="DB31" s="311"/>
      <c r="DC31" s="312"/>
      <c r="DD31" s="312"/>
      <c r="DE31" s="312"/>
      <c r="DF31" s="312"/>
      <c r="DG31" s="312"/>
      <c r="DH31" s="313"/>
      <c r="DI31" s="314"/>
      <c r="DJ31" s="315"/>
      <c r="DK31" s="315"/>
      <c r="DM31" s="37"/>
      <c r="DO31" s="32"/>
    </row>
    <row r="32" spans="1:148" x14ac:dyDescent="0.25">
      <c r="A32" s="260" t="s">
        <v>468</v>
      </c>
      <c r="B32" s="260" t="s">
        <v>449</v>
      </c>
      <c r="C32" s="263">
        <v>1</v>
      </c>
      <c r="Q32" s="262" t="s">
        <v>469</v>
      </c>
      <c r="R32" s="263" t="s">
        <v>458</v>
      </c>
      <c r="S32" s="263">
        <v>1</v>
      </c>
      <c r="AH32" s="262" t="s">
        <v>470</v>
      </c>
      <c r="AI32" s="262" t="s">
        <v>395</v>
      </c>
      <c r="AJ32" s="263">
        <v>1</v>
      </c>
      <c r="AM32" s="273">
        <v>46078</v>
      </c>
      <c r="AN32" s="274">
        <v>138641</v>
      </c>
      <c r="AO32" s="275" t="s">
        <v>22</v>
      </c>
      <c r="AP32" s="275" t="s">
        <v>87</v>
      </c>
      <c r="AQ32" s="275" t="s">
        <v>48</v>
      </c>
      <c r="AR32" s="275" t="s">
        <v>30</v>
      </c>
      <c r="AS32" s="275">
        <v>1</v>
      </c>
      <c r="AT32" s="276">
        <v>356.4</v>
      </c>
      <c r="AU32" s="276">
        <v>356.4</v>
      </c>
      <c r="AV32" s="276">
        <v>356.4</v>
      </c>
      <c r="AY32" s="37" t="s">
        <v>471</v>
      </c>
      <c r="AZ32">
        <v>1</v>
      </c>
      <c r="BA32" s="32"/>
      <c r="BD32" s="291">
        <v>46111</v>
      </c>
      <c r="BE32" s="292">
        <v>140084</v>
      </c>
      <c r="BF32" s="292" t="s">
        <v>31</v>
      </c>
      <c r="BG32" s="292" t="s">
        <v>118</v>
      </c>
      <c r="BH32" s="292" t="s">
        <v>35</v>
      </c>
      <c r="BI32" s="292" t="s">
        <v>35</v>
      </c>
      <c r="BJ32" s="293">
        <v>48</v>
      </c>
      <c r="BK32" s="294">
        <v>176</v>
      </c>
      <c r="BL32" s="295">
        <v>8448</v>
      </c>
      <c r="BM32" s="299">
        <v>8448</v>
      </c>
      <c r="BO32" s="37" t="s">
        <v>472</v>
      </c>
      <c r="BP32">
        <v>1</v>
      </c>
      <c r="BQ32" s="32"/>
      <c r="CH32" s="32"/>
      <c r="CK32" s="247"/>
      <c r="CL32" s="248"/>
      <c r="CM32" s="246"/>
      <c r="CN32" s="246"/>
      <c r="CO32" s="246"/>
      <c r="CP32" s="246"/>
      <c r="CQ32" s="246"/>
      <c r="CR32" s="249"/>
      <c r="CS32" s="249"/>
      <c r="CT32" s="249"/>
      <c r="CW32" s="37"/>
      <c r="CY32" s="32"/>
      <c r="DB32" s="311"/>
      <c r="DC32" s="312"/>
      <c r="DD32" s="312"/>
      <c r="DE32" s="312"/>
      <c r="DF32" s="312"/>
      <c r="DG32" s="312"/>
      <c r="DH32" s="313"/>
      <c r="DI32" s="314"/>
      <c r="DJ32" s="315"/>
      <c r="DK32" s="315"/>
      <c r="DM32" s="37"/>
      <c r="DO32" s="32"/>
    </row>
    <row r="33" spans="1:119" x14ac:dyDescent="0.25">
      <c r="A33" s="260" t="s">
        <v>473</v>
      </c>
      <c r="B33" s="260" t="s">
        <v>403</v>
      </c>
      <c r="C33" s="263">
        <v>1</v>
      </c>
      <c r="Q33" s="262" t="s">
        <v>474</v>
      </c>
      <c r="R33" s="263" t="s">
        <v>393</v>
      </c>
      <c r="S33" s="263">
        <v>1</v>
      </c>
      <c r="AH33" s="262" t="s">
        <v>475</v>
      </c>
      <c r="AI33" s="262" t="s">
        <v>458</v>
      </c>
      <c r="AJ33" s="263">
        <v>1</v>
      </c>
      <c r="AM33" s="273">
        <v>46078</v>
      </c>
      <c r="AN33" s="274">
        <v>138641</v>
      </c>
      <c r="AO33" s="275" t="s">
        <v>22</v>
      </c>
      <c r="AP33" s="275" t="s">
        <v>87</v>
      </c>
      <c r="AQ33" s="275" t="s">
        <v>52</v>
      </c>
      <c r="AR33" s="275" t="s">
        <v>30</v>
      </c>
      <c r="AS33" s="275">
        <v>1</v>
      </c>
      <c r="AT33" s="276">
        <v>1080</v>
      </c>
      <c r="AU33" s="276">
        <v>1080</v>
      </c>
      <c r="AV33" s="276">
        <v>1080</v>
      </c>
      <c r="AY33" s="37" t="s">
        <v>476</v>
      </c>
      <c r="AZ33">
        <v>1</v>
      </c>
      <c r="BA33" s="32"/>
      <c r="BD33" s="291">
        <v>46107</v>
      </c>
      <c r="BE33" s="292">
        <v>133508</v>
      </c>
      <c r="BF33" s="292" t="s">
        <v>31</v>
      </c>
      <c r="BG33" s="292" t="s">
        <v>112</v>
      </c>
      <c r="BH33" s="292" t="s">
        <v>35</v>
      </c>
      <c r="BI33" s="292" t="s">
        <v>35</v>
      </c>
      <c r="BJ33" s="293">
        <v>38.4</v>
      </c>
      <c r="BK33" s="294">
        <v>176</v>
      </c>
      <c r="BL33" s="295">
        <v>6758.4</v>
      </c>
      <c r="BM33" s="299">
        <v>6758.4</v>
      </c>
      <c r="BO33" s="37" t="s">
        <v>477</v>
      </c>
      <c r="BP33">
        <v>1</v>
      </c>
      <c r="BQ33" s="32"/>
      <c r="CH33" s="32"/>
      <c r="CK33" s="247"/>
      <c r="CL33" s="248"/>
      <c r="CM33" s="246"/>
      <c r="CN33" s="246"/>
      <c r="CO33" s="246"/>
      <c r="CP33" s="246"/>
      <c r="CQ33" s="246"/>
      <c r="CR33" s="249"/>
      <c r="CS33" s="249"/>
      <c r="CT33" s="249"/>
      <c r="CW33" s="37"/>
      <c r="CY33" s="32"/>
      <c r="DB33" s="311"/>
      <c r="DC33" s="312"/>
      <c r="DD33" s="312"/>
      <c r="DE33" s="312"/>
      <c r="DF33" s="312"/>
      <c r="DG33" s="312"/>
      <c r="DH33" s="313"/>
      <c r="DI33" s="314"/>
      <c r="DJ33" s="315"/>
      <c r="DK33" s="315"/>
      <c r="DM33" s="37"/>
      <c r="DO33" s="32"/>
    </row>
    <row r="34" spans="1:119" x14ac:dyDescent="0.25">
      <c r="A34" s="260" t="s">
        <v>478</v>
      </c>
      <c r="B34" s="260" t="s">
        <v>463</v>
      </c>
      <c r="C34" s="263">
        <v>1</v>
      </c>
      <c r="Q34" s="262" t="s">
        <v>479</v>
      </c>
      <c r="R34" s="263" t="s">
        <v>480</v>
      </c>
      <c r="S34" s="263">
        <v>1</v>
      </c>
      <c r="AH34" s="262" t="s">
        <v>481</v>
      </c>
      <c r="AI34" s="262" t="s">
        <v>395</v>
      </c>
      <c r="AJ34" s="263">
        <v>1</v>
      </c>
      <c r="AM34" s="273">
        <v>46078</v>
      </c>
      <c r="AN34" s="274">
        <v>138641</v>
      </c>
      <c r="AO34" s="275" t="s">
        <v>22</v>
      </c>
      <c r="AP34" s="275" t="s">
        <v>87</v>
      </c>
      <c r="AQ34" s="275" t="s">
        <v>54</v>
      </c>
      <c r="AR34" s="275" t="s">
        <v>30</v>
      </c>
      <c r="AS34" s="275">
        <v>5</v>
      </c>
      <c r="AT34" s="276">
        <v>142.56</v>
      </c>
      <c r="AU34" s="276">
        <v>712.8</v>
      </c>
      <c r="AV34" s="276">
        <v>712.8</v>
      </c>
      <c r="AY34" s="37" t="s">
        <v>482</v>
      </c>
      <c r="AZ34">
        <v>1</v>
      </c>
      <c r="BA34" s="32"/>
      <c r="BD34" s="296" t="s">
        <v>150</v>
      </c>
      <c r="BE34" s="297"/>
      <c r="BF34" s="297"/>
      <c r="BG34" s="297"/>
      <c r="BH34" s="297"/>
      <c r="BI34" s="297"/>
      <c r="BJ34" s="297"/>
      <c r="BK34" s="297"/>
      <c r="BL34" s="298">
        <v>75617.600000000006</v>
      </c>
      <c r="BM34" s="298">
        <v>79338.720000000001</v>
      </c>
      <c r="BO34" s="37" t="s">
        <v>483</v>
      </c>
      <c r="BP34">
        <v>1</v>
      </c>
      <c r="BQ34" s="32"/>
      <c r="CH34" s="32"/>
      <c r="CK34" s="247"/>
      <c r="CL34" s="248"/>
      <c r="CM34" s="246"/>
      <c r="CN34" s="246"/>
      <c r="CO34" s="246"/>
      <c r="CP34" s="246"/>
      <c r="CQ34" s="246"/>
      <c r="CR34" s="249"/>
      <c r="CS34" s="249"/>
      <c r="CT34" s="249"/>
      <c r="CW34" s="37"/>
      <c r="CY34" s="32"/>
      <c r="DM34" s="37"/>
      <c r="DO34" s="32"/>
    </row>
    <row r="35" spans="1:119" x14ac:dyDescent="0.25">
      <c r="A35" s="260" t="s">
        <v>80</v>
      </c>
      <c r="B35" s="260" t="s">
        <v>484</v>
      </c>
      <c r="C35" s="263">
        <v>1</v>
      </c>
      <c r="Q35" s="262" t="s">
        <v>485</v>
      </c>
      <c r="R35" s="263" t="s">
        <v>403</v>
      </c>
      <c r="S35" s="263">
        <v>1</v>
      </c>
      <c r="AH35" s="262" t="s">
        <v>390</v>
      </c>
      <c r="AI35" s="262" t="s">
        <v>395</v>
      </c>
      <c r="AJ35" s="263">
        <v>1</v>
      </c>
      <c r="AM35" s="273">
        <v>46078</v>
      </c>
      <c r="AN35" s="274">
        <v>138641</v>
      </c>
      <c r="AO35" s="275" t="s">
        <v>22</v>
      </c>
      <c r="AP35" s="275" t="s">
        <v>87</v>
      </c>
      <c r="AQ35" s="275" t="s">
        <v>83</v>
      </c>
      <c r="AR35" s="275" t="s">
        <v>30</v>
      </c>
      <c r="AS35" s="275">
        <v>1</v>
      </c>
      <c r="AT35" s="276">
        <v>689</v>
      </c>
      <c r="AU35" s="276">
        <v>689</v>
      </c>
      <c r="AV35" s="276">
        <v>689</v>
      </c>
      <c r="AY35" s="37" t="s">
        <v>486</v>
      </c>
      <c r="AZ35">
        <v>1</v>
      </c>
      <c r="BA35" s="32"/>
      <c r="BO35" s="37" t="s">
        <v>487</v>
      </c>
      <c r="BP35">
        <v>1</v>
      </c>
      <c r="BQ35" s="32"/>
      <c r="CH35" s="32"/>
      <c r="CK35" s="247"/>
      <c r="CL35" s="248"/>
      <c r="CM35" s="246"/>
      <c r="CN35" s="246"/>
      <c r="CO35" s="246"/>
      <c r="CP35" s="246"/>
      <c r="CQ35" s="246"/>
      <c r="CR35" s="249"/>
      <c r="CS35" s="249"/>
      <c r="CT35" s="249"/>
      <c r="CW35" s="37"/>
      <c r="CY35" s="32"/>
      <c r="DM35" s="37"/>
      <c r="DO35" s="32"/>
    </row>
    <row r="36" spans="1:119" x14ac:dyDescent="0.25">
      <c r="A36" s="260" t="s">
        <v>488</v>
      </c>
      <c r="B36" s="260" t="s">
        <v>463</v>
      </c>
      <c r="C36" s="263">
        <v>1</v>
      </c>
      <c r="Q36" s="262" t="s">
        <v>489</v>
      </c>
      <c r="R36" s="263" t="s">
        <v>403</v>
      </c>
      <c r="S36" s="263">
        <v>1</v>
      </c>
      <c r="AJ36" s="261">
        <f>SUM(AJ21:AJ35)</f>
        <v>15</v>
      </c>
      <c r="AM36" s="273">
        <v>46078</v>
      </c>
      <c r="AN36" s="274">
        <v>138641</v>
      </c>
      <c r="AO36" s="275" t="s">
        <v>22</v>
      </c>
      <c r="AP36" s="275" t="s">
        <v>87</v>
      </c>
      <c r="AQ36" s="275" t="s">
        <v>84</v>
      </c>
      <c r="AR36" s="275" t="s">
        <v>30</v>
      </c>
      <c r="AS36" s="275">
        <v>1</v>
      </c>
      <c r="AT36" s="276">
        <v>712</v>
      </c>
      <c r="AU36" s="276">
        <v>712</v>
      </c>
      <c r="AV36" s="276">
        <v>712</v>
      </c>
      <c r="AY36" s="37" t="s">
        <v>490</v>
      </c>
      <c r="AZ36">
        <v>1</v>
      </c>
      <c r="BA36" s="32"/>
      <c r="BO36" s="37" t="s">
        <v>491</v>
      </c>
      <c r="BP36">
        <v>1</v>
      </c>
      <c r="BQ36" s="32"/>
      <c r="CH36" s="2"/>
      <c r="CK36" s="247"/>
      <c r="CL36" s="248"/>
      <c r="CM36" s="246"/>
      <c r="CN36" s="246"/>
      <c r="CO36" s="246"/>
      <c r="CP36" s="246"/>
      <c r="CQ36" s="246"/>
      <c r="CR36" s="249"/>
      <c r="CS36" s="249"/>
      <c r="CT36" s="249"/>
      <c r="CW36" s="37"/>
      <c r="CY36" s="32"/>
      <c r="DM36" s="37"/>
      <c r="DO36" s="32"/>
    </row>
    <row r="37" spans="1:119" x14ac:dyDescent="0.25">
      <c r="A37" s="260" t="s">
        <v>492</v>
      </c>
      <c r="B37" s="260" t="s">
        <v>493</v>
      </c>
      <c r="C37" s="263">
        <v>1</v>
      </c>
      <c r="S37" s="261">
        <f>SUM(S21:S36)</f>
        <v>16</v>
      </c>
      <c r="AM37" s="273">
        <v>46078</v>
      </c>
      <c r="AN37" s="274">
        <v>138643</v>
      </c>
      <c r="AO37" s="275" t="s">
        <v>22</v>
      </c>
      <c r="AP37" s="275" t="s">
        <v>88</v>
      </c>
      <c r="AQ37" s="275" t="s">
        <v>47</v>
      </c>
      <c r="AR37" s="275" t="s">
        <v>25</v>
      </c>
      <c r="AS37" s="275">
        <v>196</v>
      </c>
      <c r="AT37" s="276">
        <v>200</v>
      </c>
      <c r="AU37" s="276">
        <v>39200</v>
      </c>
      <c r="AV37" s="276">
        <v>39200</v>
      </c>
      <c r="AY37" s="37" t="s">
        <v>494</v>
      </c>
      <c r="AZ37">
        <v>1</v>
      </c>
      <c r="BA37" s="32"/>
      <c r="BO37" s="37" t="s">
        <v>495</v>
      </c>
      <c r="BP37">
        <v>1</v>
      </c>
      <c r="BQ37" s="2"/>
      <c r="CK37" s="247"/>
      <c r="CL37" s="248"/>
      <c r="CM37" s="246"/>
      <c r="CN37" s="246"/>
      <c r="CO37" s="246"/>
      <c r="CP37" s="246"/>
      <c r="CQ37" s="246"/>
      <c r="CR37" s="249"/>
      <c r="CS37" s="249"/>
      <c r="CT37" s="249"/>
      <c r="CW37" s="37"/>
      <c r="CY37" s="32"/>
      <c r="DM37" s="37"/>
      <c r="DO37" s="2"/>
    </row>
    <row r="38" spans="1:119" x14ac:dyDescent="0.25">
      <c r="A38" s="260" t="s">
        <v>496</v>
      </c>
      <c r="B38" s="260" t="s">
        <v>497</v>
      </c>
      <c r="C38" s="263">
        <v>1</v>
      </c>
      <c r="AM38" s="273">
        <v>46078</v>
      </c>
      <c r="AN38" s="274">
        <v>138643</v>
      </c>
      <c r="AO38" s="275" t="s">
        <v>22</v>
      </c>
      <c r="AP38" s="275" t="s">
        <v>88</v>
      </c>
      <c r="AQ38" s="275" t="s">
        <v>47</v>
      </c>
      <c r="AR38" s="275" t="s">
        <v>41</v>
      </c>
      <c r="AS38" s="275">
        <v>1</v>
      </c>
      <c r="AT38" s="276">
        <v>35502.9</v>
      </c>
      <c r="AU38" s="276">
        <v>35502.9</v>
      </c>
      <c r="AV38" s="276">
        <v>35502.9</v>
      </c>
      <c r="AY38" s="37" t="s">
        <v>498</v>
      </c>
      <c r="AZ38">
        <v>1</v>
      </c>
      <c r="BA38" s="32"/>
      <c r="BP38" s="1">
        <f>SUM(BP21:BP37)</f>
        <v>18</v>
      </c>
      <c r="CK38" s="247"/>
      <c r="CL38" s="248"/>
      <c r="CM38" s="246"/>
      <c r="CN38" s="246"/>
      <c r="CO38" s="246"/>
      <c r="CP38" s="246"/>
      <c r="CQ38" s="246"/>
      <c r="CR38" s="249"/>
      <c r="CS38" s="249"/>
      <c r="CT38" s="249"/>
      <c r="CW38" s="37"/>
      <c r="CY38" s="32"/>
    </row>
    <row r="39" spans="1:119" x14ac:dyDescent="0.25">
      <c r="A39" s="260" t="s">
        <v>499</v>
      </c>
      <c r="B39" s="260" t="s">
        <v>500</v>
      </c>
      <c r="C39" s="263">
        <v>1</v>
      </c>
      <c r="AM39" s="273">
        <v>46078</v>
      </c>
      <c r="AN39" s="274">
        <v>138643</v>
      </c>
      <c r="AO39" s="275" t="s">
        <v>22</v>
      </c>
      <c r="AP39" s="275" t="s">
        <v>88</v>
      </c>
      <c r="AQ39" s="275" t="s">
        <v>47</v>
      </c>
      <c r="AR39" s="275" t="s">
        <v>30</v>
      </c>
      <c r="AS39" s="275">
        <v>14</v>
      </c>
      <c r="AT39" s="276">
        <v>275.62</v>
      </c>
      <c r="AU39" s="276">
        <v>3858.68</v>
      </c>
      <c r="AV39" s="276">
        <v>3858.68</v>
      </c>
      <c r="AY39" s="37" t="s">
        <v>501</v>
      </c>
      <c r="AZ39">
        <v>1</v>
      </c>
      <c r="BA39" s="32"/>
      <c r="CK39" s="247"/>
      <c r="CL39" s="248"/>
      <c r="CM39" s="246"/>
      <c r="CN39" s="246"/>
      <c r="CO39" s="246"/>
      <c r="CP39" s="246"/>
      <c r="CQ39" s="246"/>
      <c r="CR39" s="249"/>
      <c r="CS39" s="249"/>
      <c r="CT39" s="249"/>
      <c r="CW39" s="37"/>
      <c r="CY39" s="32"/>
    </row>
    <row r="40" spans="1:119" x14ac:dyDescent="0.25">
      <c r="A40" s="260" t="s">
        <v>502</v>
      </c>
      <c r="B40" s="260" t="s">
        <v>497</v>
      </c>
      <c r="C40" s="263">
        <v>1</v>
      </c>
      <c r="AM40" s="273">
        <v>46078</v>
      </c>
      <c r="AN40" s="274">
        <v>138643</v>
      </c>
      <c r="AO40" s="275" t="s">
        <v>22</v>
      </c>
      <c r="AP40" s="275" t="s">
        <v>88</v>
      </c>
      <c r="AQ40" s="275" t="s">
        <v>63</v>
      </c>
      <c r="AR40" s="275" t="s">
        <v>30</v>
      </c>
      <c r="AS40" s="275">
        <v>48</v>
      </c>
      <c r="AT40" s="276">
        <v>115</v>
      </c>
      <c r="AU40" s="276">
        <v>5520</v>
      </c>
      <c r="AV40" s="276">
        <v>5520</v>
      </c>
      <c r="AY40" s="37" t="s">
        <v>503</v>
      </c>
      <c r="AZ40">
        <v>1</v>
      </c>
      <c r="BA40" s="32"/>
      <c r="CK40" s="247"/>
      <c r="CL40" s="248"/>
      <c r="CM40" s="246"/>
      <c r="CN40" s="246"/>
      <c r="CO40" s="246"/>
      <c r="CP40" s="246"/>
      <c r="CQ40" s="246"/>
      <c r="CR40" s="249"/>
      <c r="CS40" s="249"/>
      <c r="CT40" s="249"/>
      <c r="CW40" s="37"/>
      <c r="CY40" s="32"/>
    </row>
    <row r="41" spans="1:119" x14ac:dyDescent="0.25">
      <c r="A41" s="260" t="s">
        <v>504</v>
      </c>
      <c r="B41" s="260" t="s">
        <v>497</v>
      </c>
      <c r="C41" s="263">
        <v>1</v>
      </c>
      <c r="AM41" s="273">
        <v>46078</v>
      </c>
      <c r="AN41" s="274">
        <v>138643</v>
      </c>
      <c r="AO41" s="275" t="s">
        <v>22</v>
      </c>
      <c r="AP41" s="275" t="s">
        <v>88</v>
      </c>
      <c r="AQ41" s="275" t="s">
        <v>89</v>
      </c>
      <c r="AR41" s="275" t="s">
        <v>30</v>
      </c>
      <c r="AS41" s="275">
        <v>1</v>
      </c>
      <c r="AT41" s="276">
        <v>356.4</v>
      </c>
      <c r="AU41" s="276">
        <v>356.4</v>
      </c>
      <c r="AV41" s="276">
        <v>356.4</v>
      </c>
      <c r="AY41" s="37" t="s">
        <v>505</v>
      </c>
      <c r="AZ41">
        <v>1</v>
      </c>
      <c r="BA41" s="32"/>
      <c r="CK41" s="247"/>
      <c r="CL41" s="248"/>
      <c r="CM41" s="246"/>
      <c r="CN41" s="246"/>
      <c r="CO41" s="246"/>
      <c r="CP41" s="246"/>
      <c r="CQ41" s="246"/>
      <c r="CR41" s="249"/>
      <c r="CS41" s="249"/>
      <c r="CT41" s="249"/>
      <c r="CW41" s="37"/>
      <c r="CY41" s="32"/>
    </row>
    <row r="42" spans="1:119" x14ac:dyDescent="0.25">
      <c r="A42" s="260" t="s">
        <v>506</v>
      </c>
      <c r="B42" s="260" t="s">
        <v>507</v>
      </c>
      <c r="C42" s="263">
        <v>1</v>
      </c>
      <c r="AM42" s="273">
        <v>46078</v>
      </c>
      <c r="AN42" s="274">
        <v>138643</v>
      </c>
      <c r="AO42" s="275" t="s">
        <v>22</v>
      </c>
      <c r="AP42" s="275" t="s">
        <v>88</v>
      </c>
      <c r="AQ42" s="275" t="s">
        <v>52</v>
      </c>
      <c r="AR42" s="275" t="s">
        <v>30</v>
      </c>
      <c r="AS42" s="275">
        <v>1</v>
      </c>
      <c r="AT42" s="276">
        <v>1080</v>
      </c>
      <c r="AU42" s="276">
        <v>1080</v>
      </c>
      <c r="AV42" s="276">
        <v>1080</v>
      </c>
      <c r="AZ42" s="1">
        <f>SUM(AZ21:AZ41)</f>
        <v>21</v>
      </c>
      <c r="BA42" s="32"/>
      <c r="CK42" s="247"/>
      <c r="CL42" s="248"/>
      <c r="CM42" s="246"/>
      <c r="CN42" s="246"/>
      <c r="CO42" s="246"/>
      <c r="CP42" s="246"/>
      <c r="CQ42" s="246"/>
      <c r="CR42" s="249"/>
      <c r="CS42" s="249"/>
      <c r="CT42" s="249"/>
      <c r="CY42" s="32"/>
    </row>
    <row r="43" spans="1:119" x14ac:dyDescent="0.25">
      <c r="A43" s="260" t="s">
        <v>255</v>
      </c>
      <c r="B43" s="260" t="s">
        <v>393</v>
      </c>
      <c r="C43" s="263">
        <v>1</v>
      </c>
      <c r="AM43" s="273">
        <v>46078</v>
      </c>
      <c r="AN43" s="274">
        <v>138643</v>
      </c>
      <c r="AO43" s="275" t="s">
        <v>22</v>
      </c>
      <c r="AP43" s="275" t="s">
        <v>88</v>
      </c>
      <c r="AQ43" s="275" t="s">
        <v>83</v>
      </c>
      <c r="AR43" s="275" t="s">
        <v>30</v>
      </c>
      <c r="AS43" s="275">
        <v>1</v>
      </c>
      <c r="AT43" s="276">
        <v>689</v>
      </c>
      <c r="AU43" s="276">
        <v>689</v>
      </c>
      <c r="AV43" s="276">
        <v>689</v>
      </c>
      <c r="BA43" s="32"/>
      <c r="CK43" s="247"/>
      <c r="CL43" s="248"/>
      <c r="CM43" s="246"/>
      <c r="CN43" s="246"/>
      <c r="CO43" s="246"/>
      <c r="CP43" s="246"/>
      <c r="CQ43" s="246"/>
      <c r="CR43" s="249"/>
      <c r="CS43" s="249"/>
      <c r="CT43" s="249"/>
    </row>
    <row r="44" spans="1:119" ht="15" customHeight="1" thickBot="1" x14ac:dyDescent="0.3">
      <c r="A44" s="260" t="s">
        <v>508</v>
      </c>
      <c r="B44" s="260" t="s">
        <v>401</v>
      </c>
      <c r="C44" s="263">
        <v>1</v>
      </c>
      <c r="AM44" s="273">
        <v>46078</v>
      </c>
      <c r="AN44" s="274">
        <v>138643</v>
      </c>
      <c r="AO44" s="275" t="s">
        <v>22</v>
      </c>
      <c r="AP44" s="275" t="s">
        <v>88</v>
      </c>
      <c r="AQ44" s="275" t="s">
        <v>84</v>
      </c>
      <c r="AR44" s="275" t="s">
        <v>30</v>
      </c>
      <c r="AS44" s="275">
        <v>1</v>
      </c>
      <c r="AT44" s="276">
        <v>712</v>
      </c>
      <c r="AU44" s="276">
        <v>712</v>
      </c>
      <c r="AV44" s="276">
        <v>712</v>
      </c>
      <c r="BA44" s="32"/>
      <c r="CK44" s="247"/>
      <c r="CL44" s="248"/>
      <c r="CM44" s="246"/>
      <c r="CN44" s="246"/>
      <c r="CO44" s="246"/>
      <c r="CP44" s="246"/>
      <c r="CQ44" s="246"/>
      <c r="CR44" s="249"/>
      <c r="CS44" s="249"/>
      <c r="CT44" s="249"/>
    </row>
    <row r="45" spans="1:119" ht="15" customHeight="1" thickTop="1" x14ac:dyDescent="0.25">
      <c r="A45" s="260" t="s">
        <v>509</v>
      </c>
      <c r="B45" s="260" t="s">
        <v>401</v>
      </c>
      <c r="C45" s="263">
        <v>1</v>
      </c>
      <c r="AM45" s="277" t="s">
        <v>150</v>
      </c>
      <c r="AN45" s="278"/>
      <c r="AO45" s="279"/>
      <c r="AP45" s="279"/>
      <c r="AQ45" s="279"/>
      <c r="AR45" s="279"/>
      <c r="AS45" s="279"/>
      <c r="AT45" s="279"/>
      <c r="AU45" s="280">
        <v>422265.67</v>
      </c>
      <c r="AV45" s="280">
        <v>422336.95</v>
      </c>
      <c r="BA45" s="32"/>
      <c r="CK45" s="305"/>
      <c r="CL45" s="306"/>
      <c r="CM45" s="305"/>
      <c r="CN45" s="305"/>
      <c r="CO45" s="305"/>
      <c r="CP45" s="305"/>
      <c r="CQ45" s="305"/>
      <c r="CR45" s="305"/>
      <c r="CS45" s="307"/>
      <c r="CT45" s="307"/>
    </row>
    <row r="46" spans="1:119" x14ac:dyDescent="0.25">
      <c r="A46" s="260" t="s">
        <v>510</v>
      </c>
      <c r="B46" s="260" t="s">
        <v>511</v>
      </c>
      <c r="C46" s="263">
        <v>1</v>
      </c>
      <c r="BA46" s="32"/>
    </row>
    <row r="47" spans="1:119" x14ac:dyDescent="0.25">
      <c r="C47" s="261">
        <f>SUM(C21:C46)</f>
        <v>26</v>
      </c>
      <c r="BA47" s="2"/>
    </row>
  </sheetData>
  <mergeCells count="3">
    <mergeCell ref="A5:D5"/>
    <mergeCell ref="AY5:BB5"/>
    <mergeCell ref="CW5:CZ5"/>
  </mergeCells>
  <conditionalFormatting sqref="A13:C13">
    <cfRule type="cellIs" dxfId="17" priority="9" operator="notEqual">
      <formula>"NÃO CUMPRIU A META INDIVIDUAL"</formula>
    </cfRule>
    <cfRule type="containsText" dxfId="16" priority="10" operator="containsText" text="NÃO CUMPRIU">
      <formula>NOT(ISERROR(SEARCH("NÃO CUMPRIU",A13)))</formula>
    </cfRule>
  </conditionalFormatting>
  <conditionalFormatting sqref="AY13:BA13">
    <cfRule type="cellIs" dxfId="15" priority="3" operator="notEqual">
      <formula>"NÃO CUMPRIU A META INDIVIDUAL"</formula>
    </cfRule>
    <cfRule type="containsText" dxfId="14" priority="4" operator="containsText" text="NÃO CUMPRIU">
      <formula>NOT(ISERROR(SEARCH("NÃO CUMPRIU",AY13)))</formula>
    </cfRule>
  </conditionalFormatting>
  <conditionalFormatting sqref="CW13:CY13">
    <cfRule type="cellIs" dxfId="13" priority="1" operator="notEqual">
      <formula>"NÃO CUMPRIU A META INDIVIDUAL"</formula>
    </cfRule>
    <cfRule type="containsText" dxfId="12" priority="2" operator="containsText" text="NÃO CUMPRIU">
      <formula>NOT(ISERROR(SEARCH("NÃO CUMPRIU",CW13)))</formula>
    </cfRule>
  </conditionalFormatting>
  <pageMargins left="0.511811024" right="0.511811024" top="0.78740157499999996" bottom="0.78740157499999996" header="0.31496062000000002" footer="0.31496062000000002"/>
  <pageSetup paperSize="9" scale="64"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U121"/>
  <sheetViews>
    <sheetView showGridLines="0" topLeftCell="A96" workbookViewId="0">
      <selection activeCell="D130" sqref="D130"/>
    </sheetView>
  </sheetViews>
  <sheetFormatPr defaultColWidth="9.140625" defaultRowHeight="12.75" x14ac:dyDescent="0.2"/>
  <cols>
    <col min="1" max="1" width="10.42578125" style="246" bestFit="1" customWidth="1"/>
    <col min="2" max="2" width="14.42578125" style="248" bestFit="1" customWidth="1"/>
    <col min="3" max="3" width="32.42578125" style="246" bestFit="1" customWidth="1"/>
    <col min="4" max="4" width="15.85546875" style="246" bestFit="1" customWidth="1"/>
    <col min="5" max="5" width="19.5703125" style="246" bestFit="1" customWidth="1"/>
    <col min="6" max="6" width="24.5703125" style="246" bestFit="1" customWidth="1"/>
    <col min="7" max="7" width="11.85546875" style="246" bestFit="1" customWidth="1"/>
    <col min="8" max="8" width="12.42578125" style="246" bestFit="1" customWidth="1"/>
    <col min="9" max="10" width="13.5703125" style="246" bestFit="1" customWidth="1"/>
    <col min="11" max="11" width="16.42578125" style="246" bestFit="1" customWidth="1"/>
    <col min="12" max="12" width="20.42578125" style="246" bestFit="1" customWidth="1"/>
    <col min="13" max="13" width="14.140625" style="246" bestFit="1" customWidth="1"/>
    <col min="14" max="15" width="19" style="246" bestFit="1" customWidth="1"/>
    <col min="16" max="16" width="9.7109375" style="246" bestFit="1" customWidth="1"/>
    <col min="17" max="17" width="22.5703125" style="246" bestFit="1" customWidth="1"/>
    <col min="18" max="18" width="6.28515625" style="246" customWidth="1"/>
    <col min="19" max="19" width="9.5703125" style="246" bestFit="1" customWidth="1"/>
    <col min="20" max="20" width="10.28515625" style="246" bestFit="1" customWidth="1"/>
    <col min="21" max="21" width="18.42578125" style="246" bestFit="1" customWidth="1"/>
    <col min="22" max="22" width="9.140625" style="246" customWidth="1"/>
    <col min="23" max="16384" width="9.140625" style="246"/>
  </cols>
  <sheetData>
    <row r="1" spans="1:21" x14ac:dyDescent="0.2">
      <c r="A1" s="246" t="s">
        <v>0</v>
      </c>
      <c r="B1" s="248" t="s">
        <v>1</v>
      </c>
      <c r="C1" s="246" t="s">
        <v>2</v>
      </c>
      <c r="D1" s="246" t="s">
        <v>3</v>
      </c>
      <c r="E1" s="246" t="s">
        <v>4</v>
      </c>
      <c r="F1" s="246" t="s">
        <v>5</v>
      </c>
      <c r="G1" s="246" t="s">
        <v>6</v>
      </c>
      <c r="H1" s="246" t="s">
        <v>7</v>
      </c>
      <c r="I1" s="246" t="s">
        <v>8</v>
      </c>
      <c r="J1" s="246" t="s">
        <v>9</v>
      </c>
      <c r="K1" s="246" t="s">
        <v>10</v>
      </c>
      <c r="L1" s="246" t="s">
        <v>11</v>
      </c>
      <c r="M1" s="246" t="s">
        <v>12</v>
      </c>
      <c r="N1" s="246" t="s">
        <v>13</v>
      </c>
      <c r="O1" s="246" t="s">
        <v>14</v>
      </c>
      <c r="P1" s="246" t="s">
        <v>15</v>
      </c>
      <c r="Q1" s="246" t="s">
        <v>16</v>
      </c>
      <c r="R1" s="246" t="s">
        <v>17</v>
      </c>
      <c r="S1" s="246" t="s">
        <v>18</v>
      </c>
      <c r="T1" s="246" t="s">
        <v>20</v>
      </c>
      <c r="U1" s="246" t="s">
        <v>21</v>
      </c>
    </row>
    <row r="2" spans="1:21" x14ac:dyDescent="0.2">
      <c r="A2" s="247">
        <v>46055</v>
      </c>
      <c r="B2" s="248">
        <v>130904</v>
      </c>
      <c r="C2" s="246" t="s">
        <v>44</v>
      </c>
      <c r="D2" s="246" t="s">
        <v>68</v>
      </c>
      <c r="E2" s="246" t="s">
        <v>69</v>
      </c>
      <c r="F2" s="246" t="s">
        <v>41</v>
      </c>
      <c r="G2" s="246">
        <v>1</v>
      </c>
      <c r="H2" s="249">
        <v>22270</v>
      </c>
      <c r="I2" s="249">
        <v>22270</v>
      </c>
      <c r="J2" s="249">
        <v>22270</v>
      </c>
      <c r="K2" s="250">
        <v>7.0000000000000007E-2</v>
      </c>
      <c r="L2" s="250">
        <v>1.7500000000000002E-2</v>
      </c>
      <c r="M2" s="246" t="s">
        <v>46</v>
      </c>
      <c r="N2" s="249">
        <v>1558.9</v>
      </c>
      <c r="O2" s="249">
        <v>389.72500000000002</v>
      </c>
      <c r="P2" s="246" t="s">
        <v>27</v>
      </c>
      <c r="Q2" s="246" t="s">
        <v>27</v>
      </c>
      <c r="S2" s="246">
        <v>10</v>
      </c>
      <c r="T2" s="246" t="s">
        <v>28</v>
      </c>
      <c r="U2" s="246" t="s">
        <v>44</v>
      </c>
    </row>
    <row r="3" spans="1:21" x14ac:dyDescent="0.2">
      <c r="A3" s="247">
        <v>46055</v>
      </c>
      <c r="B3" s="248">
        <v>130904</v>
      </c>
      <c r="C3" s="246" t="s">
        <v>44</v>
      </c>
      <c r="D3" s="246" t="s">
        <v>68</v>
      </c>
      <c r="E3" s="246" t="s">
        <v>69</v>
      </c>
      <c r="F3" s="246" t="s">
        <v>30</v>
      </c>
      <c r="G3" s="246">
        <v>1</v>
      </c>
      <c r="H3" s="249">
        <v>3000</v>
      </c>
      <c r="I3" s="249">
        <v>3000</v>
      </c>
      <c r="J3" s="249">
        <v>3600</v>
      </c>
      <c r="K3" s="250">
        <v>1</v>
      </c>
      <c r="L3" s="250">
        <v>0.25</v>
      </c>
      <c r="M3" s="246" t="s">
        <v>46</v>
      </c>
      <c r="N3" s="249">
        <v>3000</v>
      </c>
      <c r="O3" s="249">
        <v>750</v>
      </c>
      <c r="P3" s="246" t="s">
        <v>27</v>
      </c>
      <c r="Q3" s="246" t="s">
        <v>27</v>
      </c>
      <c r="S3" s="246">
        <v>1</v>
      </c>
      <c r="T3" s="246" t="s">
        <v>28</v>
      </c>
      <c r="U3" s="246" t="s">
        <v>44</v>
      </c>
    </row>
    <row r="4" spans="1:21" x14ac:dyDescent="0.2">
      <c r="A4" s="247">
        <v>46055</v>
      </c>
      <c r="B4" s="248">
        <v>128860</v>
      </c>
      <c r="C4" s="246" t="s">
        <v>22</v>
      </c>
      <c r="D4" s="246" t="s">
        <v>70</v>
      </c>
      <c r="E4" s="246" t="s">
        <v>24</v>
      </c>
      <c r="F4" s="246" t="s">
        <v>25</v>
      </c>
      <c r="G4" s="246">
        <v>110</v>
      </c>
      <c r="H4" s="249">
        <v>185</v>
      </c>
      <c r="I4" s="249">
        <v>20350</v>
      </c>
      <c r="J4" s="249">
        <v>20350</v>
      </c>
      <c r="K4" s="250">
        <v>7.0000000000000007E-2</v>
      </c>
      <c r="L4" s="250">
        <v>0</v>
      </c>
      <c r="M4" s="246" t="s">
        <v>46</v>
      </c>
      <c r="N4" s="249">
        <v>1424.5</v>
      </c>
      <c r="O4" s="249">
        <v>0</v>
      </c>
      <c r="P4" s="246" t="s">
        <v>36</v>
      </c>
      <c r="Q4" s="246" t="s">
        <v>37</v>
      </c>
      <c r="S4" s="246">
        <v>6</v>
      </c>
      <c r="T4" s="246" t="s">
        <v>38</v>
      </c>
      <c r="U4" s="246" t="s">
        <v>22</v>
      </c>
    </row>
    <row r="5" spans="1:21" x14ac:dyDescent="0.2">
      <c r="A5" s="247">
        <v>46055</v>
      </c>
      <c r="B5" s="248">
        <v>128860</v>
      </c>
      <c r="C5" s="246" t="s">
        <v>22</v>
      </c>
      <c r="D5" s="246" t="s">
        <v>70</v>
      </c>
      <c r="E5" s="246" t="s">
        <v>63</v>
      </c>
      <c r="F5" s="246" t="s">
        <v>30</v>
      </c>
      <c r="G5" s="246">
        <v>15</v>
      </c>
      <c r="H5" s="249">
        <v>87</v>
      </c>
      <c r="I5" s="249">
        <v>1305</v>
      </c>
      <c r="J5" s="249">
        <v>1305</v>
      </c>
      <c r="K5" s="250">
        <v>1</v>
      </c>
      <c r="L5" s="250">
        <v>0</v>
      </c>
      <c r="M5" s="246" t="s">
        <v>46</v>
      </c>
      <c r="N5" s="249">
        <v>1305</v>
      </c>
      <c r="O5" s="249">
        <v>0</v>
      </c>
      <c r="P5" s="246" t="s">
        <v>36</v>
      </c>
      <c r="Q5" s="246" t="s">
        <v>37</v>
      </c>
      <c r="S5" s="246">
        <v>1</v>
      </c>
      <c r="T5" s="246" t="s">
        <v>38</v>
      </c>
      <c r="U5" s="246" t="s">
        <v>22</v>
      </c>
    </row>
    <row r="6" spans="1:21" x14ac:dyDescent="0.2">
      <c r="A6" s="247">
        <v>46055</v>
      </c>
      <c r="B6" s="248">
        <v>128860</v>
      </c>
      <c r="C6" s="246" t="s">
        <v>22</v>
      </c>
      <c r="D6" s="246" t="s">
        <v>70</v>
      </c>
      <c r="E6" s="246" t="s">
        <v>71</v>
      </c>
      <c r="F6" s="246" t="s">
        <v>30</v>
      </c>
      <c r="G6" s="246">
        <v>10</v>
      </c>
      <c r="H6" s="249">
        <v>43.5</v>
      </c>
      <c r="I6" s="249">
        <v>435</v>
      </c>
      <c r="J6" s="249">
        <v>435</v>
      </c>
      <c r="K6" s="250">
        <v>1</v>
      </c>
      <c r="L6" s="250">
        <v>0</v>
      </c>
      <c r="M6" s="246" t="s">
        <v>46</v>
      </c>
      <c r="N6" s="249">
        <v>435</v>
      </c>
      <c r="O6" s="249">
        <v>0</v>
      </c>
      <c r="P6" s="246" t="s">
        <v>36</v>
      </c>
      <c r="Q6" s="246" t="s">
        <v>37</v>
      </c>
      <c r="S6" s="246">
        <v>1</v>
      </c>
      <c r="T6" s="246" t="s">
        <v>38</v>
      </c>
      <c r="U6" s="246" t="s">
        <v>22</v>
      </c>
    </row>
    <row r="7" spans="1:21" x14ac:dyDescent="0.2">
      <c r="A7" s="247">
        <v>46059</v>
      </c>
      <c r="B7" s="248">
        <v>137190</v>
      </c>
      <c r="C7" s="246" t="s">
        <v>44</v>
      </c>
      <c r="D7" s="246" t="s">
        <v>72</v>
      </c>
      <c r="E7" s="246" t="s">
        <v>47</v>
      </c>
      <c r="F7" s="246" t="s">
        <v>25</v>
      </c>
      <c r="G7" s="246">
        <v>290</v>
      </c>
      <c r="H7" s="249">
        <v>200</v>
      </c>
      <c r="I7" s="249">
        <v>58000</v>
      </c>
      <c r="J7" s="249">
        <v>58000</v>
      </c>
      <c r="K7" s="250">
        <v>0.05</v>
      </c>
      <c r="L7" s="250">
        <v>1.2500000000000001E-2</v>
      </c>
      <c r="M7" s="246" t="s">
        <v>46</v>
      </c>
      <c r="N7" s="249">
        <v>2900</v>
      </c>
      <c r="O7" s="249">
        <v>725</v>
      </c>
      <c r="P7" s="246" t="s">
        <v>27</v>
      </c>
      <c r="Q7" s="246" t="s">
        <v>27</v>
      </c>
      <c r="S7" s="246">
        <v>12</v>
      </c>
      <c r="T7" s="246" t="s">
        <v>28</v>
      </c>
      <c r="U7" s="246" t="s">
        <v>44</v>
      </c>
    </row>
    <row r="8" spans="1:21" x14ac:dyDescent="0.2">
      <c r="A8" s="247">
        <v>46059</v>
      </c>
      <c r="B8" s="248">
        <v>137370</v>
      </c>
      <c r="C8" s="246" t="s">
        <v>44</v>
      </c>
      <c r="D8" s="246" t="s">
        <v>72</v>
      </c>
      <c r="E8" s="246" t="s">
        <v>47</v>
      </c>
      <c r="F8" s="246" t="s">
        <v>30</v>
      </c>
      <c r="G8" s="246">
        <v>20</v>
      </c>
      <c r="H8" s="249">
        <v>255</v>
      </c>
      <c r="I8" s="249">
        <v>5100</v>
      </c>
      <c r="J8" s="249">
        <v>5100</v>
      </c>
      <c r="K8" s="250">
        <v>1</v>
      </c>
      <c r="L8" s="250">
        <v>0.25</v>
      </c>
      <c r="M8" s="246" t="s">
        <v>46</v>
      </c>
      <c r="N8" s="249">
        <v>5100</v>
      </c>
      <c r="O8" s="249">
        <v>1275</v>
      </c>
      <c r="P8" s="246" t="s">
        <v>27</v>
      </c>
      <c r="Q8" s="246" t="s">
        <v>27</v>
      </c>
      <c r="S8" s="246">
        <v>1</v>
      </c>
      <c r="T8" s="246" t="s">
        <v>28</v>
      </c>
      <c r="U8" s="246" t="s">
        <v>44</v>
      </c>
    </row>
    <row r="9" spans="1:21" x14ac:dyDescent="0.2">
      <c r="A9" s="247">
        <v>46059</v>
      </c>
      <c r="B9" s="248">
        <v>137370</v>
      </c>
      <c r="C9" s="246" t="s">
        <v>44</v>
      </c>
      <c r="D9" s="246" t="s">
        <v>72</v>
      </c>
      <c r="E9" s="246" t="s">
        <v>63</v>
      </c>
      <c r="F9" s="246" t="s">
        <v>30</v>
      </c>
      <c r="G9" s="246">
        <v>20</v>
      </c>
      <c r="H9" s="249">
        <v>90</v>
      </c>
      <c r="I9" s="249">
        <v>1800</v>
      </c>
      <c r="J9" s="249">
        <v>1800</v>
      </c>
      <c r="K9" s="250">
        <v>1</v>
      </c>
      <c r="L9" s="250">
        <v>0.25</v>
      </c>
      <c r="M9" s="246" t="s">
        <v>46</v>
      </c>
      <c r="N9" s="249">
        <v>1800</v>
      </c>
      <c r="O9" s="249">
        <v>450</v>
      </c>
      <c r="P9" s="246" t="s">
        <v>27</v>
      </c>
      <c r="Q9" s="246" t="s">
        <v>27</v>
      </c>
      <c r="S9" s="246">
        <v>1</v>
      </c>
      <c r="T9" s="246" t="s">
        <v>28</v>
      </c>
      <c r="U9" s="246" t="s">
        <v>44</v>
      </c>
    </row>
    <row r="10" spans="1:21" x14ac:dyDescent="0.2">
      <c r="A10" s="247">
        <v>46059</v>
      </c>
      <c r="B10" s="248">
        <v>137370</v>
      </c>
      <c r="C10" s="246" t="s">
        <v>44</v>
      </c>
      <c r="D10" s="246" t="s">
        <v>72</v>
      </c>
      <c r="E10" s="246" t="s">
        <v>48</v>
      </c>
      <c r="F10" s="246" t="s">
        <v>30</v>
      </c>
      <c r="G10" s="246">
        <v>1</v>
      </c>
      <c r="H10" s="249">
        <v>330</v>
      </c>
      <c r="I10" s="249">
        <v>330</v>
      </c>
      <c r="J10" s="249">
        <v>330</v>
      </c>
      <c r="K10" s="250">
        <v>1</v>
      </c>
      <c r="L10" s="250">
        <v>0.25</v>
      </c>
      <c r="M10" s="246" t="s">
        <v>46</v>
      </c>
      <c r="N10" s="249">
        <v>330</v>
      </c>
      <c r="O10" s="249">
        <v>82.5</v>
      </c>
      <c r="P10" s="246" t="s">
        <v>27</v>
      </c>
      <c r="Q10" s="246" t="s">
        <v>27</v>
      </c>
      <c r="S10" s="246">
        <v>1</v>
      </c>
      <c r="T10" s="246" t="s">
        <v>28</v>
      </c>
      <c r="U10" s="246" t="s">
        <v>44</v>
      </c>
    </row>
    <row r="11" spans="1:21" x14ac:dyDescent="0.2">
      <c r="A11" s="247">
        <v>46059</v>
      </c>
      <c r="B11" s="248">
        <v>137739</v>
      </c>
      <c r="C11" s="246" t="s">
        <v>31</v>
      </c>
      <c r="D11" s="246" t="s">
        <v>73</v>
      </c>
      <c r="E11" s="246" t="s">
        <v>52</v>
      </c>
      <c r="F11" s="246" t="s">
        <v>41</v>
      </c>
      <c r="G11" s="246">
        <v>1</v>
      </c>
      <c r="H11" s="249">
        <v>8100</v>
      </c>
      <c r="I11" s="249">
        <v>8100</v>
      </c>
      <c r="J11" s="249">
        <v>9720</v>
      </c>
      <c r="K11" s="250">
        <v>0.25</v>
      </c>
      <c r="L11" s="250">
        <v>6.25E-2</v>
      </c>
      <c r="M11" s="246" t="s">
        <v>26</v>
      </c>
      <c r="N11" s="249">
        <v>2025</v>
      </c>
      <c r="O11" s="249">
        <v>506.25</v>
      </c>
      <c r="P11" s="246" t="s">
        <v>27</v>
      </c>
      <c r="Q11" s="246" t="s">
        <v>27</v>
      </c>
      <c r="S11" s="246">
        <v>6</v>
      </c>
      <c r="T11" s="246" t="s">
        <v>28</v>
      </c>
      <c r="U11" s="246" t="s">
        <v>31</v>
      </c>
    </row>
    <row r="12" spans="1:21" x14ac:dyDescent="0.2">
      <c r="A12" s="247">
        <v>46059</v>
      </c>
      <c r="B12" s="248">
        <v>137739</v>
      </c>
      <c r="C12" s="246" t="s">
        <v>31</v>
      </c>
      <c r="D12" s="246" t="s">
        <v>73</v>
      </c>
      <c r="E12" s="246" t="s">
        <v>52</v>
      </c>
      <c r="F12" s="246" t="s">
        <v>30</v>
      </c>
      <c r="G12" s="246">
        <v>1</v>
      </c>
      <c r="H12" s="249">
        <v>1080</v>
      </c>
      <c r="I12" s="249">
        <v>1080</v>
      </c>
      <c r="J12" s="249">
        <v>1296</v>
      </c>
      <c r="K12" s="250">
        <v>1</v>
      </c>
      <c r="L12" s="250">
        <v>0.25</v>
      </c>
      <c r="M12" s="246" t="s">
        <v>26</v>
      </c>
      <c r="N12" s="249">
        <v>1080</v>
      </c>
      <c r="O12" s="249">
        <v>270</v>
      </c>
      <c r="P12" s="246" t="s">
        <v>27</v>
      </c>
      <c r="Q12" s="246" t="s">
        <v>27</v>
      </c>
      <c r="S12" s="246">
        <v>1</v>
      </c>
      <c r="T12" s="246" t="s">
        <v>28</v>
      </c>
      <c r="U12" s="246" t="s">
        <v>31</v>
      </c>
    </row>
    <row r="13" spans="1:21" x14ac:dyDescent="0.2">
      <c r="A13" s="247">
        <v>46059</v>
      </c>
      <c r="B13" s="248">
        <v>137720</v>
      </c>
      <c r="C13" s="246" t="s">
        <v>31</v>
      </c>
      <c r="D13" s="246" t="s">
        <v>74</v>
      </c>
      <c r="E13" s="246" t="s">
        <v>63</v>
      </c>
      <c r="F13" s="246" t="s">
        <v>30</v>
      </c>
      <c r="G13" s="246">
        <v>5</v>
      </c>
      <c r="H13" s="249">
        <v>115</v>
      </c>
      <c r="I13" s="249">
        <v>575</v>
      </c>
      <c r="J13" s="249">
        <v>690</v>
      </c>
      <c r="K13" s="250">
        <v>1</v>
      </c>
      <c r="L13" s="250">
        <v>0.25</v>
      </c>
      <c r="M13" s="246" t="s">
        <v>26</v>
      </c>
      <c r="N13" s="249">
        <v>575</v>
      </c>
      <c r="O13" s="249">
        <v>143.75</v>
      </c>
      <c r="P13" s="246" t="s">
        <v>27</v>
      </c>
      <c r="Q13" s="246" t="s">
        <v>27</v>
      </c>
      <c r="S13" s="246">
        <v>1</v>
      </c>
      <c r="T13" s="246" t="s">
        <v>28</v>
      </c>
      <c r="U13" s="246" t="s">
        <v>31</v>
      </c>
    </row>
    <row r="14" spans="1:21" x14ac:dyDescent="0.2">
      <c r="A14" s="247">
        <v>46059</v>
      </c>
      <c r="B14" s="248">
        <v>137481</v>
      </c>
      <c r="C14" s="246" t="s">
        <v>31</v>
      </c>
      <c r="D14" s="246" t="s">
        <v>75</v>
      </c>
      <c r="E14" s="246" t="s">
        <v>24</v>
      </c>
      <c r="F14" s="246" t="s">
        <v>25</v>
      </c>
      <c r="G14" s="246">
        <v>8</v>
      </c>
      <c r="H14" s="249">
        <v>189</v>
      </c>
      <c r="I14" s="249">
        <v>1512</v>
      </c>
      <c r="J14" s="249">
        <v>1814.4</v>
      </c>
      <c r="K14" s="250">
        <v>7.0000000000000007E-2</v>
      </c>
      <c r="L14" s="250">
        <v>1.7500000000000002E-2</v>
      </c>
      <c r="M14" s="246" t="s">
        <v>26</v>
      </c>
      <c r="N14" s="249">
        <v>105.84</v>
      </c>
      <c r="O14" s="249">
        <v>26.46</v>
      </c>
      <c r="P14" s="246" t="s">
        <v>36</v>
      </c>
      <c r="Q14" s="246" t="s">
        <v>37</v>
      </c>
      <c r="S14" s="246">
        <v>4</v>
      </c>
      <c r="T14" s="246" t="s">
        <v>38</v>
      </c>
      <c r="U14" s="246" t="s">
        <v>31</v>
      </c>
    </row>
    <row r="15" spans="1:21" x14ac:dyDescent="0.2">
      <c r="A15" s="247">
        <v>46065</v>
      </c>
      <c r="B15" s="248">
        <v>138938</v>
      </c>
      <c r="C15" s="246" t="s">
        <v>44</v>
      </c>
      <c r="D15" s="246" t="s">
        <v>76</v>
      </c>
      <c r="E15" s="246" t="s">
        <v>63</v>
      </c>
      <c r="F15" s="246" t="s">
        <v>25</v>
      </c>
      <c r="G15" s="246">
        <v>80</v>
      </c>
      <c r="H15" s="249">
        <v>212</v>
      </c>
      <c r="I15" s="249">
        <v>16960</v>
      </c>
      <c r="J15" s="249">
        <v>16960</v>
      </c>
      <c r="K15" s="250">
        <v>7.0000000000000007E-2</v>
      </c>
      <c r="L15" s="250">
        <v>1.7500000000000002E-2</v>
      </c>
      <c r="M15" s="246" t="s">
        <v>46</v>
      </c>
      <c r="N15" s="249">
        <v>1187.2</v>
      </c>
      <c r="O15" s="249">
        <v>296.8</v>
      </c>
      <c r="P15" s="246" t="s">
        <v>27</v>
      </c>
      <c r="Q15" s="246" t="s">
        <v>27</v>
      </c>
      <c r="S15" s="246">
        <v>4</v>
      </c>
      <c r="T15" s="246" t="s">
        <v>28</v>
      </c>
      <c r="U15" s="246" t="s">
        <v>44</v>
      </c>
    </row>
    <row r="16" spans="1:21" x14ac:dyDescent="0.2">
      <c r="A16" s="247">
        <v>46065</v>
      </c>
      <c r="B16" s="248">
        <v>138938</v>
      </c>
      <c r="C16" s="246" t="s">
        <v>44</v>
      </c>
      <c r="D16" s="246" t="s">
        <v>76</v>
      </c>
      <c r="E16" s="246" t="s">
        <v>63</v>
      </c>
      <c r="F16" s="246" t="s">
        <v>30</v>
      </c>
      <c r="G16" s="246">
        <v>30</v>
      </c>
      <c r="H16" s="249">
        <v>109.25</v>
      </c>
      <c r="I16" s="249">
        <v>3277.5</v>
      </c>
      <c r="J16" s="249">
        <v>3277.5</v>
      </c>
      <c r="K16" s="250">
        <v>1</v>
      </c>
      <c r="L16" s="250">
        <v>0.25</v>
      </c>
      <c r="M16" s="246" t="s">
        <v>46</v>
      </c>
      <c r="N16" s="249">
        <v>3277.5</v>
      </c>
      <c r="O16" s="249">
        <v>819.375</v>
      </c>
      <c r="P16" s="246" t="s">
        <v>27</v>
      </c>
      <c r="Q16" s="246" t="s">
        <v>27</v>
      </c>
      <c r="S16" s="246">
        <v>1</v>
      </c>
      <c r="T16" s="246" t="s">
        <v>28</v>
      </c>
      <c r="U16" s="246" t="s">
        <v>44</v>
      </c>
    </row>
    <row r="17" spans="1:21" x14ac:dyDescent="0.2">
      <c r="A17" s="247">
        <v>46065</v>
      </c>
      <c r="B17" s="248">
        <v>128860</v>
      </c>
      <c r="C17" s="246" t="s">
        <v>22</v>
      </c>
      <c r="D17" s="246" t="s">
        <v>70</v>
      </c>
      <c r="E17" s="246" t="s">
        <v>56</v>
      </c>
      <c r="F17" s="246" t="s">
        <v>30</v>
      </c>
      <c r="G17" s="246">
        <v>1</v>
      </c>
      <c r="H17" s="249">
        <v>356.4</v>
      </c>
      <c r="I17" s="249">
        <v>356.4</v>
      </c>
      <c r="J17" s="249">
        <v>427.67999999999989</v>
      </c>
      <c r="K17" s="250">
        <v>1</v>
      </c>
      <c r="L17" s="250">
        <v>0</v>
      </c>
      <c r="M17" s="246" t="s">
        <v>26</v>
      </c>
      <c r="N17" s="249">
        <v>356.4</v>
      </c>
      <c r="O17" s="249">
        <v>0</v>
      </c>
      <c r="P17" s="246" t="s">
        <v>27</v>
      </c>
      <c r="Q17" s="246" t="s">
        <v>27</v>
      </c>
      <c r="S17" s="246">
        <v>1</v>
      </c>
      <c r="T17" s="246" t="s">
        <v>28</v>
      </c>
      <c r="U17" s="246" t="s">
        <v>22</v>
      </c>
    </row>
    <row r="18" spans="1:21" x14ac:dyDescent="0.2">
      <c r="A18" s="247">
        <v>46066</v>
      </c>
      <c r="B18" s="248">
        <v>138101</v>
      </c>
      <c r="C18" s="246" t="s">
        <v>31</v>
      </c>
      <c r="D18" s="246" t="s">
        <v>77</v>
      </c>
      <c r="E18" s="246" t="s">
        <v>24</v>
      </c>
      <c r="F18" s="246" t="s">
        <v>25</v>
      </c>
      <c r="G18" s="246">
        <v>24</v>
      </c>
      <c r="H18" s="249">
        <v>125</v>
      </c>
      <c r="I18" s="249">
        <v>3000</v>
      </c>
      <c r="J18" s="249">
        <v>3600</v>
      </c>
      <c r="K18" s="250">
        <v>0.21</v>
      </c>
      <c r="L18" s="250">
        <v>5.2499999999999998E-2</v>
      </c>
      <c r="M18" s="246" t="s">
        <v>26</v>
      </c>
      <c r="N18" s="249">
        <v>630</v>
      </c>
      <c r="O18" s="249">
        <v>157.5</v>
      </c>
      <c r="P18" s="246" t="s">
        <v>36</v>
      </c>
      <c r="Q18" s="246" t="s">
        <v>37</v>
      </c>
      <c r="S18" s="246">
        <v>5</v>
      </c>
      <c r="T18" s="246" t="s">
        <v>38</v>
      </c>
      <c r="U18" s="246" t="s">
        <v>31</v>
      </c>
    </row>
    <row r="19" spans="1:21" x14ac:dyDescent="0.2">
      <c r="A19" s="247">
        <v>46070</v>
      </c>
      <c r="B19" s="248" t="s">
        <v>78</v>
      </c>
      <c r="C19" s="246" t="s">
        <v>31</v>
      </c>
      <c r="D19" s="246" t="s">
        <v>79</v>
      </c>
      <c r="E19" s="246" t="s">
        <v>35</v>
      </c>
      <c r="F19" s="246" t="s">
        <v>35</v>
      </c>
      <c r="G19" s="246">
        <v>236</v>
      </c>
      <c r="H19" s="249">
        <v>176</v>
      </c>
      <c r="I19" s="249">
        <v>41536</v>
      </c>
      <c r="J19" s="249">
        <v>41536</v>
      </c>
      <c r="K19" s="250">
        <v>0.01</v>
      </c>
      <c r="L19" s="250">
        <v>2.5000000000000001E-3</v>
      </c>
      <c r="M19" s="246" t="s">
        <v>26</v>
      </c>
      <c r="N19" s="249">
        <v>415.36</v>
      </c>
      <c r="O19" s="249">
        <v>103.84</v>
      </c>
      <c r="P19" s="246" t="s">
        <v>36</v>
      </c>
      <c r="Q19" s="246" t="s">
        <v>37</v>
      </c>
      <c r="S19" s="246">
        <v>4</v>
      </c>
      <c r="T19" s="246" t="s">
        <v>38</v>
      </c>
      <c r="U19" s="246" t="s">
        <v>31</v>
      </c>
    </row>
    <row r="20" spans="1:21" x14ac:dyDescent="0.2">
      <c r="A20" s="247">
        <v>46072</v>
      </c>
      <c r="B20" s="248">
        <v>135372</v>
      </c>
      <c r="C20" s="246" t="s">
        <v>31</v>
      </c>
      <c r="D20" s="246" t="s">
        <v>70</v>
      </c>
      <c r="E20" s="246" t="s">
        <v>35</v>
      </c>
      <c r="F20" s="246" t="s">
        <v>35</v>
      </c>
      <c r="G20" s="246">
        <v>24</v>
      </c>
      <c r="H20" s="249">
        <v>176</v>
      </c>
      <c r="I20" s="249">
        <v>4224</v>
      </c>
      <c r="J20" s="249">
        <v>4224</v>
      </c>
      <c r="K20" s="250">
        <v>0.01</v>
      </c>
      <c r="L20" s="250">
        <v>2.5000000000000001E-3</v>
      </c>
      <c r="M20" s="246" t="s">
        <v>26</v>
      </c>
      <c r="N20" s="249">
        <v>42.24</v>
      </c>
      <c r="O20" s="249">
        <v>10.56</v>
      </c>
      <c r="P20" s="246" t="s">
        <v>36</v>
      </c>
      <c r="Q20" s="246" t="s">
        <v>37</v>
      </c>
      <c r="S20" s="246">
        <v>3</v>
      </c>
      <c r="T20" s="246" t="s">
        <v>38</v>
      </c>
      <c r="U20" s="246" t="s">
        <v>31</v>
      </c>
    </row>
    <row r="21" spans="1:21" x14ac:dyDescent="0.2">
      <c r="A21" s="247">
        <v>46076</v>
      </c>
      <c r="B21" s="248">
        <v>138313</v>
      </c>
      <c r="C21" s="246" t="s">
        <v>31</v>
      </c>
      <c r="D21" s="246" t="s">
        <v>80</v>
      </c>
      <c r="E21" s="246" t="s">
        <v>40</v>
      </c>
      <c r="F21" s="246" t="s">
        <v>41</v>
      </c>
      <c r="G21" s="246">
        <v>1</v>
      </c>
      <c r="H21" s="249">
        <v>3150.4</v>
      </c>
      <c r="I21" s="249">
        <v>3150.4</v>
      </c>
      <c r="J21" s="249">
        <v>3780.48</v>
      </c>
      <c r="K21" s="250">
        <v>0.25</v>
      </c>
      <c r="L21" s="250">
        <v>6.25E-2</v>
      </c>
      <c r="M21" s="246" t="s">
        <v>26</v>
      </c>
      <c r="N21" s="249">
        <v>787.6</v>
      </c>
      <c r="O21" s="249">
        <v>196.9</v>
      </c>
      <c r="P21" s="246" t="s">
        <v>36</v>
      </c>
      <c r="Q21" s="246" t="s">
        <v>37</v>
      </c>
      <c r="S21" s="246">
        <v>6</v>
      </c>
      <c r="T21" s="246" t="s">
        <v>38</v>
      </c>
      <c r="U21" s="246" t="s">
        <v>31</v>
      </c>
    </row>
    <row r="22" spans="1:21" x14ac:dyDescent="0.2">
      <c r="A22" s="247">
        <v>46076</v>
      </c>
      <c r="B22" s="248">
        <v>138313</v>
      </c>
      <c r="C22" s="246" t="s">
        <v>31</v>
      </c>
      <c r="D22" s="246" t="s">
        <v>80</v>
      </c>
      <c r="E22" s="246" t="s">
        <v>24</v>
      </c>
      <c r="F22" s="246" t="s">
        <v>25</v>
      </c>
      <c r="G22" s="246">
        <v>40</v>
      </c>
      <c r="H22" s="249">
        <v>146.24</v>
      </c>
      <c r="I22" s="249">
        <v>5849.6</v>
      </c>
      <c r="J22" s="249">
        <v>7019.52</v>
      </c>
      <c r="K22" s="250">
        <v>0.25</v>
      </c>
      <c r="L22" s="250">
        <v>6.25E-2</v>
      </c>
      <c r="M22" s="246" t="s">
        <v>26</v>
      </c>
      <c r="N22" s="249">
        <v>1462.4</v>
      </c>
      <c r="O22" s="249">
        <v>365.6</v>
      </c>
      <c r="P22" s="246" t="s">
        <v>36</v>
      </c>
      <c r="Q22" s="246" t="s">
        <v>37</v>
      </c>
      <c r="S22" s="246">
        <v>6</v>
      </c>
      <c r="T22" s="246" t="s">
        <v>38</v>
      </c>
      <c r="U22" s="246" t="s">
        <v>31</v>
      </c>
    </row>
    <row r="23" spans="1:21" x14ac:dyDescent="0.2">
      <c r="A23" s="247">
        <v>46078</v>
      </c>
      <c r="B23" s="248" t="s">
        <v>81</v>
      </c>
      <c r="C23" s="246" t="s">
        <v>22</v>
      </c>
      <c r="D23" s="246" t="s">
        <v>82</v>
      </c>
      <c r="E23" s="246" t="s">
        <v>47</v>
      </c>
      <c r="F23" s="246" t="s">
        <v>25</v>
      </c>
      <c r="G23" s="246">
        <v>316</v>
      </c>
      <c r="H23" s="249">
        <v>200</v>
      </c>
      <c r="I23" s="249">
        <v>63200</v>
      </c>
      <c r="J23" s="249">
        <v>63200</v>
      </c>
      <c r="K23" s="250">
        <v>7.0000000000000007E-2</v>
      </c>
      <c r="L23" s="250">
        <v>0</v>
      </c>
      <c r="M23" s="246" t="s">
        <v>46</v>
      </c>
      <c r="N23" s="249">
        <v>4424</v>
      </c>
      <c r="O23" s="249">
        <v>0</v>
      </c>
      <c r="P23" s="246" t="s">
        <v>27</v>
      </c>
      <c r="Q23" s="246" t="s">
        <v>27</v>
      </c>
      <c r="S23" s="246">
        <v>6</v>
      </c>
      <c r="T23" s="246" t="s">
        <v>28</v>
      </c>
      <c r="U23" s="246" t="s">
        <v>22</v>
      </c>
    </row>
    <row r="24" spans="1:21" x14ac:dyDescent="0.2">
      <c r="A24" s="247">
        <v>46078</v>
      </c>
      <c r="B24" s="248" t="s">
        <v>81</v>
      </c>
      <c r="C24" s="246" t="s">
        <v>22</v>
      </c>
      <c r="D24" s="246" t="s">
        <v>82</v>
      </c>
      <c r="E24" s="246" t="s">
        <v>47</v>
      </c>
      <c r="F24" s="246" t="s">
        <v>41</v>
      </c>
      <c r="G24" s="246">
        <v>1</v>
      </c>
      <c r="H24" s="249">
        <v>35502.9</v>
      </c>
      <c r="I24" s="249">
        <v>35502.9</v>
      </c>
      <c r="J24" s="249">
        <v>35502.9</v>
      </c>
      <c r="K24" s="250">
        <v>0.25</v>
      </c>
      <c r="L24" s="250">
        <v>0</v>
      </c>
      <c r="M24" s="246" t="s">
        <v>46</v>
      </c>
      <c r="N24" s="249">
        <v>8875.7250000000004</v>
      </c>
      <c r="O24" s="249">
        <v>0</v>
      </c>
      <c r="P24" s="246" t="s">
        <v>27</v>
      </c>
      <c r="Q24" s="246" t="s">
        <v>27</v>
      </c>
      <c r="S24" s="246">
        <v>6</v>
      </c>
      <c r="T24" s="246" t="s">
        <v>28</v>
      </c>
      <c r="U24" s="246" t="s">
        <v>22</v>
      </c>
    </row>
    <row r="25" spans="1:21" x14ac:dyDescent="0.2">
      <c r="A25" s="247">
        <v>46078</v>
      </c>
      <c r="B25" s="248" t="s">
        <v>81</v>
      </c>
      <c r="C25" s="246" t="s">
        <v>22</v>
      </c>
      <c r="D25" s="246" t="s">
        <v>82</v>
      </c>
      <c r="E25" s="246" t="s">
        <v>47</v>
      </c>
      <c r="F25" s="246" t="s">
        <v>30</v>
      </c>
      <c r="G25" s="246">
        <v>15</v>
      </c>
      <c r="H25" s="249">
        <v>275.62</v>
      </c>
      <c r="I25" s="249">
        <v>4134.3</v>
      </c>
      <c r="J25" s="249">
        <v>4134.3</v>
      </c>
      <c r="K25" s="250">
        <v>1</v>
      </c>
      <c r="L25" s="250">
        <v>0</v>
      </c>
      <c r="M25" s="246" t="s">
        <v>46</v>
      </c>
      <c r="N25" s="249">
        <v>4134.3</v>
      </c>
      <c r="O25" s="249">
        <v>0</v>
      </c>
      <c r="P25" s="246" t="s">
        <v>27</v>
      </c>
      <c r="Q25" s="246" t="s">
        <v>27</v>
      </c>
      <c r="S25" s="246">
        <v>1</v>
      </c>
      <c r="T25" s="246" t="s">
        <v>28</v>
      </c>
      <c r="U25" s="246" t="s">
        <v>22</v>
      </c>
    </row>
    <row r="26" spans="1:21" x14ac:dyDescent="0.2">
      <c r="A26" s="247">
        <v>46078</v>
      </c>
      <c r="B26" s="248" t="s">
        <v>81</v>
      </c>
      <c r="C26" s="246" t="s">
        <v>22</v>
      </c>
      <c r="D26" s="246" t="s">
        <v>82</v>
      </c>
      <c r="E26" s="246" t="s">
        <v>63</v>
      </c>
      <c r="F26" s="246" t="s">
        <v>30</v>
      </c>
      <c r="G26" s="246">
        <v>40</v>
      </c>
      <c r="H26" s="249">
        <v>115</v>
      </c>
      <c r="I26" s="249">
        <v>4600</v>
      </c>
      <c r="J26" s="249">
        <v>4600</v>
      </c>
      <c r="K26" s="250">
        <v>1</v>
      </c>
      <c r="L26" s="250">
        <v>0</v>
      </c>
      <c r="M26" s="246" t="s">
        <v>46</v>
      </c>
      <c r="N26" s="249">
        <v>4600</v>
      </c>
      <c r="O26" s="249">
        <v>0</v>
      </c>
      <c r="P26" s="246" t="s">
        <v>27</v>
      </c>
      <c r="Q26" s="246" t="s">
        <v>27</v>
      </c>
      <c r="S26" s="246">
        <v>1</v>
      </c>
      <c r="T26" s="246" t="s">
        <v>28</v>
      </c>
      <c r="U26" s="246" t="s">
        <v>22</v>
      </c>
    </row>
    <row r="27" spans="1:21" x14ac:dyDescent="0.2">
      <c r="A27" s="247">
        <v>46078</v>
      </c>
      <c r="B27" s="248" t="s">
        <v>81</v>
      </c>
      <c r="C27" s="246" t="s">
        <v>22</v>
      </c>
      <c r="D27" s="246" t="s">
        <v>82</v>
      </c>
      <c r="E27" s="246" t="s">
        <v>48</v>
      </c>
      <c r="F27" s="246" t="s">
        <v>30</v>
      </c>
      <c r="G27" s="246">
        <v>1</v>
      </c>
      <c r="H27" s="249">
        <v>356.4</v>
      </c>
      <c r="I27" s="249">
        <v>356.4</v>
      </c>
      <c r="J27" s="249">
        <v>356.4</v>
      </c>
      <c r="K27" s="250">
        <v>1</v>
      </c>
      <c r="L27" s="250">
        <v>0</v>
      </c>
      <c r="M27" s="246" t="s">
        <v>46</v>
      </c>
      <c r="N27" s="249">
        <v>356.4</v>
      </c>
      <c r="O27" s="249">
        <v>0</v>
      </c>
      <c r="P27" s="246" t="s">
        <v>27</v>
      </c>
      <c r="Q27" s="246" t="s">
        <v>27</v>
      </c>
      <c r="S27" s="246">
        <v>1</v>
      </c>
      <c r="T27" s="246" t="s">
        <v>28</v>
      </c>
      <c r="U27" s="246" t="s">
        <v>22</v>
      </c>
    </row>
    <row r="28" spans="1:21" x14ac:dyDescent="0.2">
      <c r="A28" s="247">
        <v>46078</v>
      </c>
      <c r="B28" s="248" t="s">
        <v>81</v>
      </c>
      <c r="C28" s="246" t="s">
        <v>22</v>
      </c>
      <c r="D28" s="246" t="s">
        <v>82</v>
      </c>
      <c r="E28" s="246" t="s">
        <v>52</v>
      </c>
      <c r="F28" s="246" t="s">
        <v>30</v>
      </c>
      <c r="G28" s="246">
        <v>1</v>
      </c>
      <c r="H28" s="249">
        <v>1080</v>
      </c>
      <c r="I28" s="249">
        <v>1080</v>
      </c>
      <c r="J28" s="249">
        <v>1080</v>
      </c>
      <c r="K28" s="250">
        <v>1</v>
      </c>
      <c r="L28" s="250">
        <v>0</v>
      </c>
      <c r="M28" s="246" t="s">
        <v>46</v>
      </c>
      <c r="N28" s="249">
        <v>1080</v>
      </c>
      <c r="O28" s="249">
        <v>0</v>
      </c>
      <c r="P28" s="246" t="s">
        <v>27</v>
      </c>
      <c r="Q28" s="246" t="s">
        <v>27</v>
      </c>
      <c r="S28" s="246">
        <v>1</v>
      </c>
      <c r="T28" s="246" t="s">
        <v>28</v>
      </c>
      <c r="U28" s="246" t="s">
        <v>22</v>
      </c>
    </row>
    <row r="29" spans="1:21" x14ac:dyDescent="0.2">
      <c r="A29" s="247">
        <v>46078</v>
      </c>
      <c r="B29" s="248" t="s">
        <v>81</v>
      </c>
      <c r="C29" s="246" t="s">
        <v>22</v>
      </c>
      <c r="D29" s="246" t="s">
        <v>82</v>
      </c>
      <c r="E29" s="246" t="s">
        <v>54</v>
      </c>
      <c r="F29" s="246" t="s">
        <v>30</v>
      </c>
      <c r="G29" s="246">
        <v>5</v>
      </c>
      <c r="H29" s="249">
        <v>142.53</v>
      </c>
      <c r="I29" s="249">
        <v>712.65</v>
      </c>
      <c r="J29" s="249">
        <v>712.65</v>
      </c>
      <c r="K29" s="250">
        <v>1</v>
      </c>
      <c r="L29" s="250">
        <v>0</v>
      </c>
      <c r="M29" s="246" t="s">
        <v>46</v>
      </c>
      <c r="N29" s="249">
        <v>712.65</v>
      </c>
      <c r="O29" s="249">
        <v>0</v>
      </c>
      <c r="P29" s="246" t="s">
        <v>27</v>
      </c>
      <c r="Q29" s="246" t="s">
        <v>27</v>
      </c>
      <c r="S29" s="246">
        <v>1</v>
      </c>
      <c r="T29" s="246" t="s">
        <v>28</v>
      </c>
      <c r="U29" s="246" t="s">
        <v>22</v>
      </c>
    </row>
    <row r="30" spans="1:21" x14ac:dyDescent="0.2">
      <c r="A30" s="247">
        <v>46078</v>
      </c>
      <c r="B30" s="248" t="s">
        <v>81</v>
      </c>
      <c r="C30" s="246" t="s">
        <v>22</v>
      </c>
      <c r="D30" s="246" t="s">
        <v>82</v>
      </c>
      <c r="E30" s="246" t="s">
        <v>83</v>
      </c>
      <c r="F30" s="246" t="s">
        <v>30</v>
      </c>
      <c r="G30" s="246">
        <v>1</v>
      </c>
      <c r="H30" s="249">
        <v>689</v>
      </c>
      <c r="I30" s="249">
        <v>689</v>
      </c>
      <c r="J30" s="249">
        <v>689</v>
      </c>
      <c r="K30" s="250">
        <v>1</v>
      </c>
      <c r="L30" s="250">
        <v>0</v>
      </c>
      <c r="M30" s="246" t="s">
        <v>46</v>
      </c>
      <c r="N30" s="249">
        <v>689</v>
      </c>
      <c r="O30" s="249">
        <v>0</v>
      </c>
      <c r="P30" s="246" t="s">
        <v>27</v>
      </c>
      <c r="Q30" s="246" t="s">
        <v>27</v>
      </c>
      <c r="S30" s="246">
        <v>1</v>
      </c>
      <c r="T30" s="246" t="s">
        <v>28</v>
      </c>
      <c r="U30" s="246" t="s">
        <v>22</v>
      </c>
    </row>
    <row r="31" spans="1:21" x14ac:dyDescent="0.2">
      <c r="A31" s="247">
        <v>46078</v>
      </c>
      <c r="B31" s="248" t="s">
        <v>81</v>
      </c>
      <c r="C31" s="246" t="s">
        <v>22</v>
      </c>
      <c r="D31" s="246" t="s">
        <v>82</v>
      </c>
      <c r="E31" s="246" t="s">
        <v>84</v>
      </c>
      <c r="F31" s="246" t="s">
        <v>30</v>
      </c>
      <c r="G31" s="246">
        <v>1</v>
      </c>
      <c r="H31" s="249">
        <v>712</v>
      </c>
      <c r="I31" s="249">
        <v>712</v>
      </c>
      <c r="J31" s="249">
        <v>712</v>
      </c>
      <c r="K31" s="250">
        <v>1</v>
      </c>
      <c r="L31" s="250">
        <v>0</v>
      </c>
      <c r="M31" s="246" t="s">
        <v>46</v>
      </c>
      <c r="N31" s="249">
        <v>712</v>
      </c>
      <c r="O31" s="249">
        <v>0</v>
      </c>
      <c r="P31" s="246" t="s">
        <v>27</v>
      </c>
      <c r="Q31" s="246" t="s">
        <v>27</v>
      </c>
      <c r="S31" s="246">
        <v>1</v>
      </c>
      <c r="T31" s="246" t="s">
        <v>28</v>
      </c>
      <c r="U31" s="246" t="s">
        <v>22</v>
      </c>
    </row>
    <row r="32" spans="1:21" x14ac:dyDescent="0.2">
      <c r="A32" s="247">
        <v>46078</v>
      </c>
      <c r="B32" s="248" t="s">
        <v>85</v>
      </c>
      <c r="C32" s="246" t="s">
        <v>22</v>
      </c>
      <c r="D32" s="246" t="s">
        <v>86</v>
      </c>
      <c r="E32" s="246" t="s">
        <v>47</v>
      </c>
      <c r="F32" s="246" t="s">
        <v>25</v>
      </c>
      <c r="G32" s="246">
        <v>196</v>
      </c>
      <c r="H32" s="249">
        <v>200</v>
      </c>
      <c r="I32" s="249">
        <v>39200</v>
      </c>
      <c r="J32" s="249">
        <v>39200</v>
      </c>
      <c r="K32" s="250">
        <v>7.0000000000000007E-2</v>
      </c>
      <c r="L32" s="250">
        <v>0</v>
      </c>
      <c r="M32" s="246" t="s">
        <v>46</v>
      </c>
      <c r="N32" s="249">
        <v>2744</v>
      </c>
      <c r="O32" s="249">
        <v>0</v>
      </c>
      <c r="P32" s="246" t="s">
        <v>27</v>
      </c>
      <c r="Q32" s="246" t="s">
        <v>27</v>
      </c>
      <c r="S32" s="246">
        <v>6</v>
      </c>
      <c r="T32" s="246" t="s">
        <v>28</v>
      </c>
      <c r="U32" s="246" t="s">
        <v>22</v>
      </c>
    </row>
    <row r="33" spans="1:21" x14ac:dyDescent="0.2">
      <c r="A33" s="247">
        <v>46078</v>
      </c>
      <c r="B33" s="248" t="s">
        <v>85</v>
      </c>
      <c r="C33" s="246" t="s">
        <v>22</v>
      </c>
      <c r="D33" s="246" t="s">
        <v>86</v>
      </c>
      <c r="E33" s="246" t="s">
        <v>47</v>
      </c>
      <c r="F33" s="246" t="s">
        <v>41</v>
      </c>
      <c r="G33" s="246">
        <v>1</v>
      </c>
      <c r="H33" s="249">
        <v>35502.9</v>
      </c>
      <c r="I33" s="249">
        <v>35502.9</v>
      </c>
      <c r="J33" s="249">
        <v>35502.9</v>
      </c>
      <c r="K33" s="250">
        <v>0.25</v>
      </c>
      <c r="L33" s="250">
        <v>0</v>
      </c>
      <c r="M33" s="246" t="s">
        <v>46</v>
      </c>
      <c r="N33" s="249">
        <v>8875.7250000000004</v>
      </c>
      <c r="O33" s="249">
        <v>0</v>
      </c>
      <c r="P33" s="246" t="s">
        <v>27</v>
      </c>
      <c r="Q33" s="246" t="s">
        <v>27</v>
      </c>
      <c r="S33" s="246">
        <v>6</v>
      </c>
      <c r="T33" s="246" t="s">
        <v>28</v>
      </c>
      <c r="U33" s="246" t="s">
        <v>22</v>
      </c>
    </row>
    <row r="34" spans="1:21" x14ac:dyDescent="0.2">
      <c r="A34" s="247">
        <v>46078</v>
      </c>
      <c r="B34" s="248" t="s">
        <v>85</v>
      </c>
      <c r="C34" s="246" t="s">
        <v>22</v>
      </c>
      <c r="D34" s="246" t="s">
        <v>86</v>
      </c>
      <c r="E34" s="246" t="s">
        <v>47</v>
      </c>
      <c r="F34" s="246" t="s">
        <v>30</v>
      </c>
      <c r="G34" s="246">
        <v>12</v>
      </c>
      <c r="H34" s="249">
        <v>275.62</v>
      </c>
      <c r="I34" s="249">
        <v>3307.44</v>
      </c>
      <c r="J34" s="249">
        <v>3307.44</v>
      </c>
      <c r="K34" s="250">
        <v>1</v>
      </c>
      <c r="L34" s="250">
        <v>0</v>
      </c>
      <c r="M34" s="246" t="s">
        <v>46</v>
      </c>
      <c r="N34" s="249">
        <v>3307.44</v>
      </c>
      <c r="O34" s="249">
        <v>0</v>
      </c>
      <c r="P34" s="246" t="s">
        <v>27</v>
      </c>
      <c r="Q34" s="246" t="s">
        <v>27</v>
      </c>
      <c r="S34" s="246">
        <v>1</v>
      </c>
      <c r="T34" s="246" t="s">
        <v>28</v>
      </c>
      <c r="U34" s="246" t="s">
        <v>22</v>
      </c>
    </row>
    <row r="35" spans="1:21" x14ac:dyDescent="0.2">
      <c r="A35" s="247">
        <v>46078</v>
      </c>
      <c r="B35" s="248" t="s">
        <v>85</v>
      </c>
      <c r="C35" s="246" t="s">
        <v>22</v>
      </c>
      <c r="D35" s="246" t="s">
        <v>86</v>
      </c>
      <c r="E35" s="246" t="s">
        <v>63</v>
      </c>
      <c r="F35" s="246" t="s">
        <v>30</v>
      </c>
      <c r="G35" s="246">
        <v>40</v>
      </c>
      <c r="H35" s="249">
        <v>115</v>
      </c>
      <c r="I35" s="249">
        <v>4600</v>
      </c>
      <c r="J35" s="249">
        <v>4600</v>
      </c>
      <c r="K35" s="250">
        <v>1</v>
      </c>
      <c r="L35" s="250">
        <v>0</v>
      </c>
      <c r="M35" s="246" t="s">
        <v>46</v>
      </c>
      <c r="N35" s="249">
        <v>4600</v>
      </c>
      <c r="O35" s="249">
        <v>0</v>
      </c>
      <c r="P35" s="246" t="s">
        <v>27</v>
      </c>
      <c r="Q35" s="246" t="s">
        <v>27</v>
      </c>
      <c r="S35" s="246">
        <v>1</v>
      </c>
      <c r="T35" s="246" t="s">
        <v>28</v>
      </c>
      <c r="U35" s="246" t="s">
        <v>22</v>
      </c>
    </row>
    <row r="36" spans="1:21" x14ac:dyDescent="0.2">
      <c r="A36" s="247">
        <v>46078</v>
      </c>
      <c r="B36" s="248" t="s">
        <v>85</v>
      </c>
      <c r="C36" s="246" t="s">
        <v>22</v>
      </c>
      <c r="D36" s="246" t="s">
        <v>86</v>
      </c>
      <c r="E36" s="246" t="s">
        <v>52</v>
      </c>
      <c r="F36" s="246" t="s">
        <v>30</v>
      </c>
      <c r="G36" s="246">
        <v>1</v>
      </c>
      <c r="H36" s="249">
        <v>1080</v>
      </c>
      <c r="I36" s="249">
        <v>1080</v>
      </c>
      <c r="J36" s="249">
        <v>1080</v>
      </c>
      <c r="K36" s="250">
        <v>1</v>
      </c>
      <c r="L36" s="250">
        <v>0</v>
      </c>
      <c r="M36" s="246" t="s">
        <v>46</v>
      </c>
      <c r="N36" s="249">
        <v>1080</v>
      </c>
      <c r="O36" s="249">
        <v>0</v>
      </c>
      <c r="P36" s="246" t="s">
        <v>27</v>
      </c>
      <c r="Q36" s="246" t="s">
        <v>27</v>
      </c>
      <c r="S36" s="246">
        <v>1</v>
      </c>
      <c r="T36" s="246" t="s">
        <v>28</v>
      </c>
      <c r="U36" s="246" t="s">
        <v>22</v>
      </c>
    </row>
    <row r="37" spans="1:21" x14ac:dyDescent="0.2">
      <c r="A37" s="247">
        <v>46078</v>
      </c>
      <c r="B37" s="248" t="s">
        <v>85</v>
      </c>
      <c r="C37" s="246" t="s">
        <v>22</v>
      </c>
      <c r="D37" s="246" t="s">
        <v>86</v>
      </c>
      <c r="E37" s="246" t="s">
        <v>83</v>
      </c>
      <c r="F37" s="246" t="s">
        <v>30</v>
      </c>
      <c r="G37" s="246">
        <v>1</v>
      </c>
      <c r="H37" s="249">
        <v>689</v>
      </c>
      <c r="I37" s="249">
        <v>689</v>
      </c>
      <c r="J37" s="249">
        <v>689</v>
      </c>
      <c r="K37" s="250">
        <v>1</v>
      </c>
      <c r="L37" s="250">
        <v>0</v>
      </c>
      <c r="M37" s="246" t="s">
        <v>46</v>
      </c>
      <c r="N37" s="249">
        <v>689</v>
      </c>
      <c r="O37" s="249">
        <v>0</v>
      </c>
      <c r="P37" s="246" t="s">
        <v>27</v>
      </c>
      <c r="Q37" s="246" t="s">
        <v>27</v>
      </c>
      <c r="S37" s="246">
        <v>1</v>
      </c>
      <c r="T37" s="246" t="s">
        <v>28</v>
      </c>
      <c r="U37" s="246" t="s">
        <v>22</v>
      </c>
    </row>
    <row r="38" spans="1:21" x14ac:dyDescent="0.2">
      <c r="A38" s="247">
        <v>46078</v>
      </c>
      <c r="B38" s="248" t="s">
        <v>85</v>
      </c>
      <c r="C38" s="246" t="s">
        <v>22</v>
      </c>
      <c r="D38" s="246" t="s">
        <v>86</v>
      </c>
      <c r="E38" s="246" t="s">
        <v>84</v>
      </c>
      <c r="F38" s="246" t="s">
        <v>30</v>
      </c>
      <c r="G38" s="246">
        <v>1</v>
      </c>
      <c r="H38" s="249">
        <v>712</v>
      </c>
      <c r="I38" s="249">
        <v>712</v>
      </c>
      <c r="J38" s="249">
        <v>712</v>
      </c>
      <c r="K38" s="250">
        <v>1</v>
      </c>
      <c r="L38" s="250">
        <v>0</v>
      </c>
      <c r="M38" s="246" t="s">
        <v>46</v>
      </c>
      <c r="N38" s="249">
        <v>712</v>
      </c>
      <c r="O38" s="249">
        <v>0</v>
      </c>
      <c r="P38" s="246" t="s">
        <v>27</v>
      </c>
      <c r="Q38" s="246" t="s">
        <v>27</v>
      </c>
      <c r="S38" s="246">
        <v>1</v>
      </c>
      <c r="T38" s="246" t="s">
        <v>28</v>
      </c>
      <c r="U38" s="246" t="s">
        <v>22</v>
      </c>
    </row>
    <row r="39" spans="1:21" x14ac:dyDescent="0.2">
      <c r="A39" s="247">
        <v>46078</v>
      </c>
      <c r="B39" s="248">
        <v>138641</v>
      </c>
      <c r="C39" s="246" t="s">
        <v>22</v>
      </c>
      <c r="D39" s="246" t="s">
        <v>87</v>
      </c>
      <c r="E39" s="246" t="s">
        <v>47</v>
      </c>
      <c r="F39" s="246" t="s">
        <v>25</v>
      </c>
      <c r="G39" s="246">
        <v>316</v>
      </c>
      <c r="H39" s="249">
        <v>200</v>
      </c>
      <c r="I39" s="249">
        <v>63200</v>
      </c>
      <c r="J39" s="249">
        <v>63200</v>
      </c>
      <c r="K39" s="250">
        <v>7.0000000000000007E-2</v>
      </c>
      <c r="L39" s="250">
        <v>0</v>
      </c>
      <c r="M39" s="246" t="s">
        <v>46</v>
      </c>
      <c r="N39" s="249">
        <v>4424</v>
      </c>
      <c r="O39" s="249">
        <v>0</v>
      </c>
      <c r="P39" s="246" t="s">
        <v>27</v>
      </c>
      <c r="Q39" s="246" t="s">
        <v>27</v>
      </c>
      <c r="S39" s="246">
        <v>6</v>
      </c>
      <c r="T39" s="246" t="s">
        <v>28</v>
      </c>
      <c r="U39" s="246" t="s">
        <v>22</v>
      </c>
    </row>
    <row r="40" spans="1:21" x14ac:dyDescent="0.2">
      <c r="A40" s="247">
        <v>46078</v>
      </c>
      <c r="B40" s="248">
        <v>138641</v>
      </c>
      <c r="C40" s="246" t="s">
        <v>22</v>
      </c>
      <c r="D40" s="246" t="s">
        <v>87</v>
      </c>
      <c r="E40" s="246" t="s">
        <v>47</v>
      </c>
      <c r="F40" s="246" t="s">
        <v>41</v>
      </c>
      <c r="G40" s="246">
        <v>1</v>
      </c>
      <c r="H40" s="249">
        <v>35502.9</v>
      </c>
      <c r="I40" s="249">
        <v>35502.9</v>
      </c>
      <c r="J40" s="249">
        <v>35502.9</v>
      </c>
      <c r="K40" s="250">
        <v>0.25</v>
      </c>
      <c r="L40" s="250">
        <v>0</v>
      </c>
      <c r="M40" s="246" t="s">
        <v>46</v>
      </c>
      <c r="N40" s="249">
        <v>8875.7250000000004</v>
      </c>
      <c r="O40" s="249">
        <v>0</v>
      </c>
      <c r="P40" s="246" t="s">
        <v>27</v>
      </c>
      <c r="Q40" s="246" t="s">
        <v>27</v>
      </c>
      <c r="S40" s="246">
        <v>6</v>
      </c>
      <c r="T40" s="246" t="s">
        <v>28</v>
      </c>
      <c r="U40" s="246" t="s">
        <v>22</v>
      </c>
    </row>
    <row r="41" spans="1:21" x14ac:dyDescent="0.2">
      <c r="A41" s="247">
        <v>46078</v>
      </c>
      <c r="B41" s="248">
        <v>138641</v>
      </c>
      <c r="C41" s="246" t="s">
        <v>22</v>
      </c>
      <c r="D41" s="246" t="s">
        <v>87</v>
      </c>
      <c r="E41" s="246" t="s">
        <v>47</v>
      </c>
      <c r="F41" s="246" t="s">
        <v>30</v>
      </c>
      <c r="G41" s="246">
        <v>30</v>
      </c>
      <c r="H41" s="249">
        <v>275.62</v>
      </c>
      <c r="I41" s="249">
        <v>8268.6</v>
      </c>
      <c r="J41" s="249">
        <v>8268.6</v>
      </c>
      <c r="K41" s="250">
        <v>1</v>
      </c>
      <c r="L41" s="250">
        <v>0</v>
      </c>
      <c r="M41" s="246" t="s">
        <v>46</v>
      </c>
      <c r="N41" s="249">
        <v>8268.6</v>
      </c>
      <c r="O41" s="249">
        <v>0</v>
      </c>
      <c r="P41" s="246" t="s">
        <v>27</v>
      </c>
      <c r="Q41" s="246" t="s">
        <v>27</v>
      </c>
      <c r="S41" s="246">
        <v>1</v>
      </c>
      <c r="T41" s="246" t="s">
        <v>28</v>
      </c>
      <c r="U41" s="246" t="s">
        <v>22</v>
      </c>
    </row>
    <row r="42" spans="1:21" x14ac:dyDescent="0.2">
      <c r="A42" s="247">
        <v>46078</v>
      </c>
      <c r="B42" s="248">
        <v>138641</v>
      </c>
      <c r="C42" s="246" t="s">
        <v>22</v>
      </c>
      <c r="D42" s="246" t="s">
        <v>87</v>
      </c>
      <c r="E42" s="246" t="s">
        <v>63</v>
      </c>
      <c r="F42" s="246" t="s">
        <v>30</v>
      </c>
      <c r="G42" s="246">
        <v>60</v>
      </c>
      <c r="H42" s="249">
        <v>105</v>
      </c>
      <c r="I42" s="249">
        <v>6300</v>
      </c>
      <c r="J42" s="249">
        <v>6300</v>
      </c>
      <c r="K42" s="250">
        <v>1</v>
      </c>
      <c r="L42" s="250">
        <v>0</v>
      </c>
      <c r="M42" s="246" t="s">
        <v>46</v>
      </c>
      <c r="N42" s="249">
        <v>6300</v>
      </c>
      <c r="O42" s="249">
        <v>0</v>
      </c>
      <c r="P42" s="246" t="s">
        <v>27</v>
      </c>
      <c r="Q42" s="246" t="s">
        <v>27</v>
      </c>
      <c r="S42" s="246">
        <v>1</v>
      </c>
      <c r="T42" s="246" t="s">
        <v>28</v>
      </c>
      <c r="U42" s="246" t="s">
        <v>22</v>
      </c>
    </row>
    <row r="43" spans="1:21" x14ac:dyDescent="0.2">
      <c r="A43" s="247">
        <v>46078</v>
      </c>
      <c r="B43" s="248">
        <v>138641</v>
      </c>
      <c r="C43" s="246" t="s">
        <v>22</v>
      </c>
      <c r="D43" s="246" t="s">
        <v>87</v>
      </c>
      <c r="E43" s="246" t="s">
        <v>48</v>
      </c>
      <c r="F43" s="246" t="s">
        <v>30</v>
      </c>
      <c r="G43" s="246">
        <v>1</v>
      </c>
      <c r="H43" s="249">
        <v>356.4</v>
      </c>
      <c r="I43" s="249">
        <v>356.4</v>
      </c>
      <c r="J43" s="249">
        <v>356.4</v>
      </c>
      <c r="K43" s="250">
        <v>1</v>
      </c>
      <c r="L43" s="250">
        <v>0</v>
      </c>
      <c r="M43" s="246" t="s">
        <v>46</v>
      </c>
      <c r="N43" s="249">
        <v>356.4</v>
      </c>
      <c r="O43" s="249">
        <v>0</v>
      </c>
      <c r="P43" s="246" t="s">
        <v>27</v>
      </c>
      <c r="Q43" s="246" t="s">
        <v>27</v>
      </c>
      <c r="S43" s="246">
        <v>1</v>
      </c>
      <c r="T43" s="246" t="s">
        <v>28</v>
      </c>
      <c r="U43" s="246" t="s">
        <v>22</v>
      </c>
    </row>
    <row r="44" spans="1:21" x14ac:dyDescent="0.2">
      <c r="A44" s="247">
        <v>46078</v>
      </c>
      <c r="B44" s="248">
        <v>138641</v>
      </c>
      <c r="C44" s="246" t="s">
        <v>22</v>
      </c>
      <c r="D44" s="246" t="s">
        <v>87</v>
      </c>
      <c r="E44" s="246" t="s">
        <v>52</v>
      </c>
      <c r="F44" s="246" t="s">
        <v>30</v>
      </c>
      <c r="G44" s="246">
        <v>1</v>
      </c>
      <c r="H44" s="249">
        <v>1080</v>
      </c>
      <c r="I44" s="249">
        <v>1080</v>
      </c>
      <c r="J44" s="249">
        <v>1080</v>
      </c>
      <c r="K44" s="250">
        <v>1</v>
      </c>
      <c r="L44" s="250">
        <v>0</v>
      </c>
      <c r="M44" s="246" t="s">
        <v>46</v>
      </c>
      <c r="N44" s="249">
        <v>1080</v>
      </c>
      <c r="O44" s="249">
        <v>0</v>
      </c>
      <c r="P44" s="246" t="s">
        <v>27</v>
      </c>
      <c r="Q44" s="246" t="s">
        <v>27</v>
      </c>
      <c r="S44" s="246">
        <v>1</v>
      </c>
      <c r="T44" s="246" t="s">
        <v>28</v>
      </c>
      <c r="U44" s="246" t="s">
        <v>22</v>
      </c>
    </row>
    <row r="45" spans="1:21" x14ac:dyDescent="0.2">
      <c r="A45" s="247">
        <v>46078</v>
      </c>
      <c r="B45" s="248">
        <v>138641</v>
      </c>
      <c r="C45" s="246" t="s">
        <v>22</v>
      </c>
      <c r="D45" s="246" t="s">
        <v>87</v>
      </c>
      <c r="E45" s="246" t="s">
        <v>54</v>
      </c>
      <c r="F45" s="246" t="s">
        <v>30</v>
      </c>
      <c r="G45" s="246">
        <v>5</v>
      </c>
      <c r="H45" s="249">
        <v>142.56</v>
      </c>
      <c r="I45" s="249">
        <v>712.8</v>
      </c>
      <c r="J45" s="249">
        <v>712.8</v>
      </c>
      <c r="K45" s="250">
        <v>1</v>
      </c>
      <c r="L45" s="250">
        <v>0</v>
      </c>
      <c r="M45" s="246" t="s">
        <v>46</v>
      </c>
      <c r="N45" s="249">
        <v>712.8</v>
      </c>
      <c r="O45" s="249">
        <v>0</v>
      </c>
      <c r="P45" s="246" t="s">
        <v>27</v>
      </c>
      <c r="Q45" s="246" t="s">
        <v>27</v>
      </c>
      <c r="S45" s="246">
        <v>1</v>
      </c>
      <c r="T45" s="246" t="s">
        <v>28</v>
      </c>
      <c r="U45" s="246" t="s">
        <v>22</v>
      </c>
    </row>
    <row r="46" spans="1:21" x14ac:dyDescent="0.2">
      <c r="A46" s="247">
        <v>46078</v>
      </c>
      <c r="B46" s="248">
        <v>138641</v>
      </c>
      <c r="C46" s="246" t="s">
        <v>22</v>
      </c>
      <c r="D46" s="246" t="s">
        <v>87</v>
      </c>
      <c r="E46" s="246" t="s">
        <v>83</v>
      </c>
      <c r="F46" s="246" t="s">
        <v>30</v>
      </c>
      <c r="G46" s="246">
        <v>1</v>
      </c>
      <c r="H46" s="249">
        <v>689</v>
      </c>
      <c r="I46" s="249">
        <v>689</v>
      </c>
      <c r="J46" s="249">
        <v>689</v>
      </c>
      <c r="K46" s="250">
        <v>1</v>
      </c>
      <c r="L46" s="250">
        <v>0</v>
      </c>
      <c r="M46" s="246" t="s">
        <v>46</v>
      </c>
      <c r="N46" s="249">
        <v>689</v>
      </c>
      <c r="O46" s="249">
        <v>0</v>
      </c>
      <c r="P46" s="246" t="s">
        <v>27</v>
      </c>
      <c r="Q46" s="246" t="s">
        <v>27</v>
      </c>
      <c r="S46" s="246">
        <v>1</v>
      </c>
      <c r="T46" s="246" t="s">
        <v>28</v>
      </c>
      <c r="U46" s="246" t="s">
        <v>22</v>
      </c>
    </row>
    <row r="47" spans="1:21" x14ac:dyDescent="0.2">
      <c r="A47" s="247">
        <v>46078</v>
      </c>
      <c r="B47" s="248">
        <v>138641</v>
      </c>
      <c r="C47" s="246" t="s">
        <v>22</v>
      </c>
      <c r="D47" s="246" t="s">
        <v>87</v>
      </c>
      <c r="E47" s="246" t="s">
        <v>84</v>
      </c>
      <c r="F47" s="246" t="s">
        <v>30</v>
      </c>
      <c r="G47" s="246">
        <v>1</v>
      </c>
      <c r="H47" s="249">
        <v>712</v>
      </c>
      <c r="I47" s="249">
        <v>712</v>
      </c>
      <c r="J47" s="249">
        <v>712</v>
      </c>
      <c r="K47" s="250">
        <v>1</v>
      </c>
      <c r="L47" s="250">
        <v>0</v>
      </c>
      <c r="M47" s="246" t="s">
        <v>46</v>
      </c>
      <c r="N47" s="249">
        <v>712</v>
      </c>
      <c r="O47" s="249">
        <v>0</v>
      </c>
      <c r="P47" s="246" t="s">
        <v>27</v>
      </c>
      <c r="Q47" s="246" t="s">
        <v>27</v>
      </c>
      <c r="S47" s="246">
        <v>1</v>
      </c>
      <c r="T47" s="246" t="s">
        <v>28</v>
      </c>
      <c r="U47" s="246" t="s">
        <v>22</v>
      </c>
    </row>
    <row r="48" spans="1:21" x14ac:dyDescent="0.2">
      <c r="A48" s="247">
        <v>46078</v>
      </c>
      <c r="B48" s="248">
        <v>138643</v>
      </c>
      <c r="C48" s="246" t="s">
        <v>22</v>
      </c>
      <c r="D48" s="246" t="s">
        <v>88</v>
      </c>
      <c r="E48" s="246" t="s">
        <v>47</v>
      </c>
      <c r="F48" s="246" t="s">
        <v>25</v>
      </c>
      <c r="G48" s="246">
        <v>196</v>
      </c>
      <c r="H48" s="249">
        <v>200</v>
      </c>
      <c r="I48" s="249">
        <v>39200</v>
      </c>
      <c r="J48" s="249">
        <v>39200</v>
      </c>
      <c r="K48" s="250">
        <v>7.0000000000000007E-2</v>
      </c>
      <c r="L48" s="250">
        <v>0</v>
      </c>
      <c r="M48" s="246" t="s">
        <v>46</v>
      </c>
      <c r="N48" s="249">
        <v>2744</v>
      </c>
      <c r="O48" s="249">
        <v>0</v>
      </c>
      <c r="P48" s="246" t="s">
        <v>27</v>
      </c>
      <c r="Q48" s="246" t="s">
        <v>27</v>
      </c>
      <c r="S48" s="246">
        <v>6</v>
      </c>
      <c r="T48" s="246" t="s">
        <v>28</v>
      </c>
      <c r="U48" s="246" t="s">
        <v>22</v>
      </c>
    </row>
    <row r="49" spans="1:21" x14ac:dyDescent="0.2">
      <c r="A49" s="247">
        <v>46078</v>
      </c>
      <c r="B49" s="248">
        <v>138643</v>
      </c>
      <c r="C49" s="246" t="s">
        <v>22</v>
      </c>
      <c r="D49" s="246" t="s">
        <v>88</v>
      </c>
      <c r="E49" s="246" t="s">
        <v>47</v>
      </c>
      <c r="F49" s="246" t="s">
        <v>41</v>
      </c>
      <c r="G49" s="246">
        <v>1</v>
      </c>
      <c r="H49" s="249">
        <v>35502.9</v>
      </c>
      <c r="I49" s="249">
        <v>35502.9</v>
      </c>
      <c r="J49" s="249">
        <v>35502.9</v>
      </c>
      <c r="K49" s="250">
        <v>0.25</v>
      </c>
      <c r="L49" s="250">
        <v>0</v>
      </c>
      <c r="M49" s="246" t="s">
        <v>46</v>
      </c>
      <c r="N49" s="249">
        <v>8875.7250000000004</v>
      </c>
      <c r="O49" s="249">
        <v>0</v>
      </c>
      <c r="P49" s="246" t="s">
        <v>27</v>
      </c>
      <c r="Q49" s="246" t="s">
        <v>27</v>
      </c>
      <c r="S49" s="246">
        <v>6</v>
      </c>
      <c r="T49" s="246" t="s">
        <v>28</v>
      </c>
      <c r="U49" s="246" t="s">
        <v>22</v>
      </c>
    </row>
    <row r="50" spans="1:21" x14ac:dyDescent="0.2">
      <c r="A50" s="247">
        <v>46078</v>
      </c>
      <c r="B50" s="248">
        <v>138643</v>
      </c>
      <c r="C50" s="246" t="s">
        <v>22</v>
      </c>
      <c r="D50" s="246" t="s">
        <v>88</v>
      </c>
      <c r="E50" s="246" t="s">
        <v>47</v>
      </c>
      <c r="F50" s="246" t="s">
        <v>30</v>
      </c>
      <c r="G50" s="246">
        <v>14</v>
      </c>
      <c r="H50" s="249">
        <v>275.62</v>
      </c>
      <c r="I50" s="249">
        <v>3858.68</v>
      </c>
      <c r="J50" s="249">
        <v>3858.68</v>
      </c>
      <c r="K50" s="250">
        <v>1</v>
      </c>
      <c r="L50" s="250">
        <v>0</v>
      </c>
      <c r="M50" s="246" t="s">
        <v>46</v>
      </c>
      <c r="N50" s="249">
        <v>3858.68</v>
      </c>
      <c r="O50" s="249">
        <v>0</v>
      </c>
      <c r="P50" s="246" t="s">
        <v>27</v>
      </c>
      <c r="Q50" s="246" t="s">
        <v>27</v>
      </c>
      <c r="S50" s="246">
        <v>1</v>
      </c>
      <c r="T50" s="246" t="s">
        <v>28</v>
      </c>
      <c r="U50" s="246" t="s">
        <v>22</v>
      </c>
    </row>
    <row r="51" spans="1:21" x14ac:dyDescent="0.2">
      <c r="A51" s="247">
        <v>46078</v>
      </c>
      <c r="B51" s="248">
        <v>138643</v>
      </c>
      <c r="C51" s="246" t="s">
        <v>22</v>
      </c>
      <c r="D51" s="246" t="s">
        <v>88</v>
      </c>
      <c r="E51" s="246" t="s">
        <v>63</v>
      </c>
      <c r="F51" s="246" t="s">
        <v>30</v>
      </c>
      <c r="G51" s="246">
        <v>48</v>
      </c>
      <c r="H51" s="249">
        <v>115</v>
      </c>
      <c r="I51" s="249">
        <v>5520</v>
      </c>
      <c r="J51" s="249">
        <v>5520</v>
      </c>
      <c r="K51" s="250">
        <v>1</v>
      </c>
      <c r="L51" s="250">
        <v>0</v>
      </c>
      <c r="M51" s="246" t="s">
        <v>46</v>
      </c>
      <c r="N51" s="249">
        <v>5520</v>
      </c>
      <c r="O51" s="249">
        <v>0</v>
      </c>
      <c r="P51" s="246" t="s">
        <v>27</v>
      </c>
      <c r="Q51" s="246" t="s">
        <v>27</v>
      </c>
      <c r="S51" s="246">
        <v>1</v>
      </c>
      <c r="T51" s="246" t="s">
        <v>28</v>
      </c>
      <c r="U51" s="246" t="s">
        <v>22</v>
      </c>
    </row>
    <row r="52" spans="1:21" x14ac:dyDescent="0.2">
      <c r="A52" s="247">
        <v>46078</v>
      </c>
      <c r="B52" s="248">
        <v>138643</v>
      </c>
      <c r="C52" s="246" t="s">
        <v>22</v>
      </c>
      <c r="D52" s="246" t="s">
        <v>88</v>
      </c>
      <c r="E52" s="246" t="s">
        <v>89</v>
      </c>
      <c r="F52" s="246" t="s">
        <v>30</v>
      </c>
      <c r="G52" s="246">
        <v>1</v>
      </c>
      <c r="H52" s="249">
        <v>356.4</v>
      </c>
      <c r="I52" s="249">
        <v>356.4</v>
      </c>
      <c r="J52" s="249">
        <v>356.4</v>
      </c>
      <c r="K52" s="250">
        <v>1</v>
      </c>
      <c r="L52" s="250">
        <v>0</v>
      </c>
      <c r="M52" s="246" t="s">
        <v>46</v>
      </c>
      <c r="N52" s="249">
        <v>356.4</v>
      </c>
      <c r="O52" s="249">
        <v>0</v>
      </c>
      <c r="P52" s="246" t="s">
        <v>27</v>
      </c>
      <c r="Q52" s="246" t="s">
        <v>27</v>
      </c>
      <c r="S52" s="246">
        <v>1</v>
      </c>
      <c r="T52" s="246" t="s">
        <v>28</v>
      </c>
      <c r="U52" s="246" t="s">
        <v>22</v>
      </c>
    </row>
    <row r="53" spans="1:21" x14ac:dyDescent="0.2">
      <c r="A53" s="247">
        <v>46078</v>
      </c>
      <c r="B53" s="248">
        <v>138643</v>
      </c>
      <c r="C53" s="246" t="s">
        <v>22</v>
      </c>
      <c r="D53" s="246" t="s">
        <v>88</v>
      </c>
      <c r="E53" s="246" t="s">
        <v>52</v>
      </c>
      <c r="F53" s="246" t="s">
        <v>30</v>
      </c>
      <c r="G53" s="246">
        <v>1</v>
      </c>
      <c r="H53" s="249">
        <v>1080</v>
      </c>
      <c r="I53" s="249">
        <v>1080</v>
      </c>
      <c r="J53" s="249">
        <v>1080</v>
      </c>
      <c r="K53" s="250">
        <v>1</v>
      </c>
      <c r="L53" s="250">
        <v>0</v>
      </c>
      <c r="M53" s="246" t="s">
        <v>46</v>
      </c>
      <c r="N53" s="249">
        <v>1080</v>
      </c>
      <c r="O53" s="249">
        <v>0</v>
      </c>
      <c r="P53" s="246" t="s">
        <v>27</v>
      </c>
      <c r="Q53" s="246" t="s">
        <v>27</v>
      </c>
      <c r="S53" s="246">
        <v>1</v>
      </c>
      <c r="T53" s="246" t="s">
        <v>28</v>
      </c>
      <c r="U53" s="246" t="s">
        <v>22</v>
      </c>
    </row>
    <row r="54" spans="1:21" x14ac:dyDescent="0.2">
      <c r="A54" s="247">
        <v>46078</v>
      </c>
      <c r="B54" s="248">
        <v>138643</v>
      </c>
      <c r="C54" s="246" t="s">
        <v>22</v>
      </c>
      <c r="D54" s="246" t="s">
        <v>88</v>
      </c>
      <c r="E54" s="246" t="s">
        <v>83</v>
      </c>
      <c r="F54" s="246" t="s">
        <v>30</v>
      </c>
      <c r="G54" s="246">
        <v>1</v>
      </c>
      <c r="H54" s="249">
        <v>689</v>
      </c>
      <c r="I54" s="249">
        <v>689</v>
      </c>
      <c r="J54" s="249">
        <v>689</v>
      </c>
      <c r="K54" s="250">
        <v>1</v>
      </c>
      <c r="L54" s="250">
        <v>0</v>
      </c>
      <c r="M54" s="246" t="s">
        <v>46</v>
      </c>
      <c r="N54" s="249">
        <v>689</v>
      </c>
      <c r="O54" s="249">
        <v>0</v>
      </c>
      <c r="P54" s="246" t="s">
        <v>27</v>
      </c>
      <c r="Q54" s="246" t="s">
        <v>27</v>
      </c>
      <c r="S54" s="246">
        <v>1</v>
      </c>
      <c r="T54" s="246" t="s">
        <v>28</v>
      </c>
      <c r="U54" s="246" t="s">
        <v>22</v>
      </c>
    </row>
    <row r="55" spans="1:21" x14ac:dyDescent="0.2">
      <c r="A55" s="247">
        <v>46078</v>
      </c>
      <c r="B55" s="248">
        <v>138643</v>
      </c>
      <c r="C55" s="246" t="s">
        <v>22</v>
      </c>
      <c r="D55" s="246" t="s">
        <v>88</v>
      </c>
      <c r="E55" s="246" t="s">
        <v>84</v>
      </c>
      <c r="F55" s="246" t="s">
        <v>30</v>
      </c>
      <c r="G55" s="246">
        <v>1</v>
      </c>
      <c r="H55" s="249">
        <v>712</v>
      </c>
      <c r="I55" s="249">
        <v>712</v>
      </c>
      <c r="J55" s="249">
        <v>712</v>
      </c>
      <c r="K55" s="250">
        <v>1</v>
      </c>
      <c r="L55" s="250">
        <v>0</v>
      </c>
      <c r="M55" s="246" t="s">
        <v>46</v>
      </c>
      <c r="N55" s="249">
        <v>712</v>
      </c>
      <c r="O55" s="249">
        <v>0</v>
      </c>
      <c r="P55" s="246" t="s">
        <v>27</v>
      </c>
      <c r="Q55" s="246" t="s">
        <v>27</v>
      </c>
      <c r="S55" s="246">
        <v>1</v>
      </c>
      <c r="T55" s="246" t="s">
        <v>28</v>
      </c>
      <c r="U55" s="246" t="s">
        <v>22</v>
      </c>
    </row>
    <row r="56" spans="1:21" x14ac:dyDescent="0.2">
      <c r="A56" s="247">
        <v>46078</v>
      </c>
      <c r="B56" s="248">
        <v>136629</v>
      </c>
      <c r="C56" s="246" t="s">
        <v>31</v>
      </c>
      <c r="D56" s="246" t="s">
        <v>90</v>
      </c>
      <c r="E56" s="246" t="s">
        <v>35</v>
      </c>
      <c r="F56" s="246" t="s">
        <v>35</v>
      </c>
      <c r="G56" s="246">
        <v>80</v>
      </c>
      <c r="H56" s="249">
        <v>150</v>
      </c>
      <c r="I56" s="249">
        <v>12000</v>
      </c>
      <c r="J56" s="249">
        <v>12000</v>
      </c>
      <c r="K56" s="250">
        <v>6.8999999999999999E-3</v>
      </c>
      <c r="L56" s="250">
        <v>0</v>
      </c>
      <c r="M56" s="246" t="s">
        <v>26</v>
      </c>
      <c r="N56" s="249">
        <v>82.8</v>
      </c>
      <c r="O56" s="249">
        <v>0</v>
      </c>
      <c r="P56" s="246" t="s">
        <v>36</v>
      </c>
      <c r="Q56" s="246" t="s">
        <v>37</v>
      </c>
      <c r="S56" s="246">
        <v>1</v>
      </c>
      <c r="T56" s="246" t="s">
        <v>38</v>
      </c>
      <c r="U56" s="246" t="s">
        <v>31</v>
      </c>
    </row>
    <row r="57" spans="1:21" x14ac:dyDescent="0.2">
      <c r="A57" s="247">
        <v>46078</v>
      </c>
      <c r="B57" s="248">
        <v>138487</v>
      </c>
      <c r="C57" s="246" t="s">
        <v>31</v>
      </c>
      <c r="D57" s="246" t="s">
        <v>91</v>
      </c>
      <c r="E57" s="246" t="s">
        <v>56</v>
      </c>
      <c r="F57" s="246" t="s">
        <v>25</v>
      </c>
      <c r="G57" s="246">
        <v>2</v>
      </c>
      <c r="H57" s="249">
        <v>210</v>
      </c>
      <c r="I57" s="249">
        <v>420</v>
      </c>
      <c r="J57" s="249">
        <v>504</v>
      </c>
      <c r="K57" s="250">
        <v>7.0000000000000007E-2</v>
      </c>
      <c r="L57" s="250">
        <v>1.7500000000000002E-2</v>
      </c>
      <c r="M57" s="246" t="s">
        <v>26</v>
      </c>
      <c r="N57" s="249">
        <v>29.4</v>
      </c>
      <c r="O57" s="249">
        <v>7.3500000000000014</v>
      </c>
      <c r="P57" s="246" t="s">
        <v>27</v>
      </c>
      <c r="Q57" s="246" t="s">
        <v>27</v>
      </c>
      <c r="S57" s="246">
        <v>1</v>
      </c>
      <c r="T57" s="246" t="s">
        <v>28</v>
      </c>
      <c r="U57" s="246" t="s">
        <v>31</v>
      </c>
    </row>
    <row r="58" spans="1:21" x14ac:dyDescent="0.2">
      <c r="A58" s="247">
        <v>46078</v>
      </c>
      <c r="B58" s="248">
        <v>138487</v>
      </c>
      <c r="C58" s="246" t="s">
        <v>31</v>
      </c>
      <c r="D58" s="246" t="s">
        <v>91</v>
      </c>
      <c r="E58" s="246" t="s">
        <v>56</v>
      </c>
      <c r="F58" s="246" t="s">
        <v>30</v>
      </c>
      <c r="G58" s="246">
        <v>1</v>
      </c>
      <c r="H58" s="249">
        <v>356.4</v>
      </c>
      <c r="I58" s="249">
        <v>356.4</v>
      </c>
      <c r="J58" s="249">
        <v>427.67999999999989</v>
      </c>
      <c r="K58" s="250">
        <v>1</v>
      </c>
      <c r="L58" s="250">
        <v>0.25</v>
      </c>
      <c r="M58" s="246" t="s">
        <v>26</v>
      </c>
      <c r="N58" s="249">
        <v>356.4</v>
      </c>
      <c r="O58" s="249">
        <v>89.1</v>
      </c>
      <c r="P58" s="246" t="s">
        <v>27</v>
      </c>
      <c r="Q58" s="246" t="s">
        <v>27</v>
      </c>
      <c r="S58" s="246">
        <v>1</v>
      </c>
      <c r="T58" s="246" t="s">
        <v>28</v>
      </c>
      <c r="U58" s="246" t="s">
        <v>31</v>
      </c>
    </row>
    <row r="59" spans="1:21" x14ac:dyDescent="0.2">
      <c r="A59" s="247">
        <v>46078</v>
      </c>
      <c r="B59" s="248">
        <v>138723</v>
      </c>
      <c r="C59" s="246" t="s">
        <v>31</v>
      </c>
      <c r="D59" s="246" t="s">
        <v>79</v>
      </c>
      <c r="E59" s="246" t="s">
        <v>24</v>
      </c>
      <c r="F59" s="246" t="s">
        <v>25</v>
      </c>
      <c r="G59" s="246">
        <v>40</v>
      </c>
      <c r="H59" s="249">
        <v>210</v>
      </c>
      <c r="I59" s="249">
        <v>8400</v>
      </c>
      <c r="J59" s="249">
        <v>10080</v>
      </c>
      <c r="K59" s="250">
        <v>0.25</v>
      </c>
      <c r="L59" s="250">
        <v>6.25E-2</v>
      </c>
      <c r="M59" s="246" t="s">
        <v>26</v>
      </c>
      <c r="N59" s="249">
        <v>2100</v>
      </c>
      <c r="O59" s="249">
        <v>525</v>
      </c>
      <c r="P59" s="246" t="s">
        <v>36</v>
      </c>
      <c r="Q59" s="246" t="s">
        <v>37</v>
      </c>
      <c r="S59" s="246">
        <v>6</v>
      </c>
      <c r="T59" s="246" t="s">
        <v>38</v>
      </c>
      <c r="U59" s="246" t="s">
        <v>31</v>
      </c>
    </row>
    <row r="60" spans="1:21" x14ac:dyDescent="0.2">
      <c r="A60" s="247">
        <v>46078</v>
      </c>
      <c r="B60" s="248">
        <v>134770</v>
      </c>
      <c r="C60" s="246" t="s">
        <v>31</v>
      </c>
      <c r="D60" s="246" t="s">
        <v>92</v>
      </c>
      <c r="E60" s="246" t="s">
        <v>35</v>
      </c>
      <c r="F60" s="246" t="s">
        <v>35</v>
      </c>
      <c r="G60" s="246">
        <v>4</v>
      </c>
      <c r="H60" s="249">
        <v>176</v>
      </c>
      <c r="I60" s="249">
        <v>704</v>
      </c>
      <c r="J60" s="249">
        <v>704</v>
      </c>
      <c r="K60" s="250">
        <v>0.01</v>
      </c>
      <c r="L60" s="250">
        <v>2.5000000000000001E-3</v>
      </c>
      <c r="M60" s="246" t="s">
        <v>26</v>
      </c>
      <c r="N60" s="249">
        <v>7.04</v>
      </c>
      <c r="O60" s="249">
        <v>1.76</v>
      </c>
      <c r="P60" s="246" t="s">
        <v>36</v>
      </c>
      <c r="Q60" s="246" t="s">
        <v>37</v>
      </c>
      <c r="S60" s="246">
        <v>1</v>
      </c>
      <c r="T60" s="246" t="s">
        <v>38</v>
      </c>
      <c r="U60" s="246" t="s">
        <v>31</v>
      </c>
    </row>
    <row r="61" spans="1:21" x14ac:dyDescent="0.2">
      <c r="A61" s="247">
        <v>46078</v>
      </c>
      <c r="B61" s="248">
        <v>138211</v>
      </c>
      <c r="C61" s="246" t="s">
        <v>31</v>
      </c>
      <c r="D61" s="246" t="s">
        <v>93</v>
      </c>
      <c r="E61" s="246" t="s">
        <v>24</v>
      </c>
      <c r="F61" s="246" t="s">
        <v>25</v>
      </c>
      <c r="G61" s="246">
        <v>8</v>
      </c>
      <c r="H61" s="249">
        <v>189</v>
      </c>
      <c r="I61" s="249">
        <v>1512</v>
      </c>
      <c r="J61" s="249">
        <v>1814.4</v>
      </c>
      <c r="K61" s="250">
        <v>0.25</v>
      </c>
      <c r="L61" s="250">
        <v>6.25E-2</v>
      </c>
      <c r="M61" s="246" t="s">
        <v>26</v>
      </c>
      <c r="N61" s="249">
        <v>378</v>
      </c>
      <c r="O61" s="249">
        <v>94.5</v>
      </c>
      <c r="P61" s="246" t="s">
        <v>36</v>
      </c>
      <c r="Q61" s="246" t="s">
        <v>37</v>
      </c>
      <c r="S61" s="246">
        <v>1</v>
      </c>
      <c r="T61" s="246" t="s">
        <v>38</v>
      </c>
      <c r="U61" s="246" t="s">
        <v>31</v>
      </c>
    </row>
    <row r="62" spans="1:21" x14ac:dyDescent="0.2">
      <c r="A62" s="246" t="s">
        <v>150</v>
      </c>
      <c r="I62" s="249">
        <f>SUBTOTAL(109,Tabela11[VlrTotal])</f>
        <v>625422.5700000003</v>
      </c>
      <c r="J62" s="249">
        <f>SUBTOTAL(109,Tabela11[Vlr Meta])</f>
        <v>632884.93000000028</v>
      </c>
      <c r="N62" s="249">
        <f>SUBTOTAL(109,Tabela11[[ComissãoVendedor ]])</f>
        <v>135598.15</v>
      </c>
      <c r="O62" s="249">
        <f>SUBTOTAL(109,Tabela11[ComissãoSupervisor])</f>
        <v>7286.9700000000021</v>
      </c>
      <c r="U62" s="246">
        <f>SUBTOTAL(103,Tabela11[SDR_RESPONSÁVEL])</f>
        <v>60</v>
      </c>
    </row>
    <row r="65" spans="3:14" ht="13.5" x14ac:dyDescent="0.25">
      <c r="C65" s="110" t="s">
        <v>512</v>
      </c>
      <c r="D65" s="111"/>
      <c r="E65" s="111"/>
      <c r="F65" s="111"/>
      <c r="G65" s="111"/>
      <c r="H65" s="111"/>
      <c r="I65" s="111"/>
      <c r="J65" s="111"/>
      <c r="K65" s="111"/>
      <c r="L65" s="111"/>
      <c r="M65" s="111"/>
      <c r="N65" s="111"/>
    </row>
    <row r="66" spans="3:14" x14ac:dyDescent="0.2">
      <c r="C66" s="112" t="s">
        <v>183</v>
      </c>
      <c r="D66" s="112"/>
      <c r="E66" s="112"/>
      <c r="F66" s="112"/>
      <c r="G66" s="112"/>
      <c r="H66" s="112"/>
      <c r="I66" s="112"/>
      <c r="J66" s="112"/>
      <c r="K66" s="112"/>
      <c r="L66" s="112"/>
      <c r="M66" s="112"/>
      <c r="N66" s="112"/>
    </row>
    <row r="67" spans="3:14" x14ac:dyDescent="0.2">
      <c r="C67" s="402" t="s">
        <v>185</v>
      </c>
      <c r="D67" s="396"/>
      <c r="E67" s="396"/>
      <c r="F67" s="396"/>
      <c r="G67" s="403" t="s">
        <v>186</v>
      </c>
      <c r="H67" s="396"/>
      <c r="I67" s="396"/>
      <c r="J67" s="396"/>
      <c r="K67" s="395" t="s">
        <v>187</v>
      </c>
      <c r="L67" s="396"/>
      <c r="M67" s="396"/>
      <c r="N67" s="396"/>
    </row>
    <row r="68" spans="3:14" x14ac:dyDescent="0.2">
      <c r="C68" s="113"/>
      <c r="D68" s="114" t="s">
        <v>156</v>
      </c>
      <c r="E68" s="115" t="s">
        <v>188</v>
      </c>
      <c r="F68" s="115" t="s">
        <v>158</v>
      </c>
      <c r="G68" s="113"/>
      <c r="H68" s="114" t="s">
        <v>156</v>
      </c>
      <c r="I68" s="115" t="s">
        <v>188</v>
      </c>
      <c r="J68" s="115" t="s">
        <v>158</v>
      </c>
      <c r="K68" s="113"/>
      <c r="L68" s="114" t="s">
        <v>156</v>
      </c>
      <c r="M68" s="115" t="s">
        <v>188</v>
      </c>
      <c r="N68" s="115" t="s">
        <v>158</v>
      </c>
    </row>
    <row r="69" spans="3:14" x14ac:dyDescent="0.2">
      <c r="C69" s="116" t="s">
        <v>189</v>
      </c>
      <c r="D69" s="117">
        <v>15</v>
      </c>
      <c r="E69" s="118">
        <v>26</v>
      </c>
      <c r="F69" s="119">
        <f>E69/D69</f>
        <v>1.7333333333333334</v>
      </c>
      <c r="G69" s="116" t="s">
        <v>189</v>
      </c>
      <c r="H69" s="117">
        <v>15</v>
      </c>
      <c r="I69" s="118">
        <v>16</v>
      </c>
      <c r="J69" s="119">
        <f>I69/H69</f>
        <v>1.0666666666666667</v>
      </c>
      <c r="K69" s="116" t="s">
        <v>189</v>
      </c>
      <c r="L69" s="117">
        <v>15</v>
      </c>
      <c r="M69" s="118">
        <v>17</v>
      </c>
      <c r="N69" s="119">
        <f>M69/L69</f>
        <v>1.1333333333333333</v>
      </c>
    </row>
    <row r="70" spans="3:14" x14ac:dyDescent="0.2">
      <c r="C70" s="116" t="s">
        <v>190</v>
      </c>
      <c r="D70" s="117">
        <v>12</v>
      </c>
      <c r="E70" s="118">
        <v>31</v>
      </c>
      <c r="F70" s="119">
        <f>E70/D70</f>
        <v>2.5833333333333335</v>
      </c>
      <c r="G70" s="116" t="s">
        <v>190</v>
      </c>
      <c r="H70" s="117">
        <v>12</v>
      </c>
      <c r="I70" s="118">
        <v>13</v>
      </c>
      <c r="J70" s="119">
        <f>I70/H70</f>
        <v>1.0833333333333333</v>
      </c>
      <c r="K70" s="116" t="s">
        <v>190</v>
      </c>
      <c r="L70" s="117">
        <v>12</v>
      </c>
      <c r="M70" s="118">
        <v>15</v>
      </c>
      <c r="N70" s="119">
        <f>M70/L70</f>
        <v>1.25</v>
      </c>
    </row>
    <row r="71" spans="3:14" x14ac:dyDescent="0.2">
      <c r="C71" s="116" t="s">
        <v>173</v>
      </c>
      <c r="D71" s="120">
        <v>6500</v>
      </c>
      <c r="E71" s="121">
        <v>2413.6799999999998</v>
      </c>
      <c r="F71" s="119">
        <f>E71/D71</f>
        <v>0.37133538461538457</v>
      </c>
      <c r="G71" s="116" t="s">
        <v>173</v>
      </c>
      <c r="H71" s="120">
        <v>10000</v>
      </c>
      <c r="I71" s="121">
        <v>14107.5</v>
      </c>
      <c r="J71" s="119">
        <f>I71/H71</f>
        <v>1.4107499999999999</v>
      </c>
      <c r="K71" s="116" t="s">
        <v>173</v>
      </c>
      <c r="L71" s="120">
        <v>10000</v>
      </c>
      <c r="M71" s="121">
        <v>55175.35</v>
      </c>
      <c r="N71" s="119">
        <f>M71/L71</f>
        <v>5.5175349999999996</v>
      </c>
    </row>
    <row r="72" spans="3:14" x14ac:dyDescent="0.2">
      <c r="C72" s="116" t="s">
        <v>166</v>
      </c>
      <c r="D72" s="120">
        <v>26500</v>
      </c>
      <c r="E72" s="122">
        <f>E71+I71+M71</f>
        <v>71696.53</v>
      </c>
      <c r="F72" s="119">
        <f>E72/D72</f>
        <v>2.7055294339622642</v>
      </c>
      <c r="G72" s="116" t="s">
        <v>166</v>
      </c>
      <c r="H72" s="120">
        <v>26500</v>
      </c>
      <c r="I72" s="122">
        <f>E72</f>
        <v>71696.53</v>
      </c>
      <c r="J72" s="119">
        <f>I72/H72</f>
        <v>2.7055294339622642</v>
      </c>
      <c r="K72" s="116" t="s">
        <v>166</v>
      </c>
      <c r="L72" s="120">
        <v>26500</v>
      </c>
      <c r="M72" s="122">
        <f>E72</f>
        <v>71696.53</v>
      </c>
      <c r="N72" s="119">
        <f>M72/L72</f>
        <v>2.7055294339622642</v>
      </c>
    </row>
    <row r="73" spans="3:14" x14ac:dyDescent="0.2">
      <c r="C73" s="116" t="s">
        <v>174</v>
      </c>
      <c r="D73" s="120">
        <v>90000</v>
      </c>
      <c r="E73" s="122">
        <v>96796.800000000003</v>
      </c>
      <c r="F73" s="119">
        <f>E73/D73</f>
        <v>1.07552</v>
      </c>
      <c r="G73" s="116" t="s">
        <v>174</v>
      </c>
      <c r="H73" s="120">
        <v>90000</v>
      </c>
      <c r="I73" s="122">
        <v>97230</v>
      </c>
      <c r="J73" s="119">
        <f>I73/H73</f>
        <v>1.0803333333333334</v>
      </c>
      <c r="K73" s="116" t="s">
        <v>174</v>
      </c>
      <c r="L73" s="120">
        <v>90000</v>
      </c>
      <c r="M73" s="122">
        <v>367161.59999999998</v>
      </c>
      <c r="N73" s="119">
        <f>M73/L73</f>
        <v>4.0795733333333333</v>
      </c>
    </row>
    <row r="75" spans="3:14" x14ac:dyDescent="0.2">
      <c r="C75" s="405" t="s">
        <v>513</v>
      </c>
      <c r="D75" s="396"/>
      <c r="E75" s="396"/>
      <c r="F75" s="396"/>
      <c r="G75" s="396"/>
      <c r="H75" s="396"/>
      <c r="I75" s="396"/>
      <c r="J75" s="396"/>
    </row>
    <row r="76" spans="3:14" x14ac:dyDescent="0.2">
      <c r="C76" s="123"/>
      <c r="D76" s="115"/>
      <c r="E76" s="115"/>
      <c r="F76" s="115"/>
      <c r="G76" s="117"/>
      <c r="H76" s="124"/>
      <c r="I76" s="124"/>
      <c r="J76" s="124"/>
    </row>
    <row r="77" spans="3:14" x14ac:dyDescent="0.2">
      <c r="C77" s="124"/>
      <c r="D77" s="124"/>
      <c r="E77" s="124"/>
      <c r="F77" s="124"/>
      <c r="G77" s="117"/>
      <c r="H77" s="124"/>
      <c r="I77" s="124"/>
      <c r="J77" s="124"/>
    </row>
    <row r="78" spans="3:14" x14ac:dyDescent="0.2">
      <c r="C78" s="124"/>
      <c r="D78" s="124"/>
      <c r="E78" s="125" t="s">
        <v>514</v>
      </c>
      <c r="F78" s="114"/>
      <c r="G78" s="114"/>
      <c r="H78" s="126"/>
      <c r="I78" s="124"/>
      <c r="J78" s="124"/>
    </row>
    <row r="79" spans="3:14" x14ac:dyDescent="0.2">
      <c r="C79" s="124"/>
      <c r="D79" s="124"/>
      <c r="E79" s="125"/>
      <c r="F79" s="114" t="s">
        <v>515</v>
      </c>
      <c r="G79" s="114" t="s">
        <v>516</v>
      </c>
      <c r="H79" s="127" t="s">
        <v>30</v>
      </c>
      <c r="I79" s="124"/>
      <c r="J79" s="124"/>
    </row>
    <row r="80" spans="3:14" x14ac:dyDescent="0.2">
      <c r="C80" s="124"/>
      <c r="D80" s="124"/>
      <c r="E80" s="128" t="s">
        <v>517</v>
      </c>
      <c r="F80" s="129">
        <v>0.1</v>
      </c>
      <c r="G80" s="130">
        <v>7.0000000000000001E-3</v>
      </c>
      <c r="H80" s="130">
        <v>0.1</v>
      </c>
      <c r="I80" s="124"/>
      <c r="J80" s="124"/>
    </row>
    <row r="81" spans="3:13" x14ac:dyDescent="0.2">
      <c r="C81" s="124"/>
      <c r="D81" s="124"/>
      <c r="E81" s="128" t="s">
        <v>518</v>
      </c>
      <c r="F81" s="129">
        <v>0.1</v>
      </c>
      <c r="G81" s="130">
        <v>7.0000000000000001E-3</v>
      </c>
      <c r="H81" s="130">
        <v>0.1</v>
      </c>
      <c r="I81" s="124"/>
      <c r="J81" s="124"/>
    </row>
    <row r="82" spans="3:13" x14ac:dyDescent="0.2">
      <c r="C82" s="128"/>
      <c r="D82" s="131"/>
      <c r="E82" s="132" t="s">
        <v>519</v>
      </c>
      <c r="F82" s="133">
        <v>0.1</v>
      </c>
      <c r="G82" s="134">
        <v>7.0000000000000001E-3</v>
      </c>
      <c r="H82" s="134">
        <v>0.1</v>
      </c>
      <c r="I82" s="124"/>
      <c r="J82" s="124"/>
    </row>
    <row r="84" spans="3:13" ht="14.45" customHeight="1" x14ac:dyDescent="0.2">
      <c r="C84" s="401" t="s">
        <v>520</v>
      </c>
      <c r="D84" s="396"/>
      <c r="E84" s="396"/>
      <c r="F84" s="396"/>
      <c r="G84" s="396"/>
      <c r="H84" s="396"/>
      <c r="I84" s="396"/>
      <c r="J84" s="396"/>
    </row>
    <row r="85" spans="3:13" ht="14.45" customHeight="1" x14ac:dyDescent="0.2"/>
    <row r="86" spans="3:13" ht="14.45" customHeight="1" x14ac:dyDescent="0.2">
      <c r="D86" s="135" t="s">
        <v>521</v>
      </c>
      <c r="E86" s="136" t="s">
        <v>522</v>
      </c>
      <c r="F86" s="137" t="s">
        <v>523</v>
      </c>
      <c r="G86" s="137" t="s">
        <v>524</v>
      </c>
      <c r="H86" s="137" t="s">
        <v>525</v>
      </c>
      <c r="I86" s="136" t="s">
        <v>526</v>
      </c>
      <c r="J86" s="136" t="s">
        <v>527</v>
      </c>
      <c r="K86" s="137" t="s">
        <v>528</v>
      </c>
      <c r="L86" s="137" t="s">
        <v>529</v>
      </c>
    </row>
    <row r="87" spans="3:13" ht="14.45" customHeight="1" x14ac:dyDescent="0.2">
      <c r="D87" s="138" t="s">
        <v>258</v>
      </c>
      <c r="E87" s="139">
        <v>97230</v>
      </c>
      <c r="F87" s="139">
        <v>5646.1</v>
      </c>
      <c r="G87" s="139">
        <f>F87*0.1</f>
        <v>564.61</v>
      </c>
      <c r="H87" s="139">
        <v>0</v>
      </c>
      <c r="I87" s="399" t="str">
        <f>IF(J71&lt;100%,"NÃO BATEU","CUMPRIU")</f>
        <v>CUMPRIU</v>
      </c>
      <c r="J87" s="399" t="str">
        <f>IF(J72&lt;100%,"NÃO BATEU","CUMPRIU")</f>
        <v>CUMPRIU</v>
      </c>
      <c r="K87" s="140">
        <f>E87/E106</f>
        <v>0.17525246954035295</v>
      </c>
      <c r="L87" s="141">
        <f>G106*K87</f>
        <v>1138.7060753828953</v>
      </c>
    </row>
    <row r="88" spans="3:13" ht="14.45" customHeight="1" x14ac:dyDescent="0.2">
      <c r="D88" s="138" t="s">
        <v>30</v>
      </c>
      <c r="E88" s="139">
        <v>13507.5</v>
      </c>
      <c r="F88" s="139">
        <v>13507.5</v>
      </c>
      <c r="G88" s="139">
        <f>F88*0.1</f>
        <v>1350.75</v>
      </c>
      <c r="H88" s="139">
        <v>0</v>
      </c>
      <c r="I88" s="400"/>
      <c r="J88" s="400"/>
      <c r="K88" s="140">
        <f>IFERROR(E88/E107,0)</f>
        <v>0.19126213468507483</v>
      </c>
      <c r="L88" s="141">
        <f>G107*K88</f>
        <v>1350.75</v>
      </c>
    </row>
    <row r="89" spans="3:13" ht="14.45" customHeight="1" x14ac:dyDescent="0.25">
      <c r="D89" s="138"/>
      <c r="E89" s="142">
        <f>SUM(E87:E88)</f>
        <v>110737.5</v>
      </c>
      <c r="F89" s="142">
        <f>F87+F88</f>
        <v>19153.599999999999</v>
      </c>
      <c r="G89" s="143">
        <f>SUM(G87:G88)</f>
        <v>1915.3600000000001</v>
      </c>
      <c r="H89" s="144">
        <f>SUM(H87:H88)*-1</f>
        <v>0</v>
      </c>
      <c r="I89" s="138"/>
      <c r="J89" s="138"/>
      <c r="K89" s="138"/>
      <c r="L89" s="145">
        <f>SUM(L87:L88)</f>
        <v>2489.4560753828955</v>
      </c>
      <c r="M89" s="251">
        <f>G89+H89+L89</f>
        <v>4404.8160753828961</v>
      </c>
    </row>
    <row r="90" spans="3:13" ht="14.45" customHeight="1" x14ac:dyDescent="0.2"/>
    <row r="91" spans="3:13" ht="14.45" customHeight="1" x14ac:dyDescent="0.2">
      <c r="D91" s="135" t="s">
        <v>185</v>
      </c>
      <c r="E91" s="136" t="s">
        <v>530</v>
      </c>
      <c r="F91" s="137" t="s">
        <v>523</v>
      </c>
      <c r="G91" s="137" t="s">
        <v>524</v>
      </c>
      <c r="H91" s="137" t="s">
        <v>525</v>
      </c>
      <c r="I91" s="136" t="s">
        <v>526</v>
      </c>
      <c r="J91" s="136" t="s">
        <v>527</v>
      </c>
      <c r="K91" s="137" t="s">
        <v>528</v>
      </c>
      <c r="L91" s="137" t="s">
        <v>529</v>
      </c>
    </row>
    <row r="92" spans="3:13" ht="14.45" customHeight="1" x14ac:dyDescent="0.2">
      <c r="D92" s="138" t="s">
        <v>258</v>
      </c>
      <c r="E92" s="139">
        <v>31944</v>
      </c>
      <c r="F92" s="147">
        <v>7518.24</v>
      </c>
      <c r="G92" s="139">
        <v>0</v>
      </c>
      <c r="H92" s="139">
        <f>F92*0.1</f>
        <v>751.82400000000007</v>
      </c>
      <c r="I92" s="399" t="str">
        <f>IF(F71&lt;100%,"NÃO BATEU","CUMPRIU")</f>
        <v>NÃO BATEU</v>
      </c>
      <c r="J92" s="399" t="str">
        <f>IF(F72&lt;100%,"NÃO BATEU","CUMPRIU")</f>
        <v>CUMPRIU</v>
      </c>
      <c r="K92" s="140">
        <f>E92/E106</f>
        <v>5.75775469196445E-2</v>
      </c>
      <c r="L92" s="141">
        <f>K92*G106</f>
        <v>374.11114750623477</v>
      </c>
    </row>
    <row r="93" spans="3:13" ht="14.45" customHeight="1" x14ac:dyDescent="0.2">
      <c r="D93" s="138" t="s">
        <v>30</v>
      </c>
      <c r="E93" s="148">
        <v>2011.4</v>
      </c>
      <c r="F93" s="147">
        <v>2011.4</v>
      </c>
      <c r="G93" s="139">
        <v>0</v>
      </c>
      <c r="H93" s="139">
        <f>F93*0.1</f>
        <v>201.14000000000001</v>
      </c>
      <c r="I93" s="409"/>
      <c r="J93" s="409"/>
      <c r="K93" s="140">
        <f>E93/E107</f>
        <v>2.848081863450376E-2</v>
      </c>
      <c r="L93" s="141">
        <f>K93*G107</f>
        <v>201.14000000000001</v>
      </c>
    </row>
    <row r="94" spans="3:13" ht="14.45" customHeight="1" x14ac:dyDescent="0.2">
      <c r="D94" s="138" t="s">
        <v>35</v>
      </c>
      <c r="E94" s="149">
        <v>58464</v>
      </c>
      <c r="F94" s="150">
        <v>547.44000000000005</v>
      </c>
      <c r="G94" s="151">
        <v>0</v>
      </c>
      <c r="H94" s="139">
        <f>F94*0.1</f>
        <v>54.744000000000007</v>
      </c>
      <c r="I94" s="400"/>
      <c r="J94" s="400"/>
      <c r="K94" s="140">
        <f>E94/E106</f>
        <v>0.10537859075601352</v>
      </c>
      <c r="L94" s="141">
        <f>K94*G106</f>
        <v>684.6992902518316</v>
      </c>
    </row>
    <row r="95" spans="3:13" ht="14.45" customHeight="1" x14ac:dyDescent="0.25">
      <c r="D95" s="138"/>
      <c r="E95" s="142">
        <f>SUM(E92:E94)</f>
        <v>92419.4</v>
      </c>
      <c r="F95" s="142">
        <f>SUM(F92:F94)</f>
        <v>10077.08</v>
      </c>
      <c r="G95" s="143">
        <f>SUM(G92:G94)</f>
        <v>0</v>
      </c>
      <c r="H95" s="144">
        <f>SUM(H92:H94)*-1</f>
        <v>-1007.7080000000001</v>
      </c>
      <c r="I95" s="138"/>
      <c r="J95" s="152"/>
      <c r="L95" s="145">
        <f>SUM(L92:L94)</f>
        <v>1259.9504377580665</v>
      </c>
      <c r="M95" s="251">
        <f>G95+H95+L95</f>
        <v>252.24243775806644</v>
      </c>
    </row>
    <row r="96" spans="3:13" ht="14.45" customHeight="1" x14ac:dyDescent="0.2"/>
    <row r="97" spans="4:14" ht="14.45" customHeight="1" x14ac:dyDescent="0.2">
      <c r="D97" s="135" t="s">
        <v>187</v>
      </c>
      <c r="E97" s="136" t="s">
        <v>530</v>
      </c>
      <c r="F97" s="137" t="s">
        <v>523</v>
      </c>
      <c r="G97" s="137" t="s">
        <v>524</v>
      </c>
      <c r="H97" s="137" t="s">
        <v>525</v>
      </c>
      <c r="I97" s="136" t="s">
        <v>526</v>
      </c>
      <c r="J97" s="136" t="s">
        <v>527</v>
      </c>
      <c r="K97" s="154" t="s">
        <v>528</v>
      </c>
      <c r="L97" s="154" t="s">
        <v>529</v>
      </c>
      <c r="M97" s="137" t="s">
        <v>531</v>
      </c>
      <c r="N97" s="137" t="s">
        <v>532</v>
      </c>
    </row>
    <row r="98" spans="4:14" ht="14.45" customHeight="1" x14ac:dyDescent="0.2">
      <c r="D98" s="138" t="s">
        <v>258</v>
      </c>
      <c r="E98" s="139">
        <v>367161.59999999998</v>
      </c>
      <c r="F98" s="139">
        <v>51263.4</v>
      </c>
      <c r="G98" s="139">
        <f>F98*0.1</f>
        <v>5126.34</v>
      </c>
      <c r="H98" s="141">
        <v>0</v>
      </c>
      <c r="I98" s="399" t="str">
        <f>IF(N71&lt;100%,"NÃO BATEU","CUMPRIU")</f>
        <v>CUMPRIU</v>
      </c>
      <c r="J98" s="399" t="str">
        <f>IF(N72&lt;100%,"NÃO BATEU","CUMPRIU")</f>
        <v>CUMPRIU</v>
      </c>
      <c r="K98" s="140">
        <f>E98/E106</f>
        <v>0.66179139278398902</v>
      </c>
      <c r="L98" s="253">
        <f>K98*G106</f>
        <v>4300.0014868590397</v>
      </c>
      <c r="M98" s="156">
        <f>G89*0.1</f>
        <v>191.53600000000003</v>
      </c>
      <c r="N98" s="141">
        <v>3291.09</v>
      </c>
    </row>
    <row r="99" spans="4:14" ht="14.45" customHeight="1" x14ac:dyDescent="0.2">
      <c r="D99" s="138" t="s">
        <v>30</v>
      </c>
      <c r="E99" s="139">
        <v>55104.07</v>
      </c>
      <c r="F99" s="139">
        <v>55104.07</v>
      </c>
      <c r="G99" s="139">
        <f>F99*0.1</f>
        <v>5510.4070000000002</v>
      </c>
      <c r="H99" s="141">
        <v>0</v>
      </c>
      <c r="I99" s="409"/>
      <c r="J99" s="409"/>
      <c r="K99" s="140">
        <f>E99/E107</f>
        <v>0.7802570466804214</v>
      </c>
      <c r="L99" s="253">
        <f>K99*G107</f>
        <v>5510.4070000000002</v>
      </c>
      <c r="M99" s="156">
        <f>H95*0.25</f>
        <v>-251.92700000000002</v>
      </c>
      <c r="N99" s="157">
        <v>3879.73</v>
      </c>
    </row>
    <row r="100" spans="4:14" ht="14.45" customHeight="1" x14ac:dyDescent="0.2">
      <c r="D100" s="138" t="s">
        <v>35</v>
      </c>
      <c r="E100" s="139">
        <v>0</v>
      </c>
      <c r="F100" s="139">
        <v>0</v>
      </c>
      <c r="G100" s="139">
        <f>F100*0.1</f>
        <v>0</v>
      </c>
      <c r="H100" s="141">
        <v>0</v>
      </c>
      <c r="I100" s="409"/>
      <c r="J100" s="409"/>
      <c r="K100" s="140">
        <f>E100/E106</f>
        <v>0</v>
      </c>
      <c r="L100" s="253">
        <f>K100*G106</f>
        <v>0</v>
      </c>
      <c r="M100" s="156">
        <f>K100*G106</f>
        <v>0</v>
      </c>
      <c r="N100" s="141">
        <v>116.16</v>
      </c>
    </row>
    <row r="101" spans="4:14" ht="14.45" customHeight="1" x14ac:dyDescent="0.25">
      <c r="D101" s="138"/>
      <c r="E101" s="142">
        <f>SUM(E98:E100)</f>
        <v>422265.67</v>
      </c>
      <c r="F101" s="158">
        <f>SUM(F98:F100)</f>
        <v>106367.47</v>
      </c>
      <c r="G101" s="143">
        <f>SUM(G98:G100)</f>
        <v>10636.746999999999</v>
      </c>
      <c r="H101" s="159">
        <f>SUM(H98:H100)*-1</f>
        <v>0</v>
      </c>
      <c r="I101" s="400"/>
      <c r="J101" s="400"/>
      <c r="L101" s="252">
        <f>SUM(L98:L100)</f>
        <v>9810.4084868590398</v>
      </c>
      <c r="M101" s="161">
        <f>SUM(M98:M100)</f>
        <v>-60.390999999999991</v>
      </c>
      <c r="N101" s="162">
        <f>SUM(N98:N100)</f>
        <v>7286.98</v>
      </c>
    </row>
    <row r="102" spans="4:14" ht="14.45" customHeight="1" x14ac:dyDescent="0.25">
      <c r="N102" s="254">
        <f>G101+H101+N101+M101+L101</f>
        <v>27673.744486859039</v>
      </c>
    </row>
    <row r="103" spans="4:14" ht="14.45" customHeight="1" x14ac:dyDescent="0.2">
      <c r="G103" s="164" t="s">
        <v>533</v>
      </c>
    </row>
    <row r="104" spans="4:14" ht="14.45" customHeight="1" x14ac:dyDescent="0.25">
      <c r="F104" s="2" t="s">
        <v>534</v>
      </c>
      <c r="G104" s="164" t="s">
        <v>535</v>
      </c>
    </row>
    <row r="105" spans="4:14" ht="14.45" customHeight="1" x14ac:dyDescent="0.25">
      <c r="D105" s="165" t="s">
        <v>534</v>
      </c>
      <c r="E105" s="166">
        <f>E89+E95+E101</f>
        <v>625422.56999999995</v>
      </c>
      <c r="F105" s="166">
        <f>F89+F95+F101</f>
        <v>135598.15</v>
      </c>
      <c r="G105" s="167">
        <f>G106+G107</f>
        <v>13559.815000000002</v>
      </c>
    </row>
    <row r="106" spans="4:14" ht="14.45" customHeight="1" x14ac:dyDescent="0.25">
      <c r="D106" s="165" t="s">
        <v>536</v>
      </c>
      <c r="E106" s="166">
        <f>E87+E92+E98+E94+E100</f>
        <v>554799.6</v>
      </c>
      <c r="F106" s="166">
        <f>F87+F92+F98+F94+F100</f>
        <v>64975.180000000008</v>
      </c>
      <c r="G106" s="167">
        <f>IF(F107&gt;26500,(F106*0.1),0)</f>
        <v>6497.5180000000009</v>
      </c>
    </row>
    <row r="107" spans="4:14" ht="14.45" customHeight="1" x14ac:dyDescent="0.25">
      <c r="D107" s="165" t="s">
        <v>537</v>
      </c>
      <c r="E107" s="166">
        <f>E88+E93+E99</f>
        <v>70622.97</v>
      </c>
      <c r="F107" s="166">
        <f>F88+F93+F99</f>
        <v>70622.97</v>
      </c>
      <c r="G107" s="167">
        <f>IF(F107&gt;26500,(F107*0.1),0)</f>
        <v>7062.2970000000005</v>
      </c>
    </row>
    <row r="108" spans="4:14" ht="14.45" customHeight="1" thickBot="1" x14ac:dyDescent="0.25"/>
    <row r="109" spans="4:14" ht="15.6" customHeight="1" x14ac:dyDescent="0.25">
      <c r="D109" s="406" t="s">
        <v>538</v>
      </c>
      <c r="E109" s="407"/>
      <c r="F109" s="408"/>
    </row>
    <row r="110" spans="4:14" ht="15.6" customHeight="1" x14ac:dyDescent="0.25">
      <c r="D110" s="168" t="s">
        <v>2</v>
      </c>
      <c r="E110" s="404" t="s">
        <v>539</v>
      </c>
      <c r="F110" s="398"/>
    </row>
    <row r="111" spans="4:14" ht="15.6" customHeight="1" x14ac:dyDescent="0.25">
      <c r="D111" s="169" t="s">
        <v>540</v>
      </c>
      <c r="E111" s="397">
        <f>M89</f>
        <v>4404.8160753828961</v>
      </c>
      <c r="F111" s="398"/>
    </row>
    <row r="112" spans="4:14" ht="15.6" customHeight="1" x14ac:dyDescent="0.25">
      <c r="D112" s="169" t="s">
        <v>541</v>
      </c>
      <c r="E112" s="397">
        <f>M95</f>
        <v>252.24243775806644</v>
      </c>
      <c r="F112" s="398"/>
    </row>
    <row r="113" spans="4:10" ht="16.149999999999999" customHeight="1" thickBot="1" x14ac:dyDescent="0.3">
      <c r="D113" s="170" t="s">
        <v>22</v>
      </c>
      <c r="E113" s="410">
        <f>N102</f>
        <v>27673.744486859039</v>
      </c>
      <c r="F113" s="411"/>
    </row>
    <row r="114" spans="4:10" ht="15" customHeight="1" thickBot="1" x14ac:dyDescent="0.25"/>
    <row r="115" spans="4:10" ht="15.6" customHeight="1" x14ac:dyDescent="0.25">
      <c r="D115" s="171" t="s">
        <v>542</v>
      </c>
      <c r="E115" s="172"/>
      <c r="F115" s="173"/>
    </row>
    <row r="116" spans="4:10" ht="18" customHeight="1" x14ac:dyDescent="0.3">
      <c r="D116" s="174" t="s">
        <v>543</v>
      </c>
      <c r="E116" s="175"/>
      <c r="F116" s="176">
        <f>E106</f>
        <v>554799.6</v>
      </c>
    </row>
    <row r="117" spans="4:10" ht="18" customHeight="1" x14ac:dyDescent="0.3">
      <c r="D117" s="174" t="s">
        <v>544</v>
      </c>
      <c r="E117" s="175"/>
      <c r="F117" s="177">
        <f>F106/F116</f>
        <v>0.11711468429321148</v>
      </c>
      <c r="J117" s="255"/>
    </row>
    <row r="118" spans="4:10" ht="15.6" customHeight="1" x14ac:dyDescent="0.25">
      <c r="D118" s="174"/>
      <c r="E118" s="175"/>
      <c r="F118" s="178"/>
    </row>
    <row r="119" spans="4:10" ht="15.6" customHeight="1" x14ac:dyDescent="0.25">
      <c r="D119" s="179" t="s">
        <v>160</v>
      </c>
      <c r="E119" s="175"/>
      <c r="F119" s="178"/>
    </row>
    <row r="120" spans="4:10" ht="18" customHeight="1" x14ac:dyDescent="0.3">
      <c r="D120" s="174" t="s">
        <v>545</v>
      </c>
      <c r="E120" s="175"/>
      <c r="F120" s="176">
        <f>E107</f>
        <v>70622.97</v>
      </c>
    </row>
    <row r="121" spans="4:10" ht="18.600000000000001" customHeight="1" thickBot="1" x14ac:dyDescent="0.35">
      <c r="D121" s="180" t="s">
        <v>544</v>
      </c>
      <c r="E121" s="181"/>
      <c r="F121" s="182">
        <f>(F107+N99)/F120</f>
        <v>1.0549358091283898</v>
      </c>
    </row>
  </sheetData>
  <mergeCells count="16">
    <mergeCell ref="E113:F113"/>
    <mergeCell ref="I92:I94"/>
    <mergeCell ref="J92:J94"/>
    <mergeCell ref="I87:I88"/>
    <mergeCell ref="I98:I101"/>
    <mergeCell ref="K67:N67"/>
    <mergeCell ref="E111:F111"/>
    <mergeCell ref="E112:F112"/>
    <mergeCell ref="J87:J88"/>
    <mergeCell ref="C84:J84"/>
    <mergeCell ref="C67:F67"/>
    <mergeCell ref="G67:J67"/>
    <mergeCell ref="E110:F110"/>
    <mergeCell ref="C75:J75"/>
    <mergeCell ref="D109:F109"/>
    <mergeCell ref="J98:J101"/>
  </mergeCells>
  <conditionalFormatting sqref="I87:J87">
    <cfRule type="containsText" dxfId="11" priority="5" operator="containsText" text="CUMPRIU">
      <formula>NOT(ISERROR(SEARCH("CUMPRIU",I87)))</formula>
    </cfRule>
    <cfRule type="containsText" dxfId="10" priority="6" operator="containsText" text="NÃO">
      <formula>NOT(ISERROR(SEARCH("NÃO",I87)))</formula>
    </cfRule>
  </conditionalFormatting>
  <conditionalFormatting sqref="I92:J92">
    <cfRule type="containsText" dxfId="9" priority="3" operator="containsText" text="CUMPRIU">
      <formula>NOT(ISERROR(SEARCH("CUMPRIU",I92)))</formula>
    </cfRule>
    <cfRule type="containsText" dxfId="8" priority="4" operator="containsText" text="NÃO">
      <formula>NOT(ISERROR(SEARCH("NÃO",I92)))</formula>
    </cfRule>
  </conditionalFormatting>
  <conditionalFormatting sqref="I98:J98">
    <cfRule type="containsText" dxfId="7" priority="1" operator="containsText" text="CUMPRIU">
      <formula>NOT(ISERROR(SEARCH("CUMPRIU",I98)))</formula>
    </cfRule>
    <cfRule type="containsText" dxfId="6" priority="2" operator="containsText" text="NÃO">
      <formula>NOT(ISERROR(SEARCH("NÃO",I98)))</formula>
    </cfRule>
  </conditionalFormatting>
  <pageMargins left="0.511811024" right="0.511811024" top="0.78740157499999996" bottom="0.78740157499999996" header="0.31496062000000002" footer="0.31496062000000002"/>
  <pageSetup paperSize="9" scale="28" orientation="landscape"/>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T98"/>
  <sheetViews>
    <sheetView showGridLines="0" topLeftCell="A64" workbookViewId="0">
      <selection activeCell="F99" sqref="F99"/>
    </sheetView>
  </sheetViews>
  <sheetFormatPr defaultRowHeight="15" x14ac:dyDescent="0.25"/>
  <cols>
    <col min="1" max="1" width="10.140625" bestFit="1" customWidth="1"/>
    <col min="2" max="2" width="20.140625" bestFit="1" customWidth="1"/>
    <col min="3" max="3" width="15.28515625" bestFit="1" customWidth="1"/>
    <col min="4" max="4" width="34.28515625" bestFit="1" customWidth="1"/>
    <col min="5" max="5" width="18.5703125" bestFit="1" customWidth="1"/>
    <col min="6" max="6" width="23.28515625" bestFit="1" customWidth="1"/>
    <col min="7" max="7" width="10.5703125" bestFit="1" customWidth="1"/>
    <col min="8" max="8" width="13.7109375" bestFit="1" customWidth="1"/>
    <col min="9" max="9" width="11.85546875" bestFit="1" customWidth="1"/>
    <col min="10" max="10" width="14.5703125" bestFit="1" customWidth="1"/>
    <col min="11" max="11" width="23.140625" bestFit="1" customWidth="1"/>
    <col min="12" max="12" width="9.85546875" bestFit="1" customWidth="1"/>
    <col min="13" max="13" width="20.85546875" bestFit="1" customWidth="1"/>
    <col min="14" max="14" width="21.5703125" bestFit="1" customWidth="1"/>
    <col min="15" max="15" width="12.5703125" bestFit="1" customWidth="1"/>
    <col min="16" max="16" width="23.7109375" bestFit="1" customWidth="1"/>
    <col min="17" max="17" width="8.7109375" bestFit="1" customWidth="1"/>
    <col min="18" max="18" width="12.140625" bestFit="1" customWidth="1"/>
    <col min="19" max="19" width="12.28515625" bestFit="1" customWidth="1"/>
    <col min="20" max="20" width="20.85546875" bestFit="1" customWidth="1"/>
  </cols>
  <sheetData>
    <row r="1" spans="1:20" s="153" customFormat="1" ht="13.9" customHeight="1" x14ac:dyDescent="0.25">
      <c r="A1" s="91" t="s">
        <v>0</v>
      </c>
      <c r="B1" s="92" t="s">
        <v>1</v>
      </c>
      <c r="C1" s="92" t="s">
        <v>2</v>
      </c>
      <c r="D1" s="92" t="s">
        <v>3</v>
      </c>
      <c r="E1" s="92" t="s">
        <v>4</v>
      </c>
      <c r="F1" s="92" t="s">
        <v>5</v>
      </c>
      <c r="G1" s="92" t="s">
        <v>6</v>
      </c>
      <c r="H1" s="92" t="s">
        <v>7</v>
      </c>
      <c r="I1" s="92" t="s">
        <v>8</v>
      </c>
      <c r="J1" s="92" t="s">
        <v>10</v>
      </c>
      <c r="K1" s="93" t="s">
        <v>11</v>
      </c>
      <c r="L1" s="92" t="s">
        <v>12</v>
      </c>
      <c r="M1" s="93" t="s">
        <v>13</v>
      </c>
      <c r="N1" s="93" t="s">
        <v>14</v>
      </c>
      <c r="O1" s="92" t="s">
        <v>15</v>
      </c>
      <c r="P1" s="93" t="s">
        <v>16</v>
      </c>
      <c r="Q1" s="92" t="s">
        <v>17</v>
      </c>
      <c r="R1" s="92" t="s">
        <v>18</v>
      </c>
      <c r="S1" s="92" t="s">
        <v>20</v>
      </c>
      <c r="T1" s="94" t="s">
        <v>21</v>
      </c>
    </row>
    <row r="2" spans="1:20" s="111" customFormat="1" ht="13.9" customHeight="1" x14ac:dyDescent="0.25">
      <c r="A2" s="95">
        <v>46027</v>
      </c>
      <c r="B2" s="96">
        <v>133837</v>
      </c>
      <c r="C2" s="96" t="s">
        <v>22</v>
      </c>
      <c r="D2" s="96" t="s">
        <v>23</v>
      </c>
      <c r="E2" s="96" t="s">
        <v>24</v>
      </c>
      <c r="F2" s="96" t="s">
        <v>25</v>
      </c>
      <c r="G2" s="97">
        <v>180</v>
      </c>
      <c r="H2" s="98">
        <v>117</v>
      </c>
      <c r="I2" s="99">
        <v>17837.099999999999</v>
      </c>
      <c r="J2" s="100">
        <v>7.0000000000000007E-2</v>
      </c>
      <c r="K2" s="100">
        <v>0</v>
      </c>
      <c r="L2" s="99" t="s">
        <v>26</v>
      </c>
      <c r="M2" s="99">
        <v>1248.597</v>
      </c>
      <c r="N2" s="99">
        <v>0</v>
      </c>
      <c r="O2" s="96" t="s">
        <v>27</v>
      </c>
      <c r="P2" s="96" t="s">
        <v>27</v>
      </c>
      <c r="Q2" s="96"/>
      <c r="R2" s="96">
        <v>12</v>
      </c>
      <c r="S2" s="96" t="s">
        <v>28</v>
      </c>
      <c r="T2" s="101" t="s">
        <v>22</v>
      </c>
    </row>
    <row r="3" spans="1:20" s="111" customFormat="1" ht="13.9" customHeight="1" x14ac:dyDescent="0.25">
      <c r="A3" s="102">
        <v>46027</v>
      </c>
      <c r="B3" s="103">
        <v>133837</v>
      </c>
      <c r="C3" s="103" t="s">
        <v>22</v>
      </c>
      <c r="D3" s="103" t="s">
        <v>23</v>
      </c>
      <c r="E3" s="103" t="s">
        <v>29</v>
      </c>
      <c r="F3" s="103" t="s">
        <v>30</v>
      </c>
      <c r="G3" s="104">
        <v>3</v>
      </c>
      <c r="H3" s="105">
        <v>280</v>
      </c>
      <c r="I3" s="106">
        <v>840</v>
      </c>
      <c r="J3" s="107">
        <v>1</v>
      </c>
      <c r="K3" s="107">
        <v>0</v>
      </c>
      <c r="L3" s="106" t="s">
        <v>26</v>
      </c>
      <c r="M3" s="106">
        <v>840</v>
      </c>
      <c r="N3" s="106">
        <v>0</v>
      </c>
      <c r="O3" s="103" t="s">
        <v>27</v>
      </c>
      <c r="P3" s="103" t="s">
        <v>27</v>
      </c>
      <c r="Q3" s="103"/>
      <c r="R3" s="103">
        <v>1</v>
      </c>
      <c r="S3" s="103" t="s">
        <v>28</v>
      </c>
      <c r="T3" s="108" t="s">
        <v>22</v>
      </c>
    </row>
    <row r="4" spans="1:20" s="111" customFormat="1" ht="13.9" customHeight="1" x14ac:dyDescent="0.25">
      <c r="A4" s="95">
        <v>46027</v>
      </c>
      <c r="B4" s="96">
        <v>135649</v>
      </c>
      <c r="C4" s="96" t="s">
        <v>31</v>
      </c>
      <c r="D4" s="96" t="s">
        <v>32</v>
      </c>
      <c r="E4" s="96" t="s">
        <v>24</v>
      </c>
      <c r="F4" s="103" t="s">
        <v>25</v>
      </c>
      <c r="G4" s="97">
        <v>60</v>
      </c>
      <c r="H4" s="98">
        <v>133.33000000000001</v>
      </c>
      <c r="I4" s="106">
        <v>7999.8000000000011</v>
      </c>
      <c r="J4" s="107">
        <v>6.6699999999999995E-2</v>
      </c>
      <c r="K4" s="100">
        <v>1.6674999999999999E-2</v>
      </c>
      <c r="L4" s="99" t="s">
        <v>26</v>
      </c>
      <c r="M4" s="106">
        <v>533.58666000000005</v>
      </c>
      <c r="N4" s="99">
        <v>133.39666500000001</v>
      </c>
      <c r="O4" s="96" t="s">
        <v>27</v>
      </c>
      <c r="P4" s="96" t="s">
        <v>27</v>
      </c>
      <c r="Q4" s="96"/>
      <c r="R4" s="96">
        <v>3</v>
      </c>
      <c r="S4" s="96" t="s">
        <v>28</v>
      </c>
      <c r="T4" s="101" t="s">
        <v>31</v>
      </c>
    </row>
    <row r="5" spans="1:20" s="111" customFormat="1" ht="13.9" customHeight="1" x14ac:dyDescent="0.25">
      <c r="A5" s="95">
        <v>46027</v>
      </c>
      <c r="B5" s="96">
        <v>135649</v>
      </c>
      <c r="C5" s="96" t="s">
        <v>31</v>
      </c>
      <c r="D5" s="96" t="s">
        <v>32</v>
      </c>
      <c r="E5" s="96" t="s">
        <v>33</v>
      </c>
      <c r="F5" s="103" t="s">
        <v>30</v>
      </c>
      <c r="G5" s="97">
        <v>78</v>
      </c>
      <c r="H5" s="98">
        <v>12.65</v>
      </c>
      <c r="I5" s="106">
        <v>986.7</v>
      </c>
      <c r="J5" s="107">
        <v>1</v>
      </c>
      <c r="K5" s="100">
        <v>0.25</v>
      </c>
      <c r="L5" s="99" t="s">
        <v>26</v>
      </c>
      <c r="M5" s="106">
        <v>986.7</v>
      </c>
      <c r="N5" s="99">
        <v>246.67500000000001</v>
      </c>
      <c r="O5" s="96" t="s">
        <v>27</v>
      </c>
      <c r="P5" s="96" t="s">
        <v>27</v>
      </c>
      <c r="Q5" s="96"/>
      <c r="R5" s="96">
        <v>1</v>
      </c>
      <c r="S5" s="96" t="s">
        <v>28</v>
      </c>
      <c r="T5" s="101" t="s">
        <v>31</v>
      </c>
    </row>
    <row r="6" spans="1:20" s="111" customFormat="1" ht="13.9" customHeight="1" x14ac:dyDescent="0.25">
      <c r="A6" s="95">
        <v>46034</v>
      </c>
      <c r="B6" s="96">
        <v>134739</v>
      </c>
      <c r="C6" s="96" t="s">
        <v>31</v>
      </c>
      <c r="D6" s="96" t="s">
        <v>34</v>
      </c>
      <c r="E6" s="96" t="s">
        <v>35</v>
      </c>
      <c r="F6" s="96" t="s">
        <v>35</v>
      </c>
      <c r="G6" s="97">
        <v>6</v>
      </c>
      <c r="H6" s="98">
        <v>158.40100000000001</v>
      </c>
      <c r="I6" s="106">
        <v>950.40600000000006</v>
      </c>
      <c r="J6" s="107">
        <v>7.0000000000000001E-3</v>
      </c>
      <c r="K6" s="100">
        <v>1.75E-3</v>
      </c>
      <c r="L6" s="99" t="s">
        <v>26</v>
      </c>
      <c r="M6" s="106">
        <v>6.6528420000000006</v>
      </c>
      <c r="N6" s="99">
        <v>1.6632104999999999</v>
      </c>
      <c r="O6" s="96" t="s">
        <v>36</v>
      </c>
      <c r="P6" s="96" t="s">
        <v>37</v>
      </c>
      <c r="Q6" s="96"/>
      <c r="R6" s="96">
        <v>1</v>
      </c>
      <c r="S6" s="96" t="s">
        <v>38</v>
      </c>
      <c r="T6" s="101" t="s">
        <v>31</v>
      </c>
    </row>
    <row r="7" spans="1:20" s="111" customFormat="1" ht="13.9" customHeight="1" x14ac:dyDescent="0.25">
      <c r="A7" s="95">
        <v>46034</v>
      </c>
      <c r="B7" s="96">
        <v>136315</v>
      </c>
      <c r="C7" s="96" t="s">
        <v>22</v>
      </c>
      <c r="D7" s="96" t="s">
        <v>39</v>
      </c>
      <c r="E7" s="96" t="s">
        <v>40</v>
      </c>
      <c r="F7" s="96" t="s">
        <v>41</v>
      </c>
      <c r="G7" s="97">
        <v>1</v>
      </c>
      <c r="H7" s="98">
        <v>15053.87</v>
      </c>
      <c r="I7" s="106">
        <v>15053.87</v>
      </c>
      <c r="J7" s="107">
        <v>7.0000000000000007E-2</v>
      </c>
      <c r="K7" s="100">
        <v>0</v>
      </c>
      <c r="L7" s="99" t="s">
        <v>26</v>
      </c>
      <c r="M7" s="106">
        <v>1053.7709</v>
      </c>
      <c r="N7" s="99">
        <v>0</v>
      </c>
      <c r="O7" s="96" t="s">
        <v>27</v>
      </c>
      <c r="P7" s="96" t="s">
        <v>27</v>
      </c>
      <c r="Q7" s="96"/>
      <c r="R7" s="96">
        <v>6</v>
      </c>
      <c r="S7" s="96" t="s">
        <v>28</v>
      </c>
      <c r="T7" s="101" t="s">
        <v>22</v>
      </c>
    </row>
    <row r="8" spans="1:20" s="111" customFormat="1" ht="13.9" customHeight="1" x14ac:dyDescent="0.25">
      <c r="A8" s="95">
        <v>46034</v>
      </c>
      <c r="B8" s="96">
        <v>136315</v>
      </c>
      <c r="C8" s="96" t="s">
        <v>22</v>
      </c>
      <c r="D8" s="96" t="s">
        <v>39</v>
      </c>
      <c r="E8" s="96" t="s">
        <v>42</v>
      </c>
      <c r="F8" s="96" t="s">
        <v>30</v>
      </c>
      <c r="G8" s="97">
        <v>1</v>
      </c>
      <c r="H8" s="98">
        <v>275.62</v>
      </c>
      <c r="I8" s="106">
        <v>275.62</v>
      </c>
      <c r="J8" s="107">
        <v>1</v>
      </c>
      <c r="K8" s="100">
        <v>0</v>
      </c>
      <c r="L8" s="99" t="s">
        <v>26</v>
      </c>
      <c r="M8" s="106">
        <v>275.62</v>
      </c>
      <c r="N8" s="99">
        <v>0</v>
      </c>
      <c r="O8" s="96" t="s">
        <v>27</v>
      </c>
      <c r="P8" s="96" t="s">
        <v>27</v>
      </c>
      <c r="Q8" s="96"/>
      <c r="R8" s="96">
        <v>1</v>
      </c>
      <c r="S8" s="96" t="s">
        <v>28</v>
      </c>
      <c r="T8" s="101" t="s">
        <v>22</v>
      </c>
    </row>
    <row r="9" spans="1:20" s="111" customFormat="1" ht="13.9" customHeight="1" x14ac:dyDescent="0.25">
      <c r="A9" s="95">
        <v>46043</v>
      </c>
      <c r="B9" s="96">
        <v>132374</v>
      </c>
      <c r="C9" s="96" t="s">
        <v>31</v>
      </c>
      <c r="D9" s="96" t="s">
        <v>43</v>
      </c>
      <c r="E9" s="96" t="s">
        <v>24</v>
      </c>
      <c r="F9" s="96" t="s">
        <v>25</v>
      </c>
      <c r="G9" s="97">
        <v>94</v>
      </c>
      <c r="H9" s="98">
        <v>178.5</v>
      </c>
      <c r="I9" s="106">
        <v>16779</v>
      </c>
      <c r="J9" s="107">
        <v>6.6699999999999995E-2</v>
      </c>
      <c r="K9" s="100">
        <v>1.6674999999999999E-2</v>
      </c>
      <c r="L9" s="99" t="s">
        <v>26</v>
      </c>
      <c r="M9" s="106">
        <v>1119.1593</v>
      </c>
      <c r="N9" s="99">
        <v>279.78982500000001</v>
      </c>
      <c r="O9" s="96" t="s">
        <v>36</v>
      </c>
      <c r="P9" s="96" t="s">
        <v>37</v>
      </c>
      <c r="Q9" s="96"/>
      <c r="R9" s="96">
        <v>10</v>
      </c>
      <c r="S9" s="96" t="s">
        <v>28</v>
      </c>
      <c r="T9" s="101" t="s">
        <v>31</v>
      </c>
    </row>
    <row r="10" spans="1:20" s="111" customFormat="1" ht="13.9" customHeight="1" x14ac:dyDescent="0.25">
      <c r="A10" s="95">
        <v>46043</v>
      </c>
      <c r="B10" s="96">
        <v>132678</v>
      </c>
      <c r="C10" s="96" t="s">
        <v>44</v>
      </c>
      <c r="D10" s="96" t="s">
        <v>45</v>
      </c>
      <c r="E10" s="96" t="s">
        <v>24</v>
      </c>
      <c r="F10" s="96" t="s">
        <v>25</v>
      </c>
      <c r="G10" s="97">
        <v>270</v>
      </c>
      <c r="H10" s="98">
        <v>190</v>
      </c>
      <c r="I10" s="99">
        <v>51300</v>
      </c>
      <c r="J10" s="100">
        <v>7.0000000000000007E-2</v>
      </c>
      <c r="K10" s="100">
        <v>1.7500000000000002E-2</v>
      </c>
      <c r="L10" s="99" t="s">
        <v>46</v>
      </c>
      <c r="M10" s="99">
        <v>3591</v>
      </c>
      <c r="N10" s="99">
        <v>897.75000000000011</v>
      </c>
      <c r="O10" s="96" t="s">
        <v>27</v>
      </c>
      <c r="P10" s="96" t="s">
        <v>27</v>
      </c>
      <c r="Q10" s="96"/>
      <c r="R10" s="96">
        <v>10</v>
      </c>
      <c r="S10" s="96" t="s">
        <v>28</v>
      </c>
      <c r="T10" s="101" t="s">
        <v>44</v>
      </c>
    </row>
    <row r="11" spans="1:20" s="111" customFormat="1" ht="13.9" customHeight="1" x14ac:dyDescent="0.25">
      <c r="A11" s="95">
        <v>46043</v>
      </c>
      <c r="B11" s="96">
        <v>132678</v>
      </c>
      <c r="C11" s="96" t="s">
        <v>44</v>
      </c>
      <c r="D11" s="96" t="s">
        <v>45</v>
      </c>
      <c r="E11" s="96" t="s">
        <v>47</v>
      </c>
      <c r="F11" s="96" t="s">
        <v>30</v>
      </c>
      <c r="G11" s="97">
        <v>5</v>
      </c>
      <c r="H11" s="98">
        <v>275.62</v>
      </c>
      <c r="I11" s="99">
        <v>1378.1</v>
      </c>
      <c r="J11" s="100">
        <v>1</v>
      </c>
      <c r="K11" s="100">
        <v>0.25</v>
      </c>
      <c r="L11" s="99" t="s">
        <v>46</v>
      </c>
      <c r="M11" s="99">
        <v>1378.1</v>
      </c>
      <c r="N11" s="99">
        <v>344.52499999999998</v>
      </c>
      <c r="O11" s="96" t="s">
        <v>27</v>
      </c>
      <c r="P11" s="96" t="s">
        <v>27</v>
      </c>
      <c r="Q11" s="96"/>
      <c r="R11" s="96">
        <v>1</v>
      </c>
      <c r="S11" s="96" t="s">
        <v>28</v>
      </c>
      <c r="T11" s="101" t="s">
        <v>44</v>
      </c>
    </row>
    <row r="12" spans="1:20" s="111" customFormat="1" ht="13.9" customHeight="1" x14ac:dyDescent="0.25">
      <c r="A12" s="95">
        <v>46043</v>
      </c>
      <c r="B12" s="96">
        <v>132678</v>
      </c>
      <c r="C12" s="96" t="s">
        <v>44</v>
      </c>
      <c r="D12" s="96" t="s">
        <v>45</v>
      </c>
      <c r="E12" s="96" t="s">
        <v>48</v>
      </c>
      <c r="F12" s="96" t="s">
        <v>30</v>
      </c>
      <c r="G12" s="97">
        <v>1</v>
      </c>
      <c r="H12" s="98">
        <v>356.4</v>
      </c>
      <c r="I12" s="99">
        <v>356.4</v>
      </c>
      <c r="J12" s="100">
        <v>1</v>
      </c>
      <c r="K12" s="100">
        <v>0.25</v>
      </c>
      <c r="L12" s="99" t="s">
        <v>46</v>
      </c>
      <c r="M12" s="99">
        <v>356.4</v>
      </c>
      <c r="N12" s="99">
        <v>89.1</v>
      </c>
      <c r="O12" s="96" t="s">
        <v>27</v>
      </c>
      <c r="P12" s="96" t="s">
        <v>27</v>
      </c>
      <c r="Q12" s="96"/>
      <c r="R12" s="96">
        <v>1</v>
      </c>
      <c r="S12" s="96" t="s">
        <v>28</v>
      </c>
      <c r="T12" s="101" t="s">
        <v>44</v>
      </c>
    </row>
    <row r="13" spans="1:20" s="111" customFormat="1" ht="13.9" customHeight="1" x14ac:dyDescent="0.25">
      <c r="A13" s="95">
        <v>46043</v>
      </c>
      <c r="B13" s="96">
        <v>136662</v>
      </c>
      <c r="C13" s="96" t="s">
        <v>31</v>
      </c>
      <c r="D13" s="96" t="s">
        <v>49</v>
      </c>
      <c r="E13" s="96" t="s">
        <v>24</v>
      </c>
      <c r="F13" s="96" t="s">
        <v>25</v>
      </c>
      <c r="G13" s="97">
        <v>10</v>
      </c>
      <c r="H13" s="98">
        <v>210</v>
      </c>
      <c r="I13" s="99">
        <v>2100</v>
      </c>
      <c r="J13" s="100">
        <v>7.0000000000000007E-2</v>
      </c>
      <c r="K13" s="100">
        <v>1.7500000000000002E-2</v>
      </c>
      <c r="L13" s="99" t="s">
        <v>26</v>
      </c>
      <c r="M13" s="99">
        <v>147</v>
      </c>
      <c r="N13" s="99">
        <v>36.75</v>
      </c>
      <c r="O13" s="96" t="s">
        <v>36</v>
      </c>
      <c r="P13" s="96" t="s">
        <v>37</v>
      </c>
      <c r="Q13" s="96"/>
      <c r="R13" s="96">
        <v>4</v>
      </c>
      <c r="S13" s="96" t="s">
        <v>38</v>
      </c>
      <c r="T13" s="101" t="s">
        <v>31</v>
      </c>
    </row>
    <row r="14" spans="1:20" s="111" customFormat="1" ht="13.9" customHeight="1" x14ac:dyDescent="0.25">
      <c r="A14" s="95">
        <v>46043</v>
      </c>
      <c r="B14" s="96" t="s">
        <v>50</v>
      </c>
      <c r="C14" s="96" t="s">
        <v>22</v>
      </c>
      <c r="D14" s="96" t="s">
        <v>51</v>
      </c>
      <c r="E14" s="96" t="s">
        <v>47</v>
      </c>
      <c r="F14" s="96" t="s">
        <v>25</v>
      </c>
      <c r="G14" s="97">
        <v>240</v>
      </c>
      <c r="H14" s="98">
        <v>200</v>
      </c>
      <c r="I14" s="99">
        <v>48000</v>
      </c>
      <c r="J14" s="100">
        <v>7.0000000000000007E-2</v>
      </c>
      <c r="K14" s="100">
        <v>0</v>
      </c>
      <c r="L14" s="99" t="s">
        <v>46</v>
      </c>
      <c r="M14" s="99">
        <v>3360</v>
      </c>
      <c r="N14" s="99">
        <v>0</v>
      </c>
      <c r="O14" s="96" t="s">
        <v>27</v>
      </c>
      <c r="P14" s="96" t="s">
        <v>27</v>
      </c>
      <c r="Q14" s="96"/>
      <c r="R14" s="96">
        <v>6</v>
      </c>
      <c r="S14" s="96" t="s">
        <v>28</v>
      </c>
      <c r="T14" s="101" t="s">
        <v>22</v>
      </c>
    </row>
    <row r="15" spans="1:20" s="111" customFormat="1" ht="13.9" customHeight="1" x14ac:dyDescent="0.25">
      <c r="A15" s="95">
        <v>46043</v>
      </c>
      <c r="B15" s="96" t="s">
        <v>50</v>
      </c>
      <c r="C15" s="96" t="s">
        <v>22</v>
      </c>
      <c r="D15" s="96" t="s">
        <v>51</v>
      </c>
      <c r="E15" s="96" t="s">
        <v>52</v>
      </c>
      <c r="F15" s="96" t="s">
        <v>41</v>
      </c>
      <c r="G15" s="97">
        <v>1</v>
      </c>
      <c r="H15" s="98">
        <v>8100</v>
      </c>
      <c r="I15" s="99">
        <v>8100</v>
      </c>
      <c r="J15" s="100">
        <v>7.0000000000000007E-2</v>
      </c>
      <c r="K15" s="100">
        <v>0</v>
      </c>
      <c r="L15" s="99" t="s">
        <v>46</v>
      </c>
      <c r="M15" s="99">
        <v>567</v>
      </c>
      <c r="N15" s="99">
        <v>0</v>
      </c>
      <c r="O15" s="96" t="s">
        <v>27</v>
      </c>
      <c r="P15" s="96" t="s">
        <v>27</v>
      </c>
      <c r="Q15" s="96"/>
      <c r="R15" s="96">
        <v>6</v>
      </c>
      <c r="S15" s="96" t="s">
        <v>28</v>
      </c>
      <c r="T15" s="101" t="s">
        <v>22</v>
      </c>
    </row>
    <row r="16" spans="1:20" s="111" customFormat="1" ht="13.9" customHeight="1" x14ac:dyDescent="0.25">
      <c r="A16" s="95">
        <v>46043</v>
      </c>
      <c r="B16" s="96" t="s">
        <v>50</v>
      </c>
      <c r="C16" s="96" t="s">
        <v>22</v>
      </c>
      <c r="D16" s="96" t="s">
        <v>51</v>
      </c>
      <c r="E16" s="96" t="s">
        <v>53</v>
      </c>
      <c r="F16" s="96" t="s">
        <v>41</v>
      </c>
      <c r="G16" s="97">
        <v>1</v>
      </c>
      <c r="H16" s="98">
        <v>1600</v>
      </c>
      <c r="I16" s="99">
        <v>1600</v>
      </c>
      <c r="J16" s="100">
        <v>7.0000000000000007E-2</v>
      </c>
      <c r="K16" s="100">
        <v>0</v>
      </c>
      <c r="L16" s="99" t="s">
        <v>46</v>
      </c>
      <c r="M16" s="99">
        <v>112</v>
      </c>
      <c r="N16" s="99">
        <v>0</v>
      </c>
      <c r="O16" s="96" t="s">
        <v>27</v>
      </c>
      <c r="P16" s="96" t="s">
        <v>27</v>
      </c>
      <c r="Q16" s="96"/>
      <c r="R16" s="96">
        <v>6</v>
      </c>
      <c r="S16" s="96" t="s">
        <v>28</v>
      </c>
      <c r="T16" s="101" t="s">
        <v>22</v>
      </c>
    </row>
    <row r="17" spans="1:20" s="111" customFormat="1" ht="13.9" customHeight="1" x14ac:dyDescent="0.25">
      <c r="A17" s="95">
        <v>46043</v>
      </c>
      <c r="B17" s="96" t="s">
        <v>50</v>
      </c>
      <c r="C17" s="96" t="s">
        <v>22</v>
      </c>
      <c r="D17" s="96" t="s">
        <v>51</v>
      </c>
      <c r="E17" s="96" t="s">
        <v>47</v>
      </c>
      <c r="F17" s="96" t="s">
        <v>30</v>
      </c>
      <c r="G17" s="97">
        <v>8</v>
      </c>
      <c r="H17" s="98">
        <v>250</v>
      </c>
      <c r="I17" s="99">
        <v>2000</v>
      </c>
      <c r="J17" s="100">
        <v>1</v>
      </c>
      <c r="K17" s="100">
        <v>0</v>
      </c>
      <c r="L17" s="99" t="s">
        <v>46</v>
      </c>
      <c r="M17" s="99">
        <v>2000</v>
      </c>
      <c r="N17" s="99">
        <v>0</v>
      </c>
      <c r="O17" s="96" t="s">
        <v>27</v>
      </c>
      <c r="P17" s="96" t="s">
        <v>27</v>
      </c>
      <c r="Q17" s="96"/>
      <c r="R17" s="96">
        <v>1</v>
      </c>
      <c r="S17" s="96" t="s">
        <v>28</v>
      </c>
      <c r="T17" s="101" t="s">
        <v>22</v>
      </c>
    </row>
    <row r="18" spans="1:20" s="111" customFormat="1" ht="13.9" customHeight="1" x14ac:dyDescent="0.25">
      <c r="A18" s="95">
        <v>46043</v>
      </c>
      <c r="B18" s="96" t="s">
        <v>50</v>
      </c>
      <c r="C18" s="96" t="s">
        <v>22</v>
      </c>
      <c r="D18" s="96" t="s">
        <v>51</v>
      </c>
      <c r="E18" s="96" t="s">
        <v>54</v>
      </c>
      <c r="F18" s="96" t="s">
        <v>30</v>
      </c>
      <c r="G18" s="97">
        <v>4</v>
      </c>
      <c r="H18" s="98">
        <v>100</v>
      </c>
      <c r="I18" s="99">
        <v>400</v>
      </c>
      <c r="J18" s="100">
        <v>1</v>
      </c>
      <c r="K18" s="100">
        <v>0</v>
      </c>
      <c r="L18" s="99" t="s">
        <v>46</v>
      </c>
      <c r="M18" s="99">
        <v>400</v>
      </c>
      <c r="N18" s="99">
        <v>0</v>
      </c>
      <c r="O18" s="96" t="s">
        <v>27</v>
      </c>
      <c r="P18" s="96" t="s">
        <v>27</v>
      </c>
      <c r="Q18" s="96"/>
      <c r="R18" s="96">
        <v>1</v>
      </c>
      <c r="S18" s="96" t="s">
        <v>28</v>
      </c>
      <c r="T18" s="101" t="s">
        <v>22</v>
      </c>
    </row>
    <row r="19" spans="1:20" s="111" customFormat="1" ht="13.9" customHeight="1" x14ac:dyDescent="0.25">
      <c r="A19" s="95">
        <v>46043</v>
      </c>
      <c r="B19" s="96" t="s">
        <v>50</v>
      </c>
      <c r="C19" s="96" t="s">
        <v>22</v>
      </c>
      <c r="D19" s="96" t="s">
        <v>51</v>
      </c>
      <c r="E19" s="96" t="s">
        <v>52</v>
      </c>
      <c r="F19" s="96" t="s">
        <v>30</v>
      </c>
      <c r="G19" s="97">
        <v>1</v>
      </c>
      <c r="H19" s="98">
        <v>1080</v>
      </c>
      <c r="I19" s="99">
        <v>1080</v>
      </c>
      <c r="J19" s="100">
        <v>1</v>
      </c>
      <c r="K19" s="100">
        <v>0</v>
      </c>
      <c r="L19" s="99" t="s">
        <v>46</v>
      </c>
      <c r="M19" s="99">
        <v>1080</v>
      </c>
      <c r="N19" s="99">
        <v>0</v>
      </c>
      <c r="O19" s="96" t="s">
        <v>27</v>
      </c>
      <c r="P19" s="96" t="s">
        <v>27</v>
      </c>
      <c r="Q19" s="96"/>
      <c r="R19" s="96">
        <v>1</v>
      </c>
      <c r="S19" s="96" t="s">
        <v>28</v>
      </c>
      <c r="T19" s="101" t="s">
        <v>22</v>
      </c>
    </row>
    <row r="20" spans="1:20" s="111" customFormat="1" ht="13.9" customHeight="1" x14ac:dyDescent="0.25">
      <c r="A20" s="95">
        <v>46043</v>
      </c>
      <c r="B20" s="96" t="s">
        <v>50</v>
      </c>
      <c r="C20" s="96" t="s">
        <v>22</v>
      </c>
      <c r="D20" s="96" t="s">
        <v>51</v>
      </c>
      <c r="E20" s="96" t="s">
        <v>55</v>
      </c>
      <c r="F20" s="96" t="s">
        <v>30</v>
      </c>
      <c r="G20" s="97">
        <v>30</v>
      </c>
      <c r="H20" s="98">
        <v>90</v>
      </c>
      <c r="I20" s="99">
        <v>2700</v>
      </c>
      <c r="J20" s="100">
        <v>1</v>
      </c>
      <c r="K20" s="100">
        <v>0</v>
      </c>
      <c r="L20" s="99" t="s">
        <v>46</v>
      </c>
      <c r="M20" s="99">
        <v>2700</v>
      </c>
      <c r="N20" s="99">
        <v>0</v>
      </c>
      <c r="O20" s="96" t="s">
        <v>27</v>
      </c>
      <c r="P20" s="96" t="s">
        <v>27</v>
      </c>
      <c r="Q20" s="96"/>
      <c r="R20" s="96">
        <v>1</v>
      </c>
      <c r="S20" s="96" t="s">
        <v>28</v>
      </c>
      <c r="T20" s="101" t="s">
        <v>22</v>
      </c>
    </row>
    <row r="21" spans="1:20" s="111" customFormat="1" ht="13.9" customHeight="1" x14ac:dyDescent="0.25">
      <c r="A21" s="95">
        <v>46043</v>
      </c>
      <c r="B21" s="96" t="s">
        <v>50</v>
      </c>
      <c r="C21" s="96" t="s">
        <v>22</v>
      </c>
      <c r="D21" s="96" t="s">
        <v>51</v>
      </c>
      <c r="E21" s="96" t="s">
        <v>48</v>
      </c>
      <c r="F21" s="96" t="s">
        <v>30</v>
      </c>
      <c r="G21" s="97">
        <v>1</v>
      </c>
      <c r="H21" s="98">
        <v>356.4</v>
      </c>
      <c r="I21" s="99">
        <v>356.4</v>
      </c>
      <c r="J21" s="100">
        <v>1</v>
      </c>
      <c r="K21" s="100">
        <v>0</v>
      </c>
      <c r="L21" s="99" t="s">
        <v>46</v>
      </c>
      <c r="M21" s="99">
        <v>356.4</v>
      </c>
      <c r="N21" s="99">
        <v>0</v>
      </c>
      <c r="O21" s="96" t="s">
        <v>27</v>
      </c>
      <c r="P21" s="96" t="s">
        <v>27</v>
      </c>
      <c r="Q21" s="96"/>
      <c r="R21" s="96">
        <v>1</v>
      </c>
      <c r="S21" s="96" t="s">
        <v>28</v>
      </c>
      <c r="T21" s="101" t="s">
        <v>22</v>
      </c>
    </row>
    <row r="22" spans="1:20" s="111" customFormat="1" ht="13.9" customHeight="1" x14ac:dyDescent="0.25">
      <c r="A22" s="95">
        <v>46043</v>
      </c>
      <c r="B22" s="96" t="s">
        <v>50</v>
      </c>
      <c r="C22" s="96" t="s">
        <v>22</v>
      </c>
      <c r="D22" s="96" t="s">
        <v>51</v>
      </c>
      <c r="E22" s="96" t="s">
        <v>56</v>
      </c>
      <c r="F22" s="96" t="s">
        <v>30</v>
      </c>
      <c r="G22" s="97">
        <v>1</v>
      </c>
      <c r="H22" s="98">
        <v>197</v>
      </c>
      <c r="I22" s="99">
        <v>197</v>
      </c>
      <c r="J22" s="100">
        <v>1</v>
      </c>
      <c r="K22" s="100">
        <v>0</v>
      </c>
      <c r="L22" s="99" t="s">
        <v>46</v>
      </c>
      <c r="M22" s="99">
        <v>197</v>
      </c>
      <c r="N22" s="99">
        <v>0</v>
      </c>
      <c r="O22" s="96" t="s">
        <v>27</v>
      </c>
      <c r="P22" s="96" t="s">
        <v>27</v>
      </c>
      <c r="Q22" s="96"/>
      <c r="R22" s="96">
        <v>1</v>
      </c>
      <c r="S22" s="96" t="s">
        <v>28</v>
      </c>
      <c r="T22" s="101" t="s">
        <v>22</v>
      </c>
    </row>
    <row r="23" spans="1:20" s="111" customFormat="1" ht="13.9" customHeight="1" x14ac:dyDescent="0.25">
      <c r="A23" s="95">
        <v>46043</v>
      </c>
      <c r="B23" s="96" t="s">
        <v>50</v>
      </c>
      <c r="C23" s="96" t="s">
        <v>22</v>
      </c>
      <c r="D23" s="96" t="s">
        <v>51</v>
      </c>
      <c r="E23" s="96" t="s">
        <v>53</v>
      </c>
      <c r="F23" s="96" t="s">
        <v>30</v>
      </c>
      <c r="G23" s="97">
        <v>1</v>
      </c>
      <c r="H23" s="98">
        <v>2524.7199999999998</v>
      </c>
      <c r="I23" s="99">
        <v>2524.7199999999998</v>
      </c>
      <c r="J23" s="100">
        <v>1</v>
      </c>
      <c r="K23" s="100">
        <v>0</v>
      </c>
      <c r="L23" s="99" t="s">
        <v>46</v>
      </c>
      <c r="M23" s="99">
        <v>2524.7199999999998</v>
      </c>
      <c r="N23" s="99">
        <v>0</v>
      </c>
      <c r="O23" s="96" t="s">
        <v>27</v>
      </c>
      <c r="P23" s="96" t="s">
        <v>27</v>
      </c>
      <c r="Q23" s="96"/>
      <c r="R23" s="96">
        <v>1</v>
      </c>
      <c r="S23" s="96" t="s">
        <v>28</v>
      </c>
      <c r="T23" s="101" t="s">
        <v>22</v>
      </c>
    </row>
    <row r="24" spans="1:20" s="111" customFormat="1" ht="13.9" customHeight="1" x14ac:dyDescent="0.25">
      <c r="A24" s="95">
        <v>46043</v>
      </c>
      <c r="B24" s="96">
        <v>114426</v>
      </c>
      <c r="C24" s="96" t="s">
        <v>31</v>
      </c>
      <c r="D24" s="96" t="s">
        <v>57</v>
      </c>
      <c r="E24" s="96" t="s">
        <v>24</v>
      </c>
      <c r="F24" s="96" t="s">
        <v>25</v>
      </c>
      <c r="G24" s="97">
        <v>11</v>
      </c>
      <c r="H24" s="98">
        <v>210</v>
      </c>
      <c r="I24" s="99">
        <v>2310</v>
      </c>
      <c r="J24" s="100">
        <v>7.0000000000000007E-2</v>
      </c>
      <c r="K24" s="100">
        <v>1.7500000000000002E-2</v>
      </c>
      <c r="L24" s="99" t="s">
        <v>26</v>
      </c>
      <c r="M24" s="99">
        <v>161.69999999999999</v>
      </c>
      <c r="N24" s="99">
        <v>40.424999999999997</v>
      </c>
      <c r="O24" s="96" t="s">
        <v>36</v>
      </c>
      <c r="P24" s="96" t="s">
        <v>37</v>
      </c>
      <c r="Q24" s="96"/>
      <c r="R24" s="96">
        <v>6</v>
      </c>
      <c r="S24" s="96" t="s">
        <v>38</v>
      </c>
      <c r="T24" s="101" t="s">
        <v>31</v>
      </c>
    </row>
    <row r="25" spans="1:20" s="111" customFormat="1" ht="13.9" customHeight="1" x14ac:dyDescent="0.25">
      <c r="A25" s="95">
        <v>46043</v>
      </c>
      <c r="B25" s="96">
        <v>136856</v>
      </c>
      <c r="C25" s="96" t="s">
        <v>31</v>
      </c>
      <c r="D25" s="96" t="s">
        <v>58</v>
      </c>
      <c r="E25" s="96" t="s">
        <v>59</v>
      </c>
      <c r="F25" s="96" t="s">
        <v>25</v>
      </c>
      <c r="G25" s="97">
        <v>16</v>
      </c>
      <c r="H25" s="98">
        <v>178.5</v>
      </c>
      <c r="I25" s="99">
        <v>2856</v>
      </c>
      <c r="J25" s="100">
        <v>6.6699999999999995E-2</v>
      </c>
      <c r="K25" s="100">
        <v>1.6674999999999999E-2</v>
      </c>
      <c r="L25" s="99" t="s">
        <v>26</v>
      </c>
      <c r="M25" s="99">
        <v>190.49520000000001</v>
      </c>
      <c r="N25" s="99">
        <v>47.623800000000003</v>
      </c>
      <c r="O25" s="96" t="s">
        <v>27</v>
      </c>
      <c r="P25" s="96" t="s">
        <v>27</v>
      </c>
      <c r="Q25" s="96"/>
      <c r="R25" s="96">
        <v>6</v>
      </c>
      <c r="S25" s="96" t="s">
        <v>28</v>
      </c>
      <c r="T25" s="101" t="s">
        <v>31</v>
      </c>
    </row>
    <row r="26" spans="1:20" s="111" customFormat="1" ht="13.9" customHeight="1" x14ac:dyDescent="0.25">
      <c r="A26" s="95">
        <v>46043</v>
      </c>
      <c r="B26" s="96">
        <v>136856</v>
      </c>
      <c r="C26" s="96" t="s">
        <v>31</v>
      </c>
      <c r="D26" s="96" t="s">
        <v>58</v>
      </c>
      <c r="E26" s="96" t="s">
        <v>59</v>
      </c>
      <c r="F26" s="96" t="s">
        <v>30</v>
      </c>
      <c r="G26" s="97">
        <v>1</v>
      </c>
      <c r="H26" s="98">
        <v>641.52</v>
      </c>
      <c r="I26" s="99">
        <v>641.52</v>
      </c>
      <c r="J26" s="100">
        <v>1</v>
      </c>
      <c r="K26" s="100">
        <v>0.25</v>
      </c>
      <c r="L26" s="99" t="s">
        <v>26</v>
      </c>
      <c r="M26" s="99">
        <v>641.52</v>
      </c>
      <c r="N26" s="99">
        <v>160.38</v>
      </c>
      <c r="O26" s="96" t="s">
        <v>27</v>
      </c>
      <c r="P26" s="96" t="s">
        <v>27</v>
      </c>
      <c r="Q26" s="96"/>
      <c r="R26" s="96">
        <v>1</v>
      </c>
      <c r="S26" s="96" t="s">
        <v>28</v>
      </c>
      <c r="T26" s="101" t="s">
        <v>31</v>
      </c>
    </row>
    <row r="27" spans="1:20" s="111" customFormat="1" ht="13.9" customHeight="1" x14ac:dyDescent="0.25">
      <c r="A27" s="95">
        <v>46044</v>
      </c>
      <c r="B27" s="96">
        <v>134776</v>
      </c>
      <c r="C27" s="96" t="s">
        <v>31</v>
      </c>
      <c r="D27" s="96" t="s">
        <v>60</v>
      </c>
      <c r="E27" s="96" t="s">
        <v>35</v>
      </c>
      <c r="F27" s="96" t="s">
        <v>35</v>
      </c>
      <c r="G27" s="97">
        <v>8</v>
      </c>
      <c r="H27" s="98">
        <v>176</v>
      </c>
      <c r="I27" s="99">
        <v>1408</v>
      </c>
      <c r="J27" s="100">
        <v>0.01</v>
      </c>
      <c r="K27" s="100">
        <v>2.5000000000000001E-3</v>
      </c>
      <c r="L27" s="99" t="s">
        <v>26</v>
      </c>
      <c r="M27" s="99">
        <v>14.08</v>
      </c>
      <c r="N27" s="99">
        <v>3.52</v>
      </c>
      <c r="O27" s="96" t="s">
        <v>36</v>
      </c>
      <c r="P27" s="96" t="s">
        <v>37</v>
      </c>
      <c r="Q27" s="96"/>
      <c r="R27" s="96">
        <v>3</v>
      </c>
      <c r="S27" s="96" t="s">
        <v>38</v>
      </c>
      <c r="T27" s="101" t="s">
        <v>31</v>
      </c>
    </row>
    <row r="28" spans="1:20" s="111" customFormat="1" ht="13.9" customHeight="1" x14ac:dyDescent="0.25">
      <c r="A28" s="95">
        <v>46044</v>
      </c>
      <c r="B28" s="96">
        <v>136981</v>
      </c>
      <c r="C28" s="96" t="s">
        <v>31</v>
      </c>
      <c r="D28" s="96" t="s">
        <v>34</v>
      </c>
      <c r="E28" s="96" t="s">
        <v>40</v>
      </c>
      <c r="F28" s="96" t="s">
        <v>41</v>
      </c>
      <c r="G28" s="97">
        <v>1</v>
      </c>
      <c r="H28" s="98">
        <v>2419.1799999999998</v>
      </c>
      <c r="I28" s="99">
        <v>2419.1799999999998</v>
      </c>
      <c r="J28" s="100">
        <v>6.6669999999999993E-2</v>
      </c>
      <c r="K28" s="100">
        <v>1.6667499999999998E-2</v>
      </c>
      <c r="L28" s="99" t="s">
        <v>26</v>
      </c>
      <c r="M28" s="99">
        <v>161.2867306</v>
      </c>
      <c r="N28" s="99">
        <v>40.321682649999993</v>
      </c>
      <c r="O28" s="96" t="s">
        <v>27</v>
      </c>
      <c r="P28" s="96" t="s">
        <v>27</v>
      </c>
      <c r="Q28" s="96"/>
      <c r="R28" s="96">
        <v>6</v>
      </c>
      <c r="S28" s="96" t="s">
        <v>28</v>
      </c>
      <c r="T28" s="101" t="s">
        <v>31</v>
      </c>
    </row>
    <row r="29" spans="1:20" s="111" customFormat="1" ht="13.9" customHeight="1" x14ac:dyDescent="0.25">
      <c r="A29" s="95">
        <v>46044</v>
      </c>
      <c r="B29" s="96">
        <v>136981</v>
      </c>
      <c r="C29" s="96" t="s">
        <v>31</v>
      </c>
      <c r="D29" s="96" t="s">
        <v>34</v>
      </c>
      <c r="E29" s="96" t="s">
        <v>40</v>
      </c>
      <c r="F29" s="96" t="s">
        <v>25</v>
      </c>
      <c r="G29" s="97">
        <v>16</v>
      </c>
      <c r="H29" s="98">
        <v>178.68</v>
      </c>
      <c r="I29" s="99">
        <v>2858.88</v>
      </c>
      <c r="J29" s="100">
        <v>6.6699999999999995E-2</v>
      </c>
      <c r="K29" s="100">
        <v>1.6674999999999999E-2</v>
      </c>
      <c r="L29" s="99" t="s">
        <v>26</v>
      </c>
      <c r="M29" s="99">
        <v>190.687296</v>
      </c>
      <c r="N29" s="99">
        <v>47.671824000000001</v>
      </c>
      <c r="O29" s="96" t="s">
        <v>27</v>
      </c>
      <c r="P29" s="96" t="s">
        <v>27</v>
      </c>
      <c r="Q29" s="96"/>
      <c r="R29" s="96">
        <v>6</v>
      </c>
      <c r="S29" s="96" t="s">
        <v>28</v>
      </c>
      <c r="T29" s="101" t="s">
        <v>31</v>
      </c>
    </row>
    <row r="30" spans="1:20" s="111" customFormat="1" ht="13.9" customHeight="1" x14ac:dyDescent="0.25">
      <c r="A30" s="95">
        <v>46048</v>
      </c>
      <c r="B30" s="96">
        <v>137055</v>
      </c>
      <c r="C30" s="96" t="s">
        <v>31</v>
      </c>
      <c r="D30" s="96" t="s">
        <v>61</v>
      </c>
      <c r="E30" s="96" t="s">
        <v>52</v>
      </c>
      <c r="F30" s="96" t="s">
        <v>41</v>
      </c>
      <c r="G30" s="97">
        <v>1</v>
      </c>
      <c r="H30" s="98">
        <v>8100</v>
      </c>
      <c r="I30" s="99">
        <v>8100</v>
      </c>
      <c r="J30" s="100">
        <v>7.0000000000000007E-2</v>
      </c>
      <c r="K30" s="100">
        <v>1.7500000000000002E-2</v>
      </c>
      <c r="L30" s="99" t="s">
        <v>26</v>
      </c>
      <c r="M30" s="99">
        <v>567</v>
      </c>
      <c r="N30" s="99">
        <v>141.75</v>
      </c>
      <c r="O30" s="96" t="s">
        <v>27</v>
      </c>
      <c r="P30" s="96" t="s">
        <v>27</v>
      </c>
      <c r="Q30" s="96"/>
      <c r="R30" s="96">
        <v>6</v>
      </c>
      <c r="S30" s="96" t="s">
        <v>28</v>
      </c>
      <c r="T30" s="101" t="s">
        <v>31</v>
      </c>
    </row>
    <row r="31" spans="1:20" s="111" customFormat="1" ht="13.9" customHeight="1" x14ac:dyDescent="0.25">
      <c r="A31" s="95">
        <v>46048</v>
      </c>
      <c r="B31" s="96">
        <v>137055</v>
      </c>
      <c r="C31" s="96" t="s">
        <v>31</v>
      </c>
      <c r="D31" s="96" t="s">
        <v>61</v>
      </c>
      <c r="E31" s="96" t="s">
        <v>52</v>
      </c>
      <c r="F31" s="96" t="s">
        <v>30</v>
      </c>
      <c r="G31" s="97">
        <v>1</v>
      </c>
      <c r="H31" s="98">
        <v>1070</v>
      </c>
      <c r="I31" s="99">
        <v>1070</v>
      </c>
      <c r="J31" s="100">
        <v>1</v>
      </c>
      <c r="K31" s="100">
        <v>0.25</v>
      </c>
      <c r="L31" s="99" t="s">
        <v>26</v>
      </c>
      <c r="M31" s="99">
        <v>1070</v>
      </c>
      <c r="N31" s="99">
        <v>267.5</v>
      </c>
      <c r="O31" s="96" t="s">
        <v>27</v>
      </c>
      <c r="P31" s="96" t="s">
        <v>27</v>
      </c>
      <c r="Q31" s="96"/>
      <c r="R31" s="96">
        <v>1</v>
      </c>
      <c r="S31" s="96" t="s">
        <v>28</v>
      </c>
      <c r="T31" s="101" t="s">
        <v>31</v>
      </c>
    </row>
    <row r="32" spans="1:20" s="111" customFormat="1" ht="13.9" customHeight="1" x14ac:dyDescent="0.25">
      <c r="A32" s="95">
        <v>46052</v>
      </c>
      <c r="B32" s="96">
        <v>137171</v>
      </c>
      <c r="C32" s="96" t="s">
        <v>44</v>
      </c>
      <c r="D32" s="96" t="s">
        <v>62</v>
      </c>
      <c r="E32" s="96" t="s">
        <v>47</v>
      </c>
      <c r="F32" s="96" t="s">
        <v>25</v>
      </c>
      <c r="G32" s="97">
        <v>300</v>
      </c>
      <c r="H32" s="98">
        <v>166.67</v>
      </c>
      <c r="I32" s="99">
        <v>50000.999999999993</v>
      </c>
      <c r="J32" s="100">
        <v>0.05</v>
      </c>
      <c r="K32" s="100">
        <v>1.2500000000000001E-2</v>
      </c>
      <c r="L32" s="99" t="s">
        <v>46</v>
      </c>
      <c r="M32" s="99">
        <v>2500.0500000000002</v>
      </c>
      <c r="N32" s="99">
        <v>625.01249999999993</v>
      </c>
      <c r="O32" s="96" t="s">
        <v>27</v>
      </c>
      <c r="P32" s="96" t="s">
        <v>27</v>
      </c>
      <c r="Q32" s="96"/>
      <c r="R32" s="96">
        <v>10</v>
      </c>
      <c r="S32" s="96" t="s">
        <v>28</v>
      </c>
      <c r="T32" s="101" t="s">
        <v>44</v>
      </c>
    </row>
    <row r="33" spans="1:20" s="111" customFormat="1" ht="13.9" customHeight="1" x14ac:dyDescent="0.25">
      <c r="A33" s="95">
        <v>46052</v>
      </c>
      <c r="B33" s="96">
        <v>137171</v>
      </c>
      <c r="C33" s="96" t="s">
        <v>44</v>
      </c>
      <c r="D33" s="96" t="s">
        <v>62</v>
      </c>
      <c r="E33" s="96" t="s">
        <v>47</v>
      </c>
      <c r="F33" s="96" t="s">
        <v>30</v>
      </c>
      <c r="G33" s="97">
        <v>7</v>
      </c>
      <c r="H33" s="98">
        <v>240</v>
      </c>
      <c r="I33" s="99">
        <v>1680</v>
      </c>
      <c r="J33" s="100">
        <v>1</v>
      </c>
      <c r="K33" s="100">
        <v>0.25</v>
      </c>
      <c r="L33" s="99" t="s">
        <v>46</v>
      </c>
      <c r="M33" s="99">
        <v>1680</v>
      </c>
      <c r="N33" s="99">
        <v>420</v>
      </c>
      <c r="O33" s="96" t="s">
        <v>27</v>
      </c>
      <c r="P33" s="96" t="s">
        <v>27</v>
      </c>
      <c r="Q33" s="96"/>
      <c r="R33" s="96">
        <v>1</v>
      </c>
      <c r="S33" s="96" t="s">
        <v>28</v>
      </c>
      <c r="T33" s="101" t="s">
        <v>44</v>
      </c>
    </row>
    <row r="34" spans="1:20" s="111" customFormat="1" ht="13.9" customHeight="1" x14ac:dyDescent="0.25">
      <c r="A34" s="95">
        <v>46052</v>
      </c>
      <c r="B34" s="96">
        <v>137171</v>
      </c>
      <c r="C34" s="96" t="s">
        <v>44</v>
      </c>
      <c r="D34" s="96" t="s">
        <v>62</v>
      </c>
      <c r="E34" s="96" t="s">
        <v>54</v>
      </c>
      <c r="F34" s="96" t="s">
        <v>30</v>
      </c>
      <c r="G34" s="97">
        <v>1</v>
      </c>
      <c r="H34" s="98">
        <v>140</v>
      </c>
      <c r="I34" s="99">
        <v>140</v>
      </c>
      <c r="J34" s="100">
        <v>1</v>
      </c>
      <c r="K34" s="100">
        <v>0.25</v>
      </c>
      <c r="L34" s="99" t="s">
        <v>46</v>
      </c>
      <c r="M34" s="99">
        <v>140</v>
      </c>
      <c r="N34" s="99">
        <v>35</v>
      </c>
      <c r="O34" s="96" t="s">
        <v>27</v>
      </c>
      <c r="P34" s="96" t="s">
        <v>27</v>
      </c>
      <c r="Q34" s="96"/>
      <c r="R34" s="96">
        <v>1</v>
      </c>
      <c r="S34" s="96" t="s">
        <v>28</v>
      </c>
      <c r="T34" s="101" t="s">
        <v>44</v>
      </c>
    </row>
    <row r="35" spans="1:20" s="111" customFormat="1" ht="13.9" customHeight="1" x14ac:dyDescent="0.25">
      <c r="A35" s="95">
        <v>46052</v>
      </c>
      <c r="B35" s="96">
        <v>137171</v>
      </c>
      <c r="C35" s="96" t="s">
        <v>44</v>
      </c>
      <c r="D35" s="96" t="s">
        <v>62</v>
      </c>
      <c r="E35" s="96" t="s">
        <v>63</v>
      </c>
      <c r="F35" s="96" t="s">
        <v>30</v>
      </c>
      <c r="G35" s="97">
        <v>10</v>
      </c>
      <c r="H35" s="98">
        <v>88</v>
      </c>
      <c r="I35" s="99">
        <v>880</v>
      </c>
      <c r="J35" s="100">
        <v>1</v>
      </c>
      <c r="K35" s="100">
        <v>0.25</v>
      </c>
      <c r="L35" s="99" t="s">
        <v>46</v>
      </c>
      <c r="M35" s="99">
        <v>880</v>
      </c>
      <c r="N35" s="99">
        <v>220</v>
      </c>
      <c r="O35" s="96" t="s">
        <v>27</v>
      </c>
      <c r="P35" s="96" t="s">
        <v>27</v>
      </c>
      <c r="Q35" s="96"/>
      <c r="R35" s="96">
        <v>1</v>
      </c>
      <c r="S35" s="96" t="s">
        <v>28</v>
      </c>
      <c r="T35" s="101" t="s">
        <v>44</v>
      </c>
    </row>
    <row r="36" spans="1:20" s="111" customFormat="1" ht="13.9" customHeight="1" x14ac:dyDescent="0.25">
      <c r="A36" s="95">
        <v>46052</v>
      </c>
      <c r="B36" s="96">
        <v>120629</v>
      </c>
      <c r="C36" s="96" t="s">
        <v>31</v>
      </c>
      <c r="D36" s="96" t="s">
        <v>64</v>
      </c>
      <c r="E36" s="96" t="s">
        <v>24</v>
      </c>
      <c r="F36" s="96" t="s">
        <v>25</v>
      </c>
      <c r="G36" s="97">
        <v>45</v>
      </c>
      <c r="H36" s="98">
        <v>158</v>
      </c>
      <c r="I36" s="99">
        <v>7110</v>
      </c>
      <c r="J36" s="100">
        <v>0.01</v>
      </c>
      <c r="K36" s="100">
        <v>2.5000000000000001E-3</v>
      </c>
      <c r="L36" s="99" t="s">
        <v>26</v>
      </c>
      <c r="M36" s="99">
        <v>71.100000000000009</v>
      </c>
      <c r="N36" s="99">
        <v>17.774999999999999</v>
      </c>
      <c r="O36" s="96" t="s">
        <v>36</v>
      </c>
      <c r="P36" s="96" t="s">
        <v>37</v>
      </c>
      <c r="Q36" s="96"/>
      <c r="R36" s="96">
        <v>6</v>
      </c>
      <c r="S36" s="96" t="s">
        <v>38</v>
      </c>
      <c r="T36" s="101" t="s">
        <v>31</v>
      </c>
    </row>
    <row r="37" spans="1:20" s="111" customFormat="1" ht="13.9" customHeight="1" x14ac:dyDescent="0.25">
      <c r="A37" s="95">
        <v>46052</v>
      </c>
      <c r="B37" s="96">
        <v>137074</v>
      </c>
      <c r="C37" s="96" t="s">
        <v>31</v>
      </c>
      <c r="D37" s="96" t="s">
        <v>65</v>
      </c>
      <c r="E37" s="96" t="s">
        <v>35</v>
      </c>
      <c r="F37" s="96" t="s">
        <v>35</v>
      </c>
      <c r="G37" s="97">
        <v>16</v>
      </c>
      <c r="H37" s="98">
        <v>176</v>
      </c>
      <c r="I37" s="99">
        <v>2816</v>
      </c>
      <c r="J37" s="100">
        <v>0.01</v>
      </c>
      <c r="K37" s="100">
        <v>2.5000000000000001E-3</v>
      </c>
      <c r="L37" s="99" t="s">
        <v>26</v>
      </c>
      <c r="M37" s="99">
        <v>28.16</v>
      </c>
      <c r="N37" s="99">
        <v>7.04</v>
      </c>
      <c r="O37" s="96" t="s">
        <v>36</v>
      </c>
      <c r="P37" s="96" t="s">
        <v>37</v>
      </c>
      <c r="Q37" s="96"/>
      <c r="R37" s="96">
        <v>1</v>
      </c>
      <c r="S37" s="96" t="s">
        <v>38</v>
      </c>
      <c r="T37" s="101" t="s">
        <v>31</v>
      </c>
    </row>
    <row r="38" spans="1:20" s="111" customFormat="1" ht="13.9" customHeight="1" x14ac:dyDescent="0.25">
      <c r="A38" s="95">
        <v>46052</v>
      </c>
      <c r="B38" s="96">
        <v>137309</v>
      </c>
      <c r="C38" s="96" t="s">
        <v>31</v>
      </c>
      <c r="D38" s="96" t="s">
        <v>66</v>
      </c>
      <c r="E38" s="96" t="s">
        <v>35</v>
      </c>
      <c r="F38" s="96" t="s">
        <v>35</v>
      </c>
      <c r="G38" s="97">
        <v>5</v>
      </c>
      <c r="H38" s="98">
        <v>176</v>
      </c>
      <c r="I38" s="99">
        <v>880</v>
      </c>
      <c r="J38" s="100">
        <v>0.01</v>
      </c>
      <c r="K38" s="100">
        <v>2.5000000000000001E-3</v>
      </c>
      <c r="L38" s="99" t="s">
        <v>26</v>
      </c>
      <c r="M38" s="99">
        <v>8.8000000000000007</v>
      </c>
      <c r="N38" s="99">
        <v>2.2000000000000002</v>
      </c>
      <c r="O38" s="96" t="s">
        <v>36</v>
      </c>
      <c r="P38" s="96" t="s">
        <v>37</v>
      </c>
      <c r="Q38" s="96"/>
      <c r="R38" s="96">
        <v>3</v>
      </c>
      <c r="S38" s="96" t="s">
        <v>38</v>
      </c>
      <c r="T38" s="101" t="s">
        <v>31</v>
      </c>
    </row>
    <row r="39" spans="1:20" s="111" customFormat="1" ht="13.9" customHeight="1" x14ac:dyDescent="0.25">
      <c r="A39" s="95">
        <v>46052</v>
      </c>
      <c r="B39" s="96">
        <v>125596</v>
      </c>
      <c r="C39" s="96" t="s">
        <v>22</v>
      </c>
      <c r="D39" s="96" t="s">
        <v>67</v>
      </c>
      <c r="E39" s="96" t="s">
        <v>24</v>
      </c>
      <c r="F39" s="96" t="s">
        <v>25</v>
      </c>
      <c r="G39" s="97">
        <v>40</v>
      </c>
      <c r="H39" s="98">
        <v>180</v>
      </c>
      <c r="I39" s="99">
        <v>7200</v>
      </c>
      <c r="J39" s="100">
        <v>7.0000000000000007E-2</v>
      </c>
      <c r="K39" s="100">
        <v>0</v>
      </c>
      <c r="L39" s="99" t="s">
        <v>26</v>
      </c>
      <c r="M39" s="99">
        <v>504.00000000000011</v>
      </c>
      <c r="N39" s="99">
        <v>0</v>
      </c>
      <c r="O39" s="96" t="s">
        <v>36</v>
      </c>
      <c r="P39" s="96" t="s">
        <v>37</v>
      </c>
      <c r="Q39" s="96"/>
      <c r="R39" s="96">
        <v>6</v>
      </c>
      <c r="S39" s="96" t="s">
        <v>38</v>
      </c>
      <c r="T39" s="101" t="s">
        <v>22</v>
      </c>
    </row>
    <row r="40" spans="1:20" s="111" customFormat="1" ht="13.9" customHeight="1" x14ac:dyDescent="0.25">
      <c r="A40" s="109" t="s">
        <v>150</v>
      </c>
      <c r="B40" s="103"/>
      <c r="C40" s="103"/>
      <c r="D40" s="103"/>
      <c r="E40" s="103"/>
      <c r="F40" s="103"/>
      <c r="G40" s="103"/>
      <c r="H40" s="105"/>
      <c r="I40" s="106">
        <f>SUBTOTAL(109,Tabela3[VlrTotal])</f>
        <v>275185.696</v>
      </c>
      <c r="J40" s="103"/>
      <c r="K40" s="103"/>
      <c r="L40" s="103"/>
      <c r="M40" s="106">
        <f>SUBTOTAL(109,Tabela3[[ComissãoVendedor ]])</f>
        <v>33642.585928600012</v>
      </c>
      <c r="N40" s="106">
        <f>SUBTOTAL(109,Tabela3[ComissãoSupervisor])</f>
        <v>4105.8695071499997</v>
      </c>
      <c r="O40" s="103"/>
      <c r="P40" s="103"/>
      <c r="Q40" s="103"/>
      <c r="R40" s="103"/>
      <c r="S40" s="103"/>
      <c r="T40" s="108">
        <f>SUBTOTAL(103,Tabela3[SDR_RESPONSÁVEL])</f>
        <v>38</v>
      </c>
    </row>
    <row r="42" spans="1:20" x14ac:dyDescent="0.25">
      <c r="C42" s="110" t="s">
        <v>546</v>
      </c>
      <c r="D42" s="111"/>
      <c r="E42" s="111"/>
      <c r="F42" s="111"/>
      <c r="G42" s="111"/>
      <c r="H42" s="111"/>
      <c r="I42" s="111"/>
      <c r="J42" s="111"/>
      <c r="K42" s="111"/>
      <c r="L42" s="111"/>
      <c r="M42" s="111"/>
      <c r="N42" s="111"/>
    </row>
    <row r="43" spans="1:20" x14ac:dyDescent="0.25">
      <c r="C43" s="112" t="s">
        <v>183</v>
      </c>
      <c r="D43" s="112"/>
      <c r="E43" s="112"/>
      <c r="F43" s="112"/>
      <c r="G43" s="112"/>
      <c r="H43" s="112"/>
      <c r="I43" s="112"/>
      <c r="J43" s="112"/>
      <c r="K43" s="112"/>
      <c r="L43" s="112"/>
      <c r="M43" s="112"/>
      <c r="N43" s="112"/>
    </row>
    <row r="44" spans="1:20" x14ac:dyDescent="0.25">
      <c r="C44" s="402" t="s">
        <v>185</v>
      </c>
      <c r="D44" s="392"/>
      <c r="E44" s="392"/>
      <c r="F44" s="392"/>
      <c r="G44" s="403" t="s">
        <v>186</v>
      </c>
      <c r="H44" s="392"/>
      <c r="I44" s="392"/>
      <c r="J44" s="392"/>
      <c r="K44" s="395" t="s">
        <v>187</v>
      </c>
      <c r="L44" s="392"/>
      <c r="M44" s="392"/>
      <c r="N44" s="392"/>
    </row>
    <row r="45" spans="1:20" x14ac:dyDescent="0.25">
      <c r="C45" s="113"/>
      <c r="D45" s="114" t="s">
        <v>156</v>
      </c>
      <c r="E45" s="115" t="s">
        <v>188</v>
      </c>
      <c r="F45" s="115" t="s">
        <v>158</v>
      </c>
      <c r="G45" s="113"/>
      <c r="H45" s="114" t="s">
        <v>156</v>
      </c>
      <c r="I45" s="115" t="s">
        <v>188</v>
      </c>
      <c r="J45" s="115" t="s">
        <v>158</v>
      </c>
      <c r="K45" s="113"/>
      <c r="L45" s="114" t="s">
        <v>156</v>
      </c>
      <c r="M45" s="115" t="s">
        <v>188</v>
      </c>
      <c r="N45" s="115" t="s">
        <v>158</v>
      </c>
    </row>
    <row r="46" spans="1:20" x14ac:dyDescent="0.25">
      <c r="C46" s="116" t="s">
        <v>189</v>
      </c>
      <c r="D46" s="117">
        <v>15</v>
      </c>
      <c r="E46" s="118">
        <v>24</v>
      </c>
      <c r="F46" s="119">
        <f>E46/D46</f>
        <v>1.6</v>
      </c>
      <c r="G46" s="116" t="s">
        <v>189</v>
      </c>
      <c r="H46" s="117">
        <v>15</v>
      </c>
      <c r="I46" s="118">
        <v>16</v>
      </c>
      <c r="J46" s="119">
        <f>I46/H46</f>
        <v>1.0666666666666667</v>
      </c>
      <c r="K46" s="116" t="s">
        <v>189</v>
      </c>
      <c r="L46" s="117">
        <v>15</v>
      </c>
      <c r="M46" s="118">
        <v>10</v>
      </c>
      <c r="N46" s="119">
        <f>M46/L46</f>
        <v>0.66666666666666663</v>
      </c>
    </row>
    <row r="47" spans="1:20" x14ac:dyDescent="0.25">
      <c r="C47" s="116" t="s">
        <v>190</v>
      </c>
      <c r="D47" s="117">
        <v>12</v>
      </c>
      <c r="E47" s="118">
        <v>16</v>
      </c>
      <c r="F47" s="119">
        <f>E47/D47</f>
        <v>1.3333333333333333</v>
      </c>
      <c r="G47" s="116" t="s">
        <v>190</v>
      </c>
      <c r="H47" s="117">
        <v>12</v>
      </c>
      <c r="I47" s="118">
        <v>16</v>
      </c>
      <c r="J47" s="119">
        <f>I47/H47</f>
        <v>1.3333333333333333</v>
      </c>
      <c r="K47" s="116" t="s">
        <v>190</v>
      </c>
      <c r="L47" s="117">
        <v>12</v>
      </c>
      <c r="M47" s="118">
        <v>10</v>
      </c>
      <c r="N47" s="119">
        <f>M47/L47</f>
        <v>0.83333333333333337</v>
      </c>
    </row>
    <row r="48" spans="1:20" x14ac:dyDescent="0.25">
      <c r="C48" s="116" t="s">
        <v>173</v>
      </c>
      <c r="D48" s="120">
        <v>6000</v>
      </c>
      <c r="E48" s="121">
        <f>E70</f>
        <v>2698.22</v>
      </c>
      <c r="F48" s="119">
        <f>E48/D48</f>
        <v>0.44970333333333329</v>
      </c>
      <c r="G48" s="116" t="s">
        <v>173</v>
      </c>
      <c r="H48" s="120">
        <v>10000</v>
      </c>
      <c r="I48" s="121">
        <f>E65</f>
        <v>4434.5</v>
      </c>
      <c r="J48" s="119">
        <f>I48/H48</f>
        <v>0.44345000000000001</v>
      </c>
      <c r="K48" s="116" t="s">
        <v>173</v>
      </c>
      <c r="L48" s="120">
        <v>10000</v>
      </c>
      <c r="M48" s="121">
        <f>E76</f>
        <v>10373.74</v>
      </c>
      <c r="N48" s="119">
        <f>M48/L48</f>
        <v>1.037374</v>
      </c>
    </row>
    <row r="49" spans="3:14" x14ac:dyDescent="0.25">
      <c r="C49" s="116" t="s">
        <v>166</v>
      </c>
      <c r="D49" s="120">
        <v>26000</v>
      </c>
      <c r="E49" s="122">
        <f>E48+I48+M48</f>
        <v>17506.46</v>
      </c>
      <c r="F49" s="119">
        <f>E49/D49</f>
        <v>0.6733253846153846</v>
      </c>
      <c r="G49" s="116" t="s">
        <v>166</v>
      </c>
      <c r="H49" s="120">
        <v>26000</v>
      </c>
      <c r="I49" s="122">
        <f>E49</f>
        <v>17506.46</v>
      </c>
      <c r="J49" s="119">
        <f>I49/H49</f>
        <v>0.6733253846153846</v>
      </c>
      <c r="K49" s="116" t="s">
        <v>166</v>
      </c>
      <c r="L49" s="120">
        <v>26000</v>
      </c>
      <c r="M49" s="122">
        <f>E49</f>
        <v>17506.46</v>
      </c>
      <c r="N49" s="119">
        <f>M49/L49</f>
        <v>0.6733253846153846</v>
      </c>
    </row>
    <row r="50" spans="3:14" x14ac:dyDescent="0.25">
      <c r="C50" s="116" t="s">
        <v>174</v>
      </c>
      <c r="D50" s="120">
        <v>90000</v>
      </c>
      <c r="E50" s="122">
        <f>E69+E71</f>
        <v>58587.270000000004</v>
      </c>
      <c r="F50" s="119">
        <f>E50/D50</f>
        <v>0.65096966666666667</v>
      </c>
      <c r="G50" s="116" t="s">
        <v>174</v>
      </c>
      <c r="H50" s="120">
        <v>90000</v>
      </c>
      <c r="I50" s="122">
        <f>E64</f>
        <v>101301</v>
      </c>
      <c r="J50" s="119">
        <f>I50/H50</f>
        <v>1.1255666666666666</v>
      </c>
      <c r="K50" s="116" t="s">
        <v>174</v>
      </c>
      <c r="L50" s="120">
        <v>90000</v>
      </c>
      <c r="M50" s="122">
        <f>E75</f>
        <v>97790.97</v>
      </c>
      <c r="N50" s="119">
        <f>M50/L50</f>
        <v>1.0865663333333333</v>
      </c>
    </row>
    <row r="52" spans="3:14" x14ac:dyDescent="0.25">
      <c r="C52" s="405" t="s">
        <v>513</v>
      </c>
      <c r="D52" s="392"/>
      <c r="E52" s="392"/>
      <c r="F52" s="392"/>
      <c r="G52" s="392"/>
      <c r="H52" s="392"/>
      <c r="I52" s="392"/>
      <c r="J52" s="392"/>
    </row>
    <row r="53" spans="3:14" x14ac:dyDescent="0.25">
      <c r="C53" s="123"/>
      <c r="D53" s="115"/>
      <c r="E53" s="115"/>
      <c r="F53" s="115"/>
      <c r="G53" s="117"/>
      <c r="H53" s="124"/>
      <c r="I53" s="124"/>
      <c r="J53" s="124"/>
    </row>
    <row r="54" spans="3:14" x14ac:dyDescent="0.25">
      <c r="C54" s="124"/>
      <c r="D54" s="124"/>
      <c r="E54" s="124"/>
      <c r="F54" s="124"/>
      <c r="G54" s="117"/>
      <c r="H54" s="124"/>
      <c r="I54" s="124"/>
      <c r="J54" s="124"/>
    </row>
    <row r="55" spans="3:14" x14ac:dyDescent="0.25">
      <c r="C55" s="124"/>
      <c r="D55" s="124"/>
      <c r="E55" s="125" t="s">
        <v>514</v>
      </c>
      <c r="F55" s="114"/>
      <c r="G55" s="114"/>
      <c r="H55" s="126"/>
      <c r="I55" s="124"/>
      <c r="J55" s="124"/>
    </row>
    <row r="56" spans="3:14" x14ac:dyDescent="0.25">
      <c r="C56" s="124"/>
      <c r="D56" s="124"/>
      <c r="E56" s="125"/>
      <c r="F56" s="114" t="s">
        <v>515</v>
      </c>
      <c r="G56" s="114" t="s">
        <v>516</v>
      </c>
      <c r="H56" s="127" t="s">
        <v>30</v>
      </c>
      <c r="I56" s="124"/>
      <c r="J56" s="124"/>
    </row>
    <row r="57" spans="3:14" x14ac:dyDescent="0.25">
      <c r="C57" s="124"/>
      <c r="D57" s="124"/>
      <c r="E57" s="128" t="s">
        <v>517</v>
      </c>
      <c r="F57" s="129">
        <v>0.1</v>
      </c>
      <c r="G57" s="130">
        <v>7.0000000000000001E-3</v>
      </c>
      <c r="H57" s="130">
        <v>0.1</v>
      </c>
      <c r="I57" s="124"/>
      <c r="J57" s="124"/>
    </row>
    <row r="58" spans="3:14" x14ac:dyDescent="0.25">
      <c r="C58" s="124"/>
      <c r="D58" s="124"/>
      <c r="E58" s="128" t="s">
        <v>518</v>
      </c>
      <c r="F58" s="129">
        <v>0.1</v>
      </c>
      <c r="G58" s="130">
        <v>7.0000000000000001E-3</v>
      </c>
      <c r="H58" s="130">
        <v>0.1</v>
      </c>
      <c r="I58" s="124"/>
      <c r="J58" s="124"/>
    </row>
    <row r="59" spans="3:14" x14ac:dyDescent="0.25">
      <c r="C59" s="128"/>
      <c r="D59" s="131"/>
      <c r="E59" s="132" t="s">
        <v>519</v>
      </c>
      <c r="F59" s="133">
        <v>0.1</v>
      </c>
      <c r="G59" s="134">
        <v>7.0000000000000001E-3</v>
      </c>
      <c r="H59" s="134">
        <v>0.1</v>
      </c>
      <c r="I59" s="124"/>
      <c r="J59" s="124"/>
    </row>
    <row r="60" spans="3:14" x14ac:dyDescent="0.25">
      <c r="C60" s="124"/>
      <c r="D60" s="124"/>
      <c r="E60" s="124"/>
      <c r="F60" s="124"/>
      <c r="G60" s="124"/>
      <c r="H60" s="124"/>
      <c r="I60" s="124"/>
      <c r="J60" s="124"/>
    </row>
    <row r="61" spans="3:14" x14ac:dyDescent="0.25">
      <c r="C61" s="401" t="s">
        <v>520</v>
      </c>
      <c r="D61" s="392"/>
      <c r="E61" s="392"/>
      <c r="F61" s="392"/>
      <c r="G61" s="392"/>
      <c r="H61" s="392"/>
      <c r="I61" s="392"/>
      <c r="J61" s="392"/>
    </row>
    <row r="63" spans="3:14" ht="22.15" customHeight="1" x14ac:dyDescent="0.25">
      <c r="D63" s="135" t="s">
        <v>521</v>
      </c>
      <c r="E63" s="136" t="s">
        <v>522</v>
      </c>
      <c r="F63" s="137" t="s">
        <v>523</v>
      </c>
      <c r="G63" s="137" t="s">
        <v>524</v>
      </c>
      <c r="H63" s="137" t="s">
        <v>525</v>
      </c>
      <c r="I63" s="136" t="s">
        <v>526</v>
      </c>
      <c r="J63" s="136" t="s">
        <v>527</v>
      </c>
      <c r="K63" s="137" t="s">
        <v>528</v>
      </c>
      <c r="L63" s="137" t="s">
        <v>529</v>
      </c>
    </row>
    <row r="64" spans="3:14" x14ac:dyDescent="0.25">
      <c r="D64" s="138" t="s">
        <v>258</v>
      </c>
      <c r="E64" s="139">
        <v>101301</v>
      </c>
      <c r="F64" s="139">
        <v>6091.05</v>
      </c>
      <c r="G64" s="139">
        <v>0</v>
      </c>
      <c r="H64" s="139">
        <f>F64*0.1</f>
        <v>609.10500000000002</v>
      </c>
      <c r="I64" s="399" t="str">
        <f>IF(J48&lt;100%,"NÃO BATEU","CUMPRIU")</f>
        <v>NÃO BATEU</v>
      </c>
      <c r="J64" s="399" t="str">
        <f>IF(J49&lt;100%,"NÃO BATEU","CUMPRIU")</f>
        <v>NÃO BATEU</v>
      </c>
      <c r="K64" s="140">
        <f>E64/E83</f>
        <v>0.39312829392076754</v>
      </c>
      <c r="L64" s="141">
        <f>G83*K64</f>
        <v>0</v>
      </c>
    </row>
    <row r="65" spans="4:14" x14ac:dyDescent="0.25">
      <c r="D65" s="138" t="s">
        <v>30</v>
      </c>
      <c r="E65" s="139">
        <v>4434.5</v>
      </c>
      <c r="F65" s="139">
        <v>4434.5</v>
      </c>
      <c r="G65" s="139">
        <v>0</v>
      </c>
      <c r="H65" s="139">
        <f>F65*0.1</f>
        <v>443.45000000000005</v>
      </c>
      <c r="I65" s="400"/>
      <c r="J65" s="400"/>
      <c r="K65" s="140">
        <f>IFERROR(E65/E84,0)</f>
        <v>0.2533064937171764</v>
      </c>
      <c r="L65" s="141">
        <f>G84*K65</f>
        <v>0</v>
      </c>
    </row>
    <row r="66" spans="4:14" x14ac:dyDescent="0.25">
      <c r="D66" s="138"/>
      <c r="E66" s="142">
        <f>SUM(E64:E65)</f>
        <v>105735.5</v>
      </c>
      <c r="F66" s="142">
        <f>F64+F65</f>
        <v>10525.55</v>
      </c>
      <c r="G66" s="143">
        <f>SUM(G64:G65)</f>
        <v>0</v>
      </c>
      <c r="H66" s="144">
        <f>SUM(H64:H65)*-1</f>
        <v>-1052.5550000000001</v>
      </c>
      <c r="I66" s="138"/>
      <c r="J66" s="138"/>
      <c r="K66" s="138"/>
      <c r="L66" s="145">
        <f>SUM(L64:L65)</f>
        <v>0</v>
      </c>
      <c r="M66" s="146">
        <f>G66+H66+L66</f>
        <v>-1052.5550000000001</v>
      </c>
    </row>
    <row r="68" spans="4:14" ht="22.15" customHeight="1" x14ac:dyDescent="0.25">
      <c r="D68" s="135" t="s">
        <v>185</v>
      </c>
      <c r="E68" s="136" t="s">
        <v>530</v>
      </c>
      <c r="F68" s="137" t="s">
        <v>523</v>
      </c>
      <c r="G68" s="137" t="s">
        <v>524</v>
      </c>
      <c r="H68" s="137" t="s">
        <v>525</v>
      </c>
      <c r="I68" s="136" t="s">
        <v>526</v>
      </c>
      <c r="J68" s="136" t="s">
        <v>527</v>
      </c>
      <c r="K68" s="137" t="s">
        <v>528</v>
      </c>
      <c r="L68" s="137" t="s">
        <v>529</v>
      </c>
    </row>
    <row r="69" spans="4:14" x14ac:dyDescent="0.25">
      <c r="D69" s="138" t="s">
        <v>258</v>
      </c>
      <c r="E69" s="139">
        <v>52532.86</v>
      </c>
      <c r="F69" s="147">
        <v>3142.02</v>
      </c>
      <c r="G69" s="139">
        <v>0</v>
      </c>
      <c r="H69" s="139">
        <f>F69*0.1</f>
        <v>314.202</v>
      </c>
      <c r="I69" s="399" t="str">
        <f>IF(F48&lt;100%,"NÃO BATEU","CUMPRIU")</f>
        <v>NÃO BATEU</v>
      </c>
      <c r="J69" s="399" t="str">
        <f>IF(F49&lt;100%,"NÃO BATEU","CUMPRIU")</f>
        <v>NÃO BATEU</v>
      </c>
      <c r="K69" s="140">
        <f>E69/E83</f>
        <v>0.20386919799980782</v>
      </c>
      <c r="L69" s="141">
        <f>K69*G83</f>
        <v>0</v>
      </c>
    </row>
    <row r="70" spans="4:14" x14ac:dyDescent="0.25">
      <c r="D70" s="138" t="s">
        <v>30</v>
      </c>
      <c r="E70" s="148">
        <v>2698.22</v>
      </c>
      <c r="F70" s="147">
        <v>2698.22</v>
      </c>
      <c r="G70" s="139">
        <v>0</v>
      </c>
      <c r="H70" s="139">
        <f>F70*0.1</f>
        <v>269.822</v>
      </c>
      <c r="I70" s="409"/>
      <c r="J70" s="409"/>
      <c r="K70" s="140">
        <f>E70/E84</f>
        <v>0.15412710508006758</v>
      </c>
      <c r="L70" s="141">
        <f>K70*G84</f>
        <v>0</v>
      </c>
    </row>
    <row r="71" spans="4:14" x14ac:dyDescent="0.25">
      <c r="D71" s="138" t="s">
        <v>35</v>
      </c>
      <c r="E71" s="149">
        <v>6054.41</v>
      </c>
      <c r="F71" s="150">
        <v>57.69</v>
      </c>
      <c r="G71" s="151">
        <v>0</v>
      </c>
      <c r="H71" s="139">
        <f>F71*0.1</f>
        <v>5.7690000000000001</v>
      </c>
      <c r="I71" s="400"/>
      <c r="J71" s="400"/>
      <c r="K71" s="140">
        <f>E71/E83</f>
        <v>2.349591686159894E-2</v>
      </c>
      <c r="L71" s="141">
        <f>K71*G83</f>
        <v>0</v>
      </c>
    </row>
    <row r="72" spans="4:14" x14ac:dyDescent="0.25">
      <c r="D72" s="138"/>
      <c r="E72" s="142">
        <f>SUM(E69:E71)</f>
        <v>61285.490000000005</v>
      </c>
      <c r="F72" s="142">
        <f>SUM(F69:F71)</f>
        <v>5897.9299999999994</v>
      </c>
      <c r="G72" s="143">
        <f>SUM(G69:G71)</f>
        <v>0</v>
      </c>
      <c r="H72" s="144">
        <f>SUM(H69:H71)*-1</f>
        <v>-589.79300000000001</v>
      </c>
      <c r="I72" s="138"/>
      <c r="J72" s="152"/>
      <c r="L72" s="145">
        <f>SUM(L69:L71)</f>
        <v>0</v>
      </c>
      <c r="M72" s="146">
        <f>G72+H72+L72</f>
        <v>-589.79300000000001</v>
      </c>
    </row>
    <row r="74" spans="4:14" ht="22.15" customHeight="1" x14ac:dyDescent="0.25">
      <c r="D74" s="135" t="s">
        <v>187</v>
      </c>
      <c r="E74" s="136" t="s">
        <v>530</v>
      </c>
      <c r="F74" s="137" t="s">
        <v>523</v>
      </c>
      <c r="G74" s="137" t="s">
        <v>524</v>
      </c>
      <c r="H74" s="137" t="s">
        <v>525</v>
      </c>
      <c r="I74" s="136" t="s">
        <v>526</v>
      </c>
      <c r="J74" s="136" t="s">
        <v>527</v>
      </c>
      <c r="K74" s="154" t="s">
        <v>528</v>
      </c>
      <c r="L74" s="154" t="s">
        <v>529</v>
      </c>
      <c r="M74" s="137" t="s">
        <v>531</v>
      </c>
      <c r="N74" s="137" t="s">
        <v>532</v>
      </c>
    </row>
    <row r="75" spans="4:14" x14ac:dyDescent="0.25">
      <c r="D75" s="138" t="s">
        <v>258</v>
      </c>
      <c r="E75" s="139">
        <v>97790.97</v>
      </c>
      <c r="F75" s="139">
        <v>6845.37</v>
      </c>
      <c r="G75" s="139">
        <f>F75*0.1</f>
        <v>684.53700000000003</v>
      </c>
      <c r="H75" s="141">
        <v>0</v>
      </c>
      <c r="I75" s="399" t="str">
        <f>IF(N48&lt;100%,"NÃO BATEU","CUMPRIU")</f>
        <v>CUMPRIU</v>
      </c>
      <c r="J75" s="399" t="str">
        <f>IF(N49&lt;100%,"NÃO BATEU","CUMPRIU")</f>
        <v>NÃO BATEU</v>
      </c>
      <c r="K75" s="140">
        <f>E75/E83</f>
        <v>0.37950659121782571</v>
      </c>
      <c r="L75" s="155">
        <f>K75*G83</f>
        <v>0</v>
      </c>
      <c r="M75" s="156">
        <f>H66*0.25</f>
        <v>-263.13875000000002</v>
      </c>
      <c r="N75" s="141">
        <v>2308.27</v>
      </c>
    </row>
    <row r="76" spans="4:14" x14ac:dyDescent="0.25">
      <c r="D76" s="138" t="s">
        <v>30</v>
      </c>
      <c r="E76" s="139">
        <v>10373.74</v>
      </c>
      <c r="F76" s="139">
        <v>10373.74</v>
      </c>
      <c r="G76" s="139">
        <f>F76*0.1</f>
        <v>1037.374</v>
      </c>
      <c r="H76" s="141">
        <v>0</v>
      </c>
      <c r="I76" s="409"/>
      <c r="J76" s="409"/>
      <c r="K76" s="140">
        <f>E76/E84</f>
        <v>0.59256640120275605</v>
      </c>
      <c r="L76" s="155">
        <f>K76*G84</f>
        <v>0</v>
      </c>
      <c r="M76" s="156">
        <f>H72*0.25</f>
        <v>-147.44825</v>
      </c>
      <c r="N76" s="157">
        <v>1783.18</v>
      </c>
    </row>
    <row r="77" spans="4:14" x14ac:dyDescent="0.25">
      <c r="D77" s="138" t="s">
        <v>35</v>
      </c>
      <c r="E77" s="139">
        <v>0</v>
      </c>
      <c r="F77" s="139">
        <v>0</v>
      </c>
      <c r="G77" s="139">
        <f>F77*0.1</f>
        <v>0</v>
      </c>
      <c r="H77" s="141">
        <v>0</v>
      </c>
      <c r="I77" s="409"/>
      <c r="J77" s="409"/>
      <c r="K77" s="140">
        <f>E77/E83</f>
        <v>0</v>
      </c>
      <c r="L77" s="155">
        <f>K77*G83</f>
        <v>0</v>
      </c>
      <c r="M77" s="156">
        <f>K77*G83</f>
        <v>0</v>
      </c>
      <c r="N77" s="141">
        <v>14.42</v>
      </c>
    </row>
    <row r="78" spans="4:14" x14ac:dyDescent="0.25">
      <c r="D78" s="138"/>
      <c r="E78" s="142">
        <f>SUM(E75:E77)</f>
        <v>108164.71</v>
      </c>
      <c r="F78" s="158">
        <f>SUM(F75:F77)</f>
        <v>17219.11</v>
      </c>
      <c r="G78" s="143">
        <f>SUM(G75:G77)</f>
        <v>1721.9110000000001</v>
      </c>
      <c r="H78" s="159">
        <f>SUM(H75:H77)*-1</f>
        <v>0</v>
      </c>
      <c r="I78" s="400"/>
      <c r="J78" s="400"/>
      <c r="L78" s="160">
        <f>SUM(L75:L77)</f>
        <v>0</v>
      </c>
      <c r="M78" s="161">
        <f>SUM(M75:M77)</f>
        <v>-410.58699999999999</v>
      </c>
      <c r="N78" s="162">
        <f>SUM(N75:N77)</f>
        <v>4105.87</v>
      </c>
    </row>
    <row r="79" spans="4:14" x14ac:dyDescent="0.25">
      <c r="N79" s="163">
        <f>G78+H78+N78+M78+L78</f>
        <v>5417.1939999999995</v>
      </c>
    </row>
    <row r="80" spans="4:14" x14ac:dyDescent="0.25">
      <c r="G80" s="164" t="s">
        <v>533</v>
      </c>
    </row>
    <row r="81" spans="4:7" x14ac:dyDescent="0.25">
      <c r="F81" s="2" t="s">
        <v>534</v>
      </c>
      <c r="G81" s="164" t="s">
        <v>535</v>
      </c>
    </row>
    <row r="82" spans="4:7" x14ac:dyDescent="0.25">
      <c r="D82" s="165" t="s">
        <v>534</v>
      </c>
      <c r="E82" s="166">
        <f>E66+E72+E78</f>
        <v>275185.7</v>
      </c>
      <c r="F82" s="166">
        <f>F66+F72+F78</f>
        <v>33642.589999999997</v>
      </c>
      <c r="G82" s="167">
        <f>G83+G84</f>
        <v>0</v>
      </c>
    </row>
    <row r="83" spans="4:7" x14ac:dyDescent="0.25">
      <c r="D83" s="165" t="s">
        <v>536</v>
      </c>
      <c r="E83" s="166">
        <f>E64+E69+E75+E71+E77</f>
        <v>257679.24</v>
      </c>
      <c r="F83" s="166">
        <f>F64+F69+F75+F71+F77</f>
        <v>16136.13</v>
      </c>
      <c r="G83" s="167">
        <f>IF(F84&gt;30000,(F83*0.1),0)</f>
        <v>0</v>
      </c>
    </row>
    <row r="84" spans="4:7" x14ac:dyDescent="0.25">
      <c r="D84" s="165" t="s">
        <v>537</v>
      </c>
      <c r="E84" s="166">
        <f>E65+E70+E76</f>
        <v>17506.46</v>
      </c>
      <c r="F84" s="166">
        <f>F65+F70+F76</f>
        <v>17506.46</v>
      </c>
      <c r="G84" s="167">
        <f>IF(F84&gt;30000,(F84*0.1),0)</f>
        <v>0</v>
      </c>
    </row>
    <row r="85" spans="4:7" ht="15" customHeight="1" thickBot="1" x14ac:dyDescent="0.3"/>
    <row r="86" spans="4:7" ht="15.6" customHeight="1" x14ac:dyDescent="0.25">
      <c r="D86" s="406" t="s">
        <v>538</v>
      </c>
      <c r="E86" s="407"/>
      <c r="F86" s="408"/>
    </row>
    <row r="87" spans="4:7" ht="15.6" customHeight="1" x14ac:dyDescent="0.25">
      <c r="D87" s="168" t="s">
        <v>2</v>
      </c>
      <c r="E87" s="404" t="s">
        <v>539</v>
      </c>
      <c r="F87" s="398"/>
    </row>
    <row r="88" spans="4:7" ht="15.6" customHeight="1" x14ac:dyDescent="0.25">
      <c r="D88" s="169" t="s">
        <v>540</v>
      </c>
      <c r="E88" s="412">
        <f>M66</f>
        <v>-1052.5550000000001</v>
      </c>
      <c r="F88" s="398"/>
    </row>
    <row r="89" spans="4:7" ht="15.6" customHeight="1" x14ac:dyDescent="0.25">
      <c r="D89" s="169" t="s">
        <v>541</v>
      </c>
      <c r="E89" s="412">
        <f>M72</f>
        <v>-589.79300000000001</v>
      </c>
      <c r="F89" s="398"/>
    </row>
    <row r="90" spans="4:7" ht="16.149999999999999" customHeight="1" thickBot="1" x14ac:dyDescent="0.3">
      <c r="D90" s="170" t="s">
        <v>22</v>
      </c>
      <c r="E90" s="410">
        <f>N79</f>
        <v>5417.1939999999995</v>
      </c>
      <c r="F90" s="411"/>
    </row>
    <row r="91" spans="4:7" ht="15" customHeight="1" thickBot="1" x14ac:dyDescent="0.3"/>
    <row r="92" spans="4:7" ht="15.6" customHeight="1" x14ac:dyDescent="0.25">
      <c r="D92" s="171" t="s">
        <v>542</v>
      </c>
      <c r="E92" s="172"/>
      <c r="F92" s="173"/>
    </row>
    <row r="93" spans="4:7" ht="18" customHeight="1" x14ac:dyDescent="0.3">
      <c r="D93" s="174" t="s">
        <v>543</v>
      </c>
      <c r="E93" s="175"/>
      <c r="F93" s="176">
        <f>E83</f>
        <v>257679.24</v>
      </c>
    </row>
    <row r="94" spans="4:7" ht="18" customHeight="1" x14ac:dyDescent="0.3">
      <c r="D94" s="174" t="s">
        <v>544</v>
      </c>
      <c r="E94" s="175"/>
      <c r="F94" s="177">
        <f>F83/F93</f>
        <v>6.2620993449064813E-2</v>
      </c>
    </row>
    <row r="95" spans="4:7" ht="15.6" customHeight="1" x14ac:dyDescent="0.25">
      <c r="D95" s="174"/>
      <c r="E95" s="175"/>
      <c r="F95" s="178"/>
    </row>
    <row r="96" spans="4:7" ht="15.6" customHeight="1" x14ac:dyDescent="0.25">
      <c r="D96" s="179" t="s">
        <v>160</v>
      </c>
      <c r="E96" s="175"/>
      <c r="F96" s="178"/>
    </row>
    <row r="97" spans="4:6" ht="18" customHeight="1" x14ac:dyDescent="0.3">
      <c r="D97" s="174" t="s">
        <v>545</v>
      </c>
      <c r="E97" s="175"/>
      <c r="F97" s="176">
        <f>E84</f>
        <v>17506.46</v>
      </c>
    </row>
    <row r="98" spans="4:6" ht="18.600000000000001" customHeight="1" thickBot="1" x14ac:dyDescent="0.35">
      <c r="D98" s="180" t="s">
        <v>544</v>
      </c>
      <c r="E98" s="181"/>
      <c r="F98" s="182">
        <f>(F84+N76)/F97</f>
        <v>1.101858399699311</v>
      </c>
    </row>
  </sheetData>
  <mergeCells count="16">
    <mergeCell ref="G44:J44"/>
    <mergeCell ref="K44:N44"/>
    <mergeCell ref="I75:I78"/>
    <mergeCell ref="E87:F87"/>
    <mergeCell ref="J75:J78"/>
    <mergeCell ref="C52:J52"/>
    <mergeCell ref="C61:J61"/>
    <mergeCell ref="C44:F44"/>
    <mergeCell ref="E90:F90"/>
    <mergeCell ref="I69:I71"/>
    <mergeCell ref="J69:J71"/>
    <mergeCell ref="I64:I65"/>
    <mergeCell ref="E89:F89"/>
    <mergeCell ref="J64:J65"/>
    <mergeCell ref="D86:F86"/>
    <mergeCell ref="E88:F88"/>
  </mergeCells>
  <conditionalFormatting sqref="I64:J64">
    <cfRule type="containsText" dxfId="5" priority="5" operator="containsText" text="CUMPRIU">
      <formula>NOT(ISERROR(SEARCH("CUMPRIU",I64)))</formula>
    </cfRule>
    <cfRule type="containsText" dxfId="4" priority="6" operator="containsText" text="NÃO">
      <formula>NOT(ISERROR(SEARCH("NÃO",I64)))</formula>
    </cfRule>
  </conditionalFormatting>
  <conditionalFormatting sqref="I69:J69">
    <cfRule type="containsText" dxfId="3" priority="3" operator="containsText" text="CUMPRIU">
      <formula>NOT(ISERROR(SEARCH("CUMPRIU",I69)))</formula>
    </cfRule>
    <cfRule type="containsText" dxfId="2" priority="4" operator="containsText" text="NÃO">
      <formula>NOT(ISERROR(SEARCH("NÃO",I69)))</formula>
    </cfRule>
  </conditionalFormatting>
  <conditionalFormatting sqref="I75:J75">
    <cfRule type="containsText" dxfId="1" priority="1" operator="containsText" text="CUMPRIU">
      <formula>NOT(ISERROR(SEARCH("CUMPRIU",I75)))</formula>
    </cfRule>
    <cfRule type="containsText" dxfId="0" priority="2" operator="containsText" text="NÃO">
      <formula>NOT(ISERROR(SEARCH("NÃO",I75)))</formula>
    </cfRule>
  </conditionalFormatting>
  <pageMargins left="0.511811024" right="0.511811024" top="0.78740157499999996" bottom="0.78740157499999996" header="0.31496062000000002" footer="0.31496062000000002"/>
  <pageSetup paperSize="9" scale="40" orientation="landscape"/>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B2:L225"/>
  <sheetViews>
    <sheetView showGridLines="0" topLeftCell="A197" workbookViewId="0">
      <selection activeCell="P206" sqref="P206"/>
    </sheetView>
  </sheetViews>
  <sheetFormatPr defaultRowHeight="15" x14ac:dyDescent="0.25"/>
  <cols>
    <col min="2" max="2" width="14" bestFit="1" customWidth="1"/>
    <col min="3" max="3" width="13.42578125" bestFit="1" customWidth="1"/>
    <col min="4" max="4" width="12.28515625" bestFit="1" customWidth="1"/>
    <col min="5" max="5" width="13.28515625" bestFit="1" customWidth="1"/>
    <col min="6" max="6" width="16.7109375" bestFit="1" customWidth="1"/>
    <col min="7" max="7" width="15.140625" bestFit="1" customWidth="1"/>
    <col min="8" max="8" width="34.140625" bestFit="1" customWidth="1"/>
    <col min="9" max="9" width="12.7109375" bestFit="1" customWidth="1"/>
    <col min="10" max="10" width="13.140625" bestFit="1" customWidth="1"/>
    <col min="11" max="11" width="7" bestFit="1" customWidth="1"/>
    <col min="12" max="12" width="6.7109375" bestFit="1" customWidth="1"/>
  </cols>
  <sheetData>
    <row r="2" spans="2:11" x14ac:dyDescent="0.25">
      <c r="B2" s="58" t="s">
        <v>547</v>
      </c>
      <c r="C2" s="58"/>
      <c r="F2" s="413" t="s">
        <v>548</v>
      </c>
      <c r="G2" s="392"/>
      <c r="I2" s="413" t="s">
        <v>549</v>
      </c>
      <c r="J2" s="392"/>
      <c r="K2" s="392"/>
    </row>
    <row r="3" spans="2:11" x14ac:dyDescent="0.25">
      <c r="B3" s="36" t="s">
        <v>5</v>
      </c>
      <c r="C3" t="s">
        <v>30</v>
      </c>
      <c r="I3" s="36" t="s">
        <v>550</v>
      </c>
      <c r="J3" s="36" t="s">
        <v>5</v>
      </c>
      <c r="K3" t="s">
        <v>536</v>
      </c>
    </row>
    <row r="4" spans="2:11" x14ac:dyDescent="0.25">
      <c r="B4" s="1"/>
      <c r="I4" t="s">
        <v>551</v>
      </c>
      <c r="J4" t="s">
        <v>35</v>
      </c>
      <c r="K4" s="39">
        <v>415</v>
      </c>
    </row>
    <row r="5" spans="2:11" x14ac:dyDescent="0.25">
      <c r="B5" s="40" t="s">
        <v>550</v>
      </c>
      <c r="C5" s="40" t="s">
        <v>552</v>
      </c>
      <c r="F5" s="40" t="s">
        <v>215</v>
      </c>
      <c r="G5" s="40" t="s">
        <v>553</v>
      </c>
      <c r="J5" t="s">
        <v>554</v>
      </c>
      <c r="K5" s="39">
        <v>488</v>
      </c>
    </row>
    <row r="6" spans="2:11" x14ac:dyDescent="0.25">
      <c r="B6" t="s">
        <v>551</v>
      </c>
      <c r="C6" s="38">
        <v>1286.28</v>
      </c>
      <c r="F6" s="37" t="s">
        <v>551</v>
      </c>
      <c r="G6" s="38">
        <v>156983.04000000001</v>
      </c>
      <c r="I6" t="s">
        <v>555</v>
      </c>
      <c r="J6" t="s">
        <v>35</v>
      </c>
      <c r="K6" s="39">
        <v>235</v>
      </c>
    </row>
    <row r="7" spans="2:11" x14ac:dyDescent="0.25">
      <c r="B7" t="s">
        <v>555</v>
      </c>
      <c r="C7" s="38">
        <v>641.52</v>
      </c>
      <c r="F7" s="37" t="s">
        <v>555</v>
      </c>
      <c r="G7" s="38">
        <v>60195.38</v>
      </c>
      <c r="J7" t="s">
        <v>554</v>
      </c>
      <c r="K7" s="39">
        <v>34</v>
      </c>
    </row>
    <row r="8" spans="2:11" x14ac:dyDescent="0.25">
      <c r="B8" t="s">
        <v>556</v>
      </c>
      <c r="C8" s="38">
        <v>7660.0400000000009</v>
      </c>
      <c r="F8" s="37" t="s">
        <v>556</v>
      </c>
      <c r="G8" s="38">
        <v>110046.04</v>
      </c>
      <c r="I8" t="s">
        <v>556</v>
      </c>
      <c r="J8" t="s">
        <v>35</v>
      </c>
      <c r="K8" s="39">
        <v>72</v>
      </c>
    </row>
    <row r="9" spans="2:11" x14ac:dyDescent="0.25">
      <c r="B9" s="40" t="s">
        <v>223</v>
      </c>
      <c r="C9" s="59">
        <v>9587.84</v>
      </c>
      <c r="F9" s="41" t="s">
        <v>223</v>
      </c>
      <c r="G9" s="59">
        <v>327224.46000000002</v>
      </c>
      <c r="J9" t="s">
        <v>554</v>
      </c>
      <c r="K9" s="39">
        <v>244</v>
      </c>
    </row>
    <row r="10" spans="2:11" x14ac:dyDescent="0.25">
      <c r="I10" s="40" t="s">
        <v>223</v>
      </c>
      <c r="J10" s="40"/>
      <c r="K10" s="42">
        <v>1488</v>
      </c>
    </row>
    <row r="12" spans="2:11" hidden="1" x14ac:dyDescent="0.25"/>
    <row r="13" spans="2:11" hidden="1" x14ac:dyDescent="0.25"/>
    <row r="14" spans="2:11" hidden="1" x14ac:dyDescent="0.25"/>
    <row r="15" spans="2:11" hidden="1" x14ac:dyDescent="0.25"/>
    <row r="16" spans="2:11" hidden="1" x14ac:dyDescent="0.25"/>
    <row r="17" hidden="1" x14ac:dyDescent="0.25"/>
    <row r="18" hidden="1" x14ac:dyDescent="0.25"/>
    <row r="19" hidden="1" x14ac:dyDescent="0.25"/>
    <row r="20" hidden="1" x14ac:dyDescent="0.25"/>
    <row r="21" hidden="1" x14ac:dyDescent="0.25"/>
    <row r="22" hidden="1" x14ac:dyDescent="0.25"/>
    <row r="23" hidden="1" x14ac:dyDescent="0.25"/>
    <row r="24" hidden="1" x14ac:dyDescent="0.25"/>
    <row r="25" hidden="1" x14ac:dyDescent="0.25"/>
    <row r="26" hidden="1" x14ac:dyDescent="0.25"/>
    <row r="27" hidden="1" x14ac:dyDescent="0.25"/>
    <row r="28" hidden="1" x14ac:dyDescent="0.25"/>
    <row r="29" hidden="1" x14ac:dyDescent="0.25"/>
    <row r="30" hidden="1" x14ac:dyDescent="0.25"/>
    <row r="31" hidden="1" x14ac:dyDescent="0.25"/>
    <row r="32" hidden="1" x14ac:dyDescent="0.25"/>
    <row r="33" hidden="1" x14ac:dyDescent="0.25"/>
    <row r="34" hidden="1" x14ac:dyDescent="0.25"/>
    <row r="35" hidden="1" x14ac:dyDescent="0.25"/>
    <row r="36" hidden="1" x14ac:dyDescent="0.25"/>
    <row r="37" hidden="1" x14ac:dyDescent="0.25"/>
    <row r="38" hidden="1" x14ac:dyDescent="0.25"/>
    <row r="39" hidden="1" x14ac:dyDescent="0.25"/>
    <row r="40" hidden="1" x14ac:dyDescent="0.25"/>
    <row r="41" hidden="1" x14ac:dyDescent="0.25"/>
    <row r="42" hidden="1" x14ac:dyDescent="0.25"/>
    <row r="43" hidden="1" x14ac:dyDescent="0.25"/>
    <row r="44" hidden="1" x14ac:dyDescent="0.25"/>
    <row r="45" hidden="1" x14ac:dyDescent="0.25"/>
    <row r="46" hidden="1" x14ac:dyDescent="0.25"/>
    <row r="47" hidden="1" x14ac:dyDescent="0.25"/>
    <row r="48" hidden="1" x14ac:dyDescent="0.25"/>
    <row r="49" hidden="1" x14ac:dyDescent="0.25"/>
    <row r="50" hidden="1" x14ac:dyDescent="0.25"/>
    <row r="51" hidden="1" x14ac:dyDescent="0.25"/>
    <row r="52" hidden="1" x14ac:dyDescent="0.25"/>
    <row r="53" hidden="1" x14ac:dyDescent="0.25"/>
    <row r="54" hidden="1" x14ac:dyDescent="0.25"/>
    <row r="55" hidden="1" x14ac:dyDescent="0.25"/>
    <row r="56" hidden="1" x14ac:dyDescent="0.25"/>
    <row r="57" hidden="1" x14ac:dyDescent="0.25"/>
    <row r="58" hidden="1" x14ac:dyDescent="0.25"/>
    <row r="59" hidden="1" x14ac:dyDescent="0.25"/>
    <row r="60" hidden="1" x14ac:dyDescent="0.25"/>
    <row r="61" hidden="1" x14ac:dyDescent="0.25"/>
    <row r="62" hidden="1" x14ac:dyDescent="0.25"/>
    <row r="63" hidden="1" x14ac:dyDescent="0.25"/>
    <row r="64" hidden="1" x14ac:dyDescent="0.25"/>
    <row r="65" hidden="1" x14ac:dyDescent="0.25"/>
    <row r="66" hidden="1" x14ac:dyDescent="0.25"/>
    <row r="67" hidden="1" x14ac:dyDescent="0.25"/>
    <row r="68" hidden="1" x14ac:dyDescent="0.25"/>
    <row r="69" hidden="1" x14ac:dyDescent="0.25"/>
    <row r="70" hidden="1" x14ac:dyDescent="0.25"/>
    <row r="71" hidden="1" x14ac:dyDescent="0.25"/>
    <row r="72" hidden="1" x14ac:dyDescent="0.25"/>
    <row r="73" hidden="1" x14ac:dyDescent="0.25"/>
    <row r="74" hidden="1" x14ac:dyDescent="0.25"/>
    <row r="75" hidden="1" x14ac:dyDescent="0.25"/>
    <row r="76" hidden="1" x14ac:dyDescent="0.25"/>
    <row r="77" hidden="1" x14ac:dyDescent="0.25"/>
    <row r="78" hidden="1" x14ac:dyDescent="0.25"/>
    <row r="79" hidden="1" x14ac:dyDescent="0.25"/>
    <row r="80" hidden="1" x14ac:dyDescent="0.25"/>
    <row r="81" hidden="1" x14ac:dyDescent="0.25"/>
    <row r="82" hidden="1" x14ac:dyDescent="0.25"/>
    <row r="83" hidden="1" x14ac:dyDescent="0.25"/>
    <row r="84" hidden="1" x14ac:dyDescent="0.25"/>
    <row r="85" hidden="1" x14ac:dyDescent="0.25"/>
    <row r="86" hidden="1" x14ac:dyDescent="0.25"/>
    <row r="87" hidden="1" x14ac:dyDescent="0.25"/>
    <row r="88" hidden="1" x14ac:dyDescent="0.25"/>
    <row r="89" hidden="1" x14ac:dyDescent="0.25"/>
    <row r="90" hidden="1" x14ac:dyDescent="0.25"/>
    <row r="91" hidden="1" x14ac:dyDescent="0.25"/>
    <row r="92" hidden="1" x14ac:dyDescent="0.25"/>
    <row r="93" hidden="1" x14ac:dyDescent="0.25"/>
    <row r="94" hidden="1" x14ac:dyDescent="0.25"/>
    <row r="95" hidden="1" x14ac:dyDescent="0.25"/>
    <row r="96" hidden="1" x14ac:dyDescent="0.25"/>
    <row r="97" hidden="1" x14ac:dyDescent="0.25"/>
    <row r="98" hidden="1" x14ac:dyDescent="0.25"/>
    <row r="99" hidden="1" x14ac:dyDescent="0.25"/>
    <row r="100" hidden="1" x14ac:dyDescent="0.25"/>
    <row r="101" hidden="1" x14ac:dyDescent="0.25"/>
    <row r="102" hidden="1" x14ac:dyDescent="0.25"/>
    <row r="103" hidden="1" x14ac:dyDescent="0.25"/>
    <row r="104" hidden="1" x14ac:dyDescent="0.25"/>
    <row r="105" hidden="1" x14ac:dyDescent="0.25"/>
    <row r="106" hidden="1" x14ac:dyDescent="0.25"/>
    <row r="107" hidden="1" x14ac:dyDescent="0.25"/>
    <row r="108" hidden="1" x14ac:dyDescent="0.25"/>
    <row r="109" hidden="1" x14ac:dyDescent="0.25"/>
    <row r="110" hidden="1" x14ac:dyDescent="0.25"/>
    <row r="111" hidden="1" x14ac:dyDescent="0.25"/>
    <row r="112" hidden="1" x14ac:dyDescent="0.25"/>
    <row r="113" hidden="1" x14ac:dyDescent="0.25"/>
    <row r="114" hidden="1" x14ac:dyDescent="0.25"/>
    <row r="115" hidden="1" x14ac:dyDescent="0.25"/>
    <row r="116" hidden="1" x14ac:dyDescent="0.25"/>
    <row r="117" hidden="1" x14ac:dyDescent="0.25"/>
    <row r="118" hidden="1" x14ac:dyDescent="0.25"/>
    <row r="119" hidden="1" x14ac:dyDescent="0.25"/>
    <row r="120" hidden="1" x14ac:dyDescent="0.25"/>
    <row r="121" hidden="1" x14ac:dyDescent="0.25"/>
    <row r="122" hidden="1" x14ac:dyDescent="0.25"/>
    <row r="123" hidden="1" x14ac:dyDescent="0.25"/>
    <row r="124" hidden="1" x14ac:dyDescent="0.25"/>
    <row r="125" hidden="1" x14ac:dyDescent="0.25"/>
    <row r="126" hidden="1" x14ac:dyDescent="0.25"/>
    <row r="127" hidden="1" x14ac:dyDescent="0.25"/>
    <row r="128" hidden="1" x14ac:dyDescent="0.25"/>
    <row r="129" hidden="1" x14ac:dyDescent="0.25"/>
    <row r="130" hidden="1" x14ac:dyDescent="0.25"/>
    <row r="131" hidden="1" x14ac:dyDescent="0.25"/>
    <row r="132" hidden="1" x14ac:dyDescent="0.25"/>
    <row r="133" hidden="1" x14ac:dyDescent="0.25"/>
    <row r="134" hidden="1" x14ac:dyDescent="0.25"/>
    <row r="135" hidden="1" x14ac:dyDescent="0.25"/>
    <row r="136" hidden="1" x14ac:dyDescent="0.25"/>
    <row r="137" hidden="1" x14ac:dyDescent="0.25"/>
    <row r="138" hidden="1" x14ac:dyDescent="0.25"/>
    <row r="139" hidden="1" x14ac:dyDescent="0.25"/>
    <row r="140" hidden="1" x14ac:dyDescent="0.25"/>
    <row r="141" hidden="1" x14ac:dyDescent="0.25"/>
    <row r="142" hidden="1" x14ac:dyDescent="0.25"/>
    <row r="143" hidden="1" x14ac:dyDescent="0.25"/>
    <row r="144" hidden="1" x14ac:dyDescent="0.25"/>
    <row r="145" hidden="1" x14ac:dyDescent="0.25"/>
    <row r="146" hidden="1" x14ac:dyDescent="0.25"/>
    <row r="147" hidden="1" x14ac:dyDescent="0.25"/>
    <row r="148" hidden="1" x14ac:dyDescent="0.25"/>
    <row r="149" hidden="1" x14ac:dyDescent="0.25"/>
    <row r="150" hidden="1" x14ac:dyDescent="0.25"/>
    <row r="151" hidden="1" x14ac:dyDescent="0.25"/>
    <row r="152" hidden="1" x14ac:dyDescent="0.25"/>
    <row r="153" hidden="1" x14ac:dyDescent="0.25"/>
    <row r="154" hidden="1" x14ac:dyDescent="0.25"/>
    <row r="155" hidden="1" x14ac:dyDescent="0.25"/>
    <row r="156" hidden="1" x14ac:dyDescent="0.25"/>
    <row r="157" hidden="1" x14ac:dyDescent="0.25"/>
    <row r="158" hidden="1" x14ac:dyDescent="0.25"/>
    <row r="159" hidden="1" x14ac:dyDescent="0.25"/>
    <row r="160" hidden="1" x14ac:dyDescent="0.25"/>
    <row r="161" hidden="1" x14ac:dyDescent="0.25"/>
    <row r="162" hidden="1" x14ac:dyDescent="0.25"/>
    <row r="163" hidden="1" x14ac:dyDescent="0.25"/>
    <row r="164" hidden="1" x14ac:dyDescent="0.25"/>
    <row r="165" hidden="1" x14ac:dyDescent="0.25"/>
    <row r="166" hidden="1" x14ac:dyDescent="0.25"/>
    <row r="167" hidden="1" x14ac:dyDescent="0.25"/>
    <row r="168" hidden="1" x14ac:dyDescent="0.25"/>
    <row r="169" hidden="1" x14ac:dyDescent="0.25"/>
    <row r="170" hidden="1" x14ac:dyDescent="0.25"/>
    <row r="171" hidden="1" x14ac:dyDescent="0.25"/>
    <row r="172" hidden="1" x14ac:dyDescent="0.25"/>
    <row r="173" hidden="1" x14ac:dyDescent="0.25"/>
    <row r="174" hidden="1" x14ac:dyDescent="0.25"/>
    <row r="175" hidden="1" x14ac:dyDescent="0.25"/>
    <row r="176" hidden="1" x14ac:dyDescent="0.25"/>
    <row r="177" spans="6:8" hidden="1" x14ac:dyDescent="0.25"/>
    <row r="178" spans="6:8" hidden="1" x14ac:dyDescent="0.25"/>
    <row r="179" spans="6:8" hidden="1" x14ac:dyDescent="0.25"/>
    <row r="180" spans="6:8" hidden="1" x14ac:dyDescent="0.25"/>
    <row r="181" spans="6:8" hidden="1" x14ac:dyDescent="0.25"/>
    <row r="182" spans="6:8" hidden="1" x14ac:dyDescent="0.25"/>
    <row r="183" spans="6:8" hidden="1" x14ac:dyDescent="0.25"/>
    <row r="184" spans="6:8" hidden="1" x14ac:dyDescent="0.25"/>
    <row r="185" spans="6:8" hidden="1" x14ac:dyDescent="0.25"/>
    <row r="186" spans="6:8" hidden="1" x14ac:dyDescent="0.25"/>
    <row r="187" spans="6:8" hidden="1" x14ac:dyDescent="0.25"/>
    <row r="188" spans="6:8" hidden="1" x14ac:dyDescent="0.25"/>
    <row r="189" spans="6:8" hidden="1" x14ac:dyDescent="0.25"/>
    <row r="190" spans="6:8" hidden="1" x14ac:dyDescent="0.25"/>
    <row r="192" spans="6:8" x14ac:dyDescent="0.25">
      <c r="F192" s="413" t="s">
        <v>557</v>
      </c>
      <c r="G192" s="392"/>
      <c r="H192" s="392"/>
    </row>
    <row r="193" spans="2:12" x14ac:dyDescent="0.25">
      <c r="B193" s="413" t="s">
        <v>558</v>
      </c>
      <c r="C193" s="392"/>
      <c r="D193" s="392"/>
    </row>
    <row r="194" spans="2:12" ht="15.75" x14ac:dyDescent="0.3">
      <c r="B194" s="40" t="s">
        <v>550</v>
      </c>
      <c r="C194" s="40" t="s">
        <v>4</v>
      </c>
      <c r="D194" s="60" t="s">
        <v>559</v>
      </c>
      <c r="F194" s="36" t="s">
        <v>260</v>
      </c>
      <c r="G194" t="s">
        <v>211</v>
      </c>
      <c r="H194" s="67" t="s">
        <v>560</v>
      </c>
    </row>
    <row r="195" spans="2:12" x14ac:dyDescent="0.25">
      <c r="B195" t="s">
        <v>551</v>
      </c>
      <c r="C195" t="s">
        <v>102</v>
      </c>
      <c r="D195" s="38">
        <v>258.60000000000002</v>
      </c>
    </row>
    <row r="196" spans="2:12" x14ac:dyDescent="0.25">
      <c r="C196" t="s">
        <v>40</v>
      </c>
      <c r="D196" s="38">
        <v>1472.9</v>
      </c>
      <c r="F196" s="36" t="s">
        <v>3</v>
      </c>
      <c r="G196" s="36" t="s">
        <v>212</v>
      </c>
      <c r="H196" s="36" t="s">
        <v>4</v>
      </c>
      <c r="I196" t="s">
        <v>561</v>
      </c>
      <c r="J196" t="s">
        <v>562</v>
      </c>
      <c r="K196" t="s">
        <v>563</v>
      </c>
      <c r="L196" t="s">
        <v>564</v>
      </c>
    </row>
    <row r="197" spans="2:12" x14ac:dyDescent="0.25">
      <c r="C197" t="s">
        <v>565</v>
      </c>
      <c r="D197" s="38">
        <v>641.61</v>
      </c>
      <c r="F197" t="s">
        <v>317</v>
      </c>
      <c r="G197" t="s">
        <v>22</v>
      </c>
      <c r="H197" t="s">
        <v>318</v>
      </c>
      <c r="I197" s="77">
        <v>1</v>
      </c>
      <c r="J197" s="65">
        <v>63200</v>
      </c>
      <c r="K197" s="65">
        <v>0</v>
      </c>
      <c r="L197" s="66">
        <v>316</v>
      </c>
    </row>
    <row r="198" spans="2:12" x14ac:dyDescent="0.25">
      <c r="C198" t="s">
        <v>35</v>
      </c>
      <c r="D198" s="38">
        <v>71280</v>
      </c>
      <c r="F198" t="s">
        <v>265</v>
      </c>
      <c r="G198" t="s">
        <v>44</v>
      </c>
      <c r="H198" t="s">
        <v>47</v>
      </c>
      <c r="I198" s="77">
        <v>1</v>
      </c>
      <c r="J198" s="65">
        <v>51300</v>
      </c>
      <c r="K198" s="65">
        <v>1734</v>
      </c>
      <c r="L198" s="66">
        <v>270</v>
      </c>
    </row>
    <row r="199" spans="2:12" x14ac:dyDescent="0.25">
      <c r="C199" t="s">
        <v>24</v>
      </c>
      <c r="D199" s="38">
        <v>53238.25</v>
      </c>
      <c r="F199" t="s">
        <v>350</v>
      </c>
      <c r="G199" t="s">
        <v>31</v>
      </c>
      <c r="H199" t="s">
        <v>63</v>
      </c>
      <c r="I199" s="77">
        <v>1</v>
      </c>
      <c r="J199" s="65">
        <v>3360</v>
      </c>
      <c r="K199" s="65">
        <v>196.42</v>
      </c>
      <c r="L199" s="66">
        <v>16</v>
      </c>
    </row>
    <row r="200" spans="2:12" x14ac:dyDescent="0.25">
      <c r="C200" t="s">
        <v>54</v>
      </c>
      <c r="D200" s="38">
        <v>30091.68</v>
      </c>
      <c r="F200" t="s">
        <v>280</v>
      </c>
      <c r="G200" t="s">
        <v>44</v>
      </c>
      <c r="H200" t="s">
        <v>63</v>
      </c>
      <c r="I200" s="77">
        <v>1</v>
      </c>
      <c r="J200" s="65">
        <v>7200</v>
      </c>
      <c r="K200" s="65">
        <v>1964.2</v>
      </c>
      <c r="L200" s="66">
        <v>8</v>
      </c>
    </row>
    <row r="201" spans="2:12" x14ac:dyDescent="0.25">
      <c r="B201" t="s">
        <v>555</v>
      </c>
      <c r="C201" t="s">
        <v>40</v>
      </c>
      <c r="D201" s="38">
        <v>17948.36</v>
      </c>
      <c r="F201" t="s">
        <v>281</v>
      </c>
      <c r="G201" t="s">
        <v>44</v>
      </c>
      <c r="H201" t="s">
        <v>53</v>
      </c>
      <c r="I201" s="77">
        <v>1</v>
      </c>
      <c r="J201" s="65">
        <v>1600</v>
      </c>
      <c r="K201" s="65">
        <v>5242</v>
      </c>
      <c r="L201" s="66">
        <v>16</v>
      </c>
    </row>
    <row r="202" spans="2:12" x14ac:dyDescent="0.25">
      <c r="C202" t="s">
        <v>566</v>
      </c>
      <c r="D202" s="38">
        <v>356.4</v>
      </c>
      <c r="F202" t="s">
        <v>279</v>
      </c>
      <c r="G202" t="s">
        <v>44</v>
      </c>
      <c r="H202" t="s">
        <v>47</v>
      </c>
      <c r="I202" s="77">
        <v>1</v>
      </c>
      <c r="J202" s="65">
        <v>72000</v>
      </c>
      <c r="K202" s="65">
        <v>4215</v>
      </c>
      <c r="L202" s="66">
        <v>360</v>
      </c>
    </row>
    <row r="203" spans="2:12" x14ac:dyDescent="0.25">
      <c r="C203" t="s">
        <v>35</v>
      </c>
      <c r="D203" s="38">
        <v>38347.5</v>
      </c>
      <c r="F203" t="s">
        <v>283</v>
      </c>
      <c r="G203" t="s">
        <v>44</v>
      </c>
      <c r="H203" t="s">
        <v>284</v>
      </c>
      <c r="I203" s="77">
        <v>1</v>
      </c>
      <c r="J203" s="65">
        <v>3392</v>
      </c>
      <c r="K203" s="65">
        <v>356.4</v>
      </c>
      <c r="L203" s="66">
        <v>16</v>
      </c>
    </row>
    <row r="204" spans="2:12" x14ac:dyDescent="0.25">
      <c r="C204" t="s">
        <v>24</v>
      </c>
      <c r="D204" s="38">
        <v>3258</v>
      </c>
      <c r="F204" t="s">
        <v>328</v>
      </c>
      <c r="G204" t="s">
        <v>31</v>
      </c>
      <c r="H204" t="s">
        <v>329</v>
      </c>
      <c r="I204" s="77">
        <v>1</v>
      </c>
      <c r="J204" s="65">
        <v>46200</v>
      </c>
      <c r="K204" s="65">
        <v>1460.47</v>
      </c>
      <c r="L204" s="66">
        <v>220</v>
      </c>
    </row>
    <row r="205" spans="2:12" x14ac:dyDescent="0.25">
      <c r="C205" t="s">
        <v>54</v>
      </c>
      <c r="D205" s="38">
        <v>285.12</v>
      </c>
      <c r="F205" t="s">
        <v>275</v>
      </c>
      <c r="G205" t="s">
        <v>44</v>
      </c>
      <c r="H205" t="s">
        <v>54</v>
      </c>
      <c r="I205" s="77">
        <v>1</v>
      </c>
      <c r="J205" s="65">
        <v>23584</v>
      </c>
      <c r="K205" s="65">
        <v>142.56</v>
      </c>
      <c r="L205" s="66">
        <v>124</v>
      </c>
    </row>
    <row r="206" spans="2:12" x14ac:dyDescent="0.25">
      <c r="B206" t="s">
        <v>556</v>
      </c>
      <c r="C206" t="s">
        <v>69</v>
      </c>
      <c r="D206" s="38">
        <v>24800</v>
      </c>
      <c r="F206" t="s">
        <v>341</v>
      </c>
      <c r="G206" t="s">
        <v>31</v>
      </c>
      <c r="H206" t="s">
        <v>342</v>
      </c>
      <c r="I206" s="77">
        <v>1</v>
      </c>
      <c r="J206" s="65">
        <v>16200</v>
      </c>
      <c r="K206" s="65">
        <v>712.8</v>
      </c>
      <c r="L206" s="66">
        <v>80</v>
      </c>
    </row>
    <row r="207" spans="2:12" x14ac:dyDescent="0.25">
      <c r="C207" t="s">
        <v>40</v>
      </c>
      <c r="D207" s="38">
        <v>18000</v>
      </c>
      <c r="F207" t="s">
        <v>302</v>
      </c>
      <c r="G207" t="s">
        <v>22</v>
      </c>
      <c r="H207" t="s">
        <v>63</v>
      </c>
      <c r="I207" s="77">
        <v>1</v>
      </c>
      <c r="J207" s="65">
        <v>16000</v>
      </c>
      <c r="K207" s="65">
        <v>5880</v>
      </c>
      <c r="L207" s="66">
        <v>80</v>
      </c>
    </row>
    <row r="208" spans="2:12" x14ac:dyDescent="0.25">
      <c r="C208" t="s">
        <v>348</v>
      </c>
      <c r="D208" s="38">
        <v>689.04</v>
      </c>
      <c r="F208" t="s">
        <v>296</v>
      </c>
      <c r="G208" t="s">
        <v>22</v>
      </c>
      <c r="H208" t="s">
        <v>63</v>
      </c>
      <c r="I208" s="77">
        <v>1</v>
      </c>
      <c r="J208" s="65">
        <v>16000</v>
      </c>
      <c r="K208" s="65">
        <v>1558</v>
      </c>
      <c r="L208" s="66">
        <v>80</v>
      </c>
    </row>
    <row r="209" spans="2:12" x14ac:dyDescent="0.25">
      <c r="C209" t="s">
        <v>47</v>
      </c>
      <c r="D209" s="38">
        <v>48054.400000000001</v>
      </c>
      <c r="F209" t="s">
        <v>315</v>
      </c>
      <c r="G209" t="s">
        <v>22</v>
      </c>
      <c r="H209" t="s">
        <v>316</v>
      </c>
      <c r="I209" s="77">
        <v>1</v>
      </c>
      <c r="J209" s="65">
        <v>0</v>
      </c>
      <c r="K209" s="65">
        <v>66</v>
      </c>
      <c r="L209" s="66">
        <v>0</v>
      </c>
    </row>
    <row r="210" spans="2:12" x14ac:dyDescent="0.25">
      <c r="C210" t="s">
        <v>567</v>
      </c>
      <c r="D210" s="38">
        <v>3461.88</v>
      </c>
      <c r="F210" t="s">
        <v>272</v>
      </c>
      <c r="G210" t="s">
        <v>44</v>
      </c>
      <c r="H210" t="s">
        <v>53</v>
      </c>
      <c r="I210" s="77">
        <v>1</v>
      </c>
      <c r="J210" s="65">
        <v>1600</v>
      </c>
      <c r="K210" s="65">
        <v>6846</v>
      </c>
      <c r="L210" s="66">
        <v>16</v>
      </c>
    </row>
    <row r="211" spans="2:12" x14ac:dyDescent="0.25">
      <c r="C211" t="s">
        <v>35</v>
      </c>
      <c r="D211" s="38">
        <v>4576</v>
      </c>
      <c r="F211" t="s">
        <v>271</v>
      </c>
      <c r="G211" t="s">
        <v>44</v>
      </c>
      <c r="H211" t="s">
        <v>47</v>
      </c>
      <c r="I211" s="77">
        <v>1</v>
      </c>
      <c r="J211" s="65">
        <v>118908</v>
      </c>
      <c r="K211" s="65">
        <v>13048</v>
      </c>
      <c r="L211" s="66">
        <v>540</v>
      </c>
    </row>
    <row r="212" spans="2:12" x14ac:dyDescent="0.25">
      <c r="C212" t="s">
        <v>24</v>
      </c>
      <c r="D212" s="38">
        <v>8754</v>
      </c>
      <c r="F212" t="s">
        <v>266</v>
      </c>
      <c r="G212" t="s">
        <v>44</v>
      </c>
      <c r="H212" t="s">
        <v>53</v>
      </c>
      <c r="I212" s="77">
        <v>1</v>
      </c>
      <c r="J212" s="65">
        <v>1600</v>
      </c>
      <c r="K212" s="65">
        <v>2568</v>
      </c>
      <c r="L212" s="66">
        <v>16</v>
      </c>
    </row>
    <row r="213" spans="2:12" x14ac:dyDescent="0.25">
      <c r="C213" t="s">
        <v>54</v>
      </c>
      <c r="D213" s="38">
        <v>1710.72</v>
      </c>
      <c r="F213" t="s">
        <v>322</v>
      </c>
      <c r="G213" t="s">
        <v>22</v>
      </c>
      <c r="H213" t="s">
        <v>63</v>
      </c>
      <c r="I213" s="77">
        <v>1</v>
      </c>
      <c r="J213" s="65">
        <v>16000</v>
      </c>
      <c r="K213" s="65">
        <v>18330</v>
      </c>
      <c r="L213" s="66">
        <v>80</v>
      </c>
    </row>
    <row r="214" spans="2:12" x14ac:dyDescent="0.25">
      <c r="B214" s="40" t="s">
        <v>223</v>
      </c>
      <c r="C214" s="40"/>
      <c r="D214" s="59">
        <v>327224.46000000002</v>
      </c>
      <c r="F214" t="s">
        <v>351</v>
      </c>
      <c r="G214" t="s">
        <v>31</v>
      </c>
      <c r="H214" t="s">
        <v>352</v>
      </c>
      <c r="I214" s="77">
        <v>1</v>
      </c>
      <c r="J214" s="65">
        <v>5040</v>
      </c>
      <c r="K214" s="65">
        <v>1140.48</v>
      </c>
      <c r="L214" s="66">
        <v>24</v>
      </c>
    </row>
    <row r="215" spans="2:12" x14ac:dyDescent="0.25">
      <c r="F215" t="s">
        <v>268</v>
      </c>
      <c r="G215" t="s">
        <v>44</v>
      </c>
      <c r="H215" t="s">
        <v>53</v>
      </c>
      <c r="I215" s="77">
        <v>1</v>
      </c>
      <c r="J215" s="65">
        <v>1600</v>
      </c>
      <c r="K215" s="65">
        <v>3356</v>
      </c>
      <c r="L215" s="66">
        <v>16</v>
      </c>
    </row>
    <row r="216" spans="2:12" x14ac:dyDescent="0.25">
      <c r="F216" t="s">
        <v>267</v>
      </c>
      <c r="G216" t="s">
        <v>44</v>
      </c>
      <c r="H216" t="s">
        <v>47</v>
      </c>
      <c r="I216" s="77">
        <v>1</v>
      </c>
      <c r="J216" s="65">
        <v>81786</v>
      </c>
      <c r="K216" s="65">
        <v>7965</v>
      </c>
      <c r="L216" s="66">
        <v>430</v>
      </c>
    </row>
    <row r="217" spans="2:12" x14ac:dyDescent="0.25">
      <c r="F217" t="s">
        <v>261</v>
      </c>
      <c r="G217" t="s">
        <v>44</v>
      </c>
      <c r="H217" t="s">
        <v>63</v>
      </c>
      <c r="I217" s="77">
        <v>1</v>
      </c>
      <c r="J217" s="65">
        <v>33920</v>
      </c>
      <c r="K217" s="65">
        <v>3768</v>
      </c>
      <c r="L217" s="66">
        <v>160</v>
      </c>
    </row>
    <row r="218" spans="2:12" x14ac:dyDescent="0.25">
      <c r="F218" t="s">
        <v>269</v>
      </c>
      <c r="G218" t="s">
        <v>44</v>
      </c>
      <c r="H218" t="s">
        <v>270</v>
      </c>
      <c r="I218" s="77">
        <v>1</v>
      </c>
      <c r="J218" s="65">
        <v>0</v>
      </c>
      <c r="K218" s="65">
        <v>356.4</v>
      </c>
      <c r="L218" s="66">
        <v>0</v>
      </c>
    </row>
    <row r="219" spans="2:12" x14ac:dyDescent="0.25">
      <c r="F219" t="s">
        <v>295</v>
      </c>
      <c r="G219" t="s">
        <v>22</v>
      </c>
      <c r="H219" t="s">
        <v>47</v>
      </c>
      <c r="I219" s="77">
        <v>1</v>
      </c>
      <c r="J219" s="65">
        <v>0</v>
      </c>
      <c r="K219" s="65">
        <v>0</v>
      </c>
      <c r="L219" s="66">
        <v>0</v>
      </c>
    </row>
    <row r="220" spans="2:12" x14ac:dyDescent="0.25">
      <c r="F220" t="s">
        <v>264</v>
      </c>
      <c r="G220" t="s">
        <v>44</v>
      </c>
      <c r="H220" t="s">
        <v>69</v>
      </c>
      <c r="I220" s="77">
        <v>1</v>
      </c>
      <c r="J220" s="65">
        <v>26200</v>
      </c>
      <c r="K220" s="65">
        <v>3000</v>
      </c>
      <c r="L220" s="66">
        <v>80</v>
      </c>
    </row>
    <row r="221" spans="2:12" x14ac:dyDescent="0.25">
      <c r="F221" t="s">
        <v>343</v>
      </c>
      <c r="G221" t="s">
        <v>31</v>
      </c>
      <c r="H221" t="s">
        <v>53</v>
      </c>
      <c r="I221" s="77">
        <v>1</v>
      </c>
      <c r="J221" s="65">
        <v>1600</v>
      </c>
      <c r="K221" s="65">
        <v>4718.3</v>
      </c>
      <c r="L221" s="66">
        <v>8</v>
      </c>
    </row>
    <row r="222" spans="2:12" x14ac:dyDescent="0.25">
      <c r="F222" t="s">
        <v>277</v>
      </c>
      <c r="G222" t="s">
        <v>44</v>
      </c>
      <c r="H222" t="s">
        <v>63</v>
      </c>
      <c r="I222" s="77">
        <v>1</v>
      </c>
      <c r="J222" s="65">
        <v>8000</v>
      </c>
      <c r="K222" s="65">
        <v>1964</v>
      </c>
      <c r="L222" s="66">
        <v>40</v>
      </c>
    </row>
    <row r="223" spans="2:12" x14ac:dyDescent="0.25">
      <c r="F223" t="s">
        <v>278</v>
      </c>
      <c r="G223" t="s">
        <v>44</v>
      </c>
      <c r="H223" t="s">
        <v>53</v>
      </c>
      <c r="I223" s="77">
        <v>1</v>
      </c>
      <c r="J223" s="65">
        <v>1600</v>
      </c>
      <c r="K223" s="65">
        <v>3442</v>
      </c>
      <c r="L223" s="66">
        <v>16</v>
      </c>
    </row>
    <row r="224" spans="2:12" x14ac:dyDescent="0.25">
      <c r="F224" t="s">
        <v>276</v>
      </c>
      <c r="G224" t="s">
        <v>44</v>
      </c>
      <c r="H224" t="s">
        <v>47</v>
      </c>
      <c r="I224" s="77">
        <v>1</v>
      </c>
      <c r="J224" s="65">
        <v>44000</v>
      </c>
      <c r="K224" s="65">
        <v>1378</v>
      </c>
      <c r="L224" s="66">
        <v>220</v>
      </c>
    </row>
    <row r="225" spans="6:12" x14ac:dyDescent="0.25">
      <c r="F225" t="s">
        <v>223</v>
      </c>
      <c r="I225" s="77">
        <v>28</v>
      </c>
      <c r="J225" s="65">
        <v>661890</v>
      </c>
      <c r="K225" s="65">
        <v>95408.03</v>
      </c>
      <c r="L225" s="66">
        <v>3232</v>
      </c>
    </row>
  </sheetData>
  <mergeCells count="4">
    <mergeCell ref="F2:G2"/>
    <mergeCell ref="B193:D193"/>
    <mergeCell ref="I2:K2"/>
    <mergeCell ref="F192:H192"/>
  </mergeCells>
  <pageMargins left="0.511811024" right="0.511811024" top="0.78740157499999996" bottom="0.78740157499999996" header="0.31496062000000002" footer="0.3149606200000000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B3:L547"/>
  <sheetViews>
    <sheetView showGridLines="0" workbookViewId="0">
      <selection activeCell="H546" sqref="H546"/>
    </sheetView>
  </sheetViews>
  <sheetFormatPr defaultRowHeight="15" x14ac:dyDescent="0.25"/>
  <cols>
    <col min="2" max="2" width="17.85546875" bestFit="1" customWidth="1"/>
    <col min="3" max="3" width="13" bestFit="1" customWidth="1"/>
    <col min="4" max="4" width="6.5703125" bestFit="1" customWidth="1"/>
    <col min="7" max="7" width="18.28515625" bestFit="1" customWidth="1"/>
    <col min="8" max="8" width="19.7109375" bestFit="1" customWidth="1"/>
    <col min="9" max="10" width="13.42578125" bestFit="1" customWidth="1"/>
    <col min="11" max="12" width="15.140625" bestFit="1" customWidth="1"/>
  </cols>
  <sheetData>
    <row r="3" spans="2:12" x14ac:dyDescent="0.25">
      <c r="B3" s="414" t="s">
        <v>568</v>
      </c>
      <c r="C3" s="392"/>
      <c r="D3" s="392"/>
      <c r="G3" s="414" t="s">
        <v>569</v>
      </c>
      <c r="H3" s="392"/>
      <c r="I3" s="392"/>
      <c r="J3" s="43"/>
      <c r="K3" s="43"/>
      <c r="L3" s="43"/>
    </row>
    <row r="4" spans="2:12" x14ac:dyDescent="0.25">
      <c r="B4" s="368" t="s">
        <v>215</v>
      </c>
      <c r="C4" s="368" t="s">
        <v>570</v>
      </c>
      <c r="D4" s="368" t="s">
        <v>571</v>
      </c>
      <c r="G4" s="373" t="s">
        <v>553</v>
      </c>
      <c r="H4" s="373" t="s">
        <v>572</v>
      </c>
      <c r="I4" s="373"/>
      <c r="J4" s="373"/>
      <c r="K4" s="373"/>
      <c r="L4" s="373"/>
    </row>
    <row r="5" spans="2:12" x14ac:dyDescent="0.25">
      <c r="B5" s="358" t="s">
        <v>41</v>
      </c>
      <c r="C5" s="369">
        <v>285492.63</v>
      </c>
      <c r="D5" s="360">
        <v>52</v>
      </c>
      <c r="G5" s="373" t="s">
        <v>215</v>
      </c>
      <c r="H5" s="373" t="s">
        <v>41</v>
      </c>
      <c r="I5" s="373" t="s">
        <v>35</v>
      </c>
      <c r="J5" s="373" t="s">
        <v>30</v>
      </c>
      <c r="K5" s="373" t="s">
        <v>554</v>
      </c>
      <c r="L5" s="373" t="s">
        <v>223</v>
      </c>
    </row>
    <row r="6" spans="2:12" x14ac:dyDescent="0.25">
      <c r="B6" s="358" t="s">
        <v>35</v>
      </c>
      <c r="C6" s="369">
        <v>326490.61</v>
      </c>
      <c r="D6" s="360">
        <v>2000</v>
      </c>
      <c r="G6" s="355" t="s">
        <v>44</v>
      </c>
      <c r="H6" s="367">
        <v>41390.26</v>
      </c>
      <c r="I6" s="367"/>
      <c r="J6" s="367">
        <v>106923.91</v>
      </c>
      <c r="K6" s="367">
        <v>1015377.1265</v>
      </c>
      <c r="L6" s="367">
        <v>1163691.2964999999</v>
      </c>
    </row>
    <row r="7" spans="2:12" x14ac:dyDescent="0.25">
      <c r="B7" s="358" t="s">
        <v>30</v>
      </c>
      <c r="C7" s="369">
        <v>186664.98</v>
      </c>
      <c r="D7" s="360">
        <v>1453</v>
      </c>
      <c r="G7" s="355" t="s">
        <v>22</v>
      </c>
      <c r="H7" s="367">
        <v>87602.08</v>
      </c>
      <c r="I7" s="367">
        <v>4576</v>
      </c>
      <c r="J7" s="367">
        <v>52414.979999999989</v>
      </c>
      <c r="K7" s="367">
        <v>468044</v>
      </c>
      <c r="L7" s="367">
        <v>612637.06000000006</v>
      </c>
    </row>
    <row r="8" spans="2:12" x14ac:dyDescent="0.25">
      <c r="B8" s="358" t="s">
        <v>554</v>
      </c>
      <c r="C8" s="369">
        <v>1965697.5865</v>
      </c>
      <c r="D8" s="360">
        <v>11106.02</v>
      </c>
      <c r="G8" s="355" t="s">
        <v>31</v>
      </c>
      <c r="H8" s="367">
        <v>156500.29</v>
      </c>
      <c r="I8" s="367">
        <v>321914.61</v>
      </c>
      <c r="J8" s="367">
        <v>27326.09</v>
      </c>
      <c r="K8" s="367">
        <v>482276.46000000008</v>
      </c>
      <c r="L8" s="367">
        <v>988017.45000000019</v>
      </c>
    </row>
    <row r="9" spans="2:12" x14ac:dyDescent="0.25">
      <c r="B9" s="370" t="s">
        <v>223</v>
      </c>
      <c r="C9" s="371">
        <v>2764345.806499999</v>
      </c>
      <c r="D9" s="372">
        <v>14611.02</v>
      </c>
      <c r="G9" s="374" t="s">
        <v>223</v>
      </c>
      <c r="H9" s="375">
        <v>285492.63</v>
      </c>
      <c r="I9" s="375">
        <v>326490.61</v>
      </c>
      <c r="J9" s="375">
        <v>186664.98</v>
      </c>
      <c r="K9" s="375">
        <v>1965697.5865</v>
      </c>
      <c r="L9" s="375">
        <v>2764345.8064999999</v>
      </c>
    </row>
    <row r="12" spans="2:12" hidden="1" x14ac:dyDescent="0.25"/>
    <row r="13" spans="2:12" hidden="1" x14ac:dyDescent="0.25"/>
    <row r="14" spans="2:12" hidden="1" x14ac:dyDescent="0.25"/>
    <row r="15" spans="2:12" hidden="1" x14ac:dyDescent="0.25"/>
    <row r="16" spans="2:12" hidden="1" x14ac:dyDescent="0.25"/>
    <row r="17" hidden="1" x14ac:dyDescent="0.25"/>
    <row r="18" hidden="1" x14ac:dyDescent="0.25"/>
    <row r="19" hidden="1" x14ac:dyDescent="0.25"/>
    <row r="20" hidden="1" x14ac:dyDescent="0.25"/>
    <row r="21" hidden="1" x14ac:dyDescent="0.25"/>
    <row r="22" hidden="1" x14ac:dyDescent="0.25"/>
    <row r="23" hidden="1" x14ac:dyDescent="0.25"/>
    <row r="24" hidden="1" x14ac:dyDescent="0.25"/>
    <row r="25" hidden="1" x14ac:dyDescent="0.25"/>
    <row r="26" hidden="1" x14ac:dyDescent="0.25"/>
    <row r="27" hidden="1" x14ac:dyDescent="0.25"/>
    <row r="28" hidden="1" x14ac:dyDescent="0.25"/>
    <row r="29" hidden="1" x14ac:dyDescent="0.25"/>
    <row r="30" hidden="1" x14ac:dyDescent="0.25"/>
    <row r="31" hidden="1" x14ac:dyDescent="0.25"/>
    <row r="32" hidden="1" x14ac:dyDescent="0.25"/>
    <row r="33" hidden="1" x14ac:dyDescent="0.25"/>
    <row r="34" hidden="1" x14ac:dyDescent="0.25"/>
    <row r="35" hidden="1" x14ac:dyDescent="0.25"/>
    <row r="36" hidden="1" x14ac:dyDescent="0.25"/>
    <row r="37" hidden="1" x14ac:dyDescent="0.25"/>
    <row r="38" hidden="1" x14ac:dyDescent="0.25"/>
    <row r="39" hidden="1" x14ac:dyDescent="0.25"/>
    <row r="40" hidden="1" x14ac:dyDescent="0.25"/>
    <row r="41" hidden="1" x14ac:dyDescent="0.25"/>
    <row r="42" hidden="1" x14ac:dyDescent="0.25"/>
    <row r="43" hidden="1" x14ac:dyDescent="0.25"/>
    <row r="44" hidden="1" x14ac:dyDescent="0.25"/>
    <row r="45" hidden="1" x14ac:dyDescent="0.25"/>
    <row r="46" hidden="1" x14ac:dyDescent="0.25"/>
    <row r="47" hidden="1" x14ac:dyDescent="0.25"/>
    <row r="48" hidden="1" x14ac:dyDescent="0.25"/>
    <row r="49" hidden="1" x14ac:dyDescent="0.25"/>
    <row r="50" hidden="1" x14ac:dyDescent="0.25"/>
    <row r="51" hidden="1" x14ac:dyDescent="0.25"/>
    <row r="52" hidden="1" x14ac:dyDescent="0.25"/>
    <row r="53" hidden="1" x14ac:dyDescent="0.25"/>
    <row r="54" hidden="1" x14ac:dyDescent="0.25"/>
    <row r="55" hidden="1" x14ac:dyDescent="0.25"/>
    <row r="56" hidden="1" x14ac:dyDescent="0.25"/>
    <row r="57" hidden="1" x14ac:dyDescent="0.25"/>
    <row r="58" hidden="1" x14ac:dyDescent="0.25"/>
    <row r="59" hidden="1" x14ac:dyDescent="0.25"/>
    <row r="60" hidden="1" x14ac:dyDescent="0.25"/>
    <row r="61" hidden="1" x14ac:dyDescent="0.25"/>
    <row r="62" hidden="1" x14ac:dyDescent="0.25"/>
    <row r="63" hidden="1" x14ac:dyDescent="0.25"/>
    <row r="64" hidden="1" x14ac:dyDescent="0.25"/>
    <row r="65" hidden="1" x14ac:dyDescent="0.25"/>
    <row r="66" hidden="1" x14ac:dyDescent="0.25"/>
    <row r="67" hidden="1" x14ac:dyDescent="0.25"/>
    <row r="68" hidden="1" x14ac:dyDescent="0.25"/>
    <row r="69" hidden="1" x14ac:dyDescent="0.25"/>
    <row r="70" hidden="1" x14ac:dyDescent="0.25"/>
    <row r="71" hidden="1" x14ac:dyDescent="0.25"/>
    <row r="72" hidden="1" x14ac:dyDescent="0.25"/>
    <row r="73" hidden="1" x14ac:dyDescent="0.25"/>
    <row r="74" hidden="1" x14ac:dyDescent="0.25"/>
    <row r="75" hidden="1" x14ac:dyDescent="0.25"/>
    <row r="76" hidden="1" x14ac:dyDescent="0.25"/>
    <row r="77" hidden="1" x14ac:dyDescent="0.25"/>
    <row r="78" hidden="1" x14ac:dyDescent="0.25"/>
    <row r="79" hidden="1" x14ac:dyDescent="0.25"/>
    <row r="80" hidden="1" x14ac:dyDescent="0.25"/>
    <row r="81" hidden="1" x14ac:dyDescent="0.25"/>
    <row r="82" hidden="1" x14ac:dyDescent="0.25"/>
    <row r="83" hidden="1" x14ac:dyDescent="0.25"/>
    <row r="84" hidden="1" x14ac:dyDescent="0.25"/>
    <row r="85" hidden="1" x14ac:dyDescent="0.25"/>
    <row r="86" hidden="1" x14ac:dyDescent="0.25"/>
    <row r="87" hidden="1" x14ac:dyDescent="0.25"/>
    <row r="88" hidden="1" x14ac:dyDescent="0.25"/>
    <row r="89" hidden="1" x14ac:dyDescent="0.25"/>
    <row r="90" hidden="1" x14ac:dyDescent="0.25"/>
    <row r="91" hidden="1" x14ac:dyDescent="0.25"/>
    <row r="92" hidden="1" x14ac:dyDescent="0.25"/>
    <row r="93" hidden="1" x14ac:dyDescent="0.25"/>
    <row r="94" hidden="1" x14ac:dyDescent="0.25"/>
    <row r="95" hidden="1" x14ac:dyDescent="0.25"/>
    <row r="96" hidden="1" x14ac:dyDescent="0.25"/>
    <row r="97" hidden="1" x14ac:dyDescent="0.25"/>
    <row r="98" hidden="1" x14ac:dyDescent="0.25"/>
    <row r="99" hidden="1" x14ac:dyDescent="0.25"/>
    <row r="100" hidden="1" x14ac:dyDescent="0.25"/>
    <row r="101" hidden="1" x14ac:dyDescent="0.25"/>
    <row r="102" hidden="1" x14ac:dyDescent="0.25"/>
    <row r="103" hidden="1" x14ac:dyDescent="0.25"/>
    <row r="104" hidden="1" x14ac:dyDescent="0.25"/>
    <row r="105" hidden="1" x14ac:dyDescent="0.25"/>
    <row r="106" hidden="1" x14ac:dyDescent="0.25"/>
    <row r="107" hidden="1" x14ac:dyDescent="0.25"/>
    <row r="108" hidden="1" x14ac:dyDescent="0.25"/>
    <row r="109" hidden="1" x14ac:dyDescent="0.25"/>
    <row r="110" hidden="1" x14ac:dyDescent="0.25"/>
    <row r="111" hidden="1" x14ac:dyDescent="0.25"/>
    <row r="112" hidden="1" x14ac:dyDescent="0.25"/>
    <row r="113" hidden="1" x14ac:dyDescent="0.25"/>
    <row r="114" hidden="1" x14ac:dyDescent="0.25"/>
    <row r="115" hidden="1" x14ac:dyDescent="0.25"/>
    <row r="116" hidden="1" x14ac:dyDescent="0.25"/>
    <row r="117" hidden="1" x14ac:dyDescent="0.25"/>
    <row r="118" hidden="1" x14ac:dyDescent="0.25"/>
    <row r="119" hidden="1" x14ac:dyDescent="0.25"/>
    <row r="120" hidden="1" x14ac:dyDescent="0.25"/>
    <row r="121" hidden="1" x14ac:dyDescent="0.25"/>
    <row r="122" hidden="1" x14ac:dyDescent="0.25"/>
    <row r="123" hidden="1" x14ac:dyDescent="0.25"/>
    <row r="124" hidden="1" x14ac:dyDescent="0.25"/>
    <row r="125" hidden="1" x14ac:dyDescent="0.25"/>
    <row r="126" hidden="1" x14ac:dyDescent="0.25"/>
    <row r="127" hidden="1" x14ac:dyDescent="0.25"/>
    <row r="128" hidden="1" x14ac:dyDescent="0.25"/>
    <row r="129" hidden="1" x14ac:dyDescent="0.25"/>
    <row r="130" hidden="1" x14ac:dyDescent="0.25"/>
    <row r="131" hidden="1" x14ac:dyDescent="0.25"/>
    <row r="132" hidden="1" x14ac:dyDescent="0.25"/>
    <row r="133" hidden="1" x14ac:dyDescent="0.25"/>
    <row r="134" hidden="1" x14ac:dyDescent="0.25"/>
    <row r="135" hidden="1" x14ac:dyDescent="0.25"/>
    <row r="136" hidden="1" x14ac:dyDescent="0.25"/>
    <row r="137" hidden="1" x14ac:dyDescent="0.25"/>
    <row r="138" hidden="1" x14ac:dyDescent="0.25"/>
    <row r="139" hidden="1" x14ac:dyDescent="0.25"/>
    <row r="140" hidden="1" x14ac:dyDescent="0.25"/>
    <row r="141" hidden="1" x14ac:dyDescent="0.25"/>
    <row r="142" hidden="1" x14ac:dyDescent="0.25"/>
    <row r="143" hidden="1" x14ac:dyDescent="0.25"/>
    <row r="144" hidden="1" x14ac:dyDescent="0.25"/>
    <row r="145" hidden="1" x14ac:dyDescent="0.25"/>
    <row r="146" hidden="1" x14ac:dyDescent="0.25"/>
    <row r="147" hidden="1" x14ac:dyDescent="0.25"/>
    <row r="148" hidden="1" x14ac:dyDescent="0.25"/>
    <row r="149" hidden="1" x14ac:dyDescent="0.25"/>
    <row r="150" hidden="1" x14ac:dyDescent="0.25"/>
    <row r="151" hidden="1" x14ac:dyDescent="0.25"/>
    <row r="152" hidden="1" x14ac:dyDescent="0.25"/>
    <row r="153" hidden="1" x14ac:dyDescent="0.25"/>
    <row r="154" hidden="1" x14ac:dyDescent="0.25"/>
    <row r="155" hidden="1" x14ac:dyDescent="0.25"/>
    <row r="156" hidden="1" x14ac:dyDescent="0.25"/>
    <row r="157" hidden="1" x14ac:dyDescent="0.25"/>
    <row r="158" hidden="1" x14ac:dyDescent="0.25"/>
    <row r="159" hidden="1" x14ac:dyDescent="0.25"/>
    <row r="160" hidden="1" x14ac:dyDescent="0.25"/>
    <row r="161" hidden="1" x14ac:dyDescent="0.25"/>
    <row r="162" hidden="1" x14ac:dyDescent="0.25"/>
    <row r="163" hidden="1" x14ac:dyDescent="0.25"/>
    <row r="164" hidden="1" x14ac:dyDescent="0.25"/>
    <row r="165" hidden="1" x14ac:dyDescent="0.25"/>
    <row r="166" hidden="1" x14ac:dyDescent="0.25"/>
    <row r="167" hidden="1" x14ac:dyDescent="0.25"/>
    <row r="168" hidden="1" x14ac:dyDescent="0.25"/>
    <row r="169" hidden="1" x14ac:dyDescent="0.25"/>
    <row r="170" hidden="1" x14ac:dyDescent="0.25"/>
    <row r="171" hidden="1" x14ac:dyDescent="0.25"/>
    <row r="172" hidden="1" x14ac:dyDescent="0.25"/>
    <row r="173" hidden="1" x14ac:dyDescent="0.25"/>
    <row r="174" hidden="1" x14ac:dyDescent="0.25"/>
    <row r="175" hidden="1" x14ac:dyDescent="0.25"/>
    <row r="176" hidden="1" x14ac:dyDescent="0.25"/>
    <row r="177" hidden="1" x14ac:dyDescent="0.25"/>
    <row r="178" hidden="1" x14ac:dyDescent="0.25"/>
    <row r="179" hidden="1" x14ac:dyDescent="0.25"/>
    <row r="180" hidden="1" x14ac:dyDescent="0.25"/>
    <row r="181" hidden="1" x14ac:dyDescent="0.25"/>
    <row r="182" hidden="1" x14ac:dyDescent="0.25"/>
    <row r="183" hidden="1" x14ac:dyDescent="0.25"/>
    <row r="184" hidden="1" x14ac:dyDescent="0.25"/>
    <row r="185" hidden="1" x14ac:dyDescent="0.25"/>
    <row r="186" hidden="1" x14ac:dyDescent="0.25"/>
    <row r="187" hidden="1" x14ac:dyDescent="0.25"/>
    <row r="188" hidden="1" x14ac:dyDescent="0.25"/>
    <row r="189" hidden="1" x14ac:dyDescent="0.25"/>
    <row r="190" hidden="1" x14ac:dyDescent="0.25"/>
    <row r="191" hidden="1" x14ac:dyDescent="0.25"/>
    <row r="192" hidden="1" x14ac:dyDescent="0.25"/>
    <row r="193" hidden="1" x14ac:dyDescent="0.25"/>
    <row r="194" hidden="1" x14ac:dyDescent="0.25"/>
    <row r="195" hidden="1" x14ac:dyDescent="0.25"/>
    <row r="196" hidden="1" x14ac:dyDescent="0.25"/>
    <row r="197" hidden="1" x14ac:dyDescent="0.25"/>
    <row r="198" hidden="1" x14ac:dyDescent="0.25"/>
    <row r="199" hidden="1" x14ac:dyDescent="0.25"/>
    <row r="200" hidden="1" x14ac:dyDescent="0.25"/>
    <row r="201" hidden="1" x14ac:dyDescent="0.25"/>
    <row r="202" hidden="1" x14ac:dyDescent="0.25"/>
    <row r="203" hidden="1" x14ac:dyDescent="0.25"/>
    <row r="204" hidden="1" x14ac:dyDescent="0.25"/>
    <row r="205" hidden="1" x14ac:dyDescent="0.25"/>
    <row r="206" hidden="1" x14ac:dyDescent="0.25"/>
    <row r="207" hidden="1" x14ac:dyDescent="0.25"/>
    <row r="208" hidden="1" x14ac:dyDescent="0.25"/>
    <row r="209" hidden="1" x14ac:dyDescent="0.25"/>
    <row r="210" hidden="1" x14ac:dyDescent="0.25"/>
    <row r="211" hidden="1" x14ac:dyDescent="0.25"/>
    <row r="212" hidden="1" x14ac:dyDescent="0.25"/>
    <row r="213" hidden="1" x14ac:dyDescent="0.25"/>
    <row r="214" hidden="1" x14ac:dyDescent="0.25"/>
    <row r="215" hidden="1" x14ac:dyDescent="0.25"/>
    <row r="216" hidden="1" x14ac:dyDescent="0.25"/>
    <row r="217" hidden="1" x14ac:dyDescent="0.25"/>
    <row r="218" hidden="1" x14ac:dyDescent="0.25"/>
    <row r="219" hidden="1" x14ac:dyDescent="0.25"/>
    <row r="220" hidden="1" x14ac:dyDescent="0.25"/>
    <row r="221" hidden="1" x14ac:dyDescent="0.25"/>
    <row r="222" hidden="1" x14ac:dyDescent="0.25"/>
    <row r="223" hidden="1" x14ac:dyDescent="0.25"/>
    <row r="224" hidden="1" x14ac:dyDescent="0.25"/>
    <row r="225" hidden="1" x14ac:dyDescent="0.25"/>
    <row r="226" hidden="1" x14ac:dyDescent="0.25"/>
    <row r="227" hidden="1" x14ac:dyDescent="0.25"/>
    <row r="228" hidden="1" x14ac:dyDescent="0.25"/>
    <row r="229" hidden="1" x14ac:dyDescent="0.25"/>
    <row r="230" hidden="1" x14ac:dyDescent="0.25"/>
    <row r="231" hidden="1" x14ac:dyDescent="0.25"/>
    <row r="232" hidden="1" x14ac:dyDescent="0.25"/>
    <row r="233" hidden="1" x14ac:dyDescent="0.25"/>
    <row r="234" hidden="1" x14ac:dyDescent="0.25"/>
    <row r="235" hidden="1" x14ac:dyDescent="0.25"/>
    <row r="236" hidden="1" x14ac:dyDescent="0.25"/>
    <row r="237" hidden="1" x14ac:dyDescent="0.25"/>
    <row r="238" hidden="1" x14ac:dyDescent="0.25"/>
    <row r="239" hidden="1" x14ac:dyDescent="0.25"/>
    <row r="240" hidden="1" x14ac:dyDescent="0.25"/>
    <row r="241" hidden="1" x14ac:dyDescent="0.25"/>
    <row r="242" hidden="1" x14ac:dyDescent="0.25"/>
    <row r="243" hidden="1" x14ac:dyDescent="0.25"/>
    <row r="244" hidden="1" x14ac:dyDescent="0.25"/>
    <row r="245" hidden="1" x14ac:dyDescent="0.25"/>
    <row r="246" hidden="1" x14ac:dyDescent="0.25"/>
    <row r="247" hidden="1" x14ac:dyDescent="0.25"/>
    <row r="248" hidden="1" x14ac:dyDescent="0.25"/>
    <row r="249" hidden="1" x14ac:dyDescent="0.25"/>
    <row r="250" hidden="1" x14ac:dyDescent="0.25"/>
    <row r="251" hidden="1" x14ac:dyDescent="0.25"/>
    <row r="252" hidden="1" x14ac:dyDescent="0.25"/>
    <row r="253" hidden="1" x14ac:dyDescent="0.25"/>
    <row r="254" hidden="1" x14ac:dyDescent="0.25"/>
    <row r="255" hidden="1" x14ac:dyDescent="0.25"/>
    <row r="256" hidden="1" x14ac:dyDescent="0.25"/>
    <row r="257" hidden="1" x14ac:dyDescent="0.25"/>
    <row r="258" hidden="1" x14ac:dyDescent="0.25"/>
    <row r="259" hidden="1" x14ac:dyDescent="0.25"/>
    <row r="260" hidden="1" x14ac:dyDescent="0.25"/>
    <row r="261" hidden="1" x14ac:dyDescent="0.25"/>
    <row r="262" hidden="1" x14ac:dyDescent="0.25"/>
    <row r="263" hidden="1" x14ac:dyDescent="0.25"/>
    <row r="264" hidden="1" x14ac:dyDescent="0.25"/>
    <row r="265" hidden="1" x14ac:dyDescent="0.25"/>
    <row r="266" hidden="1" x14ac:dyDescent="0.25"/>
    <row r="267" hidden="1" x14ac:dyDescent="0.25"/>
    <row r="268" hidden="1" x14ac:dyDescent="0.25"/>
    <row r="269" hidden="1" x14ac:dyDescent="0.25"/>
    <row r="270" hidden="1" x14ac:dyDescent="0.25"/>
    <row r="271" hidden="1" x14ac:dyDescent="0.25"/>
    <row r="272" hidden="1" x14ac:dyDescent="0.25"/>
    <row r="273" hidden="1" x14ac:dyDescent="0.25"/>
    <row r="274" hidden="1" x14ac:dyDescent="0.25"/>
    <row r="275" hidden="1" x14ac:dyDescent="0.25"/>
    <row r="276" hidden="1" x14ac:dyDescent="0.25"/>
    <row r="277" hidden="1" x14ac:dyDescent="0.25"/>
    <row r="278" hidden="1" x14ac:dyDescent="0.25"/>
    <row r="279" hidden="1" x14ac:dyDescent="0.25"/>
    <row r="280" hidden="1" x14ac:dyDescent="0.25"/>
    <row r="281" hidden="1" x14ac:dyDescent="0.25"/>
    <row r="282" hidden="1" x14ac:dyDescent="0.25"/>
    <row r="283" hidden="1" x14ac:dyDescent="0.25"/>
    <row r="284" hidden="1" x14ac:dyDescent="0.25"/>
    <row r="285" hidden="1" x14ac:dyDescent="0.25"/>
    <row r="286" hidden="1" x14ac:dyDescent="0.25"/>
    <row r="287" hidden="1" x14ac:dyDescent="0.25"/>
    <row r="288" hidden="1" x14ac:dyDescent="0.25"/>
    <row r="289" hidden="1" x14ac:dyDescent="0.25"/>
    <row r="290" hidden="1" x14ac:dyDescent="0.25"/>
    <row r="291" hidden="1" x14ac:dyDescent="0.25"/>
    <row r="292" hidden="1" x14ac:dyDescent="0.25"/>
    <row r="293" hidden="1" x14ac:dyDescent="0.25"/>
    <row r="294" hidden="1" x14ac:dyDescent="0.25"/>
    <row r="295" hidden="1" x14ac:dyDescent="0.25"/>
    <row r="296" hidden="1" x14ac:dyDescent="0.25"/>
    <row r="297" hidden="1" x14ac:dyDescent="0.25"/>
    <row r="298" hidden="1" x14ac:dyDescent="0.25"/>
    <row r="299" hidden="1" x14ac:dyDescent="0.25"/>
    <row r="300" hidden="1" x14ac:dyDescent="0.25"/>
    <row r="301" hidden="1" x14ac:dyDescent="0.25"/>
    <row r="302" hidden="1" x14ac:dyDescent="0.25"/>
    <row r="303" hidden="1" x14ac:dyDescent="0.25"/>
    <row r="304" hidden="1" x14ac:dyDescent="0.25"/>
    <row r="305" hidden="1" x14ac:dyDescent="0.25"/>
    <row r="306" hidden="1" x14ac:dyDescent="0.25"/>
    <row r="307" hidden="1" x14ac:dyDescent="0.25"/>
    <row r="308" hidden="1" x14ac:dyDescent="0.25"/>
    <row r="309" hidden="1" x14ac:dyDescent="0.25"/>
    <row r="310" hidden="1" x14ac:dyDescent="0.25"/>
    <row r="311" hidden="1" x14ac:dyDescent="0.25"/>
    <row r="312" hidden="1" x14ac:dyDescent="0.25"/>
    <row r="313" hidden="1" x14ac:dyDescent="0.25"/>
    <row r="314" hidden="1" x14ac:dyDescent="0.25"/>
    <row r="315" hidden="1" x14ac:dyDescent="0.25"/>
    <row r="316" hidden="1" x14ac:dyDescent="0.25"/>
    <row r="317" hidden="1" x14ac:dyDescent="0.25"/>
    <row r="318" hidden="1" x14ac:dyDescent="0.25"/>
    <row r="319" hidden="1" x14ac:dyDescent="0.25"/>
    <row r="320" hidden="1" x14ac:dyDescent="0.25"/>
    <row r="321" hidden="1" x14ac:dyDescent="0.25"/>
    <row r="322" hidden="1" x14ac:dyDescent="0.25"/>
    <row r="323" hidden="1" x14ac:dyDescent="0.25"/>
    <row r="324" hidden="1" x14ac:dyDescent="0.25"/>
    <row r="325" hidden="1" x14ac:dyDescent="0.25"/>
    <row r="326" hidden="1" x14ac:dyDescent="0.25"/>
    <row r="327" hidden="1" x14ac:dyDescent="0.25"/>
    <row r="328" hidden="1" x14ac:dyDescent="0.25"/>
    <row r="329" hidden="1" x14ac:dyDescent="0.25"/>
    <row r="330" hidden="1" x14ac:dyDescent="0.25"/>
    <row r="331" hidden="1" x14ac:dyDescent="0.25"/>
    <row r="332" hidden="1" x14ac:dyDescent="0.25"/>
    <row r="333" hidden="1" x14ac:dyDescent="0.25"/>
    <row r="334" hidden="1" x14ac:dyDescent="0.25"/>
    <row r="335" hidden="1" x14ac:dyDescent="0.25"/>
    <row r="336" hidden="1" x14ac:dyDescent="0.25"/>
    <row r="337" hidden="1" x14ac:dyDescent="0.25"/>
    <row r="338" hidden="1" x14ac:dyDescent="0.25"/>
    <row r="339" hidden="1" x14ac:dyDescent="0.25"/>
    <row r="340" hidden="1" x14ac:dyDescent="0.25"/>
    <row r="341" hidden="1" x14ac:dyDescent="0.25"/>
    <row r="342" hidden="1" x14ac:dyDescent="0.25"/>
    <row r="343" hidden="1" x14ac:dyDescent="0.25"/>
    <row r="344" hidden="1" x14ac:dyDescent="0.25"/>
    <row r="345" hidden="1" x14ac:dyDescent="0.25"/>
    <row r="346" hidden="1" x14ac:dyDescent="0.25"/>
    <row r="347" hidden="1" x14ac:dyDescent="0.25"/>
    <row r="348" hidden="1" x14ac:dyDescent="0.25"/>
    <row r="349" hidden="1" x14ac:dyDescent="0.25"/>
    <row r="350" hidden="1" x14ac:dyDescent="0.25"/>
    <row r="351" hidden="1" x14ac:dyDescent="0.25"/>
    <row r="352" hidden="1" x14ac:dyDescent="0.25"/>
    <row r="353" hidden="1" x14ac:dyDescent="0.25"/>
    <row r="354" hidden="1" x14ac:dyDescent="0.25"/>
    <row r="355" hidden="1" x14ac:dyDescent="0.25"/>
    <row r="356" hidden="1" x14ac:dyDescent="0.25"/>
    <row r="357" hidden="1" x14ac:dyDescent="0.25"/>
    <row r="358" hidden="1" x14ac:dyDescent="0.25"/>
    <row r="359" hidden="1" x14ac:dyDescent="0.25"/>
    <row r="360" hidden="1" x14ac:dyDescent="0.25"/>
    <row r="361" hidden="1" x14ac:dyDescent="0.25"/>
    <row r="362" hidden="1" x14ac:dyDescent="0.25"/>
    <row r="363" hidden="1" x14ac:dyDescent="0.25"/>
    <row r="364" hidden="1" x14ac:dyDescent="0.25"/>
    <row r="365" hidden="1" x14ac:dyDescent="0.25"/>
    <row r="366" hidden="1" x14ac:dyDescent="0.25"/>
    <row r="367" hidden="1" x14ac:dyDescent="0.25"/>
    <row r="368" hidden="1" x14ac:dyDescent="0.25"/>
    <row r="369" hidden="1" x14ac:dyDescent="0.25"/>
    <row r="370" hidden="1" x14ac:dyDescent="0.25"/>
    <row r="371" hidden="1" x14ac:dyDescent="0.25"/>
    <row r="372" hidden="1" x14ac:dyDescent="0.25"/>
    <row r="373" hidden="1" x14ac:dyDescent="0.25"/>
    <row r="374" hidden="1" x14ac:dyDescent="0.25"/>
    <row r="375" hidden="1" x14ac:dyDescent="0.25"/>
    <row r="376" hidden="1" x14ac:dyDescent="0.25"/>
    <row r="377" hidden="1" x14ac:dyDescent="0.25"/>
    <row r="378" hidden="1" x14ac:dyDescent="0.25"/>
    <row r="379" hidden="1" x14ac:dyDescent="0.25"/>
    <row r="380" hidden="1" x14ac:dyDescent="0.25"/>
    <row r="381" hidden="1" x14ac:dyDescent="0.25"/>
    <row r="382" hidden="1" x14ac:dyDescent="0.25"/>
    <row r="383" hidden="1" x14ac:dyDescent="0.25"/>
    <row r="384" hidden="1" x14ac:dyDescent="0.25"/>
    <row r="385" hidden="1" x14ac:dyDescent="0.25"/>
    <row r="386" hidden="1" x14ac:dyDescent="0.25"/>
    <row r="387" hidden="1" x14ac:dyDescent="0.25"/>
    <row r="388" hidden="1" x14ac:dyDescent="0.25"/>
    <row r="389" hidden="1" x14ac:dyDescent="0.25"/>
    <row r="390" hidden="1" x14ac:dyDescent="0.25"/>
    <row r="391" hidden="1" x14ac:dyDescent="0.25"/>
    <row r="392" hidden="1" x14ac:dyDescent="0.25"/>
    <row r="393" hidden="1" x14ac:dyDescent="0.25"/>
    <row r="394" hidden="1" x14ac:dyDescent="0.25"/>
    <row r="395" hidden="1" x14ac:dyDescent="0.25"/>
    <row r="396" hidden="1" x14ac:dyDescent="0.25"/>
    <row r="397" hidden="1" x14ac:dyDescent="0.25"/>
    <row r="398" hidden="1" x14ac:dyDescent="0.25"/>
    <row r="399" hidden="1" x14ac:dyDescent="0.25"/>
    <row r="400" hidden="1" x14ac:dyDescent="0.25"/>
    <row r="401" hidden="1" x14ac:dyDescent="0.25"/>
    <row r="402" hidden="1" x14ac:dyDescent="0.25"/>
    <row r="403" hidden="1" x14ac:dyDescent="0.25"/>
    <row r="404" hidden="1" x14ac:dyDescent="0.25"/>
    <row r="405" hidden="1" x14ac:dyDescent="0.25"/>
    <row r="406" hidden="1" x14ac:dyDescent="0.25"/>
    <row r="407" hidden="1" x14ac:dyDescent="0.25"/>
    <row r="408" hidden="1" x14ac:dyDescent="0.25"/>
    <row r="409" hidden="1" x14ac:dyDescent="0.25"/>
    <row r="410" hidden="1" x14ac:dyDescent="0.25"/>
    <row r="411" hidden="1" x14ac:dyDescent="0.25"/>
    <row r="412" hidden="1" x14ac:dyDescent="0.25"/>
    <row r="413" hidden="1" x14ac:dyDescent="0.25"/>
    <row r="414" hidden="1" x14ac:dyDescent="0.25"/>
    <row r="415" hidden="1" x14ac:dyDescent="0.25"/>
    <row r="416" hidden="1" x14ac:dyDescent="0.25"/>
    <row r="417" hidden="1" x14ac:dyDescent="0.25"/>
    <row r="418" hidden="1" x14ac:dyDescent="0.25"/>
    <row r="419" hidden="1" x14ac:dyDescent="0.25"/>
    <row r="420" hidden="1" x14ac:dyDescent="0.25"/>
    <row r="421" hidden="1" x14ac:dyDescent="0.25"/>
    <row r="422" hidden="1" x14ac:dyDescent="0.25"/>
    <row r="423" hidden="1" x14ac:dyDescent="0.25"/>
    <row r="424" hidden="1" x14ac:dyDescent="0.25"/>
    <row r="425" hidden="1" x14ac:dyDescent="0.25"/>
    <row r="426" hidden="1" x14ac:dyDescent="0.25"/>
    <row r="427" hidden="1" x14ac:dyDescent="0.25"/>
    <row r="428" hidden="1" x14ac:dyDescent="0.25"/>
    <row r="429" hidden="1" x14ac:dyDescent="0.25"/>
    <row r="430" hidden="1" x14ac:dyDescent="0.25"/>
    <row r="431" hidden="1" x14ac:dyDescent="0.25"/>
    <row r="432" hidden="1" x14ac:dyDescent="0.25"/>
    <row r="433" hidden="1" x14ac:dyDescent="0.25"/>
    <row r="434" hidden="1" x14ac:dyDescent="0.25"/>
    <row r="435" hidden="1" x14ac:dyDescent="0.25"/>
    <row r="436" hidden="1" x14ac:dyDescent="0.25"/>
    <row r="437" hidden="1" x14ac:dyDescent="0.25"/>
    <row r="438" hidden="1" x14ac:dyDescent="0.25"/>
    <row r="439" hidden="1" x14ac:dyDescent="0.25"/>
    <row r="440" hidden="1" x14ac:dyDescent="0.25"/>
    <row r="441" hidden="1" x14ac:dyDescent="0.25"/>
    <row r="442" hidden="1" x14ac:dyDescent="0.25"/>
    <row r="443" hidden="1" x14ac:dyDescent="0.25"/>
    <row r="444" hidden="1" x14ac:dyDescent="0.25"/>
    <row r="445" hidden="1" x14ac:dyDescent="0.25"/>
    <row r="446" hidden="1" x14ac:dyDescent="0.25"/>
    <row r="447" hidden="1" x14ac:dyDescent="0.25"/>
    <row r="448" hidden="1" x14ac:dyDescent="0.25"/>
    <row r="449" hidden="1" x14ac:dyDescent="0.25"/>
    <row r="450" hidden="1" x14ac:dyDescent="0.25"/>
    <row r="451" hidden="1" x14ac:dyDescent="0.25"/>
    <row r="452" hidden="1" x14ac:dyDescent="0.25"/>
    <row r="453" hidden="1" x14ac:dyDescent="0.25"/>
    <row r="454" hidden="1" x14ac:dyDescent="0.25"/>
    <row r="455" hidden="1" x14ac:dyDescent="0.25"/>
    <row r="456" hidden="1" x14ac:dyDescent="0.25"/>
    <row r="457" hidden="1" x14ac:dyDescent="0.25"/>
    <row r="458" hidden="1" x14ac:dyDescent="0.25"/>
    <row r="459" hidden="1" x14ac:dyDescent="0.25"/>
    <row r="460" hidden="1" x14ac:dyDescent="0.25"/>
    <row r="461" hidden="1" x14ac:dyDescent="0.25"/>
    <row r="462" hidden="1" x14ac:dyDescent="0.25"/>
    <row r="463" hidden="1" x14ac:dyDescent="0.25"/>
    <row r="464" hidden="1" x14ac:dyDescent="0.25"/>
    <row r="465" hidden="1" x14ac:dyDescent="0.25"/>
    <row r="466" hidden="1" x14ac:dyDescent="0.25"/>
    <row r="467" hidden="1" x14ac:dyDescent="0.25"/>
    <row r="468" hidden="1" x14ac:dyDescent="0.25"/>
    <row r="469" hidden="1" x14ac:dyDescent="0.25"/>
    <row r="470" hidden="1" x14ac:dyDescent="0.25"/>
    <row r="471" hidden="1" x14ac:dyDescent="0.25"/>
    <row r="472" hidden="1" x14ac:dyDescent="0.25"/>
    <row r="473" hidden="1" x14ac:dyDescent="0.25"/>
    <row r="474" hidden="1" x14ac:dyDescent="0.25"/>
    <row r="475" hidden="1" x14ac:dyDescent="0.25"/>
    <row r="476" hidden="1" x14ac:dyDescent="0.25"/>
    <row r="477" hidden="1" x14ac:dyDescent="0.25"/>
    <row r="478" hidden="1" x14ac:dyDescent="0.25"/>
    <row r="479" hidden="1" x14ac:dyDescent="0.25"/>
    <row r="480" hidden="1" x14ac:dyDescent="0.25"/>
    <row r="481" hidden="1" x14ac:dyDescent="0.25"/>
    <row r="482" hidden="1" x14ac:dyDescent="0.25"/>
    <row r="483" hidden="1" x14ac:dyDescent="0.25"/>
    <row r="484" hidden="1" x14ac:dyDescent="0.25"/>
    <row r="485" hidden="1" x14ac:dyDescent="0.25"/>
    <row r="486" hidden="1" x14ac:dyDescent="0.25"/>
    <row r="487" hidden="1" x14ac:dyDescent="0.25"/>
    <row r="488" hidden="1" x14ac:dyDescent="0.25"/>
    <row r="489" hidden="1" x14ac:dyDescent="0.25"/>
    <row r="490" hidden="1" x14ac:dyDescent="0.25"/>
    <row r="491" hidden="1" x14ac:dyDescent="0.25"/>
    <row r="492" hidden="1" x14ac:dyDescent="0.25"/>
    <row r="493" hidden="1" x14ac:dyDescent="0.25"/>
    <row r="494" hidden="1" x14ac:dyDescent="0.25"/>
    <row r="495" hidden="1" x14ac:dyDescent="0.25"/>
    <row r="496" hidden="1" x14ac:dyDescent="0.25"/>
    <row r="497" spans="2:7" hidden="1" x14ac:dyDescent="0.25"/>
    <row r="498" spans="2:7" hidden="1" x14ac:dyDescent="0.25"/>
    <row r="499" spans="2:7" hidden="1" x14ac:dyDescent="0.25"/>
    <row r="500" spans="2:7" hidden="1" x14ac:dyDescent="0.25"/>
    <row r="501" spans="2:7" hidden="1" x14ac:dyDescent="0.25"/>
    <row r="502" spans="2:7" hidden="1" x14ac:dyDescent="0.25"/>
    <row r="503" spans="2:7" hidden="1" x14ac:dyDescent="0.25"/>
    <row r="504" spans="2:7" hidden="1" x14ac:dyDescent="0.25"/>
    <row r="505" spans="2:7" hidden="1" x14ac:dyDescent="0.25"/>
    <row r="506" spans="2:7" hidden="1" x14ac:dyDescent="0.25"/>
    <row r="507" spans="2:7" hidden="1" x14ac:dyDescent="0.25"/>
    <row r="508" spans="2:7" hidden="1" x14ac:dyDescent="0.25"/>
    <row r="509" spans="2:7" hidden="1" x14ac:dyDescent="0.25"/>
    <row r="510" spans="2:7" hidden="1" x14ac:dyDescent="0.25"/>
    <row r="512" spans="2:7" x14ac:dyDescent="0.25">
      <c r="B512" s="46" t="s">
        <v>573</v>
      </c>
      <c r="C512" s="45"/>
      <c r="D512" s="45"/>
      <c r="G512" s="46" t="s">
        <v>574</v>
      </c>
    </row>
    <row r="513" spans="2:9" x14ac:dyDescent="0.25">
      <c r="B513" s="356" t="s">
        <v>5</v>
      </c>
      <c r="C513" s="357" t="s">
        <v>30</v>
      </c>
      <c r="D513" s="44"/>
      <c r="G513" s="356" t="s">
        <v>2</v>
      </c>
      <c r="H513" s="357" t="s">
        <v>31</v>
      </c>
    </row>
    <row r="514" spans="2:9" x14ac:dyDescent="0.25">
      <c r="B514" s="44"/>
      <c r="C514" s="44"/>
      <c r="D514" s="44"/>
      <c r="G514" s="356" t="s">
        <v>168</v>
      </c>
      <c r="H514" s="357" t="s">
        <v>211</v>
      </c>
      <c r="I514" s="44"/>
    </row>
    <row r="515" spans="2:9" x14ac:dyDescent="0.25">
      <c r="B515" s="364" t="s">
        <v>215</v>
      </c>
      <c r="C515" s="364" t="s">
        <v>571</v>
      </c>
      <c r="D515" s="44"/>
      <c r="G515" s="44"/>
      <c r="H515" s="44"/>
      <c r="I515" s="44"/>
    </row>
    <row r="516" spans="2:9" x14ac:dyDescent="0.25">
      <c r="B516" s="358" t="s">
        <v>63</v>
      </c>
      <c r="C516" s="360">
        <v>750</v>
      </c>
      <c r="D516" s="44"/>
      <c r="G516" s="356" t="s">
        <v>215</v>
      </c>
      <c r="H516" s="357" t="s">
        <v>158</v>
      </c>
      <c r="I516" s="357" t="s">
        <v>216</v>
      </c>
    </row>
    <row r="517" spans="2:9" x14ac:dyDescent="0.25">
      <c r="B517" s="358" t="s">
        <v>575</v>
      </c>
      <c r="C517" s="360">
        <v>233</v>
      </c>
      <c r="D517" s="44"/>
      <c r="G517" s="363" t="s">
        <v>237</v>
      </c>
      <c r="H517" s="361">
        <v>0.14790624999999999</v>
      </c>
      <c r="I517" s="362">
        <v>8</v>
      </c>
    </row>
    <row r="518" spans="2:9" x14ac:dyDescent="0.25">
      <c r="B518" s="358" t="s">
        <v>47</v>
      </c>
      <c r="C518" s="360">
        <v>212</v>
      </c>
      <c r="D518" s="44"/>
      <c r="G518" s="363" t="s">
        <v>234</v>
      </c>
      <c r="H518" s="361">
        <v>0.358848</v>
      </c>
      <c r="I518" s="362">
        <v>7.5</v>
      </c>
    </row>
    <row r="519" spans="2:9" x14ac:dyDescent="0.25">
      <c r="B519" s="358" t="s">
        <v>102</v>
      </c>
      <c r="C519" s="360">
        <v>88</v>
      </c>
      <c r="D519" s="44"/>
      <c r="G519" s="363" t="s">
        <v>230</v>
      </c>
      <c r="H519" s="361">
        <v>0.91789714285714286</v>
      </c>
      <c r="I519" s="362">
        <v>7</v>
      </c>
    </row>
    <row r="520" spans="2:9" x14ac:dyDescent="0.25">
      <c r="B520" s="358" t="s">
        <v>54</v>
      </c>
      <c r="C520" s="360">
        <v>42</v>
      </c>
      <c r="D520" s="44"/>
      <c r="G520" s="363" t="s">
        <v>226</v>
      </c>
      <c r="H520" s="361">
        <v>0.37133538461538462</v>
      </c>
      <c r="I520" s="362">
        <v>6.5</v>
      </c>
    </row>
    <row r="521" spans="2:9" x14ac:dyDescent="0.25">
      <c r="B521" s="358" t="s">
        <v>576</v>
      </c>
      <c r="C521" s="360">
        <v>40</v>
      </c>
      <c r="D521" s="44"/>
      <c r="G521" s="363" t="s">
        <v>220</v>
      </c>
      <c r="H521" s="361">
        <v>0.44970333333333329</v>
      </c>
      <c r="I521" s="362">
        <v>6</v>
      </c>
    </row>
    <row r="522" spans="2:9" x14ac:dyDescent="0.25">
      <c r="B522" s="358" t="s">
        <v>89</v>
      </c>
      <c r="C522" s="360">
        <v>16</v>
      </c>
      <c r="D522" s="44"/>
      <c r="G522" s="358" t="s">
        <v>223</v>
      </c>
      <c r="H522" s="359">
        <v>2.2456901108058611</v>
      </c>
      <c r="I522" s="360">
        <v>35</v>
      </c>
    </row>
    <row r="523" spans="2:9" x14ac:dyDescent="0.25">
      <c r="B523" s="358" t="s">
        <v>577</v>
      </c>
      <c r="C523" s="360">
        <v>15</v>
      </c>
      <c r="D523" s="44"/>
    </row>
    <row r="524" spans="2:9" x14ac:dyDescent="0.25">
      <c r="B524" s="358" t="s">
        <v>578</v>
      </c>
      <c r="C524" s="360">
        <v>8</v>
      </c>
      <c r="D524" s="44"/>
    </row>
    <row r="525" spans="2:9" x14ac:dyDescent="0.25">
      <c r="B525" s="358" t="s">
        <v>145</v>
      </c>
      <c r="C525" s="360">
        <v>5</v>
      </c>
      <c r="D525" s="44"/>
    </row>
    <row r="526" spans="2:9" x14ac:dyDescent="0.25">
      <c r="B526" s="358" t="s">
        <v>566</v>
      </c>
      <c r="C526" s="360">
        <v>5</v>
      </c>
      <c r="D526" s="44"/>
    </row>
    <row r="527" spans="2:9" x14ac:dyDescent="0.25">
      <c r="B527" s="358" t="s">
        <v>579</v>
      </c>
      <c r="C527" s="360">
        <v>4</v>
      </c>
      <c r="D527" s="44"/>
    </row>
    <row r="528" spans="2:9" x14ac:dyDescent="0.25">
      <c r="B528" s="358" t="s">
        <v>52</v>
      </c>
      <c r="C528" s="360">
        <v>4</v>
      </c>
      <c r="D528" s="44"/>
    </row>
    <row r="529" spans="2:9" x14ac:dyDescent="0.25">
      <c r="B529" s="358" t="s">
        <v>348</v>
      </c>
      <c r="C529" s="360">
        <v>4</v>
      </c>
      <c r="D529" s="44"/>
    </row>
    <row r="530" spans="2:9" x14ac:dyDescent="0.25">
      <c r="B530" s="358" t="s">
        <v>580</v>
      </c>
      <c r="C530" s="360">
        <v>3</v>
      </c>
      <c r="D530" s="44"/>
    </row>
    <row r="531" spans="2:9" x14ac:dyDescent="0.25">
      <c r="B531" s="358" t="s">
        <v>581</v>
      </c>
      <c r="C531" s="360">
        <v>3</v>
      </c>
      <c r="D531" s="44"/>
    </row>
    <row r="532" spans="2:9" x14ac:dyDescent="0.25">
      <c r="B532" s="358" t="s">
        <v>71</v>
      </c>
      <c r="C532" s="360">
        <v>2</v>
      </c>
      <c r="D532" s="44"/>
    </row>
    <row r="533" spans="2:9" x14ac:dyDescent="0.25">
      <c r="B533" s="358" t="s">
        <v>567</v>
      </c>
      <c r="C533" s="360">
        <v>2</v>
      </c>
      <c r="D533" s="44"/>
    </row>
    <row r="534" spans="2:9" x14ac:dyDescent="0.25">
      <c r="B534" s="358" t="s">
        <v>69</v>
      </c>
      <c r="C534" s="360">
        <v>2</v>
      </c>
      <c r="D534" s="44"/>
      <c r="G534" s="36" t="s">
        <v>168</v>
      </c>
      <c r="H534" t="s">
        <v>211</v>
      </c>
    </row>
    <row r="535" spans="2:9" x14ac:dyDescent="0.25">
      <c r="B535" s="358" t="s">
        <v>582</v>
      </c>
      <c r="C535" s="360">
        <v>2</v>
      </c>
      <c r="D535" s="44"/>
      <c r="G535" s="36" t="s">
        <v>2</v>
      </c>
      <c r="H535" t="s">
        <v>213</v>
      </c>
    </row>
    <row r="536" spans="2:9" x14ac:dyDescent="0.25">
      <c r="B536" s="358" t="s">
        <v>583</v>
      </c>
      <c r="C536" s="360">
        <v>2</v>
      </c>
      <c r="D536" s="44"/>
    </row>
    <row r="537" spans="2:9" x14ac:dyDescent="0.25">
      <c r="B537" s="358" t="s">
        <v>584</v>
      </c>
      <c r="C537" s="360">
        <v>2</v>
      </c>
      <c r="D537" s="44"/>
      <c r="G537" s="36" t="s">
        <v>215</v>
      </c>
      <c r="H537" t="s">
        <v>158</v>
      </c>
      <c r="I537" t="s">
        <v>216</v>
      </c>
    </row>
    <row r="538" spans="2:9" x14ac:dyDescent="0.25">
      <c r="B538" s="358" t="s">
        <v>585</v>
      </c>
      <c r="C538" s="360">
        <v>1</v>
      </c>
      <c r="D538" s="44"/>
      <c r="G538" s="37" t="s">
        <v>220</v>
      </c>
      <c r="H538" s="239">
        <v>0.6733253846153846</v>
      </c>
      <c r="I538" s="236">
        <v>78</v>
      </c>
    </row>
    <row r="539" spans="2:9" x14ac:dyDescent="0.25">
      <c r="B539" s="358" t="s">
        <v>586</v>
      </c>
      <c r="C539" s="360">
        <v>1</v>
      </c>
      <c r="D539" s="44"/>
      <c r="G539" s="37" t="s">
        <v>226</v>
      </c>
      <c r="H539" s="239">
        <v>2.7055294339622642</v>
      </c>
      <c r="I539" s="236">
        <v>79.5</v>
      </c>
    </row>
    <row r="540" spans="2:9" x14ac:dyDescent="0.25">
      <c r="B540" s="358" t="s">
        <v>587</v>
      </c>
      <c r="C540" s="360">
        <v>1</v>
      </c>
      <c r="D540" s="44"/>
      <c r="G540" s="37" t="s">
        <v>230</v>
      </c>
      <c r="H540" s="239">
        <v>0.85241407407407399</v>
      </c>
      <c r="I540" s="236">
        <v>81</v>
      </c>
    </row>
    <row r="541" spans="2:9" x14ac:dyDescent="0.25">
      <c r="B541" s="358" t="s">
        <v>588</v>
      </c>
      <c r="C541" s="360">
        <v>1</v>
      </c>
      <c r="D541" s="44"/>
      <c r="G541" s="37" t="s">
        <v>234</v>
      </c>
      <c r="H541" s="239">
        <v>0.56714945454545451</v>
      </c>
      <c r="I541" s="236">
        <v>82.5</v>
      </c>
    </row>
    <row r="542" spans="2:9" x14ac:dyDescent="0.25">
      <c r="B542" s="358" t="s">
        <v>345</v>
      </c>
      <c r="C542" s="360">
        <v>1</v>
      </c>
      <c r="D542" s="44"/>
      <c r="G542" s="37" t="s">
        <v>237</v>
      </c>
      <c r="H542" s="239">
        <v>0.27155794117647059</v>
      </c>
      <c r="I542" s="236">
        <v>136</v>
      </c>
    </row>
    <row r="543" spans="2:9" x14ac:dyDescent="0.25">
      <c r="B543" s="358" t="s">
        <v>589</v>
      </c>
      <c r="C543" s="360">
        <v>1</v>
      </c>
      <c r="D543" s="44"/>
      <c r="G543" s="37" t="s">
        <v>223</v>
      </c>
      <c r="H543" s="239">
        <v>5.0699762883736481</v>
      </c>
      <c r="I543" s="236">
        <v>457</v>
      </c>
    </row>
    <row r="544" spans="2:9" x14ac:dyDescent="0.25">
      <c r="B544" s="358" t="s">
        <v>590</v>
      </c>
      <c r="C544" s="360">
        <v>1</v>
      </c>
      <c r="D544" s="44"/>
    </row>
    <row r="545" spans="2:4" x14ac:dyDescent="0.25">
      <c r="B545" s="358" t="s">
        <v>591</v>
      </c>
      <c r="C545" s="360">
        <v>1</v>
      </c>
      <c r="D545" s="44"/>
    </row>
    <row r="546" spans="2:4" x14ac:dyDescent="0.25">
      <c r="B546" s="358" t="s">
        <v>144</v>
      </c>
      <c r="C546" s="360">
        <v>1</v>
      </c>
      <c r="D546" s="44"/>
    </row>
    <row r="547" spans="2:4" x14ac:dyDescent="0.25">
      <c r="B547" s="366" t="s">
        <v>223</v>
      </c>
      <c r="C547" s="365">
        <v>1453</v>
      </c>
      <c r="D547" s="44"/>
    </row>
  </sheetData>
  <mergeCells count="2">
    <mergeCell ref="B3:D3"/>
    <mergeCell ref="G3:I3"/>
  </mergeCells>
  <pageMargins left="0.511811024" right="0.511811024" top="0.78740157499999996" bottom="0.78740157499999996" header="0.31496062000000002" footer="0.31496062000000002"/>
  <drawing r:id="rId6"/>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U477"/>
  <sheetViews>
    <sheetView showGridLines="0" topLeftCell="A257" workbookViewId="0">
      <selection activeCell="D317" sqref="D317"/>
    </sheetView>
  </sheetViews>
  <sheetFormatPr defaultRowHeight="15" x14ac:dyDescent="0.25"/>
  <cols>
    <col min="1" max="1" width="13.5703125" style="31" customWidth="1"/>
    <col min="2" max="2" width="15.28515625" bestFit="1" customWidth="1"/>
    <col min="3" max="3" width="20.28515625" bestFit="1" customWidth="1"/>
    <col min="4" max="4" width="32.5703125" bestFit="1" customWidth="1"/>
    <col min="5" max="5" width="29.28515625" style="32" customWidth="1"/>
    <col min="6" max="6" width="29.5703125" style="32" customWidth="1"/>
    <col min="7" max="7" width="17.7109375" customWidth="1"/>
    <col min="8" max="8" width="30.7109375" customWidth="1"/>
    <col min="9" max="9" width="20.140625" customWidth="1"/>
    <col min="10" max="11" width="22.5703125" customWidth="1"/>
    <col min="12" max="12" width="29.140625" customWidth="1"/>
    <col min="13" max="13" width="23.5703125" customWidth="1"/>
    <col min="14" max="14" width="24.140625" customWidth="1"/>
    <col min="15" max="15" width="18.5703125" customWidth="1"/>
    <col min="16" max="17" width="21.140625" customWidth="1"/>
    <col min="18" max="18" width="18.28515625" customWidth="1"/>
    <col min="19" max="19" width="18.140625" bestFit="1" customWidth="1"/>
    <col min="20" max="20" width="32.140625" bestFit="1" customWidth="1"/>
    <col min="21" max="21" width="13.42578125" bestFit="1" customWidth="1"/>
  </cols>
  <sheetData>
    <row r="1" spans="1:20" ht="30" x14ac:dyDescent="0.25">
      <c r="A1" s="3" t="s">
        <v>0</v>
      </c>
      <c r="B1" s="4" t="s">
        <v>1</v>
      </c>
      <c r="C1" s="4" t="s">
        <v>2</v>
      </c>
      <c r="D1" s="4" t="s">
        <v>3</v>
      </c>
      <c r="E1" s="4" t="s">
        <v>4</v>
      </c>
      <c r="F1" s="4" t="s">
        <v>5</v>
      </c>
      <c r="G1" s="4" t="s">
        <v>6</v>
      </c>
      <c r="H1" s="5" t="s">
        <v>7</v>
      </c>
      <c r="I1" s="5" t="s">
        <v>8</v>
      </c>
      <c r="J1" s="5" t="s">
        <v>10</v>
      </c>
      <c r="K1" s="6" t="s">
        <v>11</v>
      </c>
      <c r="L1" s="5" t="s">
        <v>12</v>
      </c>
      <c r="M1" s="7" t="s">
        <v>13</v>
      </c>
      <c r="N1" s="7" t="s">
        <v>14</v>
      </c>
      <c r="O1" s="4" t="s">
        <v>15</v>
      </c>
      <c r="P1" s="8" t="s">
        <v>16</v>
      </c>
      <c r="Q1" s="4" t="s">
        <v>17</v>
      </c>
      <c r="R1" s="4" t="s">
        <v>18</v>
      </c>
      <c r="S1" s="4" t="s">
        <v>20</v>
      </c>
      <c r="T1" s="9" t="s">
        <v>21</v>
      </c>
    </row>
    <row r="2" spans="1:20" ht="16.149999999999999" customHeight="1" x14ac:dyDescent="0.25">
      <c r="A2" s="10">
        <v>45663</v>
      </c>
      <c r="B2" s="11">
        <v>117043</v>
      </c>
      <c r="C2" s="11" t="s">
        <v>44</v>
      </c>
      <c r="D2" s="11" t="s">
        <v>57</v>
      </c>
      <c r="E2" s="11" t="s">
        <v>584</v>
      </c>
      <c r="F2" s="11" t="s">
        <v>30</v>
      </c>
      <c r="G2" s="12">
        <v>1</v>
      </c>
      <c r="H2" s="13">
        <v>356.4</v>
      </c>
      <c r="I2" s="14">
        <f>G2*H2</f>
        <v>356.4</v>
      </c>
      <c r="J2" s="15">
        <v>1</v>
      </c>
      <c r="K2" s="15">
        <f t="shared" ref="K2:K22" si="0">J2*0.25</f>
        <v>0.25</v>
      </c>
      <c r="L2" s="14" t="s">
        <v>46</v>
      </c>
      <c r="M2" s="14">
        <f t="shared" ref="M2:M33" si="1">J2*I2</f>
        <v>356.4</v>
      </c>
      <c r="N2" s="14">
        <f t="shared" ref="N2:N27" si="2">I2*K2</f>
        <v>89.1</v>
      </c>
      <c r="O2" s="11" t="s">
        <v>27</v>
      </c>
      <c r="P2" s="11" t="s">
        <v>27</v>
      </c>
      <c r="Q2" s="11"/>
      <c r="R2" s="11">
        <v>1</v>
      </c>
      <c r="S2" s="11" t="s">
        <v>28</v>
      </c>
      <c r="T2" s="16" t="s">
        <v>44</v>
      </c>
    </row>
    <row r="3" spans="1:20" ht="16.149999999999999" customHeight="1" x14ac:dyDescent="0.25">
      <c r="A3" s="10">
        <v>45663</v>
      </c>
      <c r="B3" s="11">
        <v>117002</v>
      </c>
      <c r="C3" s="11" t="s">
        <v>44</v>
      </c>
      <c r="D3" s="11" t="s">
        <v>592</v>
      </c>
      <c r="E3" s="11" t="s">
        <v>47</v>
      </c>
      <c r="F3" s="11" t="s">
        <v>554</v>
      </c>
      <c r="G3" s="12">
        <v>224</v>
      </c>
      <c r="H3" s="13">
        <v>172.88</v>
      </c>
      <c r="I3" s="14">
        <f t="shared" ref="I3:I9" si="3">(G3*H3)</f>
        <v>38725.119999999995</v>
      </c>
      <c r="J3" s="15">
        <v>0.05</v>
      </c>
      <c r="K3" s="15">
        <f t="shared" si="0"/>
        <v>1.2500000000000001E-2</v>
      </c>
      <c r="L3" s="14" t="s">
        <v>46</v>
      </c>
      <c r="M3" s="14">
        <f t="shared" si="1"/>
        <v>1936.2559999999999</v>
      </c>
      <c r="N3" s="14">
        <f t="shared" si="2"/>
        <v>484.06399999999996</v>
      </c>
      <c r="O3" s="11" t="s">
        <v>27</v>
      </c>
      <c r="P3" s="11" t="s">
        <v>27</v>
      </c>
      <c r="Q3" s="11"/>
      <c r="R3" s="11">
        <v>10</v>
      </c>
      <c r="S3" s="11" t="s">
        <v>28</v>
      </c>
      <c r="T3" s="16" t="s">
        <v>44</v>
      </c>
    </row>
    <row r="4" spans="1:20" ht="16.149999999999999" customHeight="1" x14ac:dyDescent="0.25">
      <c r="A4" s="10">
        <v>45663</v>
      </c>
      <c r="B4" s="11">
        <v>117002</v>
      </c>
      <c r="C4" s="11" t="s">
        <v>44</v>
      </c>
      <c r="D4" s="11" t="s">
        <v>592</v>
      </c>
      <c r="E4" s="11" t="s">
        <v>63</v>
      </c>
      <c r="F4" s="11" t="s">
        <v>554</v>
      </c>
      <c r="G4" s="12">
        <v>50</v>
      </c>
      <c r="H4" s="13">
        <v>172.88</v>
      </c>
      <c r="I4" s="14">
        <f t="shared" si="3"/>
        <v>8644</v>
      </c>
      <c r="J4" s="15">
        <v>0.05</v>
      </c>
      <c r="K4" s="15">
        <f t="shared" si="0"/>
        <v>1.2500000000000001E-2</v>
      </c>
      <c r="L4" s="14" t="s">
        <v>46</v>
      </c>
      <c r="M4" s="14">
        <f t="shared" si="1"/>
        <v>432.20000000000005</v>
      </c>
      <c r="N4" s="14">
        <f t="shared" si="2"/>
        <v>108.05000000000001</v>
      </c>
      <c r="O4" s="11" t="s">
        <v>27</v>
      </c>
      <c r="P4" s="11" t="s">
        <v>27</v>
      </c>
      <c r="Q4" s="11"/>
      <c r="R4" s="11">
        <v>10</v>
      </c>
      <c r="S4" s="11" t="s">
        <v>28</v>
      </c>
      <c r="T4" s="16" t="s">
        <v>44</v>
      </c>
    </row>
    <row r="5" spans="1:20" ht="16.149999999999999" customHeight="1" x14ac:dyDescent="0.25">
      <c r="A5" s="10">
        <v>45663</v>
      </c>
      <c r="B5" s="11">
        <v>117002</v>
      </c>
      <c r="C5" s="11" t="s">
        <v>44</v>
      </c>
      <c r="D5" s="11" t="s">
        <v>592</v>
      </c>
      <c r="E5" s="11" t="s">
        <v>47</v>
      </c>
      <c r="F5" s="11" t="s">
        <v>30</v>
      </c>
      <c r="G5" s="12">
        <v>3</v>
      </c>
      <c r="H5" s="13">
        <v>275.62</v>
      </c>
      <c r="I5" s="14">
        <f t="shared" si="3"/>
        <v>826.86</v>
      </c>
      <c r="J5" s="15">
        <v>1</v>
      </c>
      <c r="K5" s="15">
        <f t="shared" si="0"/>
        <v>0.25</v>
      </c>
      <c r="L5" s="14" t="s">
        <v>46</v>
      </c>
      <c r="M5" s="14">
        <f t="shared" si="1"/>
        <v>826.86</v>
      </c>
      <c r="N5" s="14">
        <f t="shared" si="2"/>
        <v>206.715</v>
      </c>
      <c r="O5" s="11" t="s">
        <v>27</v>
      </c>
      <c r="P5" s="11" t="s">
        <v>27</v>
      </c>
      <c r="Q5" s="11"/>
      <c r="R5" s="11">
        <v>1</v>
      </c>
      <c r="S5" s="11" t="s">
        <v>28</v>
      </c>
      <c r="T5" s="16" t="s">
        <v>44</v>
      </c>
    </row>
    <row r="6" spans="1:20" ht="16.149999999999999" customHeight="1" x14ac:dyDescent="0.25">
      <c r="A6" s="10">
        <v>45663</v>
      </c>
      <c r="B6" s="11">
        <v>117002</v>
      </c>
      <c r="C6" s="11" t="s">
        <v>44</v>
      </c>
      <c r="D6" s="11" t="s">
        <v>592</v>
      </c>
      <c r="E6" s="11" t="s">
        <v>63</v>
      </c>
      <c r="F6" s="11" t="s">
        <v>30</v>
      </c>
      <c r="G6" s="12">
        <v>2</v>
      </c>
      <c r="H6" s="13">
        <v>78.2</v>
      </c>
      <c r="I6" s="14">
        <f t="shared" si="3"/>
        <v>156.4</v>
      </c>
      <c r="J6" s="15">
        <v>1</v>
      </c>
      <c r="K6" s="15">
        <f t="shared" si="0"/>
        <v>0.25</v>
      </c>
      <c r="L6" s="14" t="s">
        <v>46</v>
      </c>
      <c r="M6" s="14">
        <f t="shared" si="1"/>
        <v>156.4</v>
      </c>
      <c r="N6" s="14">
        <f t="shared" si="2"/>
        <v>39.1</v>
      </c>
      <c r="O6" s="11" t="s">
        <v>27</v>
      </c>
      <c r="P6" s="11" t="s">
        <v>27</v>
      </c>
      <c r="Q6" s="11"/>
      <c r="R6" s="11">
        <v>1</v>
      </c>
      <c r="S6" s="11" t="s">
        <v>28</v>
      </c>
      <c r="T6" s="16" t="s">
        <v>44</v>
      </c>
    </row>
    <row r="7" spans="1:20" ht="16.149999999999999" customHeight="1" x14ac:dyDescent="0.25">
      <c r="A7" s="10">
        <v>45663</v>
      </c>
      <c r="B7" s="11">
        <v>117007</v>
      </c>
      <c r="C7" s="11" t="s">
        <v>44</v>
      </c>
      <c r="D7" s="11" t="s">
        <v>592</v>
      </c>
      <c r="E7" s="11" t="s">
        <v>102</v>
      </c>
      <c r="F7" s="11" t="s">
        <v>41</v>
      </c>
      <c r="G7" s="12">
        <v>1</v>
      </c>
      <c r="H7" s="13">
        <v>1600</v>
      </c>
      <c r="I7" s="14">
        <f t="shared" si="3"/>
        <v>1600</v>
      </c>
      <c r="J7" s="15">
        <v>7.0000000000000007E-2</v>
      </c>
      <c r="K7" s="15">
        <f t="shared" si="0"/>
        <v>1.7500000000000002E-2</v>
      </c>
      <c r="L7" s="14" t="s">
        <v>46</v>
      </c>
      <c r="M7" s="14">
        <f t="shared" si="1"/>
        <v>112.00000000000001</v>
      </c>
      <c r="N7" s="14">
        <f t="shared" si="2"/>
        <v>28.000000000000004</v>
      </c>
      <c r="O7" s="11" t="s">
        <v>27</v>
      </c>
      <c r="P7" s="11" t="s">
        <v>27</v>
      </c>
      <c r="Q7" s="11"/>
      <c r="R7" s="11">
        <v>4</v>
      </c>
      <c r="S7" s="11" t="s">
        <v>28</v>
      </c>
      <c r="T7" s="16" t="s">
        <v>44</v>
      </c>
    </row>
    <row r="8" spans="1:20" ht="16.149999999999999" customHeight="1" x14ac:dyDescent="0.25">
      <c r="A8" s="10">
        <v>45663</v>
      </c>
      <c r="B8" s="11">
        <v>117007</v>
      </c>
      <c r="C8" s="11" t="s">
        <v>44</v>
      </c>
      <c r="D8" s="11" t="s">
        <v>592</v>
      </c>
      <c r="E8" s="11" t="s">
        <v>102</v>
      </c>
      <c r="F8" s="11" t="s">
        <v>30</v>
      </c>
      <c r="G8" s="12">
        <v>1</v>
      </c>
      <c r="H8" s="13">
        <v>1324.26</v>
      </c>
      <c r="I8" s="14">
        <f t="shared" si="3"/>
        <v>1324.26</v>
      </c>
      <c r="J8" s="15">
        <v>1</v>
      </c>
      <c r="K8" s="15">
        <f t="shared" si="0"/>
        <v>0.25</v>
      </c>
      <c r="L8" s="14" t="s">
        <v>46</v>
      </c>
      <c r="M8" s="14">
        <f t="shared" si="1"/>
        <v>1324.26</v>
      </c>
      <c r="N8" s="14">
        <f t="shared" si="2"/>
        <v>331.065</v>
      </c>
      <c r="O8" s="11" t="s">
        <v>27</v>
      </c>
      <c r="P8" s="11" t="s">
        <v>27</v>
      </c>
      <c r="Q8" s="11"/>
      <c r="R8" s="11">
        <v>1</v>
      </c>
      <c r="S8" s="11" t="s">
        <v>28</v>
      </c>
      <c r="T8" s="16" t="s">
        <v>44</v>
      </c>
    </row>
    <row r="9" spans="1:20" ht="16.149999999999999" customHeight="1" x14ac:dyDescent="0.25">
      <c r="A9" s="10">
        <v>45663</v>
      </c>
      <c r="B9" s="11">
        <v>117007</v>
      </c>
      <c r="C9" s="11" t="s">
        <v>44</v>
      </c>
      <c r="D9" s="11" t="s">
        <v>592</v>
      </c>
      <c r="E9" s="11" t="s">
        <v>102</v>
      </c>
      <c r="F9" s="11" t="s">
        <v>30</v>
      </c>
      <c r="G9" s="12">
        <v>3</v>
      </c>
      <c r="H9" s="13">
        <v>84</v>
      </c>
      <c r="I9" s="14">
        <f t="shared" si="3"/>
        <v>252</v>
      </c>
      <c r="J9" s="15">
        <v>1</v>
      </c>
      <c r="K9" s="15">
        <f t="shared" si="0"/>
        <v>0.25</v>
      </c>
      <c r="L9" s="14" t="s">
        <v>46</v>
      </c>
      <c r="M9" s="14">
        <f t="shared" si="1"/>
        <v>252</v>
      </c>
      <c r="N9" s="14">
        <f t="shared" si="2"/>
        <v>63</v>
      </c>
      <c r="O9" s="11" t="s">
        <v>27</v>
      </c>
      <c r="P9" s="11" t="s">
        <v>27</v>
      </c>
      <c r="Q9" s="11"/>
      <c r="R9" s="11">
        <v>1</v>
      </c>
      <c r="S9" s="11" t="s">
        <v>28</v>
      </c>
      <c r="T9" s="16" t="s">
        <v>44</v>
      </c>
    </row>
    <row r="10" spans="1:20" ht="17.25" customHeight="1" x14ac:dyDescent="0.25">
      <c r="A10" s="10">
        <v>45663</v>
      </c>
      <c r="B10" s="11">
        <v>110971</v>
      </c>
      <c r="C10" s="11" t="s">
        <v>44</v>
      </c>
      <c r="D10" s="11" t="s">
        <v>593</v>
      </c>
      <c r="E10" s="11" t="s">
        <v>47</v>
      </c>
      <c r="F10" s="11" t="s">
        <v>554</v>
      </c>
      <c r="G10" s="12">
        <v>324</v>
      </c>
      <c r="H10" s="13">
        <v>180</v>
      </c>
      <c r="I10" s="14">
        <f>G10*171.02</f>
        <v>55410.48</v>
      </c>
      <c r="J10" s="15">
        <v>7.0000000000000007E-2</v>
      </c>
      <c r="K10" s="15">
        <f t="shared" si="0"/>
        <v>1.7500000000000002E-2</v>
      </c>
      <c r="L10" s="14" t="s">
        <v>46</v>
      </c>
      <c r="M10" s="14">
        <f t="shared" si="1"/>
        <v>3878.7336000000005</v>
      </c>
      <c r="N10" s="14">
        <f t="shared" si="2"/>
        <v>969.68340000000012</v>
      </c>
      <c r="O10" s="11" t="s">
        <v>27</v>
      </c>
      <c r="P10" s="11" t="s">
        <v>27</v>
      </c>
      <c r="Q10" s="11"/>
      <c r="R10" s="11">
        <v>10</v>
      </c>
      <c r="S10" s="11" t="s">
        <v>28</v>
      </c>
      <c r="T10" s="16" t="s">
        <v>594</v>
      </c>
    </row>
    <row r="11" spans="1:20" ht="17.25" customHeight="1" x14ac:dyDescent="0.25">
      <c r="A11" s="10">
        <v>45663</v>
      </c>
      <c r="B11" s="11">
        <v>110971</v>
      </c>
      <c r="C11" s="11" t="s">
        <v>44</v>
      </c>
      <c r="D11" s="11" t="s">
        <v>593</v>
      </c>
      <c r="E11" s="11" t="s">
        <v>54</v>
      </c>
      <c r="F11" s="11" t="s">
        <v>554</v>
      </c>
      <c r="G11" s="12">
        <v>90</v>
      </c>
      <c r="H11" s="13">
        <v>180</v>
      </c>
      <c r="I11" s="14">
        <f>G11*171.02</f>
        <v>15391.800000000001</v>
      </c>
      <c r="J11" s="15">
        <v>7.0000000000000007E-2</v>
      </c>
      <c r="K11" s="15">
        <f t="shared" si="0"/>
        <v>1.7500000000000002E-2</v>
      </c>
      <c r="L11" s="14" t="s">
        <v>46</v>
      </c>
      <c r="M11" s="14">
        <f t="shared" si="1"/>
        <v>1077.4260000000002</v>
      </c>
      <c r="N11" s="14">
        <f t="shared" si="2"/>
        <v>269.35650000000004</v>
      </c>
      <c r="O11" s="11" t="s">
        <v>27</v>
      </c>
      <c r="P11" s="11" t="s">
        <v>27</v>
      </c>
      <c r="Q11" s="11"/>
      <c r="R11" s="11">
        <v>10</v>
      </c>
      <c r="S11" s="11" t="s">
        <v>28</v>
      </c>
      <c r="T11" s="16" t="s">
        <v>594</v>
      </c>
    </row>
    <row r="12" spans="1:20" ht="16.899999999999999" customHeight="1" x14ac:dyDescent="0.25">
      <c r="A12" s="10">
        <v>45663</v>
      </c>
      <c r="B12" s="11">
        <v>110971</v>
      </c>
      <c r="C12" s="11" t="s">
        <v>44</v>
      </c>
      <c r="D12" s="11" t="s">
        <v>593</v>
      </c>
      <c r="E12" s="11" t="s">
        <v>578</v>
      </c>
      <c r="F12" s="11" t="s">
        <v>554</v>
      </c>
      <c r="G12" s="12">
        <v>36</v>
      </c>
      <c r="H12" s="13">
        <v>180</v>
      </c>
      <c r="I12" s="14">
        <f>G12*171.02</f>
        <v>6156.72</v>
      </c>
      <c r="J12" s="15">
        <v>7.0000000000000007E-2</v>
      </c>
      <c r="K12" s="15">
        <f t="shared" si="0"/>
        <v>1.7500000000000002E-2</v>
      </c>
      <c r="L12" s="14" t="s">
        <v>46</v>
      </c>
      <c r="M12" s="14">
        <f t="shared" si="1"/>
        <v>430.97040000000004</v>
      </c>
      <c r="N12" s="14">
        <f t="shared" si="2"/>
        <v>107.74260000000001</v>
      </c>
      <c r="O12" s="11" t="s">
        <v>27</v>
      </c>
      <c r="P12" s="11" t="s">
        <v>27</v>
      </c>
      <c r="Q12" s="11"/>
      <c r="R12" s="11">
        <v>10</v>
      </c>
      <c r="S12" s="11" t="s">
        <v>28</v>
      </c>
      <c r="T12" s="16" t="s">
        <v>594</v>
      </c>
    </row>
    <row r="13" spans="1:20" ht="16.5" customHeight="1" x14ac:dyDescent="0.25">
      <c r="A13" s="10">
        <v>45663</v>
      </c>
      <c r="B13" s="11">
        <v>110971</v>
      </c>
      <c r="C13" s="11" t="s">
        <v>44</v>
      </c>
      <c r="D13" s="11" t="s">
        <v>593</v>
      </c>
      <c r="E13" s="11" t="s">
        <v>47</v>
      </c>
      <c r="F13" s="11" t="s">
        <v>30</v>
      </c>
      <c r="G13" s="12">
        <v>11</v>
      </c>
      <c r="H13" s="13">
        <v>275.62</v>
      </c>
      <c r="I13" s="14">
        <f>G13*H13</f>
        <v>3031.82</v>
      </c>
      <c r="J13" s="15">
        <v>1</v>
      </c>
      <c r="K13" s="15">
        <f t="shared" si="0"/>
        <v>0.25</v>
      </c>
      <c r="L13" s="14" t="s">
        <v>46</v>
      </c>
      <c r="M13" s="14">
        <f t="shared" si="1"/>
        <v>3031.82</v>
      </c>
      <c r="N13" s="14">
        <f t="shared" si="2"/>
        <v>757.95500000000004</v>
      </c>
      <c r="O13" s="11" t="s">
        <v>27</v>
      </c>
      <c r="P13" s="11" t="s">
        <v>27</v>
      </c>
      <c r="Q13" s="11"/>
      <c r="R13" s="11">
        <v>1</v>
      </c>
      <c r="S13" s="11" t="s">
        <v>28</v>
      </c>
      <c r="T13" s="16" t="s">
        <v>594</v>
      </c>
    </row>
    <row r="14" spans="1:20" x14ac:dyDescent="0.25">
      <c r="A14" s="10">
        <v>45663</v>
      </c>
      <c r="B14" s="11">
        <v>110971</v>
      </c>
      <c r="C14" s="11" t="s">
        <v>44</v>
      </c>
      <c r="D14" s="11" t="s">
        <v>593</v>
      </c>
      <c r="E14" s="11" t="s">
        <v>54</v>
      </c>
      <c r="F14" s="11" t="s">
        <v>30</v>
      </c>
      <c r="G14" s="12">
        <v>2</v>
      </c>
      <c r="H14" s="13">
        <v>142.56</v>
      </c>
      <c r="I14" s="14">
        <f>G14*H14</f>
        <v>285.12</v>
      </c>
      <c r="J14" s="15">
        <v>1</v>
      </c>
      <c r="K14" s="15">
        <f t="shared" si="0"/>
        <v>0.25</v>
      </c>
      <c r="L14" s="14" t="s">
        <v>46</v>
      </c>
      <c r="M14" s="14">
        <f t="shared" si="1"/>
        <v>285.12</v>
      </c>
      <c r="N14" s="14">
        <f t="shared" si="2"/>
        <v>71.28</v>
      </c>
      <c r="O14" s="11" t="s">
        <v>27</v>
      </c>
      <c r="P14" s="11" t="s">
        <v>27</v>
      </c>
      <c r="Q14" s="11"/>
      <c r="R14" s="11">
        <v>1</v>
      </c>
      <c r="S14" s="11" t="s">
        <v>28</v>
      </c>
      <c r="T14" s="16" t="s">
        <v>594</v>
      </c>
    </row>
    <row r="15" spans="1:20" x14ac:dyDescent="0.25">
      <c r="A15" s="10">
        <v>45663</v>
      </c>
      <c r="B15" s="11">
        <v>110971</v>
      </c>
      <c r="C15" s="11" t="s">
        <v>44</v>
      </c>
      <c r="D15" s="11" t="s">
        <v>593</v>
      </c>
      <c r="E15" s="11" t="s">
        <v>579</v>
      </c>
      <c r="F15" s="11" t="s">
        <v>30</v>
      </c>
      <c r="G15" s="12">
        <v>3</v>
      </c>
      <c r="H15" s="13">
        <v>145.80000000000001</v>
      </c>
      <c r="I15" s="14">
        <f>G15*H15</f>
        <v>437.40000000000003</v>
      </c>
      <c r="J15" s="15">
        <v>1</v>
      </c>
      <c r="K15" s="15">
        <f t="shared" si="0"/>
        <v>0.25</v>
      </c>
      <c r="L15" s="14" t="s">
        <v>46</v>
      </c>
      <c r="M15" s="14">
        <f t="shared" si="1"/>
        <v>437.40000000000003</v>
      </c>
      <c r="N15" s="14">
        <f t="shared" si="2"/>
        <v>109.35000000000001</v>
      </c>
      <c r="O15" s="11" t="s">
        <v>27</v>
      </c>
      <c r="P15" s="11" t="s">
        <v>27</v>
      </c>
      <c r="Q15" s="11"/>
      <c r="R15" s="11">
        <v>1</v>
      </c>
      <c r="S15" s="11" t="s">
        <v>28</v>
      </c>
      <c r="T15" s="16" t="s">
        <v>594</v>
      </c>
    </row>
    <row r="16" spans="1:20" x14ac:dyDescent="0.25">
      <c r="A16" s="10">
        <v>45663</v>
      </c>
      <c r="B16" s="11">
        <v>110971</v>
      </c>
      <c r="C16" s="11" t="s">
        <v>44</v>
      </c>
      <c r="D16" s="11" t="s">
        <v>593</v>
      </c>
      <c r="E16" s="11" t="s">
        <v>63</v>
      </c>
      <c r="F16" s="11" t="s">
        <v>554</v>
      </c>
      <c r="G16" s="12">
        <v>40</v>
      </c>
      <c r="H16" s="13">
        <v>180</v>
      </c>
      <c r="I16" s="14">
        <f>G16*171.02</f>
        <v>6840.8</v>
      </c>
      <c r="J16" s="15">
        <v>7.0000000000000007E-2</v>
      </c>
      <c r="K16" s="15">
        <f t="shared" si="0"/>
        <v>1.7500000000000002E-2</v>
      </c>
      <c r="L16" s="14" t="s">
        <v>46</v>
      </c>
      <c r="M16" s="14">
        <f t="shared" si="1"/>
        <v>478.85600000000005</v>
      </c>
      <c r="N16" s="14">
        <f t="shared" si="2"/>
        <v>119.71400000000001</v>
      </c>
      <c r="O16" s="11" t="s">
        <v>27</v>
      </c>
      <c r="P16" s="11" t="s">
        <v>27</v>
      </c>
      <c r="Q16" s="11"/>
      <c r="R16" s="11">
        <v>10</v>
      </c>
      <c r="S16" s="11" t="s">
        <v>28</v>
      </c>
      <c r="T16" s="16" t="s">
        <v>594</v>
      </c>
    </row>
    <row r="17" spans="1:20" x14ac:dyDescent="0.25">
      <c r="A17" s="10">
        <v>45663</v>
      </c>
      <c r="B17" s="11">
        <v>110971</v>
      </c>
      <c r="C17" s="11" t="s">
        <v>44</v>
      </c>
      <c r="D17" s="11" t="s">
        <v>593</v>
      </c>
      <c r="E17" s="11" t="s">
        <v>63</v>
      </c>
      <c r="F17" s="11" t="s">
        <v>30</v>
      </c>
      <c r="G17" s="12">
        <v>17</v>
      </c>
      <c r="H17" s="13">
        <v>82.9</v>
      </c>
      <c r="I17" s="14">
        <f t="shared" ref="I17:I48" si="4">G17*H17</f>
        <v>1409.3000000000002</v>
      </c>
      <c r="J17" s="15">
        <v>1</v>
      </c>
      <c r="K17" s="15">
        <f t="shared" si="0"/>
        <v>0.25</v>
      </c>
      <c r="L17" s="14" t="s">
        <v>46</v>
      </c>
      <c r="M17" s="14">
        <f t="shared" si="1"/>
        <v>1409.3000000000002</v>
      </c>
      <c r="N17" s="14">
        <f t="shared" si="2"/>
        <v>352.32500000000005</v>
      </c>
      <c r="O17" s="11" t="s">
        <v>27</v>
      </c>
      <c r="P17" s="11" t="s">
        <v>27</v>
      </c>
      <c r="Q17" s="11"/>
      <c r="R17" s="11">
        <v>1</v>
      </c>
      <c r="S17" s="11" t="s">
        <v>28</v>
      </c>
      <c r="T17" s="16" t="s">
        <v>594</v>
      </c>
    </row>
    <row r="18" spans="1:20" x14ac:dyDescent="0.25">
      <c r="A18" s="10">
        <v>45663</v>
      </c>
      <c r="B18" s="11">
        <v>116976</v>
      </c>
      <c r="C18" s="11" t="s">
        <v>44</v>
      </c>
      <c r="D18" s="11" t="s">
        <v>595</v>
      </c>
      <c r="E18" s="11" t="s">
        <v>47</v>
      </c>
      <c r="F18" s="11" t="s">
        <v>554</v>
      </c>
      <c r="G18" s="12">
        <v>224</v>
      </c>
      <c r="H18" s="13">
        <v>171</v>
      </c>
      <c r="I18" s="14">
        <f t="shared" si="4"/>
        <v>38304</v>
      </c>
      <c r="J18" s="15">
        <v>0.05</v>
      </c>
      <c r="K18" s="15">
        <f t="shared" si="0"/>
        <v>1.2500000000000001E-2</v>
      </c>
      <c r="L18" s="14" t="s">
        <v>46</v>
      </c>
      <c r="M18" s="14">
        <f t="shared" si="1"/>
        <v>1915.2</v>
      </c>
      <c r="N18" s="14">
        <f t="shared" si="2"/>
        <v>478.8</v>
      </c>
      <c r="O18" s="11" t="s">
        <v>27</v>
      </c>
      <c r="P18" s="11" t="s">
        <v>27</v>
      </c>
      <c r="Q18" s="11"/>
      <c r="R18" s="11">
        <v>8</v>
      </c>
      <c r="S18" s="11" t="s">
        <v>28</v>
      </c>
      <c r="T18" s="16" t="s">
        <v>44</v>
      </c>
    </row>
    <row r="19" spans="1:20" x14ac:dyDescent="0.25">
      <c r="A19" s="10">
        <v>45663</v>
      </c>
      <c r="B19" s="11">
        <v>116976</v>
      </c>
      <c r="C19" s="11" t="s">
        <v>44</v>
      </c>
      <c r="D19" s="11" t="s">
        <v>595</v>
      </c>
      <c r="E19" s="11" t="s">
        <v>63</v>
      </c>
      <c r="F19" s="11" t="s">
        <v>554</v>
      </c>
      <c r="G19" s="12">
        <v>50</v>
      </c>
      <c r="H19" s="13">
        <v>171</v>
      </c>
      <c r="I19" s="14">
        <f t="shared" si="4"/>
        <v>8550</v>
      </c>
      <c r="J19" s="15">
        <v>0.05</v>
      </c>
      <c r="K19" s="15">
        <f t="shared" si="0"/>
        <v>1.2500000000000001E-2</v>
      </c>
      <c r="L19" s="14" t="s">
        <v>46</v>
      </c>
      <c r="M19" s="14">
        <f t="shared" si="1"/>
        <v>427.5</v>
      </c>
      <c r="N19" s="14">
        <f t="shared" si="2"/>
        <v>106.875</v>
      </c>
      <c r="O19" s="11" t="s">
        <v>27</v>
      </c>
      <c r="P19" s="11" t="s">
        <v>27</v>
      </c>
      <c r="Q19" s="11"/>
      <c r="R19" s="11">
        <v>8</v>
      </c>
      <c r="S19" s="11" t="s">
        <v>28</v>
      </c>
      <c r="T19" s="16" t="s">
        <v>44</v>
      </c>
    </row>
    <row r="20" spans="1:20" x14ac:dyDescent="0.25">
      <c r="A20" s="10">
        <v>45663</v>
      </c>
      <c r="B20" s="11">
        <v>116976</v>
      </c>
      <c r="C20" s="11" t="s">
        <v>44</v>
      </c>
      <c r="D20" s="11" t="s">
        <v>595</v>
      </c>
      <c r="E20" s="11" t="s">
        <v>47</v>
      </c>
      <c r="F20" s="11" t="s">
        <v>30</v>
      </c>
      <c r="G20" s="12">
        <v>6</v>
      </c>
      <c r="H20" s="13">
        <v>275.62</v>
      </c>
      <c r="I20" s="14">
        <f t="shared" si="4"/>
        <v>1653.72</v>
      </c>
      <c r="J20" s="15">
        <v>1</v>
      </c>
      <c r="K20" s="15">
        <f t="shared" si="0"/>
        <v>0.25</v>
      </c>
      <c r="L20" s="14" t="s">
        <v>46</v>
      </c>
      <c r="M20" s="14">
        <f t="shared" si="1"/>
        <v>1653.72</v>
      </c>
      <c r="N20" s="14">
        <f t="shared" si="2"/>
        <v>413.43</v>
      </c>
      <c r="O20" s="11" t="s">
        <v>27</v>
      </c>
      <c r="P20" s="11" t="s">
        <v>27</v>
      </c>
      <c r="Q20" s="11"/>
      <c r="R20" s="11">
        <v>1</v>
      </c>
      <c r="S20" s="11" t="s">
        <v>28</v>
      </c>
      <c r="T20" s="16" t="s">
        <v>44</v>
      </c>
    </row>
    <row r="21" spans="1:20" x14ac:dyDescent="0.25">
      <c r="A21" s="10">
        <v>45663</v>
      </c>
      <c r="B21" s="11">
        <v>116976</v>
      </c>
      <c r="C21" s="11" t="s">
        <v>44</v>
      </c>
      <c r="D21" s="11" t="s">
        <v>595</v>
      </c>
      <c r="E21" s="11" t="s">
        <v>89</v>
      </c>
      <c r="F21" s="11" t="s">
        <v>30</v>
      </c>
      <c r="G21" s="12">
        <v>1</v>
      </c>
      <c r="H21" s="13">
        <v>356.4</v>
      </c>
      <c r="I21" s="14">
        <f t="shared" si="4"/>
        <v>356.4</v>
      </c>
      <c r="J21" s="15">
        <v>1</v>
      </c>
      <c r="K21" s="15">
        <f t="shared" si="0"/>
        <v>0.25</v>
      </c>
      <c r="L21" s="14" t="s">
        <v>46</v>
      </c>
      <c r="M21" s="14">
        <f t="shared" si="1"/>
        <v>356.4</v>
      </c>
      <c r="N21" s="14">
        <f t="shared" si="2"/>
        <v>89.1</v>
      </c>
      <c r="O21" s="11" t="s">
        <v>27</v>
      </c>
      <c r="P21" s="11" t="s">
        <v>27</v>
      </c>
      <c r="Q21" s="11"/>
      <c r="R21" s="11">
        <v>1</v>
      </c>
      <c r="S21" s="11" t="s">
        <v>28</v>
      </c>
      <c r="T21" s="16" t="s">
        <v>44</v>
      </c>
    </row>
    <row r="22" spans="1:20" x14ac:dyDescent="0.25">
      <c r="A22" s="10">
        <v>45663</v>
      </c>
      <c r="B22" s="11">
        <v>116976</v>
      </c>
      <c r="C22" s="11" t="s">
        <v>44</v>
      </c>
      <c r="D22" s="11" t="s">
        <v>595</v>
      </c>
      <c r="E22" s="11" t="s">
        <v>63</v>
      </c>
      <c r="F22" s="11" t="s">
        <v>30</v>
      </c>
      <c r="G22" s="12">
        <v>15</v>
      </c>
      <c r="H22" s="13">
        <v>98.2</v>
      </c>
      <c r="I22" s="14">
        <f t="shared" si="4"/>
        <v>1473</v>
      </c>
      <c r="J22" s="15">
        <v>1</v>
      </c>
      <c r="K22" s="15">
        <f t="shared" si="0"/>
        <v>0.25</v>
      </c>
      <c r="L22" s="14" t="s">
        <v>46</v>
      </c>
      <c r="M22" s="14">
        <f t="shared" si="1"/>
        <v>1473</v>
      </c>
      <c r="N22" s="14">
        <f t="shared" si="2"/>
        <v>368.25</v>
      </c>
      <c r="O22" s="11" t="s">
        <v>27</v>
      </c>
      <c r="P22" s="11" t="s">
        <v>27</v>
      </c>
      <c r="Q22" s="11"/>
      <c r="R22" s="11">
        <v>1</v>
      </c>
      <c r="S22" s="11" t="s">
        <v>28</v>
      </c>
      <c r="T22" s="16" t="s">
        <v>44</v>
      </c>
    </row>
    <row r="23" spans="1:20" x14ac:dyDescent="0.25">
      <c r="A23" s="10">
        <v>45663</v>
      </c>
      <c r="B23" s="11">
        <v>116739</v>
      </c>
      <c r="C23" s="11" t="s">
        <v>22</v>
      </c>
      <c r="D23" s="11" t="s">
        <v>596</v>
      </c>
      <c r="E23" s="11" t="s">
        <v>24</v>
      </c>
      <c r="F23" s="11" t="s">
        <v>554</v>
      </c>
      <c r="G23" s="12">
        <v>16</v>
      </c>
      <c r="H23" s="13">
        <v>187.5</v>
      </c>
      <c r="I23" s="14">
        <f t="shared" si="4"/>
        <v>3000</v>
      </c>
      <c r="J23" s="15">
        <v>7.0000000000000007E-2</v>
      </c>
      <c r="K23" s="15">
        <v>0</v>
      </c>
      <c r="L23" s="14" t="s">
        <v>26</v>
      </c>
      <c r="M23" s="14">
        <f t="shared" si="1"/>
        <v>210.00000000000003</v>
      </c>
      <c r="N23" s="14">
        <f t="shared" si="2"/>
        <v>0</v>
      </c>
      <c r="O23" s="11" t="s">
        <v>597</v>
      </c>
      <c r="P23" s="11" t="s">
        <v>597</v>
      </c>
      <c r="Q23" s="11"/>
      <c r="R23" s="11">
        <v>3</v>
      </c>
      <c r="S23" s="11" t="s">
        <v>597</v>
      </c>
      <c r="T23" s="16" t="s">
        <v>22</v>
      </c>
    </row>
    <row r="24" spans="1:20" x14ac:dyDescent="0.25">
      <c r="A24" s="10">
        <v>45663</v>
      </c>
      <c r="B24" s="11">
        <v>116549</v>
      </c>
      <c r="C24" s="11" t="s">
        <v>31</v>
      </c>
      <c r="D24" s="11" t="s">
        <v>108</v>
      </c>
      <c r="E24" s="11" t="s">
        <v>24</v>
      </c>
      <c r="F24" s="11" t="s">
        <v>554</v>
      </c>
      <c r="G24" s="12">
        <v>20</v>
      </c>
      <c r="H24" s="13">
        <v>212</v>
      </c>
      <c r="I24" s="14">
        <f t="shared" si="4"/>
        <v>4240</v>
      </c>
      <c r="J24" s="15">
        <v>7.0000000000000007E-2</v>
      </c>
      <c r="K24" s="15">
        <f>J24*0.25</f>
        <v>1.7500000000000002E-2</v>
      </c>
      <c r="L24" s="14" t="s">
        <v>26</v>
      </c>
      <c r="M24" s="14">
        <f t="shared" si="1"/>
        <v>296.8</v>
      </c>
      <c r="N24" s="14">
        <f t="shared" si="2"/>
        <v>74.2</v>
      </c>
      <c r="O24" s="11" t="s">
        <v>597</v>
      </c>
      <c r="P24" s="11" t="s">
        <v>597</v>
      </c>
      <c r="Q24" s="11"/>
      <c r="R24" s="11">
        <v>6</v>
      </c>
      <c r="S24" s="11" t="s">
        <v>597</v>
      </c>
      <c r="T24" s="16" t="s">
        <v>31</v>
      </c>
    </row>
    <row r="25" spans="1:20" x14ac:dyDescent="0.25">
      <c r="A25" s="10">
        <v>45663</v>
      </c>
      <c r="B25" s="11">
        <v>117278</v>
      </c>
      <c r="C25" s="11" t="s">
        <v>31</v>
      </c>
      <c r="D25" s="11" t="s">
        <v>598</v>
      </c>
      <c r="E25" s="11" t="s">
        <v>24</v>
      </c>
      <c r="F25" s="11" t="s">
        <v>554</v>
      </c>
      <c r="G25" s="12">
        <v>2</v>
      </c>
      <c r="H25" s="13">
        <v>212</v>
      </c>
      <c r="I25" s="14">
        <f t="shared" si="4"/>
        <v>424</v>
      </c>
      <c r="J25" s="15">
        <v>7.0000000000000007E-2</v>
      </c>
      <c r="K25" s="15">
        <f>J25*0.25</f>
        <v>1.7500000000000002E-2</v>
      </c>
      <c r="L25" s="14" t="s">
        <v>26</v>
      </c>
      <c r="M25" s="14">
        <f t="shared" si="1"/>
        <v>29.680000000000003</v>
      </c>
      <c r="N25" s="14">
        <f t="shared" si="2"/>
        <v>7.4200000000000008</v>
      </c>
      <c r="O25" s="11" t="s">
        <v>597</v>
      </c>
      <c r="P25" s="11" t="s">
        <v>597</v>
      </c>
      <c r="Q25" s="11"/>
      <c r="R25" s="11">
        <v>1</v>
      </c>
      <c r="S25" s="11" t="s">
        <v>597</v>
      </c>
      <c r="T25" s="16" t="s">
        <v>31</v>
      </c>
    </row>
    <row r="26" spans="1:20" x14ac:dyDescent="0.25">
      <c r="A26" s="10">
        <v>45664</v>
      </c>
      <c r="B26" s="11">
        <v>106541</v>
      </c>
      <c r="C26" s="11" t="s">
        <v>22</v>
      </c>
      <c r="D26" s="11" t="s">
        <v>65</v>
      </c>
      <c r="E26" s="11" t="s">
        <v>24</v>
      </c>
      <c r="F26" s="11" t="s">
        <v>554</v>
      </c>
      <c r="G26" s="12">
        <v>44</v>
      </c>
      <c r="H26" s="13">
        <v>140</v>
      </c>
      <c r="I26" s="14">
        <f t="shared" si="4"/>
        <v>6160</v>
      </c>
      <c r="J26" s="15">
        <v>3.5000000000000003E-2</v>
      </c>
      <c r="K26" s="15">
        <v>0</v>
      </c>
      <c r="L26" s="14" t="s">
        <v>26</v>
      </c>
      <c r="M26" s="14">
        <f t="shared" si="1"/>
        <v>215.60000000000002</v>
      </c>
      <c r="N26" s="14">
        <f t="shared" si="2"/>
        <v>0</v>
      </c>
      <c r="O26" s="11" t="s">
        <v>597</v>
      </c>
      <c r="P26" s="11" t="s">
        <v>597</v>
      </c>
      <c r="Q26" s="11"/>
      <c r="R26" s="11">
        <v>1</v>
      </c>
      <c r="S26" s="11" t="s">
        <v>597</v>
      </c>
      <c r="T26" s="16" t="s">
        <v>22</v>
      </c>
    </row>
    <row r="27" spans="1:20" x14ac:dyDescent="0.25">
      <c r="A27" s="10">
        <v>45664</v>
      </c>
      <c r="B27" s="11">
        <v>115644</v>
      </c>
      <c r="C27" s="11" t="s">
        <v>31</v>
      </c>
      <c r="D27" s="11" t="s">
        <v>141</v>
      </c>
      <c r="E27" s="11" t="s">
        <v>35</v>
      </c>
      <c r="F27" s="11" t="s">
        <v>35</v>
      </c>
      <c r="G27" s="12">
        <v>3</v>
      </c>
      <c r="H27" s="13">
        <v>176</v>
      </c>
      <c r="I27" s="14">
        <f t="shared" si="4"/>
        <v>528</v>
      </c>
      <c r="J27" s="15">
        <v>0.01</v>
      </c>
      <c r="K27" s="15">
        <f>J27*0.25</f>
        <v>2.5000000000000001E-3</v>
      </c>
      <c r="L27" s="14" t="s">
        <v>26</v>
      </c>
      <c r="M27" s="14">
        <f t="shared" si="1"/>
        <v>5.28</v>
      </c>
      <c r="N27" s="14">
        <f t="shared" si="2"/>
        <v>1.32</v>
      </c>
      <c r="O27" s="11" t="s">
        <v>597</v>
      </c>
      <c r="P27" s="11" t="s">
        <v>597</v>
      </c>
      <c r="Q27" s="11"/>
      <c r="R27" s="11">
        <v>1</v>
      </c>
      <c r="S27" s="11" t="s">
        <v>597</v>
      </c>
      <c r="T27" s="16" t="s">
        <v>31</v>
      </c>
    </row>
    <row r="28" spans="1:20" x14ac:dyDescent="0.25">
      <c r="A28" s="10">
        <v>45664</v>
      </c>
      <c r="B28" s="11" t="s">
        <v>599</v>
      </c>
      <c r="C28" s="11" t="s">
        <v>22</v>
      </c>
      <c r="D28" s="11" t="s">
        <v>600</v>
      </c>
      <c r="E28" s="11" t="s">
        <v>40</v>
      </c>
      <c r="F28" s="11" t="s">
        <v>41</v>
      </c>
      <c r="G28" s="12">
        <v>1</v>
      </c>
      <c r="H28" s="13">
        <v>862.08</v>
      </c>
      <c r="I28" s="14">
        <f t="shared" si="4"/>
        <v>862.08</v>
      </c>
      <c r="J28" s="15">
        <v>7.0000000000000007E-2</v>
      </c>
      <c r="K28" s="15">
        <v>0</v>
      </c>
      <c r="L28" s="14" t="s">
        <v>26</v>
      </c>
      <c r="M28" s="14">
        <f t="shared" si="1"/>
        <v>60.345600000000012</v>
      </c>
      <c r="N28" s="14">
        <v>0</v>
      </c>
      <c r="O28" s="11" t="s">
        <v>597</v>
      </c>
      <c r="P28" s="11" t="s">
        <v>597</v>
      </c>
      <c r="Q28" s="11"/>
      <c r="R28" s="11">
        <v>4</v>
      </c>
      <c r="S28" s="11" t="s">
        <v>597</v>
      </c>
      <c r="T28" s="16" t="s">
        <v>22</v>
      </c>
    </row>
    <row r="29" spans="1:20" x14ac:dyDescent="0.25">
      <c r="A29" s="10">
        <v>45664</v>
      </c>
      <c r="B29" s="11" t="s">
        <v>599</v>
      </c>
      <c r="C29" s="11" t="s">
        <v>22</v>
      </c>
      <c r="D29" s="11" t="s">
        <v>600</v>
      </c>
      <c r="E29" s="11" t="s">
        <v>24</v>
      </c>
      <c r="F29" s="11" t="s">
        <v>554</v>
      </c>
      <c r="G29" s="12">
        <v>20</v>
      </c>
      <c r="H29" s="13">
        <v>200</v>
      </c>
      <c r="I29" s="14">
        <f t="shared" si="4"/>
        <v>4000</v>
      </c>
      <c r="J29" s="15">
        <v>7.0000000000000007E-2</v>
      </c>
      <c r="K29" s="15">
        <v>0</v>
      </c>
      <c r="L29" s="14" t="s">
        <v>26</v>
      </c>
      <c r="M29" s="14">
        <f t="shared" si="1"/>
        <v>280</v>
      </c>
      <c r="N29" s="14">
        <f t="shared" ref="N29:N60" si="5">I29*K29</f>
        <v>0</v>
      </c>
      <c r="O29" s="11" t="s">
        <v>597</v>
      </c>
      <c r="P29" s="11" t="s">
        <v>597</v>
      </c>
      <c r="Q29" s="11"/>
      <c r="R29" s="11">
        <v>4</v>
      </c>
      <c r="S29" s="11" t="s">
        <v>597</v>
      </c>
      <c r="T29" s="16" t="s">
        <v>22</v>
      </c>
    </row>
    <row r="30" spans="1:20" x14ac:dyDescent="0.25">
      <c r="A30" s="10">
        <v>45664</v>
      </c>
      <c r="B30" s="11" t="s">
        <v>599</v>
      </c>
      <c r="C30" s="11" t="s">
        <v>22</v>
      </c>
      <c r="D30" s="11" t="s">
        <v>600</v>
      </c>
      <c r="E30" s="11" t="s">
        <v>48</v>
      </c>
      <c r="F30" s="11" t="s">
        <v>30</v>
      </c>
      <c r="G30" s="12">
        <v>1</v>
      </c>
      <c r="H30" s="13">
        <v>356.4</v>
      </c>
      <c r="I30" s="14">
        <f t="shared" si="4"/>
        <v>356.4</v>
      </c>
      <c r="J30" s="15">
        <v>1</v>
      </c>
      <c r="K30" s="15">
        <v>0</v>
      </c>
      <c r="L30" s="14" t="s">
        <v>26</v>
      </c>
      <c r="M30" s="14">
        <f t="shared" si="1"/>
        <v>356.4</v>
      </c>
      <c r="N30" s="14">
        <f t="shared" si="5"/>
        <v>0</v>
      </c>
      <c r="O30" s="11" t="s">
        <v>597</v>
      </c>
      <c r="P30" s="11" t="s">
        <v>597</v>
      </c>
      <c r="Q30" s="11"/>
      <c r="R30" s="11">
        <v>1</v>
      </c>
      <c r="S30" s="11" t="s">
        <v>597</v>
      </c>
      <c r="T30" s="16" t="s">
        <v>22</v>
      </c>
    </row>
    <row r="31" spans="1:20" x14ac:dyDescent="0.25">
      <c r="A31" s="10">
        <v>45664</v>
      </c>
      <c r="B31" s="11">
        <v>114449</v>
      </c>
      <c r="C31" s="11" t="s">
        <v>31</v>
      </c>
      <c r="D31" s="11" t="s">
        <v>601</v>
      </c>
      <c r="E31" s="11" t="s">
        <v>35</v>
      </c>
      <c r="F31" s="11" t="s">
        <v>35</v>
      </c>
      <c r="G31" s="12">
        <v>3</v>
      </c>
      <c r="H31" s="13">
        <v>176</v>
      </c>
      <c r="I31" s="14">
        <f t="shared" si="4"/>
        <v>528</v>
      </c>
      <c r="J31" s="15">
        <v>0.01</v>
      </c>
      <c r="K31" s="15">
        <f t="shared" ref="K31:K49" si="6">J31*0.25</f>
        <v>2.5000000000000001E-3</v>
      </c>
      <c r="L31" s="14" t="s">
        <v>26</v>
      </c>
      <c r="M31" s="14">
        <f t="shared" si="1"/>
        <v>5.28</v>
      </c>
      <c r="N31" s="14">
        <f t="shared" si="5"/>
        <v>1.32</v>
      </c>
      <c r="O31" s="11" t="s">
        <v>597</v>
      </c>
      <c r="P31" s="11" t="s">
        <v>597</v>
      </c>
      <c r="Q31" s="11"/>
      <c r="R31" s="11">
        <v>1</v>
      </c>
      <c r="S31" s="11" t="s">
        <v>597</v>
      </c>
      <c r="T31" s="16" t="s">
        <v>31</v>
      </c>
    </row>
    <row r="32" spans="1:20" x14ac:dyDescent="0.25">
      <c r="A32" s="10">
        <v>45664</v>
      </c>
      <c r="B32" s="11">
        <v>114449</v>
      </c>
      <c r="C32" s="11" t="s">
        <v>31</v>
      </c>
      <c r="D32" s="11" t="s">
        <v>602</v>
      </c>
      <c r="E32" s="11" t="s">
        <v>24</v>
      </c>
      <c r="F32" s="11" t="s">
        <v>554</v>
      </c>
      <c r="G32" s="12">
        <v>21</v>
      </c>
      <c r="H32" s="13">
        <v>215</v>
      </c>
      <c r="I32" s="14">
        <f t="shared" si="4"/>
        <v>4515</v>
      </c>
      <c r="J32" s="15">
        <v>7.0000000000000007E-2</v>
      </c>
      <c r="K32" s="15">
        <f t="shared" si="6"/>
        <v>1.7500000000000002E-2</v>
      </c>
      <c r="L32" s="14" t="s">
        <v>26</v>
      </c>
      <c r="M32" s="14">
        <f t="shared" si="1"/>
        <v>316.05</v>
      </c>
      <c r="N32" s="14">
        <f t="shared" si="5"/>
        <v>79.012500000000003</v>
      </c>
      <c r="O32" s="11" t="s">
        <v>597</v>
      </c>
      <c r="P32" s="11" t="s">
        <v>597</v>
      </c>
      <c r="Q32" s="11"/>
      <c r="R32" s="11">
        <v>6</v>
      </c>
      <c r="S32" s="11" t="s">
        <v>597</v>
      </c>
      <c r="T32" s="16" t="s">
        <v>31</v>
      </c>
    </row>
    <row r="33" spans="1:20" x14ac:dyDescent="0.25">
      <c r="A33" s="10">
        <v>45665</v>
      </c>
      <c r="B33" s="11">
        <v>116626</v>
      </c>
      <c r="C33" s="11" t="s">
        <v>31</v>
      </c>
      <c r="D33" s="11" t="s">
        <v>603</v>
      </c>
      <c r="E33" s="11" t="s">
        <v>35</v>
      </c>
      <c r="F33" s="11" t="s">
        <v>35</v>
      </c>
      <c r="G33" s="12">
        <v>3</v>
      </c>
      <c r="H33" s="13">
        <v>176</v>
      </c>
      <c r="I33" s="14">
        <f t="shared" si="4"/>
        <v>528</v>
      </c>
      <c r="J33" s="15">
        <v>0.01</v>
      </c>
      <c r="K33" s="15">
        <f t="shared" si="6"/>
        <v>2.5000000000000001E-3</v>
      </c>
      <c r="L33" s="14" t="s">
        <v>26</v>
      </c>
      <c r="M33" s="14">
        <f t="shared" si="1"/>
        <v>5.28</v>
      </c>
      <c r="N33" s="14">
        <f t="shared" si="5"/>
        <v>1.32</v>
      </c>
      <c r="O33" s="11" t="s">
        <v>597</v>
      </c>
      <c r="P33" s="11" t="s">
        <v>597</v>
      </c>
      <c r="Q33" s="11"/>
      <c r="R33" s="11">
        <v>1</v>
      </c>
      <c r="S33" s="11" t="s">
        <v>597</v>
      </c>
      <c r="T33" s="16" t="s">
        <v>31</v>
      </c>
    </row>
    <row r="34" spans="1:20" x14ac:dyDescent="0.25">
      <c r="A34" s="10">
        <v>45666</v>
      </c>
      <c r="B34" s="11">
        <v>117045</v>
      </c>
      <c r="C34" s="11" t="s">
        <v>31</v>
      </c>
      <c r="D34" s="11" t="s">
        <v>604</v>
      </c>
      <c r="E34" s="11" t="s">
        <v>35</v>
      </c>
      <c r="F34" s="11" t="s">
        <v>35</v>
      </c>
      <c r="G34" s="12">
        <v>4</v>
      </c>
      <c r="H34" s="13">
        <v>149.6</v>
      </c>
      <c r="I34" s="14">
        <f t="shared" si="4"/>
        <v>598.4</v>
      </c>
      <c r="J34" s="15">
        <v>6.8999999999999999E-3</v>
      </c>
      <c r="K34" s="15">
        <f t="shared" si="6"/>
        <v>1.725E-3</v>
      </c>
      <c r="L34" s="14" t="s">
        <v>26</v>
      </c>
      <c r="M34" s="14">
        <f t="shared" ref="M34:M65" si="7">J34*I34</f>
        <v>4.1289600000000002</v>
      </c>
      <c r="N34" s="14">
        <f t="shared" si="5"/>
        <v>1.03224</v>
      </c>
      <c r="O34" s="11" t="s">
        <v>597</v>
      </c>
      <c r="P34" s="11" t="s">
        <v>597</v>
      </c>
      <c r="Q34" s="11"/>
      <c r="R34" s="11">
        <v>1</v>
      </c>
      <c r="S34" s="11" t="s">
        <v>597</v>
      </c>
      <c r="T34" s="16" t="s">
        <v>31</v>
      </c>
    </row>
    <row r="35" spans="1:20" x14ac:dyDescent="0.25">
      <c r="A35" s="10">
        <v>45667</v>
      </c>
      <c r="B35" s="11">
        <v>108233</v>
      </c>
      <c r="C35" s="11" t="s">
        <v>31</v>
      </c>
      <c r="D35" s="11" t="s">
        <v>605</v>
      </c>
      <c r="E35" s="11" t="s">
        <v>24</v>
      </c>
      <c r="F35" s="11" t="s">
        <v>554</v>
      </c>
      <c r="G35" s="12">
        <v>3</v>
      </c>
      <c r="H35" s="13">
        <v>210</v>
      </c>
      <c r="I35" s="14">
        <f t="shared" si="4"/>
        <v>630</v>
      </c>
      <c r="J35" s="15">
        <v>7.0000000000000007E-2</v>
      </c>
      <c r="K35" s="15">
        <f t="shared" si="6"/>
        <v>1.7500000000000002E-2</v>
      </c>
      <c r="L35" s="14" t="s">
        <v>26</v>
      </c>
      <c r="M35" s="14">
        <f t="shared" si="7"/>
        <v>44.1</v>
      </c>
      <c r="N35" s="14">
        <f t="shared" si="5"/>
        <v>11.025</v>
      </c>
      <c r="O35" s="11" t="s">
        <v>597</v>
      </c>
      <c r="P35" s="11" t="s">
        <v>597</v>
      </c>
      <c r="Q35" s="11"/>
      <c r="R35" s="11">
        <v>3</v>
      </c>
      <c r="S35" s="11" t="s">
        <v>597</v>
      </c>
      <c r="T35" s="16" t="s">
        <v>31</v>
      </c>
    </row>
    <row r="36" spans="1:20" x14ac:dyDescent="0.25">
      <c r="A36" s="10">
        <v>45667</v>
      </c>
      <c r="B36" s="11">
        <v>117556</v>
      </c>
      <c r="C36" s="11" t="s">
        <v>31</v>
      </c>
      <c r="D36" s="11" t="s">
        <v>596</v>
      </c>
      <c r="E36" s="11" t="s">
        <v>24</v>
      </c>
      <c r="F36" s="11" t="s">
        <v>554</v>
      </c>
      <c r="G36" s="12">
        <v>8</v>
      </c>
      <c r="H36" s="13">
        <v>210</v>
      </c>
      <c r="I36" s="14">
        <f t="shared" si="4"/>
        <v>1680</v>
      </c>
      <c r="J36" s="15">
        <v>7.0000000000000007E-2</v>
      </c>
      <c r="K36" s="15">
        <f t="shared" si="6"/>
        <v>1.7500000000000002E-2</v>
      </c>
      <c r="L36" s="14" t="s">
        <v>26</v>
      </c>
      <c r="M36" s="14">
        <f t="shared" si="7"/>
        <v>117.60000000000001</v>
      </c>
      <c r="N36" s="14">
        <f t="shared" si="5"/>
        <v>29.400000000000002</v>
      </c>
      <c r="O36" s="11" t="s">
        <v>597</v>
      </c>
      <c r="P36" s="11" t="s">
        <v>597</v>
      </c>
      <c r="Q36" s="11"/>
      <c r="R36" s="11">
        <v>6</v>
      </c>
      <c r="S36" s="11" t="s">
        <v>597</v>
      </c>
      <c r="T36" s="16" t="s">
        <v>31</v>
      </c>
    </row>
    <row r="37" spans="1:20" x14ac:dyDescent="0.25">
      <c r="A37" s="10">
        <v>45667</v>
      </c>
      <c r="B37" s="11">
        <v>113593</v>
      </c>
      <c r="C37" s="11" t="s">
        <v>31</v>
      </c>
      <c r="D37" s="11" t="s">
        <v>127</v>
      </c>
      <c r="E37" s="11" t="s">
        <v>35</v>
      </c>
      <c r="F37" s="11" t="s">
        <v>35</v>
      </c>
      <c r="G37" s="12">
        <v>144</v>
      </c>
      <c r="H37" s="13">
        <v>176</v>
      </c>
      <c r="I37" s="14">
        <f t="shared" si="4"/>
        <v>25344</v>
      </c>
      <c r="J37" s="15">
        <v>0.01</v>
      </c>
      <c r="K37" s="15">
        <f t="shared" si="6"/>
        <v>2.5000000000000001E-3</v>
      </c>
      <c r="L37" s="14" t="s">
        <v>26</v>
      </c>
      <c r="M37" s="14">
        <f t="shared" si="7"/>
        <v>253.44</v>
      </c>
      <c r="N37" s="14">
        <f t="shared" si="5"/>
        <v>63.36</v>
      </c>
      <c r="O37" s="11" t="s">
        <v>597</v>
      </c>
      <c r="P37" s="11" t="s">
        <v>597</v>
      </c>
      <c r="Q37" s="11"/>
      <c r="R37" s="11">
        <v>5</v>
      </c>
      <c r="S37" s="11" t="s">
        <v>597</v>
      </c>
      <c r="T37" s="16" t="s">
        <v>31</v>
      </c>
    </row>
    <row r="38" spans="1:20" x14ac:dyDescent="0.25">
      <c r="A38" s="10">
        <v>45670</v>
      </c>
      <c r="B38" s="11" t="s">
        <v>606</v>
      </c>
      <c r="C38" s="11" t="s">
        <v>44</v>
      </c>
      <c r="D38" s="11" t="s">
        <v>607</v>
      </c>
      <c r="E38" s="11" t="s">
        <v>47</v>
      </c>
      <c r="F38" s="11" t="s">
        <v>554</v>
      </c>
      <c r="G38" s="12">
        <v>228</v>
      </c>
      <c r="H38" s="13">
        <v>171.19</v>
      </c>
      <c r="I38" s="14">
        <f t="shared" si="4"/>
        <v>39031.32</v>
      </c>
      <c r="J38" s="15">
        <v>0.05</v>
      </c>
      <c r="K38" s="15">
        <f t="shared" si="6"/>
        <v>1.2500000000000001E-2</v>
      </c>
      <c r="L38" s="14" t="s">
        <v>46</v>
      </c>
      <c r="M38" s="14">
        <f t="shared" si="7"/>
        <v>1951.566</v>
      </c>
      <c r="N38" s="14">
        <f t="shared" si="5"/>
        <v>487.89150000000001</v>
      </c>
      <c r="O38" s="11" t="s">
        <v>27</v>
      </c>
      <c r="P38" s="11" t="s">
        <v>27</v>
      </c>
      <c r="Q38" s="11"/>
      <c r="R38" s="11">
        <v>10</v>
      </c>
      <c r="S38" s="11" t="s">
        <v>28</v>
      </c>
      <c r="T38" s="16" t="s">
        <v>44</v>
      </c>
    </row>
    <row r="39" spans="1:20" x14ac:dyDescent="0.25">
      <c r="A39" s="10">
        <v>45670</v>
      </c>
      <c r="B39" s="11" t="s">
        <v>606</v>
      </c>
      <c r="C39" s="11" t="s">
        <v>44</v>
      </c>
      <c r="D39" s="11" t="s">
        <v>607</v>
      </c>
      <c r="E39" s="11" t="s">
        <v>63</v>
      </c>
      <c r="F39" s="11" t="s">
        <v>554</v>
      </c>
      <c r="G39" s="12">
        <v>40</v>
      </c>
      <c r="H39" s="13">
        <v>171.19</v>
      </c>
      <c r="I39" s="14">
        <f t="shared" si="4"/>
        <v>6847.6</v>
      </c>
      <c r="J39" s="15">
        <v>0.05</v>
      </c>
      <c r="K39" s="15">
        <f t="shared" si="6"/>
        <v>1.2500000000000001E-2</v>
      </c>
      <c r="L39" s="14" t="s">
        <v>46</v>
      </c>
      <c r="M39" s="14">
        <f t="shared" si="7"/>
        <v>342.38000000000005</v>
      </c>
      <c r="N39" s="14">
        <f t="shared" si="5"/>
        <v>85.595000000000013</v>
      </c>
      <c r="O39" s="11" t="s">
        <v>27</v>
      </c>
      <c r="P39" s="11" t="s">
        <v>27</v>
      </c>
      <c r="Q39" s="11"/>
      <c r="R39" s="11">
        <v>10</v>
      </c>
      <c r="S39" s="11" t="s">
        <v>28</v>
      </c>
      <c r="T39" s="16" t="s">
        <v>44</v>
      </c>
    </row>
    <row r="40" spans="1:20" x14ac:dyDescent="0.25">
      <c r="A40" s="10">
        <v>45670</v>
      </c>
      <c r="B40" s="11" t="s">
        <v>606</v>
      </c>
      <c r="C40" s="11" t="s">
        <v>44</v>
      </c>
      <c r="D40" s="11" t="s">
        <v>607</v>
      </c>
      <c r="E40" s="11" t="s">
        <v>102</v>
      </c>
      <c r="F40" s="11" t="s">
        <v>41</v>
      </c>
      <c r="G40" s="12">
        <v>1</v>
      </c>
      <c r="H40" s="13">
        <v>1600</v>
      </c>
      <c r="I40" s="14">
        <f t="shared" si="4"/>
        <v>1600</v>
      </c>
      <c r="J40" s="15">
        <v>7.0000000000000007E-2</v>
      </c>
      <c r="K40" s="15">
        <f t="shared" si="6"/>
        <v>1.7500000000000002E-2</v>
      </c>
      <c r="L40" s="14" t="s">
        <v>46</v>
      </c>
      <c r="M40" s="14">
        <f t="shared" si="7"/>
        <v>112.00000000000001</v>
      </c>
      <c r="N40" s="14">
        <f t="shared" si="5"/>
        <v>28.000000000000004</v>
      </c>
      <c r="O40" s="11" t="s">
        <v>27</v>
      </c>
      <c r="P40" s="11" t="s">
        <v>27</v>
      </c>
      <c r="Q40" s="11"/>
      <c r="R40" s="11">
        <v>10</v>
      </c>
      <c r="S40" s="11" t="s">
        <v>28</v>
      </c>
      <c r="T40" s="16" t="s">
        <v>44</v>
      </c>
    </row>
    <row r="41" spans="1:20" x14ac:dyDescent="0.25">
      <c r="A41" s="10">
        <v>45670</v>
      </c>
      <c r="B41" s="11" t="s">
        <v>606</v>
      </c>
      <c r="C41" s="11" t="s">
        <v>44</v>
      </c>
      <c r="D41" s="11" t="s">
        <v>607</v>
      </c>
      <c r="E41" s="11" t="s">
        <v>47</v>
      </c>
      <c r="F41" s="11" t="s">
        <v>30</v>
      </c>
      <c r="G41" s="12">
        <v>8</v>
      </c>
      <c r="H41" s="13">
        <v>248.08</v>
      </c>
      <c r="I41" s="14">
        <f t="shared" si="4"/>
        <v>1984.64</v>
      </c>
      <c r="J41" s="15">
        <v>1</v>
      </c>
      <c r="K41" s="15">
        <f t="shared" si="6"/>
        <v>0.25</v>
      </c>
      <c r="L41" s="14" t="s">
        <v>46</v>
      </c>
      <c r="M41" s="14">
        <f t="shared" si="7"/>
        <v>1984.64</v>
      </c>
      <c r="N41" s="14">
        <f t="shared" si="5"/>
        <v>496.16</v>
      </c>
      <c r="O41" s="11" t="s">
        <v>27</v>
      </c>
      <c r="P41" s="11" t="s">
        <v>27</v>
      </c>
      <c r="Q41" s="11"/>
      <c r="R41" s="11">
        <v>1</v>
      </c>
      <c r="S41" s="11" t="s">
        <v>28</v>
      </c>
      <c r="T41" s="16" t="s">
        <v>44</v>
      </c>
    </row>
    <row r="42" spans="1:20" x14ac:dyDescent="0.25">
      <c r="A42" s="10">
        <v>45670</v>
      </c>
      <c r="B42" s="11" t="s">
        <v>606</v>
      </c>
      <c r="C42" s="11" t="s">
        <v>44</v>
      </c>
      <c r="D42" s="11" t="s">
        <v>607</v>
      </c>
      <c r="E42" s="11" t="s">
        <v>48</v>
      </c>
      <c r="F42" s="11" t="s">
        <v>30</v>
      </c>
      <c r="G42" s="12">
        <v>1</v>
      </c>
      <c r="H42" s="13">
        <v>240</v>
      </c>
      <c r="I42" s="14">
        <f t="shared" si="4"/>
        <v>240</v>
      </c>
      <c r="J42" s="15">
        <v>1</v>
      </c>
      <c r="K42" s="15">
        <f t="shared" si="6"/>
        <v>0.25</v>
      </c>
      <c r="L42" s="14" t="s">
        <v>46</v>
      </c>
      <c r="M42" s="14">
        <f t="shared" si="7"/>
        <v>240</v>
      </c>
      <c r="N42" s="14">
        <f t="shared" si="5"/>
        <v>60</v>
      </c>
      <c r="O42" s="11" t="s">
        <v>27</v>
      </c>
      <c r="P42" s="11" t="s">
        <v>27</v>
      </c>
      <c r="Q42" s="11"/>
      <c r="R42" s="11">
        <v>1</v>
      </c>
      <c r="S42" s="11" t="s">
        <v>28</v>
      </c>
      <c r="T42" s="16" t="s">
        <v>44</v>
      </c>
    </row>
    <row r="43" spans="1:20" x14ac:dyDescent="0.25">
      <c r="A43" s="10">
        <v>45670</v>
      </c>
      <c r="B43" s="11" t="s">
        <v>606</v>
      </c>
      <c r="C43" s="11" t="s">
        <v>44</v>
      </c>
      <c r="D43" s="11" t="s">
        <v>607</v>
      </c>
      <c r="E43" s="11" t="s">
        <v>63</v>
      </c>
      <c r="F43" s="11" t="s">
        <v>30</v>
      </c>
      <c r="G43" s="12">
        <v>50</v>
      </c>
      <c r="H43" s="13">
        <v>81.14</v>
      </c>
      <c r="I43" s="14">
        <f t="shared" si="4"/>
        <v>4057</v>
      </c>
      <c r="J43" s="15">
        <v>1</v>
      </c>
      <c r="K43" s="15">
        <f t="shared" si="6"/>
        <v>0.25</v>
      </c>
      <c r="L43" s="14" t="s">
        <v>46</v>
      </c>
      <c r="M43" s="14">
        <f t="shared" si="7"/>
        <v>4057</v>
      </c>
      <c r="N43" s="14">
        <f t="shared" si="5"/>
        <v>1014.25</v>
      </c>
      <c r="O43" s="11" t="s">
        <v>27</v>
      </c>
      <c r="P43" s="11" t="s">
        <v>27</v>
      </c>
      <c r="Q43" s="11"/>
      <c r="R43" s="11">
        <v>1</v>
      </c>
      <c r="S43" s="11" t="s">
        <v>28</v>
      </c>
      <c r="T43" s="16" t="s">
        <v>44</v>
      </c>
    </row>
    <row r="44" spans="1:20" x14ac:dyDescent="0.25">
      <c r="A44" s="10">
        <v>45670</v>
      </c>
      <c r="B44" s="11" t="s">
        <v>606</v>
      </c>
      <c r="C44" s="11" t="s">
        <v>44</v>
      </c>
      <c r="D44" s="11" t="s">
        <v>607</v>
      </c>
      <c r="E44" s="11" t="s">
        <v>102</v>
      </c>
      <c r="F44" s="11" t="s">
        <v>30</v>
      </c>
      <c r="G44" s="12">
        <v>1</v>
      </c>
      <c r="H44" s="13">
        <v>1628.22</v>
      </c>
      <c r="I44" s="14">
        <f t="shared" si="4"/>
        <v>1628.22</v>
      </c>
      <c r="J44" s="15">
        <v>1</v>
      </c>
      <c r="K44" s="15">
        <f t="shared" si="6"/>
        <v>0.25</v>
      </c>
      <c r="L44" s="14" t="s">
        <v>46</v>
      </c>
      <c r="M44" s="14">
        <f t="shared" si="7"/>
        <v>1628.22</v>
      </c>
      <c r="N44" s="14">
        <f t="shared" si="5"/>
        <v>407.05500000000001</v>
      </c>
      <c r="O44" s="11" t="s">
        <v>27</v>
      </c>
      <c r="P44" s="11" t="s">
        <v>27</v>
      </c>
      <c r="Q44" s="11"/>
      <c r="R44" s="11">
        <v>1</v>
      </c>
      <c r="S44" s="11" t="s">
        <v>28</v>
      </c>
      <c r="T44" s="16" t="s">
        <v>44</v>
      </c>
    </row>
    <row r="45" spans="1:20" x14ac:dyDescent="0.25">
      <c r="A45" s="10">
        <v>45670</v>
      </c>
      <c r="B45" s="11" t="s">
        <v>606</v>
      </c>
      <c r="C45" s="11" t="s">
        <v>44</v>
      </c>
      <c r="D45" s="11" t="s">
        <v>607</v>
      </c>
      <c r="E45" s="11" t="s">
        <v>102</v>
      </c>
      <c r="F45" s="11" t="s">
        <v>30</v>
      </c>
      <c r="G45" s="12">
        <v>10</v>
      </c>
      <c r="H45" s="13">
        <v>80.900000000000006</v>
      </c>
      <c r="I45" s="14">
        <f t="shared" si="4"/>
        <v>809</v>
      </c>
      <c r="J45" s="15">
        <v>1</v>
      </c>
      <c r="K45" s="15">
        <f t="shared" si="6"/>
        <v>0.25</v>
      </c>
      <c r="L45" s="14" t="s">
        <v>46</v>
      </c>
      <c r="M45" s="14">
        <f t="shared" si="7"/>
        <v>809</v>
      </c>
      <c r="N45" s="14">
        <f t="shared" si="5"/>
        <v>202.25</v>
      </c>
      <c r="O45" s="11" t="s">
        <v>27</v>
      </c>
      <c r="P45" s="11" t="s">
        <v>27</v>
      </c>
      <c r="Q45" s="11"/>
      <c r="R45" s="11">
        <v>1</v>
      </c>
      <c r="S45" s="11" t="s">
        <v>28</v>
      </c>
      <c r="T45" s="16" t="s">
        <v>44</v>
      </c>
    </row>
    <row r="46" spans="1:20" x14ac:dyDescent="0.25">
      <c r="A46" s="10">
        <v>45671</v>
      </c>
      <c r="B46" s="11">
        <v>113212</v>
      </c>
      <c r="C46" s="11" t="s">
        <v>31</v>
      </c>
      <c r="D46" s="11" t="s">
        <v>608</v>
      </c>
      <c r="E46" s="11" t="s">
        <v>35</v>
      </c>
      <c r="F46" s="11" t="s">
        <v>35</v>
      </c>
      <c r="G46" s="12">
        <v>12</v>
      </c>
      <c r="H46" s="13">
        <v>176</v>
      </c>
      <c r="I46" s="14">
        <f t="shared" si="4"/>
        <v>2112</v>
      </c>
      <c r="J46" s="15">
        <v>0.01</v>
      </c>
      <c r="K46" s="15">
        <f t="shared" si="6"/>
        <v>2.5000000000000001E-3</v>
      </c>
      <c r="L46" s="14" t="s">
        <v>26</v>
      </c>
      <c r="M46" s="14">
        <f t="shared" si="7"/>
        <v>21.12</v>
      </c>
      <c r="N46" s="14">
        <f t="shared" si="5"/>
        <v>5.28</v>
      </c>
      <c r="O46" s="11" t="s">
        <v>597</v>
      </c>
      <c r="P46" s="11" t="s">
        <v>597</v>
      </c>
      <c r="Q46" s="11"/>
      <c r="R46" s="11">
        <v>3</v>
      </c>
      <c r="S46" s="11" t="s">
        <v>597</v>
      </c>
      <c r="T46" s="16" t="s">
        <v>31</v>
      </c>
    </row>
    <row r="47" spans="1:20" x14ac:dyDescent="0.25">
      <c r="A47" s="10">
        <v>45672</v>
      </c>
      <c r="B47" s="11">
        <v>117788</v>
      </c>
      <c r="C47" s="11" t="s">
        <v>31</v>
      </c>
      <c r="D47" s="11" t="s">
        <v>609</v>
      </c>
      <c r="E47" s="11" t="s">
        <v>24</v>
      </c>
      <c r="F47" s="11" t="s">
        <v>554</v>
      </c>
      <c r="G47" s="12">
        <v>16</v>
      </c>
      <c r="H47" s="13">
        <v>210</v>
      </c>
      <c r="I47" s="14">
        <f t="shared" si="4"/>
        <v>3360</v>
      </c>
      <c r="J47" s="15">
        <v>7.0000000000000007E-2</v>
      </c>
      <c r="K47" s="15">
        <f t="shared" si="6"/>
        <v>1.7500000000000002E-2</v>
      </c>
      <c r="L47" s="14" t="s">
        <v>26</v>
      </c>
      <c r="M47" s="14">
        <f t="shared" si="7"/>
        <v>235.20000000000002</v>
      </c>
      <c r="N47" s="14">
        <f t="shared" si="5"/>
        <v>58.800000000000004</v>
      </c>
      <c r="O47" s="11" t="s">
        <v>597</v>
      </c>
      <c r="P47" s="11" t="s">
        <v>597</v>
      </c>
      <c r="Q47" s="11"/>
      <c r="R47" s="11">
        <v>6</v>
      </c>
      <c r="S47" s="11" t="s">
        <v>597</v>
      </c>
      <c r="T47" s="16" t="s">
        <v>31</v>
      </c>
    </row>
    <row r="48" spans="1:20" x14ac:dyDescent="0.25">
      <c r="A48" s="10">
        <v>45672</v>
      </c>
      <c r="B48" s="11">
        <v>117775</v>
      </c>
      <c r="C48" s="11" t="s">
        <v>31</v>
      </c>
      <c r="D48" s="11" t="s">
        <v>136</v>
      </c>
      <c r="E48" s="11" t="s">
        <v>24</v>
      </c>
      <c r="F48" s="11" t="s">
        <v>554</v>
      </c>
      <c r="G48" s="12">
        <v>4</v>
      </c>
      <c r="H48" s="13">
        <v>210</v>
      </c>
      <c r="I48" s="14">
        <f t="shared" si="4"/>
        <v>840</v>
      </c>
      <c r="J48" s="15">
        <v>7.0000000000000007E-2</v>
      </c>
      <c r="K48" s="15">
        <f t="shared" si="6"/>
        <v>1.7500000000000002E-2</v>
      </c>
      <c r="L48" s="14" t="s">
        <v>26</v>
      </c>
      <c r="M48" s="14">
        <f t="shared" si="7"/>
        <v>58.800000000000004</v>
      </c>
      <c r="N48" s="14">
        <f t="shared" si="5"/>
        <v>14.700000000000001</v>
      </c>
      <c r="O48" s="11" t="s">
        <v>597</v>
      </c>
      <c r="P48" s="11" t="s">
        <v>597</v>
      </c>
      <c r="Q48" s="11"/>
      <c r="R48" s="11">
        <v>6</v>
      </c>
      <c r="S48" s="11" t="s">
        <v>597</v>
      </c>
      <c r="T48" s="16" t="s">
        <v>31</v>
      </c>
    </row>
    <row r="49" spans="1:20" x14ac:dyDescent="0.25">
      <c r="A49" s="10">
        <v>45672</v>
      </c>
      <c r="B49" s="11">
        <v>117316</v>
      </c>
      <c r="C49" s="11" t="s">
        <v>31</v>
      </c>
      <c r="D49" s="11" t="s">
        <v>114</v>
      </c>
      <c r="E49" s="11" t="s">
        <v>54</v>
      </c>
      <c r="F49" s="11" t="s">
        <v>30</v>
      </c>
      <c r="G49" s="12">
        <v>2</v>
      </c>
      <c r="H49" s="13">
        <v>142.56</v>
      </c>
      <c r="I49" s="14">
        <f t="shared" ref="I49:I80" si="8">G49*H49</f>
        <v>285.12</v>
      </c>
      <c r="J49" s="15">
        <v>1</v>
      </c>
      <c r="K49" s="15">
        <f t="shared" si="6"/>
        <v>0.25</v>
      </c>
      <c r="L49" s="14" t="s">
        <v>26</v>
      </c>
      <c r="M49" s="14">
        <f t="shared" si="7"/>
        <v>285.12</v>
      </c>
      <c r="N49" s="14">
        <f t="shared" si="5"/>
        <v>71.28</v>
      </c>
      <c r="O49" s="11" t="s">
        <v>597</v>
      </c>
      <c r="P49" s="11" t="s">
        <v>597</v>
      </c>
      <c r="Q49" s="11"/>
      <c r="R49" s="11">
        <v>1</v>
      </c>
      <c r="S49" s="11" t="s">
        <v>597</v>
      </c>
      <c r="T49" s="16" t="s">
        <v>31</v>
      </c>
    </row>
    <row r="50" spans="1:20" x14ac:dyDescent="0.25">
      <c r="A50" s="10">
        <v>45673</v>
      </c>
      <c r="B50" s="11">
        <v>116965</v>
      </c>
      <c r="C50" s="11" t="s">
        <v>22</v>
      </c>
      <c r="D50" s="11" t="s">
        <v>610</v>
      </c>
      <c r="E50" s="11" t="s">
        <v>35</v>
      </c>
      <c r="F50" s="11" t="s">
        <v>35</v>
      </c>
      <c r="G50" s="12">
        <v>11</v>
      </c>
      <c r="H50" s="13">
        <v>176</v>
      </c>
      <c r="I50" s="14">
        <f t="shared" si="8"/>
        <v>1936</v>
      </c>
      <c r="J50" s="15">
        <v>0.01</v>
      </c>
      <c r="K50" s="17">
        <v>0</v>
      </c>
      <c r="L50" s="14" t="s">
        <v>26</v>
      </c>
      <c r="M50" s="14">
        <f t="shared" si="7"/>
        <v>19.36</v>
      </c>
      <c r="N50" s="14">
        <f t="shared" si="5"/>
        <v>0</v>
      </c>
      <c r="O50" s="11" t="s">
        <v>597</v>
      </c>
      <c r="P50" s="11" t="s">
        <v>597</v>
      </c>
      <c r="Q50" s="11"/>
      <c r="R50" s="11">
        <v>3</v>
      </c>
      <c r="S50" s="11" t="s">
        <v>597</v>
      </c>
      <c r="T50" s="16" t="s">
        <v>22</v>
      </c>
    </row>
    <row r="51" spans="1:20" x14ac:dyDescent="0.25">
      <c r="A51" s="10">
        <v>45674</v>
      </c>
      <c r="B51" s="11">
        <v>117899</v>
      </c>
      <c r="C51" s="11" t="s">
        <v>31</v>
      </c>
      <c r="D51" s="11" t="s">
        <v>611</v>
      </c>
      <c r="E51" s="11" t="s">
        <v>589</v>
      </c>
      <c r="F51" s="11" t="s">
        <v>41</v>
      </c>
      <c r="G51" s="12">
        <v>1</v>
      </c>
      <c r="H51" s="13">
        <v>12960</v>
      </c>
      <c r="I51" s="14">
        <f t="shared" si="8"/>
        <v>12960</v>
      </c>
      <c r="J51" s="15">
        <v>2.0400000000000001E-2</v>
      </c>
      <c r="K51" s="15">
        <f t="shared" ref="K51:K68" si="9">J51*0.25</f>
        <v>5.1000000000000004E-3</v>
      </c>
      <c r="L51" s="14" t="s">
        <v>26</v>
      </c>
      <c r="M51" s="14">
        <f t="shared" si="7"/>
        <v>264.38400000000001</v>
      </c>
      <c r="N51" s="14">
        <f t="shared" si="5"/>
        <v>66.096000000000004</v>
      </c>
      <c r="O51" s="11" t="s">
        <v>27</v>
      </c>
      <c r="P51" s="11" t="s">
        <v>27</v>
      </c>
      <c r="Q51" s="11"/>
      <c r="R51" s="11">
        <v>10</v>
      </c>
      <c r="S51" s="11" t="s">
        <v>28</v>
      </c>
      <c r="T51" s="16" t="s">
        <v>31</v>
      </c>
    </row>
    <row r="52" spans="1:20" x14ac:dyDescent="0.25">
      <c r="A52" s="10">
        <v>45674</v>
      </c>
      <c r="B52" s="11">
        <v>117899</v>
      </c>
      <c r="C52" s="11" t="s">
        <v>31</v>
      </c>
      <c r="D52" s="11" t="s">
        <v>114</v>
      </c>
      <c r="E52" s="11" t="s">
        <v>589</v>
      </c>
      <c r="F52" s="11" t="s">
        <v>30</v>
      </c>
      <c r="G52" s="12">
        <v>1</v>
      </c>
      <c r="H52" s="13">
        <v>641.52</v>
      </c>
      <c r="I52" s="14">
        <f t="shared" si="8"/>
        <v>641.52</v>
      </c>
      <c r="J52" s="15">
        <v>1</v>
      </c>
      <c r="K52" s="15">
        <f t="shared" si="9"/>
        <v>0.25</v>
      </c>
      <c r="L52" s="14" t="s">
        <v>26</v>
      </c>
      <c r="M52" s="14">
        <f t="shared" si="7"/>
        <v>641.52</v>
      </c>
      <c r="N52" s="14">
        <f t="shared" si="5"/>
        <v>160.38</v>
      </c>
      <c r="O52" s="11" t="s">
        <v>27</v>
      </c>
      <c r="P52" s="11" t="s">
        <v>27</v>
      </c>
      <c r="Q52" s="11"/>
      <c r="R52" s="11">
        <v>1</v>
      </c>
      <c r="S52" s="11" t="s">
        <v>28</v>
      </c>
      <c r="T52" s="16" t="s">
        <v>31</v>
      </c>
    </row>
    <row r="53" spans="1:20" x14ac:dyDescent="0.25">
      <c r="A53" s="10">
        <v>45681</v>
      </c>
      <c r="B53" s="11">
        <v>118061</v>
      </c>
      <c r="C53" s="11" t="s">
        <v>44</v>
      </c>
      <c r="D53" s="11" t="s">
        <v>140</v>
      </c>
      <c r="E53" s="11" t="s">
        <v>47</v>
      </c>
      <c r="F53" s="11" t="s">
        <v>554</v>
      </c>
      <c r="G53" s="12">
        <v>427</v>
      </c>
      <c r="H53" s="13">
        <v>180.04499999999999</v>
      </c>
      <c r="I53" s="14">
        <f t="shared" si="8"/>
        <v>76879.214999999997</v>
      </c>
      <c r="J53" s="15">
        <v>7.0000000000000007E-2</v>
      </c>
      <c r="K53" s="15">
        <f t="shared" si="9"/>
        <v>1.7500000000000002E-2</v>
      </c>
      <c r="L53" s="14" t="s">
        <v>46</v>
      </c>
      <c r="M53" s="14">
        <f t="shared" si="7"/>
        <v>5381.5450500000006</v>
      </c>
      <c r="N53" s="14">
        <f t="shared" si="5"/>
        <v>1345.3862625000002</v>
      </c>
      <c r="O53" s="11" t="s">
        <v>27</v>
      </c>
      <c r="P53" s="11" t="s">
        <v>27</v>
      </c>
      <c r="Q53" s="11"/>
      <c r="R53" s="11">
        <v>6</v>
      </c>
      <c r="S53" s="11" t="s">
        <v>28</v>
      </c>
      <c r="T53" s="16" t="s">
        <v>44</v>
      </c>
    </row>
    <row r="54" spans="1:20" x14ac:dyDescent="0.25">
      <c r="A54" s="10">
        <v>45681</v>
      </c>
      <c r="B54" s="11">
        <v>118061</v>
      </c>
      <c r="C54" s="11" t="s">
        <v>44</v>
      </c>
      <c r="D54" s="11" t="s">
        <v>140</v>
      </c>
      <c r="E54" s="11" t="s">
        <v>47</v>
      </c>
      <c r="F54" s="11" t="s">
        <v>30</v>
      </c>
      <c r="G54" s="12">
        <v>12</v>
      </c>
      <c r="H54" s="13">
        <v>275.62</v>
      </c>
      <c r="I54" s="14">
        <f t="shared" si="8"/>
        <v>3307.44</v>
      </c>
      <c r="J54" s="15">
        <v>1</v>
      </c>
      <c r="K54" s="15">
        <f t="shared" si="9"/>
        <v>0.25</v>
      </c>
      <c r="L54" s="14" t="s">
        <v>46</v>
      </c>
      <c r="M54" s="14">
        <f t="shared" si="7"/>
        <v>3307.44</v>
      </c>
      <c r="N54" s="14">
        <f t="shared" si="5"/>
        <v>826.86</v>
      </c>
      <c r="O54" s="11" t="s">
        <v>27</v>
      </c>
      <c r="P54" s="11" t="s">
        <v>27</v>
      </c>
      <c r="Q54" s="11"/>
      <c r="R54" s="11">
        <v>1</v>
      </c>
      <c r="S54" s="11" t="s">
        <v>28</v>
      </c>
      <c r="T54" s="16" t="s">
        <v>44</v>
      </c>
    </row>
    <row r="55" spans="1:20" x14ac:dyDescent="0.25">
      <c r="A55" s="10">
        <v>45681</v>
      </c>
      <c r="B55" s="11">
        <v>118061</v>
      </c>
      <c r="C55" s="11" t="s">
        <v>44</v>
      </c>
      <c r="D55" s="11" t="s">
        <v>140</v>
      </c>
      <c r="E55" s="11" t="s">
        <v>89</v>
      </c>
      <c r="F55" s="11" t="s">
        <v>30</v>
      </c>
      <c r="G55" s="12">
        <v>1</v>
      </c>
      <c r="H55" s="13">
        <v>356.4</v>
      </c>
      <c r="I55" s="14">
        <f t="shared" si="8"/>
        <v>356.4</v>
      </c>
      <c r="J55" s="15">
        <v>1</v>
      </c>
      <c r="K55" s="15">
        <f t="shared" si="9"/>
        <v>0.25</v>
      </c>
      <c r="L55" s="14" t="s">
        <v>46</v>
      </c>
      <c r="M55" s="14">
        <f t="shared" si="7"/>
        <v>356.4</v>
      </c>
      <c r="N55" s="14">
        <f t="shared" si="5"/>
        <v>89.1</v>
      </c>
      <c r="O55" s="11" t="s">
        <v>27</v>
      </c>
      <c r="P55" s="11" t="s">
        <v>27</v>
      </c>
      <c r="Q55" s="11"/>
      <c r="R55" s="11">
        <v>1</v>
      </c>
      <c r="S55" s="11" t="s">
        <v>28</v>
      </c>
      <c r="T55" s="16" t="s">
        <v>44</v>
      </c>
    </row>
    <row r="56" spans="1:20" x14ac:dyDescent="0.25">
      <c r="A56" s="10">
        <v>45681</v>
      </c>
      <c r="B56" s="11">
        <v>118061</v>
      </c>
      <c r="C56" s="11" t="s">
        <v>44</v>
      </c>
      <c r="D56" s="11" t="s">
        <v>140</v>
      </c>
      <c r="E56" s="11" t="s">
        <v>63</v>
      </c>
      <c r="F56" s="11" t="s">
        <v>554</v>
      </c>
      <c r="G56" s="12">
        <v>44</v>
      </c>
      <c r="H56" s="13">
        <v>180.04</v>
      </c>
      <c r="I56" s="14">
        <f t="shared" si="8"/>
        <v>7921.7599999999993</v>
      </c>
      <c r="J56" s="15">
        <v>7.0000000000000007E-2</v>
      </c>
      <c r="K56" s="15">
        <f t="shared" si="9"/>
        <v>1.7500000000000002E-2</v>
      </c>
      <c r="L56" s="14" t="s">
        <v>46</v>
      </c>
      <c r="M56" s="14">
        <f t="shared" si="7"/>
        <v>554.52319999999997</v>
      </c>
      <c r="N56" s="14">
        <f t="shared" si="5"/>
        <v>138.63079999999999</v>
      </c>
      <c r="O56" s="11" t="s">
        <v>27</v>
      </c>
      <c r="P56" s="11" t="s">
        <v>27</v>
      </c>
      <c r="Q56" s="11"/>
      <c r="R56" s="11">
        <v>6</v>
      </c>
      <c r="S56" s="11" t="s">
        <v>28</v>
      </c>
      <c r="T56" s="16" t="s">
        <v>44</v>
      </c>
    </row>
    <row r="57" spans="1:20" x14ac:dyDescent="0.25">
      <c r="A57" s="10">
        <v>45681</v>
      </c>
      <c r="B57" s="11">
        <v>118061</v>
      </c>
      <c r="C57" s="11" t="s">
        <v>44</v>
      </c>
      <c r="D57" s="11" t="s">
        <v>140</v>
      </c>
      <c r="E57" s="11" t="s">
        <v>63</v>
      </c>
      <c r="F57" s="11" t="s">
        <v>30</v>
      </c>
      <c r="G57" s="12">
        <v>30</v>
      </c>
      <c r="H57" s="13">
        <v>88.2</v>
      </c>
      <c r="I57" s="14">
        <f t="shared" si="8"/>
        <v>2646</v>
      </c>
      <c r="J57" s="15">
        <v>1</v>
      </c>
      <c r="K57" s="15">
        <f t="shared" si="9"/>
        <v>0.25</v>
      </c>
      <c r="L57" s="14" t="s">
        <v>46</v>
      </c>
      <c r="M57" s="14">
        <f t="shared" si="7"/>
        <v>2646</v>
      </c>
      <c r="N57" s="14">
        <f t="shared" si="5"/>
        <v>661.5</v>
      </c>
      <c r="O57" s="11" t="s">
        <v>27</v>
      </c>
      <c r="P57" s="11" t="s">
        <v>27</v>
      </c>
      <c r="Q57" s="11"/>
      <c r="R57" s="11">
        <v>1</v>
      </c>
      <c r="S57" s="11" t="s">
        <v>28</v>
      </c>
      <c r="T57" s="16" t="s">
        <v>44</v>
      </c>
    </row>
    <row r="58" spans="1:20" x14ac:dyDescent="0.25">
      <c r="A58" s="10">
        <v>45681</v>
      </c>
      <c r="B58" s="11">
        <v>117780</v>
      </c>
      <c r="C58" s="11" t="s">
        <v>31</v>
      </c>
      <c r="D58" s="11" t="s">
        <v>612</v>
      </c>
      <c r="E58" s="11" t="s">
        <v>35</v>
      </c>
      <c r="F58" s="11" t="s">
        <v>35</v>
      </c>
      <c r="G58" s="12">
        <v>7</v>
      </c>
      <c r="H58" s="13">
        <v>176</v>
      </c>
      <c r="I58" s="14">
        <f t="shared" si="8"/>
        <v>1232</v>
      </c>
      <c r="J58" s="15">
        <v>0.01</v>
      </c>
      <c r="K58" s="15">
        <f t="shared" si="9"/>
        <v>2.5000000000000001E-3</v>
      </c>
      <c r="L58" s="14" t="s">
        <v>26</v>
      </c>
      <c r="M58" s="14">
        <f t="shared" si="7"/>
        <v>12.32</v>
      </c>
      <c r="N58" s="14">
        <f t="shared" si="5"/>
        <v>3.08</v>
      </c>
      <c r="O58" s="11" t="s">
        <v>597</v>
      </c>
      <c r="P58" s="11" t="s">
        <v>597</v>
      </c>
      <c r="Q58" s="11"/>
      <c r="R58" s="11">
        <v>3</v>
      </c>
      <c r="S58" s="11" t="s">
        <v>597</v>
      </c>
      <c r="T58" s="16" t="s">
        <v>31</v>
      </c>
    </row>
    <row r="59" spans="1:20" x14ac:dyDescent="0.25">
      <c r="A59" s="10">
        <v>45681</v>
      </c>
      <c r="B59" s="11">
        <v>117808</v>
      </c>
      <c r="C59" s="11" t="s">
        <v>31</v>
      </c>
      <c r="D59" s="11" t="s">
        <v>124</v>
      </c>
      <c r="E59" s="11" t="s">
        <v>24</v>
      </c>
      <c r="F59" s="11" t="s">
        <v>554</v>
      </c>
      <c r="G59" s="12">
        <v>4</v>
      </c>
      <c r="H59" s="13">
        <v>178.5</v>
      </c>
      <c r="I59" s="14">
        <f t="shared" si="8"/>
        <v>714</v>
      </c>
      <c r="J59" s="15">
        <v>6.6699999999999995E-2</v>
      </c>
      <c r="K59" s="15">
        <f t="shared" si="9"/>
        <v>1.6674999999999999E-2</v>
      </c>
      <c r="L59" s="14" t="s">
        <v>26</v>
      </c>
      <c r="M59" s="14">
        <f t="shared" si="7"/>
        <v>47.623799999999996</v>
      </c>
      <c r="N59" s="14">
        <f t="shared" si="5"/>
        <v>11.905949999999999</v>
      </c>
      <c r="O59" s="11" t="s">
        <v>597</v>
      </c>
      <c r="P59" s="11" t="s">
        <v>597</v>
      </c>
      <c r="Q59" s="11"/>
      <c r="R59" s="11">
        <v>1</v>
      </c>
      <c r="S59" s="11" t="s">
        <v>597</v>
      </c>
      <c r="T59" s="16" t="s">
        <v>31</v>
      </c>
    </row>
    <row r="60" spans="1:20" x14ac:dyDescent="0.25">
      <c r="A60" s="10">
        <v>45685</v>
      </c>
      <c r="B60" s="11">
        <v>116514</v>
      </c>
      <c r="C60" s="11" t="s">
        <v>31</v>
      </c>
      <c r="D60" s="11" t="s">
        <v>94</v>
      </c>
      <c r="E60" s="11" t="s">
        <v>35</v>
      </c>
      <c r="F60" s="11" t="s">
        <v>35</v>
      </c>
      <c r="G60" s="12">
        <v>4</v>
      </c>
      <c r="H60" s="13">
        <v>158.4</v>
      </c>
      <c r="I60" s="14">
        <f t="shared" si="8"/>
        <v>633.6</v>
      </c>
      <c r="J60" s="15">
        <v>0.01</v>
      </c>
      <c r="K60" s="15">
        <f t="shared" si="9"/>
        <v>2.5000000000000001E-3</v>
      </c>
      <c r="L60" s="14" t="s">
        <v>26</v>
      </c>
      <c r="M60" s="14">
        <f t="shared" si="7"/>
        <v>6.3360000000000003</v>
      </c>
      <c r="N60" s="14">
        <f t="shared" si="5"/>
        <v>1.5840000000000001</v>
      </c>
      <c r="O60" s="11" t="s">
        <v>597</v>
      </c>
      <c r="P60" s="11" t="s">
        <v>597</v>
      </c>
      <c r="Q60" s="11"/>
      <c r="R60" s="11">
        <v>3</v>
      </c>
      <c r="S60" s="11" t="s">
        <v>597</v>
      </c>
      <c r="T60" s="16" t="s">
        <v>31</v>
      </c>
    </row>
    <row r="61" spans="1:20" x14ac:dyDescent="0.25">
      <c r="A61" s="10">
        <v>45686</v>
      </c>
      <c r="B61" s="11">
        <v>118426</v>
      </c>
      <c r="C61" s="11" t="s">
        <v>44</v>
      </c>
      <c r="D61" s="11" t="s">
        <v>595</v>
      </c>
      <c r="E61" s="11" t="s">
        <v>102</v>
      </c>
      <c r="F61" s="11" t="s">
        <v>41</v>
      </c>
      <c r="G61" s="12">
        <v>1</v>
      </c>
      <c r="H61" s="13">
        <v>1600</v>
      </c>
      <c r="I61" s="14">
        <f t="shared" si="8"/>
        <v>1600</v>
      </c>
      <c r="J61" s="15">
        <v>7.0000000000000007E-2</v>
      </c>
      <c r="K61" s="15">
        <f t="shared" si="9"/>
        <v>1.7500000000000002E-2</v>
      </c>
      <c r="L61" s="14" t="s">
        <v>46</v>
      </c>
      <c r="M61" s="14">
        <f t="shared" si="7"/>
        <v>112.00000000000001</v>
      </c>
      <c r="N61" s="14">
        <f t="shared" ref="N61:N92" si="10">I61*K61</f>
        <v>28.000000000000004</v>
      </c>
      <c r="O61" s="11" t="s">
        <v>27</v>
      </c>
      <c r="P61" s="11" t="s">
        <v>27</v>
      </c>
      <c r="Q61" s="11"/>
      <c r="R61" s="11">
        <v>8</v>
      </c>
      <c r="S61" s="11" t="s">
        <v>28</v>
      </c>
      <c r="T61" s="16" t="s">
        <v>44</v>
      </c>
    </row>
    <row r="62" spans="1:20" x14ac:dyDescent="0.25">
      <c r="A62" s="10">
        <v>45686</v>
      </c>
      <c r="B62" s="11">
        <v>118426</v>
      </c>
      <c r="C62" s="11" t="s">
        <v>44</v>
      </c>
      <c r="D62" s="11" t="s">
        <v>595</v>
      </c>
      <c r="E62" s="11" t="s">
        <v>102</v>
      </c>
      <c r="F62" s="11" t="s">
        <v>30</v>
      </c>
      <c r="G62" s="12">
        <v>1</v>
      </c>
      <c r="H62" s="13">
        <v>1643.4</v>
      </c>
      <c r="I62" s="14">
        <f t="shared" si="8"/>
        <v>1643.4</v>
      </c>
      <c r="J62" s="15">
        <v>1</v>
      </c>
      <c r="K62" s="15">
        <f t="shared" si="9"/>
        <v>0.25</v>
      </c>
      <c r="L62" s="14" t="s">
        <v>46</v>
      </c>
      <c r="M62" s="14">
        <f t="shared" si="7"/>
        <v>1643.4</v>
      </c>
      <c r="N62" s="14">
        <f t="shared" si="10"/>
        <v>410.85</v>
      </c>
      <c r="O62" s="11" t="s">
        <v>27</v>
      </c>
      <c r="P62" s="11" t="s">
        <v>27</v>
      </c>
      <c r="Q62" s="11"/>
      <c r="R62" s="11">
        <v>1</v>
      </c>
      <c r="S62" s="11" t="s">
        <v>28</v>
      </c>
      <c r="T62" s="16" t="s">
        <v>44</v>
      </c>
    </row>
    <row r="63" spans="1:20" x14ac:dyDescent="0.25">
      <c r="A63" s="10">
        <v>45686</v>
      </c>
      <c r="B63" s="11">
        <v>118426</v>
      </c>
      <c r="C63" s="11" t="s">
        <v>44</v>
      </c>
      <c r="D63" s="11" t="s">
        <v>595</v>
      </c>
      <c r="E63" s="11" t="s">
        <v>102</v>
      </c>
      <c r="F63" s="11" t="s">
        <v>30</v>
      </c>
      <c r="G63" s="12">
        <v>6</v>
      </c>
      <c r="H63" s="13">
        <v>100.8</v>
      </c>
      <c r="I63" s="14">
        <f t="shared" si="8"/>
        <v>604.79999999999995</v>
      </c>
      <c r="J63" s="15">
        <v>1</v>
      </c>
      <c r="K63" s="15">
        <f t="shared" si="9"/>
        <v>0.25</v>
      </c>
      <c r="L63" s="14" t="s">
        <v>46</v>
      </c>
      <c r="M63" s="14">
        <f t="shared" si="7"/>
        <v>604.79999999999995</v>
      </c>
      <c r="N63" s="14">
        <f t="shared" si="10"/>
        <v>151.19999999999999</v>
      </c>
      <c r="O63" s="11" t="s">
        <v>27</v>
      </c>
      <c r="P63" s="11" t="s">
        <v>27</v>
      </c>
      <c r="Q63" s="11"/>
      <c r="R63" s="11">
        <v>1</v>
      </c>
      <c r="S63" s="11" t="s">
        <v>28</v>
      </c>
      <c r="T63" s="16" t="s">
        <v>44</v>
      </c>
    </row>
    <row r="64" spans="1:20" x14ac:dyDescent="0.25">
      <c r="A64" s="10">
        <v>45686</v>
      </c>
      <c r="B64" s="11">
        <v>117373</v>
      </c>
      <c r="C64" s="11" t="s">
        <v>31</v>
      </c>
      <c r="D64" s="11" t="s">
        <v>116</v>
      </c>
      <c r="E64" s="11" t="s">
        <v>35</v>
      </c>
      <c r="F64" s="11" t="s">
        <v>35</v>
      </c>
      <c r="G64" s="12">
        <v>4</v>
      </c>
      <c r="H64" s="13">
        <v>159.5</v>
      </c>
      <c r="I64" s="14">
        <f t="shared" si="8"/>
        <v>638</v>
      </c>
      <c r="J64" s="15">
        <v>6.8999999999999999E-3</v>
      </c>
      <c r="K64" s="15">
        <f t="shared" si="9"/>
        <v>1.725E-3</v>
      </c>
      <c r="L64" s="14" t="s">
        <v>26</v>
      </c>
      <c r="M64" s="14">
        <f t="shared" si="7"/>
        <v>4.4021999999999997</v>
      </c>
      <c r="N64" s="14">
        <f t="shared" si="10"/>
        <v>1.1005499999999999</v>
      </c>
      <c r="O64" s="11" t="s">
        <v>597</v>
      </c>
      <c r="P64" s="11" t="s">
        <v>597</v>
      </c>
      <c r="Q64" s="11"/>
      <c r="R64" s="11">
        <v>1</v>
      </c>
      <c r="S64" s="11" t="s">
        <v>597</v>
      </c>
      <c r="T64" s="16" t="s">
        <v>31</v>
      </c>
    </row>
    <row r="65" spans="1:20" x14ac:dyDescent="0.25">
      <c r="A65" s="10">
        <v>45686</v>
      </c>
      <c r="B65" s="11">
        <v>117278</v>
      </c>
      <c r="C65" s="11" t="s">
        <v>31</v>
      </c>
      <c r="D65" s="11" t="s">
        <v>598</v>
      </c>
      <c r="E65" s="11" t="s">
        <v>24</v>
      </c>
      <c r="F65" s="11" t="s">
        <v>554</v>
      </c>
      <c r="G65" s="12">
        <v>3</v>
      </c>
      <c r="H65" s="13">
        <v>212</v>
      </c>
      <c r="I65" s="14">
        <f t="shared" si="8"/>
        <v>636</v>
      </c>
      <c r="J65" s="15">
        <v>7.0000000000000007E-2</v>
      </c>
      <c r="K65" s="15">
        <f t="shared" si="9"/>
        <v>1.7500000000000002E-2</v>
      </c>
      <c r="L65" s="14" t="s">
        <v>26</v>
      </c>
      <c r="M65" s="14">
        <f t="shared" si="7"/>
        <v>44.52</v>
      </c>
      <c r="N65" s="14">
        <f t="shared" si="10"/>
        <v>11.13</v>
      </c>
      <c r="O65" s="11" t="s">
        <v>597</v>
      </c>
      <c r="P65" s="11" t="s">
        <v>597</v>
      </c>
      <c r="Q65" s="11"/>
      <c r="R65" s="11">
        <v>1</v>
      </c>
      <c r="S65" s="11" t="s">
        <v>597</v>
      </c>
      <c r="T65" s="16" t="s">
        <v>31</v>
      </c>
    </row>
    <row r="66" spans="1:20" x14ac:dyDescent="0.25">
      <c r="A66" s="18">
        <v>45686</v>
      </c>
      <c r="B66" s="11">
        <v>118341</v>
      </c>
      <c r="C66" s="11" t="s">
        <v>31</v>
      </c>
      <c r="D66" s="11" t="s">
        <v>127</v>
      </c>
      <c r="E66" s="11" t="s">
        <v>24</v>
      </c>
      <c r="F66" s="11" t="s">
        <v>554</v>
      </c>
      <c r="G66" s="12">
        <v>16</v>
      </c>
      <c r="H66" s="13">
        <v>210</v>
      </c>
      <c r="I66" s="14">
        <f t="shared" si="8"/>
        <v>3360</v>
      </c>
      <c r="J66" s="15">
        <v>7.0000000000000007E-2</v>
      </c>
      <c r="K66" s="15">
        <f t="shared" si="9"/>
        <v>1.7500000000000002E-2</v>
      </c>
      <c r="L66" s="14" t="s">
        <v>26</v>
      </c>
      <c r="M66" s="14">
        <f t="shared" ref="M66:M96" si="11">J66*I66</f>
        <v>235.20000000000002</v>
      </c>
      <c r="N66" s="14">
        <f t="shared" si="10"/>
        <v>58.800000000000004</v>
      </c>
      <c r="O66" s="11" t="s">
        <v>597</v>
      </c>
      <c r="P66" s="11" t="s">
        <v>597</v>
      </c>
      <c r="Q66" s="11"/>
      <c r="R66" s="11">
        <v>6</v>
      </c>
      <c r="S66" s="11" t="s">
        <v>597</v>
      </c>
      <c r="T66" s="16" t="s">
        <v>31</v>
      </c>
    </row>
    <row r="67" spans="1:20" x14ac:dyDescent="0.25">
      <c r="A67" s="10">
        <v>45691</v>
      </c>
      <c r="B67" s="11">
        <v>118419</v>
      </c>
      <c r="C67" s="11" t="s">
        <v>31</v>
      </c>
      <c r="D67" s="11" t="s">
        <v>613</v>
      </c>
      <c r="E67" s="11" t="s">
        <v>89</v>
      </c>
      <c r="F67" s="11" t="s">
        <v>554</v>
      </c>
      <c r="G67" s="12">
        <v>16</v>
      </c>
      <c r="H67" s="13">
        <v>210</v>
      </c>
      <c r="I67" s="14">
        <f t="shared" si="8"/>
        <v>3360</v>
      </c>
      <c r="J67" s="15">
        <v>7.0000000000000007E-2</v>
      </c>
      <c r="K67" s="15">
        <f t="shared" si="9"/>
        <v>1.7500000000000002E-2</v>
      </c>
      <c r="L67" s="14" t="s">
        <v>26</v>
      </c>
      <c r="M67" s="14">
        <f t="shared" si="11"/>
        <v>235.20000000000002</v>
      </c>
      <c r="N67" s="14">
        <f t="shared" si="10"/>
        <v>58.800000000000004</v>
      </c>
      <c r="O67" s="11" t="s">
        <v>27</v>
      </c>
      <c r="P67" s="11" t="s">
        <v>27</v>
      </c>
      <c r="Q67" s="11"/>
      <c r="R67" s="11">
        <v>6</v>
      </c>
      <c r="S67" s="11" t="s">
        <v>28</v>
      </c>
      <c r="T67" s="16" t="s">
        <v>31</v>
      </c>
    </row>
    <row r="68" spans="1:20" x14ac:dyDescent="0.25">
      <c r="A68" s="10">
        <v>45691</v>
      </c>
      <c r="B68" s="11">
        <v>118419</v>
      </c>
      <c r="C68" s="11" t="s">
        <v>31</v>
      </c>
      <c r="D68" s="11" t="s">
        <v>613</v>
      </c>
      <c r="E68" s="11" t="s">
        <v>89</v>
      </c>
      <c r="F68" s="11" t="s">
        <v>30</v>
      </c>
      <c r="G68" s="12">
        <v>1</v>
      </c>
      <c r="H68" s="13">
        <v>356.4</v>
      </c>
      <c r="I68" s="14">
        <f t="shared" si="8"/>
        <v>356.4</v>
      </c>
      <c r="J68" s="15">
        <v>1</v>
      </c>
      <c r="K68" s="15">
        <f t="shared" si="9"/>
        <v>0.25</v>
      </c>
      <c r="L68" s="14" t="s">
        <v>26</v>
      </c>
      <c r="M68" s="14">
        <f t="shared" si="11"/>
        <v>356.4</v>
      </c>
      <c r="N68" s="14">
        <f t="shared" si="10"/>
        <v>89.1</v>
      </c>
      <c r="O68" s="11" t="s">
        <v>27</v>
      </c>
      <c r="P68" s="11" t="s">
        <v>27</v>
      </c>
      <c r="Q68" s="11"/>
      <c r="R68" s="11">
        <v>1</v>
      </c>
      <c r="S68" s="11" t="s">
        <v>28</v>
      </c>
      <c r="T68" s="16" t="s">
        <v>31</v>
      </c>
    </row>
    <row r="69" spans="1:20" x14ac:dyDescent="0.25">
      <c r="A69" s="10">
        <v>45697</v>
      </c>
      <c r="B69" s="11">
        <v>116965</v>
      </c>
      <c r="C69" s="11" t="s">
        <v>22</v>
      </c>
      <c r="D69" s="11" t="s">
        <v>610</v>
      </c>
      <c r="E69" s="11" t="s">
        <v>35</v>
      </c>
      <c r="F69" s="11" t="s">
        <v>35</v>
      </c>
      <c r="G69" s="12">
        <v>9</v>
      </c>
      <c r="H69" s="13">
        <v>176</v>
      </c>
      <c r="I69" s="14">
        <f t="shared" si="8"/>
        <v>1584</v>
      </c>
      <c r="J69" s="15">
        <v>0.01</v>
      </c>
      <c r="K69" s="15">
        <v>0</v>
      </c>
      <c r="L69" s="14" t="s">
        <v>26</v>
      </c>
      <c r="M69" s="14">
        <f t="shared" si="11"/>
        <v>15.84</v>
      </c>
      <c r="N69" s="14">
        <f t="shared" si="10"/>
        <v>0</v>
      </c>
      <c r="O69" s="11" t="s">
        <v>597</v>
      </c>
      <c r="P69" s="11" t="s">
        <v>597</v>
      </c>
      <c r="Q69" s="11"/>
      <c r="R69" s="11">
        <v>3</v>
      </c>
      <c r="S69" s="11" t="s">
        <v>597</v>
      </c>
      <c r="T69" s="16" t="s">
        <v>22</v>
      </c>
    </row>
    <row r="70" spans="1:20" x14ac:dyDescent="0.25">
      <c r="A70" s="10">
        <v>45697</v>
      </c>
      <c r="B70" s="11">
        <v>118707</v>
      </c>
      <c r="C70" s="11" t="s">
        <v>31</v>
      </c>
      <c r="D70" s="11" t="s">
        <v>610</v>
      </c>
      <c r="E70" s="11" t="s">
        <v>35</v>
      </c>
      <c r="F70" s="11" t="s">
        <v>35</v>
      </c>
      <c r="G70" s="12">
        <v>45</v>
      </c>
      <c r="H70" s="13">
        <v>176</v>
      </c>
      <c r="I70" s="14">
        <f t="shared" si="8"/>
        <v>7920</v>
      </c>
      <c r="J70" s="15">
        <v>0.01</v>
      </c>
      <c r="K70" s="15">
        <f>J70*0.25</f>
        <v>2.5000000000000001E-3</v>
      </c>
      <c r="L70" s="14" t="s">
        <v>26</v>
      </c>
      <c r="M70" s="14">
        <f t="shared" si="11"/>
        <v>79.2</v>
      </c>
      <c r="N70" s="14">
        <f t="shared" si="10"/>
        <v>19.8</v>
      </c>
      <c r="O70" s="11" t="s">
        <v>597</v>
      </c>
      <c r="P70" s="11" t="s">
        <v>597</v>
      </c>
      <c r="Q70" s="11"/>
      <c r="R70" s="11">
        <v>3</v>
      </c>
      <c r="S70" s="11" t="s">
        <v>597</v>
      </c>
      <c r="T70" s="16" t="s">
        <v>31</v>
      </c>
    </row>
    <row r="71" spans="1:20" x14ac:dyDescent="0.25">
      <c r="A71" s="10">
        <v>45697</v>
      </c>
      <c r="B71" s="11">
        <v>106541</v>
      </c>
      <c r="C71" s="11" t="s">
        <v>22</v>
      </c>
      <c r="D71" s="11" t="s">
        <v>65</v>
      </c>
      <c r="E71" s="11" t="s">
        <v>24</v>
      </c>
      <c r="F71" s="11" t="s">
        <v>554</v>
      </c>
      <c r="G71" s="12">
        <v>34.5</v>
      </c>
      <c r="H71" s="13">
        <v>140</v>
      </c>
      <c r="I71" s="14">
        <f t="shared" si="8"/>
        <v>4830</v>
      </c>
      <c r="J71" s="15">
        <v>3.5000000000000003E-2</v>
      </c>
      <c r="K71" s="15">
        <v>0</v>
      </c>
      <c r="L71" s="14" t="s">
        <v>26</v>
      </c>
      <c r="M71" s="14">
        <f t="shared" si="11"/>
        <v>169.05</v>
      </c>
      <c r="N71" s="14">
        <f t="shared" si="10"/>
        <v>0</v>
      </c>
      <c r="O71" s="11" t="s">
        <v>597</v>
      </c>
      <c r="P71" s="11" t="s">
        <v>597</v>
      </c>
      <c r="Q71" s="11"/>
      <c r="R71" s="11">
        <v>1</v>
      </c>
      <c r="S71" s="11" t="s">
        <v>597</v>
      </c>
      <c r="T71" s="16" t="s">
        <v>22</v>
      </c>
    </row>
    <row r="72" spans="1:20" x14ac:dyDescent="0.25">
      <c r="A72" s="10">
        <v>45697</v>
      </c>
      <c r="B72" s="11">
        <v>118955</v>
      </c>
      <c r="C72" s="11" t="s">
        <v>31</v>
      </c>
      <c r="D72" s="11" t="s">
        <v>614</v>
      </c>
      <c r="E72" s="11" t="s">
        <v>40</v>
      </c>
      <c r="F72" s="11" t="s">
        <v>41</v>
      </c>
      <c r="G72" s="12">
        <v>1</v>
      </c>
      <c r="H72" s="13">
        <v>8311.9699999999993</v>
      </c>
      <c r="I72" s="14">
        <f t="shared" si="8"/>
        <v>8311.9699999999993</v>
      </c>
      <c r="J72" s="15">
        <v>7.0000000000000007E-2</v>
      </c>
      <c r="K72" s="15">
        <f t="shared" ref="K72:K77" si="12">J72*0.25</f>
        <v>1.7500000000000002E-2</v>
      </c>
      <c r="L72" s="14" t="s">
        <v>26</v>
      </c>
      <c r="M72" s="14">
        <f t="shared" si="11"/>
        <v>581.83789999999999</v>
      </c>
      <c r="N72" s="14">
        <f t="shared" si="10"/>
        <v>145.459475</v>
      </c>
      <c r="O72" s="11" t="s">
        <v>27</v>
      </c>
      <c r="P72" s="11" t="s">
        <v>27</v>
      </c>
      <c r="Q72" s="11"/>
      <c r="R72" s="11">
        <v>6</v>
      </c>
      <c r="S72" s="11" t="s">
        <v>28</v>
      </c>
      <c r="T72" s="16" t="s">
        <v>31</v>
      </c>
    </row>
    <row r="73" spans="1:20" x14ac:dyDescent="0.25">
      <c r="A73" s="10">
        <v>45697</v>
      </c>
      <c r="B73" s="11">
        <v>118955</v>
      </c>
      <c r="C73" s="11" t="s">
        <v>31</v>
      </c>
      <c r="D73" s="11" t="s">
        <v>614</v>
      </c>
      <c r="E73" s="11" t="s">
        <v>47</v>
      </c>
      <c r="F73" s="11" t="s">
        <v>30</v>
      </c>
      <c r="G73" s="12">
        <v>1</v>
      </c>
      <c r="H73" s="13">
        <v>361.39</v>
      </c>
      <c r="I73" s="14">
        <f t="shared" si="8"/>
        <v>361.39</v>
      </c>
      <c r="J73" s="15">
        <v>1</v>
      </c>
      <c r="K73" s="15">
        <f t="shared" si="12"/>
        <v>0.25</v>
      </c>
      <c r="L73" s="14" t="s">
        <v>26</v>
      </c>
      <c r="M73" s="14">
        <f t="shared" si="11"/>
        <v>361.39</v>
      </c>
      <c r="N73" s="14">
        <f t="shared" si="10"/>
        <v>90.347499999999997</v>
      </c>
      <c r="O73" s="11" t="s">
        <v>597</v>
      </c>
      <c r="P73" s="11" t="s">
        <v>597</v>
      </c>
      <c r="Q73" s="11"/>
      <c r="R73" s="11">
        <v>1</v>
      </c>
      <c r="S73" s="11" t="s">
        <v>597</v>
      </c>
      <c r="T73" s="16" t="s">
        <v>31</v>
      </c>
    </row>
    <row r="74" spans="1:20" x14ac:dyDescent="0.25">
      <c r="A74" s="10">
        <v>45697</v>
      </c>
      <c r="B74" s="11">
        <v>106330</v>
      </c>
      <c r="C74" s="11" t="s">
        <v>31</v>
      </c>
      <c r="D74" s="11" t="s">
        <v>127</v>
      </c>
      <c r="E74" s="11" t="s">
        <v>35</v>
      </c>
      <c r="F74" s="11" t="s">
        <v>35</v>
      </c>
      <c r="G74" s="12">
        <v>80</v>
      </c>
      <c r="H74" s="13">
        <v>176</v>
      </c>
      <c r="I74" s="14">
        <f t="shared" si="8"/>
        <v>14080</v>
      </c>
      <c r="J74" s="15">
        <v>0.01</v>
      </c>
      <c r="K74" s="15">
        <f t="shared" si="12"/>
        <v>2.5000000000000001E-3</v>
      </c>
      <c r="L74" s="14" t="s">
        <v>26</v>
      </c>
      <c r="M74" s="14">
        <f t="shared" si="11"/>
        <v>140.80000000000001</v>
      </c>
      <c r="N74" s="14">
        <f t="shared" si="10"/>
        <v>35.200000000000003</v>
      </c>
      <c r="O74" s="11" t="s">
        <v>597</v>
      </c>
      <c r="P74" s="11" t="s">
        <v>597</v>
      </c>
      <c r="Q74" s="11"/>
      <c r="R74" s="11">
        <v>6</v>
      </c>
      <c r="S74" s="11" t="s">
        <v>597</v>
      </c>
      <c r="T74" s="16" t="s">
        <v>31</v>
      </c>
    </row>
    <row r="75" spans="1:20" x14ac:dyDescent="0.25">
      <c r="A75" s="10">
        <v>45697</v>
      </c>
      <c r="B75" s="11">
        <v>117002</v>
      </c>
      <c r="C75" s="11" t="s">
        <v>44</v>
      </c>
      <c r="D75" s="11" t="s">
        <v>592</v>
      </c>
      <c r="E75" s="11" t="s">
        <v>40</v>
      </c>
      <c r="F75" s="11" t="s">
        <v>41</v>
      </c>
      <c r="G75" s="12">
        <v>1</v>
      </c>
      <c r="H75" s="13">
        <v>1487.26</v>
      </c>
      <c r="I75" s="14">
        <f t="shared" si="8"/>
        <v>1487.26</v>
      </c>
      <c r="J75" s="15">
        <v>7.0000000000000007E-2</v>
      </c>
      <c r="K75" s="15">
        <f t="shared" si="12"/>
        <v>1.7500000000000002E-2</v>
      </c>
      <c r="L75" s="14" t="s">
        <v>46</v>
      </c>
      <c r="M75" s="14">
        <f t="shared" si="11"/>
        <v>104.10820000000001</v>
      </c>
      <c r="N75" s="14">
        <f t="shared" si="10"/>
        <v>26.027050000000003</v>
      </c>
      <c r="O75" s="11" t="s">
        <v>27</v>
      </c>
      <c r="P75" s="11" t="s">
        <v>27</v>
      </c>
      <c r="Q75" s="11"/>
      <c r="R75" s="11">
        <v>6</v>
      </c>
      <c r="S75" s="11" t="s">
        <v>28</v>
      </c>
      <c r="T75" s="16" t="s">
        <v>44</v>
      </c>
    </row>
    <row r="76" spans="1:20" x14ac:dyDescent="0.25">
      <c r="A76" s="10">
        <v>45698</v>
      </c>
      <c r="B76" s="11">
        <v>119051</v>
      </c>
      <c r="C76" s="11" t="s">
        <v>31</v>
      </c>
      <c r="D76" s="11" t="s">
        <v>615</v>
      </c>
      <c r="E76" s="11" t="s">
        <v>54</v>
      </c>
      <c r="F76" s="11" t="s">
        <v>554</v>
      </c>
      <c r="G76" s="12">
        <v>180</v>
      </c>
      <c r="H76" s="13">
        <v>180.2</v>
      </c>
      <c r="I76" s="14">
        <f t="shared" si="8"/>
        <v>32435.999999999996</v>
      </c>
      <c r="J76" s="15">
        <v>7.0000000000000007E-2</v>
      </c>
      <c r="K76" s="15">
        <f t="shared" si="12"/>
        <v>1.7500000000000002E-2</v>
      </c>
      <c r="L76" s="14" t="s">
        <v>26</v>
      </c>
      <c r="M76" s="14">
        <f t="shared" si="11"/>
        <v>2270.52</v>
      </c>
      <c r="N76" s="14">
        <f t="shared" si="10"/>
        <v>567.63</v>
      </c>
      <c r="O76" s="11" t="s">
        <v>27</v>
      </c>
      <c r="P76" s="11" t="s">
        <v>27</v>
      </c>
      <c r="Q76" s="11"/>
      <c r="R76" s="11">
        <v>12</v>
      </c>
      <c r="S76" s="11" t="s">
        <v>28</v>
      </c>
      <c r="T76" s="16" t="s">
        <v>31</v>
      </c>
    </row>
    <row r="77" spans="1:20" x14ac:dyDescent="0.25">
      <c r="A77" s="10">
        <v>45698</v>
      </c>
      <c r="B77" s="11">
        <v>119051</v>
      </c>
      <c r="C77" s="11" t="s">
        <v>31</v>
      </c>
      <c r="D77" s="11" t="s">
        <v>615</v>
      </c>
      <c r="E77" s="11" t="s">
        <v>54</v>
      </c>
      <c r="F77" s="11" t="s">
        <v>30</v>
      </c>
      <c r="G77" s="12">
        <v>4</v>
      </c>
      <c r="H77" s="13">
        <v>142.56</v>
      </c>
      <c r="I77" s="14">
        <f t="shared" si="8"/>
        <v>570.24</v>
      </c>
      <c r="J77" s="15">
        <v>1</v>
      </c>
      <c r="K77" s="15">
        <f t="shared" si="12"/>
        <v>0.25</v>
      </c>
      <c r="L77" s="14" t="s">
        <v>26</v>
      </c>
      <c r="M77" s="14">
        <f t="shared" si="11"/>
        <v>570.24</v>
      </c>
      <c r="N77" s="14">
        <f t="shared" si="10"/>
        <v>142.56</v>
      </c>
      <c r="O77" s="11" t="s">
        <v>27</v>
      </c>
      <c r="P77" s="11" t="s">
        <v>27</v>
      </c>
      <c r="Q77" s="11"/>
      <c r="R77" s="11">
        <v>1</v>
      </c>
      <c r="S77" s="11" t="s">
        <v>28</v>
      </c>
      <c r="T77" s="16" t="s">
        <v>31</v>
      </c>
    </row>
    <row r="78" spans="1:20" x14ac:dyDescent="0.25">
      <c r="A78" s="10">
        <v>45698</v>
      </c>
      <c r="B78" s="11">
        <v>119062</v>
      </c>
      <c r="C78" s="11" t="s">
        <v>22</v>
      </c>
      <c r="D78" s="11" t="s">
        <v>49</v>
      </c>
      <c r="E78" s="11" t="s">
        <v>586</v>
      </c>
      <c r="F78" s="11" t="s">
        <v>30</v>
      </c>
      <c r="G78" s="12">
        <v>1</v>
      </c>
      <c r="H78" s="13">
        <v>178.2</v>
      </c>
      <c r="I78" s="14">
        <f t="shared" si="8"/>
        <v>178.2</v>
      </c>
      <c r="J78" s="15">
        <v>1</v>
      </c>
      <c r="K78" s="15">
        <v>0</v>
      </c>
      <c r="L78" s="14" t="s">
        <v>26</v>
      </c>
      <c r="M78" s="14">
        <f t="shared" si="11"/>
        <v>178.2</v>
      </c>
      <c r="N78" s="14">
        <f t="shared" si="10"/>
        <v>0</v>
      </c>
      <c r="O78" s="11" t="s">
        <v>27</v>
      </c>
      <c r="P78" s="11" t="s">
        <v>27</v>
      </c>
      <c r="Q78" s="11"/>
      <c r="R78" s="11">
        <v>1</v>
      </c>
      <c r="S78" s="11" t="s">
        <v>28</v>
      </c>
      <c r="T78" s="16" t="s">
        <v>22</v>
      </c>
    </row>
    <row r="79" spans="1:20" x14ac:dyDescent="0.25">
      <c r="A79" s="10">
        <v>45698</v>
      </c>
      <c r="B79" s="11">
        <v>119062</v>
      </c>
      <c r="C79" s="11" t="s">
        <v>22</v>
      </c>
      <c r="D79" s="11" t="s">
        <v>49</v>
      </c>
      <c r="E79" s="11" t="s">
        <v>102</v>
      </c>
      <c r="F79" s="11" t="s">
        <v>30</v>
      </c>
      <c r="G79" s="12">
        <v>1</v>
      </c>
      <c r="H79" s="13">
        <v>128</v>
      </c>
      <c r="I79" s="14">
        <f t="shared" si="8"/>
        <v>128</v>
      </c>
      <c r="J79" s="15">
        <v>1</v>
      </c>
      <c r="K79" s="15">
        <v>0</v>
      </c>
      <c r="L79" s="14" t="s">
        <v>26</v>
      </c>
      <c r="M79" s="14">
        <f t="shared" si="11"/>
        <v>128</v>
      </c>
      <c r="N79" s="14">
        <f t="shared" si="10"/>
        <v>0</v>
      </c>
      <c r="O79" s="11" t="s">
        <v>597</v>
      </c>
      <c r="P79" s="11" t="s">
        <v>597</v>
      </c>
      <c r="Q79" s="11"/>
      <c r="R79" s="11">
        <v>1</v>
      </c>
      <c r="S79" s="11" t="s">
        <v>28</v>
      </c>
      <c r="T79" s="16" t="s">
        <v>22</v>
      </c>
    </row>
    <row r="80" spans="1:20" x14ac:dyDescent="0.25">
      <c r="A80" s="10">
        <v>45698</v>
      </c>
      <c r="B80" s="11">
        <v>119060</v>
      </c>
      <c r="C80" s="11" t="s">
        <v>22</v>
      </c>
      <c r="D80" s="11" t="s">
        <v>49</v>
      </c>
      <c r="E80" s="11" t="s">
        <v>63</v>
      </c>
      <c r="F80" s="11" t="s">
        <v>554</v>
      </c>
      <c r="G80" s="12">
        <v>1</v>
      </c>
      <c r="H80" s="13">
        <v>12690</v>
      </c>
      <c r="I80" s="14">
        <f t="shared" si="8"/>
        <v>12690</v>
      </c>
      <c r="J80" s="15">
        <v>7.0000000000000007E-2</v>
      </c>
      <c r="K80" s="15">
        <v>0</v>
      </c>
      <c r="L80" s="14" t="s">
        <v>26</v>
      </c>
      <c r="M80" s="14">
        <f t="shared" si="11"/>
        <v>888.30000000000007</v>
      </c>
      <c r="N80" s="14">
        <f t="shared" si="10"/>
        <v>0</v>
      </c>
      <c r="O80" s="11" t="s">
        <v>27</v>
      </c>
      <c r="P80" s="11" t="s">
        <v>27</v>
      </c>
      <c r="Q80" s="11"/>
      <c r="R80" s="11">
        <v>6</v>
      </c>
      <c r="S80" s="11" t="s">
        <v>28</v>
      </c>
      <c r="T80" s="16" t="s">
        <v>22</v>
      </c>
    </row>
    <row r="81" spans="1:20" x14ac:dyDescent="0.25">
      <c r="A81" s="10">
        <v>45698</v>
      </c>
      <c r="B81" s="11">
        <v>119060</v>
      </c>
      <c r="C81" s="11" t="s">
        <v>22</v>
      </c>
      <c r="D81" s="11" t="s">
        <v>49</v>
      </c>
      <c r="E81" s="11" t="s">
        <v>63</v>
      </c>
      <c r="F81" s="11" t="s">
        <v>30</v>
      </c>
      <c r="G81" s="12">
        <v>15</v>
      </c>
      <c r="H81" s="13">
        <v>82</v>
      </c>
      <c r="I81" s="14">
        <f t="shared" ref="I81:I96" si="13">G81*H81</f>
        <v>1230</v>
      </c>
      <c r="J81" s="15">
        <v>1</v>
      </c>
      <c r="K81" s="15">
        <v>0</v>
      </c>
      <c r="L81" s="14" t="s">
        <v>26</v>
      </c>
      <c r="M81" s="14">
        <f t="shared" si="11"/>
        <v>1230</v>
      </c>
      <c r="N81" s="14">
        <f t="shared" si="10"/>
        <v>0</v>
      </c>
      <c r="O81" s="11" t="s">
        <v>27</v>
      </c>
      <c r="P81" s="11" t="s">
        <v>27</v>
      </c>
      <c r="Q81" s="11"/>
      <c r="R81" s="11">
        <v>1</v>
      </c>
      <c r="S81" s="11" t="s">
        <v>28</v>
      </c>
      <c r="T81" s="16" t="s">
        <v>22</v>
      </c>
    </row>
    <row r="82" spans="1:20" x14ac:dyDescent="0.25">
      <c r="A82" s="10">
        <v>45698</v>
      </c>
      <c r="B82" s="11">
        <v>119103</v>
      </c>
      <c r="C82" s="11" t="s">
        <v>22</v>
      </c>
      <c r="D82" s="11" t="s">
        <v>110</v>
      </c>
      <c r="E82" s="11" t="s">
        <v>47</v>
      </c>
      <c r="F82" s="11" t="s">
        <v>30</v>
      </c>
      <c r="G82" s="12">
        <v>2</v>
      </c>
      <c r="H82" s="13">
        <v>275.62</v>
      </c>
      <c r="I82" s="14">
        <f t="shared" si="13"/>
        <v>551.24</v>
      </c>
      <c r="J82" s="15">
        <v>1</v>
      </c>
      <c r="K82" s="15">
        <v>0</v>
      </c>
      <c r="L82" s="14" t="s">
        <v>26</v>
      </c>
      <c r="M82" s="14">
        <f t="shared" si="11"/>
        <v>551.24</v>
      </c>
      <c r="N82" s="14">
        <f t="shared" si="10"/>
        <v>0</v>
      </c>
      <c r="O82" s="11" t="s">
        <v>597</v>
      </c>
      <c r="P82" s="11" t="s">
        <v>597</v>
      </c>
      <c r="Q82" s="11"/>
      <c r="R82" s="11">
        <v>1</v>
      </c>
      <c r="S82" s="11" t="s">
        <v>28</v>
      </c>
      <c r="T82" s="16" t="s">
        <v>22</v>
      </c>
    </row>
    <row r="83" spans="1:20" x14ac:dyDescent="0.25">
      <c r="A83" s="10">
        <v>45702</v>
      </c>
      <c r="B83" s="11">
        <v>119286</v>
      </c>
      <c r="C83" s="11" t="s">
        <v>31</v>
      </c>
      <c r="D83" s="11" t="s">
        <v>136</v>
      </c>
      <c r="E83" s="11" t="s">
        <v>24</v>
      </c>
      <c r="F83" s="11" t="s">
        <v>554</v>
      </c>
      <c r="G83" s="12">
        <v>8</v>
      </c>
      <c r="H83" s="13">
        <v>180.2</v>
      </c>
      <c r="I83" s="14">
        <f t="shared" si="13"/>
        <v>1441.6</v>
      </c>
      <c r="J83" s="15">
        <v>7.0000000000000007E-2</v>
      </c>
      <c r="K83" s="15">
        <f t="shared" ref="K83:K96" si="14">J83*0.25</f>
        <v>1.7500000000000002E-2</v>
      </c>
      <c r="L83" s="14" t="s">
        <v>26</v>
      </c>
      <c r="M83" s="14">
        <f t="shared" si="11"/>
        <v>100.91200000000001</v>
      </c>
      <c r="N83" s="14">
        <f t="shared" si="10"/>
        <v>25.228000000000002</v>
      </c>
      <c r="O83" s="11" t="s">
        <v>597</v>
      </c>
      <c r="P83" s="11" t="s">
        <v>597</v>
      </c>
      <c r="Q83" s="11"/>
      <c r="R83" s="11">
        <v>4</v>
      </c>
      <c r="S83" s="11" t="s">
        <v>597</v>
      </c>
      <c r="T83" s="16" t="s">
        <v>31</v>
      </c>
    </row>
    <row r="84" spans="1:20" x14ac:dyDescent="0.25">
      <c r="A84" s="10">
        <v>45702</v>
      </c>
      <c r="B84" s="11">
        <v>117329</v>
      </c>
      <c r="C84" s="11" t="s">
        <v>31</v>
      </c>
      <c r="D84" s="11" t="s">
        <v>600</v>
      </c>
      <c r="E84" s="11" t="s">
        <v>24</v>
      </c>
      <c r="F84" s="11" t="s">
        <v>554</v>
      </c>
      <c r="G84" s="12">
        <v>4</v>
      </c>
      <c r="H84" s="13">
        <v>210</v>
      </c>
      <c r="I84" s="14">
        <f t="shared" si="13"/>
        <v>840</v>
      </c>
      <c r="J84" s="15">
        <v>7.0000000000000007E-2</v>
      </c>
      <c r="K84" s="15">
        <f t="shared" si="14"/>
        <v>1.7500000000000002E-2</v>
      </c>
      <c r="L84" s="14" t="s">
        <v>26</v>
      </c>
      <c r="M84" s="14">
        <f t="shared" si="11"/>
        <v>58.800000000000004</v>
      </c>
      <c r="N84" s="14">
        <f t="shared" si="10"/>
        <v>14.700000000000001</v>
      </c>
      <c r="O84" s="11" t="s">
        <v>597</v>
      </c>
      <c r="P84" s="11" t="s">
        <v>597</v>
      </c>
      <c r="Q84" s="11"/>
      <c r="R84" s="11">
        <v>1</v>
      </c>
      <c r="S84" s="11" t="s">
        <v>597</v>
      </c>
      <c r="T84" s="16" t="s">
        <v>31</v>
      </c>
    </row>
    <row r="85" spans="1:20" x14ac:dyDescent="0.25">
      <c r="A85" s="10">
        <v>45707</v>
      </c>
      <c r="B85" s="11">
        <v>102818</v>
      </c>
      <c r="C85" s="11" t="s">
        <v>31</v>
      </c>
      <c r="D85" s="11" t="s">
        <v>92</v>
      </c>
      <c r="E85" s="11" t="s">
        <v>24</v>
      </c>
      <c r="F85" s="11" t="s">
        <v>554</v>
      </c>
      <c r="G85" s="12">
        <v>21</v>
      </c>
      <c r="H85" s="13">
        <v>180</v>
      </c>
      <c r="I85" s="14">
        <f t="shared" si="13"/>
        <v>3780</v>
      </c>
      <c r="J85" s="15">
        <v>7.0000000000000007E-2</v>
      </c>
      <c r="K85" s="15">
        <f t="shared" si="14"/>
        <v>1.7500000000000002E-2</v>
      </c>
      <c r="L85" s="14" t="s">
        <v>26</v>
      </c>
      <c r="M85" s="14">
        <f t="shared" si="11"/>
        <v>264.60000000000002</v>
      </c>
      <c r="N85" s="14">
        <f t="shared" si="10"/>
        <v>66.150000000000006</v>
      </c>
      <c r="O85" s="11" t="s">
        <v>597</v>
      </c>
      <c r="P85" s="11" t="s">
        <v>597</v>
      </c>
      <c r="Q85" s="11"/>
      <c r="R85" s="11">
        <v>6</v>
      </c>
      <c r="S85" s="11" t="s">
        <v>597</v>
      </c>
      <c r="T85" s="16" t="s">
        <v>31</v>
      </c>
    </row>
    <row r="86" spans="1:20" x14ac:dyDescent="0.25">
      <c r="A86" s="10">
        <v>45707</v>
      </c>
      <c r="B86" s="11" t="s">
        <v>616</v>
      </c>
      <c r="C86" s="11" t="s">
        <v>31</v>
      </c>
      <c r="D86" s="11" t="s">
        <v>617</v>
      </c>
      <c r="E86" s="11" t="s">
        <v>35</v>
      </c>
      <c r="F86" s="11" t="s">
        <v>35</v>
      </c>
      <c r="G86" s="12">
        <v>9</v>
      </c>
      <c r="H86" s="13">
        <v>176</v>
      </c>
      <c r="I86" s="14">
        <f t="shared" si="13"/>
        <v>1584</v>
      </c>
      <c r="J86" s="15">
        <v>0.01</v>
      </c>
      <c r="K86" s="15">
        <f t="shared" si="14"/>
        <v>2.5000000000000001E-3</v>
      </c>
      <c r="L86" s="14" t="s">
        <v>26</v>
      </c>
      <c r="M86" s="14">
        <f t="shared" si="11"/>
        <v>15.84</v>
      </c>
      <c r="N86" s="14">
        <f t="shared" si="10"/>
        <v>3.96</v>
      </c>
      <c r="O86" s="11" t="s">
        <v>597</v>
      </c>
      <c r="P86" s="11" t="s">
        <v>597</v>
      </c>
      <c r="Q86" s="11"/>
      <c r="R86" s="11">
        <v>3</v>
      </c>
      <c r="S86" s="11" t="s">
        <v>597</v>
      </c>
      <c r="T86" s="16" t="s">
        <v>31</v>
      </c>
    </row>
    <row r="87" spans="1:20" x14ac:dyDescent="0.25">
      <c r="A87" s="10">
        <v>45712</v>
      </c>
      <c r="B87" s="11">
        <v>119562</v>
      </c>
      <c r="C87" s="11" t="s">
        <v>44</v>
      </c>
      <c r="D87" s="11" t="s">
        <v>618</v>
      </c>
      <c r="E87" s="11" t="s">
        <v>47</v>
      </c>
      <c r="F87" s="11" t="s">
        <v>554</v>
      </c>
      <c r="G87" s="12">
        <v>308</v>
      </c>
      <c r="H87" s="13">
        <v>153.9</v>
      </c>
      <c r="I87" s="14">
        <f t="shared" si="13"/>
        <v>47401.200000000004</v>
      </c>
      <c r="J87" s="15">
        <v>0.05</v>
      </c>
      <c r="K87" s="15">
        <f t="shared" si="14"/>
        <v>1.2500000000000001E-2</v>
      </c>
      <c r="L87" s="14" t="s">
        <v>46</v>
      </c>
      <c r="M87" s="14">
        <f t="shared" si="11"/>
        <v>2370.0600000000004</v>
      </c>
      <c r="N87" s="14">
        <f t="shared" si="10"/>
        <v>592.5150000000001</v>
      </c>
      <c r="O87" s="11" t="s">
        <v>27</v>
      </c>
      <c r="P87" s="11" t="s">
        <v>27</v>
      </c>
      <c r="Q87" s="11"/>
      <c r="R87" s="11">
        <v>8</v>
      </c>
      <c r="S87" s="11" t="s">
        <v>28</v>
      </c>
      <c r="T87" s="16" t="s">
        <v>44</v>
      </c>
    </row>
    <row r="88" spans="1:20" x14ac:dyDescent="0.25">
      <c r="A88" s="10">
        <v>45712</v>
      </c>
      <c r="B88" s="11">
        <v>119562</v>
      </c>
      <c r="C88" s="11" t="s">
        <v>44</v>
      </c>
      <c r="D88" s="11" t="s">
        <v>618</v>
      </c>
      <c r="E88" s="11" t="s">
        <v>47</v>
      </c>
      <c r="F88" s="11" t="s">
        <v>30</v>
      </c>
      <c r="G88" s="12">
        <v>8</v>
      </c>
      <c r="H88" s="13">
        <v>216</v>
      </c>
      <c r="I88" s="14">
        <f t="shared" si="13"/>
        <v>1728</v>
      </c>
      <c r="J88" s="15">
        <v>1</v>
      </c>
      <c r="K88" s="15">
        <f t="shared" si="14"/>
        <v>0.25</v>
      </c>
      <c r="L88" s="14" t="s">
        <v>46</v>
      </c>
      <c r="M88" s="14">
        <f t="shared" si="11"/>
        <v>1728</v>
      </c>
      <c r="N88" s="14">
        <f t="shared" si="10"/>
        <v>432</v>
      </c>
      <c r="O88" s="11" t="s">
        <v>27</v>
      </c>
      <c r="P88" s="11" t="s">
        <v>27</v>
      </c>
      <c r="Q88" s="11"/>
      <c r="R88" s="11">
        <v>1</v>
      </c>
      <c r="S88" s="11" t="s">
        <v>28</v>
      </c>
      <c r="T88" s="16" t="s">
        <v>44</v>
      </c>
    </row>
    <row r="89" spans="1:20" x14ac:dyDescent="0.25">
      <c r="A89" s="10">
        <v>45712</v>
      </c>
      <c r="B89" s="11">
        <v>119562</v>
      </c>
      <c r="C89" s="11" t="s">
        <v>44</v>
      </c>
      <c r="D89" s="11" t="s">
        <v>618</v>
      </c>
      <c r="E89" s="11" t="s">
        <v>54</v>
      </c>
      <c r="F89" s="11" t="s">
        <v>30</v>
      </c>
      <c r="G89" s="12">
        <v>4</v>
      </c>
      <c r="H89" s="13">
        <v>160</v>
      </c>
      <c r="I89" s="14">
        <f t="shared" si="13"/>
        <v>640</v>
      </c>
      <c r="J89" s="15">
        <v>1</v>
      </c>
      <c r="K89" s="15">
        <f t="shared" si="14"/>
        <v>0.25</v>
      </c>
      <c r="L89" s="14" t="s">
        <v>46</v>
      </c>
      <c r="M89" s="14">
        <f t="shared" si="11"/>
        <v>640</v>
      </c>
      <c r="N89" s="14">
        <f t="shared" si="10"/>
        <v>160</v>
      </c>
      <c r="O89" s="11" t="s">
        <v>27</v>
      </c>
      <c r="P89" s="11" t="s">
        <v>27</v>
      </c>
      <c r="Q89" s="11"/>
      <c r="R89" s="11">
        <v>1</v>
      </c>
      <c r="S89" s="11" t="s">
        <v>28</v>
      </c>
      <c r="T89" s="16" t="s">
        <v>44</v>
      </c>
    </row>
    <row r="90" spans="1:20" x14ac:dyDescent="0.25">
      <c r="A90" s="10">
        <v>45712</v>
      </c>
      <c r="B90" s="11">
        <v>119562</v>
      </c>
      <c r="C90" s="11" t="s">
        <v>44</v>
      </c>
      <c r="D90" s="11" t="s">
        <v>618</v>
      </c>
      <c r="E90" s="11" t="s">
        <v>89</v>
      </c>
      <c r="F90" s="11" t="s">
        <v>30</v>
      </c>
      <c r="G90" s="12">
        <v>1</v>
      </c>
      <c r="H90" s="13">
        <v>320.76</v>
      </c>
      <c r="I90" s="14">
        <f t="shared" si="13"/>
        <v>320.76</v>
      </c>
      <c r="J90" s="15">
        <v>1</v>
      </c>
      <c r="K90" s="15">
        <f t="shared" si="14"/>
        <v>0.25</v>
      </c>
      <c r="L90" s="14" t="s">
        <v>46</v>
      </c>
      <c r="M90" s="14">
        <f t="shared" si="11"/>
        <v>320.76</v>
      </c>
      <c r="N90" s="14">
        <f t="shared" si="10"/>
        <v>80.19</v>
      </c>
      <c r="O90" s="11" t="s">
        <v>27</v>
      </c>
      <c r="P90" s="11" t="s">
        <v>27</v>
      </c>
      <c r="Q90" s="11"/>
      <c r="R90" s="11">
        <v>1</v>
      </c>
      <c r="S90" s="11" t="s">
        <v>28</v>
      </c>
      <c r="T90" s="16" t="s">
        <v>44</v>
      </c>
    </row>
    <row r="91" spans="1:20" x14ac:dyDescent="0.25">
      <c r="A91" s="10">
        <v>45712</v>
      </c>
      <c r="B91" s="11">
        <v>119562</v>
      </c>
      <c r="C91" s="11" t="s">
        <v>44</v>
      </c>
      <c r="D91" s="11" t="s">
        <v>618</v>
      </c>
      <c r="E91" s="11" t="s">
        <v>63</v>
      </c>
      <c r="F91" s="11" t="s">
        <v>554</v>
      </c>
      <c r="G91" s="12">
        <v>46</v>
      </c>
      <c r="H91" s="13">
        <v>153.9</v>
      </c>
      <c r="I91" s="14">
        <f t="shared" si="13"/>
        <v>7079.4000000000005</v>
      </c>
      <c r="J91" s="15">
        <v>0.05</v>
      </c>
      <c r="K91" s="15">
        <f t="shared" si="14"/>
        <v>1.2500000000000001E-2</v>
      </c>
      <c r="L91" s="14" t="s">
        <v>46</v>
      </c>
      <c r="M91" s="14">
        <f t="shared" si="11"/>
        <v>353.97</v>
      </c>
      <c r="N91" s="14">
        <f t="shared" si="10"/>
        <v>88.492500000000007</v>
      </c>
      <c r="O91" s="11" t="s">
        <v>27</v>
      </c>
      <c r="P91" s="11" t="s">
        <v>27</v>
      </c>
      <c r="Q91" s="11"/>
      <c r="R91" s="11">
        <v>8</v>
      </c>
      <c r="S91" s="11" t="s">
        <v>28</v>
      </c>
      <c r="T91" s="16" t="s">
        <v>44</v>
      </c>
    </row>
    <row r="92" spans="1:20" x14ac:dyDescent="0.25">
      <c r="A92" s="10">
        <v>45712</v>
      </c>
      <c r="B92" s="11">
        <v>119562</v>
      </c>
      <c r="C92" s="11" t="s">
        <v>44</v>
      </c>
      <c r="D92" s="11" t="s">
        <v>618</v>
      </c>
      <c r="E92" s="11" t="s">
        <v>63</v>
      </c>
      <c r="F92" s="11" t="s">
        <v>30</v>
      </c>
      <c r="G92" s="12">
        <v>35</v>
      </c>
      <c r="H92" s="13">
        <v>80.75</v>
      </c>
      <c r="I92" s="14">
        <f t="shared" si="13"/>
        <v>2826.25</v>
      </c>
      <c r="J92" s="15">
        <v>1</v>
      </c>
      <c r="K92" s="15">
        <f t="shared" si="14"/>
        <v>0.25</v>
      </c>
      <c r="L92" s="14" t="s">
        <v>46</v>
      </c>
      <c r="M92" s="14">
        <f t="shared" si="11"/>
        <v>2826.25</v>
      </c>
      <c r="N92" s="14">
        <f t="shared" si="10"/>
        <v>706.5625</v>
      </c>
      <c r="O92" s="11" t="s">
        <v>27</v>
      </c>
      <c r="P92" s="11" t="s">
        <v>27</v>
      </c>
      <c r="Q92" s="11"/>
      <c r="R92" s="11">
        <v>1</v>
      </c>
      <c r="S92" s="11" t="s">
        <v>28</v>
      </c>
      <c r="T92" s="16" t="s">
        <v>44</v>
      </c>
    </row>
    <row r="93" spans="1:20" x14ac:dyDescent="0.25">
      <c r="A93" s="10">
        <v>45712</v>
      </c>
      <c r="B93" s="11">
        <v>119404</v>
      </c>
      <c r="C93" s="11" t="s">
        <v>31</v>
      </c>
      <c r="D93" s="11" t="s">
        <v>609</v>
      </c>
      <c r="E93" s="11" t="s">
        <v>40</v>
      </c>
      <c r="F93" s="11" t="s">
        <v>41</v>
      </c>
      <c r="G93" s="12">
        <v>1</v>
      </c>
      <c r="H93" s="13">
        <v>1351.65</v>
      </c>
      <c r="I93" s="14">
        <f t="shared" si="13"/>
        <v>1351.65</v>
      </c>
      <c r="J93" s="15">
        <v>7.0000000000000007E-2</v>
      </c>
      <c r="K93" s="15">
        <f t="shared" si="14"/>
        <v>1.7500000000000002E-2</v>
      </c>
      <c r="L93" s="14" t="s">
        <v>26</v>
      </c>
      <c r="M93" s="14">
        <f t="shared" si="11"/>
        <v>94.615500000000011</v>
      </c>
      <c r="N93" s="14">
        <f t="shared" ref="N93:N113" si="15">I93*K93</f>
        <v>23.653875000000003</v>
      </c>
      <c r="O93" s="11" t="s">
        <v>27</v>
      </c>
      <c r="P93" s="11" t="s">
        <v>27</v>
      </c>
      <c r="Q93" s="11"/>
      <c r="R93" s="11">
        <v>4</v>
      </c>
      <c r="S93" s="11" t="s">
        <v>28</v>
      </c>
      <c r="T93" s="16" t="s">
        <v>31</v>
      </c>
    </row>
    <row r="94" spans="1:20" x14ac:dyDescent="0.25">
      <c r="A94" s="10">
        <v>45712</v>
      </c>
      <c r="B94" s="11">
        <v>119373</v>
      </c>
      <c r="C94" s="11" t="s">
        <v>31</v>
      </c>
      <c r="D94" s="11" t="s">
        <v>619</v>
      </c>
      <c r="E94" s="11" t="s">
        <v>35</v>
      </c>
      <c r="F94" s="11" t="s">
        <v>35</v>
      </c>
      <c r="G94" s="12">
        <v>2</v>
      </c>
      <c r="H94" s="13">
        <v>176</v>
      </c>
      <c r="I94" s="14">
        <f t="shared" si="13"/>
        <v>352</v>
      </c>
      <c r="J94" s="15">
        <v>0.01</v>
      </c>
      <c r="K94" s="15">
        <f t="shared" si="14"/>
        <v>2.5000000000000001E-3</v>
      </c>
      <c r="L94" s="14" t="s">
        <v>26</v>
      </c>
      <c r="M94" s="14">
        <f t="shared" si="11"/>
        <v>3.52</v>
      </c>
      <c r="N94" s="14">
        <f t="shared" si="15"/>
        <v>0.88</v>
      </c>
      <c r="O94" s="11" t="s">
        <v>597</v>
      </c>
      <c r="P94" s="11" t="s">
        <v>597</v>
      </c>
      <c r="Q94" s="11"/>
      <c r="R94" s="11">
        <v>1</v>
      </c>
      <c r="S94" s="11" t="s">
        <v>597</v>
      </c>
      <c r="T94" s="16" t="s">
        <v>31</v>
      </c>
    </row>
    <row r="95" spans="1:20" x14ac:dyDescent="0.25">
      <c r="A95" s="10">
        <v>45713</v>
      </c>
      <c r="B95" s="11">
        <v>110971</v>
      </c>
      <c r="C95" s="11" t="s">
        <v>44</v>
      </c>
      <c r="D95" s="11" t="s">
        <v>593</v>
      </c>
      <c r="E95" s="11" t="s">
        <v>566</v>
      </c>
      <c r="F95" s="11" t="s">
        <v>30</v>
      </c>
      <c r="G95" s="12">
        <v>1</v>
      </c>
      <c r="H95" s="13">
        <v>320.76</v>
      </c>
      <c r="I95" s="14">
        <f t="shared" si="13"/>
        <v>320.76</v>
      </c>
      <c r="J95" s="15">
        <v>1</v>
      </c>
      <c r="K95" s="15">
        <f t="shared" si="14"/>
        <v>0.25</v>
      </c>
      <c r="L95" s="14" t="s">
        <v>26</v>
      </c>
      <c r="M95" s="14">
        <f t="shared" si="11"/>
        <v>320.76</v>
      </c>
      <c r="N95" s="14">
        <f t="shared" si="15"/>
        <v>80.19</v>
      </c>
      <c r="O95" s="11" t="s">
        <v>27</v>
      </c>
      <c r="P95" s="11" t="s">
        <v>27</v>
      </c>
      <c r="Q95" s="11"/>
      <c r="R95" s="11">
        <v>1</v>
      </c>
      <c r="S95" s="11" t="s">
        <v>28</v>
      </c>
      <c r="T95" s="16" t="s">
        <v>44</v>
      </c>
    </row>
    <row r="96" spans="1:20" x14ac:dyDescent="0.25">
      <c r="A96" s="10">
        <v>45713</v>
      </c>
      <c r="B96" s="11">
        <v>110971</v>
      </c>
      <c r="C96" s="11" t="s">
        <v>44</v>
      </c>
      <c r="D96" s="11" t="s">
        <v>593</v>
      </c>
      <c r="E96" s="11" t="s">
        <v>89</v>
      </c>
      <c r="F96" s="11" t="s">
        <v>30</v>
      </c>
      <c r="G96" s="12">
        <v>1</v>
      </c>
      <c r="H96" s="13">
        <v>178.2</v>
      </c>
      <c r="I96" s="14">
        <f t="shared" si="13"/>
        <v>178.2</v>
      </c>
      <c r="J96" s="15">
        <v>1</v>
      </c>
      <c r="K96" s="15">
        <f t="shared" si="14"/>
        <v>0.25</v>
      </c>
      <c r="L96" s="14" t="s">
        <v>26</v>
      </c>
      <c r="M96" s="14">
        <f t="shared" si="11"/>
        <v>178.2</v>
      </c>
      <c r="N96" s="14">
        <f t="shared" si="15"/>
        <v>44.55</v>
      </c>
      <c r="O96" s="11" t="s">
        <v>27</v>
      </c>
      <c r="P96" s="11" t="s">
        <v>27</v>
      </c>
      <c r="Q96" s="11"/>
      <c r="R96" s="11">
        <v>1</v>
      </c>
      <c r="S96" s="11" t="s">
        <v>28</v>
      </c>
      <c r="T96" s="16" t="s">
        <v>44</v>
      </c>
    </row>
    <row r="97" spans="1:20" x14ac:dyDescent="0.25">
      <c r="A97" s="10">
        <v>45713</v>
      </c>
      <c r="B97" s="11">
        <v>110971</v>
      </c>
      <c r="C97" s="11" t="s">
        <v>44</v>
      </c>
      <c r="D97" s="11" t="s">
        <v>593</v>
      </c>
      <c r="E97" s="11" t="s">
        <v>345</v>
      </c>
      <c r="F97" s="11" t="s">
        <v>41</v>
      </c>
      <c r="G97" s="12">
        <v>1</v>
      </c>
      <c r="H97" s="13">
        <v>0</v>
      </c>
      <c r="I97" s="14">
        <v>0</v>
      </c>
      <c r="J97" s="15">
        <v>0</v>
      </c>
      <c r="K97" s="17">
        <v>0</v>
      </c>
      <c r="L97" s="14" t="s">
        <v>26</v>
      </c>
      <c r="M97" s="14">
        <v>0</v>
      </c>
      <c r="N97" s="14">
        <f t="shared" si="15"/>
        <v>0</v>
      </c>
      <c r="O97" s="11" t="s">
        <v>27</v>
      </c>
      <c r="P97" s="11" t="s">
        <v>27</v>
      </c>
      <c r="Q97" s="11"/>
      <c r="R97" s="11">
        <v>0</v>
      </c>
      <c r="S97" s="11" t="s">
        <v>28</v>
      </c>
      <c r="T97" s="16" t="s">
        <v>44</v>
      </c>
    </row>
    <row r="98" spans="1:20" x14ac:dyDescent="0.25">
      <c r="A98" s="10">
        <v>45713</v>
      </c>
      <c r="B98" s="11">
        <v>115075</v>
      </c>
      <c r="C98" s="11" t="s">
        <v>31</v>
      </c>
      <c r="D98" s="11" t="s">
        <v>620</v>
      </c>
      <c r="E98" s="11" t="s">
        <v>35</v>
      </c>
      <c r="F98" s="11" t="s">
        <v>35</v>
      </c>
      <c r="G98" s="12">
        <v>2</v>
      </c>
      <c r="H98" s="13">
        <v>176</v>
      </c>
      <c r="I98" s="14">
        <f t="shared" ref="I98:I112" si="16">G98*H98</f>
        <v>352</v>
      </c>
      <c r="J98" s="15">
        <v>0.01</v>
      </c>
      <c r="K98" s="15">
        <f t="shared" ref="K98:K116" si="17">J98*0.25</f>
        <v>2.5000000000000001E-3</v>
      </c>
      <c r="L98" s="14" t="s">
        <v>26</v>
      </c>
      <c r="M98" s="14">
        <f t="shared" ref="M98:M129" si="18">J98*I98</f>
        <v>3.52</v>
      </c>
      <c r="N98" s="14">
        <f t="shared" si="15"/>
        <v>0.88</v>
      </c>
      <c r="O98" s="11" t="s">
        <v>597</v>
      </c>
      <c r="P98" s="11" t="s">
        <v>597</v>
      </c>
      <c r="Q98" s="11"/>
      <c r="R98" s="11">
        <v>1</v>
      </c>
      <c r="S98" s="11" t="s">
        <v>597</v>
      </c>
      <c r="T98" s="16" t="s">
        <v>31</v>
      </c>
    </row>
    <row r="99" spans="1:20" x14ac:dyDescent="0.25">
      <c r="A99" s="10">
        <v>45713</v>
      </c>
      <c r="B99" s="11">
        <v>119626</v>
      </c>
      <c r="C99" s="11" t="s">
        <v>31</v>
      </c>
      <c r="D99" s="11" t="s">
        <v>614</v>
      </c>
      <c r="E99" s="11" t="s">
        <v>24</v>
      </c>
      <c r="F99" s="11" t="s">
        <v>554</v>
      </c>
      <c r="G99" s="12">
        <v>16</v>
      </c>
      <c r="H99" s="13">
        <v>210</v>
      </c>
      <c r="I99" s="14">
        <f t="shared" si="16"/>
        <v>3360</v>
      </c>
      <c r="J99" s="15">
        <v>7.0000000000000007E-2</v>
      </c>
      <c r="K99" s="15">
        <f t="shared" si="17"/>
        <v>1.7500000000000002E-2</v>
      </c>
      <c r="L99" s="14" t="s">
        <v>26</v>
      </c>
      <c r="M99" s="14">
        <f t="shared" si="18"/>
        <v>235.20000000000002</v>
      </c>
      <c r="N99" s="14">
        <f t="shared" si="15"/>
        <v>58.800000000000004</v>
      </c>
      <c r="O99" s="11" t="s">
        <v>597</v>
      </c>
      <c r="P99" s="11" t="s">
        <v>597</v>
      </c>
      <c r="Q99" s="11"/>
      <c r="R99" s="11">
        <v>6</v>
      </c>
      <c r="S99" s="11" t="s">
        <v>597</v>
      </c>
      <c r="T99" s="16" t="s">
        <v>31</v>
      </c>
    </row>
    <row r="100" spans="1:20" x14ac:dyDescent="0.25">
      <c r="A100" s="10">
        <v>45713</v>
      </c>
      <c r="B100" s="11">
        <v>117616</v>
      </c>
      <c r="C100" s="11" t="s">
        <v>31</v>
      </c>
      <c r="D100" s="11" t="s">
        <v>614</v>
      </c>
      <c r="E100" s="11" t="s">
        <v>35</v>
      </c>
      <c r="F100" s="11" t="s">
        <v>35</v>
      </c>
      <c r="G100" s="12">
        <v>4</v>
      </c>
      <c r="H100" s="13">
        <v>176</v>
      </c>
      <c r="I100" s="14">
        <f t="shared" si="16"/>
        <v>704</v>
      </c>
      <c r="J100" s="15">
        <v>0.01</v>
      </c>
      <c r="K100" s="15">
        <f t="shared" si="17"/>
        <v>2.5000000000000001E-3</v>
      </c>
      <c r="L100" s="14" t="s">
        <v>26</v>
      </c>
      <c r="M100" s="14">
        <f t="shared" si="18"/>
        <v>7.04</v>
      </c>
      <c r="N100" s="14">
        <f t="shared" si="15"/>
        <v>1.76</v>
      </c>
      <c r="O100" s="11" t="s">
        <v>597</v>
      </c>
      <c r="P100" s="11" t="s">
        <v>597</v>
      </c>
      <c r="Q100" s="11"/>
      <c r="R100" s="11">
        <v>1</v>
      </c>
      <c r="S100" s="11" t="s">
        <v>597</v>
      </c>
      <c r="T100" s="16" t="s">
        <v>31</v>
      </c>
    </row>
    <row r="101" spans="1:20" x14ac:dyDescent="0.25">
      <c r="A101" s="10">
        <v>45713</v>
      </c>
      <c r="B101" s="11">
        <v>119628</v>
      </c>
      <c r="C101" s="11" t="s">
        <v>31</v>
      </c>
      <c r="D101" s="11" t="s">
        <v>94</v>
      </c>
      <c r="E101" s="11" t="s">
        <v>35</v>
      </c>
      <c r="F101" s="11" t="s">
        <v>35</v>
      </c>
      <c r="G101" s="12">
        <v>1</v>
      </c>
      <c r="H101" s="13">
        <v>176</v>
      </c>
      <c r="I101" s="14">
        <f t="shared" si="16"/>
        <v>176</v>
      </c>
      <c r="J101" s="15">
        <v>0.01</v>
      </c>
      <c r="K101" s="15">
        <f t="shared" si="17"/>
        <v>2.5000000000000001E-3</v>
      </c>
      <c r="L101" s="14" t="s">
        <v>26</v>
      </c>
      <c r="M101" s="14">
        <f t="shared" si="18"/>
        <v>1.76</v>
      </c>
      <c r="N101" s="14">
        <f t="shared" si="15"/>
        <v>0.44</v>
      </c>
      <c r="O101" s="11" t="s">
        <v>597</v>
      </c>
      <c r="P101" s="11" t="s">
        <v>597</v>
      </c>
      <c r="Q101" s="11"/>
      <c r="R101" s="11">
        <v>1</v>
      </c>
      <c r="S101" s="11" t="s">
        <v>597</v>
      </c>
      <c r="T101" s="16" t="s">
        <v>31</v>
      </c>
    </row>
    <row r="102" spans="1:20" x14ac:dyDescent="0.25">
      <c r="A102" s="10">
        <v>45713</v>
      </c>
      <c r="B102" s="11">
        <v>119374</v>
      </c>
      <c r="C102" s="11" t="s">
        <v>31</v>
      </c>
      <c r="D102" s="11" t="s">
        <v>120</v>
      </c>
      <c r="E102" s="11" t="s">
        <v>35</v>
      </c>
      <c r="F102" s="11" t="s">
        <v>35</v>
      </c>
      <c r="G102" s="12">
        <v>3</v>
      </c>
      <c r="H102" s="13">
        <v>176</v>
      </c>
      <c r="I102" s="14">
        <f t="shared" si="16"/>
        <v>528</v>
      </c>
      <c r="J102" s="15">
        <v>0.01</v>
      </c>
      <c r="K102" s="15">
        <f t="shared" si="17"/>
        <v>2.5000000000000001E-3</v>
      </c>
      <c r="L102" s="14" t="s">
        <v>26</v>
      </c>
      <c r="M102" s="14">
        <f t="shared" si="18"/>
        <v>5.28</v>
      </c>
      <c r="N102" s="14">
        <f t="shared" si="15"/>
        <v>1.32</v>
      </c>
      <c r="O102" s="11" t="s">
        <v>597</v>
      </c>
      <c r="P102" s="11" t="s">
        <v>597</v>
      </c>
      <c r="Q102" s="11"/>
      <c r="R102" s="11">
        <v>1</v>
      </c>
      <c r="S102" s="11" t="s">
        <v>597</v>
      </c>
      <c r="T102" s="16" t="s">
        <v>31</v>
      </c>
    </row>
    <row r="103" spans="1:20" x14ac:dyDescent="0.25">
      <c r="A103" s="10">
        <v>45713</v>
      </c>
      <c r="B103" s="11">
        <v>117865</v>
      </c>
      <c r="C103" s="11" t="s">
        <v>31</v>
      </c>
      <c r="D103" s="11" t="s">
        <v>621</v>
      </c>
      <c r="E103" s="11" t="s">
        <v>24</v>
      </c>
      <c r="F103" s="11" t="s">
        <v>554</v>
      </c>
      <c r="G103" s="12">
        <v>4</v>
      </c>
      <c r="H103" s="13">
        <v>180</v>
      </c>
      <c r="I103" s="14">
        <f t="shared" si="16"/>
        <v>720</v>
      </c>
      <c r="J103" s="15">
        <v>7.0000000000000007E-2</v>
      </c>
      <c r="K103" s="15">
        <f t="shared" si="17"/>
        <v>1.7500000000000002E-2</v>
      </c>
      <c r="L103" s="14" t="s">
        <v>26</v>
      </c>
      <c r="M103" s="14">
        <f t="shared" si="18"/>
        <v>50.400000000000006</v>
      </c>
      <c r="N103" s="14">
        <f t="shared" si="15"/>
        <v>12.600000000000001</v>
      </c>
      <c r="O103" s="11" t="s">
        <v>597</v>
      </c>
      <c r="P103" s="11" t="s">
        <v>597</v>
      </c>
      <c r="Q103" s="11"/>
      <c r="R103" s="11">
        <v>1</v>
      </c>
      <c r="S103" s="11" t="s">
        <v>597</v>
      </c>
      <c r="T103" s="16" t="s">
        <v>31</v>
      </c>
    </row>
    <row r="104" spans="1:20" x14ac:dyDescent="0.25">
      <c r="A104" s="10">
        <v>45714</v>
      </c>
      <c r="B104" s="11">
        <v>102185</v>
      </c>
      <c r="C104" s="11" t="s">
        <v>44</v>
      </c>
      <c r="D104" s="11" t="s">
        <v>622</v>
      </c>
      <c r="E104" s="11" t="s">
        <v>623</v>
      </c>
      <c r="F104" s="11" t="s">
        <v>30</v>
      </c>
      <c r="G104" s="12">
        <v>1</v>
      </c>
      <c r="H104" s="13">
        <v>356.4</v>
      </c>
      <c r="I104" s="14">
        <f t="shared" si="16"/>
        <v>356.4</v>
      </c>
      <c r="J104" s="15">
        <v>1</v>
      </c>
      <c r="K104" s="15">
        <f t="shared" si="17"/>
        <v>0.25</v>
      </c>
      <c r="L104" s="14" t="s">
        <v>26</v>
      </c>
      <c r="M104" s="14">
        <f t="shared" si="18"/>
        <v>356.4</v>
      </c>
      <c r="N104" s="14">
        <f t="shared" si="15"/>
        <v>89.1</v>
      </c>
      <c r="O104" s="11" t="s">
        <v>27</v>
      </c>
      <c r="P104" s="11" t="s">
        <v>27</v>
      </c>
      <c r="Q104" s="11"/>
      <c r="R104" s="11">
        <v>1</v>
      </c>
      <c r="S104" s="11" t="s">
        <v>28</v>
      </c>
      <c r="T104" s="16" t="s">
        <v>44</v>
      </c>
    </row>
    <row r="105" spans="1:20" x14ac:dyDescent="0.25">
      <c r="A105" s="10">
        <v>45715</v>
      </c>
      <c r="B105" s="11">
        <v>119976</v>
      </c>
      <c r="C105" s="11" t="s">
        <v>44</v>
      </c>
      <c r="D105" s="11" t="s">
        <v>624</v>
      </c>
      <c r="E105" s="11" t="s">
        <v>47</v>
      </c>
      <c r="F105" s="11" t="s">
        <v>554</v>
      </c>
      <c r="G105" s="12">
        <v>288</v>
      </c>
      <c r="H105" s="13">
        <v>160</v>
      </c>
      <c r="I105" s="14">
        <f t="shared" si="16"/>
        <v>46080</v>
      </c>
      <c r="J105" s="15">
        <v>0.05</v>
      </c>
      <c r="K105" s="15">
        <f t="shared" si="17"/>
        <v>1.2500000000000001E-2</v>
      </c>
      <c r="L105" s="14" t="s">
        <v>46</v>
      </c>
      <c r="M105" s="14">
        <f t="shared" si="18"/>
        <v>2304</v>
      </c>
      <c r="N105" s="14">
        <f t="shared" si="15"/>
        <v>576</v>
      </c>
      <c r="O105" s="11" t="s">
        <v>27</v>
      </c>
      <c r="P105" s="11" t="s">
        <v>27</v>
      </c>
      <c r="Q105" s="11"/>
      <c r="R105" s="11">
        <v>12</v>
      </c>
      <c r="S105" s="11" t="s">
        <v>28</v>
      </c>
      <c r="T105" s="16" t="s">
        <v>44</v>
      </c>
    </row>
    <row r="106" spans="1:20" x14ac:dyDescent="0.25">
      <c r="A106" s="10">
        <v>45715</v>
      </c>
      <c r="B106" s="11">
        <v>119976</v>
      </c>
      <c r="C106" s="11" t="s">
        <v>44</v>
      </c>
      <c r="D106" s="11" t="s">
        <v>624</v>
      </c>
      <c r="E106" s="11" t="s">
        <v>47</v>
      </c>
      <c r="F106" s="11" t="s">
        <v>30</v>
      </c>
      <c r="G106" s="12">
        <v>8</v>
      </c>
      <c r="H106" s="13">
        <v>234.27</v>
      </c>
      <c r="I106" s="14">
        <f t="shared" si="16"/>
        <v>1874.16</v>
      </c>
      <c r="J106" s="15">
        <v>1</v>
      </c>
      <c r="K106" s="15">
        <f t="shared" si="17"/>
        <v>0.25</v>
      </c>
      <c r="L106" s="14" t="s">
        <v>46</v>
      </c>
      <c r="M106" s="14">
        <f t="shared" si="18"/>
        <v>1874.16</v>
      </c>
      <c r="N106" s="14">
        <f t="shared" si="15"/>
        <v>468.54</v>
      </c>
      <c r="O106" s="11" t="s">
        <v>27</v>
      </c>
      <c r="P106" s="11" t="s">
        <v>27</v>
      </c>
      <c r="Q106" s="11"/>
      <c r="R106" s="11">
        <v>1</v>
      </c>
      <c r="S106" s="11" t="s">
        <v>28</v>
      </c>
      <c r="T106" s="16" t="s">
        <v>44</v>
      </c>
    </row>
    <row r="107" spans="1:20" x14ac:dyDescent="0.25">
      <c r="A107" s="10">
        <v>45715</v>
      </c>
      <c r="B107" s="11">
        <v>119976</v>
      </c>
      <c r="C107" s="11" t="s">
        <v>44</v>
      </c>
      <c r="D107" s="11" t="s">
        <v>624</v>
      </c>
      <c r="E107" s="11" t="s">
        <v>63</v>
      </c>
      <c r="F107" s="11" t="s">
        <v>554</v>
      </c>
      <c r="G107" s="12">
        <v>52</v>
      </c>
      <c r="H107" s="13">
        <v>160</v>
      </c>
      <c r="I107" s="14">
        <f t="shared" si="16"/>
        <v>8320</v>
      </c>
      <c r="J107" s="15">
        <v>0.05</v>
      </c>
      <c r="K107" s="15">
        <f t="shared" si="17"/>
        <v>1.2500000000000001E-2</v>
      </c>
      <c r="L107" s="14" t="s">
        <v>46</v>
      </c>
      <c r="M107" s="14">
        <f t="shared" si="18"/>
        <v>416</v>
      </c>
      <c r="N107" s="14">
        <f t="shared" si="15"/>
        <v>104</v>
      </c>
      <c r="O107" s="11" t="s">
        <v>27</v>
      </c>
      <c r="P107" s="11" t="s">
        <v>27</v>
      </c>
      <c r="Q107" s="11"/>
      <c r="R107" s="11">
        <v>12</v>
      </c>
      <c r="S107" s="11" t="s">
        <v>28</v>
      </c>
      <c r="T107" s="16" t="s">
        <v>44</v>
      </c>
    </row>
    <row r="108" spans="1:20" x14ac:dyDescent="0.25">
      <c r="A108" s="10">
        <v>45715</v>
      </c>
      <c r="B108" s="11">
        <v>119976</v>
      </c>
      <c r="C108" s="11" t="s">
        <v>44</v>
      </c>
      <c r="D108" s="11" t="s">
        <v>624</v>
      </c>
      <c r="E108" s="11" t="s">
        <v>63</v>
      </c>
      <c r="F108" s="11" t="s">
        <v>30</v>
      </c>
      <c r="G108" s="12">
        <v>35</v>
      </c>
      <c r="H108" s="13">
        <v>75</v>
      </c>
      <c r="I108" s="14">
        <f t="shared" si="16"/>
        <v>2625</v>
      </c>
      <c r="J108" s="15">
        <v>1</v>
      </c>
      <c r="K108" s="15">
        <f t="shared" si="17"/>
        <v>0.25</v>
      </c>
      <c r="L108" s="14" t="s">
        <v>46</v>
      </c>
      <c r="M108" s="14">
        <f t="shared" si="18"/>
        <v>2625</v>
      </c>
      <c r="N108" s="14">
        <f t="shared" si="15"/>
        <v>656.25</v>
      </c>
      <c r="O108" s="11" t="s">
        <v>27</v>
      </c>
      <c r="P108" s="11" t="s">
        <v>27</v>
      </c>
      <c r="Q108" s="11"/>
      <c r="R108" s="11">
        <v>1</v>
      </c>
      <c r="S108" s="11" t="s">
        <v>28</v>
      </c>
      <c r="T108" s="16" t="s">
        <v>44</v>
      </c>
    </row>
    <row r="109" spans="1:20" x14ac:dyDescent="0.25">
      <c r="A109" s="10">
        <v>45715</v>
      </c>
      <c r="B109" s="11">
        <v>119976</v>
      </c>
      <c r="C109" s="11" t="s">
        <v>44</v>
      </c>
      <c r="D109" s="11" t="s">
        <v>624</v>
      </c>
      <c r="E109" s="11" t="s">
        <v>89</v>
      </c>
      <c r="F109" s="11" t="s">
        <v>30</v>
      </c>
      <c r="G109" s="12">
        <v>1</v>
      </c>
      <c r="H109" s="13">
        <v>320.39999999999998</v>
      </c>
      <c r="I109" s="14">
        <f t="shared" si="16"/>
        <v>320.39999999999998</v>
      </c>
      <c r="J109" s="15">
        <v>1</v>
      </c>
      <c r="K109" s="15">
        <f t="shared" si="17"/>
        <v>0.25</v>
      </c>
      <c r="L109" s="14" t="s">
        <v>46</v>
      </c>
      <c r="M109" s="14">
        <f t="shared" si="18"/>
        <v>320.39999999999998</v>
      </c>
      <c r="N109" s="14">
        <f t="shared" si="15"/>
        <v>80.099999999999994</v>
      </c>
      <c r="O109" s="11" t="s">
        <v>27</v>
      </c>
      <c r="P109" s="11" t="s">
        <v>27</v>
      </c>
      <c r="Q109" s="11"/>
      <c r="R109" s="11">
        <v>1</v>
      </c>
      <c r="S109" s="11" t="s">
        <v>28</v>
      </c>
      <c r="T109" s="16" t="s">
        <v>44</v>
      </c>
    </row>
    <row r="110" spans="1:20" x14ac:dyDescent="0.25">
      <c r="A110" s="10">
        <v>45715</v>
      </c>
      <c r="B110" s="11">
        <v>119976</v>
      </c>
      <c r="C110" s="11" t="s">
        <v>44</v>
      </c>
      <c r="D110" s="11" t="s">
        <v>624</v>
      </c>
      <c r="E110" s="11" t="s">
        <v>54</v>
      </c>
      <c r="F110" s="11" t="s">
        <v>554</v>
      </c>
      <c r="G110" s="12">
        <v>72</v>
      </c>
      <c r="H110" s="13">
        <v>160</v>
      </c>
      <c r="I110" s="14">
        <f t="shared" si="16"/>
        <v>11520</v>
      </c>
      <c r="J110" s="15">
        <v>0.05</v>
      </c>
      <c r="K110" s="15">
        <f t="shared" si="17"/>
        <v>1.2500000000000001E-2</v>
      </c>
      <c r="L110" s="14" t="s">
        <v>46</v>
      </c>
      <c r="M110" s="14">
        <f t="shared" si="18"/>
        <v>576</v>
      </c>
      <c r="N110" s="14">
        <f t="shared" si="15"/>
        <v>144</v>
      </c>
      <c r="O110" s="11" t="s">
        <v>27</v>
      </c>
      <c r="P110" s="11" t="s">
        <v>27</v>
      </c>
      <c r="Q110" s="11"/>
      <c r="R110" s="11">
        <v>12</v>
      </c>
      <c r="S110" s="11" t="s">
        <v>28</v>
      </c>
      <c r="T110" s="16" t="s">
        <v>44</v>
      </c>
    </row>
    <row r="111" spans="1:20" x14ac:dyDescent="0.25">
      <c r="A111" s="10">
        <v>45715</v>
      </c>
      <c r="B111" s="11">
        <v>118828</v>
      </c>
      <c r="C111" s="11" t="s">
        <v>31</v>
      </c>
      <c r="D111" s="11" t="s">
        <v>114</v>
      </c>
      <c r="E111" s="11" t="s">
        <v>35</v>
      </c>
      <c r="F111" s="11" t="s">
        <v>35</v>
      </c>
      <c r="G111" s="12">
        <v>8</v>
      </c>
      <c r="H111" s="13">
        <v>176</v>
      </c>
      <c r="I111" s="14">
        <f t="shared" si="16"/>
        <v>1408</v>
      </c>
      <c r="J111" s="15">
        <v>0.01</v>
      </c>
      <c r="K111" s="15">
        <f t="shared" si="17"/>
        <v>2.5000000000000001E-3</v>
      </c>
      <c r="L111" s="14" t="s">
        <v>46</v>
      </c>
      <c r="M111" s="14">
        <f t="shared" si="18"/>
        <v>14.08</v>
      </c>
      <c r="N111" s="14">
        <f t="shared" si="15"/>
        <v>3.52</v>
      </c>
      <c r="O111" s="11" t="s">
        <v>597</v>
      </c>
      <c r="P111" s="11" t="s">
        <v>597</v>
      </c>
      <c r="Q111" s="11"/>
      <c r="R111" s="11">
        <v>1</v>
      </c>
      <c r="S111" s="11" t="s">
        <v>597</v>
      </c>
      <c r="T111" s="16" t="s">
        <v>31</v>
      </c>
    </row>
    <row r="112" spans="1:20" x14ac:dyDescent="0.25">
      <c r="A112" s="10">
        <v>45716</v>
      </c>
      <c r="B112" s="11">
        <v>110804</v>
      </c>
      <c r="C112" s="11" t="s">
        <v>31</v>
      </c>
      <c r="D112" s="11" t="s">
        <v>614</v>
      </c>
      <c r="E112" s="11" t="s">
        <v>24</v>
      </c>
      <c r="F112" s="11" t="s">
        <v>554</v>
      </c>
      <c r="G112" s="12">
        <v>11</v>
      </c>
      <c r="H112" s="13">
        <v>210</v>
      </c>
      <c r="I112" s="14">
        <f t="shared" si="16"/>
        <v>2310</v>
      </c>
      <c r="J112" s="15">
        <v>7.0000000000000007E-2</v>
      </c>
      <c r="K112" s="15">
        <f t="shared" si="17"/>
        <v>1.7500000000000002E-2</v>
      </c>
      <c r="L112" s="14" t="s">
        <v>46</v>
      </c>
      <c r="M112" s="14">
        <f t="shared" si="18"/>
        <v>161.70000000000002</v>
      </c>
      <c r="N112" s="14">
        <f t="shared" si="15"/>
        <v>40.425000000000004</v>
      </c>
      <c r="O112" s="11" t="s">
        <v>597</v>
      </c>
      <c r="P112" s="11" t="s">
        <v>597</v>
      </c>
      <c r="Q112" s="11"/>
      <c r="R112" s="11">
        <v>6</v>
      </c>
      <c r="S112" s="11" t="s">
        <v>597</v>
      </c>
      <c r="T112" s="16" t="s">
        <v>31</v>
      </c>
    </row>
    <row r="113" spans="1:20" x14ac:dyDescent="0.25">
      <c r="A113" s="18">
        <v>45717</v>
      </c>
      <c r="B113" s="11">
        <v>120000</v>
      </c>
      <c r="C113" s="11" t="s">
        <v>31</v>
      </c>
      <c r="D113" s="11" t="s">
        <v>93</v>
      </c>
      <c r="E113" s="11" t="s">
        <v>40</v>
      </c>
      <c r="F113" s="11" t="s">
        <v>41</v>
      </c>
      <c r="G113" s="12">
        <v>1</v>
      </c>
      <c r="H113" s="13">
        <f>16776.45/2</f>
        <v>8388.2250000000004</v>
      </c>
      <c r="I113" s="14">
        <v>8388.2199999999993</v>
      </c>
      <c r="J113" s="15">
        <v>7.0000000000000007E-2</v>
      </c>
      <c r="K113" s="15">
        <f t="shared" si="17"/>
        <v>1.7500000000000002E-2</v>
      </c>
      <c r="L113" s="14" t="s">
        <v>26</v>
      </c>
      <c r="M113" s="14">
        <f t="shared" si="18"/>
        <v>587.17539999999997</v>
      </c>
      <c r="N113" s="14">
        <f t="shared" si="15"/>
        <v>146.79384999999999</v>
      </c>
      <c r="O113" s="11" t="s">
        <v>27</v>
      </c>
      <c r="P113" s="11" t="s">
        <v>27</v>
      </c>
      <c r="Q113" s="11"/>
      <c r="R113" s="11">
        <v>6</v>
      </c>
      <c r="S113" s="11" t="s">
        <v>28</v>
      </c>
      <c r="T113" s="16" t="s">
        <v>31</v>
      </c>
    </row>
    <row r="114" spans="1:20" x14ac:dyDescent="0.25">
      <c r="A114" s="10">
        <v>45720</v>
      </c>
      <c r="B114" s="11">
        <v>106541</v>
      </c>
      <c r="C114" s="11" t="s">
        <v>22</v>
      </c>
      <c r="D114" s="11" t="s">
        <v>65</v>
      </c>
      <c r="E114" s="11" t="s">
        <v>24</v>
      </c>
      <c r="F114" s="11" t="s">
        <v>554</v>
      </c>
      <c r="G114" s="12">
        <v>34</v>
      </c>
      <c r="H114" s="13">
        <v>140</v>
      </c>
      <c r="I114" s="14">
        <f t="shared" ref="I114:I156" si="19">G114*H114</f>
        <v>4760</v>
      </c>
      <c r="J114" s="15">
        <v>3.5000000000000003E-2</v>
      </c>
      <c r="K114" s="15">
        <f t="shared" si="17"/>
        <v>8.7500000000000008E-3</v>
      </c>
      <c r="L114" s="14" t="s">
        <v>26</v>
      </c>
      <c r="M114" s="14">
        <f t="shared" si="18"/>
        <v>166.60000000000002</v>
      </c>
      <c r="N114" s="14">
        <v>0</v>
      </c>
      <c r="O114" s="11" t="s">
        <v>597</v>
      </c>
      <c r="P114" s="11" t="s">
        <v>597</v>
      </c>
      <c r="Q114" s="11"/>
      <c r="R114" s="11">
        <v>1</v>
      </c>
      <c r="S114" s="11" t="s">
        <v>597</v>
      </c>
      <c r="T114" s="16" t="s">
        <v>22</v>
      </c>
    </row>
    <row r="115" spans="1:20" x14ac:dyDescent="0.25">
      <c r="A115" s="10">
        <v>45726</v>
      </c>
      <c r="B115" s="11">
        <v>118963</v>
      </c>
      <c r="C115" s="11" t="s">
        <v>31</v>
      </c>
      <c r="D115" s="11" t="s">
        <v>625</v>
      </c>
      <c r="E115" s="11" t="s">
        <v>52</v>
      </c>
      <c r="F115" s="11" t="s">
        <v>41</v>
      </c>
      <c r="G115" s="12">
        <v>1</v>
      </c>
      <c r="H115" s="13">
        <v>14600</v>
      </c>
      <c r="I115" s="14">
        <f t="shared" si="19"/>
        <v>14600</v>
      </c>
      <c r="J115" s="15">
        <v>7.0000000000000007E-2</v>
      </c>
      <c r="K115" s="15">
        <f t="shared" si="17"/>
        <v>1.7500000000000002E-2</v>
      </c>
      <c r="L115" s="14" t="s">
        <v>26</v>
      </c>
      <c r="M115" s="14">
        <f t="shared" si="18"/>
        <v>1022.0000000000001</v>
      </c>
      <c r="N115" s="14">
        <f>I115*K115</f>
        <v>255.50000000000003</v>
      </c>
      <c r="O115" s="11" t="s">
        <v>27</v>
      </c>
      <c r="P115" s="11" t="s">
        <v>27</v>
      </c>
      <c r="Q115" s="11"/>
      <c r="R115" s="11">
        <v>6</v>
      </c>
      <c r="S115" s="11" t="s">
        <v>28</v>
      </c>
      <c r="T115" s="16" t="s">
        <v>31</v>
      </c>
    </row>
    <row r="116" spans="1:20" x14ac:dyDescent="0.25">
      <c r="A116" s="10">
        <v>45726</v>
      </c>
      <c r="B116" s="11">
        <v>118963</v>
      </c>
      <c r="C116" s="11" t="s">
        <v>31</v>
      </c>
      <c r="D116" s="11" t="s">
        <v>625</v>
      </c>
      <c r="E116" s="11" t="s">
        <v>52</v>
      </c>
      <c r="F116" s="11" t="s">
        <v>30</v>
      </c>
      <c r="G116" s="12">
        <v>1</v>
      </c>
      <c r="H116" s="13">
        <v>1728</v>
      </c>
      <c r="I116" s="14">
        <f t="shared" si="19"/>
        <v>1728</v>
      </c>
      <c r="J116" s="15">
        <v>1</v>
      </c>
      <c r="K116" s="15">
        <f t="shared" si="17"/>
        <v>0.25</v>
      </c>
      <c r="L116" s="14" t="s">
        <v>26</v>
      </c>
      <c r="M116" s="14">
        <f t="shared" si="18"/>
        <v>1728</v>
      </c>
      <c r="N116" s="14">
        <f>I116*K116</f>
        <v>432</v>
      </c>
      <c r="O116" s="11" t="s">
        <v>27</v>
      </c>
      <c r="P116" s="11" t="s">
        <v>27</v>
      </c>
      <c r="Q116" s="11"/>
      <c r="R116" s="11">
        <v>1</v>
      </c>
      <c r="S116" s="11" t="s">
        <v>28</v>
      </c>
      <c r="T116" s="16" t="s">
        <v>31</v>
      </c>
    </row>
    <row r="117" spans="1:20" x14ac:dyDescent="0.25">
      <c r="A117" s="10">
        <v>45728</v>
      </c>
      <c r="B117" s="11">
        <v>116965</v>
      </c>
      <c r="C117" s="11" t="s">
        <v>22</v>
      </c>
      <c r="D117" s="11" t="s">
        <v>610</v>
      </c>
      <c r="E117" s="11" t="s">
        <v>35</v>
      </c>
      <c r="F117" s="11" t="s">
        <v>35</v>
      </c>
      <c r="G117" s="12">
        <v>6</v>
      </c>
      <c r="H117" s="13">
        <v>176</v>
      </c>
      <c r="I117" s="14">
        <f t="shared" si="19"/>
        <v>1056</v>
      </c>
      <c r="J117" s="15">
        <v>0.01</v>
      </c>
      <c r="K117" s="15">
        <v>0</v>
      </c>
      <c r="L117" s="14" t="s">
        <v>26</v>
      </c>
      <c r="M117" s="14">
        <f t="shared" si="18"/>
        <v>10.56</v>
      </c>
      <c r="N117" s="14">
        <v>0</v>
      </c>
      <c r="O117" s="11" t="s">
        <v>597</v>
      </c>
      <c r="P117" s="11" t="s">
        <v>597</v>
      </c>
      <c r="Q117" s="11"/>
      <c r="R117" s="11">
        <v>1</v>
      </c>
      <c r="S117" s="11" t="s">
        <v>597</v>
      </c>
      <c r="T117" s="16" t="s">
        <v>22</v>
      </c>
    </row>
    <row r="118" spans="1:20" x14ac:dyDescent="0.25">
      <c r="A118" s="10">
        <v>45728</v>
      </c>
      <c r="B118" s="11">
        <v>120476</v>
      </c>
      <c r="C118" s="11" t="s">
        <v>31</v>
      </c>
      <c r="D118" s="11" t="s">
        <v>136</v>
      </c>
      <c r="E118" s="11" t="s">
        <v>24</v>
      </c>
      <c r="F118" s="11" t="s">
        <v>554</v>
      </c>
      <c r="G118" s="12">
        <v>54</v>
      </c>
      <c r="H118" s="13">
        <v>180</v>
      </c>
      <c r="I118" s="14">
        <f t="shared" si="19"/>
        <v>9720</v>
      </c>
      <c r="J118" s="15">
        <v>7.0000000000000007E-2</v>
      </c>
      <c r="K118" s="15">
        <f>J118*0.25</f>
        <v>1.7500000000000002E-2</v>
      </c>
      <c r="L118" s="14" t="s">
        <v>26</v>
      </c>
      <c r="M118" s="14">
        <f t="shared" si="18"/>
        <v>680.40000000000009</v>
      </c>
      <c r="N118" s="14">
        <f t="shared" ref="N118:N181" si="20">I118*K118</f>
        <v>170.10000000000002</v>
      </c>
      <c r="O118" s="11" t="s">
        <v>597</v>
      </c>
      <c r="P118" s="11" t="s">
        <v>597</v>
      </c>
      <c r="Q118" s="11"/>
      <c r="R118" s="11">
        <v>6</v>
      </c>
      <c r="S118" s="11" t="s">
        <v>597</v>
      </c>
      <c r="T118" s="16" t="s">
        <v>31</v>
      </c>
    </row>
    <row r="119" spans="1:20" x14ac:dyDescent="0.25">
      <c r="A119" s="10">
        <v>45728</v>
      </c>
      <c r="B119" s="11">
        <v>120504</v>
      </c>
      <c r="C119" s="11" t="s">
        <v>22</v>
      </c>
      <c r="D119" s="11" t="s">
        <v>110</v>
      </c>
      <c r="E119" s="11" t="s">
        <v>591</v>
      </c>
      <c r="F119" s="11" t="s">
        <v>41</v>
      </c>
      <c r="G119" s="12">
        <v>1</v>
      </c>
      <c r="H119" s="13">
        <v>21484</v>
      </c>
      <c r="I119" s="14">
        <f t="shared" si="19"/>
        <v>21484</v>
      </c>
      <c r="J119" s="15">
        <v>7.0000000000000007E-2</v>
      </c>
      <c r="K119" s="15">
        <v>0</v>
      </c>
      <c r="L119" s="14" t="s">
        <v>26</v>
      </c>
      <c r="M119" s="14">
        <f t="shared" si="18"/>
        <v>1503.88</v>
      </c>
      <c r="N119" s="14">
        <f t="shared" si="20"/>
        <v>0</v>
      </c>
      <c r="O119" s="11" t="s">
        <v>27</v>
      </c>
      <c r="P119" s="11" t="s">
        <v>27</v>
      </c>
      <c r="Q119" s="11"/>
      <c r="R119" s="11">
        <v>10</v>
      </c>
      <c r="S119" s="11" t="s">
        <v>28</v>
      </c>
      <c r="T119" s="16" t="s">
        <v>22</v>
      </c>
    </row>
    <row r="120" spans="1:20" x14ac:dyDescent="0.25">
      <c r="A120" s="10">
        <v>45728</v>
      </c>
      <c r="B120" s="11">
        <v>120504</v>
      </c>
      <c r="C120" s="11" t="s">
        <v>22</v>
      </c>
      <c r="D120" s="11" t="s">
        <v>110</v>
      </c>
      <c r="E120" s="11" t="s">
        <v>591</v>
      </c>
      <c r="F120" s="11" t="s">
        <v>30</v>
      </c>
      <c r="G120" s="12">
        <v>1</v>
      </c>
      <c r="H120" s="13">
        <v>2550</v>
      </c>
      <c r="I120" s="14">
        <f t="shared" si="19"/>
        <v>2550</v>
      </c>
      <c r="J120" s="15">
        <v>1</v>
      </c>
      <c r="K120" s="15">
        <v>0</v>
      </c>
      <c r="L120" s="14" t="s">
        <v>26</v>
      </c>
      <c r="M120" s="14">
        <f t="shared" si="18"/>
        <v>2550</v>
      </c>
      <c r="N120" s="14">
        <f t="shared" si="20"/>
        <v>0</v>
      </c>
      <c r="O120" s="11" t="s">
        <v>27</v>
      </c>
      <c r="P120" s="11" t="s">
        <v>27</v>
      </c>
      <c r="Q120" s="11"/>
      <c r="R120" s="11">
        <v>1</v>
      </c>
      <c r="S120" s="11" t="s">
        <v>28</v>
      </c>
      <c r="T120" s="16" t="s">
        <v>22</v>
      </c>
    </row>
    <row r="121" spans="1:20" x14ac:dyDescent="0.25">
      <c r="A121" s="10">
        <v>45728</v>
      </c>
      <c r="B121" s="11">
        <v>120538</v>
      </c>
      <c r="C121" s="11" t="s">
        <v>22</v>
      </c>
      <c r="D121" s="11" t="s">
        <v>626</v>
      </c>
      <c r="E121" s="11" t="s">
        <v>47</v>
      </c>
      <c r="F121" s="11" t="s">
        <v>554</v>
      </c>
      <c r="G121" s="12">
        <v>262</v>
      </c>
      <c r="H121" s="13">
        <v>162</v>
      </c>
      <c r="I121" s="14">
        <f t="shared" si="19"/>
        <v>42444</v>
      </c>
      <c r="J121" s="15">
        <v>7.0000000000000007E-2</v>
      </c>
      <c r="K121" s="15">
        <v>0</v>
      </c>
      <c r="L121" s="14" t="s">
        <v>46</v>
      </c>
      <c r="M121" s="14">
        <f t="shared" si="18"/>
        <v>2971.0800000000004</v>
      </c>
      <c r="N121" s="14">
        <f t="shared" si="20"/>
        <v>0</v>
      </c>
      <c r="O121" s="11" t="s">
        <v>27</v>
      </c>
      <c r="P121" s="11" t="s">
        <v>27</v>
      </c>
      <c r="Q121" s="11"/>
      <c r="R121" s="11">
        <v>10</v>
      </c>
      <c r="S121" s="11" t="s">
        <v>28</v>
      </c>
      <c r="T121" s="16" t="s">
        <v>22</v>
      </c>
    </row>
    <row r="122" spans="1:20" x14ac:dyDescent="0.25">
      <c r="A122" s="10">
        <v>45728</v>
      </c>
      <c r="B122" s="11">
        <v>120538</v>
      </c>
      <c r="C122" s="11" t="s">
        <v>22</v>
      </c>
      <c r="D122" s="11" t="s">
        <v>626</v>
      </c>
      <c r="E122" s="11" t="s">
        <v>63</v>
      </c>
      <c r="F122" s="11" t="s">
        <v>554</v>
      </c>
      <c r="G122" s="12">
        <v>24</v>
      </c>
      <c r="H122" s="13">
        <v>162</v>
      </c>
      <c r="I122" s="14">
        <f t="shared" si="19"/>
        <v>3888</v>
      </c>
      <c r="J122" s="15">
        <v>7.0000000000000007E-2</v>
      </c>
      <c r="K122" s="15">
        <v>0</v>
      </c>
      <c r="L122" s="14" t="s">
        <v>46</v>
      </c>
      <c r="M122" s="14">
        <f t="shared" si="18"/>
        <v>272.16000000000003</v>
      </c>
      <c r="N122" s="14">
        <f t="shared" si="20"/>
        <v>0</v>
      </c>
      <c r="O122" s="11" t="s">
        <v>27</v>
      </c>
      <c r="P122" s="11" t="s">
        <v>27</v>
      </c>
      <c r="Q122" s="11"/>
      <c r="R122" s="11">
        <v>10</v>
      </c>
      <c r="S122" s="11" t="s">
        <v>28</v>
      </c>
      <c r="T122" s="16" t="s">
        <v>22</v>
      </c>
    </row>
    <row r="123" spans="1:20" x14ac:dyDescent="0.25">
      <c r="A123" s="10">
        <v>45728</v>
      </c>
      <c r="B123" s="11">
        <v>120538</v>
      </c>
      <c r="C123" s="11" t="s">
        <v>22</v>
      </c>
      <c r="D123" s="11" t="s">
        <v>626</v>
      </c>
      <c r="E123" s="11" t="s">
        <v>47</v>
      </c>
      <c r="F123" s="11" t="s">
        <v>30</v>
      </c>
      <c r="G123" s="12">
        <v>5</v>
      </c>
      <c r="H123" s="13">
        <v>220.5</v>
      </c>
      <c r="I123" s="14">
        <f t="shared" si="19"/>
        <v>1102.5</v>
      </c>
      <c r="J123" s="15">
        <v>1</v>
      </c>
      <c r="K123" s="15">
        <v>0</v>
      </c>
      <c r="L123" s="14" t="s">
        <v>46</v>
      </c>
      <c r="M123" s="14">
        <f t="shared" si="18"/>
        <v>1102.5</v>
      </c>
      <c r="N123" s="14">
        <f t="shared" si="20"/>
        <v>0</v>
      </c>
      <c r="O123" s="11" t="s">
        <v>27</v>
      </c>
      <c r="P123" s="11" t="s">
        <v>27</v>
      </c>
      <c r="Q123" s="11"/>
      <c r="R123" s="11">
        <v>1</v>
      </c>
      <c r="S123" s="11" t="s">
        <v>28</v>
      </c>
      <c r="T123" s="16" t="s">
        <v>22</v>
      </c>
    </row>
    <row r="124" spans="1:20" x14ac:dyDescent="0.25">
      <c r="A124" s="10">
        <v>45728</v>
      </c>
      <c r="B124" s="11">
        <v>120538</v>
      </c>
      <c r="C124" s="11" t="s">
        <v>22</v>
      </c>
      <c r="D124" s="11" t="s">
        <v>626</v>
      </c>
      <c r="E124" s="11" t="s">
        <v>89</v>
      </c>
      <c r="F124" s="11" t="s">
        <v>30</v>
      </c>
      <c r="G124" s="12">
        <v>1</v>
      </c>
      <c r="H124" s="13">
        <v>285.12</v>
      </c>
      <c r="I124" s="14">
        <f t="shared" si="19"/>
        <v>285.12</v>
      </c>
      <c r="J124" s="15">
        <v>1</v>
      </c>
      <c r="K124" s="15">
        <v>0</v>
      </c>
      <c r="L124" s="14" t="s">
        <v>46</v>
      </c>
      <c r="M124" s="14">
        <f t="shared" si="18"/>
        <v>285.12</v>
      </c>
      <c r="N124" s="14">
        <f t="shared" si="20"/>
        <v>0</v>
      </c>
      <c r="O124" s="11" t="s">
        <v>27</v>
      </c>
      <c r="P124" s="11" t="s">
        <v>27</v>
      </c>
      <c r="Q124" s="11"/>
      <c r="R124" s="11">
        <v>1</v>
      </c>
      <c r="S124" s="11" t="s">
        <v>28</v>
      </c>
      <c r="T124" s="16" t="s">
        <v>22</v>
      </c>
    </row>
    <row r="125" spans="1:20" x14ac:dyDescent="0.25">
      <c r="A125" s="10">
        <v>45728</v>
      </c>
      <c r="B125" s="11">
        <v>120538</v>
      </c>
      <c r="C125" s="11" t="s">
        <v>22</v>
      </c>
      <c r="D125" s="11" t="s">
        <v>626</v>
      </c>
      <c r="E125" s="11" t="s">
        <v>63</v>
      </c>
      <c r="F125" s="11" t="s">
        <v>30</v>
      </c>
      <c r="G125" s="12">
        <v>15</v>
      </c>
      <c r="H125" s="13">
        <v>79.14</v>
      </c>
      <c r="I125" s="14">
        <f t="shared" si="19"/>
        <v>1187.0999999999999</v>
      </c>
      <c r="J125" s="15">
        <v>1</v>
      </c>
      <c r="K125" s="15">
        <v>0</v>
      </c>
      <c r="L125" s="14" t="s">
        <v>46</v>
      </c>
      <c r="M125" s="14">
        <f t="shared" si="18"/>
        <v>1187.0999999999999</v>
      </c>
      <c r="N125" s="14">
        <f t="shared" si="20"/>
        <v>0</v>
      </c>
      <c r="O125" s="11" t="s">
        <v>27</v>
      </c>
      <c r="P125" s="11" t="s">
        <v>27</v>
      </c>
      <c r="Q125" s="11"/>
      <c r="R125" s="11">
        <v>1</v>
      </c>
      <c r="S125" s="11" t="s">
        <v>28</v>
      </c>
      <c r="T125" s="16" t="s">
        <v>22</v>
      </c>
    </row>
    <row r="126" spans="1:20" x14ac:dyDescent="0.25">
      <c r="A126" s="10">
        <v>45728</v>
      </c>
      <c r="B126" s="11">
        <v>113509</v>
      </c>
      <c r="C126" s="11" t="s">
        <v>44</v>
      </c>
      <c r="D126" s="11" t="s">
        <v>57</v>
      </c>
      <c r="E126" s="11" t="s">
        <v>24</v>
      </c>
      <c r="F126" s="11" t="s">
        <v>554</v>
      </c>
      <c r="G126" s="12">
        <v>97.67</v>
      </c>
      <c r="H126" s="13">
        <v>180.2</v>
      </c>
      <c r="I126" s="14">
        <f t="shared" si="19"/>
        <v>17600.133999999998</v>
      </c>
      <c r="J126" s="15">
        <v>7.0000000000000007E-2</v>
      </c>
      <c r="K126" s="15">
        <f t="shared" ref="K126:K162" si="21">J126*0.25</f>
        <v>1.7500000000000002E-2</v>
      </c>
      <c r="L126" s="14" t="s">
        <v>46</v>
      </c>
      <c r="M126" s="14">
        <f t="shared" si="18"/>
        <v>1232.00938</v>
      </c>
      <c r="N126" s="14">
        <f t="shared" si="20"/>
        <v>308.00234499999999</v>
      </c>
      <c r="O126" s="11" t="s">
        <v>597</v>
      </c>
      <c r="P126" s="11" t="s">
        <v>597</v>
      </c>
      <c r="Q126" s="11"/>
      <c r="R126" s="11">
        <v>8</v>
      </c>
      <c r="S126" s="11" t="s">
        <v>597</v>
      </c>
      <c r="T126" s="16" t="s">
        <v>44</v>
      </c>
    </row>
    <row r="127" spans="1:20" x14ac:dyDescent="0.25">
      <c r="A127" s="10">
        <v>45729</v>
      </c>
      <c r="B127" s="11">
        <v>120505</v>
      </c>
      <c r="C127" s="11" t="s">
        <v>44</v>
      </c>
      <c r="D127" s="11" t="s">
        <v>627</v>
      </c>
      <c r="E127" s="11" t="s">
        <v>47</v>
      </c>
      <c r="F127" s="11" t="s">
        <v>554</v>
      </c>
      <c r="G127" s="12">
        <v>258</v>
      </c>
      <c r="H127" s="13">
        <v>171.72</v>
      </c>
      <c r="I127" s="14">
        <f t="shared" si="19"/>
        <v>44303.76</v>
      </c>
      <c r="J127" s="15">
        <v>7.0000000000000007E-2</v>
      </c>
      <c r="K127" s="15">
        <f t="shared" si="21"/>
        <v>1.7500000000000002E-2</v>
      </c>
      <c r="L127" s="14" t="s">
        <v>46</v>
      </c>
      <c r="M127" s="14">
        <f t="shared" si="18"/>
        <v>3101.2632000000003</v>
      </c>
      <c r="N127" s="14">
        <f t="shared" si="20"/>
        <v>775.31580000000008</v>
      </c>
      <c r="O127" s="11" t="s">
        <v>27</v>
      </c>
      <c r="P127" s="11" t="s">
        <v>27</v>
      </c>
      <c r="Q127" s="11"/>
      <c r="R127" s="11">
        <v>12</v>
      </c>
      <c r="S127" s="11" t="s">
        <v>28</v>
      </c>
      <c r="T127" s="16" t="s">
        <v>44</v>
      </c>
    </row>
    <row r="128" spans="1:20" x14ac:dyDescent="0.25">
      <c r="A128" s="10">
        <v>45729</v>
      </c>
      <c r="B128" s="11">
        <v>120505</v>
      </c>
      <c r="C128" s="11" t="s">
        <v>44</v>
      </c>
      <c r="D128" s="11" t="s">
        <v>627</v>
      </c>
      <c r="E128" s="11" t="s">
        <v>63</v>
      </c>
      <c r="F128" s="11" t="s">
        <v>554</v>
      </c>
      <c r="G128" s="12">
        <v>22</v>
      </c>
      <c r="H128" s="13">
        <v>171.72</v>
      </c>
      <c r="I128" s="14">
        <f t="shared" si="19"/>
        <v>3777.84</v>
      </c>
      <c r="J128" s="15">
        <v>7.0000000000000007E-2</v>
      </c>
      <c r="K128" s="15">
        <f t="shared" si="21"/>
        <v>1.7500000000000002E-2</v>
      </c>
      <c r="L128" s="14" t="s">
        <v>46</v>
      </c>
      <c r="M128" s="14">
        <f t="shared" si="18"/>
        <v>264.44880000000006</v>
      </c>
      <c r="N128" s="14">
        <f t="shared" si="20"/>
        <v>66.112200000000016</v>
      </c>
      <c r="O128" s="11" t="s">
        <v>27</v>
      </c>
      <c r="P128" s="11" t="s">
        <v>27</v>
      </c>
      <c r="Q128" s="11"/>
      <c r="R128" s="11">
        <v>12</v>
      </c>
      <c r="S128" s="11" t="s">
        <v>28</v>
      </c>
      <c r="T128" s="16" t="s">
        <v>44</v>
      </c>
    </row>
    <row r="129" spans="1:20" x14ac:dyDescent="0.25">
      <c r="A129" s="10">
        <v>45729</v>
      </c>
      <c r="B129" s="11">
        <v>120505</v>
      </c>
      <c r="C129" s="11" t="s">
        <v>44</v>
      </c>
      <c r="D129" s="11" t="s">
        <v>627</v>
      </c>
      <c r="E129" s="11" t="s">
        <v>578</v>
      </c>
      <c r="F129" s="11" t="s">
        <v>554</v>
      </c>
      <c r="G129" s="12">
        <v>30</v>
      </c>
      <c r="H129" s="13">
        <v>171.72</v>
      </c>
      <c r="I129" s="14">
        <f t="shared" si="19"/>
        <v>5151.6000000000004</v>
      </c>
      <c r="J129" s="15">
        <v>7.0000000000000007E-2</v>
      </c>
      <c r="K129" s="15">
        <f t="shared" si="21"/>
        <v>1.7500000000000002E-2</v>
      </c>
      <c r="L129" s="14" t="s">
        <v>46</v>
      </c>
      <c r="M129" s="14">
        <f t="shared" si="18"/>
        <v>360.61200000000008</v>
      </c>
      <c r="N129" s="14">
        <f t="shared" si="20"/>
        <v>90.15300000000002</v>
      </c>
      <c r="O129" s="11" t="s">
        <v>27</v>
      </c>
      <c r="P129" s="11" t="s">
        <v>27</v>
      </c>
      <c r="Q129" s="11"/>
      <c r="R129" s="11">
        <v>12</v>
      </c>
      <c r="S129" s="11" t="s">
        <v>28</v>
      </c>
      <c r="T129" s="16" t="s">
        <v>44</v>
      </c>
    </row>
    <row r="130" spans="1:20" x14ac:dyDescent="0.25">
      <c r="A130" s="10">
        <v>45729</v>
      </c>
      <c r="B130" s="11">
        <v>120505</v>
      </c>
      <c r="C130" s="11" t="s">
        <v>44</v>
      </c>
      <c r="D130" s="11" t="s">
        <v>627</v>
      </c>
      <c r="E130" s="11" t="s">
        <v>47</v>
      </c>
      <c r="F130" s="11" t="s">
        <v>30</v>
      </c>
      <c r="G130" s="12">
        <v>7</v>
      </c>
      <c r="H130" s="13">
        <v>248.05</v>
      </c>
      <c r="I130" s="14">
        <f t="shared" si="19"/>
        <v>1736.3500000000001</v>
      </c>
      <c r="J130" s="15">
        <v>1</v>
      </c>
      <c r="K130" s="15">
        <f t="shared" si="21"/>
        <v>0.25</v>
      </c>
      <c r="L130" s="14" t="s">
        <v>46</v>
      </c>
      <c r="M130" s="14">
        <f t="shared" ref="M130:M161" si="22">J130*I130</f>
        <v>1736.3500000000001</v>
      </c>
      <c r="N130" s="14">
        <f t="shared" si="20"/>
        <v>434.08750000000003</v>
      </c>
      <c r="O130" s="11" t="s">
        <v>27</v>
      </c>
      <c r="P130" s="11" t="s">
        <v>27</v>
      </c>
      <c r="Q130" s="11"/>
      <c r="R130" s="11">
        <v>1</v>
      </c>
      <c r="S130" s="11" t="s">
        <v>28</v>
      </c>
      <c r="T130" s="16" t="s">
        <v>44</v>
      </c>
    </row>
    <row r="131" spans="1:20" x14ac:dyDescent="0.25">
      <c r="A131" s="10">
        <v>45729</v>
      </c>
      <c r="B131" s="11">
        <v>120505</v>
      </c>
      <c r="C131" s="11" t="s">
        <v>44</v>
      </c>
      <c r="D131" s="11" t="s">
        <v>627</v>
      </c>
      <c r="E131" s="11" t="s">
        <v>63</v>
      </c>
      <c r="F131" s="11" t="s">
        <v>30</v>
      </c>
      <c r="G131" s="12">
        <v>5</v>
      </c>
      <c r="H131" s="13">
        <v>88.38</v>
      </c>
      <c r="I131" s="14">
        <f t="shared" si="19"/>
        <v>441.9</v>
      </c>
      <c r="J131" s="15">
        <v>1</v>
      </c>
      <c r="K131" s="15">
        <f t="shared" si="21"/>
        <v>0.25</v>
      </c>
      <c r="L131" s="14" t="s">
        <v>46</v>
      </c>
      <c r="M131" s="14">
        <f t="shared" si="22"/>
        <v>441.9</v>
      </c>
      <c r="N131" s="14">
        <f t="shared" si="20"/>
        <v>110.47499999999999</v>
      </c>
      <c r="O131" s="11" t="s">
        <v>27</v>
      </c>
      <c r="P131" s="11" t="s">
        <v>27</v>
      </c>
      <c r="Q131" s="11"/>
      <c r="R131" s="11">
        <v>1</v>
      </c>
      <c r="S131" s="11" t="s">
        <v>28</v>
      </c>
      <c r="T131" s="16" t="s">
        <v>44</v>
      </c>
    </row>
    <row r="132" spans="1:20" x14ac:dyDescent="0.25">
      <c r="A132" s="10">
        <v>45729</v>
      </c>
      <c r="B132" s="11">
        <v>120505</v>
      </c>
      <c r="C132" s="11" t="s">
        <v>44</v>
      </c>
      <c r="D132" s="11" t="s">
        <v>627</v>
      </c>
      <c r="E132" s="11" t="s">
        <v>48</v>
      </c>
      <c r="F132" s="11" t="s">
        <v>30</v>
      </c>
      <c r="G132" s="12">
        <v>1</v>
      </c>
      <c r="H132" s="13">
        <v>320.76</v>
      </c>
      <c r="I132" s="14">
        <f t="shared" si="19"/>
        <v>320.76</v>
      </c>
      <c r="J132" s="15">
        <v>1</v>
      </c>
      <c r="K132" s="15">
        <f t="shared" si="21"/>
        <v>0.25</v>
      </c>
      <c r="L132" s="14" t="s">
        <v>46</v>
      </c>
      <c r="M132" s="14">
        <f t="shared" si="22"/>
        <v>320.76</v>
      </c>
      <c r="N132" s="14">
        <f t="shared" si="20"/>
        <v>80.19</v>
      </c>
      <c r="O132" s="11" t="s">
        <v>27</v>
      </c>
      <c r="P132" s="11" t="s">
        <v>27</v>
      </c>
      <c r="Q132" s="11"/>
      <c r="R132" s="11">
        <v>1</v>
      </c>
      <c r="S132" s="11" t="s">
        <v>28</v>
      </c>
      <c r="T132" s="16" t="s">
        <v>44</v>
      </c>
    </row>
    <row r="133" spans="1:20" x14ac:dyDescent="0.25">
      <c r="A133" s="10">
        <v>45729</v>
      </c>
      <c r="B133" s="11">
        <v>120505</v>
      </c>
      <c r="C133" s="11" t="s">
        <v>44</v>
      </c>
      <c r="D133" s="11" t="s">
        <v>627</v>
      </c>
      <c r="E133" s="11" t="s">
        <v>578</v>
      </c>
      <c r="F133" s="11" t="s">
        <v>30</v>
      </c>
      <c r="G133" s="12">
        <v>1</v>
      </c>
      <c r="H133" s="13">
        <f>171+252</f>
        <v>423</v>
      </c>
      <c r="I133" s="14">
        <f t="shared" si="19"/>
        <v>423</v>
      </c>
      <c r="J133" s="15">
        <v>1</v>
      </c>
      <c r="K133" s="15">
        <f t="shared" si="21"/>
        <v>0.25</v>
      </c>
      <c r="L133" s="14" t="s">
        <v>46</v>
      </c>
      <c r="M133" s="14">
        <f t="shared" si="22"/>
        <v>423</v>
      </c>
      <c r="N133" s="14">
        <f t="shared" si="20"/>
        <v>105.75</v>
      </c>
      <c r="O133" s="11" t="s">
        <v>27</v>
      </c>
      <c r="P133" s="11" t="s">
        <v>27</v>
      </c>
      <c r="Q133" s="11"/>
      <c r="R133" s="11">
        <v>1</v>
      </c>
      <c r="S133" s="11" t="s">
        <v>28</v>
      </c>
      <c r="T133" s="16" t="s">
        <v>44</v>
      </c>
    </row>
    <row r="134" spans="1:20" x14ac:dyDescent="0.25">
      <c r="A134" s="10">
        <v>45734</v>
      </c>
      <c r="B134" s="11">
        <v>120317</v>
      </c>
      <c r="C134" s="11" t="s">
        <v>31</v>
      </c>
      <c r="D134" s="11" t="s">
        <v>600</v>
      </c>
      <c r="E134" s="11" t="s">
        <v>24</v>
      </c>
      <c r="F134" s="11" t="s">
        <v>554</v>
      </c>
      <c r="G134" s="12">
        <v>4</v>
      </c>
      <c r="H134" s="13">
        <v>189</v>
      </c>
      <c r="I134" s="14">
        <f t="shared" si="19"/>
        <v>756</v>
      </c>
      <c r="J134" s="15">
        <v>7.0000000000000007E-2</v>
      </c>
      <c r="K134" s="15">
        <f t="shared" si="21"/>
        <v>1.7500000000000002E-2</v>
      </c>
      <c r="L134" s="14" t="s">
        <v>26</v>
      </c>
      <c r="M134" s="14">
        <f t="shared" si="22"/>
        <v>52.92</v>
      </c>
      <c r="N134" s="14">
        <f t="shared" si="20"/>
        <v>13.23</v>
      </c>
      <c r="O134" s="11" t="s">
        <v>597</v>
      </c>
      <c r="P134" s="11" t="s">
        <v>597</v>
      </c>
      <c r="Q134" s="11"/>
      <c r="R134" s="11">
        <v>3</v>
      </c>
      <c r="S134" s="11" t="s">
        <v>597</v>
      </c>
      <c r="T134" s="16" t="s">
        <v>31</v>
      </c>
    </row>
    <row r="135" spans="1:20" x14ac:dyDescent="0.25">
      <c r="A135" s="10">
        <v>45734</v>
      </c>
      <c r="B135" s="11">
        <v>119517</v>
      </c>
      <c r="C135" s="11" t="s">
        <v>31</v>
      </c>
      <c r="D135" s="11" t="s">
        <v>94</v>
      </c>
      <c r="E135" s="11" t="s">
        <v>35</v>
      </c>
      <c r="F135" s="11" t="s">
        <v>35</v>
      </c>
      <c r="G135" s="12">
        <v>4</v>
      </c>
      <c r="H135" s="13">
        <v>176</v>
      </c>
      <c r="I135" s="14">
        <f t="shared" si="19"/>
        <v>704</v>
      </c>
      <c r="J135" s="15">
        <v>0.01</v>
      </c>
      <c r="K135" s="15">
        <f t="shared" si="21"/>
        <v>2.5000000000000001E-3</v>
      </c>
      <c r="L135" s="14" t="s">
        <v>26</v>
      </c>
      <c r="M135" s="14">
        <f t="shared" si="22"/>
        <v>7.04</v>
      </c>
      <c r="N135" s="14">
        <f t="shared" si="20"/>
        <v>1.76</v>
      </c>
      <c r="O135" s="11" t="s">
        <v>597</v>
      </c>
      <c r="P135" s="11" t="s">
        <v>597</v>
      </c>
      <c r="Q135" s="11"/>
      <c r="R135" s="11">
        <v>1</v>
      </c>
      <c r="S135" s="11" t="s">
        <v>597</v>
      </c>
      <c r="T135" s="16" t="s">
        <v>31</v>
      </c>
    </row>
    <row r="136" spans="1:20" x14ac:dyDescent="0.25">
      <c r="A136" s="10">
        <v>45734</v>
      </c>
      <c r="B136" s="11">
        <v>120535</v>
      </c>
      <c r="C136" s="11" t="s">
        <v>31</v>
      </c>
      <c r="D136" s="11" t="s">
        <v>136</v>
      </c>
      <c r="E136" s="11" t="s">
        <v>35</v>
      </c>
      <c r="F136" s="11" t="s">
        <v>35</v>
      </c>
      <c r="G136" s="12">
        <v>2</v>
      </c>
      <c r="H136" s="13">
        <v>176</v>
      </c>
      <c r="I136" s="14">
        <f t="shared" si="19"/>
        <v>352</v>
      </c>
      <c r="J136" s="15">
        <v>0.01</v>
      </c>
      <c r="K136" s="15">
        <f t="shared" si="21"/>
        <v>2.5000000000000001E-3</v>
      </c>
      <c r="L136" s="14" t="s">
        <v>26</v>
      </c>
      <c r="M136" s="14">
        <f t="shared" si="22"/>
        <v>3.52</v>
      </c>
      <c r="N136" s="14">
        <f t="shared" si="20"/>
        <v>0.88</v>
      </c>
      <c r="O136" s="11" t="s">
        <v>597</v>
      </c>
      <c r="P136" s="11" t="s">
        <v>597</v>
      </c>
      <c r="Q136" s="11"/>
      <c r="R136" s="11">
        <v>1</v>
      </c>
      <c r="S136" s="11" t="s">
        <v>597</v>
      </c>
      <c r="T136" s="16" t="s">
        <v>31</v>
      </c>
    </row>
    <row r="137" spans="1:20" x14ac:dyDescent="0.25">
      <c r="A137" s="10">
        <v>45734</v>
      </c>
      <c r="B137" s="11">
        <v>120535</v>
      </c>
      <c r="C137" s="11" t="s">
        <v>31</v>
      </c>
      <c r="D137" s="11" t="s">
        <v>628</v>
      </c>
      <c r="E137" s="11" t="s">
        <v>35</v>
      </c>
      <c r="F137" s="11" t="s">
        <v>35</v>
      </c>
      <c r="G137" s="12">
        <v>2</v>
      </c>
      <c r="H137" s="13">
        <v>176</v>
      </c>
      <c r="I137" s="14">
        <f t="shared" si="19"/>
        <v>352</v>
      </c>
      <c r="J137" s="15">
        <v>0.01</v>
      </c>
      <c r="K137" s="15">
        <f t="shared" si="21"/>
        <v>2.5000000000000001E-3</v>
      </c>
      <c r="L137" s="14" t="s">
        <v>26</v>
      </c>
      <c r="M137" s="14">
        <f t="shared" si="22"/>
        <v>3.52</v>
      </c>
      <c r="N137" s="14">
        <f t="shared" si="20"/>
        <v>0.88</v>
      </c>
      <c r="O137" s="11" t="s">
        <v>597</v>
      </c>
      <c r="P137" s="11" t="s">
        <v>597</v>
      </c>
      <c r="Q137" s="11"/>
      <c r="R137" s="11">
        <v>1</v>
      </c>
      <c r="S137" s="11" t="s">
        <v>597</v>
      </c>
      <c r="T137" s="16" t="s">
        <v>31</v>
      </c>
    </row>
    <row r="138" spans="1:20" x14ac:dyDescent="0.25">
      <c r="A138" s="10">
        <v>45736</v>
      </c>
      <c r="B138" s="11">
        <v>120871</v>
      </c>
      <c r="C138" s="11" t="s">
        <v>31</v>
      </c>
      <c r="D138" s="11" t="s">
        <v>629</v>
      </c>
      <c r="E138" s="11" t="s">
        <v>40</v>
      </c>
      <c r="F138" s="11" t="s">
        <v>41</v>
      </c>
      <c r="G138" s="12">
        <v>1</v>
      </c>
      <c r="H138" s="13">
        <v>2944.15</v>
      </c>
      <c r="I138" s="14">
        <f t="shared" si="19"/>
        <v>2944.15</v>
      </c>
      <c r="J138" s="15">
        <v>7.0000000000000007E-2</v>
      </c>
      <c r="K138" s="15">
        <f t="shared" si="21"/>
        <v>1.7500000000000002E-2</v>
      </c>
      <c r="L138" s="14" t="s">
        <v>26</v>
      </c>
      <c r="M138" s="14">
        <f t="shared" si="22"/>
        <v>206.09050000000002</v>
      </c>
      <c r="N138" s="14">
        <f t="shared" si="20"/>
        <v>51.522625000000005</v>
      </c>
      <c r="O138" s="11" t="s">
        <v>27</v>
      </c>
      <c r="P138" s="11" t="s">
        <v>27</v>
      </c>
      <c r="Q138" s="11"/>
      <c r="R138" s="11">
        <v>6</v>
      </c>
      <c r="S138" s="11" t="s">
        <v>28</v>
      </c>
      <c r="T138" s="16" t="s">
        <v>31</v>
      </c>
    </row>
    <row r="139" spans="1:20" x14ac:dyDescent="0.25">
      <c r="A139" s="10">
        <v>45736</v>
      </c>
      <c r="B139" s="11">
        <v>120906</v>
      </c>
      <c r="C139" s="11" t="s">
        <v>31</v>
      </c>
      <c r="D139" s="11" t="s">
        <v>630</v>
      </c>
      <c r="E139" s="11" t="s">
        <v>40</v>
      </c>
      <c r="F139" s="11" t="s">
        <v>41</v>
      </c>
      <c r="G139" s="12">
        <v>2</v>
      </c>
      <c r="H139" s="13">
        <f>4914.08/2</f>
        <v>2457.04</v>
      </c>
      <c r="I139" s="14">
        <f t="shared" si="19"/>
        <v>4914.08</v>
      </c>
      <c r="J139" s="15">
        <v>7.0000000000000007E-2</v>
      </c>
      <c r="K139" s="15">
        <f t="shared" si="21"/>
        <v>1.7500000000000002E-2</v>
      </c>
      <c r="L139" s="14" t="s">
        <v>26</v>
      </c>
      <c r="M139" s="14">
        <f t="shared" si="22"/>
        <v>343.98560000000003</v>
      </c>
      <c r="N139" s="14">
        <f t="shared" si="20"/>
        <v>85.996400000000008</v>
      </c>
      <c r="O139" s="11" t="s">
        <v>27</v>
      </c>
      <c r="P139" s="11" t="s">
        <v>27</v>
      </c>
      <c r="Q139" s="11"/>
      <c r="R139" s="11">
        <v>6</v>
      </c>
      <c r="S139" s="11" t="s">
        <v>28</v>
      </c>
      <c r="T139" s="16" t="s">
        <v>31</v>
      </c>
    </row>
    <row r="140" spans="1:20" x14ac:dyDescent="0.25">
      <c r="A140" s="10">
        <v>45741</v>
      </c>
      <c r="B140" s="11">
        <v>120629</v>
      </c>
      <c r="C140" s="11" t="s">
        <v>31</v>
      </c>
      <c r="D140" s="11" t="s">
        <v>631</v>
      </c>
      <c r="E140" s="11" t="s">
        <v>47</v>
      </c>
      <c r="F140" s="11" t="s">
        <v>554</v>
      </c>
      <c r="G140" s="12">
        <v>296</v>
      </c>
      <c r="H140" s="13">
        <v>157.5</v>
      </c>
      <c r="I140" s="14">
        <f t="shared" si="19"/>
        <v>46620</v>
      </c>
      <c r="J140" s="15">
        <v>6.8000000000000005E-2</v>
      </c>
      <c r="K140" s="15">
        <f t="shared" si="21"/>
        <v>1.7000000000000001E-2</v>
      </c>
      <c r="L140" s="14" t="s">
        <v>46</v>
      </c>
      <c r="M140" s="14">
        <f t="shared" si="22"/>
        <v>3170.1600000000003</v>
      </c>
      <c r="N140" s="14">
        <f t="shared" si="20"/>
        <v>792.54000000000008</v>
      </c>
      <c r="O140" s="11" t="s">
        <v>27</v>
      </c>
      <c r="P140" s="11" t="s">
        <v>27</v>
      </c>
      <c r="Q140" s="11"/>
      <c r="R140" s="11">
        <v>12</v>
      </c>
      <c r="S140" s="11" t="s">
        <v>28</v>
      </c>
      <c r="T140" s="16" t="s">
        <v>31</v>
      </c>
    </row>
    <row r="141" spans="1:20" x14ac:dyDescent="0.25">
      <c r="A141" s="10">
        <v>45741</v>
      </c>
      <c r="B141" s="11">
        <v>120629</v>
      </c>
      <c r="C141" s="11" t="s">
        <v>31</v>
      </c>
      <c r="D141" s="11" t="s">
        <v>631</v>
      </c>
      <c r="E141" s="11" t="s">
        <v>63</v>
      </c>
      <c r="F141" s="11" t="s">
        <v>554</v>
      </c>
      <c r="G141" s="12">
        <v>24</v>
      </c>
      <c r="H141" s="13">
        <v>157.5</v>
      </c>
      <c r="I141" s="14">
        <f t="shared" si="19"/>
        <v>3780</v>
      </c>
      <c r="J141" s="15">
        <v>6.8000000000000005E-2</v>
      </c>
      <c r="K141" s="15">
        <f t="shared" si="21"/>
        <v>1.7000000000000001E-2</v>
      </c>
      <c r="L141" s="14" t="s">
        <v>46</v>
      </c>
      <c r="M141" s="14">
        <f t="shared" si="22"/>
        <v>257.04000000000002</v>
      </c>
      <c r="N141" s="14">
        <f t="shared" si="20"/>
        <v>64.260000000000005</v>
      </c>
      <c r="O141" s="11" t="s">
        <v>27</v>
      </c>
      <c r="P141" s="11" t="s">
        <v>27</v>
      </c>
      <c r="Q141" s="11"/>
      <c r="R141" s="11">
        <v>12</v>
      </c>
      <c r="S141" s="11" t="s">
        <v>28</v>
      </c>
      <c r="T141" s="16" t="s">
        <v>31</v>
      </c>
    </row>
    <row r="142" spans="1:20" x14ac:dyDescent="0.25">
      <c r="A142" s="10">
        <v>45741</v>
      </c>
      <c r="B142" s="11">
        <v>120629</v>
      </c>
      <c r="C142" s="11" t="s">
        <v>31</v>
      </c>
      <c r="D142" s="11" t="s">
        <v>631</v>
      </c>
      <c r="E142" s="11" t="s">
        <v>54</v>
      </c>
      <c r="F142" s="11" t="s">
        <v>554</v>
      </c>
      <c r="G142" s="12">
        <v>80</v>
      </c>
      <c r="H142" s="13">
        <v>157.5</v>
      </c>
      <c r="I142" s="14">
        <f t="shared" si="19"/>
        <v>12600</v>
      </c>
      <c r="J142" s="15">
        <v>6.8000000000000005E-2</v>
      </c>
      <c r="K142" s="15">
        <f t="shared" si="21"/>
        <v>1.7000000000000001E-2</v>
      </c>
      <c r="L142" s="14" t="s">
        <v>46</v>
      </c>
      <c r="M142" s="14">
        <f t="shared" si="22"/>
        <v>856.80000000000007</v>
      </c>
      <c r="N142" s="14">
        <f t="shared" si="20"/>
        <v>214.20000000000002</v>
      </c>
      <c r="O142" s="11" t="s">
        <v>27</v>
      </c>
      <c r="P142" s="11" t="s">
        <v>27</v>
      </c>
      <c r="Q142" s="11"/>
      <c r="R142" s="11">
        <v>12</v>
      </c>
      <c r="S142" s="11" t="s">
        <v>28</v>
      </c>
      <c r="T142" s="16" t="s">
        <v>31</v>
      </c>
    </row>
    <row r="143" spans="1:20" x14ac:dyDescent="0.25">
      <c r="A143" s="10">
        <v>45741</v>
      </c>
      <c r="B143" s="11">
        <v>120629</v>
      </c>
      <c r="C143" s="11" t="s">
        <v>31</v>
      </c>
      <c r="D143" s="11" t="s">
        <v>631</v>
      </c>
      <c r="E143" s="11" t="s">
        <v>47</v>
      </c>
      <c r="F143" s="11" t="s">
        <v>30</v>
      </c>
      <c r="G143" s="12">
        <v>8</v>
      </c>
      <c r="H143" s="13">
        <v>220.49</v>
      </c>
      <c r="I143" s="14">
        <f t="shared" si="19"/>
        <v>1763.92</v>
      </c>
      <c r="J143" s="15">
        <v>1</v>
      </c>
      <c r="K143" s="15">
        <f t="shared" si="21"/>
        <v>0.25</v>
      </c>
      <c r="L143" s="14" t="s">
        <v>46</v>
      </c>
      <c r="M143" s="14">
        <f t="shared" si="22"/>
        <v>1763.92</v>
      </c>
      <c r="N143" s="14">
        <f t="shared" si="20"/>
        <v>440.98</v>
      </c>
      <c r="O143" s="11" t="s">
        <v>27</v>
      </c>
      <c r="P143" s="11" t="s">
        <v>27</v>
      </c>
      <c r="Q143" s="11"/>
      <c r="R143" s="11">
        <v>1</v>
      </c>
      <c r="S143" s="11" t="s">
        <v>28</v>
      </c>
      <c r="T143" s="16" t="s">
        <v>31</v>
      </c>
    </row>
    <row r="144" spans="1:20" x14ac:dyDescent="0.25">
      <c r="A144" s="10">
        <v>45741</v>
      </c>
      <c r="B144" s="11">
        <v>120629</v>
      </c>
      <c r="C144" s="11" t="s">
        <v>31</v>
      </c>
      <c r="D144" s="11" t="s">
        <v>631</v>
      </c>
      <c r="E144" s="11" t="s">
        <v>63</v>
      </c>
      <c r="F144" s="11" t="s">
        <v>30</v>
      </c>
      <c r="G144" s="12">
        <v>3</v>
      </c>
      <c r="H144" s="13">
        <v>78.569999999999993</v>
      </c>
      <c r="I144" s="14">
        <f t="shared" si="19"/>
        <v>235.70999999999998</v>
      </c>
      <c r="J144" s="15">
        <v>1</v>
      </c>
      <c r="K144" s="15">
        <f t="shared" si="21"/>
        <v>0.25</v>
      </c>
      <c r="L144" s="14" t="s">
        <v>46</v>
      </c>
      <c r="M144" s="14">
        <f t="shared" si="22"/>
        <v>235.70999999999998</v>
      </c>
      <c r="N144" s="14">
        <f t="shared" si="20"/>
        <v>58.927499999999995</v>
      </c>
      <c r="O144" s="11" t="s">
        <v>27</v>
      </c>
      <c r="P144" s="11" t="s">
        <v>27</v>
      </c>
      <c r="Q144" s="11"/>
      <c r="R144" s="11">
        <v>1</v>
      </c>
      <c r="S144" s="11" t="s">
        <v>28</v>
      </c>
      <c r="T144" s="16" t="s">
        <v>31</v>
      </c>
    </row>
    <row r="145" spans="1:20" x14ac:dyDescent="0.25">
      <c r="A145" s="10">
        <v>45741</v>
      </c>
      <c r="B145" s="11">
        <v>120629</v>
      </c>
      <c r="C145" s="11" t="s">
        <v>31</v>
      </c>
      <c r="D145" s="11" t="s">
        <v>631</v>
      </c>
      <c r="E145" s="11" t="s">
        <v>54</v>
      </c>
      <c r="F145" s="11" t="s">
        <v>30</v>
      </c>
      <c r="G145" s="12">
        <v>1</v>
      </c>
      <c r="H145" s="13">
        <v>114.05</v>
      </c>
      <c r="I145" s="14">
        <f t="shared" si="19"/>
        <v>114.05</v>
      </c>
      <c r="J145" s="15">
        <v>1</v>
      </c>
      <c r="K145" s="15">
        <f t="shared" si="21"/>
        <v>0.25</v>
      </c>
      <c r="L145" s="14" t="s">
        <v>46</v>
      </c>
      <c r="M145" s="14">
        <f t="shared" si="22"/>
        <v>114.05</v>
      </c>
      <c r="N145" s="14">
        <f t="shared" si="20"/>
        <v>28.512499999999999</v>
      </c>
      <c r="O145" s="11" t="s">
        <v>27</v>
      </c>
      <c r="P145" s="11" t="s">
        <v>27</v>
      </c>
      <c r="Q145" s="11"/>
      <c r="R145" s="11">
        <v>1</v>
      </c>
      <c r="S145" s="11" t="s">
        <v>28</v>
      </c>
      <c r="T145" s="16" t="s">
        <v>31</v>
      </c>
    </row>
    <row r="146" spans="1:20" x14ac:dyDescent="0.25">
      <c r="A146" s="10">
        <v>45741</v>
      </c>
      <c r="B146" s="11">
        <v>121179</v>
      </c>
      <c r="C146" s="11" t="s">
        <v>31</v>
      </c>
      <c r="D146" s="11" t="s">
        <v>631</v>
      </c>
      <c r="E146" s="11" t="s">
        <v>102</v>
      </c>
      <c r="F146" s="11" t="s">
        <v>41</v>
      </c>
      <c r="G146" s="12">
        <v>1</v>
      </c>
      <c r="H146" s="13">
        <v>1600</v>
      </c>
      <c r="I146" s="14">
        <f t="shared" si="19"/>
        <v>1600</v>
      </c>
      <c r="J146" s="15">
        <v>7.0000000000000007E-2</v>
      </c>
      <c r="K146" s="15">
        <f t="shared" si="21"/>
        <v>1.7500000000000002E-2</v>
      </c>
      <c r="L146" s="14" t="s">
        <v>46</v>
      </c>
      <c r="M146" s="14">
        <f t="shared" si="22"/>
        <v>112.00000000000001</v>
      </c>
      <c r="N146" s="14">
        <f t="shared" si="20"/>
        <v>28.000000000000004</v>
      </c>
      <c r="O146" s="11" t="s">
        <v>27</v>
      </c>
      <c r="P146" s="11" t="s">
        <v>27</v>
      </c>
      <c r="Q146" s="11"/>
      <c r="R146" s="11">
        <v>4</v>
      </c>
      <c r="S146" s="11" t="s">
        <v>28</v>
      </c>
      <c r="T146" s="16" t="s">
        <v>31</v>
      </c>
    </row>
    <row r="147" spans="1:20" x14ac:dyDescent="0.25">
      <c r="A147" s="10">
        <v>45741</v>
      </c>
      <c r="B147" s="11">
        <v>121179</v>
      </c>
      <c r="C147" s="11" t="s">
        <v>31</v>
      </c>
      <c r="D147" s="11" t="s">
        <v>631</v>
      </c>
      <c r="E147" s="11" t="s">
        <v>102</v>
      </c>
      <c r="F147" s="11" t="s">
        <v>30</v>
      </c>
      <c r="G147" s="12">
        <v>9</v>
      </c>
      <c r="H147" s="13">
        <v>95.2</v>
      </c>
      <c r="I147" s="14">
        <f t="shared" si="19"/>
        <v>856.80000000000007</v>
      </c>
      <c r="J147" s="15">
        <v>1</v>
      </c>
      <c r="K147" s="15">
        <f t="shared" si="21"/>
        <v>0.25</v>
      </c>
      <c r="L147" s="14" t="s">
        <v>46</v>
      </c>
      <c r="M147" s="14">
        <f t="shared" si="22"/>
        <v>856.80000000000007</v>
      </c>
      <c r="N147" s="14">
        <f t="shared" si="20"/>
        <v>214.20000000000002</v>
      </c>
      <c r="O147" s="11" t="s">
        <v>27</v>
      </c>
      <c r="P147" s="11" t="s">
        <v>27</v>
      </c>
      <c r="Q147" s="11"/>
      <c r="R147" s="11">
        <v>1</v>
      </c>
      <c r="S147" s="11" t="s">
        <v>28</v>
      </c>
      <c r="T147" s="16" t="s">
        <v>31</v>
      </c>
    </row>
    <row r="148" spans="1:20" x14ac:dyDescent="0.25">
      <c r="A148" s="10">
        <v>45741</v>
      </c>
      <c r="B148" s="11">
        <v>121179</v>
      </c>
      <c r="C148" s="11" t="s">
        <v>31</v>
      </c>
      <c r="D148" s="11" t="s">
        <v>631</v>
      </c>
      <c r="E148" s="11" t="s">
        <v>102</v>
      </c>
      <c r="F148" s="11" t="s">
        <v>30</v>
      </c>
      <c r="G148" s="12">
        <v>1</v>
      </c>
      <c r="H148" s="13">
        <v>2013.93</v>
      </c>
      <c r="I148" s="14">
        <f t="shared" si="19"/>
        <v>2013.93</v>
      </c>
      <c r="J148" s="15">
        <v>1</v>
      </c>
      <c r="K148" s="15">
        <f t="shared" si="21"/>
        <v>0.25</v>
      </c>
      <c r="L148" s="14" t="s">
        <v>46</v>
      </c>
      <c r="M148" s="14">
        <f t="shared" si="22"/>
        <v>2013.93</v>
      </c>
      <c r="N148" s="14">
        <f t="shared" si="20"/>
        <v>503.48250000000002</v>
      </c>
      <c r="O148" s="11" t="s">
        <v>27</v>
      </c>
      <c r="P148" s="11" t="s">
        <v>27</v>
      </c>
      <c r="Q148" s="11"/>
      <c r="R148" s="11">
        <v>1</v>
      </c>
      <c r="S148" s="11" t="s">
        <v>28</v>
      </c>
      <c r="T148" s="16" t="s">
        <v>31</v>
      </c>
    </row>
    <row r="149" spans="1:20" x14ac:dyDescent="0.25">
      <c r="A149" s="10">
        <v>45742</v>
      </c>
      <c r="B149" s="11">
        <v>102185</v>
      </c>
      <c r="C149" s="11" t="s">
        <v>44</v>
      </c>
      <c r="D149" s="11" t="s">
        <v>622</v>
      </c>
      <c r="E149" s="11" t="s">
        <v>54</v>
      </c>
      <c r="F149" s="11" t="s">
        <v>30</v>
      </c>
      <c r="G149" s="12">
        <v>1</v>
      </c>
      <c r="H149" s="13">
        <v>142.56</v>
      </c>
      <c r="I149" s="14">
        <f t="shared" si="19"/>
        <v>142.56</v>
      </c>
      <c r="J149" s="15">
        <v>1</v>
      </c>
      <c r="K149" s="15">
        <f t="shared" si="21"/>
        <v>0.25</v>
      </c>
      <c r="L149" s="14" t="s">
        <v>26</v>
      </c>
      <c r="M149" s="14">
        <f t="shared" si="22"/>
        <v>142.56</v>
      </c>
      <c r="N149" s="14">
        <f t="shared" si="20"/>
        <v>35.64</v>
      </c>
      <c r="O149" s="11" t="s">
        <v>27</v>
      </c>
      <c r="P149" s="11" t="s">
        <v>27</v>
      </c>
      <c r="Q149" s="11"/>
      <c r="R149" s="11">
        <v>1</v>
      </c>
      <c r="S149" s="11" t="s">
        <v>28</v>
      </c>
      <c r="T149" s="16" t="s">
        <v>44</v>
      </c>
    </row>
    <row r="150" spans="1:20" x14ac:dyDescent="0.25">
      <c r="A150" s="10">
        <v>45743</v>
      </c>
      <c r="B150" s="11">
        <v>121330</v>
      </c>
      <c r="C150" s="11" t="s">
        <v>31</v>
      </c>
      <c r="D150" s="11" t="s">
        <v>632</v>
      </c>
      <c r="E150" s="11" t="s">
        <v>40</v>
      </c>
      <c r="F150" s="11" t="s">
        <v>41</v>
      </c>
      <c r="G150" s="12">
        <v>1</v>
      </c>
      <c r="H150" s="13">
        <v>2996.91</v>
      </c>
      <c r="I150" s="14">
        <f t="shared" si="19"/>
        <v>2996.91</v>
      </c>
      <c r="J150" s="15">
        <v>7.0000000000000007E-2</v>
      </c>
      <c r="K150" s="15">
        <f t="shared" si="21"/>
        <v>1.7500000000000002E-2</v>
      </c>
      <c r="L150" s="14" t="s">
        <v>26</v>
      </c>
      <c r="M150" s="14">
        <f t="shared" si="22"/>
        <v>209.78370000000001</v>
      </c>
      <c r="N150" s="14">
        <f t="shared" si="20"/>
        <v>52.445925000000003</v>
      </c>
      <c r="O150" s="11" t="s">
        <v>27</v>
      </c>
      <c r="P150" s="11" t="s">
        <v>27</v>
      </c>
      <c r="Q150" s="11"/>
      <c r="R150" s="11">
        <v>6</v>
      </c>
      <c r="S150" s="11" t="s">
        <v>28</v>
      </c>
      <c r="T150" s="16" t="s">
        <v>31</v>
      </c>
    </row>
    <row r="151" spans="1:20" x14ac:dyDescent="0.25">
      <c r="A151" s="10">
        <v>45743</v>
      </c>
      <c r="B151" s="11">
        <v>118856</v>
      </c>
      <c r="C151" s="11" t="s">
        <v>31</v>
      </c>
      <c r="D151" s="11" t="s">
        <v>614</v>
      </c>
      <c r="E151" s="11" t="s">
        <v>35</v>
      </c>
      <c r="F151" s="11" t="s">
        <v>35</v>
      </c>
      <c r="G151" s="12">
        <v>5</v>
      </c>
      <c r="H151" s="13">
        <v>176</v>
      </c>
      <c r="I151" s="14">
        <f t="shared" si="19"/>
        <v>880</v>
      </c>
      <c r="J151" s="15">
        <v>0.01</v>
      </c>
      <c r="K151" s="15">
        <f t="shared" si="21"/>
        <v>2.5000000000000001E-3</v>
      </c>
      <c r="L151" s="14" t="s">
        <v>26</v>
      </c>
      <c r="M151" s="14">
        <f t="shared" si="22"/>
        <v>8.8000000000000007</v>
      </c>
      <c r="N151" s="14">
        <f t="shared" si="20"/>
        <v>2.2000000000000002</v>
      </c>
      <c r="O151" s="11" t="s">
        <v>27</v>
      </c>
      <c r="P151" s="11" t="s">
        <v>27</v>
      </c>
      <c r="Q151" s="11"/>
      <c r="R151" s="11">
        <v>3</v>
      </c>
      <c r="S151" s="11" t="s">
        <v>597</v>
      </c>
      <c r="T151" s="16" t="s">
        <v>31</v>
      </c>
    </row>
    <row r="152" spans="1:20" x14ac:dyDescent="0.25">
      <c r="A152" s="18">
        <v>45748</v>
      </c>
      <c r="B152" s="11">
        <v>120127</v>
      </c>
      <c r="C152" s="11" t="s">
        <v>44</v>
      </c>
      <c r="D152" s="11" t="s">
        <v>633</v>
      </c>
      <c r="E152" s="11" t="s">
        <v>47</v>
      </c>
      <c r="F152" s="11" t="s">
        <v>554</v>
      </c>
      <c r="G152" s="12">
        <f>376+80</f>
        <v>456</v>
      </c>
      <c r="H152" s="13">
        <v>176</v>
      </c>
      <c r="I152" s="14">
        <f t="shared" si="19"/>
        <v>80256</v>
      </c>
      <c r="J152" s="15">
        <v>0.05</v>
      </c>
      <c r="K152" s="15">
        <f t="shared" si="21"/>
        <v>1.2500000000000001E-2</v>
      </c>
      <c r="L152" s="14" t="s">
        <v>46</v>
      </c>
      <c r="M152" s="14">
        <f t="shared" si="22"/>
        <v>4012.8</v>
      </c>
      <c r="N152" s="14">
        <f t="shared" si="20"/>
        <v>1003.2</v>
      </c>
      <c r="O152" s="11" t="s">
        <v>27</v>
      </c>
      <c r="P152" s="11" t="s">
        <v>27</v>
      </c>
      <c r="Q152" s="11"/>
      <c r="R152" s="11">
        <v>6</v>
      </c>
      <c r="S152" s="11" t="s">
        <v>28</v>
      </c>
      <c r="T152" s="16" t="s">
        <v>44</v>
      </c>
    </row>
    <row r="153" spans="1:20" x14ac:dyDescent="0.25">
      <c r="A153" s="10">
        <v>45748</v>
      </c>
      <c r="B153" s="11">
        <v>120127</v>
      </c>
      <c r="C153" s="11" t="s">
        <v>44</v>
      </c>
      <c r="D153" s="11" t="s">
        <v>633</v>
      </c>
      <c r="E153" s="11" t="s">
        <v>63</v>
      </c>
      <c r="F153" s="11" t="s">
        <v>554</v>
      </c>
      <c r="G153" s="12">
        <v>44</v>
      </c>
      <c r="H153" s="13">
        <v>176</v>
      </c>
      <c r="I153" s="14">
        <f t="shared" si="19"/>
        <v>7744</v>
      </c>
      <c r="J153" s="15">
        <v>0.05</v>
      </c>
      <c r="K153" s="15">
        <f t="shared" si="21"/>
        <v>1.2500000000000001E-2</v>
      </c>
      <c r="L153" s="14" t="s">
        <v>46</v>
      </c>
      <c r="M153" s="14">
        <f t="shared" si="22"/>
        <v>387.20000000000005</v>
      </c>
      <c r="N153" s="14">
        <f t="shared" si="20"/>
        <v>96.800000000000011</v>
      </c>
      <c r="O153" s="11" t="s">
        <v>27</v>
      </c>
      <c r="P153" s="11" t="s">
        <v>27</v>
      </c>
      <c r="Q153" s="11"/>
      <c r="R153" s="11">
        <v>6</v>
      </c>
      <c r="S153" s="11" t="s">
        <v>28</v>
      </c>
      <c r="T153" s="16" t="s">
        <v>44</v>
      </c>
    </row>
    <row r="154" spans="1:20" x14ac:dyDescent="0.25">
      <c r="A154" s="10">
        <v>45748</v>
      </c>
      <c r="B154" s="11">
        <v>120127</v>
      </c>
      <c r="C154" s="11" t="s">
        <v>44</v>
      </c>
      <c r="D154" s="11" t="s">
        <v>633</v>
      </c>
      <c r="E154" s="11" t="s">
        <v>47</v>
      </c>
      <c r="F154" s="11" t="s">
        <v>30</v>
      </c>
      <c r="G154" s="12">
        <v>6</v>
      </c>
      <c r="H154" s="13">
        <v>275.62</v>
      </c>
      <c r="I154" s="14">
        <f t="shared" si="19"/>
        <v>1653.72</v>
      </c>
      <c r="J154" s="15">
        <v>1</v>
      </c>
      <c r="K154" s="15">
        <f t="shared" si="21"/>
        <v>0.25</v>
      </c>
      <c r="L154" s="14" t="s">
        <v>46</v>
      </c>
      <c r="M154" s="14">
        <f t="shared" si="22"/>
        <v>1653.72</v>
      </c>
      <c r="N154" s="14">
        <f t="shared" si="20"/>
        <v>413.43</v>
      </c>
      <c r="O154" s="11" t="s">
        <v>27</v>
      </c>
      <c r="P154" s="11" t="s">
        <v>27</v>
      </c>
      <c r="Q154" s="11"/>
      <c r="R154" s="11">
        <v>1</v>
      </c>
      <c r="S154" s="11" t="s">
        <v>28</v>
      </c>
      <c r="T154" s="16" t="s">
        <v>44</v>
      </c>
    </row>
    <row r="155" spans="1:20" x14ac:dyDescent="0.25">
      <c r="A155" s="10">
        <v>45748</v>
      </c>
      <c r="B155" s="11">
        <v>120127</v>
      </c>
      <c r="C155" s="11" t="s">
        <v>44</v>
      </c>
      <c r="D155" s="11" t="s">
        <v>633</v>
      </c>
      <c r="E155" s="11" t="s">
        <v>54</v>
      </c>
      <c r="F155" s="11" t="s">
        <v>30</v>
      </c>
      <c r="G155" s="12">
        <v>5</v>
      </c>
      <c r="H155" s="13">
        <v>142.56</v>
      </c>
      <c r="I155" s="14">
        <f t="shared" si="19"/>
        <v>712.8</v>
      </c>
      <c r="J155" s="15">
        <v>1</v>
      </c>
      <c r="K155" s="15">
        <f t="shared" si="21"/>
        <v>0.25</v>
      </c>
      <c r="L155" s="14" t="s">
        <v>46</v>
      </c>
      <c r="M155" s="14">
        <f t="shared" si="22"/>
        <v>712.8</v>
      </c>
      <c r="N155" s="14">
        <f t="shared" si="20"/>
        <v>178.2</v>
      </c>
      <c r="O155" s="11" t="s">
        <v>27</v>
      </c>
      <c r="P155" s="11" t="s">
        <v>27</v>
      </c>
      <c r="Q155" s="11"/>
      <c r="R155" s="11">
        <v>1</v>
      </c>
      <c r="S155" s="11" t="s">
        <v>28</v>
      </c>
      <c r="T155" s="16" t="s">
        <v>44</v>
      </c>
    </row>
    <row r="156" spans="1:20" x14ac:dyDescent="0.25">
      <c r="A156" s="10">
        <v>45748</v>
      </c>
      <c r="B156" s="11">
        <v>120127</v>
      </c>
      <c r="C156" s="11" t="s">
        <v>44</v>
      </c>
      <c r="D156" s="11" t="s">
        <v>633</v>
      </c>
      <c r="E156" s="11" t="s">
        <v>345</v>
      </c>
      <c r="F156" s="11" t="s">
        <v>30</v>
      </c>
      <c r="G156" s="12">
        <v>1</v>
      </c>
      <c r="H156" s="13">
        <v>0</v>
      </c>
      <c r="I156" s="14">
        <f t="shared" si="19"/>
        <v>0</v>
      </c>
      <c r="J156" s="15">
        <v>1</v>
      </c>
      <c r="K156" s="15">
        <f t="shared" si="21"/>
        <v>0.25</v>
      </c>
      <c r="L156" s="14" t="s">
        <v>46</v>
      </c>
      <c r="M156" s="14">
        <f t="shared" si="22"/>
        <v>0</v>
      </c>
      <c r="N156" s="14">
        <f t="shared" si="20"/>
        <v>0</v>
      </c>
      <c r="O156" s="11" t="s">
        <v>27</v>
      </c>
      <c r="P156" s="11" t="s">
        <v>27</v>
      </c>
      <c r="Q156" s="11"/>
      <c r="R156" s="11">
        <v>1</v>
      </c>
      <c r="S156" s="11" t="s">
        <v>28</v>
      </c>
      <c r="T156" s="16" t="s">
        <v>44</v>
      </c>
    </row>
    <row r="157" spans="1:20" x14ac:dyDescent="0.25">
      <c r="A157" s="10">
        <v>45748</v>
      </c>
      <c r="B157" s="11">
        <v>120127</v>
      </c>
      <c r="C157" s="11" t="s">
        <v>44</v>
      </c>
      <c r="D157" s="11" t="s">
        <v>633</v>
      </c>
      <c r="E157" s="11" t="s">
        <v>145</v>
      </c>
      <c r="F157" s="11" t="s">
        <v>30</v>
      </c>
      <c r="G157" s="12">
        <v>1</v>
      </c>
      <c r="H157" s="13">
        <v>356.4</v>
      </c>
      <c r="I157" s="14">
        <v>0</v>
      </c>
      <c r="J157" s="15">
        <v>1</v>
      </c>
      <c r="K157" s="15">
        <f t="shared" si="21"/>
        <v>0.25</v>
      </c>
      <c r="L157" s="14" t="s">
        <v>46</v>
      </c>
      <c r="M157" s="14">
        <f t="shared" si="22"/>
        <v>0</v>
      </c>
      <c r="N157" s="14">
        <f t="shared" si="20"/>
        <v>0</v>
      </c>
      <c r="O157" s="11" t="s">
        <v>27</v>
      </c>
      <c r="P157" s="11" t="s">
        <v>27</v>
      </c>
      <c r="Q157" s="11"/>
      <c r="R157" s="11">
        <v>1</v>
      </c>
      <c r="S157" s="11" t="s">
        <v>28</v>
      </c>
      <c r="T157" s="16" t="s">
        <v>44</v>
      </c>
    </row>
    <row r="158" spans="1:20" x14ac:dyDescent="0.25">
      <c r="A158" s="10">
        <v>45748</v>
      </c>
      <c r="B158" s="11">
        <v>120127</v>
      </c>
      <c r="C158" s="11" t="s">
        <v>44</v>
      </c>
      <c r="D158" s="11" t="s">
        <v>633</v>
      </c>
      <c r="E158" s="11" t="s">
        <v>583</v>
      </c>
      <c r="F158" s="11" t="s">
        <v>30</v>
      </c>
      <c r="G158" s="12">
        <v>1</v>
      </c>
      <c r="H158" s="13">
        <v>356.4</v>
      </c>
      <c r="I158" s="14">
        <f t="shared" ref="I158:I175" si="23">G158*H158</f>
        <v>356.4</v>
      </c>
      <c r="J158" s="15">
        <v>1</v>
      </c>
      <c r="K158" s="15">
        <f t="shared" si="21"/>
        <v>0.25</v>
      </c>
      <c r="L158" s="14" t="s">
        <v>46</v>
      </c>
      <c r="M158" s="14">
        <f t="shared" si="22"/>
        <v>356.4</v>
      </c>
      <c r="N158" s="14">
        <f t="shared" si="20"/>
        <v>89.1</v>
      </c>
      <c r="O158" s="11" t="s">
        <v>27</v>
      </c>
      <c r="P158" s="11" t="s">
        <v>27</v>
      </c>
      <c r="Q158" s="11"/>
      <c r="R158" s="11">
        <v>1</v>
      </c>
      <c r="S158" s="11" t="s">
        <v>28</v>
      </c>
      <c r="T158" s="16" t="s">
        <v>44</v>
      </c>
    </row>
    <row r="159" spans="1:20" x14ac:dyDescent="0.25">
      <c r="A159" s="10">
        <v>45748</v>
      </c>
      <c r="B159" s="11">
        <v>120127</v>
      </c>
      <c r="C159" s="11" t="s">
        <v>44</v>
      </c>
      <c r="D159" s="11" t="s">
        <v>633</v>
      </c>
      <c r="E159" s="11" t="s">
        <v>48</v>
      </c>
      <c r="F159" s="11" t="s">
        <v>30</v>
      </c>
      <c r="G159" s="12">
        <v>1</v>
      </c>
      <c r="H159" s="13">
        <v>356.4</v>
      </c>
      <c r="I159" s="14">
        <f t="shared" si="23"/>
        <v>356.4</v>
      </c>
      <c r="J159" s="15">
        <v>1</v>
      </c>
      <c r="K159" s="15">
        <f t="shared" si="21"/>
        <v>0.25</v>
      </c>
      <c r="L159" s="14" t="s">
        <v>46</v>
      </c>
      <c r="M159" s="14">
        <f t="shared" si="22"/>
        <v>356.4</v>
      </c>
      <c r="N159" s="14">
        <f t="shared" si="20"/>
        <v>89.1</v>
      </c>
      <c r="O159" s="11" t="s">
        <v>27</v>
      </c>
      <c r="P159" s="11" t="s">
        <v>27</v>
      </c>
      <c r="Q159" s="11"/>
      <c r="R159" s="11">
        <v>1</v>
      </c>
      <c r="S159" s="11" t="s">
        <v>28</v>
      </c>
      <c r="T159" s="16" t="s">
        <v>44</v>
      </c>
    </row>
    <row r="160" spans="1:20" x14ac:dyDescent="0.25">
      <c r="A160" s="10">
        <v>45748</v>
      </c>
      <c r="B160" s="11">
        <v>120127</v>
      </c>
      <c r="C160" s="11" t="s">
        <v>44</v>
      </c>
      <c r="D160" s="11" t="s">
        <v>633</v>
      </c>
      <c r="E160" s="11" t="s">
        <v>63</v>
      </c>
      <c r="F160" s="11" t="s">
        <v>30</v>
      </c>
      <c r="G160" s="12">
        <v>15</v>
      </c>
      <c r="H160" s="13">
        <v>95</v>
      </c>
      <c r="I160" s="14">
        <f t="shared" si="23"/>
        <v>1425</v>
      </c>
      <c r="J160" s="15">
        <v>1</v>
      </c>
      <c r="K160" s="15">
        <f t="shared" si="21"/>
        <v>0.25</v>
      </c>
      <c r="L160" s="14" t="s">
        <v>46</v>
      </c>
      <c r="M160" s="14">
        <f t="shared" si="22"/>
        <v>1425</v>
      </c>
      <c r="N160" s="14">
        <f t="shared" si="20"/>
        <v>356.25</v>
      </c>
      <c r="O160" s="11" t="s">
        <v>27</v>
      </c>
      <c r="P160" s="11" t="s">
        <v>27</v>
      </c>
      <c r="Q160" s="11"/>
      <c r="R160" s="11">
        <v>1</v>
      </c>
      <c r="S160" s="11" t="s">
        <v>28</v>
      </c>
      <c r="T160" s="16" t="s">
        <v>44</v>
      </c>
    </row>
    <row r="161" spans="1:20" x14ac:dyDescent="0.25">
      <c r="A161" s="10">
        <v>45748</v>
      </c>
      <c r="B161" s="11">
        <v>120128</v>
      </c>
      <c r="C161" s="11" t="s">
        <v>44</v>
      </c>
      <c r="D161" s="11" t="s">
        <v>633</v>
      </c>
      <c r="E161" s="11" t="s">
        <v>102</v>
      </c>
      <c r="F161" s="11" t="s">
        <v>30</v>
      </c>
      <c r="G161" s="12">
        <v>1</v>
      </c>
      <c r="H161" s="13">
        <v>2396.36</v>
      </c>
      <c r="I161" s="14">
        <f t="shared" si="23"/>
        <v>2396.36</v>
      </c>
      <c r="J161" s="15">
        <v>1</v>
      </c>
      <c r="K161" s="15">
        <f t="shared" si="21"/>
        <v>0.25</v>
      </c>
      <c r="L161" s="14" t="s">
        <v>46</v>
      </c>
      <c r="M161" s="14">
        <f t="shared" si="22"/>
        <v>2396.36</v>
      </c>
      <c r="N161" s="14">
        <f t="shared" si="20"/>
        <v>599.09</v>
      </c>
      <c r="O161" s="11" t="s">
        <v>27</v>
      </c>
      <c r="P161" s="11" t="s">
        <v>27</v>
      </c>
      <c r="Q161" s="11"/>
      <c r="R161" s="11">
        <v>1</v>
      </c>
      <c r="S161" s="11" t="s">
        <v>28</v>
      </c>
      <c r="T161" s="16" t="s">
        <v>44</v>
      </c>
    </row>
    <row r="162" spans="1:20" x14ac:dyDescent="0.25">
      <c r="A162" s="10">
        <v>45748</v>
      </c>
      <c r="B162" s="11">
        <v>120128</v>
      </c>
      <c r="C162" s="11" t="s">
        <v>44</v>
      </c>
      <c r="D162" s="11" t="s">
        <v>633</v>
      </c>
      <c r="E162" s="11" t="s">
        <v>102</v>
      </c>
      <c r="F162" s="11" t="s">
        <v>30</v>
      </c>
      <c r="G162" s="12">
        <v>25</v>
      </c>
      <c r="H162" s="13">
        <v>84</v>
      </c>
      <c r="I162" s="14">
        <f t="shared" si="23"/>
        <v>2100</v>
      </c>
      <c r="J162" s="15">
        <v>1</v>
      </c>
      <c r="K162" s="15">
        <f t="shared" si="21"/>
        <v>0.25</v>
      </c>
      <c r="L162" s="14" t="s">
        <v>46</v>
      </c>
      <c r="M162" s="14">
        <f t="shared" ref="M162:M193" si="24">J162*I162</f>
        <v>2100</v>
      </c>
      <c r="N162" s="14">
        <f t="shared" si="20"/>
        <v>525</v>
      </c>
      <c r="O162" s="11" t="s">
        <v>27</v>
      </c>
      <c r="P162" s="11" t="s">
        <v>27</v>
      </c>
      <c r="Q162" s="11"/>
      <c r="R162" s="11">
        <v>1</v>
      </c>
      <c r="S162" s="11" t="s">
        <v>28</v>
      </c>
      <c r="T162" s="16" t="s">
        <v>44</v>
      </c>
    </row>
    <row r="163" spans="1:20" x14ac:dyDescent="0.25">
      <c r="A163" s="10">
        <v>45749</v>
      </c>
      <c r="B163" s="11">
        <v>121598</v>
      </c>
      <c r="C163" s="11" t="s">
        <v>22</v>
      </c>
      <c r="D163" s="11" t="s">
        <v>634</v>
      </c>
      <c r="E163" s="11" t="s">
        <v>63</v>
      </c>
      <c r="F163" s="11" t="s">
        <v>30</v>
      </c>
      <c r="G163" s="12">
        <v>3</v>
      </c>
      <c r="H163" s="13">
        <v>82</v>
      </c>
      <c r="I163" s="14">
        <f t="shared" si="23"/>
        <v>246</v>
      </c>
      <c r="J163" s="15">
        <v>1</v>
      </c>
      <c r="K163" s="15">
        <v>0</v>
      </c>
      <c r="L163" s="14" t="s">
        <v>26</v>
      </c>
      <c r="M163" s="14">
        <f t="shared" si="24"/>
        <v>246</v>
      </c>
      <c r="N163" s="14">
        <f t="shared" si="20"/>
        <v>0</v>
      </c>
      <c r="O163" s="11" t="s">
        <v>597</v>
      </c>
      <c r="P163" s="11" t="s">
        <v>597</v>
      </c>
      <c r="Q163" s="11"/>
      <c r="R163" s="11">
        <v>1</v>
      </c>
      <c r="S163" s="11" t="s">
        <v>597</v>
      </c>
      <c r="T163" s="16" t="s">
        <v>22</v>
      </c>
    </row>
    <row r="164" spans="1:20" x14ac:dyDescent="0.25">
      <c r="A164" s="10">
        <v>45749</v>
      </c>
      <c r="B164" s="11">
        <v>121598</v>
      </c>
      <c r="C164" s="11" t="s">
        <v>22</v>
      </c>
      <c r="D164" s="11" t="s">
        <v>634</v>
      </c>
      <c r="E164" s="11" t="s">
        <v>71</v>
      </c>
      <c r="F164" s="11" t="s">
        <v>30</v>
      </c>
      <c r="G164" s="12">
        <v>2</v>
      </c>
      <c r="H164" s="13">
        <v>41</v>
      </c>
      <c r="I164" s="14">
        <f t="shared" si="23"/>
        <v>82</v>
      </c>
      <c r="J164" s="15">
        <v>1</v>
      </c>
      <c r="K164" s="15">
        <v>0</v>
      </c>
      <c r="L164" s="14" t="s">
        <v>26</v>
      </c>
      <c r="M164" s="14">
        <f t="shared" si="24"/>
        <v>82</v>
      </c>
      <c r="N164" s="14">
        <f t="shared" si="20"/>
        <v>0</v>
      </c>
      <c r="O164" s="11" t="s">
        <v>597</v>
      </c>
      <c r="P164" s="11" t="s">
        <v>597</v>
      </c>
      <c r="Q164" s="11"/>
      <c r="R164" s="11">
        <v>1</v>
      </c>
      <c r="S164" s="11" t="s">
        <v>597</v>
      </c>
      <c r="T164" s="16" t="s">
        <v>22</v>
      </c>
    </row>
    <row r="165" spans="1:20" x14ac:dyDescent="0.25">
      <c r="A165" s="10">
        <v>45749</v>
      </c>
      <c r="B165" s="11">
        <v>121598</v>
      </c>
      <c r="C165" s="11" t="s">
        <v>44</v>
      </c>
      <c r="D165" s="11" t="s">
        <v>622</v>
      </c>
      <c r="E165" s="11" t="s">
        <v>24</v>
      </c>
      <c r="F165" s="11" t="s">
        <v>554</v>
      </c>
      <c r="G165" s="12">
        <v>122.6</v>
      </c>
      <c r="H165" s="13">
        <v>190.8</v>
      </c>
      <c r="I165" s="14">
        <f t="shared" si="23"/>
        <v>23392.080000000002</v>
      </c>
      <c r="J165" s="15">
        <v>7.0000000000000007E-2</v>
      </c>
      <c r="K165" s="15">
        <f>J165*0.25</f>
        <v>1.7500000000000002E-2</v>
      </c>
      <c r="L165" s="14" t="s">
        <v>26</v>
      </c>
      <c r="M165" s="14">
        <f t="shared" si="24"/>
        <v>1637.4456000000002</v>
      </c>
      <c r="N165" s="14">
        <f t="shared" si="20"/>
        <v>409.36140000000006</v>
      </c>
      <c r="O165" s="11" t="s">
        <v>597</v>
      </c>
      <c r="P165" s="11" t="s">
        <v>597</v>
      </c>
      <c r="Q165" s="11"/>
      <c r="R165" s="11">
        <v>8</v>
      </c>
      <c r="S165" s="11" t="s">
        <v>597</v>
      </c>
      <c r="T165" s="16" t="s">
        <v>44</v>
      </c>
    </row>
    <row r="166" spans="1:20" x14ac:dyDescent="0.25">
      <c r="A166" s="10">
        <v>45749</v>
      </c>
      <c r="B166" s="11">
        <v>121598</v>
      </c>
      <c r="C166" s="11" t="s">
        <v>44</v>
      </c>
      <c r="D166" s="11" t="s">
        <v>592</v>
      </c>
      <c r="E166" s="11" t="s">
        <v>584</v>
      </c>
      <c r="F166" s="11" t="s">
        <v>30</v>
      </c>
      <c r="G166" s="12">
        <v>1</v>
      </c>
      <c r="H166" s="13">
        <v>300</v>
      </c>
      <c r="I166" s="14">
        <f t="shared" si="23"/>
        <v>300</v>
      </c>
      <c r="J166" s="15">
        <v>1</v>
      </c>
      <c r="K166" s="15">
        <f>J166*0.25</f>
        <v>0.25</v>
      </c>
      <c r="L166" s="14" t="s">
        <v>26</v>
      </c>
      <c r="M166" s="14">
        <f t="shared" si="24"/>
        <v>300</v>
      </c>
      <c r="N166" s="14">
        <f t="shared" si="20"/>
        <v>75</v>
      </c>
      <c r="O166" s="11" t="s">
        <v>27</v>
      </c>
      <c r="P166" s="11" t="s">
        <v>27</v>
      </c>
      <c r="Q166" s="11"/>
      <c r="R166" s="11">
        <v>1</v>
      </c>
      <c r="S166" s="11" t="s">
        <v>27</v>
      </c>
      <c r="T166" s="16" t="s">
        <v>44</v>
      </c>
    </row>
    <row r="167" spans="1:20" x14ac:dyDescent="0.25">
      <c r="A167" s="10">
        <v>45749</v>
      </c>
      <c r="B167" s="11">
        <v>110804</v>
      </c>
      <c r="C167" s="11" t="s">
        <v>31</v>
      </c>
      <c r="D167" s="11" t="s">
        <v>614</v>
      </c>
      <c r="E167" s="11" t="s">
        <v>24</v>
      </c>
      <c r="F167" s="11" t="s">
        <v>554</v>
      </c>
      <c r="G167" s="12">
        <v>13</v>
      </c>
      <c r="H167" s="13">
        <v>210</v>
      </c>
      <c r="I167" s="14">
        <f t="shared" si="23"/>
        <v>2730</v>
      </c>
      <c r="J167" s="15">
        <v>7.0000000000000007E-2</v>
      </c>
      <c r="K167" s="15">
        <f>J167*0.25</f>
        <v>1.7500000000000002E-2</v>
      </c>
      <c r="L167" s="14" t="s">
        <v>26</v>
      </c>
      <c r="M167" s="14">
        <f t="shared" si="24"/>
        <v>191.10000000000002</v>
      </c>
      <c r="N167" s="14">
        <f t="shared" si="20"/>
        <v>47.775000000000006</v>
      </c>
      <c r="O167" s="11" t="s">
        <v>597</v>
      </c>
      <c r="P167" s="11" t="s">
        <v>597</v>
      </c>
      <c r="Q167" s="11"/>
      <c r="R167" s="11">
        <v>6</v>
      </c>
      <c r="S167" s="11" t="s">
        <v>597</v>
      </c>
      <c r="T167" s="16" t="s">
        <v>31</v>
      </c>
    </row>
    <row r="168" spans="1:20" x14ac:dyDescent="0.25">
      <c r="A168" s="10">
        <v>45749</v>
      </c>
      <c r="B168" s="11">
        <v>106541</v>
      </c>
      <c r="C168" s="11" t="s">
        <v>22</v>
      </c>
      <c r="D168" s="11" t="s">
        <v>65</v>
      </c>
      <c r="E168" s="11" t="s">
        <v>24</v>
      </c>
      <c r="F168" s="11" t="s">
        <v>554</v>
      </c>
      <c r="G168" s="12">
        <v>7</v>
      </c>
      <c r="H168" s="13">
        <v>140</v>
      </c>
      <c r="I168" s="14">
        <f t="shared" si="23"/>
        <v>980</v>
      </c>
      <c r="J168" s="15">
        <v>3.5000000000000003E-2</v>
      </c>
      <c r="K168" s="15">
        <v>0</v>
      </c>
      <c r="L168" s="14" t="s">
        <v>26</v>
      </c>
      <c r="M168" s="14">
        <f t="shared" si="24"/>
        <v>34.300000000000004</v>
      </c>
      <c r="N168" s="14">
        <f t="shared" si="20"/>
        <v>0</v>
      </c>
      <c r="O168" s="11" t="s">
        <v>597</v>
      </c>
      <c r="P168" s="11" t="s">
        <v>597</v>
      </c>
      <c r="Q168" s="11"/>
      <c r="R168" s="11">
        <v>1</v>
      </c>
      <c r="S168" s="11" t="s">
        <v>597</v>
      </c>
      <c r="T168" s="16" t="s">
        <v>22</v>
      </c>
    </row>
    <row r="169" spans="1:20" x14ac:dyDescent="0.25">
      <c r="A169" s="10">
        <v>45751</v>
      </c>
      <c r="B169" s="11">
        <v>119821</v>
      </c>
      <c r="C169" s="11" t="s">
        <v>31</v>
      </c>
      <c r="D169" s="11" t="s">
        <v>80</v>
      </c>
      <c r="E169" s="11" t="s">
        <v>24</v>
      </c>
      <c r="F169" s="11" t="s">
        <v>554</v>
      </c>
      <c r="G169" s="12">
        <v>10</v>
      </c>
      <c r="H169" s="13">
        <v>210</v>
      </c>
      <c r="I169" s="14">
        <f t="shared" si="23"/>
        <v>2100</v>
      </c>
      <c r="J169" s="15">
        <v>7.0000000000000007E-2</v>
      </c>
      <c r="K169" s="15">
        <f t="shared" ref="K169:K180" si="25">J169*0.25</f>
        <v>1.7500000000000002E-2</v>
      </c>
      <c r="L169" s="14" t="s">
        <v>26</v>
      </c>
      <c r="M169" s="14">
        <f t="shared" si="24"/>
        <v>147</v>
      </c>
      <c r="N169" s="14">
        <f t="shared" si="20"/>
        <v>36.75</v>
      </c>
      <c r="O169" s="11" t="s">
        <v>597</v>
      </c>
      <c r="P169" s="11" t="s">
        <v>597</v>
      </c>
      <c r="Q169" s="11"/>
      <c r="R169" s="11">
        <v>6</v>
      </c>
      <c r="S169" s="11" t="s">
        <v>597</v>
      </c>
      <c r="T169" s="16" t="s">
        <v>31</v>
      </c>
    </row>
    <row r="170" spans="1:20" x14ac:dyDescent="0.25">
      <c r="A170" s="10">
        <v>45751</v>
      </c>
      <c r="B170" s="11">
        <v>121699</v>
      </c>
      <c r="C170" s="11" t="s">
        <v>31</v>
      </c>
      <c r="D170" s="11" t="s">
        <v>635</v>
      </c>
      <c r="E170" s="11" t="s">
        <v>63</v>
      </c>
      <c r="F170" s="11" t="s">
        <v>30</v>
      </c>
      <c r="G170" s="12">
        <v>1</v>
      </c>
      <c r="H170" s="13">
        <v>45</v>
      </c>
      <c r="I170" s="14">
        <f t="shared" si="23"/>
        <v>45</v>
      </c>
      <c r="J170" s="15">
        <v>1</v>
      </c>
      <c r="K170" s="15">
        <f t="shared" si="25"/>
        <v>0.25</v>
      </c>
      <c r="L170" s="14" t="s">
        <v>26</v>
      </c>
      <c r="M170" s="14">
        <f t="shared" si="24"/>
        <v>45</v>
      </c>
      <c r="N170" s="14">
        <f t="shared" si="20"/>
        <v>11.25</v>
      </c>
      <c r="O170" s="11" t="s">
        <v>597</v>
      </c>
      <c r="P170" s="11" t="s">
        <v>597</v>
      </c>
      <c r="Q170" s="11"/>
      <c r="R170" s="11">
        <v>1</v>
      </c>
      <c r="S170" s="11" t="s">
        <v>597</v>
      </c>
      <c r="T170" s="16" t="s">
        <v>31</v>
      </c>
    </row>
    <row r="171" spans="1:20" x14ac:dyDescent="0.25">
      <c r="A171" s="10">
        <v>45751</v>
      </c>
      <c r="B171" s="11">
        <v>121699</v>
      </c>
      <c r="C171" s="11" t="s">
        <v>31</v>
      </c>
      <c r="D171" s="11" t="s">
        <v>635</v>
      </c>
      <c r="E171" s="11" t="s">
        <v>54</v>
      </c>
      <c r="F171" s="11" t="s">
        <v>30</v>
      </c>
      <c r="G171" s="12">
        <v>1</v>
      </c>
      <c r="H171" s="13">
        <v>148</v>
      </c>
      <c r="I171" s="14">
        <f t="shared" si="23"/>
        <v>148</v>
      </c>
      <c r="J171" s="15">
        <v>1</v>
      </c>
      <c r="K171" s="15">
        <f t="shared" si="25"/>
        <v>0.25</v>
      </c>
      <c r="L171" s="14" t="s">
        <v>26</v>
      </c>
      <c r="M171" s="14">
        <f t="shared" si="24"/>
        <v>148</v>
      </c>
      <c r="N171" s="14">
        <f t="shared" si="20"/>
        <v>37</v>
      </c>
      <c r="O171" s="11" t="s">
        <v>597</v>
      </c>
      <c r="P171" s="11" t="s">
        <v>597</v>
      </c>
      <c r="Q171" s="11"/>
      <c r="R171" s="11">
        <v>1</v>
      </c>
      <c r="S171" s="11" t="s">
        <v>597</v>
      </c>
      <c r="T171" s="16" t="s">
        <v>31</v>
      </c>
    </row>
    <row r="172" spans="1:20" x14ac:dyDescent="0.25">
      <c r="A172" s="10">
        <v>45751</v>
      </c>
      <c r="B172" s="11">
        <v>121617</v>
      </c>
      <c r="C172" s="11" t="s">
        <v>31</v>
      </c>
      <c r="D172" s="11" t="s">
        <v>621</v>
      </c>
      <c r="E172" s="11" t="s">
        <v>24</v>
      </c>
      <c r="F172" s="11" t="s">
        <v>554</v>
      </c>
      <c r="G172" s="12">
        <v>4</v>
      </c>
      <c r="H172" s="13">
        <v>180</v>
      </c>
      <c r="I172" s="14">
        <f t="shared" si="23"/>
        <v>720</v>
      </c>
      <c r="J172" s="15">
        <v>7.0000000000000007E-2</v>
      </c>
      <c r="K172" s="15">
        <f t="shared" si="25"/>
        <v>1.7500000000000002E-2</v>
      </c>
      <c r="L172" s="14" t="s">
        <v>26</v>
      </c>
      <c r="M172" s="14">
        <f t="shared" si="24"/>
        <v>50.400000000000006</v>
      </c>
      <c r="N172" s="14">
        <f t="shared" si="20"/>
        <v>12.600000000000001</v>
      </c>
      <c r="O172" s="11" t="s">
        <v>597</v>
      </c>
      <c r="P172" s="11" t="s">
        <v>597</v>
      </c>
      <c r="Q172" s="11"/>
      <c r="R172" s="11">
        <v>1</v>
      </c>
      <c r="S172" s="11" t="s">
        <v>597</v>
      </c>
      <c r="T172" s="16" t="s">
        <v>31</v>
      </c>
    </row>
    <row r="173" spans="1:20" x14ac:dyDescent="0.25">
      <c r="A173" s="10">
        <v>45770</v>
      </c>
      <c r="B173" s="11">
        <v>122062</v>
      </c>
      <c r="C173" s="11" t="s">
        <v>44</v>
      </c>
      <c r="D173" s="11" t="s">
        <v>636</v>
      </c>
      <c r="E173" s="11" t="s">
        <v>63</v>
      </c>
      <c r="F173" s="11" t="s">
        <v>554</v>
      </c>
      <c r="G173" s="12">
        <v>60</v>
      </c>
      <c r="H173" s="13">
        <v>212</v>
      </c>
      <c r="I173" s="14">
        <f t="shared" si="23"/>
        <v>12720</v>
      </c>
      <c r="J173" s="15">
        <v>7.0000000000000007E-2</v>
      </c>
      <c r="K173" s="15">
        <f t="shared" si="25"/>
        <v>1.7500000000000002E-2</v>
      </c>
      <c r="L173" s="14" t="s">
        <v>46</v>
      </c>
      <c r="M173" s="14">
        <f t="shared" si="24"/>
        <v>890.40000000000009</v>
      </c>
      <c r="N173" s="14">
        <f t="shared" si="20"/>
        <v>222.60000000000002</v>
      </c>
      <c r="O173" s="11" t="s">
        <v>27</v>
      </c>
      <c r="P173" s="11" t="s">
        <v>27</v>
      </c>
      <c r="Q173" s="11"/>
      <c r="R173" s="11">
        <v>10</v>
      </c>
      <c r="S173" s="11" t="s">
        <v>28</v>
      </c>
      <c r="T173" s="16" t="s">
        <v>44</v>
      </c>
    </row>
    <row r="174" spans="1:20" x14ac:dyDescent="0.25">
      <c r="A174" s="10">
        <v>45770</v>
      </c>
      <c r="B174" s="11">
        <v>122062</v>
      </c>
      <c r="C174" s="11" t="s">
        <v>44</v>
      </c>
      <c r="D174" s="11" t="s">
        <v>636</v>
      </c>
      <c r="E174" s="11" t="s">
        <v>63</v>
      </c>
      <c r="F174" s="11" t="s">
        <v>30</v>
      </c>
      <c r="G174" s="12">
        <v>18</v>
      </c>
      <c r="H174" s="13">
        <v>98</v>
      </c>
      <c r="I174" s="14">
        <f t="shared" si="23"/>
        <v>1764</v>
      </c>
      <c r="J174" s="15">
        <v>1</v>
      </c>
      <c r="K174" s="15">
        <f t="shared" si="25"/>
        <v>0.25</v>
      </c>
      <c r="L174" s="14" t="s">
        <v>46</v>
      </c>
      <c r="M174" s="14">
        <f t="shared" si="24"/>
        <v>1764</v>
      </c>
      <c r="N174" s="14">
        <f t="shared" si="20"/>
        <v>441</v>
      </c>
      <c r="O174" s="11" t="s">
        <v>27</v>
      </c>
      <c r="P174" s="11" t="s">
        <v>27</v>
      </c>
      <c r="Q174" s="11"/>
      <c r="R174" s="11">
        <v>1</v>
      </c>
      <c r="S174" s="11" t="s">
        <v>28</v>
      </c>
      <c r="T174" s="16" t="s">
        <v>44</v>
      </c>
    </row>
    <row r="175" spans="1:20" x14ac:dyDescent="0.25">
      <c r="A175" s="10">
        <v>45770</v>
      </c>
      <c r="B175" s="11">
        <v>121712</v>
      </c>
      <c r="C175" s="11" t="s">
        <v>31</v>
      </c>
      <c r="D175" s="11" t="s">
        <v>614</v>
      </c>
      <c r="E175" s="11" t="s">
        <v>24</v>
      </c>
      <c r="F175" s="11" t="s">
        <v>554</v>
      </c>
      <c r="G175" s="12">
        <v>9</v>
      </c>
      <c r="H175" s="13">
        <v>210</v>
      </c>
      <c r="I175" s="14">
        <f t="shared" si="23"/>
        <v>1890</v>
      </c>
      <c r="J175" s="15">
        <v>7.0000000000000007E-2</v>
      </c>
      <c r="K175" s="15">
        <f t="shared" si="25"/>
        <v>1.7500000000000002E-2</v>
      </c>
      <c r="L175" s="14" t="s">
        <v>26</v>
      </c>
      <c r="M175" s="14">
        <f t="shared" si="24"/>
        <v>132.30000000000001</v>
      </c>
      <c r="N175" s="14">
        <f t="shared" si="20"/>
        <v>33.075000000000003</v>
      </c>
      <c r="O175" s="11" t="s">
        <v>27</v>
      </c>
      <c r="P175" s="11" t="s">
        <v>27</v>
      </c>
      <c r="Q175" s="11"/>
      <c r="R175" s="11">
        <v>6</v>
      </c>
      <c r="S175" s="11" t="s">
        <v>597</v>
      </c>
      <c r="T175" s="16" t="s">
        <v>31</v>
      </c>
    </row>
    <row r="176" spans="1:20" x14ac:dyDescent="0.25">
      <c r="A176" s="10">
        <v>45770</v>
      </c>
      <c r="B176" s="11">
        <v>122202</v>
      </c>
      <c r="C176" s="11" t="s">
        <v>31</v>
      </c>
      <c r="D176" s="11" t="s">
        <v>637</v>
      </c>
      <c r="E176" s="11" t="s">
        <v>40</v>
      </c>
      <c r="F176" s="11" t="s">
        <v>41</v>
      </c>
      <c r="G176" s="12">
        <v>2</v>
      </c>
      <c r="H176" s="13">
        <f>Vendas2025[[#This Row],[VlrTotal]]/2</f>
        <v>2457.04</v>
      </c>
      <c r="I176" s="14">
        <v>4914.08</v>
      </c>
      <c r="J176" s="15">
        <v>7.0000000000000007E-2</v>
      </c>
      <c r="K176" s="15">
        <f t="shared" si="25"/>
        <v>1.7500000000000002E-2</v>
      </c>
      <c r="L176" s="14" t="s">
        <v>26</v>
      </c>
      <c r="M176" s="14">
        <f t="shared" si="24"/>
        <v>343.98560000000003</v>
      </c>
      <c r="N176" s="14">
        <f t="shared" si="20"/>
        <v>85.996400000000008</v>
      </c>
      <c r="O176" s="11" t="s">
        <v>27</v>
      </c>
      <c r="P176" s="11" t="s">
        <v>27</v>
      </c>
      <c r="Q176" s="11"/>
      <c r="R176" s="11">
        <v>6</v>
      </c>
      <c r="S176" s="11" t="s">
        <v>28</v>
      </c>
      <c r="T176" s="16" t="s">
        <v>31</v>
      </c>
    </row>
    <row r="177" spans="1:20" x14ac:dyDescent="0.25">
      <c r="A177" s="10">
        <v>45770</v>
      </c>
      <c r="B177" s="11">
        <v>122349</v>
      </c>
      <c r="C177" s="11" t="s">
        <v>31</v>
      </c>
      <c r="D177" s="11" t="s">
        <v>638</v>
      </c>
      <c r="E177" s="11" t="s">
        <v>40</v>
      </c>
      <c r="F177" s="11" t="s">
        <v>41</v>
      </c>
      <c r="G177" s="12">
        <v>1</v>
      </c>
      <c r="H177" s="13">
        <v>2996.91</v>
      </c>
      <c r="I177" s="14">
        <f t="shared" ref="I177:I208" si="26">G177*H177</f>
        <v>2996.91</v>
      </c>
      <c r="J177" s="15">
        <v>7.0000000000000007E-2</v>
      </c>
      <c r="K177" s="15">
        <f t="shared" si="25"/>
        <v>1.7500000000000002E-2</v>
      </c>
      <c r="L177" s="14" t="s">
        <v>26</v>
      </c>
      <c r="M177" s="14">
        <f t="shared" si="24"/>
        <v>209.78370000000001</v>
      </c>
      <c r="N177" s="14">
        <f t="shared" si="20"/>
        <v>52.445925000000003</v>
      </c>
      <c r="O177" s="11" t="s">
        <v>27</v>
      </c>
      <c r="P177" s="11" t="s">
        <v>27</v>
      </c>
      <c r="Q177" s="11"/>
      <c r="R177" s="11">
        <v>2</v>
      </c>
      <c r="S177" s="11" t="s">
        <v>28</v>
      </c>
      <c r="T177" s="16" t="s">
        <v>31</v>
      </c>
    </row>
    <row r="178" spans="1:20" x14ac:dyDescent="0.25">
      <c r="A178" s="10">
        <v>45770</v>
      </c>
      <c r="B178" s="11">
        <v>122406</v>
      </c>
      <c r="C178" s="11" t="s">
        <v>31</v>
      </c>
      <c r="D178" s="11" t="s">
        <v>141</v>
      </c>
      <c r="E178" s="11" t="s">
        <v>40</v>
      </c>
      <c r="F178" s="11" t="s">
        <v>41</v>
      </c>
      <c r="G178" s="12">
        <v>1</v>
      </c>
      <c r="H178" s="13">
        <v>1615.63</v>
      </c>
      <c r="I178" s="14">
        <f t="shared" si="26"/>
        <v>1615.63</v>
      </c>
      <c r="J178" s="15">
        <v>6.6900000000000001E-2</v>
      </c>
      <c r="K178" s="15">
        <f t="shared" si="25"/>
        <v>1.6725E-2</v>
      </c>
      <c r="L178" s="14" t="s">
        <v>26</v>
      </c>
      <c r="M178" s="14">
        <f t="shared" si="24"/>
        <v>108.08564700000001</v>
      </c>
      <c r="N178" s="14">
        <f t="shared" si="20"/>
        <v>27.021411750000002</v>
      </c>
      <c r="O178" s="11" t="s">
        <v>27</v>
      </c>
      <c r="P178" s="11" t="s">
        <v>27</v>
      </c>
      <c r="Q178" s="11"/>
      <c r="R178" s="11">
        <v>6</v>
      </c>
      <c r="S178" s="11" t="s">
        <v>28</v>
      </c>
      <c r="T178" s="16" t="s">
        <v>31</v>
      </c>
    </row>
    <row r="179" spans="1:20" x14ac:dyDescent="0.25">
      <c r="A179" s="10">
        <v>45770</v>
      </c>
      <c r="B179" s="11">
        <v>122023</v>
      </c>
      <c r="C179" s="11" t="s">
        <v>31</v>
      </c>
      <c r="D179" s="11" t="s">
        <v>93</v>
      </c>
      <c r="E179" s="11" t="s">
        <v>40</v>
      </c>
      <c r="F179" s="11" t="s">
        <v>41</v>
      </c>
      <c r="G179" s="12">
        <v>1</v>
      </c>
      <c r="H179" s="13">
        <v>8388.2199999999993</v>
      </c>
      <c r="I179" s="14">
        <f t="shared" si="26"/>
        <v>8388.2199999999993</v>
      </c>
      <c r="J179" s="15">
        <v>7.0000000000000007E-2</v>
      </c>
      <c r="K179" s="15">
        <f t="shared" si="25"/>
        <v>1.7500000000000002E-2</v>
      </c>
      <c r="L179" s="14" t="s">
        <v>26</v>
      </c>
      <c r="M179" s="14">
        <f t="shared" si="24"/>
        <v>587.17539999999997</v>
      </c>
      <c r="N179" s="14">
        <f t="shared" si="20"/>
        <v>146.79384999999999</v>
      </c>
      <c r="O179" s="11" t="s">
        <v>27</v>
      </c>
      <c r="P179" s="11" t="s">
        <v>27</v>
      </c>
      <c r="Q179" s="11"/>
      <c r="R179" s="11">
        <v>6</v>
      </c>
      <c r="S179" s="11" t="s">
        <v>28</v>
      </c>
      <c r="T179" s="16" t="s">
        <v>31</v>
      </c>
    </row>
    <row r="180" spans="1:20" x14ac:dyDescent="0.25">
      <c r="A180" s="10">
        <v>45770</v>
      </c>
      <c r="B180" s="11">
        <v>122320</v>
      </c>
      <c r="C180" s="11" t="s">
        <v>31</v>
      </c>
      <c r="D180" s="11" t="s">
        <v>639</v>
      </c>
      <c r="E180" s="11" t="s">
        <v>24</v>
      </c>
      <c r="F180" s="11" t="s">
        <v>554</v>
      </c>
      <c r="G180" s="12">
        <v>8</v>
      </c>
      <c r="H180" s="13">
        <v>210</v>
      </c>
      <c r="I180" s="14">
        <f t="shared" si="26"/>
        <v>1680</v>
      </c>
      <c r="J180" s="15">
        <v>7.0000000000000007E-2</v>
      </c>
      <c r="K180" s="15">
        <f t="shared" si="25"/>
        <v>1.7500000000000002E-2</v>
      </c>
      <c r="L180" s="14" t="s">
        <v>26</v>
      </c>
      <c r="M180" s="14">
        <f t="shared" si="24"/>
        <v>117.60000000000001</v>
      </c>
      <c r="N180" s="14">
        <f t="shared" si="20"/>
        <v>29.400000000000002</v>
      </c>
      <c r="O180" s="11" t="s">
        <v>597</v>
      </c>
      <c r="P180" s="11" t="s">
        <v>597</v>
      </c>
      <c r="Q180" s="11"/>
      <c r="R180" s="11">
        <v>1</v>
      </c>
      <c r="S180" s="11" t="s">
        <v>597</v>
      </c>
      <c r="T180" s="16" t="s">
        <v>31</v>
      </c>
    </row>
    <row r="181" spans="1:20" x14ac:dyDescent="0.25">
      <c r="A181" s="10">
        <v>45770</v>
      </c>
      <c r="B181" s="11">
        <v>122539</v>
      </c>
      <c r="C181" s="11" t="s">
        <v>22</v>
      </c>
      <c r="D181" s="11" t="s">
        <v>640</v>
      </c>
      <c r="E181" s="11" t="s">
        <v>63</v>
      </c>
      <c r="F181" s="11" t="s">
        <v>30</v>
      </c>
      <c r="G181" s="12">
        <v>10</v>
      </c>
      <c r="H181" s="13">
        <v>88</v>
      </c>
      <c r="I181" s="14">
        <f t="shared" si="26"/>
        <v>880</v>
      </c>
      <c r="J181" s="15">
        <v>1</v>
      </c>
      <c r="K181" s="15">
        <v>0</v>
      </c>
      <c r="L181" s="14" t="s">
        <v>46</v>
      </c>
      <c r="M181" s="14">
        <f t="shared" si="24"/>
        <v>880</v>
      </c>
      <c r="N181" s="14">
        <f t="shared" si="20"/>
        <v>0</v>
      </c>
      <c r="O181" s="11" t="s">
        <v>27</v>
      </c>
      <c r="P181" s="11" t="s">
        <v>27</v>
      </c>
      <c r="Q181" s="11"/>
      <c r="R181" s="11">
        <v>1</v>
      </c>
      <c r="S181" s="11" t="s">
        <v>28</v>
      </c>
      <c r="T181" s="16" t="s">
        <v>22</v>
      </c>
    </row>
    <row r="182" spans="1:20" x14ac:dyDescent="0.25">
      <c r="A182" s="10">
        <v>45770</v>
      </c>
      <c r="B182" s="11">
        <v>122539</v>
      </c>
      <c r="C182" s="11" t="s">
        <v>22</v>
      </c>
      <c r="D182" s="11" t="s">
        <v>640</v>
      </c>
      <c r="E182" s="11" t="s">
        <v>63</v>
      </c>
      <c r="F182" s="11" t="s">
        <v>554</v>
      </c>
      <c r="G182" s="12">
        <v>80</v>
      </c>
      <c r="H182" s="13">
        <v>175</v>
      </c>
      <c r="I182" s="14">
        <f t="shared" si="26"/>
        <v>14000</v>
      </c>
      <c r="J182" s="15">
        <v>7.0000000000000007E-2</v>
      </c>
      <c r="K182" s="15">
        <v>0</v>
      </c>
      <c r="L182" s="14" t="s">
        <v>46</v>
      </c>
      <c r="M182" s="14">
        <f t="shared" si="24"/>
        <v>980.00000000000011</v>
      </c>
      <c r="N182" s="14">
        <f t="shared" ref="N182:N245" si="27">I182*K182</f>
        <v>0</v>
      </c>
      <c r="O182" s="11" t="s">
        <v>27</v>
      </c>
      <c r="P182" s="11" t="s">
        <v>27</v>
      </c>
      <c r="Q182" s="11"/>
      <c r="R182" s="11">
        <v>8</v>
      </c>
      <c r="S182" s="11" t="s">
        <v>28</v>
      </c>
      <c r="T182" s="16" t="s">
        <v>22</v>
      </c>
    </row>
    <row r="183" spans="1:20" x14ac:dyDescent="0.25">
      <c r="A183" s="10">
        <v>45770</v>
      </c>
      <c r="B183" s="11">
        <v>122524</v>
      </c>
      <c r="C183" s="11" t="s">
        <v>22</v>
      </c>
      <c r="D183" s="11" t="s">
        <v>641</v>
      </c>
      <c r="E183" s="11" t="s">
        <v>63</v>
      </c>
      <c r="F183" s="11" t="s">
        <v>30</v>
      </c>
      <c r="G183" s="12">
        <v>10</v>
      </c>
      <c r="H183" s="13">
        <v>88</v>
      </c>
      <c r="I183" s="14">
        <f t="shared" si="26"/>
        <v>880</v>
      </c>
      <c r="J183" s="15">
        <v>1</v>
      </c>
      <c r="K183" s="15">
        <v>0</v>
      </c>
      <c r="L183" s="14" t="s">
        <v>46</v>
      </c>
      <c r="M183" s="14">
        <f t="shared" si="24"/>
        <v>880</v>
      </c>
      <c r="N183" s="14">
        <f t="shared" si="27"/>
        <v>0</v>
      </c>
      <c r="O183" s="11" t="s">
        <v>27</v>
      </c>
      <c r="P183" s="11" t="s">
        <v>27</v>
      </c>
      <c r="Q183" s="11"/>
      <c r="R183" s="11">
        <v>1</v>
      </c>
      <c r="S183" s="11" t="s">
        <v>28</v>
      </c>
      <c r="T183" s="16" t="s">
        <v>22</v>
      </c>
    </row>
    <row r="184" spans="1:20" x14ac:dyDescent="0.25">
      <c r="A184" s="10">
        <v>45770</v>
      </c>
      <c r="B184" s="11">
        <v>122524</v>
      </c>
      <c r="C184" s="11" t="s">
        <v>22</v>
      </c>
      <c r="D184" s="11" t="s">
        <v>641</v>
      </c>
      <c r="E184" s="11" t="s">
        <v>63</v>
      </c>
      <c r="F184" s="11" t="s">
        <v>554</v>
      </c>
      <c r="G184" s="12">
        <v>80</v>
      </c>
      <c r="H184" s="13">
        <v>175</v>
      </c>
      <c r="I184" s="14">
        <f t="shared" si="26"/>
        <v>14000</v>
      </c>
      <c r="J184" s="15">
        <v>7.0000000000000007E-2</v>
      </c>
      <c r="K184" s="15">
        <v>0</v>
      </c>
      <c r="L184" s="14" t="s">
        <v>46</v>
      </c>
      <c r="M184" s="14">
        <f t="shared" si="24"/>
        <v>980.00000000000011</v>
      </c>
      <c r="N184" s="14">
        <f t="shared" si="27"/>
        <v>0</v>
      </c>
      <c r="O184" s="11" t="s">
        <v>27</v>
      </c>
      <c r="P184" s="11" t="s">
        <v>27</v>
      </c>
      <c r="Q184" s="11"/>
      <c r="R184" s="11">
        <v>8</v>
      </c>
      <c r="S184" s="11" t="s">
        <v>28</v>
      </c>
      <c r="T184" s="16" t="s">
        <v>22</v>
      </c>
    </row>
    <row r="185" spans="1:20" x14ac:dyDescent="0.25">
      <c r="A185" s="10">
        <v>45770</v>
      </c>
      <c r="B185" s="11">
        <v>122099</v>
      </c>
      <c r="C185" s="11" t="s">
        <v>22</v>
      </c>
      <c r="D185" s="11" t="s">
        <v>634</v>
      </c>
      <c r="E185" s="11" t="s">
        <v>24</v>
      </c>
      <c r="F185" s="11" t="s">
        <v>554</v>
      </c>
      <c r="G185" s="12">
        <v>17.100000000000001</v>
      </c>
      <c r="H185" s="13">
        <v>180</v>
      </c>
      <c r="I185" s="14">
        <f t="shared" si="26"/>
        <v>3078.0000000000005</v>
      </c>
      <c r="J185" s="15">
        <v>7.0000000000000007E-2</v>
      </c>
      <c r="K185" s="15">
        <v>0</v>
      </c>
      <c r="L185" s="14" t="s">
        <v>46</v>
      </c>
      <c r="M185" s="14">
        <f t="shared" si="24"/>
        <v>215.46000000000006</v>
      </c>
      <c r="N185" s="14">
        <f t="shared" si="27"/>
        <v>0</v>
      </c>
      <c r="O185" s="11" t="s">
        <v>597</v>
      </c>
      <c r="P185" s="11" t="s">
        <v>597</v>
      </c>
      <c r="Q185" s="11"/>
      <c r="R185" s="11">
        <v>6</v>
      </c>
      <c r="S185" s="11" t="s">
        <v>597</v>
      </c>
      <c r="T185" s="16" t="s">
        <v>22</v>
      </c>
    </row>
    <row r="186" spans="1:20" x14ac:dyDescent="0.25">
      <c r="A186" s="10">
        <v>45776</v>
      </c>
      <c r="B186" s="11">
        <v>121617</v>
      </c>
      <c r="C186" s="11" t="s">
        <v>31</v>
      </c>
      <c r="D186" s="11" t="s">
        <v>621</v>
      </c>
      <c r="E186" s="11" t="s">
        <v>24</v>
      </c>
      <c r="F186" s="11" t="s">
        <v>554</v>
      </c>
      <c r="G186" s="12">
        <v>4</v>
      </c>
      <c r="H186" s="13">
        <v>180</v>
      </c>
      <c r="I186" s="14">
        <f t="shared" si="26"/>
        <v>720</v>
      </c>
      <c r="J186" s="15">
        <v>7.0000000000000007E-2</v>
      </c>
      <c r="K186" s="15">
        <f t="shared" ref="K186:K205" si="28">J186*0.25</f>
        <v>1.7500000000000002E-2</v>
      </c>
      <c r="L186" s="14" t="s">
        <v>26</v>
      </c>
      <c r="M186" s="14">
        <f t="shared" si="24"/>
        <v>50.400000000000006</v>
      </c>
      <c r="N186" s="14">
        <f t="shared" si="27"/>
        <v>12.600000000000001</v>
      </c>
      <c r="O186" s="11" t="s">
        <v>597</v>
      </c>
      <c r="P186" s="11" t="s">
        <v>597</v>
      </c>
      <c r="Q186" s="11"/>
      <c r="R186" s="11">
        <v>1</v>
      </c>
      <c r="S186" s="11" t="s">
        <v>597</v>
      </c>
      <c r="T186" s="16" t="s">
        <v>31</v>
      </c>
    </row>
    <row r="187" spans="1:20" x14ac:dyDescent="0.25">
      <c r="A187" s="10">
        <v>45776</v>
      </c>
      <c r="B187" s="11">
        <v>121165</v>
      </c>
      <c r="C187" s="11" t="s">
        <v>31</v>
      </c>
      <c r="D187" s="11" t="s">
        <v>77</v>
      </c>
      <c r="E187" s="11" t="s">
        <v>35</v>
      </c>
      <c r="F187" s="11" t="s">
        <v>35</v>
      </c>
      <c r="G187" s="12">
        <v>2</v>
      </c>
      <c r="H187" s="13">
        <v>176</v>
      </c>
      <c r="I187" s="14">
        <f t="shared" si="26"/>
        <v>352</v>
      </c>
      <c r="J187" s="15">
        <v>0.01</v>
      </c>
      <c r="K187" s="15">
        <f t="shared" si="28"/>
        <v>2.5000000000000001E-3</v>
      </c>
      <c r="L187" s="14" t="s">
        <v>26</v>
      </c>
      <c r="M187" s="14">
        <f t="shared" si="24"/>
        <v>3.52</v>
      </c>
      <c r="N187" s="14">
        <f t="shared" si="27"/>
        <v>0.88</v>
      </c>
      <c r="O187" s="11" t="s">
        <v>597</v>
      </c>
      <c r="P187" s="11" t="s">
        <v>597</v>
      </c>
      <c r="Q187" s="11"/>
      <c r="R187" s="11">
        <v>1</v>
      </c>
      <c r="S187" s="11" t="s">
        <v>597</v>
      </c>
      <c r="T187" s="16" t="s">
        <v>31</v>
      </c>
    </row>
    <row r="188" spans="1:20" x14ac:dyDescent="0.25">
      <c r="A188" s="10">
        <v>45776</v>
      </c>
      <c r="B188" s="11">
        <v>121025</v>
      </c>
      <c r="C188" s="11" t="s">
        <v>31</v>
      </c>
      <c r="D188" s="11" t="s">
        <v>100</v>
      </c>
      <c r="E188" s="11" t="s">
        <v>35</v>
      </c>
      <c r="F188" s="11" t="s">
        <v>35</v>
      </c>
      <c r="G188" s="12">
        <v>2</v>
      </c>
      <c r="H188" s="13">
        <v>176</v>
      </c>
      <c r="I188" s="14">
        <f t="shared" si="26"/>
        <v>352</v>
      </c>
      <c r="J188" s="15">
        <v>0.01</v>
      </c>
      <c r="K188" s="15">
        <f t="shared" si="28"/>
        <v>2.5000000000000001E-3</v>
      </c>
      <c r="L188" s="14" t="s">
        <v>26</v>
      </c>
      <c r="M188" s="14">
        <f t="shared" si="24"/>
        <v>3.52</v>
      </c>
      <c r="N188" s="14">
        <f t="shared" si="27"/>
        <v>0.88</v>
      </c>
      <c r="O188" s="11" t="s">
        <v>597</v>
      </c>
      <c r="P188" s="11" t="s">
        <v>597</v>
      </c>
      <c r="Q188" s="11"/>
      <c r="R188" s="11">
        <v>1</v>
      </c>
      <c r="S188" s="11" t="s">
        <v>597</v>
      </c>
      <c r="T188" s="16" t="s">
        <v>31</v>
      </c>
    </row>
    <row r="189" spans="1:20" x14ac:dyDescent="0.25">
      <c r="A189" s="10">
        <v>45776</v>
      </c>
      <c r="B189" s="11">
        <v>106285</v>
      </c>
      <c r="C189" s="11" t="s">
        <v>31</v>
      </c>
      <c r="D189" s="11" t="s">
        <v>79</v>
      </c>
      <c r="E189" s="11" t="s">
        <v>35</v>
      </c>
      <c r="F189" s="11" t="s">
        <v>35</v>
      </c>
      <c r="G189" s="12">
        <v>6</v>
      </c>
      <c r="H189" s="13">
        <v>133.33000000000001</v>
      </c>
      <c r="I189" s="14">
        <f t="shared" si="26"/>
        <v>799.98</v>
      </c>
      <c r="J189" s="15">
        <v>6.7000000000000002E-3</v>
      </c>
      <c r="K189" s="15">
        <f t="shared" si="28"/>
        <v>1.6750000000000001E-3</v>
      </c>
      <c r="L189" s="14" t="s">
        <v>26</v>
      </c>
      <c r="M189" s="14">
        <f t="shared" si="24"/>
        <v>5.3598660000000002</v>
      </c>
      <c r="N189" s="14">
        <f t="shared" si="27"/>
        <v>1.3399665000000001</v>
      </c>
      <c r="O189" s="11" t="s">
        <v>597</v>
      </c>
      <c r="P189" s="11" t="s">
        <v>597</v>
      </c>
      <c r="Q189" s="11"/>
      <c r="R189" s="11">
        <v>1</v>
      </c>
      <c r="S189" s="11" t="s">
        <v>597</v>
      </c>
      <c r="T189" s="16" t="s">
        <v>31</v>
      </c>
    </row>
    <row r="190" spans="1:20" x14ac:dyDescent="0.25">
      <c r="A190" s="18">
        <v>45779</v>
      </c>
      <c r="B190" s="11">
        <v>122706</v>
      </c>
      <c r="C190" s="11" t="s">
        <v>31</v>
      </c>
      <c r="D190" s="11" t="s">
        <v>112</v>
      </c>
      <c r="E190" s="11" t="s">
        <v>40</v>
      </c>
      <c r="F190" s="11" t="s">
        <v>41</v>
      </c>
      <c r="G190" s="12">
        <v>1</v>
      </c>
      <c r="H190" s="13">
        <v>4000</v>
      </c>
      <c r="I190" s="14">
        <f t="shared" si="26"/>
        <v>4000</v>
      </c>
      <c r="J190" s="15">
        <v>7.0000000000000007E-2</v>
      </c>
      <c r="K190" s="15">
        <f t="shared" si="28"/>
        <v>1.7500000000000002E-2</v>
      </c>
      <c r="L190" s="14" t="s">
        <v>26</v>
      </c>
      <c r="M190" s="14">
        <f t="shared" si="24"/>
        <v>280</v>
      </c>
      <c r="N190" s="14">
        <f t="shared" si="27"/>
        <v>70</v>
      </c>
      <c r="O190" s="11" t="s">
        <v>27</v>
      </c>
      <c r="P190" s="11" t="s">
        <v>27</v>
      </c>
      <c r="Q190" s="11"/>
      <c r="R190" s="11">
        <v>6</v>
      </c>
      <c r="S190" s="11" t="s">
        <v>28</v>
      </c>
      <c r="T190" s="16" t="s">
        <v>31</v>
      </c>
    </row>
    <row r="191" spans="1:20" x14ac:dyDescent="0.25">
      <c r="A191" s="10">
        <v>45779</v>
      </c>
      <c r="B191" s="11">
        <v>122821</v>
      </c>
      <c r="C191" s="11" t="s">
        <v>44</v>
      </c>
      <c r="D191" s="11" t="s">
        <v>642</v>
      </c>
      <c r="E191" s="11" t="s">
        <v>63</v>
      </c>
      <c r="F191" s="11" t="s">
        <v>554</v>
      </c>
      <c r="G191" s="12">
        <v>80</v>
      </c>
      <c r="H191" s="13">
        <v>212</v>
      </c>
      <c r="I191" s="14">
        <f t="shared" si="26"/>
        <v>16960</v>
      </c>
      <c r="J191" s="15">
        <v>7.0000000000000007E-2</v>
      </c>
      <c r="K191" s="15">
        <f t="shared" si="28"/>
        <v>1.7500000000000002E-2</v>
      </c>
      <c r="L191" s="14" t="s">
        <v>46</v>
      </c>
      <c r="M191" s="14">
        <f t="shared" si="24"/>
        <v>1187.2</v>
      </c>
      <c r="N191" s="14">
        <f t="shared" si="27"/>
        <v>296.8</v>
      </c>
      <c r="O191" s="11" t="s">
        <v>27</v>
      </c>
      <c r="P191" s="11" t="s">
        <v>27</v>
      </c>
      <c r="Q191" s="11"/>
      <c r="R191" s="11">
        <v>4</v>
      </c>
      <c r="S191" s="11" t="s">
        <v>28</v>
      </c>
      <c r="T191" s="16" t="s">
        <v>44</v>
      </c>
    </row>
    <row r="192" spans="1:20" x14ac:dyDescent="0.25">
      <c r="A192" s="10">
        <v>45779</v>
      </c>
      <c r="B192" s="11">
        <v>122821</v>
      </c>
      <c r="C192" s="11" t="s">
        <v>44</v>
      </c>
      <c r="D192" s="11" t="s">
        <v>642</v>
      </c>
      <c r="E192" s="11" t="s">
        <v>63</v>
      </c>
      <c r="F192" s="11" t="s">
        <v>30</v>
      </c>
      <c r="G192" s="12">
        <v>115</v>
      </c>
      <c r="H192" s="13">
        <v>94</v>
      </c>
      <c r="I192" s="14">
        <f t="shared" si="26"/>
        <v>10810</v>
      </c>
      <c r="J192" s="15">
        <v>1</v>
      </c>
      <c r="K192" s="15">
        <f t="shared" si="28"/>
        <v>0.25</v>
      </c>
      <c r="L192" s="14" t="s">
        <v>46</v>
      </c>
      <c r="M192" s="14">
        <f t="shared" si="24"/>
        <v>10810</v>
      </c>
      <c r="N192" s="14">
        <f t="shared" si="27"/>
        <v>2702.5</v>
      </c>
      <c r="O192" s="11" t="s">
        <v>27</v>
      </c>
      <c r="P192" s="11" t="s">
        <v>27</v>
      </c>
      <c r="Q192" s="11"/>
      <c r="R192" s="11">
        <v>1</v>
      </c>
      <c r="S192" s="11" t="s">
        <v>28</v>
      </c>
      <c r="T192" s="16" t="s">
        <v>44</v>
      </c>
    </row>
    <row r="193" spans="1:20" x14ac:dyDescent="0.25">
      <c r="A193" s="10">
        <v>45779</v>
      </c>
      <c r="B193" s="11">
        <v>118313</v>
      </c>
      <c r="C193" s="11" t="s">
        <v>44</v>
      </c>
      <c r="D193" s="11" t="s">
        <v>643</v>
      </c>
      <c r="E193" s="11" t="s">
        <v>63</v>
      </c>
      <c r="F193" s="11" t="s">
        <v>554</v>
      </c>
      <c r="G193" s="12">
        <v>80</v>
      </c>
      <c r="H193" s="13">
        <v>173.84</v>
      </c>
      <c r="I193" s="14">
        <f t="shared" si="26"/>
        <v>13907.2</v>
      </c>
      <c r="J193" s="15">
        <v>7.0000000000000007E-2</v>
      </c>
      <c r="K193" s="15">
        <f t="shared" si="28"/>
        <v>1.7500000000000002E-2</v>
      </c>
      <c r="L193" s="14" t="s">
        <v>46</v>
      </c>
      <c r="M193" s="14">
        <f t="shared" si="24"/>
        <v>973.50400000000013</v>
      </c>
      <c r="N193" s="14">
        <f t="shared" si="27"/>
        <v>243.37600000000003</v>
      </c>
      <c r="O193" s="11" t="s">
        <v>27</v>
      </c>
      <c r="P193" s="11" t="s">
        <v>597</v>
      </c>
      <c r="Q193" s="11"/>
      <c r="R193" s="11">
        <v>6</v>
      </c>
      <c r="S193" s="11" t="s">
        <v>28</v>
      </c>
      <c r="T193" s="16" t="s">
        <v>44</v>
      </c>
    </row>
    <row r="194" spans="1:20" x14ac:dyDescent="0.25">
      <c r="A194" s="10">
        <v>45779</v>
      </c>
      <c r="B194" s="11">
        <v>118313</v>
      </c>
      <c r="C194" s="11" t="s">
        <v>44</v>
      </c>
      <c r="D194" s="11" t="s">
        <v>643</v>
      </c>
      <c r="E194" s="11" t="s">
        <v>63</v>
      </c>
      <c r="F194" s="11" t="s">
        <v>30</v>
      </c>
      <c r="G194" s="12">
        <v>88</v>
      </c>
      <c r="H194" s="13">
        <v>98.08</v>
      </c>
      <c r="I194" s="14">
        <f t="shared" si="26"/>
        <v>8631.0399999999991</v>
      </c>
      <c r="J194" s="15">
        <v>1</v>
      </c>
      <c r="K194" s="15">
        <f t="shared" si="28"/>
        <v>0.25</v>
      </c>
      <c r="L194" s="14" t="s">
        <v>46</v>
      </c>
      <c r="M194" s="14">
        <f t="shared" ref="M194:M225" si="29">J194*I194</f>
        <v>8631.0399999999991</v>
      </c>
      <c r="N194" s="14">
        <f t="shared" si="27"/>
        <v>2157.7599999999998</v>
      </c>
      <c r="O194" s="11" t="s">
        <v>27</v>
      </c>
      <c r="P194" s="11" t="s">
        <v>597</v>
      </c>
      <c r="Q194" s="11"/>
      <c r="R194" s="11">
        <v>1</v>
      </c>
      <c r="S194" s="11" t="s">
        <v>28</v>
      </c>
      <c r="T194" s="16" t="s">
        <v>44</v>
      </c>
    </row>
    <row r="195" spans="1:20" x14ac:dyDescent="0.25">
      <c r="A195" s="10">
        <v>45779</v>
      </c>
      <c r="B195" s="11">
        <v>122357</v>
      </c>
      <c r="C195" s="11" t="s">
        <v>44</v>
      </c>
      <c r="D195" s="11" t="s">
        <v>644</v>
      </c>
      <c r="E195" s="11" t="s">
        <v>63</v>
      </c>
      <c r="F195" s="11" t="s">
        <v>554</v>
      </c>
      <c r="G195" s="12">
        <v>80</v>
      </c>
      <c r="H195" s="13">
        <v>190.8</v>
      </c>
      <c r="I195" s="14">
        <f t="shared" si="26"/>
        <v>15264</v>
      </c>
      <c r="J195" s="15">
        <v>7.0000000000000007E-2</v>
      </c>
      <c r="K195" s="15">
        <f t="shared" si="28"/>
        <v>1.7500000000000002E-2</v>
      </c>
      <c r="L195" s="14" t="s">
        <v>46</v>
      </c>
      <c r="M195" s="14">
        <f t="shared" si="29"/>
        <v>1068.48</v>
      </c>
      <c r="N195" s="14">
        <f t="shared" si="27"/>
        <v>267.12</v>
      </c>
      <c r="O195" s="11" t="s">
        <v>27</v>
      </c>
      <c r="P195" s="11" t="s">
        <v>27</v>
      </c>
      <c r="Q195" s="11"/>
      <c r="R195" s="11">
        <v>10</v>
      </c>
      <c r="S195" s="11" t="s">
        <v>28</v>
      </c>
      <c r="T195" s="16" t="s">
        <v>44</v>
      </c>
    </row>
    <row r="196" spans="1:20" x14ac:dyDescent="0.25">
      <c r="A196" s="10">
        <v>45779</v>
      </c>
      <c r="B196" s="11">
        <v>122357</v>
      </c>
      <c r="C196" s="11" t="s">
        <v>44</v>
      </c>
      <c r="D196" s="11" t="s">
        <v>644</v>
      </c>
      <c r="E196" s="11" t="s">
        <v>63</v>
      </c>
      <c r="F196" s="11" t="s">
        <v>30</v>
      </c>
      <c r="G196" s="12">
        <v>100</v>
      </c>
      <c r="H196" s="13">
        <v>82.1</v>
      </c>
      <c r="I196" s="14">
        <f t="shared" si="26"/>
        <v>8210</v>
      </c>
      <c r="J196" s="15">
        <v>1</v>
      </c>
      <c r="K196" s="15">
        <f t="shared" si="28"/>
        <v>0.25</v>
      </c>
      <c r="L196" s="14" t="s">
        <v>46</v>
      </c>
      <c r="M196" s="14">
        <f t="shared" si="29"/>
        <v>8210</v>
      </c>
      <c r="N196" s="14">
        <f t="shared" si="27"/>
        <v>2052.5</v>
      </c>
      <c r="O196" s="11" t="s">
        <v>27</v>
      </c>
      <c r="P196" s="11" t="s">
        <v>27</v>
      </c>
      <c r="Q196" s="11"/>
      <c r="R196" s="11">
        <v>1</v>
      </c>
      <c r="S196" s="11" t="s">
        <v>28</v>
      </c>
      <c r="T196" s="16" t="s">
        <v>44</v>
      </c>
    </row>
    <row r="197" spans="1:20" x14ac:dyDescent="0.25">
      <c r="A197" s="10">
        <v>45779</v>
      </c>
      <c r="B197" s="11">
        <v>119631</v>
      </c>
      <c r="C197" s="11" t="s">
        <v>31</v>
      </c>
      <c r="D197" s="11" t="s">
        <v>620</v>
      </c>
      <c r="E197" s="11" t="s">
        <v>35</v>
      </c>
      <c r="F197" s="11" t="s">
        <v>35</v>
      </c>
      <c r="G197" s="12">
        <v>40</v>
      </c>
      <c r="H197" s="13">
        <v>176</v>
      </c>
      <c r="I197" s="14">
        <f t="shared" si="26"/>
        <v>7040</v>
      </c>
      <c r="J197" s="15">
        <v>0.01</v>
      </c>
      <c r="K197" s="15">
        <f t="shared" si="28"/>
        <v>2.5000000000000001E-3</v>
      </c>
      <c r="L197" s="14" t="s">
        <v>26</v>
      </c>
      <c r="M197" s="14">
        <f t="shared" si="29"/>
        <v>70.400000000000006</v>
      </c>
      <c r="N197" s="14">
        <f t="shared" si="27"/>
        <v>17.600000000000001</v>
      </c>
      <c r="O197" s="11" t="s">
        <v>597</v>
      </c>
      <c r="P197" s="11" t="s">
        <v>597</v>
      </c>
      <c r="Q197" s="11"/>
      <c r="R197" s="11">
        <v>6</v>
      </c>
      <c r="S197" s="11" t="s">
        <v>597</v>
      </c>
      <c r="T197" s="16" t="s">
        <v>31</v>
      </c>
    </row>
    <row r="198" spans="1:20" x14ac:dyDescent="0.25">
      <c r="A198" s="10">
        <v>45779</v>
      </c>
      <c r="B198" s="11">
        <v>122915</v>
      </c>
      <c r="C198" s="11" t="s">
        <v>31</v>
      </c>
      <c r="D198" s="11" t="s">
        <v>645</v>
      </c>
      <c r="E198" s="11" t="s">
        <v>40</v>
      </c>
      <c r="F198" s="11" t="s">
        <v>41</v>
      </c>
      <c r="G198" s="12">
        <v>1</v>
      </c>
      <c r="H198" s="13">
        <v>3613.5</v>
      </c>
      <c r="I198" s="14">
        <f t="shared" si="26"/>
        <v>3613.5</v>
      </c>
      <c r="J198" s="15">
        <v>7.0000000000000007E-2</v>
      </c>
      <c r="K198" s="15">
        <f t="shared" si="28"/>
        <v>1.7500000000000002E-2</v>
      </c>
      <c r="L198" s="14" t="s">
        <v>26</v>
      </c>
      <c r="M198" s="14">
        <f t="shared" si="29"/>
        <v>252.94500000000002</v>
      </c>
      <c r="N198" s="14">
        <f t="shared" si="27"/>
        <v>63.236250000000005</v>
      </c>
      <c r="O198" s="11" t="s">
        <v>27</v>
      </c>
      <c r="P198" s="11" t="s">
        <v>27</v>
      </c>
      <c r="Q198" s="11"/>
      <c r="R198" s="11">
        <v>6</v>
      </c>
      <c r="S198" s="11" t="s">
        <v>28</v>
      </c>
      <c r="T198" s="16" t="s">
        <v>31</v>
      </c>
    </row>
    <row r="199" spans="1:20" x14ac:dyDescent="0.25">
      <c r="A199" s="10">
        <v>45779</v>
      </c>
      <c r="B199" s="11">
        <v>122915</v>
      </c>
      <c r="C199" s="11" t="s">
        <v>31</v>
      </c>
      <c r="D199" s="11" t="s">
        <v>645</v>
      </c>
      <c r="E199" s="11" t="s">
        <v>40</v>
      </c>
      <c r="F199" s="11" t="s">
        <v>554</v>
      </c>
      <c r="G199" s="12">
        <v>16</v>
      </c>
      <c r="H199" s="13">
        <v>189</v>
      </c>
      <c r="I199" s="14">
        <f t="shared" si="26"/>
        <v>3024</v>
      </c>
      <c r="J199" s="15">
        <v>7.0000000000000007E-2</v>
      </c>
      <c r="K199" s="15">
        <f t="shared" si="28"/>
        <v>1.7500000000000002E-2</v>
      </c>
      <c r="L199" s="14" t="s">
        <v>26</v>
      </c>
      <c r="M199" s="14">
        <f t="shared" si="29"/>
        <v>211.68</v>
      </c>
      <c r="N199" s="14">
        <f t="shared" si="27"/>
        <v>52.92</v>
      </c>
      <c r="O199" s="11" t="s">
        <v>27</v>
      </c>
      <c r="P199" s="11" t="s">
        <v>27</v>
      </c>
      <c r="Q199" s="11"/>
      <c r="R199" s="11">
        <v>6</v>
      </c>
      <c r="S199" s="11" t="s">
        <v>28</v>
      </c>
      <c r="T199" s="16" t="s">
        <v>31</v>
      </c>
    </row>
    <row r="200" spans="1:20" x14ac:dyDescent="0.25">
      <c r="A200" s="10">
        <v>45779</v>
      </c>
      <c r="B200" s="11">
        <v>122912</v>
      </c>
      <c r="C200" s="11" t="s">
        <v>31</v>
      </c>
      <c r="D200" s="11" t="s">
        <v>646</v>
      </c>
      <c r="E200" s="11" t="s">
        <v>47</v>
      </c>
      <c r="F200" s="11" t="s">
        <v>554</v>
      </c>
      <c r="G200" s="12">
        <v>16</v>
      </c>
      <c r="H200" s="13">
        <v>210</v>
      </c>
      <c r="I200" s="14">
        <f t="shared" si="26"/>
        <v>3360</v>
      </c>
      <c r="J200" s="15">
        <v>7.0000000000000007E-2</v>
      </c>
      <c r="K200" s="15">
        <f t="shared" si="28"/>
        <v>1.7500000000000002E-2</v>
      </c>
      <c r="L200" s="14" t="s">
        <v>46</v>
      </c>
      <c r="M200" s="14">
        <f t="shared" si="29"/>
        <v>235.20000000000002</v>
      </c>
      <c r="N200" s="14">
        <f t="shared" si="27"/>
        <v>58.800000000000004</v>
      </c>
      <c r="O200" s="11" t="s">
        <v>27</v>
      </c>
      <c r="P200" s="11" t="s">
        <v>27</v>
      </c>
      <c r="Q200" s="11"/>
      <c r="R200" s="11">
        <v>6</v>
      </c>
      <c r="S200" s="11" t="s">
        <v>28</v>
      </c>
      <c r="T200" s="16" t="s">
        <v>31</v>
      </c>
    </row>
    <row r="201" spans="1:20" x14ac:dyDescent="0.25">
      <c r="A201" s="10">
        <v>45779</v>
      </c>
      <c r="B201" s="11">
        <v>122912</v>
      </c>
      <c r="C201" s="11" t="s">
        <v>31</v>
      </c>
      <c r="D201" s="11" t="s">
        <v>646</v>
      </c>
      <c r="E201" s="11" t="s">
        <v>345</v>
      </c>
      <c r="F201" s="11" t="s">
        <v>554</v>
      </c>
      <c r="G201" s="12">
        <v>0</v>
      </c>
      <c r="H201" s="13">
        <v>210</v>
      </c>
      <c r="I201" s="14">
        <f t="shared" si="26"/>
        <v>0</v>
      </c>
      <c r="J201" s="15">
        <v>7.0000000000000007E-2</v>
      </c>
      <c r="K201" s="15">
        <f t="shared" si="28"/>
        <v>1.7500000000000002E-2</v>
      </c>
      <c r="L201" s="14" t="s">
        <v>46</v>
      </c>
      <c r="M201" s="14">
        <f t="shared" si="29"/>
        <v>0</v>
      </c>
      <c r="N201" s="14">
        <f t="shared" si="27"/>
        <v>0</v>
      </c>
      <c r="O201" s="11" t="s">
        <v>27</v>
      </c>
      <c r="P201" s="11" t="s">
        <v>27</v>
      </c>
      <c r="Q201" s="11"/>
      <c r="R201" s="11">
        <v>6</v>
      </c>
      <c r="S201" s="11" t="s">
        <v>28</v>
      </c>
      <c r="T201" s="16" t="s">
        <v>31</v>
      </c>
    </row>
    <row r="202" spans="1:20" x14ac:dyDescent="0.25">
      <c r="A202" s="10">
        <v>45779</v>
      </c>
      <c r="B202" s="11">
        <v>122912</v>
      </c>
      <c r="C202" s="11" t="s">
        <v>31</v>
      </c>
      <c r="D202" s="11" t="s">
        <v>646</v>
      </c>
      <c r="E202" s="11" t="s">
        <v>54</v>
      </c>
      <c r="F202" s="11" t="s">
        <v>554</v>
      </c>
      <c r="G202" s="12">
        <v>0</v>
      </c>
      <c r="H202" s="13">
        <v>210</v>
      </c>
      <c r="I202" s="14">
        <f t="shared" si="26"/>
        <v>0</v>
      </c>
      <c r="J202" s="15">
        <v>7.0000000000000007E-2</v>
      </c>
      <c r="K202" s="15">
        <f t="shared" si="28"/>
        <v>1.7500000000000002E-2</v>
      </c>
      <c r="L202" s="14" t="s">
        <v>46</v>
      </c>
      <c r="M202" s="14">
        <f t="shared" si="29"/>
        <v>0</v>
      </c>
      <c r="N202" s="14">
        <f t="shared" si="27"/>
        <v>0</v>
      </c>
      <c r="O202" s="11" t="s">
        <v>27</v>
      </c>
      <c r="P202" s="11" t="s">
        <v>27</v>
      </c>
      <c r="Q202" s="11"/>
      <c r="R202" s="11">
        <v>6</v>
      </c>
      <c r="S202" s="11" t="s">
        <v>28</v>
      </c>
      <c r="T202" s="16" t="s">
        <v>31</v>
      </c>
    </row>
    <row r="203" spans="1:20" x14ac:dyDescent="0.25">
      <c r="A203" s="10">
        <v>45779</v>
      </c>
      <c r="B203" s="11">
        <v>122912</v>
      </c>
      <c r="C203" s="11" t="s">
        <v>31</v>
      </c>
      <c r="D203" s="11" t="s">
        <v>646</v>
      </c>
      <c r="E203" s="11" t="s">
        <v>47</v>
      </c>
      <c r="F203" s="11" t="s">
        <v>30</v>
      </c>
      <c r="G203" s="12">
        <v>6</v>
      </c>
      <c r="H203" s="13">
        <v>275.62</v>
      </c>
      <c r="I203" s="14">
        <f t="shared" si="26"/>
        <v>1653.72</v>
      </c>
      <c r="J203" s="15">
        <v>1</v>
      </c>
      <c r="K203" s="15">
        <f t="shared" si="28"/>
        <v>0.25</v>
      </c>
      <c r="L203" s="14" t="s">
        <v>46</v>
      </c>
      <c r="M203" s="14">
        <f t="shared" si="29"/>
        <v>1653.72</v>
      </c>
      <c r="N203" s="14">
        <f t="shared" si="27"/>
        <v>413.43</v>
      </c>
      <c r="O203" s="11" t="s">
        <v>27</v>
      </c>
      <c r="P203" s="11" t="s">
        <v>27</v>
      </c>
      <c r="Q203" s="11"/>
      <c r="R203" s="11">
        <v>1</v>
      </c>
      <c r="S203" s="11" t="s">
        <v>28</v>
      </c>
      <c r="T203" s="16" t="s">
        <v>31</v>
      </c>
    </row>
    <row r="204" spans="1:20" x14ac:dyDescent="0.25">
      <c r="A204" s="10">
        <v>45779</v>
      </c>
      <c r="B204" s="11">
        <v>117329</v>
      </c>
      <c r="C204" s="11" t="s">
        <v>31</v>
      </c>
      <c r="D204" s="11" t="s">
        <v>600</v>
      </c>
      <c r="E204" s="11" t="s">
        <v>24</v>
      </c>
      <c r="F204" s="11" t="s">
        <v>554</v>
      </c>
      <c r="G204" s="12">
        <v>4</v>
      </c>
      <c r="H204" s="13">
        <v>210</v>
      </c>
      <c r="I204" s="14">
        <f t="shared" si="26"/>
        <v>840</v>
      </c>
      <c r="J204" s="15">
        <v>7.0000000000000007E-2</v>
      </c>
      <c r="K204" s="15">
        <f t="shared" si="28"/>
        <v>1.7500000000000002E-2</v>
      </c>
      <c r="L204" s="14" t="s">
        <v>26</v>
      </c>
      <c r="M204" s="14">
        <f t="shared" si="29"/>
        <v>58.800000000000004</v>
      </c>
      <c r="N204" s="14">
        <f t="shared" si="27"/>
        <v>14.700000000000001</v>
      </c>
      <c r="O204" s="11" t="s">
        <v>597</v>
      </c>
      <c r="P204" s="11" t="s">
        <v>597</v>
      </c>
      <c r="Q204" s="11"/>
      <c r="R204" s="11">
        <v>1</v>
      </c>
      <c r="S204" s="11" t="s">
        <v>597</v>
      </c>
      <c r="T204" s="16" t="s">
        <v>31</v>
      </c>
    </row>
    <row r="205" spans="1:20" x14ac:dyDescent="0.25">
      <c r="A205" s="10">
        <v>45782</v>
      </c>
      <c r="B205" s="11">
        <v>122879</v>
      </c>
      <c r="C205" s="11" t="s">
        <v>31</v>
      </c>
      <c r="D205" s="11" t="s">
        <v>621</v>
      </c>
      <c r="E205" s="11" t="s">
        <v>24</v>
      </c>
      <c r="F205" s="11" t="s">
        <v>554</v>
      </c>
      <c r="G205" s="12">
        <v>16</v>
      </c>
      <c r="H205" s="13">
        <v>180</v>
      </c>
      <c r="I205" s="14">
        <f t="shared" si="26"/>
        <v>2880</v>
      </c>
      <c r="J205" s="15">
        <v>7.0000000000000007E-2</v>
      </c>
      <c r="K205" s="15">
        <f t="shared" si="28"/>
        <v>1.7500000000000002E-2</v>
      </c>
      <c r="L205" s="14" t="s">
        <v>26</v>
      </c>
      <c r="M205" s="14">
        <f t="shared" si="29"/>
        <v>201.60000000000002</v>
      </c>
      <c r="N205" s="14">
        <f t="shared" si="27"/>
        <v>50.400000000000006</v>
      </c>
      <c r="O205" s="11" t="s">
        <v>597</v>
      </c>
      <c r="P205" s="11" t="s">
        <v>597</v>
      </c>
      <c r="Q205" s="11"/>
      <c r="R205" s="11">
        <v>3</v>
      </c>
      <c r="S205" s="11" t="s">
        <v>597</v>
      </c>
      <c r="T205" s="16" t="s">
        <v>31</v>
      </c>
    </row>
    <row r="206" spans="1:20" x14ac:dyDescent="0.25">
      <c r="A206" s="10">
        <v>45782</v>
      </c>
      <c r="B206" s="11">
        <v>106541</v>
      </c>
      <c r="C206" s="11" t="s">
        <v>22</v>
      </c>
      <c r="D206" s="11" t="s">
        <v>65</v>
      </c>
      <c r="E206" s="11" t="s">
        <v>24</v>
      </c>
      <c r="F206" s="11" t="s">
        <v>554</v>
      </c>
      <c r="G206" s="12">
        <v>7.4</v>
      </c>
      <c r="H206" s="13">
        <v>140</v>
      </c>
      <c r="I206" s="14">
        <f t="shared" si="26"/>
        <v>1036</v>
      </c>
      <c r="J206" s="15">
        <v>3.5000000000000003E-2</v>
      </c>
      <c r="K206" s="15">
        <v>0</v>
      </c>
      <c r="L206" s="14" t="s">
        <v>26</v>
      </c>
      <c r="M206" s="14">
        <f t="shared" si="29"/>
        <v>36.260000000000005</v>
      </c>
      <c r="N206" s="14">
        <f t="shared" si="27"/>
        <v>0</v>
      </c>
      <c r="O206" s="11" t="s">
        <v>597</v>
      </c>
      <c r="P206" s="11" t="s">
        <v>597</v>
      </c>
      <c r="Q206" s="11"/>
      <c r="R206" s="11">
        <v>1</v>
      </c>
      <c r="S206" s="11" t="s">
        <v>597</v>
      </c>
      <c r="T206" s="16" t="s">
        <v>22</v>
      </c>
    </row>
    <row r="207" spans="1:20" x14ac:dyDescent="0.25">
      <c r="A207" s="10">
        <v>45783</v>
      </c>
      <c r="B207" s="11">
        <v>121353</v>
      </c>
      <c r="C207" s="11" t="s">
        <v>31</v>
      </c>
      <c r="D207" s="11" t="s">
        <v>108</v>
      </c>
      <c r="E207" s="11" t="s">
        <v>35</v>
      </c>
      <c r="F207" s="11" t="s">
        <v>35</v>
      </c>
      <c r="G207" s="12">
        <v>8</v>
      </c>
      <c r="H207" s="13">
        <v>176</v>
      </c>
      <c r="I207" s="14">
        <f t="shared" si="26"/>
        <v>1408</v>
      </c>
      <c r="J207" s="15">
        <v>0.01</v>
      </c>
      <c r="K207" s="15">
        <f>J207*0.25</f>
        <v>2.5000000000000001E-3</v>
      </c>
      <c r="L207" s="14" t="s">
        <v>26</v>
      </c>
      <c r="M207" s="14">
        <f t="shared" si="29"/>
        <v>14.08</v>
      </c>
      <c r="N207" s="14">
        <f t="shared" si="27"/>
        <v>3.52</v>
      </c>
      <c r="O207" s="11" t="s">
        <v>597</v>
      </c>
      <c r="P207" s="11" t="s">
        <v>597</v>
      </c>
      <c r="Q207" s="11"/>
      <c r="R207" s="11">
        <v>3</v>
      </c>
      <c r="S207" s="11" t="s">
        <v>597</v>
      </c>
      <c r="T207" s="16" t="s">
        <v>31</v>
      </c>
    </row>
    <row r="208" spans="1:20" x14ac:dyDescent="0.25">
      <c r="A208" s="10">
        <v>45786</v>
      </c>
      <c r="B208" s="11">
        <v>123173</v>
      </c>
      <c r="C208" s="11" t="s">
        <v>31</v>
      </c>
      <c r="D208" s="11" t="s">
        <v>611</v>
      </c>
      <c r="E208" s="11" t="s">
        <v>40</v>
      </c>
      <c r="F208" s="11" t="s">
        <v>41</v>
      </c>
      <c r="G208" s="12">
        <v>1</v>
      </c>
      <c r="H208" s="13">
        <v>446.51</v>
      </c>
      <c r="I208" s="14">
        <f t="shared" si="26"/>
        <v>446.51</v>
      </c>
      <c r="J208" s="15">
        <v>7.0000000000000007E-2</v>
      </c>
      <c r="K208" s="15">
        <f>J208*0.25</f>
        <v>1.7500000000000002E-2</v>
      </c>
      <c r="L208" s="14" t="s">
        <v>26</v>
      </c>
      <c r="M208" s="14">
        <f t="shared" si="29"/>
        <v>31.255700000000001</v>
      </c>
      <c r="N208" s="14">
        <f t="shared" si="27"/>
        <v>7.8139250000000002</v>
      </c>
      <c r="O208" s="11" t="s">
        <v>27</v>
      </c>
      <c r="P208" s="11" t="s">
        <v>27</v>
      </c>
      <c r="Q208" s="11"/>
      <c r="R208" s="11">
        <v>3</v>
      </c>
      <c r="S208" s="11" t="s">
        <v>28</v>
      </c>
      <c r="T208" s="16" t="s">
        <v>31</v>
      </c>
    </row>
    <row r="209" spans="1:20" x14ac:dyDescent="0.25">
      <c r="A209" s="10">
        <v>45786</v>
      </c>
      <c r="B209" s="11">
        <v>121833</v>
      </c>
      <c r="C209" s="11" t="s">
        <v>31</v>
      </c>
      <c r="D209" s="11" t="s">
        <v>647</v>
      </c>
      <c r="E209" s="11" t="s">
        <v>35</v>
      </c>
      <c r="F209" s="11" t="s">
        <v>35</v>
      </c>
      <c r="G209" s="12">
        <v>2</v>
      </c>
      <c r="H209" s="13">
        <v>176</v>
      </c>
      <c r="I209" s="14">
        <f t="shared" ref="I209:I240" si="30">G209*H209</f>
        <v>352</v>
      </c>
      <c r="J209" s="15">
        <v>0.01</v>
      </c>
      <c r="K209" s="15">
        <f>J209*0.25</f>
        <v>2.5000000000000001E-3</v>
      </c>
      <c r="L209" s="14" t="s">
        <v>26</v>
      </c>
      <c r="M209" s="14">
        <f t="shared" si="29"/>
        <v>3.52</v>
      </c>
      <c r="N209" s="14">
        <f t="shared" si="27"/>
        <v>0.88</v>
      </c>
      <c r="O209" s="11" t="s">
        <v>27</v>
      </c>
      <c r="P209" s="11" t="s">
        <v>27</v>
      </c>
      <c r="Q209" s="11"/>
      <c r="R209" s="11">
        <v>1</v>
      </c>
      <c r="S209" s="11" t="s">
        <v>597</v>
      </c>
      <c r="T209" s="16" t="s">
        <v>31</v>
      </c>
    </row>
    <row r="210" spans="1:20" x14ac:dyDescent="0.25">
      <c r="A210" s="10">
        <v>45789</v>
      </c>
      <c r="B210" s="11">
        <v>123231</v>
      </c>
      <c r="C210" s="11" t="s">
        <v>31</v>
      </c>
      <c r="D210" s="11" t="s">
        <v>100</v>
      </c>
      <c r="E210" s="11" t="s">
        <v>35</v>
      </c>
      <c r="F210" s="11" t="s">
        <v>35</v>
      </c>
      <c r="G210" s="12">
        <v>1</v>
      </c>
      <c r="H210" s="13">
        <v>176</v>
      </c>
      <c r="I210" s="14">
        <f t="shared" si="30"/>
        <v>176</v>
      </c>
      <c r="J210" s="15">
        <v>0.01</v>
      </c>
      <c r="K210" s="15">
        <f>J210*0.25</f>
        <v>2.5000000000000001E-3</v>
      </c>
      <c r="L210" s="14" t="s">
        <v>26</v>
      </c>
      <c r="M210" s="14">
        <f t="shared" si="29"/>
        <v>1.76</v>
      </c>
      <c r="N210" s="14">
        <f t="shared" si="27"/>
        <v>0.44</v>
      </c>
      <c r="O210" s="11" t="s">
        <v>597</v>
      </c>
      <c r="P210" s="11" t="s">
        <v>27</v>
      </c>
      <c r="Q210" s="11"/>
      <c r="R210" s="11">
        <v>1</v>
      </c>
      <c r="S210" s="11" t="s">
        <v>597</v>
      </c>
      <c r="T210" s="16" t="s">
        <v>31</v>
      </c>
    </row>
    <row r="211" spans="1:20" x14ac:dyDescent="0.25">
      <c r="A211" s="10">
        <v>45789</v>
      </c>
      <c r="B211" s="11">
        <v>123386</v>
      </c>
      <c r="C211" s="11" t="s">
        <v>22</v>
      </c>
      <c r="D211" s="11" t="s">
        <v>621</v>
      </c>
      <c r="E211" s="11" t="s">
        <v>24</v>
      </c>
      <c r="F211" s="11" t="s">
        <v>554</v>
      </c>
      <c r="G211" s="12">
        <v>16</v>
      </c>
      <c r="H211" s="13">
        <v>180</v>
      </c>
      <c r="I211" s="14">
        <f t="shared" si="30"/>
        <v>2880</v>
      </c>
      <c r="J211" s="15">
        <v>7.0000000000000007E-2</v>
      </c>
      <c r="K211" s="15">
        <v>0</v>
      </c>
      <c r="L211" s="14" t="s">
        <v>26</v>
      </c>
      <c r="M211" s="14">
        <f t="shared" si="29"/>
        <v>201.60000000000002</v>
      </c>
      <c r="N211" s="14">
        <f t="shared" si="27"/>
        <v>0</v>
      </c>
      <c r="O211" s="11" t="s">
        <v>27</v>
      </c>
      <c r="P211" s="11" t="s">
        <v>27</v>
      </c>
      <c r="Q211" s="11"/>
      <c r="R211" s="11">
        <v>3</v>
      </c>
      <c r="S211" s="11" t="s">
        <v>28</v>
      </c>
      <c r="T211" s="16" t="s">
        <v>22</v>
      </c>
    </row>
    <row r="212" spans="1:20" x14ac:dyDescent="0.25">
      <c r="A212" s="10">
        <v>45789</v>
      </c>
      <c r="B212" s="11">
        <v>123355</v>
      </c>
      <c r="C212" s="11" t="s">
        <v>31</v>
      </c>
      <c r="D212" s="11" t="s">
        <v>647</v>
      </c>
      <c r="E212" s="11" t="s">
        <v>24</v>
      </c>
      <c r="F212" s="11" t="s">
        <v>554</v>
      </c>
      <c r="G212" s="12">
        <v>8</v>
      </c>
      <c r="H212" s="13">
        <v>178.5</v>
      </c>
      <c r="I212" s="14">
        <f t="shared" si="30"/>
        <v>1428</v>
      </c>
      <c r="J212" s="15">
        <v>7.0000000000000007E-2</v>
      </c>
      <c r="K212" s="15">
        <f t="shared" ref="K212:K224" si="31">J212*0.25</f>
        <v>1.7500000000000002E-2</v>
      </c>
      <c r="L212" s="14" t="s">
        <v>26</v>
      </c>
      <c r="M212" s="14">
        <f t="shared" si="29"/>
        <v>99.960000000000008</v>
      </c>
      <c r="N212" s="14">
        <f t="shared" si="27"/>
        <v>24.990000000000002</v>
      </c>
      <c r="O212" s="11" t="s">
        <v>27</v>
      </c>
      <c r="P212" s="11" t="s">
        <v>27</v>
      </c>
      <c r="Q212" s="11"/>
      <c r="R212" s="11">
        <v>3</v>
      </c>
      <c r="S212" s="11" t="s">
        <v>28</v>
      </c>
      <c r="T212" s="16" t="s">
        <v>31</v>
      </c>
    </row>
    <row r="213" spans="1:20" x14ac:dyDescent="0.25">
      <c r="A213" s="10">
        <v>45789</v>
      </c>
      <c r="B213" s="11">
        <v>123355</v>
      </c>
      <c r="C213" s="11" t="s">
        <v>31</v>
      </c>
      <c r="D213" s="11" t="s">
        <v>647</v>
      </c>
      <c r="E213" s="11" t="s">
        <v>585</v>
      </c>
      <c r="F213" s="11" t="s">
        <v>30</v>
      </c>
      <c r="G213" s="12">
        <v>1</v>
      </c>
      <c r="H213" s="13">
        <v>550</v>
      </c>
      <c r="I213" s="14">
        <f t="shared" si="30"/>
        <v>550</v>
      </c>
      <c r="J213" s="15">
        <v>1</v>
      </c>
      <c r="K213" s="15">
        <f t="shared" si="31"/>
        <v>0.25</v>
      </c>
      <c r="L213" s="14" t="s">
        <v>26</v>
      </c>
      <c r="M213" s="14">
        <f t="shared" si="29"/>
        <v>550</v>
      </c>
      <c r="N213" s="14">
        <f t="shared" si="27"/>
        <v>137.5</v>
      </c>
      <c r="O213" s="11" t="s">
        <v>27</v>
      </c>
      <c r="P213" s="11" t="s">
        <v>27</v>
      </c>
      <c r="Q213" s="11"/>
      <c r="R213" s="11">
        <v>1</v>
      </c>
      <c r="S213" s="11" t="s">
        <v>28</v>
      </c>
      <c r="T213" s="16" t="s">
        <v>31</v>
      </c>
    </row>
    <row r="214" spans="1:20" x14ac:dyDescent="0.25">
      <c r="A214" s="10">
        <v>45790</v>
      </c>
      <c r="B214" s="11">
        <v>121489</v>
      </c>
      <c r="C214" s="11" t="s">
        <v>31</v>
      </c>
      <c r="D214" s="11" t="s">
        <v>100</v>
      </c>
      <c r="E214" s="11" t="s">
        <v>35</v>
      </c>
      <c r="F214" s="11" t="s">
        <v>35</v>
      </c>
      <c r="G214" s="12">
        <v>2</v>
      </c>
      <c r="H214" s="13">
        <v>176</v>
      </c>
      <c r="I214" s="14">
        <f t="shared" si="30"/>
        <v>352</v>
      </c>
      <c r="J214" s="15">
        <v>0.01</v>
      </c>
      <c r="K214" s="15">
        <f t="shared" si="31"/>
        <v>2.5000000000000001E-3</v>
      </c>
      <c r="L214" s="14" t="s">
        <v>26</v>
      </c>
      <c r="M214" s="14">
        <f t="shared" si="29"/>
        <v>3.52</v>
      </c>
      <c r="N214" s="14">
        <f t="shared" si="27"/>
        <v>0.88</v>
      </c>
      <c r="O214" s="11" t="s">
        <v>597</v>
      </c>
      <c r="P214" s="11" t="s">
        <v>597</v>
      </c>
      <c r="Q214" s="11"/>
      <c r="R214" s="11">
        <v>1</v>
      </c>
      <c r="S214" s="11" t="s">
        <v>597</v>
      </c>
      <c r="T214" s="16" t="s">
        <v>31</v>
      </c>
    </row>
    <row r="215" spans="1:20" x14ac:dyDescent="0.25">
      <c r="A215" s="10">
        <v>45790</v>
      </c>
      <c r="B215" s="11">
        <v>122688</v>
      </c>
      <c r="C215" s="11" t="s">
        <v>31</v>
      </c>
      <c r="D215" s="11" t="s">
        <v>619</v>
      </c>
      <c r="E215" s="11" t="s">
        <v>35</v>
      </c>
      <c r="F215" s="11" t="s">
        <v>35</v>
      </c>
      <c r="G215" s="12">
        <v>4</v>
      </c>
      <c r="H215" s="13">
        <v>176</v>
      </c>
      <c r="I215" s="14">
        <f t="shared" si="30"/>
        <v>704</v>
      </c>
      <c r="J215" s="15">
        <v>0.01</v>
      </c>
      <c r="K215" s="15">
        <f t="shared" si="31"/>
        <v>2.5000000000000001E-3</v>
      </c>
      <c r="L215" s="14" t="s">
        <v>26</v>
      </c>
      <c r="M215" s="14">
        <f t="shared" si="29"/>
        <v>7.04</v>
      </c>
      <c r="N215" s="14">
        <f t="shared" si="27"/>
        <v>1.76</v>
      </c>
      <c r="O215" s="11" t="s">
        <v>597</v>
      </c>
      <c r="P215" s="11" t="s">
        <v>597</v>
      </c>
      <c r="Q215" s="11"/>
      <c r="R215" s="11">
        <v>3</v>
      </c>
      <c r="S215" s="11" t="s">
        <v>597</v>
      </c>
      <c r="T215" s="16" t="s">
        <v>31</v>
      </c>
    </row>
    <row r="216" spans="1:20" x14ac:dyDescent="0.25">
      <c r="A216" s="10">
        <v>45791</v>
      </c>
      <c r="B216" s="11">
        <v>123445</v>
      </c>
      <c r="C216" s="11" t="s">
        <v>44</v>
      </c>
      <c r="D216" s="11" t="s">
        <v>648</v>
      </c>
      <c r="E216" s="11" t="s">
        <v>47</v>
      </c>
      <c r="F216" s="11" t="s">
        <v>30</v>
      </c>
      <c r="G216" s="12">
        <v>4</v>
      </c>
      <c r="H216" s="13">
        <v>248.06</v>
      </c>
      <c r="I216" s="14">
        <f t="shared" si="30"/>
        <v>992.24</v>
      </c>
      <c r="J216" s="15">
        <v>1</v>
      </c>
      <c r="K216" s="15">
        <f t="shared" si="31"/>
        <v>0.25</v>
      </c>
      <c r="L216" s="14" t="s">
        <v>46</v>
      </c>
      <c r="M216" s="14">
        <f t="shared" si="29"/>
        <v>992.24</v>
      </c>
      <c r="N216" s="14">
        <f t="shared" si="27"/>
        <v>248.06</v>
      </c>
      <c r="O216" s="11" t="s">
        <v>27</v>
      </c>
      <c r="P216" s="11" t="s">
        <v>27</v>
      </c>
      <c r="Q216" s="11"/>
      <c r="R216" s="11">
        <v>1</v>
      </c>
      <c r="S216" s="11" t="s">
        <v>28</v>
      </c>
      <c r="T216" s="16" t="s">
        <v>44</v>
      </c>
    </row>
    <row r="217" spans="1:20" x14ac:dyDescent="0.25">
      <c r="A217" s="10">
        <v>45791</v>
      </c>
      <c r="B217" s="11">
        <v>123445</v>
      </c>
      <c r="C217" s="11" t="s">
        <v>44</v>
      </c>
      <c r="D217" s="11" t="s">
        <v>648</v>
      </c>
      <c r="E217" s="11" t="s">
        <v>24</v>
      </c>
      <c r="F217" s="11" t="s">
        <v>554</v>
      </c>
      <c r="G217" s="12">
        <v>284</v>
      </c>
      <c r="H217" s="13">
        <v>171.72</v>
      </c>
      <c r="I217" s="14">
        <f t="shared" si="30"/>
        <v>48768.480000000003</v>
      </c>
      <c r="J217" s="15">
        <v>0.05</v>
      </c>
      <c r="K217" s="15">
        <f t="shared" si="31"/>
        <v>1.2500000000000001E-2</v>
      </c>
      <c r="L217" s="14" t="s">
        <v>46</v>
      </c>
      <c r="M217" s="14">
        <f t="shared" si="29"/>
        <v>2438.4240000000004</v>
      </c>
      <c r="N217" s="14">
        <f t="shared" si="27"/>
        <v>609.60600000000011</v>
      </c>
      <c r="O217" s="11" t="s">
        <v>27</v>
      </c>
      <c r="P217" s="11" t="s">
        <v>27</v>
      </c>
      <c r="Q217" s="11"/>
      <c r="R217" s="11">
        <v>12</v>
      </c>
      <c r="S217" s="11" t="s">
        <v>28</v>
      </c>
      <c r="T217" s="16" t="s">
        <v>44</v>
      </c>
    </row>
    <row r="218" spans="1:20" x14ac:dyDescent="0.25">
      <c r="A218" s="10">
        <v>45791</v>
      </c>
      <c r="B218" s="11">
        <v>123445</v>
      </c>
      <c r="C218" s="11" t="s">
        <v>44</v>
      </c>
      <c r="D218" s="11" t="s">
        <v>648</v>
      </c>
      <c r="E218" s="11" t="s">
        <v>345</v>
      </c>
      <c r="F218" s="11" t="s">
        <v>554</v>
      </c>
      <c r="G218" s="12">
        <v>0</v>
      </c>
      <c r="H218" s="13">
        <v>0</v>
      </c>
      <c r="I218" s="14">
        <f t="shared" si="30"/>
        <v>0</v>
      </c>
      <c r="J218" s="15">
        <v>0.05</v>
      </c>
      <c r="K218" s="15">
        <f t="shared" si="31"/>
        <v>1.2500000000000001E-2</v>
      </c>
      <c r="L218" s="14" t="s">
        <v>46</v>
      </c>
      <c r="M218" s="14">
        <f t="shared" si="29"/>
        <v>0</v>
      </c>
      <c r="N218" s="14">
        <f t="shared" si="27"/>
        <v>0</v>
      </c>
      <c r="O218" s="11" t="s">
        <v>27</v>
      </c>
      <c r="P218" s="11" t="s">
        <v>27</v>
      </c>
      <c r="Q218" s="11"/>
      <c r="R218" s="11">
        <v>12</v>
      </c>
      <c r="S218" s="11" t="s">
        <v>28</v>
      </c>
      <c r="T218" s="16" t="s">
        <v>44</v>
      </c>
    </row>
    <row r="219" spans="1:20" x14ac:dyDescent="0.25">
      <c r="A219" s="10">
        <v>45791</v>
      </c>
      <c r="B219" s="11">
        <v>123445</v>
      </c>
      <c r="C219" s="11" t="s">
        <v>44</v>
      </c>
      <c r="D219" s="11" t="s">
        <v>648</v>
      </c>
      <c r="E219" s="11" t="s">
        <v>48</v>
      </c>
      <c r="F219" s="11" t="s">
        <v>30</v>
      </c>
      <c r="G219" s="12">
        <v>1</v>
      </c>
      <c r="H219" s="13">
        <v>320.76</v>
      </c>
      <c r="I219" s="14">
        <f t="shared" si="30"/>
        <v>320.76</v>
      </c>
      <c r="J219" s="15">
        <v>1</v>
      </c>
      <c r="K219" s="15">
        <f t="shared" si="31"/>
        <v>0.25</v>
      </c>
      <c r="L219" s="14" t="s">
        <v>46</v>
      </c>
      <c r="M219" s="14">
        <f t="shared" si="29"/>
        <v>320.76</v>
      </c>
      <c r="N219" s="14">
        <f t="shared" si="27"/>
        <v>80.19</v>
      </c>
      <c r="O219" s="11" t="s">
        <v>27</v>
      </c>
      <c r="P219" s="11" t="s">
        <v>27</v>
      </c>
      <c r="Q219" s="11"/>
      <c r="R219" s="11">
        <v>1</v>
      </c>
      <c r="S219" s="11" t="s">
        <v>28</v>
      </c>
      <c r="T219" s="16" t="s">
        <v>44</v>
      </c>
    </row>
    <row r="220" spans="1:20" x14ac:dyDescent="0.25">
      <c r="A220" s="10">
        <v>45791</v>
      </c>
      <c r="B220" s="11">
        <v>123445</v>
      </c>
      <c r="C220" s="11" t="s">
        <v>44</v>
      </c>
      <c r="D220" s="11" t="s">
        <v>648</v>
      </c>
      <c r="E220" s="11" t="s">
        <v>63</v>
      </c>
      <c r="F220" s="11" t="s">
        <v>30</v>
      </c>
      <c r="G220" s="12">
        <v>11</v>
      </c>
      <c r="H220" s="13">
        <v>88.92</v>
      </c>
      <c r="I220" s="14">
        <f t="shared" si="30"/>
        <v>978.12</v>
      </c>
      <c r="J220" s="15">
        <v>1</v>
      </c>
      <c r="K220" s="15">
        <f t="shared" si="31"/>
        <v>0.25</v>
      </c>
      <c r="L220" s="14" t="s">
        <v>46</v>
      </c>
      <c r="M220" s="14">
        <f t="shared" si="29"/>
        <v>978.12</v>
      </c>
      <c r="N220" s="14">
        <f t="shared" si="27"/>
        <v>244.53</v>
      </c>
      <c r="O220" s="11" t="s">
        <v>27</v>
      </c>
      <c r="P220" s="11" t="s">
        <v>27</v>
      </c>
      <c r="Q220" s="11"/>
      <c r="R220" s="11">
        <v>1</v>
      </c>
      <c r="S220" s="11" t="s">
        <v>28</v>
      </c>
      <c r="T220" s="16" t="s">
        <v>44</v>
      </c>
    </row>
    <row r="221" spans="1:20" x14ac:dyDescent="0.25">
      <c r="A221" s="10">
        <v>45791</v>
      </c>
      <c r="B221" s="11">
        <v>123445</v>
      </c>
      <c r="C221" s="11" t="s">
        <v>44</v>
      </c>
      <c r="D221" s="11" t="s">
        <v>648</v>
      </c>
      <c r="E221" s="11" t="s">
        <v>24</v>
      </c>
      <c r="F221" s="11" t="s">
        <v>554</v>
      </c>
      <c r="G221" s="12">
        <v>56</v>
      </c>
      <c r="H221" s="13">
        <v>171.72</v>
      </c>
      <c r="I221" s="14">
        <f t="shared" si="30"/>
        <v>9616.32</v>
      </c>
      <c r="J221" s="15">
        <v>0.05</v>
      </c>
      <c r="K221" s="15">
        <f t="shared" si="31"/>
        <v>1.2500000000000001E-2</v>
      </c>
      <c r="L221" s="14" t="s">
        <v>46</v>
      </c>
      <c r="M221" s="14">
        <f t="shared" si="29"/>
        <v>480.81600000000003</v>
      </c>
      <c r="N221" s="14">
        <f t="shared" si="27"/>
        <v>120.20400000000001</v>
      </c>
      <c r="O221" s="11" t="s">
        <v>27</v>
      </c>
      <c r="P221" s="11" t="s">
        <v>27</v>
      </c>
      <c r="Q221" s="11"/>
      <c r="R221" s="11">
        <v>12</v>
      </c>
      <c r="S221" s="11" t="s">
        <v>28</v>
      </c>
      <c r="T221" s="16" t="s">
        <v>44</v>
      </c>
    </row>
    <row r="222" spans="1:20" x14ac:dyDescent="0.25">
      <c r="A222" s="10">
        <v>45791</v>
      </c>
      <c r="B222" s="11">
        <v>123447</v>
      </c>
      <c r="C222" s="11" t="s">
        <v>44</v>
      </c>
      <c r="D222" s="11" t="s">
        <v>648</v>
      </c>
      <c r="E222" s="11" t="s">
        <v>102</v>
      </c>
      <c r="F222" s="11" t="s">
        <v>41</v>
      </c>
      <c r="G222" s="12">
        <v>1</v>
      </c>
      <c r="H222" s="13">
        <v>1600</v>
      </c>
      <c r="I222" s="14">
        <f t="shared" si="30"/>
        <v>1600</v>
      </c>
      <c r="J222" s="15">
        <v>7.0000000000000007E-2</v>
      </c>
      <c r="K222" s="15">
        <f t="shared" si="31"/>
        <v>1.7500000000000002E-2</v>
      </c>
      <c r="L222" s="14" t="s">
        <v>46</v>
      </c>
      <c r="M222" s="14">
        <f t="shared" si="29"/>
        <v>112.00000000000001</v>
      </c>
      <c r="N222" s="14">
        <f t="shared" si="27"/>
        <v>28.000000000000004</v>
      </c>
      <c r="O222" s="11" t="s">
        <v>27</v>
      </c>
      <c r="P222" s="11" t="s">
        <v>27</v>
      </c>
      <c r="Q222" s="11"/>
      <c r="R222" s="11">
        <v>12</v>
      </c>
      <c r="S222" s="11" t="s">
        <v>28</v>
      </c>
      <c r="T222" s="16" t="s">
        <v>44</v>
      </c>
    </row>
    <row r="223" spans="1:20" x14ac:dyDescent="0.25">
      <c r="A223" s="10">
        <v>45791</v>
      </c>
      <c r="B223" s="11">
        <v>123447</v>
      </c>
      <c r="C223" s="11" t="s">
        <v>44</v>
      </c>
      <c r="D223" s="11" t="s">
        <v>648</v>
      </c>
      <c r="E223" s="11" t="s">
        <v>102</v>
      </c>
      <c r="F223" s="11" t="s">
        <v>30</v>
      </c>
      <c r="G223" s="12">
        <v>5</v>
      </c>
      <c r="H223" s="13">
        <v>80</v>
      </c>
      <c r="I223" s="14">
        <f t="shared" si="30"/>
        <v>400</v>
      </c>
      <c r="J223" s="15">
        <v>1</v>
      </c>
      <c r="K223" s="15">
        <f t="shared" si="31"/>
        <v>0.25</v>
      </c>
      <c r="L223" s="14" t="s">
        <v>46</v>
      </c>
      <c r="M223" s="14">
        <f t="shared" si="29"/>
        <v>400</v>
      </c>
      <c r="N223" s="14">
        <f t="shared" si="27"/>
        <v>100</v>
      </c>
      <c r="O223" s="11" t="s">
        <v>27</v>
      </c>
      <c r="P223" s="11" t="s">
        <v>27</v>
      </c>
      <c r="Q223" s="11"/>
      <c r="R223" s="11">
        <v>1</v>
      </c>
      <c r="S223" s="11" t="s">
        <v>28</v>
      </c>
      <c r="T223" s="16" t="s">
        <v>44</v>
      </c>
    </row>
    <row r="224" spans="1:20" x14ac:dyDescent="0.25">
      <c r="A224" s="10">
        <v>45791</v>
      </c>
      <c r="B224" s="11">
        <v>123447</v>
      </c>
      <c r="C224" s="11" t="s">
        <v>44</v>
      </c>
      <c r="D224" s="11" t="s">
        <v>648</v>
      </c>
      <c r="E224" s="11" t="s">
        <v>102</v>
      </c>
      <c r="F224" s="11" t="s">
        <v>30</v>
      </c>
      <c r="G224" s="12">
        <v>1</v>
      </c>
      <c r="H224" s="13">
        <v>1404.13</v>
      </c>
      <c r="I224" s="14">
        <f t="shared" si="30"/>
        <v>1404.13</v>
      </c>
      <c r="J224" s="15">
        <v>1</v>
      </c>
      <c r="K224" s="15">
        <f t="shared" si="31"/>
        <v>0.25</v>
      </c>
      <c r="L224" s="14" t="s">
        <v>46</v>
      </c>
      <c r="M224" s="14">
        <f t="shared" si="29"/>
        <v>1404.13</v>
      </c>
      <c r="N224" s="14">
        <f t="shared" si="27"/>
        <v>351.03250000000003</v>
      </c>
      <c r="O224" s="11" t="s">
        <v>27</v>
      </c>
      <c r="P224" s="11" t="s">
        <v>27</v>
      </c>
      <c r="Q224" s="11"/>
      <c r="R224" s="11">
        <v>1</v>
      </c>
      <c r="S224" s="11" t="s">
        <v>28</v>
      </c>
      <c r="T224" s="16" t="s">
        <v>44</v>
      </c>
    </row>
    <row r="225" spans="1:20" x14ac:dyDescent="0.25">
      <c r="A225" s="10">
        <v>45792</v>
      </c>
      <c r="B225" s="11">
        <v>123670</v>
      </c>
      <c r="C225" s="11" t="s">
        <v>22</v>
      </c>
      <c r="D225" s="11" t="s">
        <v>634</v>
      </c>
      <c r="E225" s="11" t="s">
        <v>567</v>
      </c>
      <c r="F225" s="11" t="s">
        <v>30</v>
      </c>
      <c r="G225" s="12">
        <v>1</v>
      </c>
      <c r="H225" s="13">
        <v>534.6</v>
      </c>
      <c r="I225" s="14">
        <f t="shared" si="30"/>
        <v>534.6</v>
      </c>
      <c r="J225" s="15">
        <v>1</v>
      </c>
      <c r="K225" s="15">
        <v>0</v>
      </c>
      <c r="L225" s="14" t="s">
        <v>46</v>
      </c>
      <c r="M225" s="14">
        <f t="shared" si="29"/>
        <v>534.6</v>
      </c>
      <c r="N225" s="14">
        <f t="shared" si="27"/>
        <v>0</v>
      </c>
      <c r="O225" s="11" t="s">
        <v>27</v>
      </c>
      <c r="P225" s="11" t="s">
        <v>27</v>
      </c>
      <c r="Q225" s="11"/>
      <c r="R225" s="11">
        <v>1</v>
      </c>
      <c r="S225" s="11" t="s">
        <v>28</v>
      </c>
      <c r="T225" s="16" t="s">
        <v>22</v>
      </c>
    </row>
    <row r="226" spans="1:20" x14ac:dyDescent="0.25">
      <c r="A226" s="10">
        <v>45792</v>
      </c>
      <c r="B226" s="11">
        <v>123670</v>
      </c>
      <c r="C226" s="11" t="s">
        <v>22</v>
      </c>
      <c r="D226" s="11" t="s">
        <v>634</v>
      </c>
      <c r="E226" s="11" t="s">
        <v>567</v>
      </c>
      <c r="F226" s="11" t="s">
        <v>41</v>
      </c>
      <c r="G226" s="12">
        <v>1</v>
      </c>
      <c r="H226" s="13">
        <v>2880</v>
      </c>
      <c r="I226" s="14">
        <f t="shared" si="30"/>
        <v>2880</v>
      </c>
      <c r="J226" s="15">
        <v>7.0000000000000007E-2</v>
      </c>
      <c r="K226" s="15">
        <v>0</v>
      </c>
      <c r="L226" s="14" t="s">
        <v>46</v>
      </c>
      <c r="M226" s="14">
        <f t="shared" ref="M226:M257" si="32">J226*I226</f>
        <v>201.60000000000002</v>
      </c>
      <c r="N226" s="14">
        <f t="shared" si="27"/>
        <v>0</v>
      </c>
      <c r="O226" s="11" t="s">
        <v>27</v>
      </c>
      <c r="P226" s="11" t="s">
        <v>27</v>
      </c>
      <c r="Q226" s="11"/>
      <c r="R226" s="11">
        <v>6</v>
      </c>
      <c r="S226" s="11" t="s">
        <v>28</v>
      </c>
      <c r="T226" s="16" t="s">
        <v>22</v>
      </c>
    </row>
    <row r="227" spans="1:20" x14ac:dyDescent="0.25">
      <c r="A227" s="10">
        <v>45799</v>
      </c>
      <c r="B227" s="11">
        <v>123885</v>
      </c>
      <c r="C227" s="11" t="s">
        <v>31</v>
      </c>
      <c r="D227" s="11" t="s">
        <v>114</v>
      </c>
      <c r="E227" s="11" t="s">
        <v>24</v>
      </c>
      <c r="F227" s="11" t="s">
        <v>554</v>
      </c>
      <c r="G227" s="12">
        <v>4</v>
      </c>
      <c r="H227" s="13">
        <v>210</v>
      </c>
      <c r="I227" s="14">
        <f t="shared" si="30"/>
        <v>840</v>
      </c>
      <c r="J227" s="15">
        <v>7.0000000000000007E-2</v>
      </c>
      <c r="K227" s="15">
        <f t="shared" ref="K227:K240" si="33">J227*0.25</f>
        <v>1.7500000000000002E-2</v>
      </c>
      <c r="L227" s="14" t="s">
        <v>46</v>
      </c>
      <c r="M227" s="14">
        <f t="shared" si="32"/>
        <v>58.800000000000004</v>
      </c>
      <c r="N227" s="14">
        <f t="shared" si="27"/>
        <v>14.700000000000001</v>
      </c>
      <c r="O227" s="11" t="s">
        <v>27</v>
      </c>
      <c r="P227" s="11" t="s">
        <v>27</v>
      </c>
      <c r="Q227" s="11"/>
      <c r="R227" s="11">
        <v>1</v>
      </c>
      <c r="S227" s="11" t="s">
        <v>597</v>
      </c>
      <c r="T227" s="16" t="s">
        <v>31</v>
      </c>
    </row>
    <row r="228" spans="1:20" x14ac:dyDescent="0.25">
      <c r="A228" s="10">
        <v>45799</v>
      </c>
      <c r="B228" s="11">
        <v>117029</v>
      </c>
      <c r="C228" s="11" t="s">
        <v>31</v>
      </c>
      <c r="D228" s="11" t="s">
        <v>604</v>
      </c>
      <c r="E228" s="11" t="s">
        <v>35</v>
      </c>
      <c r="F228" s="11" t="s">
        <v>35</v>
      </c>
      <c r="G228" s="12">
        <v>16</v>
      </c>
      <c r="H228" s="13">
        <v>142.12</v>
      </c>
      <c r="I228" s="14">
        <f t="shared" si="30"/>
        <v>2273.92</v>
      </c>
      <c r="J228" s="15">
        <v>0.01</v>
      </c>
      <c r="K228" s="15">
        <f t="shared" si="33"/>
        <v>2.5000000000000001E-3</v>
      </c>
      <c r="L228" s="14" t="s">
        <v>46</v>
      </c>
      <c r="M228" s="14">
        <f t="shared" si="32"/>
        <v>22.7392</v>
      </c>
      <c r="N228" s="14">
        <f t="shared" si="27"/>
        <v>5.6848000000000001</v>
      </c>
      <c r="O228" s="11" t="s">
        <v>597</v>
      </c>
      <c r="P228" s="11" t="s">
        <v>597</v>
      </c>
      <c r="Q228" s="11"/>
      <c r="R228" s="11">
        <v>1</v>
      </c>
      <c r="S228" s="11" t="s">
        <v>597</v>
      </c>
      <c r="T228" s="16" t="s">
        <v>31</v>
      </c>
    </row>
    <row r="229" spans="1:20" x14ac:dyDescent="0.25">
      <c r="A229" s="10">
        <v>45799</v>
      </c>
      <c r="B229" s="11">
        <v>102185</v>
      </c>
      <c r="C229" s="11" t="s">
        <v>44</v>
      </c>
      <c r="D229" s="11" t="s">
        <v>622</v>
      </c>
      <c r="E229" s="11" t="s">
        <v>24</v>
      </c>
      <c r="F229" s="11" t="s">
        <v>554</v>
      </c>
      <c r="G229" s="12">
        <v>64.5</v>
      </c>
      <c r="H229" s="13">
        <v>190.8</v>
      </c>
      <c r="I229" s="14">
        <f t="shared" si="30"/>
        <v>12306.6</v>
      </c>
      <c r="J229" s="15">
        <v>7.0000000000000007E-2</v>
      </c>
      <c r="K229" s="15">
        <f t="shared" si="33"/>
        <v>1.7500000000000002E-2</v>
      </c>
      <c r="L229" s="14" t="s">
        <v>46</v>
      </c>
      <c r="M229" s="14">
        <f t="shared" si="32"/>
        <v>861.4620000000001</v>
      </c>
      <c r="N229" s="14">
        <f t="shared" si="27"/>
        <v>215.36550000000003</v>
      </c>
      <c r="O229" s="11" t="s">
        <v>27</v>
      </c>
      <c r="P229" s="11" t="s">
        <v>27</v>
      </c>
      <c r="Q229" s="11"/>
      <c r="R229" s="11">
        <v>1</v>
      </c>
      <c r="S229" s="11" t="s">
        <v>597</v>
      </c>
      <c r="T229" s="16" t="s">
        <v>44</v>
      </c>
    </row>
    <row r="230" spans="1:20" x14ac:dyDescent="0.25">
      <c r="A230" s="10">
        <v>45799</v>
      </c>
      <c r="B230" s="11">
        <v>123390</v>
      </c>
      <c r="C230" s="11" t="s">
        <v>31</v>
      </c>
      <c r="D230" s="11" t="s">
        <v>614</v>
      </c>
      <c r="E230" s="11" t="s">
        <v>35</v>
      </c>
      <c r="F230" s="11" t="s">
        <v>35</v>
      </c>
      <c r="G230" s="12">
        <v>2</v>
      </c>
      <c r="H230" s="13">
        <v>176</v>
      </c>
      <c r="I230" s="14">
        <f t="shared" si="30"/>
        <v>352</v>
      </c>
      <c r="J230" s="15">
        <v>0.01</v>
      </c>
      <c r="K230" s="15">
        <f t="shared" si="33"/>
        <v>2.5000000000000001E-3</v>
      </c>
      <c r="L230" s="14" t="s">
        <v>46</v>
      </c>
      <c r="M230" s="14">
        <f t="shared" si="32"/>
        <v>3.52</v>
      </c>
      <c r="N230" s="14">
        <f t="shared" si="27"/>
        <v>0.88</v>
      </c>
      <c r="O230" s="11" t="s">
        <v>27</v>
      </c>
      <c r="P230" s="11" t="s">
        <v>27</v>
      </c>
      <c r="Q230" s="11"/>
      <c r="R230" s="11">
        <v>1</v>
      </c>
      <c r="S230" s="11" t="s">
        <v>597</v>
      </c>
      <c r="T230" s="16" t="s">
        <v>31</v>
      </c>
    </row>
    <row r="231" spans="1:20" x14ac:dyDescent="0.25">
      <c r="A231" s="10">
        <v>45799</v>
      </c>
      <c r="B231" s="11">
        <v>123389</v>
      </c>
      <c r="C231" s="11" t="s">
        <v>31</v>
      </c>
      <c r="D231" s="11" t="s">
        <v>614</v>
      </c>
      <c r="E231" s="11" t="s">
        <v>35</v>
      </c>
      <c r="F231" s="11" t="s">
        <v>35</v>
      </c>
      <c r="G231" s="12">
        <v>2</v>
      </c>
      <c r="H231" s="13">
        <v>176</v>
      </c>
      <c r="I231" s="14">
        <f t="shared" si="30"/>
        <v>352</v>
      </c>
      <c r="J231" s="15">
        <v>0.01</v>
      </c>
      <c r="K231" s="15">
        <f t="shared" si="33"/>
        <v>2.5000000000000001E-3</v>
      </c>
      <c r="L231" s="14" t="s">
        <v>46</v>
      </c>
      <c r="M231" s="14">
        <f t="shared" si="32"/>
        <v>3.52</v>
      </c>
      <c r="N231" s="14">
        <f t="shared" si="27"/>
        <v>0.88</v>
      </c>
      <c r="O231" s="11" t="s">
        <v>27</v>
      </c>
      <c r="P231" s="11" t="s">
        <v>27</v>
      </c>
      <c r="Q231" s="11"/>
      <c r="R231" s="11">
        <v>1</v>
      </c>
      <c r="S231" s="11" t="s">
        <v>597</v>
      </c>
      <c r="T231" s="16" t="s">
        <v>31</v>
      </c>
    </row>
    <row r="232" spans="1:20" x14ac:dyDescent="0.25">
      <c r="A232" s="10">
        <v>45799</v>
      </c>
      <c r="B232" s="11">
        <v>123517</v>
      </c>
      <c r="C232" s="11" t="s">
        <v>31</v>
      </c>
      <c r="D232" s="11" t="s">
        <v>614</v>
      </c>
      <c r="E232" s="11" t="s">
        <v>24</v>
      </c>
      <c r="F232" s="11" t="s">
        <v>554</v>
      </c>
      <c r="G232" s="12">
        <v>2</v>
      </c>
      <c r="H232" s="13">
        <v>210</v>
      </c>
      <c r="I232" s="14">
        <f t="shared" si="30"/>
        <v>420</v>
      </c>
      <c r="J232" s="15">
        <v>7.0000000000000007E-2</v>
      </c>
      <c r="K232" s="15">
        <f t="shared" si="33"/>
        <v>1.7500000000000002E-2</v>
      </c>
      <c r="L232" s="14" t="s">
        <v>46</v>
      </c>
      <c r="M232" s="14">
        <f t="shared" si="32"/>
        <v>29.400000000000002</v>
      </c>
      <c r="N232" s="14">
        <f t="shared" si="27"/>
        <v>7.3500000000000005</v>
      </c>
      <c r="O232" s="11" t="s">
        <v>27</v>
      </c>
      <c r="P232" s="11" t="s">
        <v>27</v>
      </c>
      <c r="Q232" s="11"/>
      <c r="R232" s="11">
        <v>1</v>
      </c>
      <c r="S232" s="11" t="s">
        <v>597</v>
      </c>
      <c r="T232" s="16" t="s">
        <v>31</v>
      </c>
    </row>
    <row r="233" spans="1:20" x14ac:dyDescent="0.25">
      <c r="A233" s="10">
        <v>45807</v>
      </c>
      <c r="B233" s="11">
        <v>123159</v>
      </c>
      <c r="C233" s="11" t="s">
        <v>31</v>
      </c>
      <c r="D233" s="11" t="s">
        <v>105</v>
      </c>
      <c r="E233" s="11" t="s">
        <v>35</v>
      </c>
      <c r="F233" s="11" t="s">
        <v>35</v>
      </c>
      <c r="G233" s="12">
        <v>12</v>
      </c>
      <c r="H233" s="13">
        <v>176</v>
      </c>
      <c r="I233" s="14">
        <f t="shared" si="30"/>
        <v>2112</v>
      </c>
      <c r="J233" s="15">
        <v>0.01</v>
      </c>
      <c r="K233" s="15">
        <f t="shared" si="33"/>
        <v>2.5000000000000001E-3</v>
      </c>
      <c r="L233" s="14" t="s">
        <v>46</v>
      </c>
      <c r="M233" s="14">
        <f t="shared" si="32"/>
        <v>21.12</v>
      </c>
      <c r="N233" s="14">
        <f t="shared" si="27"/>
        <v>5.28</v>
      </c>
      <c r="O233" s="11" t="s">
        <v>597</v>
      </c>
      <c r="P233" s="11" t="s">
        <v>597</v>
      </c>
      <c r="Q233" s="11"/>
      <c r="R233" s="11">
        <v>3</v>
      </c>
      <c r="S233" s="11" t="s">
        <v>597</v>
      </c>
      <c r="T233" s="16" t="s">
        <v>31</v>
      </c>
    </row>
    <row r="234" spans="1:20" x14ac:dyDescent="0.25">
      <c r="A234" s="10">
        <v>45807</v>
      </c>
      <c r="B234" s="11">
        <v>120574</v>
      </c>
      <c r="C234" s="11" t="s">
        <v>31</v>
      </c>
      <c r="D234" s="11" t="s">
        <v>108</v>
      </c>
      <c r="E234" s="11" t="s">
        <v>35</v>
      </c>
      <c r="F234" s="11" t="s">
        <v>35</v>
      </c>
      <c r="G234" s="12">
        <v>2</v>
      </c>
      <c r="H234" s="13">
        <v>176</v>
      </c>
      <c r="I234" s="14">
        <f t="shared" si="30"/>
        <v>352</v>
      </c>
      <c r="J234" s="15">
        <v>0.01</v>
      </c>
      <c r="K234" s="15">
        <f t="shared" si="33"/>
        <v>2.5000000000000001E-3</v>
      </c>
      <c r="L234" s="14" t="s">
        <v>46</v>
      </c>
      <c r="M234" s="14">
        <f t="shared" si="32"/>
        <v>3.52</v>
      </c>
      <c r="N234" s="14">
        <f t="shared" si="27"/>
        <v>0.88</v>
      </c>
      <c r="O234" s="11" t="s">
        <v>597</v>
      </c>
      <c r="P234" s="11" t="s">
        <v>597</v>
      </c>
      <c r="Q234" s="11"/>
      <c r="R234" s="11">
        <v>1</v>
      </c>
      <c r="S234" s="11" t="s">
        <v>597</v>
      </c>
      <c r="T234" s="16" t="s">
        <v>31</v>
      </c>
    </row>
    <row r="235" spans="1:20" x14ac:dyDescent="0.25">
      <c r="A235" s="10">
        <v>45807</v>
      </c>
      <c r="B235" s="11">
        <v>124175</v>
      </c>
      <c r="C235" s="11" t="s">
        <v>31</v>
      </c>
      <c r="D235" s="11" t="s">
        <v>100</v>
      </c>
      <c r="E235" s="11" t="s">
        <v>24</v>
      </c>
      <c r="F235" s="11" t="s">
        <v>554</v>
      </c>
      <c r="G235" s="12">
        <v>8</v>
      </c>
      <c r="H235" s="13">
        <v>210</v>
      </c>
      <c r="I235" s="14">
        <f t="shared" si="30"/>
        <v>1680</v>
      </c>
      <c r="J235" s="15">
        <v>7.0000000000000007E-2</v>
      </c>
      <c r="K235" s="15">
        <f t="shared" si="33"/>
        <v>1.7500000000000002E-2</v>
      </c>
      <c r="L235" s="14" t="s">
        <v>46</v>
      </c>
      <c r="M235" s="14">
        <f t="shared" si="32"/>
        <v>117.60000000000001</v>
      </c>
      <c r="N235" s="14">
        <f t="shared" si="27"/>
        <v>29.400000000000002</v>
      </c>
      <c r="O235" s="11" t="s">
        <v>597</v>
      </c>
      <c r="P235" s="11" t="s">
        <v>597</v>
      </c>
      <c r="Q235" s="11"/>
      <c r="R235" s="11">
        <v>2</v>
      </c>
      <c r="S235" s="11" t="s">
        <v>597</v>
      </c>
      <c r="T235" s="16" t="s">
        <v>31</v>
      </c>
    </row>
    <row r="236" spans="1:20" x14ac:dyDescent="0.25">
      <c r="A236" s="10">
        <v>45807</v>
      </c>
      <c r="B236" s="11">
        <v>121955</v>
      </c>
      <c r="C236" s="11" t="s">
        <v>31</v>
      </c>
      <c r="D236" s="11" t="s">
        <v>649</v>
      </c>
      <c r="E236" s="11" t="s">
        <v>35</v>
      </c>
      <c r="F236" s="11" t="s">
        <v>35</v>
      </c>
      <c r="G236" s="12">
        <v>20</v>
      </c>
      <c r="H236" s="13">
        <v>176</v>
      </c>
      <c r="I236" s="14">
        <f t="shared" si="30"/>
        <v>3520</v>
      </c>
      <c r="J236" s="15">
        <v>0.01</v>
      </c>
      <c r="K236" s="15">
        <f t="shared" si="33"/>
        <v>2.5000000000000001E-3</v>
      </c>
      <c r="L236" s="14" t="s">
        <v>46</v>
      </c>
      <c r="M236" s="14">
        <f t="shared" si="32"/>
        <v>35.200000000000003</v>
      </c>
      <c r="N236" s="14">
        <f t="shared" si="27"/>
        <v>8.8000000000000007</v>
      </c>
      <c r="O236" s="11" t="s">
        <v>597</v>
      </c>
      <c r="P236" s="11" t="s">
        <v>597</v>
      </c>
      <c r="Q236" s="11"/>
      <c r="R236" s="11">
        <v>6</v>
      </c>
      <c r="S236" s="11" t="s">
        <v>597</v>
      </c>
      <c r="T236" s="16" t="s">
        <v>31</v>
      </c>
    </row>
    <row r="237" spans="1:20" x14ac:dyDescent="0.25">
      <c r="A237" s="10">
        <v>45807</v>
      </c>
      <c r="B237" s="11">
        <v>120975</v>
      </c>
      <c r="C237" s="11" t="s">
        <v>31</v>
      </c>
      <c r="D237" s="11" t="s">
        <v>650</v>
      </c>
      <c r="E237" s="11" t="s">
        <v>35</v>
      </c>
      <c r="F237" s="11" t="s">
        <v>35</v>
      </c>
      <c r="G237" s="12">
        <v>1</v>
      </c>
      <c r="H237" s="13">
        <v>176</v>
      </c>
      <c r="I237" s="14">
        <f t="shared" si="30"/>
        <v>176</v>
      </c>
      <c r="J237" s="15">
        <v>0.01</v>
      </c>
      <c r="K237" s="15">
        <f t="shared" si="33"/>
        <v>2.5000000000000001E-3</v>
      </c>
      <c r="L237" s="14" t="s">
        <v>46</v>
      </c>
      <c r="M237" s="14">
        <f t="shared" si="32"/>
        <v>1.76</v>
      </c>
      <c r="N237" s="14">
        <f t="shared" si="27"/>
        <v>0.44</v>
      </c>
      <c r="O237" s="11" t="s">
        <v>597</v>
      </c>
      <c r="P237" s="11" t="s">
        <v>597</v>
      </c>
      <c r="Q237" s="11"/>
      <c r="R237" s="11">
        <v>1</v>
      </c>
      <c r="S237" s="11" t="s">
        <v>597</v>
      </c>
      <c r="T237" s="16" t="s">
        <v>31</v>
      </c>
    </row>
    <row r="238" spans="1:20" x14ac:dyDescent="0.25">
      <c r="A238" s="10">
        <v>45807</v>
      </c>
      <c r="B238" s="11">
        <v>122163</v>
      </c>
      <c r="C238" s="11" t="s">
        <v>31</v>
      </c>
      <c r="D238" s="11" t="s">
        <v>93</v>
      </c>
      <c r="E238" s="11" t="s">
        <v>35</v>
      </c>
      <c r="F238" s="11" t="s">
        <v>35</v>
      </c>
      <c r="G238" s="12">
        <v>80</v>
      </c>
      <c r="H238" s="13">
        <v>176</v>
      </c>
      <c r="I238" s="14">
        <f t="shared" si="30"/>
        <v>14080</v>
      </c>
      <c r="J238" s="15">
        <v>0.01</v>
      </c>
      <c r="K238" s="15">
        <f t="shared" si="33"/>
        <v>2.5000000000000001E-3</v>
      </c>
      <c r="L238" s="14" t="s">
        <v>46</v>
      </c>
      <c r="M238" s="14">
        <f t="shared" si="32"/>
        <v>140.80000000000001</v>
      </c>
      <c r="N238" s="14">
        <f t="shared" si="27"/>
        <v>35.200000000000003</v>
      </c>
      <c r="O238" s="11" t="s">
        <v>597</v>
      </c>
      <c r="P238" s="11" t="s">
        <v>597</v>
      </c>
      <c r="Q238" s="11"/>
      <c r="R238" s="11">
        <v>6</v>
      </c>
      <c r="S238" s="11" t="s">
        <v>597</v>
      </c>
      <c r="T238" s="16" t="s">
        <v>31</v>
      </c>
    </row>
    <row r="239" spans="1:20" x14ac:dyDescent="0.25">
      <c r="A239" s="18">
        <v>45809</v>
      </c>
      <c r="B239" s="11">
        <v>123185</v>
      </c>
      <c r="C239" s="11" t="s">
        <v>31</v>
      </c>
      <c r="D239" s="11" t="s">
        <v>146</v>
      </c>
      <c r="E239" s="11" t="s">
        <v>348</v>
      </c>
      <c r="F239" s="11" t="s">
        <v>554</v>
      </c>
      <c r="G239" s="12">
        <v>324</v>
      </c>
      <c r="H239" s="13">
        <v>180</v>
      </c>
      <c r="I239" s="14">
        <f t="shared" si="30"/>
        <v>58320</v>
      </c>
      <c r="J239" s="15">
        <v>7.0000000000000007E-2</v>
      </c>
      <c r="K239" s="15">
        <f t="shared" si="33"/>
        <v>1.7500000000000002E-2</v>
      </c>
      <c r="L239" s="14" t="s">
        <v>26</v>
      </c>
      <c r="M239" s="14">
        <f t="shared" si="32"/>
        <v>4082.4000000000005</v>
      </c>
      <c r="N239" s="14">
        <f t="shared" si="27"/>
        <v>1020.6000000000001</v>
      </c>
      <c r="O239" s="11" t="s">
        <v>27</v>
      </c>
      <c r="P239" s="11" t="s">
        <v>27</v>
      </c>
      <c r="Q239" s="11"/>
      <c r="R239" s="11">
        <v>6</v>
      </c>
      <c r="S239" s="11" t="s">
        <v>28</v>
      </c>
      <c r="T239" s="16" t="s">
        <v>31</v>
      </c>
    </row>
    <row r="240" spans="1:20" x14ac:dyDescent="0.25">
      <c r="A240" s="10">
        <v>45809</v>
      </c>
      <c r="B240" s="11">
        <v>123185</v>
      </c>
      <c r="C240" s="11" t="s">
        <v>31</v>
      </c>
      <c r="D240" s="11" t="s">
        <v>146</v>
      </c>
      <c r="E240" s="11" t="s">
        <v>348</v>
      </c>
      <c r="F240" s="11" t="s">
        <v>30</v>
      </c>
      <c r="G240" s="12">
        <v>1</v>
      </c>
      <c r="H240" s="13">
        <v>689.04</v>
      </c>
      <c r="I240" s="14">
        <f t="shared" si="30"/>
        <v>689.04</v>
      </c>
      <c r="J240" s="15">
        <v>1</v>
      </c>
      <c r="K240" s="15">
        <f t="shared" si="33"/>
        <v>0.25</v>
      </c>
      <c r="L240" s="14" t="s">
        <v>26</v>
      </c>
      <c r="M240" s="14">
        <f t="shared" si="32"/>
        <v>689.04</v>
      </c>
      <c r="N240" s="14">
        <f t="shared" si="27"/>
        <v>172.26</v>
      </c>
      <c r="O240" s="11" t="s">
        <v>27</v>
      </c>
      <c r="P240" s="11" t="s">
        <v>27</v>
      </c>
      <c r="Q240" s="11"/>
      <c r="R240" s="11">
        <v>1</v>
      </c>
      <c r="S240" s="11" t="s">
        <v>28</v>
      </c>
      <c r="T240" s="16" t="s">
        <v>31</v>
      </c>
    </row>
    <row r="241" spans="1:20" x14ac:dyDescent="0.25">
      <c r="A241" s="10">
        <v>45809</v>
      </c>
      <c r="B241" s="11">
        <v>123833</v>
      </c>
      <c r="C241" s="11" t="s">
        <v>22</v>
      </c>
      <c r="D241" s="11" t="s">
        <v>651</v>
      </c>
      <c r="E241" s="11" t="s">
        <v>102</v>
      </c>
      <c r="F241" s="11" t="s">
        <v>41</v>
      </c>
      <c r="G241" s="12">
        <v>1</v>
      </c>
      <c r="H241" s="13">
        <v>1520</v>
      </c>
      <c r="I241" s="14">
        <f t="shared" ref="I241:I272" si="34">G241*H241</f>
        <v>1520</v>
      </c>
      <c r="J241" s="15">
        <v>7.0000000000000007E-2</v>
      </c>
      <c r="K241" s="15">
        <v>0</v>
      </c>
      <c r="L241" s="14" t="s">
        <v>46</v>
      </c>
      <c r="M241" s="14">
        <f t="shared" si="32"/>
        <v>106.4</v>
      </c>
      <c r="N241" s="14">
        <f t="shared" si="27"/>
        <v>0</v>
      </c>
      <c r="O241" s="11" t="s">
        <v>27</v>
      </c>
      <c r="P241" s="11" t="s">
        <v>27</v>
      </c>
      <c r="Q241" s="11"/>
      <c r="R241" s="11">
        <v>1</v>
      </c>
      <c r="S241" s="11" t="s">
        <v>28</v>
      </c>
      <c r="T241" s="16" t="s">
        <v>22</v>
      </c>
    </row>
    <row r="242" spans="1:20" x14ac:dyDescent="0.25">
      <c r="A242" s="10">
        <v>45809</v>
      </c>
      <c r="B242" s="11">
        <v>123833</v>
      </c>
      <c r="C242" s="11" t="s">
        <v>22</v>
      </c>
      <c r="D242" s="11" t="s">
        <v>651</v>
      </c>
      <c r="E242" s="11" t="s">
        <v>102</v>
      </c>
      <c r="F242" s="11" t="s">
        <v>30</v>
      </c>
      <c r="G242" s="12">
        <v>5</v>
      </c>
      <c r="H242" s="13">
        <v>80</v>
      </c>
      <c r="I242" s="14">
        <f t="shared" si="34"/>
        <v>400</v>
      </c>
      <c r="J242" s="15">
        <v>1</v>
      </c>
      <c r="K242" s="15">
        <v>0</v>
      </c>
      <c r="L242" s="14" t="s">
        <v>46</v>
      </c>
      <c r="M242" s="14">
        <f t="shared" si="32"/>
        <v>400</v>
      </c>
      <c r="N242" s="14">
        <f t="shared" si="27"/>
        <v>0</v>
      </c>
      <c r="O242" s="11" t="s">
        <v>27</v>
      </c>
      <c r="P242" s="11" t="s">
        <v>27</v>
      </c>
      <c r="Q242" s="11"/>
      <c r="R242" s="11">
        <v>1</v>
      </c>
      <c r="S242" s="11" t="s">
        <v>28</v>
      </c>
      <c r="T242" s="16" t="s">
        <v>22</v>
      </c>
    </row>
    <row r="243" spans="1:20" x14ac:dyDescent="0.25">
      <c r="A243" s="10">
        <v>45809</v>
      </c>
      <c r="B243" s="11">
        <v>123833</v>
      </c>
      <c r="C243" s="11" t="s">
        <v>22</v>
      </c>
      <c r="D243" s="11" t="s">
        <v>651</v>
      </c>
      <c r="E243" s="11" t="s">
        <v>102</v>
      </c>
      <c r="F243" s="11" t="s">
        <v>30</v>
      </c>
      <c r="G243" s="12">
        <v>1</v>
      </c>
      <c r="H243" s="13">
        <v>1404.43</v>
      </c>
      <c r="I243" s="14">
        <f t="shared" si="34"/>
        <v>1404.43</v>
      </c>
      <c r="J243" s="15">
        <v>1</v>
      </c>
      <c r="K243" s="15">
        <v>0</v>
      </c>
      <c r="L243" s="14" t="s">
        <v>46</v>
      </c>
      <c r="M243" s="14">
        <f t="shared" si="32"/>
        <v>1404.43</v>
      </c>
      <c r="N243" s="14">
        <f t="shared" si="27"/>
        <v>0</v>
      </c>
      <c r="O243" s="11" t="s">
        <v>27</v>
      </c>
      <c r="P243" s="11" t="s">
        <v>27</v>
      </c>
      <c r="Q243" s="11"/>
      <c r="R243" s="11">
        <v>1</v>
      </c>
      <c r="S243" s="11" t="s">
        <v>28</v>
      </c>
      <c r="T243" s="16" t="s">
        <v>22</v>
      </c>
    </row>
    <row r="244" spans="1:20" x14ac:dyDescent="0.25">
      <c r="A244" s="10">
        <v>45809</v>
      </c>
      <c r="B244" s="11">
        <v>123835</v>
      </c>
      <c r="C244" s="11" t="s">
        <v>22</v>
      </c>
      <c r="D244" s="11" t="s">
        <v>651</v>
      </c>
      <c r="E244" s="11" t="s">
        <v>47</v>
      </c>
      <c r="F244" s="11" t="s">
        <v>30</v>
      </c>
      <c r="G244" s="12">
        <v>5</v>
      </c>
      <c r="H244" s="13">
        <v>275.62</v>
      </c>
      <c r="I244" s="14">
        <f t="shared" si="34"/>
        <v>1378.1</v>
      </c>
      <c r="J244" s="15">
        <v>1</v>
      </c>
      <c r="K244" s="15">
        <v>0</v>
      </c>
      <c r="L244" s="14" t="s">
        <v>46</v>
      </c>
      <c r="M244" s="14">
        <f t="shared" si="32"/>
        <v>1378.1</v>
      </c>
      <c r="N244" s="14">
        <f t="shared" si="27"/>
        <v>0</v>
      </c>
      <c r="O244" s="11" t="s">
        <v>27</v>
      </c>
      <c r="P244" s="11" t="s">
        <v>27</v>
      </c>
      <c r="Q244" s="11"/>
      <c r="R244" s="11">
        <v>1</v>
      </c>
      <c r="S244" s="11" t="s">
        <v>28</v>
      </c>
      <c r="T244" s="16" t="s">
        <v>22</v>
      </c>
    </row>
    <row r="245" spans="1:20" x14ac:dyDescent="0.25">
      <c r="A245" s="10">
        <v>45809</v>
      </c>
      <c r="B245" s="11">
        <v>123835</v>
      </c>
      <c r="C245" s="11" t="s">
        <v>22</v>
      </c>
      <c r="D245" s="11" t="s">
        <v>651</v>
      </c>
      <c r="E245" s="11" t="s">
        <v>24</v>
      </c>
      <c r="F245" s="11" t="s">
        <v>554</v>
      </c>
      <c r="G245" s="12">
        <v>176</v>
      </c>
      <c r="H245" s="13">
        <v>200</v>
      </c>
      <c r="I245" s="14">
        <f t="shared" si="34"/>
        <v>35200</v>
      </c>
      <c r="J245" s="15">
        <v>7.0000000000000007E-2</v>
      </c>
      <c r="K245" s="15">
        <v>0</v>
      </c>
      <c r="L245" s="14" t="s">
        <v>46</v>
      </c>
      <c r="M245" s="14">
        <f t="shared" si="32"/>
        <v>2464.0000000000005</v>
      </c>
      <c r="N245" s="14">
        <f t="shared" si="27"/>
        <v>0</v>
      </c>
      <c r="O245" s="11" t="s">
        <v>27</v>
      </c>
      <c r="P245" s="11" t="s">
        <v>27</v>
      </c>
      <c r="Q245" s="11"/>
      <c r="R245" s="11">
        <v>1</v>
      </c>
      <c r="S245" s="11" t="s">
        <v>28</v>
      </c>
      <c r="T245" s="16" t="s">
        <v>22</v>
      </c>
    </row>
    <row r="246" spans="1:20" x14ac:dyDescent="0.25">
      <c r="A246" s="10">
        <v>45809</v>
      </c>
      <c r="B246" s="11">
        <v>123835</v>
      </c>
      <c r="C246" s="11" t="s">
        <v>22</v>
      </c>
      <c r="D246" s="11" t="s">
        <v>651</v>
      </c>
      <c r="E246" s="11" t="s">
        <v>63</v>
      </c>
      <c r="F246" s="11" t="s">
        <v>30</v>
      </c>
      <c r="G246" s="12">
        <v>10</v>
      </c>
      <c r="H246" s="13">
        <v>98</v>
      </c>
      <c r="I246" s="14">
        <f t="shared" si="34"/>
        <v>980</v>
      </c>
      <c r="J246" s="15">
        <v>1</v>
      </c>
      <c r="K246" s="15">
        <v>0</v>
      </c>
      <c r="L246" s="14" t="s">
        <v>46</v>
      </c>
      <c r="M246" s="14">
        <f t="shared" si="32"/>
        <v>980</v>
      </c>
      <c r="N246" s="14">
        <f t="shared" ref="N246:N309" si="35">I246*K246</f>
        <v>0</v>
      </c>
      <c r="O246" s="11" t="s">
        <v>27</v>
      </c>
      <c r="P246" s="11" t="s">
        <v>27</v>
      </c>
      <c r="Q246" s="11"/>
      <c r="R246" s="11">
        <v>1</v>
      </c>
      <c r="S246" s="11" t="s">
        <v>28</v>
      </c>
      <c r="T246" s="16" t="s">
        <v>22</v>
      </c>
    </row>
    <row r="247" spans="1:20" x14ac:dyDescent="0.25">
      <c r="A247" s="10">
        <v>45809</v>
      </c>
      <c r="B247" s="11">
        <v>123835</v>
      </c>
      <c r="C247" s="11" t="s">
        <v>22</v>
      </c>
      <c r="D247" s="11" t="s">
        <v>651</v>
      </c>
      <c r="E247" s="11" t="s">
        <v>24</v>
      </c>
      <c r="F247" s="11" t="s">
        <v>554</v>
      </c>
      <c r="G247" s="12">
        <v>24</v>
      </c>
      <c r="H247" s="13">
        <v>200</v>
      </c>
      <c r="I247" s="14">
        <f t="shared" si="34"/>
        <v>4800</v>
      </c>
      <c r="J247" s="15">
        <v>7.0000000000000007E-2</v>
      </c>
      <c r="K247" s="15">
        <v>0</v>
      </c>
      <c r="L247" s="14" t="s">
        <v>46</v>
      </c>
      <c r="M247" s="14">
        <f t="shared" si="32"/>
        <v>336.00000000000006</v>
      </c>
      <c r="N247" s="14">
        <f t="shared" si="35"/>
        <v>0</v>
      </c>
      <c r="O247" s="11" t="s">
        <v>27</v>
      </c>
      <c r="P247" s="11" t="s">
        <v>27</v>
      </c>
      <c r="Q247" s="11"/>
      <c r="R247" s="11">
        <v>1</v>
      </c>
      <c r="S247" s="11" t="s">
        <v>28</v>
      </c>
      <c r="T247" s="16" t="s">
        <v>22</v>
      </c>
    </row>
    <row r="248" spans="1:20" x14ac:dyDescent="0.25">
      <c r="A248" s="10">
        <v>45809</v>
      </c>
      <c r="B248" s="11">
        <v>123936</v>
      </c>
      <c r="C248" s="11" t="s">
        <v>22</v>
      </c>
      <c r="D248" s="11" t="s">
        <v>652</v>
      </c>
      <c r="E248" s="11" t="s">
        <v>52</v>
      </c>
      <c r="F248" s="11" t="s">
        <v>41</v>
      </c>
      <c r="G248" s="12">
        <v>1</v>
      </c>
      <c r="H248" s="13">
        <v>11000</v>
      </c>
      <c r="I248" s="14">
        <f t="shared" si="34"/>
        <v>11000</v>
      </c>
      <c r="J248" s="15">
        <v>7.0000000000000007E-2</v>
      </c>
      <c r="K248" s="15">
        <v>0</v>
      </c>
      <c r="L248" s="14" t="s">
        <v>46</v>
      </c>
      <c r="M248" s="14">
        <f t="shared" si="32"/>
        <v>770.00000000000011</v>
      </c>
      <c r="N248" s="14">
        <f t="shared" si="35"/>
        <v>0</v>
      </c>
      <c r="O248" s="11" t="s">
        <v>27</v>
      </c>
      <c r="P248" s="11" t="s">
        <v>27</v>
      </c>
      <c r="Q248" s="11"/>
      <c r="R248" s="11">
        <v>6</v>
      </c>
      <c r="S248" s="11" t="s">
        <v>28</v>
      </c>
      <c r="T248" s="16" t="s">
        <v>22</v>
      </c>
    </row>
    <row r="249" spans="1:20" x14ac:dyDescent="0.25">
      <c r="A249" s="10">
        <v>45809</v>
      </c>
      <c r="B249" s="11">
        <v>123936</v>
      </c>
      <c r="C249" s="11" t="s">
        <v>22</v>
      </c>
      <c r="D249" s="11" t="s">
        <v>652</v>
      </c>
      <c r="E249" s="11" t="s">
        <v>52</v>
      </c>
      <c r="F249" s="11" t="s">
        <v>30</v>
      </c>
      <c r="G249" s="12">
        <v>1</v>
      </c>
      <c r="H249" s="13">
        <v>2100</v>
      </c>
      <c r="I249" s="14">
        <f t="shared" si="34"/>
        <v>2100</v>
      </c>
      <c r="J249" s="15">
        <v>1</v>
      </c>
      <c r="K249" s="15">
        <v>0</v>
      </c>
      <c r="L249" s="14" t="s">
        <v>46</v>
      </c>
      <c r="M249" s="14">
        <f t="shared" si="32"/>
        <v>2100</v>
      </c>
      <c r="N249" s="14">
        <f t="shared" si="35"/>
        <v>0</v>
      </c>
      <c r="O249" s="11" t="s">
        <v>27</v>
      </c>
      <c r="P249" s="11" t="s">
        <v>27</v>
      </c>
      <c r="Q249" s="11"/>
      <c r="R249" s="11">
        <v>1</v>
      </c>
      <c r="S249" s="11" t="s">
        <v>28</v>
      </c>
      <c r="T249" s="16" t="s">
        <v>22</v>
      </c>
    </row>
    <row r="250" spans="1:20" x14ac:dyDescent="0.25">
      <c r="A250" s="10">
        <v>45809</v>
      </c>
      <c r="B250" s="11">
        <v>123935</v>
      </c>
      <c r="C250" s="11" t="s">
        <v>22</v>
      </c>
      <c r="D250" s="11" t="s">
        <v>652</v>
      </c>
      <c r="E250" s="11" t="s">
        <v>69</v>
      </c>
      <c r="F250" s="11" t="s">
        <v>41</v>
      </c>
      <c r="G250" s="12">
        <v>1</v>
      </c>
      <c r="H250" s="13">
        <v>16000</v>
      </c>
      <c r="I250" s="14">
        <f t="shared" si="34"/>
        <v>16000</v>
      </c>
      <c r="J250" s="15">
        <v>7.0000000000000007E-2</v>
      </c>
      <c r="K250" s="15">
        <v>0</v>
      </c>
      <c r="L250" s="14" t="s">
        <v>46</v>
      </c>
      <c r="M250" s="14">
        <f t="shared" si="32"/>
        <v>1120</v>
      </c>
      <c r="N250" s="14">
        <f t="shared" si="35"/>
        <v>0</v>
      </c>
      <c r="O250" s="11" t="s">
        <v>27</v>
      </c>
      <c r="P250" s="11" t="s">
        <v>27</v>
      </c>
      <c r="Q250" s="11"/>
      <c r="R250" s="11">
        <v>6</v>
      </c>
      <c r="S250" s="11" t="s">
        <v>28</v>
      </c>
      <c r="T250" s="16" t="s">
        <v>22</v>
      </c>
    </row>
    <row r="251" spans="1:20" x14ac:dyDescent="0.25">
      <c r="A251" s="10">
        <v>45809</v>
      </c>
      <c r="B251" s="11">
        <v>123935</v>
      </c>
      <c r="C251" s="11" t="s">
        <v>22</v>
      </c>
      <c r="D251" s="11" t="s">
        <v>652</v>
      </c>
      <c r="E251" s="11" t="s">
        <v>69</v>
      </c>
      <c r="F251" s="11" t="s">
        <v>30</v>
      </c>
      <c r="G251" s="12">
        <v>1</v>
      </c>
      <c r="H251" s="13">
        <v>3400</v>
      </c>
      <c r="I251" s="14">
        <f t="shared" si="34"/>
        <v>3400</v>
      </c>
      <c r="J251" s="15">
        <v>1</v>
      </c>
      <c r="K251" s="15">
        <v>0</v>
      </c>
      <c r="L251" s="14" t="s">
        <v>46</v>
      </c>
      <c r="M251" s="14">
        <f t="shared" si="32"/>
        <v>3400</v>
      </c>
      <c r="N251" s="14">
        <f t="shared" si="35"/>
        <v>0</v>
      </c>
      <c r="O251" s="11" t="s">
        <v>27</v>
      </c>
      <c r="P251" s="11" t="s">
        <v>27</v>
      </c>
      <c r="Q251" s="11"/>
      <c r="R251" s="11">
        <v>1</v>
      </c>
      <c r="S251" s="11" t="s">
        <v>28</v>
      </c>
      <c r="T251" s="16" t="s">
        <v>22</v>
      </c>
    </row>
    <row r="252" spans="1:20" x14ac:dyDescent="0.25">
      <c r="A252" s="10">
        <v>45809</v>
      </c>
      <c r="B252" s="11">
        <v>123934</v>
      </c>
      <c r="C252" s="11" t="s">
        <v>22</v>
      </c>
      <c r="D252" s="11" t="s">
        <v>652</v>
      </c>
      <c r="E252" s="11" t="s">
        <v>63</v>
      </c>
      <c r="F252" s="11" t="s">
        <v>554</v>
      </c>
      <c r="G252" s="12">
        <v>24</v>
      </c>
      <c r="H252" s="13">
        <v>178</v>
      </c>
      <c r="I252" s="14">
        <f t="shared" si="34"/>
        <v>4272</v>
      </c>
      <c r="J252" s="15">
        <v>7.0000000000000007E-2</v>
      </c>
      <c r="K252" s="15">
        <v>0</v>
      </c>
      <c r="L252" s="14" t="s">
        <v>46</v>
      </c>
      <c r="M252" s="14">
        <f t="shared" si="32"/>
        <v>299.04000000000002</v>
      </c>
      <c r="N252" s="14">
        <f t="shared" si="35"/>
        <v>0</v>
      </c>
      <c r="O252" s="11" t="s">
        <v>27</v>
      </c>
      <c r="P252" s="11" t="s">
        <v>27</v>
      </c>
      <c r="Q252" s="11"/>
      <c r="R252" s="11">
        <v>6</v>
      </c>
      <c r="S252" s="11" t="s">
        <v>28</v>
      </c>
      <c r="T252" s="16" t="s">
        <v>22</v>
      </c>
    </row>
    <row r="253" spans="1:20" x14ac:dyDescent="0.25">
      <c r="A253" s="10">
        <v>45809</v>
      </c>
      <c r="B253" s="11">
        <v>123934</v>
      </c>
      <c r="C253" s="11" t="s">
        <v>22</v>
      </c>
      <c r="D253" s="11" t="s">
        <v>652</v>
      </c>
      <c r="E253" s="11" t="s">
        <v>63</v>
      </c>
      <c r="F253" s="11" t="s">
        <v>30</v>
      </c>
      <c r="G253" s="12">
        <v>30</v>
      </c>
      <c r="H253" s="13">
        <v>69.599999999999994</v>
      </c>
      <c r="I253" s="14">
        <f t="shared" si="34"/>
        <v>2088</v>
      </c>
      <c r="J253" s="15">
        <v>1</v>
      </c>
      <c r="K253" s="15">
        <v>0</v>
      </c>
      <c r="L253" s="14" t="s">
        <v>46</v>
      </c>
      <c r="M253" s="14">
        <f t="shared" si="32"/>
        <v>2088</v>
      </c>
      <c r="N253" s="14">
        <f t="shared" si="35"/>
        <v>0</v>
      </c>
      <c r="O253" s="11" t="s">
        <v>27</v>
      </c>
      <c r="P253" s="11" t="s">
        <v>27</v>
      </c>
      <c r="Q253" s="11"/>
      <c r="R253" s="11">
        <v>1</v>
      </c>
      <c r="S253" s="11" t="s">
        <v>28</v>
      </c>
      <c r="T253" s="16" t="s">
        <v>22</v>
      </c>
    </row>
    <row r="254" spans="1:20" x14ac:dyDescent="0.25">
      <c r="A254" s="10">
        <v>45809</v>
      </c>
      <c r="B254" s="11">
        <v>123934</v>
      </c>
      <c r="C254" s="11" t="s">
        <v>22</v>
      </c>
      <c r="D254" s="11" t="s">
        <v>652</v>
      </c>
      <c r="E254" s="11" t="s">
        <v>47</v>
      </c>
      <c r="F254" s="11" t="s">
        <v>554</v>
      </c>
      <c r="G254" s="12">
        <v>612</v>
      </c>
      <c r="H254" s="13">
        <v>178</v>
      </c>
      <c r="I254" s="14">
        <f t="shared" si="34"/>
        <v>108936</v>
      </c>
      <c r="J254" s="15">
        <v>7.0000000000000007E-2</v>
      </c>
      <c r="K254" s="15">
        <v>0</v>
      </c>
      <c r="L254" s="14" t="s">
        <v>46</v>
      </c>
      <c r="M254" s="14">
        <f t="shared" si="32"/>
        <v>7625.52</v>
      </c>
      <c r="N254" s="14">
        <f t="shared" si="35"/>
        <v>0</v>
      </c>
      <c r="O254" s="11" t="s">
        <v>27</v>
      </c>
      <c r="P254" s="11" t="s">
        <v>27</v>
      </c>
      <c r="Q254" s="11"/>
      <c r="R254" s="11">
        <v>6</v>
      </c>
      <c r="S254" s="11" t="s">
        <v>28</v>
      </c>
      <c r="T254" s="16" t="s">
        <v>22</v>
      </c>
    </row>
    <row r="255" spans="1:20" x14ac:dyDescent="0.25">
      <c r="A255" s="10">
        <v>45809</v>
      </c>
      <c r="B255" s="11">
        <v>123934</v>
      </c>
      <c r="C255" s="11" t="s">
        <v>22</v>
      </c>
      <c r="D255" s="11" t="s">
        <v>652</v>
      </c>
      <c r="E255" s="11" t="s">
        <v>47</v>
      </c>
      <c r="F255" s="11" t="s">
        <v>30</v>
      </c>
      <c r="G255" s="12">
        <v>26</v>
      </c>
      <c r="H255" s="13">
        <v>216</v>
      </c>
      <c r="I255" s="14">
        <f t="shared" si="34"/>
        <v>5616</v>
      </c>
      <c r="J255" s="15">
        <v>1</v>
      </c>
      <c r="K255" s="15">
        <v>0</v>
      </c>
      <c r="L255" s="14" t="s">
        <v>46</v>
      </c>
      <c r="M255" s="14">
        <f t="shared" si="32"/>
        <v>5616</v>
      </c>
      <c r="N255" s="14">
        <f t="shared" si="35"/>
        <v>0</v>
      </c>
      <c r="O255" s="11" t="s">
        <v>27</v>
      </c>
      <c r="P255" s="11" t="s">
        <v>27</v>
      </c>
      <c r="Q255" s="11"/>
      <c r="R255" s="11">
        <v>1</v>
      </c>
      <c r="S255" s="11" t="s">
        <v>28</v>
      </c>
      <c r="T255" s="16" t="s">
        <v>22</v>
      </c>
    </row>
    <row r="256" spans="1:20" x14ac:dyDescent="0.25">
      <c r="A256" s="10">
        <v>45809</v>
      </c>
      <c r="B256" s="11">
        <v>123934</v>
      </c>
      <c r="C256" s="11" t="s">
        <v>22</v>
      </c>
      <c r="D256" s="11" t="s">
        <v>652</v>
      </c>
      <c r="E256" s="11" t="s">
        <v>145</v>
      </c>
      <c r="F256" s="11" t="s">
        <v>30</v>
      </c>
      <c r="G256" s="12">
        <v>1</v>
      </c>
      <c r="H256" s="13">
        <v>0</v>
      </c>
      <c r="I256" s="14">
        <f t="shared" si="34"/>
        <v>0</v>
      </c>
      <c r="J256" s="15">
        <v>1</v>
      </c>
      <c r="K256" s="15">
        <v>0</v>
      </c>
      <c r="L256" s="14" t="s">
        <v>46</v>
      </c>
      <c r="M256" s="14">
        <f t="shared" si="32"/>
        <v>0</v>
      </c>
      <c r="N256" s="14">
        <f t="shared" si="35"/>
        <v>0</v>
      </c>
      <c r="O256" s="11" t="s">
        <v>27</v>
      </c>
      <c r="P256" s="11" t="s">
        <v>27</v>
      </c>
      <c r="Q256" s="11"/>
      <c r="R256" s="11">
        <v>1</v>
      </c>
      <c r="S256" s="11" t="s">
        <v>28</v>
      </c>
      <c r="T256" s="16" t="s">
        <v>22</v>
      </c>
    </row>
    <row r="257" spans="1:20" x14ac:dyDescent="0.25">
      <c r="A257" s="10">
        <v>45809</v>
      </c>
      <c r="B257" s="11">
        <v>123934</v>
      </c>
      <c r="C257" s="11" t="s">
        <v>22</v>
      </c>
      <c r="D257" s="11" t="s">
        <v>652</v>
      </c>
      <c r="E257" s="11" t="s">
        <v>48</v>
      </c>
      <c r="F257" s="11" t="s">
        <v>30</v>
      </c>
      <c r="G257" s="12">
        <v>1</v>
      </c>
      <c r="H257" s="13">
        <v>0</v>
      </c>
      <c r="I257" s="14">
        <f t="shared" si="34"/>
        <v>0</v>
      </c>
      <c r="J257" s="15">
        <v>1</v>
      </c>
      <c r="K257" s="15">
        <v>0</v>
      </c>
      <c r="L257" s="14" t="s">
        <v>46</v>
      </c>
      <c r="M257" s="14">
        <f t="shared" si="32"/>
        <v>0</v>
      </c>
      <c r="N257" s="14">
        <f t="shared" si="35"/>
        <v>0</v>
      </c>
      <c r="O257" s="11" t="s">
        <v>27</v>
      </c>
      <c r="P257" s="11" t="s">
        <v>27</v>
      </c>
      <c r="Q257" s="11"/>
      <c r="R257" s="11">
        <v>1</v>
      </c>
      <c r="S257" s="11" t="s">
        <v>28</v>
      </c>
      <c r="T257" s="16" t="s">
        <v>22</v>
      </c>
    </row>
    <row r="258" spans="1:20" x14ac:dyDescent="0.25">
      <c r="A258" s="10">
        <v>45809</v>
      </c>
      <c r="B258" s="11">
        <v>123934</v>
      </c>
      <c r="C258" s="11" t="s">
        <v>22</v>
      </c>
      <c r="D258" s="11" t="s">
        <v>652</v>
      </c>
      <c r="E258" s="11" t="s">
        <v>653</v>
      </c>
      <c r="F258" s="11" t="s">
        <v>30</v>
      </c>
      <c r="G258" s="12">
        <v>1</v>
      </c>
      <c r="H258" s="13">
        <v>0</v>
      </c>
      <c r="I258" s="14">
        <f t="shared" si="34"/>
        <v>0</v>
      </c>
      <c r="J258" s="15">
        <v>1</v>
      </c>
      <c r="K258" s="15">
        <v>0</v>
      </c>
      <c r="L258" s="14" t="s">
        <v>46</v>
      </c>
      <c r="M258" s="14">
        <f t="shared" ref="M258:M292" si="36">J258*I258</f>
        <v>0</v>
      </c>
      <c r="N258" s="14">
        <f t="shared" si="35"/>
        <v>0</v>
      </c>
      <c r="O258" s="11" t="s">
        <v>27</v>
      </c>
      <c r="P258" s="11" t="s">
        <v>27</v>
      </c>
      <c r="Q258" s="11"/>
      <c r="R258" s="11">
        <v>1</v>
      </c>
      <c r="S258" s="11" t="s">
        <v>28</v>
      </c>
      <c r="T258" s="16" t="s">
        <v>22</v>
      </c>
    </row>
    <row r="259" spans="1:20" x14ac:dyDescent="0.25">
      <c r="A259" s="10">
        <v>45809</v>
      </c>
      <c r="B259" s="11">
        <v>123934</v>
      </c>
      <c r="C259" s="11" t="s">
        <v>22</v>
      </c>
      <c r="D259" s="11" t="s">
        <v>652</v>
      </c>
      <c r="E259" s="11" t="s">
        <v>583</v>
      </c>
      <c r="F259" s="11" t="s">
        <v>30</v>
      </c>
      <c r="G259" s="12">
        <v>1</v>
      </c>
      <c r="H259" s="13">
        <v>0</v>
      </c>
      <c r="I259" s="14">
        <f t="shared" si="34"/>
        <v>0</v>
      </c>
      <c r="J259" s="15">
        <v>1</v>
      </c>
      <c r="K259" s="15">
        <v>0</v>
      </c>
      <c r="L259" s="14" t="s">
        <v>46</v>
      </c>
      <c r="M259" s="14">
        <f t="shared" si="36"/>
        <v>0</v>
      </c>
      <c r="N259" s="14">
        <f t="shared" si="35"/>
        <v>0</v>
      </c>
      <c r="O259" s="11" t="s">
        <v>27</v>
      </c>
      <c r="P259" s="11" t="s">
        <v>27</v>
      </c>
      <c r="Q259" s="11"/>
      <c r="R259" s="11">
        <v>1</v>
      </c>
      <c r="S259" s="11" t="s">
        <v>28</v>
      </c>
      <c r="T259" s="16" t="s">
        <v>22</v>
      </c>
    </row>
    <row r="260" spans="1:20" x14ac:dyDescent="0.25">
      <c r="A260" s="10">
        <v>45809</v>
      </c>
      <c r="B260" s="11">
        <v>123934</v>
      </c>
      <c r="C260" s="11" t="s">
        <v>22</v>
      </c>
      <c r="D260" s="11" t="s">
        <v>652</v>
      </c>
      <c r="E260" s="11" t="s">
        <v>348</v>
      </c>
      <c r="F260" s="11" t="s">
        <v>30</v>
      </c>
      <c r="G260" s="12">
        <v>1</v>
      </c>
      <c r="H260" s="13">
        <v>599.78</v>
      </c>
      <c r="I260" s="14">
        <f t="shared" si="34"/>
        <v>599.78</v>
      </c>
      <c r="J260" s="15">
        <v>1</v>
      </c>
      <c r="K260" s="15">
        <v>0</v>
      </c>
      <c r="L260" s="14" t="s">
        <v>46</v>
      </c>
      <c r="M260" s="14">
        <f t="shared" si="36"/>
        <v>599.78</v>
      </c>
      <c r="N260" s="14">
        <f t="shared" si="35"/>
        <v>0</v>
      </c>
      <c r="O260" s="11" t="s">
        <v>27</v>
      </c>
      <c r="P260" s="11" t="s">
        <v>27</v>
      </c>
      <c r="Q260" s="11"/>
      <c r="R260" s="11">
        <v>1</v>
      </c>
      <c r="S260" s="11" t="s">
        <v>28</v>
      </c>
      <c r="T260" s="16" t="s">
        <v>22</v>
      </c>
    </row>
    <row r="261" spans="1:20" x14ac:dyDescent="0.25">
      <c r="A261" s="10">
        <v>45809</v>
      </c>
      <c r="B261" s="11">
        <v>123934</v>
      </c>
      <c r="C261" s="11" t="s">
        <v>22</v>
      </c>
      <c r="D261" s="11" t="s">
        <v>652</v>
      </c>
      <c r="E261" s="11" t="s">
        <v>580</v>
      </c>
      <c r="F261" s="11" t="s">
        <v>30</v>
      </c>
      <c r="G261" s="12">
        <v>1</v>
      </c>
      <c r="H261" s="13">
        <v>620.14</v>
      </c>
      <c r="I261" s="14">
        <f t="shared" si="34"/>
        <v>620.14</v>
      </c>
      <c r="J261" s="15">
        <v>1</v>
      </c>
      <c r="K261" s="15">
        <v>0</v>
      </c>
      <c r="L261" s="14" t="s">
        <v>46</v>
      </c>
      <c r="M261" s="14">
        <f t="shared" si="36"/>
        <v>620.14</v>
      </c>
      <c r="N261" s="14">
        <f t="shared" si="35"/>
        <v>0</v>
      </c>
      <c r="O261" s="11" t="s">
        <v>27</v>
      </c>
      <c r="P261" s="11" t="s">
        <v>27</v>
      </c>
      <c r="Q261" s="11"/>
      <c r="R261" s="11">
        <v>1</v>
      </c>
      <c r="S261" s="11" t="s">
        <v>28</v>
      </c>
      <c r="T261" s="16" t="s">
        <v>22</v>
      </c>
    </row>
    <row r="262" spans="1:20" x14ac:dyDescent="0.25">
      <c r="A262" s="10">
        <v>45809</v>
      </c>
      <c r="B262" s="11">
        <v>123934</v>
      </c>
      <c r="C262" s="11" t="s">
        <v>22</v>
      </c>
      <c r="D262" s="11" t="s">
        <v>652</v>
      </c>
      <c r="E262" s="11" t="s">
        <v>144</v>
      </c>
      <c r="F262" s="11" t="s">
        <v>30</v>
      </c>
      <c r="G262" s="12">
        <v>1</v>
      </c>
      <c r="H262" s="13">
        <v>576.09</v>
      </c>
      <c r="I262" s="14">
        <f t="shared" si="34"/>
        <v>576.09</v>
      </c>
      <c r="J262" s="15">
        <v>1</v>
      </c>
      <c r="K262" s="15">
        <v>0</v>
      </c>
      <c r="L262" s="14" t="s">
        <v>46</v>
      </c>
      <c r="M262" s="14">
        <f t="shared" si="36"/>
        <v>576.09</v>
      </c>
      <c r="N262" s="14">
        <f t="shared" si="35"/>
        <v>0</v>
      </c>
      <c r="O262" s="11" t="s">
        <v>27</v>
      </c>
      <c r="P262" s="11" t="s">
        <v>27</v>
      </c>
      <c r="Q262" s="11"/>
      <c r="R262" s="11">
        <v>1</v>
      </c>
      <c r="S262" s="11" t="s">
        <v>28</v>
      </c>
      <c r="T262" s="16" t="s">
        <v>22</v>
      </c>
    </row>
    <row r="263" spans="1:20" x14ac:dyDescent="0.25">
      <c r="A263" s="10">
        <v>45809</v>
      </c>
      <c r="B263" s="11">
        <v>123755</v>
      </c>
      <c r="C263" s="11" t="s">
        <v>44</v>
      </c>
      <c r="D263" s="11" t="s">
        <v>654</v>
      </c>
      <c r="E263" s="11" t="s">
        <v>102</v>
      </c>
      <c r="F263" s="11" t="s">
        <v>41</v>
      </c>
      <c r="G263" s="12">
        <v>1</v>
      </c>
      <c r="H263" s="13">
        <v>1520</v>
      </c>
      <c r="I263" s="14">
        <f t="shared" si="34"/>
        <v>1520</v>
      </c>
      <c r="J263" s="15">
        <v>7.0000000000000007E-2</v>
      </c>
      <c r="K263" s="15">
        <f t="shared" ref="K263:K278" si="37">J263*0.25</f>
        <v>1.7500000000000002E-2</v>
      </c>
      <c r="L263" s="14" t="s">
        <v>46</v>
      </c>
      <c r="M263" s="14">
        <f t="shared" si="36"/>
        <v>106.4</v>
      </c>
      <c r="N263" s="14">
        <f t="shared" si="35"/>
        <v>26.6</v>
      </c>
      <c r="O263" s="11" t="s">
        <v>27</v>
      </c>
      <c r="P263" s="11" t="s">
        <v>27</v>
      </c>
      <c r="Q263" s="11"/>
      <c r="R263" s="11">
        <v>1</v>
      </c>
      <c r="S263" s="11" t="s">
        <v>28</v>
      </c>
      <c r="T263" s="16" t="s">
        <v>44</v>
      </c>
    </row>
    <row r="264" spans="1:20" x14ac:dyDescent="0.25">
      <c r="A264" s="10">
        <v>45809</v>
      </c>
      <c r="B264" s="11">
        <v>123755</v>
      </c>
      <c r="C264" s="11" t="s">
        <v>44</v>
      </c>
      <c r="D264" s="11" t="s">
        <v>654</v>
      </c>
      <c r="E264" s="11" t="s">
        <v>102</v>
      </c>
      <c r="F264" s="11" t="s">
        <v>30</v>
      </c>
      <c r="G264" s="12">
        <v>1</v>
      </c>
      <c r="H264" s="13">
        <v>1682.13</v>
      </c>
      <c r="I264" s="14">
        <f t="shared" si="34"/>
        <v>1682.13</v>
      </c>
      <c r="J264" s="15">
        <v>1</v>
      </c>
      <c r="K264" s="15">
        <f t="shared" si="37"/>
        <v>0.25</v>
      </c>
      <c r="L264" s="14" t="s">
        <v>46</v>
      </c>
      <c r="M264" s="14">
        <f t="shared" si="36"/>
        <v>1682.13</v>
      </c>
      <c r="N264" s="14">
        <f t="shared" si="35"/>
        <v>420.53250000000003</v>
      </c>
      <c r="O264" s="11" t="s">
        <v>27</v>
      </c>
      <c r="P264" s="11" t="s">
        <v>27</v>
      </c>
      <c r="Q264" s="11"/>
      <c r="R264" s="11">
        <v>1</v>
      </c>
      <c r="S264" s="11" t="s">
        <v>28</v>
      </c>
      <c r="T264" s="16" t="s">
        <v>44</v>
      </c>
    </row>
    <row r="265" spans="1:20" x14ac:dyDescent="0.25">
      <c r="A265" s="10">
        <v>45809</v>
      </c>
      <c r="B265" s="11">
        <v>123755</v>
      </c>
      <c r="C265" s="11" t="s">
        <v>44</v>
      </c>
      <c r="D265" s="11" t="s">
        <v>654</v>
      </c>
      <c r="E265" s="11" t="s">
        <v>102</v>
      </c>
      <c r="F265" s="11" t="s">
        <v>30</v>
      </c>
      <c r="G265" s="12">
        <v>1</v>
      </c>
      <c r="H265" s="13">
        <v>400</v>
      </c>
      <c r="I265" s="14">
        <f t="shared" si="34"/>
        <v>400</v>
      </c>
      <c r="J265" s="15">
        <v>1</v>
      </c>
      <c r="K265" s="15">
        <f t="shared" si="37"/>
        <v>0.25</v>
      </c>
      <c r="L265" s="14" t="s">
        <v>46</v>
      </c>
      <c r="M265" s="14">
        <f t="shared" si="36"/>
        <v>400</v>
      </c>
      <c r="N265" s="14">
        <f t="shared" si="35"/>
        <v>100</v>
      </c>
      <c r="O265" s="11" t="s">
        <v>27</v>
      </c>
      <c r="P265" s="11" t="s">
        <v>27</v>
      </c>
      <c r="Q265" s="11"/>
      <c r="R265" s="11">
        <v>1</v>
      </c>
      <c r="S265" s="11" t="s">
        <v>28</v>
      </c>
      <c r="T265" s="16" t="s">
        <v>44</v>
      </c>
    </row>
    <row r="266" spans="1:20" x14ac:dyDescent="0.25">
      <c r="A266" s="10">
        <v>45809</v>
      </c>
      <c r="B266" s="11">
        <v>123751</v>
      </c>
      <c r="C266" s="11" t="s">
        <v>44</v>
      </c>
      <c r="D266" s="11" t="s">
        <v>654</v>
      </c>
      <c r="E266" s="11" t="s">
        <v>47</v>
      </c>
      <c r="F266" s="11" t="s">
        <v>554</v>
      </c>
      <c r="G266" s="12">
        <v>162</v>
      </c>
      <c r="H266" s="13">
        <v>173.69</v>
      </c>
      <c r="I266" s="14">
        <f t="shared" si="34"/>
        <v>28137.78</v>
      </c>
      <c r="J266" s="15">
        <v>0.05</v>
      </c>
      <c r="K266" s="15">
        <f t="shared" si="37"/>
        <v>1.2500000000000001E-2</v>
      </c>
      <c r="L266" s="14" t="s">
        <v>46</v>
      </c>
      <c r="M266" s="14">
        <f t="shared" si="36"/>
        <v>1406.8890000000001</v>
      </c>
      <c r="N266" s="14">
        <f t="shared" si="35"/>
        <v>351.72225000000003</v>
      </c>
      <c r="O266" s="11" t="s">
        <v>27</v>
      </c>
      <c r="P266" s="11" t="s">
        <v>27</v>
      </c>
      <c r="Q266" s="11"/>
      <c r="R266" s="11">
        <v>1</v>
      </c>
      <c r="S266" s="11" t="s">
        <v>28</v>
      </c>
      <c r="T266" s="16" t="s">
        <v>44</v>
      </c>
    </row>
    <row r="267" spans="1:20" x14ac:dyDescent="0.25">
      <c r="A267" s="10">
        <v>45809</v>
      </c>
      <c r="B267" s="11">
        <v>123751</v>
      </c>
      <c r="C267" s="11" t="s">
        <v>44</v>
      </c>
      <c r="D267" s="11" t="s">
        <v>654</v>
      </c>
      <c r="E267" s="11" t="s">
        <v>47</v>
      </c>
      <c r="F267" s="11" t="s">
        <v>30</v>
      </c>
      <c r="G267" s="12">
        <v>5</v>
      </c>
      <c r="H267" s="13">
        <v>275.62</v>
      </c>
      <c r="I267" s="14">
        <f t="shared" si="34"/>
        <v>1378.1</v>
      </c>
      <c r="J267" s="15">
        <v>1</v>
      </c>
      <c r="K267" s="15">
        <f t="shared" si="37"/>
        <v>0.25</v>
      </c>
      <c r="L267" s="14" t="s">
        <v>46</v>
      </c>
      <c r="M267" s="14">
        <f t="shared" si="36"/>
        <v>1378.1</v>
      </c>
      <c r="N267" s="14">
        <f t="shared" si="35"/>
        <v>344.52499999999998</v>
      </c>
      <c r="O267" s="11" t="s">
        <v>27</v>
      </c>
      <c r="P267" s="11" t="s">
        <v>27</v>
      </c>
      <c r="Q267" s="11"/>
      <c r="R267" s="11">
        <v>1</v>
      </c>
      <c r="S267" s="11" t="s">
        <v>28</v>
      </c>
      <c r="T267" s="16" t="s">
        <v>44</v>
      </c>
    </row>
    <row r="268" spans="1:20" x14ac:dyDescent="0.25">
      <c r="A268" s="10">
        <v>45809</v>
      </c>
      <c r="B268" s="11">
        <v>123751</v>
      </c>
      <c r="C268" s="11" t="s">
        <v>44</v>
      </c>
      <c r="D268" s="11" t="s">
        <v>654</v>
      </c>
      <c r="E268" s="11" t="s">
        <v>63</v>
      </c>
      <c r="F268" s="11" t="s">
        <v>554</v>
      </c>
      <c r="G268" s="12">
        <v>24</v>
      </c>
      <c r="H268" s="13">
        <v>173.69</v>
      </c>
      <c r="I268" s="14">
        <f t="shared" si="34"/>
        <v>4168.5599999999995</v>
      </c>
      <c r="J268" s="15">
        <v>0.05</v>
      </c>
      <c r="K268" s="15">
        <f t="shared" si="37"/>
        <v>1.2500000000000001E-2</v>
      </c>
      <c r="L268" s="14" t="s">
        <v>46</v>
      </c>
      <c r="M268" s="14">
        <f t="shared" si="36"/>
        <v>208.428</v>
      </c>
      <c r="N268" s="14">
        <f t="shared" si="35"/>
        <v>52.106999999999999</v>
      </c>
      <c r="O268" s="11" t="s">
        <v>27</v>
      </c>
      <c r="P268" s="11" t="s">
        <v>27</v>
      </c>
      <c r="Q268" s="11"/>
      <c r="R268" s="11">
        <v>1</v>
      </c>
      <c r="S268" s="11" t="s">
        <v>28</v>
      </c>
      <c r="T268" s="16" t="s">
        <v>44</v>
      </c>
    </row>
    <row r="269" spans="1:20" x14ac:dyDescent="0.25">
      <c r="A269" s="10">
        <v>45809</v>
      </c>
      <c r="B269" s="11">
        <v>123751</v>
      </c>
      <c r="C269" s="11" t="s">
        <v>44</v>
      </c>
      <c r="D269" s="11" t="s">
        <v>654</v>
      </c>
      <c r="E269" s="11" t="s">
        <v>63</v>
      </c>
      <c r="F269" s="11" t="s">
        <v>30</v>
      </c>
      <c r="G269" s="12">
        <v>5</v>
      </c>
      <c r="H269" s="13">
        <v>78.5</v>
      </c>
      <c r="I269" s="14">
        <f t="shared" si="34"/>
        <v>392.5</v>
      </c>
      <c r="J269" s="15">
        <v>1</v>
      </c>
      <c r="K269" s="15">
        <f t="shared" si="37"/>
        <v>0.25</v>
      </c>
      <c r="L269" s="14" t="s">
        <v>46</v>
      </c>
      <c r="M269" s="14">
        <f t="shared" si="36"/>
        <v>392.5</v>
      </c>
      <c r="N269" s="14">
        <f t="shared" si="35"/>
        <v>98.125</v>
      </c>
      <c r="O269" s="11" t="s">
        <v>27</v>
      </c>
      <c r="P269" s="11" t="s">
        <v>27</v>
      </c>
      <c r="Q269" s="11"/>
      <c r="R269" s="11">
        <v>1</v>
      </c>
      <c r="S269" s="11" t="s">
        <v>28</v>
      </c>
      <c r="T269" s="16" t="s">
        <v>44</v>
      </c>
    </row>
    <row r="270" spans="1:20" x14ac:dyDescent="0.25">
      <c r="A270" s="10">
        <v>45810</v>
      </c>
      <c r="B270" s="11">
        <v>124056</v>
      </c>
      <c r="C270" s="11" t="s">
        <v>31</v>
      </c>
      <c r="D270" s="11" t="s">
        <v>625</v>
      </c>
      <c r="E270" s="11" t="s">
        <v>575</v>
      </c>
      <c r="F270" s="11" t="s">
        <v>30</v>
      </c>
      <c r="G270" s="12">
        <v>159</v>
      </c>
      <c r="H270" s="13">
        <v>15.84</v>
      </c>
      <c r="I270" s="14">
        <f t="shared" si="34"/>
        <v>2518.56</v>
      </c>
      <c r="J270" s="15">
        <v>1</v>
      </c>
      <c r="K270" s="15">
        <f t="shared" si="37"/>
        <v>0.25</v>
      </c>
      <c r="L270" s="14" t="s">
        <v>46</v>
      </c>
      <c r="M270" s="14">
        <f t="shared" si="36"/>
        <v>2518.56</v>
      </c>
      <c r="N270" s="14">
        <f t="shared" si="35"/>
        <v>629.64</v>
      </c>
      <c r="O270" s="11" t="s">
        <v>27</v>
      </c>
      <c r="P270" s="11" t="s">
        <v>27</v>
      </c>
      <c r="Q270" s="11"/>
      <c r="R270" s="11">
        <v>1</v>
      </c>
      <c r="S270" s="11" t="s">
        <v>28</v>
      </c>
      <c r="T270" s="16" t="s">
        <v>31</v>
      </c>
    </row>
    <row r="271" spans="1:20" x14ac:dyDescent="0.25">
      <c r="A271" s="10">
        <v>45810</v>
      </c>
      <c r="B271" s="11">
        <v>124056</v>
      </c>
      <c r="C271" s="11" t="s">
        <v>31</v>
      </c>
      <c r="D271" s="11" t="s">
        <v>625</v>
      </c>
      <c r="E271" s="11" t="s">
        <v>575</v>
      </c>
      <c r="F271" s="11" t="s">
        <v>30</v>
      </c>
      <c r="G271" s="12">
        <v>74</v>
      </c>
      <c r="H271" s="13">
        <v>9.9</v>
      </c>
      <c r="I271" s="14">
        <f t="shared" si="34"/>
        <v>732.6</v>
      </c>
      <c r="J271" s="15">
        <v>1</v>
      </c>
      <c r="K271" s="15">
        <f t="shared" si="37"/>
        <v>0.25</v>
      </c>
      <c r="L271" s="14" t="s">
        <v>46</v>
      </c>
      <c r="M271" s="14">
        <f t="shared" si="36"/>
        <v>732.6</v>
      </c>
      <c r="N271" s="14">
        <f t="shared" si="35"/>
        <v>183.15</v>
      </c>
      <c r="O271" s="11" t="s">
        <v>27</v>
      </c>
      <c r="P271" s="11" t="s">
        <v>27</v>
      </c>
      <c r="Q271" s="11"/>
      <c r="R271" s="11">
        <v>1</v>
      </c>
      <c r="S271" s="11" t="s">
        <v>28</v>
      </c>
      <c r="T271" s="16" t="s">
        <v>31</v>
      </c>
    </row>
    <row r="272" spans="1:20" x14ac:dyDescent="0.25">
      <c r="A272" s="10">
        <v>45813</v>
      </c>
      <c r="B272" s="11">
        <v>124731</v>
      </c>
      <c r="C272" s="11" t="s">
        <v>31</v>
      </c>
      <c r="D272" s="11" t="s">
        <v>655</v>
      </c>
      <c r="E272" s="11" t="s">
        <v>589</v>
      </c>
      <c r="F272" s="11" t="s">
        <v>554</v>
      </c>
      <c r="G272" s="12">
        <v>12</v>
      </c>
      <c r="H272" s="13">
        <v>166.66</v>
      </c>
      <c r="I272" s="14">
        <f t="shared" si="34"/>
        <v>1999.92</v>
      </c>
      <c r="J272" s="15">
        <v>4.0599999999999997E-2</v>
      </c>
      <c r="K272" s="15">
        <f t="shared" si="37"/>
        <v>1.0149999999999999E-2</v>
      </c>
      <c r="L272" s="14" t="s">
        <v>26</v>
      </c>
      <c r="M272" s="14">
        <f t="shared" si="36"/>
        <v>81.196752000000004</v>
      </c>
      <c r="N272" s="14">
        <f t="shared" si="35"/>
        <v>20.299188000000001</v>
      </c>
      <c r="O272" s="11" t="s">
        <v>27</v>
      </c>
      <c r="P272" s="11" t="s">
        <v>27</v>
      </c>
      <c r="Q272" s="11"/>
      <c r="R272" s="11">
        <v>1</v>
      </c>
      <c r="S272" s="11" t="s">
        <v>28</v>
      </c>
      <c r="T272" s="16" t="s">
        <v>31</v>
      </c>
    </row>
    <row r="273" spans="1:20" x14ac:dyDescent="0.25">
      <c r="A273" s="10">
        <v>45813</v>
      </c>
      <c r="B273" s="11">
        <v>97135</v>
      </c>
      <c r="C273" s="11" t="s">
        <v>31</v>
      </c>
      <c r="D273" s="11" t="s">
        <v>77</v>
      </c>
      <c r="E273" s="11" t="s">
        <v>24</v>
      </c>
      <c r="F273" s="11" t="s">
        <v>554</v>
      </c>
      <c r="G273" s="12">
        <v>20</v>
      </c>
      <c r="H273" s="13">
        <v>189</v>
      </c>
      <c r="I273" s="14">
        <f t="shared" ref="I273:I292" si="38">G273*H273</f>
        <v>3780</v>
      </c>
      <c r="J273" s="15">
        <v>7.0000000000000007E-2</v>
      </c>
      <c r="K273" s="15">
        <f t="shared" si="37"/>
        <v>1.7500000000000002E-2</v>
      </c>
      <c r="L273" s="14" t="s">
        <v>26</v>
      </c>
      <c r="M273" s="14">
        <f t="shared" si="36"/>
        <v>264.60000000000002</v>
      </c>
      <c r="N273" s="14">
        <f t="shared" si="35"/>
        <v>66.150000000000006</v>
      </c>
      <c r="O273" s="11" t="s">
        <v>597</v>
      </c>
      <c r="P273" s="11" t="s">
        <v>597</v>
      </c>
      <c r="Q273" s="11"/>
      <c r="R273" s="11">
        <v>2</v>
      </c>
      <c r="S273" s="11" t="s">
        <v>597</v>
      </c>
      <c r="T273" s="16" t="s">
        <v>31</v>
      </c>
    </row>
    <row r="274" spans="1:20" x14ac:dyDescent="0.25">
      <c r="A274" s="10">
        <v>45813</v>
      </c>
      <c r="B274" s="11">
        <v>124686</v>
      </c>
      <c r="C274" s="11" t="s">
        <v>31</v>
      </c>
      <c r="D274" s="11" t="s">
        <v>656</v>
      </c>
      <c r="E274" s="11" t="s">
        <v>145</v>
      </c>
      <c r="F274" s="11" t="s">
        <v>30</v>
      </c>
      <c r="G274" s="12">
        <v>1</v>
      </c>
      <c r="H274" s="13">
        <v>320.76</v>
      </c>
      <c r="I274" s="14">
        <f t="shared" si="38"/>
        <v>320.76</v>
      </c>
      <c r="J274" s="15">
        <v>1</v>
      </c>
      <c r="K274" s="15">
        <f t="shared" si="37"/>
        <v>0.25</v>
      </c>
      <c r="L274" s="14" t="s">
        <v>26</v>
      </c>
      <c r="M274" s="14">
        <f t="shared" si="36"/>
        <v>320.76</v>
      </c>
      <c r="N274" s="14">
        <f t="shared" si="35"/>
        <v>80.19</v>
      </c>
      <c r="O274" s="11" t="s">
        <v>27</v>
      </c>
      <c r="P274" s="11" t="s">
        <v>27</v>
      </c>
      <c r="Q274" s="11"/>
      <c r="R274" s="11">
        <v>1</v>
      </c>
      <c r="S274" s="11" t="s">
        <v>28</v>
      </c>
      <c r="T274" s="16" t="s">
        <v>31</v>
      </c>
    </row>
    <row r="275" spans="1:20" x14ac:dyDescent="0.25">
      <c r="A275" s="10">
        <v>45813</v>
      </c>
      <c r="B275" s="11">
        <v>124686</v>
      </c>
      <c r="C275" s="11" t="s">
        <v>31</v>
      </c>
      <c r="D275" s="11" t="s">
        <v>656</v>
      </c>
      <c r="E275" s="11" t="s">
        <v>24</v>
      </c>
      <c r="F275" s="11" t="s">
        <v>554</v>
      </c>
      <c r="G275" s="12">
        <v>4</v>
      </c>
      <c r="H275" s="13">
        <v>178.5</v>
      </c>
      <c r="I275" s="14">
        <f t="shared" si="38"/>
        <v>714</v>
      </c>
      <c r="J275" s="15">
        <v>6.7900000000000002E-2</v>
      </c>
      <c r="K275" s="15">
        <f t="shared" si="37"/>
        <v>1.6975000000000001E-2</v>
      </c>
      <c r="L275" s="14" t="s">
        <v>26</v>
      </c>
      <c r="M275" s="14">
        <f t="shared" si="36"/>
        <v>48.480600000000003</v>
      </c>
      <c r="N275" s="14">
        <f t="shared" si="35"/>
        <v>12.120150000000001</v>
      </c>
      <c r="O275" s="11" t="s">
        <v>27</v>
      </c>
      <c r="P275" s="11" t="s">
        <v>27</v>
      </c>
      <c r="Q275" s="11"/>
      <c r="R275" s="11">
        <v>1</v>
      </c>
      <c r="S275" s="11" t="s">
        <v>28</v>
      </c>
      <c r="T275" s="16" t="s">
        <v>31</v>
      </c>
    </row>
    <row r="276" spans="1:20" x14ac:dyDescent="0.25">
      <c r="A276" s="10">
        <v>45813</v>
      </c>
      <c r="B276" s="11">
        <v>123775</v>
      </c>
      <c r="C276" s="11" t="s">
        <v>31</v>
      </c>
      <c r="D276" s="11" t="s">
        <v>657</v>
      </c>
      <c r="E276" s="11" t="s">
        <v>24</v>
      </c>
      <c r="F276" s="11" t="s">
        <v>554</v>
      </c>
      <c r="G276" s="12">
        <v>10</v>
      </c>
      <c r="H276" s="13">
        <v>176</v>
      </c>
      <c r="I276" s="14">
        <f t="shared" si="38"/>
        <v>1760</v>
      </c>
      <c r="J276" s="15">
        <v>0.01</v>
      </c>
      <c r="K276" s="15">
        <f t="shared" si="37"/>
        <v>2.5000000000000001E-3</v>
      </c>
      <c r="L276" s="14" t="s">
        <v>26</v>
      </c>
      <c r="M276" s="14">
        <f t="shared" si="36"/>
        <v>17.600000000000001</v>
      </c>
      <c r="N276" s="14">
        <f t="shared" si="35"/>
        <v>4.4000000000000004</v>
      </c>
      <c r="O276" s="11" t="s">
        <v>27</v>
      </c>
      <c r="P276" s="11" t="s">
        <v>27</v>
      </c>
      <c r="Q276" s="11"/>
      <c r="R276" s="11">
        <v>3</v>
      </c>
      <c r="S276" s="11" t="s">
        <v>597</v>
      </c>
      <c r="T276" s="16" t="s">
        <v>31</v>
      </c>
    </row>
    <row r="277" spans="1:20" x14ac:dyDescent="0.25">
      <c r="A277" s="10">
        <v>45813</v>
      </c>
      <c r="B277" s="11">
        <v>124630</v>
      </c>
      <c r="C277" s="11" t="s">
        <v>31</v>
      </c>
      <c r="D277" s="11" t="s">
        <v>658</v>
      </c>
      <c r="E277" s="11" t="s">
        <v>24</v>
      </c>
      <c r="F277" s="11" t="s">
        <v>554</v>
      </c>
      <c r="G277" s="12">
        <v>2</v>
      </c>
      <c r="H277" s="13">
        <v>148.52000000000001</v>
      </c>
      <c r="I277" s="14">
        <f t="shared" si="38"/>
        <v>297.04000000000002</v>
      </c>
      <c r="J277" s="15">
        <v>6.6900000000000001E-2</v>
      </c>
      <c r="K277" s="15">
        <f t="shared" si="37"/>
        <v>1.6725E-2</v>
      </c>
      <c r="L277" s="14" t="s">
        <v>26</v>
      </c>
      <c r="M277" s="14">
        <f t="shared" si="36"/>
        <v>19.871976</v>
      </c>
      <c r="N277" s="14">
        <f t="shared" si="35"/>
        <v>4.967994</v>
      </c>
      <c r="O277" s="11" t="s">
        <v>27</v>
      </c>
      <c r="P277" s="11" t="s">
        <v>27</v>
      </c>
      <c r="Q277" s="11"/>
      <c r="R277" s="11">
        <v>6</v>
      </c>
      <c r="S277" s="11" t="s">
        <v>597</v>
      </c>
      <c r="T277" s="16" t="s">
        <v>31</v>
      </c>
    </row>
    <row r="278" spans="1:20" x14ac:dyDescent="0.25">
      <c r="A278" s="10">
        <v>45814</v>
      </c>
      <c r="B278" s="11">
        <v>124832</v>
      </c>
      <c r="C278" s="11" t="s">
        <v>31</v>
      </c>
      <c r="D278" s="11" t="s">
        <v>613</v>
      </c>
      <c r="E278" s="11" t="s">
        <v>24</v>
      </c>
      <c r="F278" s="11" t="s">
        <v>554</v>
      </c>
      <c r="G278" s="12">
        <v>9</v>
      </c>
      <c r="H278" s="13">
        <v>189</v>
      </c>
      <c r="I278" s="14">
        <f t="shared" si="38"/>
        <v>1701</v>
      </c>
      <c r="J278" s="15">
        <v>7.0000000000000007E-2</v>
      </c>
      <c r="K278" s="15">
        <f t="shared" si="37"/>
        <v>1.7500000000000002E-2</v>
      </c>
      <c r="L278" s="14" t="s">
        <v>26</v>
      </c>
      <c r="M278" s="14">
        <f t="shared" si="36"/>
        <v>119.07000000000001</v>
      </c>
      <c r="N278" s="14">
        <f t="shared" si="35"/>
        <v>29.767500000000002</v>
      </c>
      <c r="O278" s="11" t="s">
        <v>597</v>
      </c>
      <c r="P278" s="11" t="s">
        <v>597</v>
      </c>
      <c r="Q278" s="11"/>
      <c r="R278" s="11">
        <v>3</v>
      </c>
      <c r="S278" s="11" t="s">
        <v>597</v>
      </c>
      <c r="T278" s="16" t="s">
        <v>31</v>
      </c>
    </row>
    <row r="279" spans="1:20" x14ac:dyDescent="0.25">
      <c r="A279" s="10">
        <v>45814</v>
      </c>
      <c r="B279" s="11">
        <v>93140</v>
      </c>
      <c r="C279" s="11" t="s">
        <v>22</v>
      </c>
      <c r="D279" s="11" t="s">
        <v>621</v>
      </c>
      <c r="E279" s="11" t="s">
        <v>578</v>
      </c>
      <c r="F279" s="11" t="s">
        <v>41</v>
      </c>
      <c r="G279" s="12">
        <v>1</v>
      </c>
      <c r="H279" s="13">
        <v>2068</v>
      </c>
      <c r="I279" s="14">
        <f t="shared" si="38"/>
        <v>2068</v>
      </c>
      <c r="J279" s="15">
        <v>5.2499999999999998E-2</v>
      </c>
      <c r="K279" s="15">
        <v>0</v>
      </c>
      <c r="L279" s="14" t="s">
        <v>26</v>
      </c>
      <c r="M279" s="14">
        <f t="shared" si="36"/>
        <v>108.57</v>
      </c>
      <c r="N279" s="14">
        <f t="shared" si="35"/>
        <v>0</v>
      </c>
      <c r="O279" s="11" t="s">
        <v>597</v>
      </c>
      <c r="P279" s="11" t="s">
        <v>597</v>
      </c>
      <c r="Q279" s="11"/>
      <c r="R279" s="11">
        <v>6</v>
      </c>
      <c r="S279" s="11" t="s">
        <v>597</v>
      </c>
      <c r="T279" s="16" t="s">
        <v>22</v>
      </c>
    </row>
    <row r="280" spans="1:20" x14ac:dyDescent="0.25">
      <c r="A280" s="10">
        <v>45814</v>
      </c>
      <c r="B280" s="11">
        <v>93140</v>
      </c>
      <c r="C280" s="11" t="s">
        <v>22</v>
      </c>
      <c r="D280" s="11" t="s">
        <v>621</v>
      </c>
      <c r="E280" s="11" t="s">
        <v>578</v>
      </c>
      <c r="F280" s="11" t="s">
        <v>30</v>
      </c>
      <c r="G280" s="12">
        <v>1</v>
      </c>
      <c r="H280" s="13">
        <v>262.35000000000002</v>
      </c>
      <c r="I280" s="14">
        <f t="shared" si="38"/>
        <v>262.35000000000002</v>
      </c>
      <c r="J280" s="15">
        <v>0.75</v>
      </c>
      <c r="K280" s="15">
        <v>0</v>
      </c>
      <c r="L280" s="14" t="s">
        <v>26</v>
      </c>
      <c r="M280" s="14">
        <f t="shared" si="36"/>
        <v>196.76250000000002</v>
      </c>
      <c r="N280" s="14">
        <f t="shared" si="35"/>
        <v>0</v>
      </c>
      <c r="O280" s="11" t="s">
        <v>597</v>
      </c>
      <c r="P280" s="11" t="s">
        <v>597</v>
      </c>
      <c r="Q280" s="11"/>
      <c r="R280" s="11">
        <v>1</v>
      </c>
      <c r="S280" s="11" t="s">
        <v>597</v>
      </c>
      <c r="T280" s="16" t="s">
        <v>22</v>
      </c>
    </row>
    <row r="281" spans="1:20" x14ac:dyDescent="0.25">
      <c r="A281" s="10">
        <v>45818</v>
      </c>
      <c r="B281" s="11">
        <v>123317</v>
      </c>
      <c r="C281" s="11" t="s">
        <v>31</v>
      </c>
      <c r="D281" s="11" t="s">
        <v>65</v>
      </c>
      <c r="E281" s="11" t="s">
        <v>35</v>
      </c>
      <c r="F281" s="11" t="s">
        <v>35</v>
      </c>
      <c r="G281" s="12">
        <v>72</v>
      </c>
      <c r="H281" s="13">
        <v>176</v>
      </c>
      <c r="I281" s="14">
        <f t="shared" si="38"/>
        <v>12672</v>
      </c>
      <c r="J281" s="15">
        <v>0.01</v>
      </c>
      <c r="K281" s="15">
        <f>J281*0.25</f>
        <v>2.5000000000000001E-3</v>
      </c>
      <c r="L281" s="14" t="s">
        <v>26</v>
      </c>
      <c r="M281" s="14">
        <f t="shared" si="36"/>
        <v>126.72</v>
      </c>
      <c r="N281" s="14">
        <f t="shared" si="35"/>
        <v>31.68</v>
      </c>
      <c r="O281" s="11" t="s">
        <v>597</v>
      </c>
      <c r="P281" s="11" t="s">
        <v>597</v>
      </c>
      <c r="Q281" s="11"/>
      <c r="R281" s="11">
        <v>3</v>
      </c>
      <c r="S281" s="11" t="s">
        <v>597</v>
      </c>
      <c r="T281" s="16" t="s">
        <v>31</v>
      </c>
    </row>
    <row r="282" spans="1:20" x14ac:dyDescent="0.25">
      <c r="A282" s="10">
        <v>45819</v>
      </c>
      <c r="B282" s="11">
        <v>125122</v>
      </c>
      <c r="C282" s="11" t="s">
        <v>22</v>
      </c>
      <c r="D282" s="11" t="s">
        <v>621</v>
      </c>
      <c r="E282" s="11" t="s">
        <v>24</v>
      </c>
      <c r="F282" s="11" t="s">
        <v>554</v>
      </c>
      <c r="G282" s="12">
        <v>16</v>
      </c>
      <c r="H282" s="13">
        <v>180</v>
      </c>
      <c r="I282" s="14">
        <f t="shared" si="38"/>
        <v>2880</v>
      </c>
      <c r="J282" s="15">
        <v>7.0000000000000007E-2</v>
      </c>
      <c r="K282" s="15">
        <v>0</v>
      </c>
      <c r="L282" s="14" t="s">
        <v>26</v>
      </c>
      <c r="M282" s="14">
        <f t="shared" si="36"/>
        <v>201.60000000000002</v>
      </c>
      <c r="N282" s="14">
        <f t="shared" si="35"/>
        <v>0</v>
      </c>
      <c r="O282" s="11" t="s">
        <v>27</v>
      </c>
      <c r="P282" s="11" t="s">
        <v>27</v>
      </c>
      <c r="Q282" s="11"/>
      <c r="R282" s="11">
        <v>3</v>
      </c>
      <c r="S282" s="11" t="s">
        <v>28</v>
      </c>
      <c r="T282" s="16" t="s">
        <v>22</v>
      </c>
    </row>
    <row r="283" spans="1:20" x14ac:dyDescent="0.25">
      <c r="A283" s="10">
        <v>45824</v>
      </c>
      <c r="B283" s="11">
        <v>105949</v>
      </c>
      <c r="C283" s="11" t="s">
        <v>44</v>
      </c>
      <c r="D283" s="11" t="s">
        <v>649</v>
      </c>
      <c r="E283" s="11" t="s">
        <v>653</v>
      </c>
      <c r="F283" s="11" t="s">
        <v>30</v>
      </c>
      <c r="G283" s="12">
        <v>1</v>
      </c>
      <c r="H283" s="13">
        <v>178.2</v>
      </c>
      <c r="I283" s="14">
        <f t="shared" si="38"/>
        <v>178.2</v>
      </c>
      <c r="J283" s="15">
        <v>0</v>
      </c>
      <c r="K283" s="15">
        <v>0</v>
      </c>
      <c r="L283" s="14" t="s">
        <v>26</v>
      </c>
      <c r="M283" s="14">
        <f t="shared" si="36"/>
        <v>0</v>
      </c>
      <c r="N283" s="14">
        <f t="shared" si="35"/>
        <v>0</v>
      </c>
      <c r="O283" s="11" t="s">
        <v>27</v>
      </c>
      <c r="P283" s="11" t="s">
        <v>27</v>
      </c>
      <c r="Q283" s="11"/>
      <c r="R283" s="11">
        <v>1</v>
      </c>
      <c r="S283" s="11" t="s">
        <v>28</v>
      </c>
      <c r="T283" s="16" t="s">
        <v>44</v>
      </c>
    </row>
    <row r="284" spans="1:20" x14ac:dyDescent="0.25">
      <c r="A284" s="10">
        <v>45831</v>
      </c>
      <c r="B284" s="11">
        <v>124942</v>
      </c>
      <c r="C284" s="11" t="s">
        <v>31</v>
      </c>
      <c r="D284" s="11" t="s">
        <v>620</v>
      </c>
      <c r="E284" s="11" t="s">
        <v>35</v>
      </c>
      <c r="F284" s="11" t="s">
        <v>35</v>
      </c>
      <c r="G284" s="12">
        <v>8</v>
      </c>
      <c r="H284" s="13">
        <v>176</v>
      </c>
      <c r="I284" s="14">
        <f t="shared" si="38"/>
        <v>1408</v>
      </c>
      <c r="J284" s="15">
        <v>0.01</v>
      </c>
      <c r="K284" s="15">
        <f>J284*0.25</f>
        <v>2.5000000000000001E-3</v>
      </c>
      <c r="L284" s="14" t="s">
        <v>26</v>
      </c>
      <c r="M284" s="14">
        <f t="shared" si="36"/>
        <v>14.08</v>
      </c>
      <c r="N284" s="14">
        <f t="shared" si="35"/>
        <v>3.52</v>
      </c>
      <c r="O284" s="11" t="s">
        <v>597</v>
      </c>
      <c r="P284" s="11" t="s">
        <v>597</v>
      </c>
      <c r="Q284" s="11"/>
      <c r="R284" s="11">
        <v>3</v>
      </c>
      <c r="S284" s="11" t="s">
        <v>597</v>
      </c>
      <c r="T284" s="16" t="s">
        <v>31</v>
      </c>
    </row>
    <row r="285" spans="1:20" x14ac:dyDescent="0.25">
      <c r="A285" s="10">
        <v>45832</v>
      </c>
      <c r="B285" s="11">
        <v>125596</v>
      </c>
      <c r="C285" s="11" t="s">
        <v>22</v>
      </c>
      <c r="D285" s="11" t="s">
        <v>67</v>
      </c>
      <c r="E285" s="11" t="s">
        <v>47</v>
      </c>
      <c r="F285" s="11" t="s">
        <v>554</v>
      </c>
      <c r="G285" s="12">
        <v>120</v>
      </c>
      <c r="H285" s="13">
        <v>180</v>
      </c>
      <c r="I285" s="14">
        <f t="shared" si="38"/>
        <v>21600</v>
      </c>
      <c r="J285" s="15">
        <v>7.0000000000000007E-2</v>
      </c>
      <c r="K285" s="15">
        <v>0</v>
      </c>
      <c r="L285" s="14" t="s">
        <v>46</v>
      </c>
      <c r="M285" s="14">
        <f t="shared" si="36"/>
        <v>1512.0000000000002</v>
      </c>
      <c r="N285" s="14">
        <f t="shared" si="35"/>
        <v>0</v>
      </c>
      <c r="O285" s="11" t="s">
        <v>27</v>
      </c>
      <c r="P285" s="11" t="s">
        <v>27</v>
      </c>
      <c r="Q285" s="11"/>
      <c r="R285" s="11">
        <v>6</v>
      </c>
      <c r="S285" s="11" t="s">
        <v>28</v>
      </c>
      <c r="T285" s="16" t="s">
        <v>22</v>
      </c>
    </row>
    <row r="286" spans="1:20" x14ac:dyDescent="0.25">
      <c r="A286" s="10">
        <v>45832</v>
      </c>
      <c r="B286" s="11">
        <v>125596</v>
      </c>
      <c r="C286" s="11" t="s">
        <v>22</v>
      </c>
      <c r="D286" s="11" t="s">
        <v>67</v>
      </c>
      <c r="E286" s="11" t="s">
        <v>47</v>
      </c>
      <c r="F286" s="11" t="s">
        <v>30</v>
      </c>
      <c r="G286" s="12">
        <v>6</v>
      </c>
      <c r="H286" s="13">
        <v>275.62</v>
      </c>
      <c r="I286" s="14">
        <f t="shared" si="38"/>
        <v>1653.72</v>
      </c>
      <c r="J286" s="15">
        <v>1</v>
      </c>
      <c r="K286" s="15">
        <v>0</v>
      </c>
      <c r="L286" s="14" t="s">
        <v>46</v>
      </c>
      <c r="M286" s="14">
        <f t="shared" si="36"/>
        <v>1653.72</v>
      </c>
      <c r="N286" s="14">
        <f t="shared" si="35"/>
        <v>0</v>
      </c>
      <c r="O286" s="11" t="s">
        <v>27</v>
      </c>
      <c r="P286" s="11" t="s">
        <v>27</v>
      </c>
      <c r="Q286" s="11"/>
      <c r="R286" s="11">
        <v>1</v>
      </c>
      <c r="S286" s="11" t="s">
        <v>28</v>
      </c>
      <c r="T286" s="16" t="s">
        <v>22</v>
      </c>
    </row>
    <row r="287" spans="1:20" x14ac:dyDescent="0.25">
      <c r="A287" s="10">
        <v>45832</v>
      </c>
      <c r="B287" s="11">
        <v>125596</v>
      </c>
      <c r="C287" s="11" t="s">
        <v>22</v>
      </c>
      <c r="D287" s="11" t="s">
        <v>67</v>
      </c>
      <c r="E287" s="11" t="s">
        <v>48</v>
      </c>
      <c r="F287" s="11" t="s">
        <v>30</v>
      </c>
      <c r="G287" s="12">
        <v>1</v>
      </c>
      <c r="H287" s="13">
        <v>356.4</v>
      </c>
      <c r="I287" s="14">
        <f t="shared" si="38"/>
        <v>356.4</v>
      </c>
      <c r="J287" s="15">
        <v>1</v>
      </c>
      <c r="K287" s="15">
        <v>0</v>
      </c>
      <c r="L287" s="14" t="s">
        <v>46</v>
      </c>
      <c r="M287" s="14">
        <f t="shared" si="36"/>
        <v>356.4</v>
      </c>
      <c r="N287" s="14">
        <f t="shared" si="35"/>
        <v>0</v>
      </c>
      <c r="O287" s="11" t="s">
        <v>27</v>
      </c>
      <c r="P287" s="11" t="s">
        <v>27</v>
      </c>
      <c r="Q287" s="11"/>
      <c r="R287" s="11">
        <v>1</v>
      </c>
      <c r="S287" s="11" t="s">
        <v>28</v>
      </c>
      <c r="T287" s="16" t="s">
        <v>22</v>
      </c>
    </row>
    <row r="288" spans="1:20" x14ac:dyDescent="0.25">
      <c r="A288" s="10">
        <v>45832</v>
      </c>
      <c r="B288" s="11">
        <v>113688</v>
      </c>
      <c r="C288" s="11" t="s">
        <v>31</v>
      </c>
      <c r="D288" s="11" t="s">
        <v>659</v>
      </c>
      <c r="E288" s="11" t="s">
        <v>24</v>
      </c>
      <c r="F288" s="11" t="s">
        <v>554</v>
      </c>
      <c r="G288" s="12">
        <v>7</v>
      </c>
      <c r="H288" s="13">
        <v>166.66</v>
      </c>
      <c r="I288" s="14">
        <f t="shared" si="38"/>
        <v>1166.6199999999999</v>
      </c>
      <c r="J288" s="15">
        <v>3.32E-2</v>
      </c>
      <c r="K288" s="15">
        <f>J288*0.25</f>
        <v>8.3000000000000001E-3</v>
      </c>
      <c r="L288" s="14" t="s">
        <v>46</v>
      </c>
      <c r="M288" s="14">
        <f t="shared" si="36"/>
        <v>38.731783999999998</v>
      </c>
      <c r="N288" s="14">
        <f t="shared" si="35"/>
        <v>9.6829459999999994</v>
      </c>
      <c r="O288" s="11" t="s">
        <v>597</v>
      </c>
      <c r="P288" s="11" t="s">
        <v>597</v>
      </c>
      <c r="Q288" s="11"/>
      <c r="R288" s="11">
        <v>6</v>
      </c>
      <c r="S288" s="11" t="s">
        <v>597</v>
      </c>
      <c r="T288" s="16" t="s">
        <v>31</v>
      </c>
    </row>
    <row r="289" spans="1:20" x14ac:dyDescent="0.25">
      <c r="A289" s="10">
        <v>45832</v>
      </c>
      <c r="B289" s="11">
        <v>119299</v>
      </c>
      <c r="C289" s="11" t="s">
        <v>31</v>
      </c>
      <c r="D289" s="11" t="s">
        <v>660</v>
      </c>
      <c r="E289" s="11" t="s">
        <v>24</v>
      </c>
      <c r="F289" s="11" t="s">
        <v>554</v>
      </c>
      <c r="G289" s="12">
        <v>10</v>
      </c>
      <c r="H289" s="13">
        <v>210</v>
      </c>
      <c r="I289" s="14">
        <f t="shared" si="38"/>
        <v>2100</v>
      </c>
      <c r="J289" s="15">
        <v>7.0000000000000007E-2</v>
      </c>
      <c r="K289" s="15">
        <f>J289*0.25</f>
        <v>1.7500000000000002E-2</v>
      </c>
      <c r="L289" s="14" t="s">
        <v>46</v>
      </c>
      <c r="M289" s="14">
        <f t="shared" si="36"/>
        <v>147</v>
      </c>
      <c r="N289" s="14">
        <f t="shared" si="35"/>
        <v>36.75</v>
      </c>
      <c r="O289" s="11" t="s">
        <v>597</v>
      </c>
      <c r="P289" s="11" t="s">
        <v>597</v>
      </c>
      <c r="Q289" s="11"/>
      <c r="R289" s="11">
        <v>6</v>
      </c>
      <c r="S289" s="11" t="s">
        <v>597</v>
      </c>
      <c r="T289" s="16" t="s">
        <v>31</v>
      </c>
    </row>
    <row r="290" spans="1:20" x14ac:dyDescent="0.25">
      <c r="A290" s="10">
        <v>45833</v>
      </c>
      <c r="B290" s="11">
        <v>105949</v>
      </c>
      <c r="C290" s="11" t="s">
        <v>44</v>
      </c>
      <c r="D290" s="11" t="s">
        <v>649</v>
      </c>
      <c r="E290" s="11" t="s">
        <v>63</v>
      </c>
      <c r="F290" s="11" t="s">
        <v>30</v>
      </c>
      <c r="G290" s="12">
        <v>7</v>
      </c>
      <c r="H290" s="13">
        <v>78.41</v>
      </c>
      <c r="I290" s="14">
        <f t="shared" si="38"/>
        <v>548.87</v>
      </c>
      <c r="J290" s="15">
        <v>1</v>
      </c>
      <c r="K290" s="15">
        <f>J290*0.25</f>
        <v>0.25</v>
      </c>
      <c r="L290" s="14" t="s">
        <v>46</v>
      </c>
      <c r="M290" s="14">
        <f t="shared" si="36"/>
        <v>548.87</v>
      </c>
      <c r="N290" s="14">
        <f t="shared" si="35"/>
        <v>137.2175</v>
      </c>
      <c r="O290" s="11" t="s">
        <v>597</v>
      </c>
      <c r="P290" s="11" t="s">
        <v>597</v>
      </c>
      <c r="Q290" s="11"/>
      <c r="R290" s="11">
        <v>1</v>
      </c>
      <c r="S290" s="11" t="s">
        <v>597</v>
      </c>
      <c r="T290" s="16" t="s">
        <v>44</v>
      </c>
    </row>
    <row r="291" spans="1:20" x14ac:dyDescent="0.25">
      <c r="A291" s="18">
        <v>45835</v>
      </c>
      <c r="B291" s="11">
        <v>97135</v>
      </c>
      <c r="C291" s="11" t="s">
        <v>22</v>
      </c>
      <c r="D291" s="11" t="s">
        <v>77</v>
      </c>
      <c r="E291" s="11" t="s">
        <v>24</v>
      </c>
      <c r="F291" s="11" t="s">
        <v>554</v>
      </c>
      <c r="G291" s="12">
        <v>16.5</v>
      </c>
      <c r="H291" s="13">
        <v>180</v>
      </c>
      <c r="I291" s="14">
        <f t="shared" si="38"/>
        <v>2970</v>
      </c>
      <c r="J291" s="15">
        <v>7.0000000000000007E-2</v>
      </c>
      <c r="K291" s="15">
        <v>0</v>
      </c>
      <c r="L291" s="14" t="s">
        <v>26</v>
      </c>
      <c r="M291" s="14">
        <f t="shared" si="36"/>
        <v>207.9</v>
      </c>
      <c r="N291" s="14">
        <f t="shared" si="35"/>
        <v>0</v>
      </c>
      <c r="O291" s="11" t="s">
        <v>597</v>
      </c>
      <c r="P291" s="11" t="s">
        <v>597</v>
      </c>
      <c r="Q291" s="11"/>
      <c r="R291" s="11">
        <v>8</v>
      </c>
      <c r="S291" s="11" t="s">
        <v>597</v>
      </c>
      <c r="T291" s="16" t="s">
        <v>22</v>
      </c>
    </row>
    <row r="292" spans="1:20" x14ac:dyDescent="0.25">
      <c r="A292" s="10">
        <v>45839</v>
      </c>
      <c r="B292" s="11">
        <v>124762</v>
      </c>
      <c r="C292" s="11" t="s">
        <v>31</v>
      </c>
      <c r="D292" s="11" t="s">
        <v>661</v>
      </c>
      <c r="E292" s="11" t="s">
        <v>35</v>
      </c>
      <c r="F292" s="11" t="s">
        <v>35</v>
      </c>
      <c r="G292" s="12">
        <v>32</v>
      </c>
      <c r="H292" s="13">
        <v>149.6</v>
      </c>
      <c r="I292" s="14">
        <f t="shared" si="38"/>
        <v>4787.2</v>
      </c>
      <c r="J292" s="15">
        <v>6.8999999999999999E-3</v>
      </c>
      <c r="K292" s="15">
        <f>J292*0.25</f>
        <v>1.725E-3</v>
      </c>
      <c r="L292" s="14" t="s">
        <v>46</v>
      </c>
      <c r="M292" s="14">
        <f t="shared" si="36"/>
        <v>33.031680000000001</v>
      </c>
      <c r="N292" s="14">
        <f t="shared" si="35"/>
        <v>8.2579200000000004</v>
      </c>
      <c r="O292" s="11" t="s">
        <v>597</v>
      </c>
      <c r="P292" s="11" t="s">
        <v>597</v>
      </c>
      <c r="Q292" s="11"/>
      <c r="R292" s="11">
        <v>3</v>
      </c>
      <c r="S292" s="11" t="s">
        <v>597</v>
      </c>
      <c r="T292" s="16" t="s">
        <v>31</v>
      </c>
    </row>
    <row r="293" spans="1:20" x14ac:dyDescent="0.25">
      <c r="A293" s="10">
        <v>45854</v>
      </c>
      <c r="B293" s="11">
        <v>126563</v>
      </c>
      <c r="C293" s="11" t="s">
        <v>22</v>
      </c>
      <c r="D293" s="11" t="s">
        <v>662</v>
      </c>
      <c r="E293" s="11" t="s">
        <v>578</v>
      </c>
      <c r="F293" s="11" t="s">
        <v>41</v>
      </c>
      <c r="G293" s="12">
        <v>1</v>
      </c>
      <c r="H293" s="13">
        <v>10975</v>
      </c>
      <c r="I293" s="14">
        <f>Vendas2025[[#This Row],[VlrUnitário]]</f>
        <v>10975</v>
      </c>
      <c r="J293" s="15">
        <v>7.0000000000000007E-2</v>
      </c>
      <c r="K293" s="15">
        <v>0</v>
      </c>
      <c r="L293" s="14" t="s">
        <v>46</v>
      </c>
      <c r="M293" s="14">
        <f>J293*4390</f>
        <v>307.3</v>
      </c>
      <c r="N293" s="14">
        <f t="shared" si="35"/>
        <v>0</v>
      </c>
      <c r="O293" s="11" t="s">
        <v>27</v>
      </c>
      <c r="P293" s="11" t="s">
        <v>27</v>
      </c>
      <c r="Q293" s="11"/>
      <c r="R293" s="11">
        <v>6</v>
      </c>
      <c r="S293" s="11" t="s">
        <v>28</v>
      </c>
      <c r="T293" s="16" t="s">
        <v>22</v>
      </c>
    </row>
    <row r="294" spans="1:20" x14ac:dyDescent="0.25">
      <c r="A294" s="10">
        <v>45854</v>
      </c>
      <c r="B294" s="11">
        <v>126563</v>
      </c>
      <c r="C294" s="11" t="s">
        <v>22</v>
      </c>
      <c r="D294" s="11" t="s">
        <v>662</v>
      </c>
      <c r="E294" s="11" t="s">
        <v>578</v>
      </c>
      <c r="F294" s="11" t="s">
        <v>30</v>
      </c>
      <c r="G294" s="12">
        <v>6</v>
      </c>
      <c r="H294" s="13">
        <v>280</v>
      </c>
      <c r="I294" s="14">
        <f t="shared" ref="I294:I325" si="39">G294*H294</f>
        <v>1680</v>
      </c>
      <c r="J294" s="15">
        <v>1</v>
      </c>
      <c r="K294" s="15">
        <v>0</v>
      </c>
      <c r="L294" s="14" t="s">
        <v>46</v>
      </c>
      <c r="M294" s="14">
        <f>(J294*0.3669)*I294</f>
        <v>616.39200000000005</v>
      </c>
      <c r="N294" s="14">
        <f t="shared" si="35"/>
        <v>0</v>
      </c>
      <c r="O294" s="11" t="s">
        <v>27</v>
      </c>
      <c r="P294" s="11" t="s">
        <v>27</v>
      </c>
      <c r="Q294" s="11"/>
      <c r="R294" s="11">
        <v>1</v>
      </c>
      <c r="S294" s="11" t="s">
        <v>28</v>
      </c>
      <c r="T294" s="16" t="s">
        <v>22</v>
      </c>
    </row>
    <row r="295" spans="1:20" x14ac:dyDescent="0.25">
      <c r="A295" s="10">
        <v>45854</v>
      </c>
      <c r="B295" s="11">
        <v>126563</v>
      </c>
      <c r="C295" s="11" t="s">
        <v>22</v>
      </c>
      <c r="D295" s="11" t="s">
        <v>662</v>
      </c>
      <c r="E295" s="11" t="s">
        <v>582</v>
      </c>
      <c r="F295" s="11" t="s">
        <v>30</v>
      </c>
      <c r="G295" s="12">
        <v>2</v>
      </c>
      <c r="H295" s="13">
        <v>170</v>
      </c>
      <c r="I295" s="14">
        <f t="shared" si="39"/>
        <v>340</v>
      </c>
      <c r="J295" s="15">
        <v>1</v>
      </c>
      <c r="K295" s="15">
        <v>0</v>
      </c>
      <c r="L295" s="14" t="s">
        <v>46</v>
      </c>
      <c r="M295" s="14">
        <f>(J295*0.3669)*I295</f>
        <v>124.746</v>
      </c>
      <c r="N295" s="14">
        <f t="shared" si="35"/>
        <v>0</v>
      </c>
      <c r="O295" s="11" t="s">
        <v>27</v>
      </c>
      <c r="P295" s="11" t="s">
        <v>27</v>
      </c>
      <c r="Q295" s="11"/>
      <c r="R295" s="11">
        <v>1</v>
      </c>
      <c r="S295" s="11" t="s">
        <v>28</v>
      </c>
      <c r="T295" s="16" t="s">
        <v>22</v>
      </c>
    </row>
    <row r="296" spans="1:20" x14ac:dyDescent="0.25">
      <c r="A296" s="10">
        <v>45854</v>
      </c>
      <c r="B296" s="11">
        <v>126563</v>
      </c>
      <c r="C296" s="11" t="s">
        <v>22</v>
      </c>
      <c r="D296" s="11" t="s">
        <v>662</v>
      </c>
      <c r="E296" s="11" t="s">
        <v>577</v>
      </c>
      <c r="F296" s="11" t="s">
        <v>30</v>
      </c>
      <c r="G296" s="12">
        <v>15</v>
      </c>
      <c r="H296" s="13">
        <v>120</v>
      </c>
      <c r="I296" s="14">
        <f t="shared" si="39"/>
        <v>1800</v>
      </c>
      <c r="J296" s="15">
        <v>1</v>
      </c>
      <c r="K296" s="15">
        <v>0</v>
      </c>
      <c r="L296" s="14" t="s">
        <v>46</v>
      </c>
      <c r="M296" s="14">
        <f>(J296*0.3669)*I296</f>
        <v>660.42</v>
      </c>
      <c r="N296" s="14">
        <f t="shared" si="35"/>
        <v>0</v>
      </c>
      <c r="O296" s="11" t="s">
        <v>27</v>
      </c>
      <c r="P296" s="11" t="s">
        <v>27</v>
      </c>
      <c r="Q296" s="11"/>
      <c r="R296" s="11">
        <v>1</v>
      </c>
      <c r="S296" s="11" t="s">
        <v>28</v>
      </c>
      <c r="T296" s="16" t="s">
        <v>22</v>
      </c>
    </row>
    <row r="297" spans="1:20" x14ac:dyDescent="0.25">
      <c r="A297" s="10">
        <v>45854</v>
      </c>
      <c r="B297" s="11">
        <v>126563</v>
      </c>
      <c r="C297" s="11" t="s">
        <v>22</v>
      </c>
      <c r="D297" s="11" t="s">
        <v>662</v>
      </c>
      <c r="E297" s="11" t="s">
        <v>47</v>
      </c>
      <c r="F297" s="11" t="s">
        <v>554</v>
      </c>
      <c r="G297" s="12">
        <v>284</v>
      </c>
      <c r="H297" s="13">
        <v>190</v>
      </c>
      <c r="I297" s="14">
        <f t="shared" si="39"/>
        <v>53960</v>
      </c>
      <c r="J297" s="15">
        <v>7.0000000000000007E-2</v>
      </c>
      <c r="K297" s="15">
        <v>0</v>
      </c>
      <c r="L297" s="14" t="s">
        <v>46</v>
      </c>
      <c r="M297" s="14">
        <f t="shared" ref="M297:M328" si="40">J297*I297</f>
        <v>3777.2000000000003</v>
      </c>
      <c r="N297" s="14">
        <f t="shared" si="35"/>
        <v>0</v>
      </c>
      <c r="O297" s="11" t="s">
        <v>27</v>
      </c>
      <c r="P297" s="11" t="s">
        <v>27</v>
      </c>
      <c r="Q297" s="11"/>
      <c r="R297" s="11">
        <v>6</v>
      </c>
      <c r="S297" s="11" t="s">
        <v>28</v>
      </c>
      <c r="T297" s="16" t="s">
        <v>22</v>
      </c>
    </row>
    <row r="298" spans="1:20" x14ac:dyDescent="0.25">
      <c r="A298" s="10">
        <v>45854</v>
      </c>
      <c r="B298" s="11" t="s">
        <v>663</v>
      </c>
      <c r="C298" s="11" t="s">
        <v>22</v>
      </c>
      <c r="D298" s="11" t="s">
        <v>662</v>
      </c>
      <c r="E298" s="11" t="s">
        <v>47</v>
      </c>
      <c r="F298" s="11" t="s">
        <v>554</v>
      </c>
      <c r="G298" s="12">
        <v>56</v>
      </c>
      <c r="H298" s="13">
        <v>95</v>
      </c>
      <c r="I298" s="14">
        <f t="shared" si="39"/>
        <v>5320</v>
      </c>
      <c r="J298" s="15">
        <v>7.0000000000000007E-2</v>
      </c>
      <c r="K298" s="15">
        <v>0</v>
      </c>
      <c r="L298" s="14" t="s">
        <v>46</v>
      </c>
      <c r="M298" s="14">
        <f t="shared" si="40"/>
        <v>372.40000000000003</v>
      </c>
      <c r="N298" s="14">
        <f t="shared" si="35"/>
        <v>0</v>
      </c>
      <c r="O298" s="11" t="s">
        <v>27</v>
      </c>
      <c r="P298" s="11" t="s">
        <v>27</v>
      </c>
      <c r="Q298" s="11"/>
      <c r="R298" s="11">
        <v>6</v>
      </c>
      <c r="S298" s="11" t="s">
        <v>28</v>
      </c>
      <c r="T298" s="16" t="s">
        <v>22</v>
      </c>
    </row>
    <row r="299" spans="1:20" x14ac:dyDescent="0.25">
      <c r="A299" s="10">
        <v>45854</v>
      </c>
      <c r="B299" s="11">
        <v>126564</v>
      </c>
      <c r="C299" s="11" t="s">
        <v>22</v>
      </c>
      <c r="D299" s="11" t="s">
        <v>662</v>
      </c>
      <c r="E299" s="11" t="s">
        <v>52</v>
      </c>
      <c r="F299" s="11" t="s">
        <v>41</v>
      </c>
      <c r="G299" s="12">
        <v>1</v>
      </c>
      <c r="H299" s="13">
        <v>16000</v>
      </c>
      <c r="I299" s="14">
        <f t="shared" si="39"/>
        <v>16000</v>
      </c>
      <c r="J299" s="15">
        <v>7.0000000000000007E-2</v>
      </c>
      <c r="K299" s="15">
        <v>0</v>
      </c>
      <c r="L299" s="14" t="s">
        <v>46</v>
      </c>
      <c r="M299" s="14">
        <f t="shared" si="40"/>
        <v>1120</v>
      </c>
      <c r="N299" s="14">
        <f t="shared" si="35"/>
        <v>0</v>
      </c>
      <c r="O299" s="11" t="s">
        <v>27</v>
      </c>
      <c r="P299" s="11" t="s">
        <v>27</v>
      </c>
      <c r="Q299" s="11"/>
      <c r="R299" s="11">
        <v>6</v>
      </c>
      <c r="S299" s="11" t="s">
        <v>28</v>
      </c>
      <c r="T299" s="16" t="s">
        <v>22</v>
      </c>
    </row>
    <row r="300" spans="1:20" x14ac:dyDescent="0.25">
      <c r="A300" s="10">
        <v>45854</v>
      </c>
      <c r="B300" s="11">
        <v>126563</v>
      </c>
      <c r="C300" s="11" t="s">
        <v>22</v>
      </c>
      <c r="D300" s="11" t="s">
        <v>662</v>
      </c>
      <c r="E300" s="11" t="s">
        <v>47</v>
      </c>
      <c r="F300" s="11" t="s">
        <v>30</v>
      </c>
      <c r="G300" s="12">
        <v>22</v>
      </c>
      <c r="H300" s="13">
        <v>216</v>
      </c>
      <c r="I300" s="14">
        <f t="shared" si="39"/>
        <v>4752</v>
      </c>
      <c r="J300" s="15">
        <v>1</v>
      </c>
      <c r="K300" s="15">
        <v>0</v>
      </c>
      <c r="L300" s="14" t="s">
        <v>46</v>
      </c>
      <c r="M300" s="14">
        <f t="shared" si="40"/>
        <v>4752</v>
      </c>
      <c r="N300" s="14">
        <f t="shared" si="35"/>
        <v>0</v>
      </c>
      <c r="O300" s="11" t="s">
        <v>27</v>
      </c>
      <c r="P300" s="11" t="s">
        <v>27</v>
      </c>
      <c r="Q300" s="11"/>
      <c r="R300" s="11">
        <v>1</v>
      </c>
      <c r="S300" s="11" t="s">
        <v>28</v>
      </c>
      <c r="T300" s="16" t="s">
        <v>22</v>
      </c>
    </row>
    <row r="301" spans="1:20" x14ac:dyDescent="0.25">
      <c r="A301" s="10">
        <v>45854</v>
      </c>
      <c r="B301" s="11">
        <v>126563</v>
      </c>
      <c r="C301" s="11" t="s">
        <v>22</v>
      </c>
      <c r="D301" s="11" t="s">
        <v>662</v>
      </c>
      <c r="E301" s="11" t="s">
        <v>89</v>
      </c>
      <c r="F301" s="11" t="s">
        <v>30</v>
      </c>
      <c r="G301" s="12">
        <v>1</v>
      </c>
      <c r="H301" s="13">
        <v>228</v>
      </c>
      <c r="I301" s="14">
        <f t="shared" si="39"/>
        <v>228</v>
      </c>
      <c r="J301" s="15">
        <v>1</v>
      </c>
      <c r="K301" s="15">
        <v>0</v>
      </c>
      <c r="L301" s="14" t="s">
        <v>46</v>
      </c>
      <c r="M301" s="14">
        <f t="shared" si="40"/>
        <v>228</v>
      </c>
      <c r="N301" s="14">
        <f t="shared" si="35"/>
        <v>0</v>
      </c>
      <c r="O301" s="11" t="s">
        <v>27</v>
      </c>
      <c r="P301" s="11" t="s">
        <v>27</v>
      </c>
      <c r="Q301" s="11"/>
      <c r="R301" s="11">
        <v>1</v>
      </c>
      <c r="S301" s="11" t="s">
        <v>28</v>
      </c>
      <c r="T301" s="16" t="s">
        <v>22</v>
      </c>
    </row>
    <row r="302" spans="1:20" x14ac:dyDescent="0.25">
      <c r="A302" s="10">
        <v>45854</v>
      </c>
      <c r="B302" s="11">
        <v>126564</v>
      </c>
      <c r="C302" s="11" t="s">
        <v>22</v>
      </c>
      <c r="D302" s="11" t="s">
        <v>662</v>
      </c>
      <c r="E302" s="11" t="s">
        <v>52</v>
      </c>
      <c r="F302" s="11" t="s">
        <v>30</v>
      </c>
      <c r="G302" s="12">
        <v>1</v>
      </c>
      <c r="H302" s="13">
        <v>1200</v>
      </c>
      <c r="I302" s="14">
        <f t="shared" si="39"/>
        <v>1200</v>
      </c>
      <c r="J302" s="15">
        <v>1</v>
      </c>
      <c r="K302" s="15">
        <v>0</v>
      </c>
      <c r="L302" s="14" t="s">
        <v>46</v>
      </c>
      <c r="M302" s="14">
        <f t="shared" si="40"/>
        <v>1200</v>
      </c>
      <c r="N302" s="14">
        <f t="shared" si="35"/>
        <v>0</v>
      </c>
      <c r="O302" s="11" t="s">
        <v>27</v>
      </c>
      <c r="P302" s="11" t="s">
        <v>27</v>
      </c>
      <c r="Q302" s="11"/>
      <c r="R302" s="11">
        <v>1</v>
      </c>
      <c r="S302" s="11" t="s">
        <v>28</v>
      </c>
      <c r="T302" s="16" t="s">
        <v>22</v>
      </c>
    </row>
    <row r="303" spans="1:20" x14ac:dyDescent="0.25">
      <c r="A303" s="10">
        <v>45855</v>
      </c>
      <c r="B303" s="11">
        <v>126878</v>
      </c>
      <c r="C303" s="11" t="s">
        <v>31</v>
      </c>
      <c r="D303" s="11" t="s">
        <v>75</v>
      </c>
      <c r="E303" s="11" t="s">
        <v>24</v>
      </c>
      <c r="F303" s="11" t="s">
        <v>554</v>
      </c>
      <c r="G303" s="12">
        <v>24</v>
      </c>
      <c r="H303" s="13">
        <v>180</v>
      </c>
      <c r="I303" s="14">
        <f t="shared" si="39"/>
        <v>4320</v>
      </c>
      <c r="J303" s="15">
        <v>7.0000000000000007E-2</v>
      </c>
      <c r="K303" s="15">
        <f t="shared" ref="K303:K323" si="41">J303*0.25</f>
        <v>1.7500000000000002E-2</v>
      </c>
      <c r="L303" s="14" t="s">
        <v>46</v>
      </c>
      <c r="M303" s="14">
        <f t="shared" si="40"/>
        <v>302.40000000000003</v>
      </c>
      <c r="N303" s="14">
        <f t="shared" si="35"/>
        <v>75.600000000000009</v>
      </c>
      <c r="O303" s="11" t="s">
        <v>597</v>
      </c>
      <c r="P303" s="11" t="s">
        <v>597</v>
      </c>
      <c r="Q303" s="11"/>
      <c r="R303" s="11">
        <v>6</v>
      </c>
      <c r="S303" s="11" t="s">
        <v>597</v>
      </c>
      <c r="T303" s="16" t="s">
        <v>31</v>
      </c>
    </row>
    <row r="304" spans="1:20" x14ac:dyDescent="0.25">
      <c r="A304" s="10">
        <v>45855</v>
      </c>
      <c r="B304" s="11">
        <v>126605</v>
      </c>
      <c r="C304" s="11" t="s">
        <v>31</v>
      </c>
      <c r="D304" s="11" t="s">
        <v>664</v>
      </c>
      <c r="E304" s="11" t="s">
        <v>587</v>
      </c>
      <c r="F304" s="11" t="s">
        <v>554</v>
      </c>
      <c r="G304" s="12">
        <v>8</v>
      </c>
      <c r="H304" s="13">
        <v>170</v>
      </c>
      <c r="I304" s="14">
        <f t="shared" si="39"/>
        <v>1360</v>
      </c>
      <c r="J304" s="15">
        <v>7.0000000000000007E-2</v>
      </c>
      <c r="K304" s="15">
        <f t="shared" si="41"/>
        <v>1.7500000000000002E-2</v>
      </c>
      <c r="L304" s="14" t="s">
        <v>26</v>
      </c>
      <c r="M304" s="14">
        <f t="shared" si="40"/>
        <v>95.2</v>
      </c>
      <c r="N304" s="14">
        <f t="shared" si="35"/>
        <v>23.8</v>
      </c>
      <c r="O304" s="11" t="s">
        <v>597</v>
      </c>
      <c r="P304" s="11" t="s">
        <v>597</v>
      </c>
      <c r="Q304" s="11"/>
      <c r="R304" s="11">
        <v>6</v>
      </c>
      <c r="S304" s="11" t="s">
        <v>28</v>
      </c>
      <c r="T304" s="16" t="s">
        <v>31</v>
      </c>
    </row>
    <row r="305" spans="1:20" x14ac:dyDescent="0.25">
      <c r="A305" s="10">
        <v>45855</v>
      </c>
      <c r="B305" s="11">
        <v>126605</v>
      </c>
      <c r="C305" s="11" t="s">
        <v>31</v>
      </c>
      <c r="D305" s="11" t="s">
        <v>664</v>
      </c>
      <c r="E305" s="11" t="s">
        <v>40</v>
      </c>
      <c r="F305" s="11" t="s">
        <v>41</v>
      </c>
      <c r="G305" s="12">
        <v>1</v>
      </c>
      <c r="H305" s="13">
        <v>1294.52</v>
      </c>
      <c r="I305" s="14">
        <f t="shared" si="39"/>
        <v>1294.52</v>
      </c>
      <c r="J305" s="15">
        <v>7.0000000000000007E-2</v>
      </c>
      <c r="K305" s="15">
        <f t="shared" si="41"/>
        <v>1.7500000000000002E-2</v>
      </c>
      <c r="L305" s="14" t="s">
        <v>26</v>
      </c>
      <c r="M305" s="14">
        <f t="shared" si="40"/>
        <v>90.616400000000013</v>
      </c>
      <c r="N305" s="14">
        <f t="shared" si="35"/>
        <v>22.654100000000003</v>
      </c>
      <c r="O305" s="11" t="s">
        <v>597</v>
      </c>
      <c r="P305" s="11" t="s">
        <v>597</v>
      </c>
      <c r="Q305" s="11"/>
      <c r="R305" s="11">
        <v>6</v>
      </c>
      <c r="S305" s="11" t="s">
        <v>28</v>
      </c>
      <c r="T305" s="16" t="s">
        <v>31</v>
      </c>
    </row>
    <row r="306" spans="1:20" x14ac:dyDescent="0.25">
      <c r="A306" s="10">
        <v>45855</v>
      </c>
      <c r="B306" s="11">
        <v>126605</v>
      </c>
      <c r="C306" s="11" t="s">
        <v>31</v>
      </c>
      <c r="D306" s="11" t="s">
        <v>664</v>
      </c>
      <c r="E306" s="11" t="s">
        <v>587</v>
      </c>
      <c r="F306" s="11" t="s">
        <v>30</v>
      </c>
      <c r="G306" s="12">
        <v>1</v>
      </c>
      <c r="H306" s="13">
        <v>302.94</v>
      </c>
      <c r="I306" s="14">
        <f t="shared" si="39"/>
        <v>302.94</v>
      </c>
      <c r="J306" s="15">
        <v>1</v>
      </c>
      <c r="K306" s="15">
        <f t="shared" si="41"/>
        <v>0.25</v>
      </c>
      <c r="L306" s="14" t="s">
        <v>26</v>
      </c>
      <c r="M306" s="14">
        <f t="shared" si="40"/>
        <v>302.94</v>
      </c>
      <c r="N306" s="14">
        <f t="shared" si="35"/>
        <v>75.734999999999999</v>
      </c>
      <c r="O306" s="11" t="s">
        <v>597</v>
      </c>
      <c r="P306" s="11" t="s">
        <v>597</v>
      </c>
      <c r="Q306" s="11"/>
      <c r="R306" s="11">
        <v>1</v>
      </c>
      <c r="S306" s="11" t="s">
        <v>28</v>
      </c>
      <c r="T306" s="16" t="s">
        <v>31</v>
      </c>
    </row>
    <row r="307" spans="1:20" x14ac:dyDescent="0.25">
      <c r="A307" s="10">
        <v>45859</v>
      </c>
      <c r="B307" s="11">
        <v>110971</v>
      </c>
      <c r="C307" s="11" t="s">
        <v>44</v>
      </c>
      <c r="D307" s="11" t="s">
        <v>665</v>
      </c>
      <c r="E307" s="11" t="s">
        <v>24</v>
      </c>
      <c r="F307" s="11" t="s">
        <v>554</v>
      </c>
      <c r="G307" s="12">
        <v>35.5</v>
      </c>
      <c r="H307" s="13">
        <v>171.02</v>
      </c>
      <c r="I307" s="14">
        <f t="shared" si="39"/>
        <v>6071.21</v>
      </c>
      <c r="J307" s="15">
        <v>0.05</v>
      </c>
      <c r="K307" s="15">
        <f t="shared" si="41"/>
        <v>1.2500000000000001E-2</v>
      </c>
      <c r="L307" s="14" t="s">
        <v>26</v>
      </c>
      <c r="M307" s="14">
        <f t="shared" si="40"/>
        <v>303.56049999999999</v>
      </c>
      <c r="N307" s="14">
        <f t="shared" si="35"/>
        <v>75.890124999999998</v>
      </c>
      <c r="O307" s="11" t="s">
        <v>597</v>
      </c>
      <c r="P307" s="11" t="s">
        <v>597</v>
      </c>
      <c r="Q307" s="11"/>
      <c r="R307" s="11">
        <v>10</v>
      </c>
      <c r="S307" s="11" t="s">
        <v>597</v>
      </c>
      <c r="T307" s="16" t="s">
        <v>44</v>
      </c>
    </row>
    <row r="308" spans="1:20" x14ac:dyDescent="0.25">
      <c r="A308" s="10">
        <v>45859</v>
      </c>
      <c r="B308" s="11">
        <v>125958</v>
      </c>
      <c r="C308" s="11" t="s">
        <v>31</v>
      </c>
      <c r="D308" s="11" t="s">
        <v>79</v>
      </c>
      <c r="E308" s="11" t="s">
        <v>35</v>
      </c>
      <c r="F308" s="11" t="s">
        <v>35</v>
      </c>
      <c r="G308" s="12">
        <v>4</v>
      </c>
      <c r="H308" s="13">
        <v>176</v>
      </c>
      <c r="I308" s="14">
        <f t="shared" si="39"/>
        <v>704</v>
      </c>
      <c r="J308" s="15">
        <v>0.01</v>
      </c>
      <c r="K308" s="15">
        <f t="shared" si="41"/>
        <v>2.5000000000000001E-3</v>
      </c>
      <c r="L308" s="14" t="s">
        <v>26</v>
      </c>
      <c r="M308" s="14">
        <f t="shared" si="40"/>
        <v>7.04</v>
      </c>
      <c r="N308" s="14">
        <f t="shared" si="35"/>
        <v>1.76</v>
      </c>
      <c r="O308" s="11" t="s">
        <v>597</v>
      </c>
      <c r="P308" s="11" t="s">
        <v>597</v>
      </c>
      <c r="Q308" s="11"/>
      <c r="R308" s="11">
        <v>1</v>
      </c>
      <c r="S308" s="11" t="s">
        <v>597</v>
      </c>
      <c r="T308" s="16" t="s">
        <v>31</v>
      </c>
    </row>
    <row r="309" spans="1:20" x14ac:dyDescent="0.25">
      <c r="A309" s="10">
        <v>45859</v>
      </c>
      <c r="B309" s="11">
        <v>126687</v>
      </c>
      <c r="C309" s="11" t="s">
        <v>44</v>
      </c>
      <c r="D309" s="11" t="s">
        <v>607</v>
      </c>
      <c r="E309" s="11" t="s">
        <v>54</v>
      </c>
      <c r="F309" s="11" t="s">
        <v>30</v>
      </c>
      <c r="G309" s="12">
        <v>1</v>
      </c>
      <c r="H309" s="13">
        <v>142.56</v>
      </c>
      <c r="I309" s="14">
        <f t="shared" si="39"/>
        <v>142.56</v>
      </c>
      <c r="J309" s="15">
        <v>1</v>
      </c>
      <c r="K309" s="15">
        <f t="shared" si="41"/>
        <v>0.25</v>
      </c>
      <c r="L309" s="14" t="s">
        <v>26</v>
      </c>
      <c r="M309" s="14">
        <f t="shared" si="40"/>
        <v>142.56</v>
      </c>
      <c r="N309" s="14">
        <f t="shared" si="35"/>
        <v>35.64</v>
      </c>
      <c r="O309" s="11" t="s">
        <v>27</v>
      </c>
      <c r="P309" s="11" t="s">
        <v>27</v>
      </c>
      <c r="Q309" s="11"/>
      <c r="R309" s="11">
        <v>1</v>
      </c>
      <c r="S309" s="11" t="s">
        <v>28</v>
      </c>
      <c r="T309" s="16" t="s">
        <v>44</v>
      </c>
    </row>
    <row r="310" spans="1:20" x14ac:dyDescent="0.25">
      <c r="A310" s="10">
        <v>45859</v>
      </c>
      <c r="B310" s="11">
        <v>125157</v>
      </c>
      <c r="C310" s="11" t="s">
        <v>31</v>
      </c>
      <c r="D310" s="11" t="s">
        <v>141</v>
      </c>
      <c r="E310" s="11" t="s">
        <v>35</v>
      </c>
      <c r="F310" s="11" t="s">
        <v>35</v>
      </c>
      <c r="G310" s="12">
        <v>16</v>
      </c>
      <c r="H310" s="13">
        <v>149.37</v>
      </c>
      <c r="I310" s="14">
        <f t="shared" si="39"/>
        <v>2389.92</v>
      </c>
      <c r="J310" s="15">
        <v>0.01</v>
      </c>
      <c r="K310" s="15">
        <f t="shared" si="41"/>
        <v>2.5000000000000001E-3</v>
      </c>
      <c r="L310" s="14" t="s">
        <v>46</v>
      </c>
      <c r="M310" s="14">
        <f t="shared" si="40"/>
        <v>23.8992</v>
      </c>
      <c r="N310" s="14">
        <f t="shared" ref="N310:N373" si="42">I310*K310</f>
        <v>5.9748000000000001</v>
      </c>
      <c r="O310" s="11" t="s">
        <v>597</v>
      </c>
      <c r="P310" s="11" t="s">
        <v>597</v>
      </c>
      <c r="Q310" s="11"/>
      <c r="R310" s="11">
        <v>1</v>
      </c>
      <c r="S310" s="11" t="s">
        <v>597</v>
      </c>
      <c r="T310" s="16" t="s">
        <v>31</v>
      </c>
    </row>
    <row r="311" spans="1:20" x14ac:dyDescent="0.25">
      <c r="A311" s="10">
        <v>45859</v>
      </c>
      <c r="B311" s="11">
        <v>126465</v>
      </c>
      <c r="C311" s="11" t="s">
        <v>31</v>
      </c>
      <c r="D311" s="11" t="s">
        <v>666</v>
      </c>
      <c r="E311" s="11" t="s">
        <v>40</v>
      </c>
      <c r="F311" s="11" t="s">
        <v>41</v>
      </c>
      <c r="G311" s="12">
        <v>1</v>
      </c>
      <c r="H311" s="13">
        <v>4127.5</v>
      </c>
      <c r="I311" s="14">
        <f t="shared" si="39"/>
        <v>4127.5</v>
      </c>
      <c r="J311" s="15">
        <v>7.0000000000000007E-2</v>
      </c>
      <c r="K311" s="15">
        <f t="shared" si="41"/>
        <v>1.7500000000000002E-2</v>
      </c>
      <c r="L311" s="14" t="s">
        <v>26</v>
      </c>
      <c r="M311" s="14">
        <f t="shared" si="40"/>
        <v>288.92500000000001</v>
      </c>
      <c r="N311" s="14">
        <f t="shared" si="42"/>
        <v>72.231250000000003</v>
      </c>
      <c r="O311" s="11" t="s">
        <v>27</v>
      </c>
      <c r="P311" s="11" t="s">
        <v>27</v>
      </c>
      <c r="Q311" s="11"/>
      <c r="R311" s="11">
        <v>1</v>
      </c>
      <c r="S311" s="11" t="s">
        <v>28</v>
      </c>
      <c r="T311" s="16" t="s">
        <v>31</v>
      </c>
    </row>
    <row r="312" spans="1:20" x14ac:dyDescent="0.25">
      <c r="A312" s="10">
        <v>45859</v>
      </c>
      <c r="B312" s="11">
        <v>123521</v>
      </c>
      <c r="C312" s="11" t="s">
        <v>31</v>
      </c>
      <c r="D312" s="11" t="s">
        <v>614</v>
      </c>
      <c r="E312" s="11" t="s">
        <v>35</v>
      </c>
      <c r="F312" s="11" t="s">
        <v>35</v>
      </c>
      <c r="G312" s="12">
        <v>88</v>
      </c>
      <c r="H312" s="13">
        <v>113.64</v>
      </c>
      <c r="I312" s="14">
        <f t="shared" si="39"/>
        <v>10000.32</v>
      </c>
      <c r="J312" s="15">
        <v>5.0000000000000001E-3</v>
      </c>
      <c r="K312" s="15">
        <f t="shared" si="41"/>
        <v>1.25E-3</v>
      </c>
      <c r="L312" s="14" t="s">
        <v>26</v>
      </c>
      <c r="M312" s="14">
        <f t="shared" si="40"/>
        <v>50.001599999999996</v>
      </c>
      <c r="N312" s="14">
        <f t="shared" si="42"/>
        <v>12.500399999999999</v>
      </c>
      <c r="O312" s="11" t="s">
        <v>597</v>
      </c>
      <c r="P312" s="11" t="s">
        <v>597</v>
      </c>
      <c r="Q312" s="11"/>
      <c r="R312" s="11">
        <v>5</v>
      </c>
      <c r="S312" s="11" t="s">
        <v>597</v>
      </c>
      <c r="T312" s="16" t="s">
        <v>31</v>
      </c>
    </row>
    <row r="313" spans="1:20" x14ac:dyDescent="0.25">
      <c r="A313" s="10">
        <v>45859</v>
      </c>
      <c r="B313" s="11">
        <v>126335</v>
      </c>
      <c r="C313" s="11" t="s">
        <v>31</v>
      </c>
      <c r="D313" s="11" t="s">
        <v>667</v>
      </c>
      <c r="E313" s="11" t="s">
        <v>24</v>
      </c>
      <c r="F313" s="11" t="s">
        <v>554</v>
      </c>
      <c r="G313" s="12">
        <v>8</v>
      </c>
      <c r="H313" s="13">
        <v>180</v>
      </c>
      <c r="I313" s="14">
        <f t="shared" si="39"/>
        <v>1440</v>
      </c>
      <c r="J313" s="15">
        <v>7.0000000000000007E-2</v>
      </c>
      <c r="K313" s="15">
        <f t="shared" si="41"/>
        <v>1.7500000000000002E-2</v>
      </c>
      <c r="L313" s="14" t="s">
        <v>26</v>
      </c>
      <c r="M313" s="14">
        <f t="shared" si="40"/>
        <v>100.80000000000001</v>
      </c>
      <c r="N313" s="14">
        <f t="shared" si="42"/>
        <v>25.200000000000003</v>
      </c>
      <c r="O313" s="11" t="s">
        <v>597</v>
      </c>
      <c r="P313" s="11" t="s">
        <v>597</v>
      </c>
      <c r="Q313" s="11"/>
      <c r="R313" s="11">
        <v>6</v>
      </c>
      <c r="S313" s="11" t="s">
        <v>597</v>
      </c>
      <c r="T313" s="16" t="s">
        <v>31</v>
      </c>
    </row>
    <row r="314" spans="1:20" x14ac:dyDescent="0.25">
      <c r="A314" s="10">
        <v>45859</v>
      </c>
      <c r="B314" s="11">
        <v>122723</v>
      </c>
      <c r="C314" s="11" t="s">
        <v>31</v>
      </c>
      <c r="D314" s="11" t="s">
        <v>229</v>
      </c>
      <c r="E314" s="11" t="s">
        <v>35</v>
      </c>
      <c r="F314" s="11" t="s">
        <v>35</v>
      </c>
      <c r="G314" s="12">
        <v>40</v>
      </c>
      <c r="H314" s="13">
        <v>125</v>
      </c>
      <c r="I314" s="14">
        <f t="shared" si="39"/>
        <v>5000</v>
      </c>
      <c r="J314" s="15">
        <v>6.0000000000000001E-3</v>
      </c>
      <c r="K314" s="15">
        <f t="shared" si="41"/>
        <v>1.5E-3</v>
      </c>
      <c r="L314" s="14" t="s">
        <v>26</v>
      </c>
      <c r="M314" s="14">
        <f t="shared" si="40"/>
        <v>30</v>
      </c>
      <c r="N314" s="14">
        <f t="shared" si="42"/>
        <v>7.5</v>
      </c>
      <c r="O314" s="11" t="s">
        <v>597</v>
      </c>
      <c r="P314" s="11" t="s">
        <v>597</v>
      </c>
      <c r="Q314" s="11"/>
      <c r="R314" s="11">
        <v>5</v>
      </c>
      <c r="S314" s="11" t="s">
        <v>597</v>
      </c>
      <c r="T314" s="16" t="s">
        <v>31</v>
      </c>
    </row>
    <row r="315" spans="1:20" x14ac:dyDescent="0.25">
      <c r="A315" s="10">
        <v>45859</v>
      </c>
      <c r="B315" s="11">
        <v>125711</v>
      </c>
      <c r="C315" s="11" t="s">
        <v>31</v>
      </c>
      <c r="D315" s="11" t="s">
        <v>667</v>
      </c>
      <c r="E315" s="11" t="s">
        <v>24</v>
      </c>
      <c r="F315" s="11" t="s">
        <v>554</v>
      </c>
      <c r="G315" s="12">
        <v>16</v>
      </c>
      <c r="H315" s="13">
        <v>180</v>
      </c>
      <c r="I315" s="14">
        <f t="shared" si="39"/>
        <v>2880</v>
      </c>
      <c r="J315" s="15">
        <v>6.0000000000000001E-3</v>
      </c>
      <c r="K315" s="15">
        <f t="shared" si="41"/>
        <v>1.5E-3</v>
      </c>
      <c r="L315" s="14" t="s">
        <v>26</v>
      </c>
      <c r="M315" s="14">
        <f t="shared" si="40"/>
        <v>17.28</v>
      </c>
      <c r="N315" s="14">
        <f t="shared" si="42"/>
        <v>4.32</v>
      </c>
      <c r="O315" s="11" t="s">
        <v>597</v>
      </c>
      <c r="P315" s="11" t="s">
        <v>597</v>
      </c>
      <c r="Q315" s="11"/>
      <c r="R315" s="11">
        <v>6</v>
      </c>
      <c r="S315" s="11" t="s">
        <v>597</v>
      </c>
      <c r="T315" s="16" t="s">
        <v>31</v>
      </c>
    </row>
    <row r="316" spans="1:20" x14ac:dyDescent="0.25">
      <c r="A316" s="10">
        <v>45860</v>
      </c>
      <c r="B316" s="11">
        <v>119015</v>
      </c>
      <c r="C316" s="11" t="s">
        <v>31</v>
      </c>
      <c r="D316" s="11" t="s">
        <v>668</v>
      </c>
      <c r="E316" s="11" t="s">
        <v>35</v>
      </c>
      <c r="F316" s="11" t="s">
        <v>35</v>
      </c>
      <c r="G316" s="12">
        <v>16</v>
      </c>
      <c r="H316" s="13">
        <v>176</v>
      </c>
      <c r="I316" s="14">
        <f t="shared" si="39"/>
        <v>2816</v>
      </c>
      <c r="J316" s="15">
        <v>0.01</v>
      </c>
      <c r="K316" s="15">
        <f t="shared" si="41"/>
        <v>2.5000000000000001E-3</v>
      </c>
      <c r="L316" s="14" t="s">
        <v>26</v>
      </c>
      <c r="M316" s="14">
        <f t="shared" si="40"/>
        <v>28.16</v>
      </c>
      <c r="N316" s="14">
        <f t="shared" si="42"/>
        <v>7.04</v>
      </c>
      <c r="O316" s="11" t="s">
        <v>597</v>
      </c>
      <c r="P316" s="11" t="s">
        <v>597</v>
      </c>
      <c r="Q316" s="11"/>
      <c r="R316" s="11">
        <v>3</v>
      </c>
      <c r="S316" s="11" t="s">
        <v>597</v>
      </c>
      <c r="T316" s="16" t="s">
        <v>31</v>
      </c>
    </row>
    <row r="317" spans="1:20" x14ac:dyDescent="0.25">
      <c r="A317" s="10">
        <v>45860</v>
      </c>
      <c r="B317" s="11">
        <v>124352</v>
      </c>
      <c r="C317" s="11" t="s">
        <v>31</v>
      </c>
      <c r="D317" s="11" t="s">
        <v>79</v>
      </c>
      <c r="E317" s="11" t="s">
        <v>35</v>
      </c>
      <c r="F317" s="11" t="s">
        <v>35</v>
      </c>
      <c r="G317" s="12">
        <v>60</v>
      </c>
      <c r="H317" s="13">
        <v>176</v>
      </c>
      <c r="I317" s="14">
        <f t="shared" si="39"/>
        <v>10560</v>
      </c>
      <c r="J317" s="15">
        <v>0.01</v>
      </c>
      <c r="K317" s="15">
        <f t="shared" si="41"/>
        <v>2.5000000000000001E-3</v>
      </c>
      <c r="L317" s="14" t="s">
        <v>26</v>
      </c>
      <c r="M317" s="14">
        <f t="shared" si="40"/>
        <v>105.60000000000001</v>
      </c>
      <c r="N317" s="14">
        <f t="shared" si="42"/>
        <v>26.400000000000002</v>
      </c>
      <c r="O317" s="11" t="s">
        <v>597</v>
      </c>
      <c r="P317" s="11" t="s">
        <v>597</v>
      </c>
      <c r="Q317" s="11"/>
      <c r="R317" s="11">
        <v>3</v>
      </c>
      <c r="S317" s="11" t="s">
        <v>597</v>
      </c>
      <c r="T317" s="16" t="s">
        <v>31</v>
      </c>
    </row>
    <row r="318" spans="1:20" x14ac:dyDescent="0.25">
      <c r="A318" s="10">
        <v>45860</v>
      </c>
      <c r="B318" s="11">
        <v>125073</v>
      </c>
      <c r="C318" s="11" t="s">
        <v>31</v>
      </c>
      <c r="D318" s="11" t="s">
        <v>665</v>
      </c>
      <c r="E318" s="11" t="s">
        <v>35</v>
      </c>
      <c r="F318" s="11" t="s">
        <v>35</v>
      </c>
      <c r="G318" s="12">
        <v>36</v>
      </c>
      <c r="H318" s="13">
        <v>138.88999999999999</v>
      </c>
      <c r="I318" s="14">
        <f t="shared" si="39"/>
        <v>5000.0399999999991</v>
      </c>
      <c r="J318" s="15">
        <v>6.8999999999999999E-3</v>
      </c>
      <c r="K318" s="15">
        <f t="shared" si="41"/>
        <v>1.725E-3</v>
      </c>
      <c r="L318" s="14" t="s">
        <v>26</v>
      </c>
      <c r="M318" s="14">
        <f t="shared" si="40"/>
        <v>34.500275999999992</v>
      </c>
      <c r="N318" s="14">
        <f t="shared" si="42"/>
        <v>8.6250689999999981</v>
      </c>
      <c r="O318" s="11" t="s">
        <v>597</v>
      </c>
      <c r="P318" s="11" t="s">
        <v>597</v>
      </c>
      <c r="Q318" s="11"/>
      <c r="R318" s="11">
        <v>5</v>
      </c>
      <c r="S318" s="11" t="s">
        <v>597</v>
      </c>
      <c r="T318" s="16" t="s">
        <v>31</v>
      </c>
    </row>
    <row r="319" spans="1:20" x14ac:dyDescent="0.25">
      <c r="A319" s="10">
        <v>45860</v>
      </c>
      <c r="B319" s="11">
        <v>126012</v>
      </c>
      <c r="C319" s="11" t="s">
        <v>31</v>
      </c>
      <c r="D319" s="11" t="s">
        <v>631</v>
      </c>
      <c r="E319" s="11" t="s">
        <v>581</v>
      </c>
      <c r="F319" s="11" t="s">
        <v>30</v>
      </c>
      <c r="G319" s="12">
        <v>3</v>
      </c>
      <c r="H319" s="13">
        <v>8.8000000000000007</v>
      </c>
      <c r="I319" s="14">
        <f t="shared" si="39"/>
        <v>26.400000000000002</v>
      </c>
      <c r="J319" s="15">
        <v>6.8999999999999999E-3</v>
      </c>
      <c r="K319" s="15">
        <f t="shared" si="41"/>
        <v>1.725E-3</v>
      </c>
      <c r="L319" s="14" t="s">
        <v>26</v>
      </c>
      <c r="M319" s="14">
        <f t="shared" si="40"/>
        <v>0.18216000000000002</v>
      </c>
      <c r="N319" s="14">
        <f t="shared" si="42"/>
        <v>4.5540000000000004E-2</v>
      </c>
      <c r="O319" s="11" t="s">
        <v>27</v>
      </c>
      <c r="P319" s="11" t="s">
        <v>27</v>
      </c>
      <c r="Q319" s="11"/>
      <c r="R319" s="11">
        <v>1</v>
      </c>
      <c r="S319" s="11" t="s">
        <v>28</v>
      </c>
      <c r="T319" s="16" t="s">
        <v>31</v>
      </c>
    </row>
    <row r="320" spans="1:20" x14ac:dyDescent="0.25">
      <c r="A320" s="10">
        <v>45860</v>
      </c>
      <c r="B320" s="11">
        <v>125955</v>
      </c>
      <c r="C320" s="11" t="s">
        <v>31</v>
      </c>
      <c r="D320" s="11" t="s">
        <v>57</v>
      </c>
      <c r="E320" s="11" t="s">
        <v>52</v>
      </c>
      <c r="F320" s="11" t="s">
        <v>41</v>
      </c>
      <c r="G320" s="12">
        <v>1</v>
      </c>
      <c r="H320" s="13">
        <v>9500</v>
      </c>
      <c r="I320" s="14">
        <f t="shared" si="39"/>
        <v>9500</v>
      </c>
      <c r="J320" s="15">
        <v>7.0000000000000007E-2</v>
      </c>
      <c r="K320" s="15">
        <f t="shared" si="41"/>
        <v>1.7500000000000002E-2</v>
      </c>
      <c r="L320" s="14" t="s">
        <v>26</v>
      </c>
      <c r="M320" s="14">
        <f t="shared" si="40"/>
        <v>665.00000000000011</v>
      </c>
      <c r="N320" s="14">
        <f t="shared" si="42"/>
        <v>166.25000000000003</v>
      </c>
      <c r="O320" s="11" t="s">
        <v>27</v>
      </c>
      <c r="P320" s="11" t="s">
        <v>27</v>
      </c>
      <c r="Q320" s="11"/>
      <c r="R320" s="11">
        <v>6</v>
      </c>
      <c r="S320" s="11" t="s">
        <v>28</v>
      </c>
      <c r="T320" s="16" t="s">
        <v>31</v>
      </c>
    </row>
    <row r="321" spans="1:20" x14ac:dyDescent="0.25">
      <c r="A321" s="10">
        <v>45860</v>
      </c>
      <c r="B321" s="11">
        <v>125955</v>
      </c>
      <c r="C321" s="11" t="s">
        <v>31</v>
      </c>
      <c r="D321" s="11" t="s">
        <v>57</v>
      </c>
      <c r="E321" s="11" t="s">
        <v>52</v>
      </c>
      <c r="F321" s="11" t="s">
        <v>554</v>
      </c>
      <c r="G321" s="12">
        <v>8</v>
      </c>
      <c r="H321" s="13">
        <v>210</v>
      </c>
      <c r="I321" s="14">
        <f t="shared" si="39"/>
        <v>1680</v>
      </c>
      <c r="J321" s="15">
        <v>7.0000000000000007E-2</v>
      </c>
      <c r="K321" s="15">
        <f t="shared" si="41"/>
        <v>1.7500000000000002E-2</v>
      </c>
      <c r="L321" s="14" t="s">
        <v>26</v>
      </c>
      <c r="M321" s="14">
        <f t="shared" si="40"/>
        <v>117.60000000000001</v>
      </c>
      <c r="N321" s="14">
        <f t="shared" si="42"/>
        <v>29.400000000000002</v>
      </c>
      <c r="O321" s="11" t="s">
        <v>27</v>
      </c>
      <c r="P321" s="11" t="s">
        <v>27</v>
      </c>
      <c r="Q321" s="11"/>
      <c r="R321" s="11">
        <v>6</v>
      </c>
      <c r="S321" s="11" t="s">
        <v>28</v>
      </c>
      <c r="T321" s="16" t="s">
        <v>31</v>
      </c>
    </row>
    <row r="322" spans="1:20" x14ac:dyDescent="0.25">
      <c r="A322" s="10">
        <v>45860</v>
      </c>
      <c r="B322" s="11">
        <v>125955</v>
      </c>
      <c r="C322" s="11" t="s">
        <v>31</v>
      </c>
      <c r="D322" s="11" t="s">
        <v>57</v>
      </c>
      <c r="E322" s="11" t="s">
        <v>52</v>
      </c>
      <c r="F322" s="11" t="s">
        <v>30</v>
      </c>
      <c r="G322" s="12">
        <v>1</v>
      </c>
      <c r="H322" s="13">
        <v>1404</v>
      </c>
      <c r="I322" s="14">
        <f t="shared" si="39"/>
        <v>1404</v>
      </c>
      <c r="J322" s="15">
        <v>1</v>
      </c>
      <c r="K322" s="15">
        <f t="shared" si="41"/>
        <v>0.25</v>
      </c>
      <c r="L322" s="14" t="s">
        <v>26</v>
      </c>
      <c r="M322" s="14">
        <f t="shared" si="40"/>
        <v>1404</v>
      </c>
      <c r="N322" s="14">
        <f t="shared" si="42"/>
        <v>351</v>
      </c>
      <c r="O322" s="11" t="s">
        <v>27</v>
      </c>
      <c r="P322" s="11" t="s">
        <v>27</v>
      </c>
      <c r="Q322" s="11"/>
      <c r="R322" s="11">
        <v>1</v>
      </c>
      <c r="S322" s="11" t="s">
        <v>28</v>
      </c>
      <c r="T322" s="16" t="s">
        <v>31</v>
      </c>
    </row>
    <row r="323" spans="1:20" x14ac:dyDescent="0.25">
      <c r="A323" s="10">
        <v>45860</v>
      </c>
      <c r="B323" s="11">
        <v>127177</v>
      </c>
      <c r="C323" s="11" t="s">
        <v>31</v>
      </c>
      <c r="D323" s="11" t="s">
        <v>60</v>
      </c>
      <c r="E323" s="11" t="s">
        <v>24</v>
      </c>
      <c r="F323" s="11" t="s">
        <v>554</v>
      </c>
      <c r="G323" s="12">
        <v>20</v>
      </c>
      <c r="H323" s="13">
        <v>210</v>
      </c>
      <c r="I323" s="14">
        <f t="shared" si="39"/>
        <v>4200</v>
      </c>
      <c r="J323" s="15">
        <v>7.0000000000000007E-2</v>
      </c>
      <c r="K323" s="15">
        <f t="shared" si="41"/>
        <v>1.7500000000000002E-2</v>
      </c>
      <c r="L323" s="14" t="s">
        <v>26</v>
      </c>
      <c r="M323" s="14">
        <f t="shared" si="40"/>
        <v>294</v>
      </c>
      <c r="N323" s="14">
        <f t="shared" si="42"/>
        <v>73.5</v>
      </c>
      <c r="O323" s="11" t="s">
        <v>597</v>
      </c>
      <c r="P323" s="11" t="s">
        <v>597</v>
      </c>
      <c r="Q323" s="11"/>
      <c r="R323" s="11">
        <v>6</v>
      </c>
      <c r="S323" s="11" t="s">
        <v>597</v>
      </c>
      <c r="T323" s="16" t="s">
        <v>31</v>
      </c>
    </row>
    <row r="324" spans="1:20" x14ac:dyDescent="0.25">
      <c r="A324" s="10">
        <v>45860</v>
      </c>
      <c r="B324" s="11">
        <v>127201</v>
      </c>
      <c r="C324" s="11" t="s">
        <v>22</v>
      </c>
      <c r="D324" s="11" t="s">
        <v>621</v>
      </c>
      <c r="E324" s="11" t="s">
        <v>24</v>
      </c>
      <c r="F324" s="11" t="s">
        <v>554</v>
      </c>
      <c r="G324" s="12">
        <v>24</v>
      </c>
      <c r="H324" s="13">
        <v>180</v>
      </c>
      <c r="I324" s="14">
        <f t="shared" si="39"/>
        <v>4320</v>
      </c>
      <c r="J324" s="15">
        <v>7.0000000000000007E-2</v>
      </c>
      <c r="K324" s="15">
        <v>0</v>
      </c>
      <c r="L324" s="14" t="s">
        <v>26</v>
      </c>
      <c r="M324" s="14">
        <f t="shared" si="40"/>
        <v>302.40000000000003</v>
      </c>
      <c r="N324" s="14">
        <f t="shared" si="42"/>
        <v>0</v>
      </c>
      <c r="O324" s="11" t="s">
        <v>27</v>
      </c>
      <c r="P324" s="11" t="s">
        <v>27</v>
      </c>
      <c r="Q324" s="11"/>
      <c r="R324" s="11">
        <v>6</v>
      </c>
      <c r="S324" s="11" t="s">
        <v>28</v>
      </c>
      <c r="T324" s="16" t="s">
        <v>22</v>
      </c>
    </row>
    <row r="325" spans="1:20" x14ac:dyDescent="0.25">
      <c r="A325" s="10">
        <v>45862</v>
      </c>
      <c r="B325" s="11">
        <v>127301</v>
      </c>
      <c r="C325" s="11" t="s">
        <v>31</v>
      </c>
      <c r="D325" s="11" t="s">
        <v>637</v>
      </c>
      <c r="E325" s="11" t="s">
        <v>40</v>
      </c>
      <c r="F325" s="11" t="s">
        <v>41</v>
      </c>
      <c r="G325" s="12">
        <v>1</v>
      </c>
      <c r="H325" s="13">
        <v>2457</v>
      </c>
      <c r="I325" s="14">
        <f t="shared" si="39"/>
        <v>2457</v>
      </c>
      <c r="J325" s="15">
        <v>7.0000000000000007E-2</v>
      </c>
      <c r="K325" s="15">
        <f t="shared" ref="K325:K343" si="43">J325*0.25</f>
        <v>1.7500000000000002E-2</v>
      </c>
      <c r="L325" s="14" t="s">
        <v>26</v>
      </c>
      <c r="M325" s="14">
        <f t="shared" si="40"/>
        <v>171.99</v>
      </c>
      <c r="N325" s="14">
        <f t="shared" si="42"/>
        <v>42.997500000000002</v>
      </c>
      <c r="O325" s="11" t="s">
        <v>27</v>
      </c>
      <c r="P325" s="11" t="s">
        <v>27</v>
      </c>
      <c r="Q325" s="11"/>
      <c r="R325" s="11">
        <v>6</v>
      </c>
      <c r="S325" s="11" t="s">
        <v>28</v>
      </c>
      <c r="T325" s="16" t="s">
        <v>31</v>
      </c>
    </row>
    <row r="326" spans="1:20" x14ac:dyDescent="0.25">
      <c r="A326" s="10">
        <v>45863</v>
      </c>
      <c r="B326" s="11">
        <v>127394</v>
      </c>
      <c r="C326" s="11" t="s">
        <v>31</v>
      </c>
      <c r="D326" s="11" t="s">
        <v>108</v>
      </c>
      <c r="E326" s="11" t="s">
        <v>24</v>
      </c>
      <c r="F326" s="11" t="s">
        <v>554</v>
      </c>
      <c r="G326" s="12">
        <v>32</v>
      </c>
      <c r="H326" s="13">
        <v>210</v>
      </c>
      <c r="I326" s="14">
        <f t="shared" ref="I326:I357" si="44">G326*H326</f>
        <v>6720</v>
      </c>
      <c r="J326" s="15">
        <v>0.05</v>
      </c>
      <c r="K326" s="15">
        <f t="shared" si="43"/>
        <v>1.2500000000000001E-2</v>
      </c>
      <c r="L326" s="14" t="s">
        <v>26</v>
      </c>
      <c r="M326" s="14">
        <f t="shared" si="40"/>
        <v>336</v>
      </c>
      <c r="N326" s="14">
        <f t="shared" si="42"/>
        <v>84</v>
      </c>
      <c r="O326" s="11" t="s">
        <v>597</v>
      </c>
      <c r="P326" s="11" t="s">
        <v>597</v>
      </c>
      <c r="Q326" s="11"/>
      <c r="R326" s="11">
        <v>1</v>
      </c>
      <c r="S326" s="11" t="s">
        <v>597</v>
      </c>
      <c r="T326" s="16" t="s">
        <v>31</v>
      </c>
    </row>
    <row r="327" spans="1:20" x14ac:dyDescent="0.25">
      <c r="A327" s="10">
        <v>45863</v>
      </c>
      <c r="B327" s="11">
        <v>127383</v>
      </c>
      <c r="C327" s="11" t="s">
        <v>31</v>
      </c>
      <c r="D327" s="11" t="s">
        <v>73</v>
      </c>
      <c r="E327" s="11" t="s">
        <v>24</v>
      </c>
      <c r="F327" s="11" t="s">
        <v>554</v>
      </c>
      <c r="G327" s="12">
        <v>8</v>
      </c>
      <c r="H327" s="13">
        <v>180</v>
      </c>
      <c r="I327" s="14">
        <f t="shared" si="44"/>
        <v>1440</v>
      </c>
      <c r="J327" s="15">
        <v>7.0000000000000007E-2</v>
      </c>
      <c r="K327" s="15">
        <f t="shared" si="43"/>
        <v>1.7500000000000002E-2</v>
      </c>
      <c r="L327" s="14" t="s">
        <v>26</v>
      </c>
      <c r="M327" s="14">
        <f t="shared" si="40"/>
        <v>100.80000000000001</v>
      </c>
      <c r="N327" s="14">
        <f t="shared" si="42"/>
        <v>25.200000000000003</v>
      </c>
      <c r="O327" s="11" t="s">
        <v>597</v>
      </c>
      <c r="P327" s="11" t="s">
        <v>597</v>
      </c>
      <c r="Q327" s="11"/>
      <c r="R327" s="11">
        <v>4</v>
      </c>
      <c r="S327" s="11" t="s">
        <v>597</v>
      </c>
      <c r="T327" s="16" t="s">
        <v>31</v>
      </c>
    </row>
    <row r="328" spans="1:20" x14ac:dyDescent="0.25">
      <c r="A328" s="10">
        <v>45863</v>
      </c>
      <c r="B328" s="11">
        <v>127380</v>
      </c>
      <c r="C328" s="11" t="s">
        <v>31</v>
      </c>
      <c r="D328" s="11" t="s">
        <v>669</v>
      </c>
      <c r="E328" s="11" t="s">
        <v>24</v>
      </c>
      <c r="F328" s="11" t="s">
        <v>554</v>
      </c>
      <c r="G328" s="12">
        <v>4</v>
      </c>
      <c r="H328" s="13">
        <v>210</v>
      </c>
      <c r="I328" s="14">
        <f t="shared" si="44"/>
        <v>840</v>
      </c>
      <c r="J328" s="15">
        <v>7.0000000000000007E-2</v>
      </c>
      <c r="K328" s="15">
        <f t="shared" si="43"/>
        <v>1.7500000000000002E-2</v>
      </c>
      <c r="L328" s="14" t="s">
        <v>26</v>
      </c>
      <c r="M328" s="14">
        <f t="shared" si="40"/>
        <v>58.800000000000004</v>
      </c>
      <c r="N328" s="14">
        <f t="shared" si="42"/>
        <v>14.700000000000001</v>
      </c>
      <c r="O328" s="11" t="s">
        <v>597</v>
      </c>
      <c r="P328" s="11" t="s">
        <v>597</v>
      </c>
      <c r="Q328" s="11"/>
      <c r="R328" s="11">
        <v>2</v>
      </c>
      <c r="S328" s="11" t="s">
        <v>597</v>
      </c>
      <c r="T328" s="16" t="s">
        <v>31</v>
      </c>
    </row>
    <row r="329" spans="1:20" x14ac:dyDescent="0.25">
      <c r="A329" s="10">
        <v>45868</v>
      </c>
      <c r="B329" s="11">
        <v>124673</v>
      </c>
      <c r="C329" s="11" t="s">
        <v>31</v>
      </c>
      <c r="D329" s="11" t="s">
        <v>127</v>
      </c>
      <c r="E329" s="11" t="s">
        <v>35</v>
      </c>
      <c r="F329" s="11" t="s">
        <v>35</v>
      </c>
      <c r="G329" s="12">
        <v>16</v>
      </c>
      <c r="H329" s="13">
        <v>176</v>
      </c>
      <c r="I329" s="14">
        <f t="shared" si="44"/>
        <v>2816</v>
      </c>
      <c r="J329" s="15">
        <v>0.01</v>
      </c>
      <c r="K329" s="15">
        <f t="shared" si="43"/>
        <v>2.5000000000000001E-3</v>
      </c>
      <c r="L329" s="14" t="s">
        <v>26</v>
      </c>
      <c r="M329" s="14">
        <f t="shared" ref="M329:M365" si="45">J329*I329</f>
        <v>28.16</v>
      </c>
      <c r="N329" s="14">
        <f t="shared" si="42"/>
        <v>7.04</v>
      </c>
      <c r="O329" s="11" t="s">
        <v>597</v>
      </c>
      <c r="P329" s="11" t="s">
        <v>597</v>
      </c>
      <c r="Q329" s="11"/>
      <c r="R329" s="11">
        <v>3</v>
      </c>
      <c r="S329" s="11" t="s">
        <v>597</v>
      </c>
      <c r="T329" s="16" t="s">
        <v>31</v>
      </c>
    </row>
    <row r="330" spans="1:20" x14ac:dyDescent="0.25">
      <c r="A330" s="10">
        <v>45869</v>
      </c>
      <c r="B330" s="11">
        <v>127610</v>
      </c>
      <c r="C330" s="11" t="s">
        <v>31</v>
      </c>
      <c r="D330" s="11" t="s">
        <v>670</v>
      </c>
      <c r="E330" s="11" t="s">
        <v>35</v>
      </c>
      <c r="F330" s="11" t="s">
        <v>35</v>
      </c>
      <c r="G330" s="12">
        <v>4</v>
      </c>
      <c r="H330" s="13">
        <v>150</v>
      </c>
      <c r="I330" s="14">
        <f t="shared" si="44"/>
        <v>600</v>
      </c>
      <c r="J330" s="15">
        <v>6.3E-3</v>
      </c>
      <c r="K330" s="15">
        <f t="shared" si="43"/>
        <v>1.575E-3</v>
      </c>
      <c r="L330" s="14" t="s">
        <v>26</v>
      </c>
      <c r="M330" s="14">
        <f t="shared" si="45"/>
        <v>3.7800000000000002</v>
      </c>
      <c r="N330" s="14">
        <f t="shared" si="42"/>
        <v>0.94500000000000006</v>
      </c>
      <c r="O330" s="11" t="s">
        <v>597</v>
      </c>
      <c r="P330" s="11" t="s">
        <v>597</v>
      </c>
      <c r="Q330" s="11"/>
      <c r="R330" s="11">
        <v>1</v>
      </c>
      <c r="S330" s="11" t="s">
        <v>597</v>
      </c>
      <c r="T330" s="16" t="s">
        <v>31</v>
      </c>
    </row>
    <row r="331" spans="1:20" x14ac:dyDescent="0.25">
      <c r="A331" s="10">
        <v>45870</v>
      </c>
      <c r="B331" s="11">
        <v>127806</v>
      </c>
      <c r="C331" s="11" t="s">
        <v>31</v>
      </c>
      <c r="D331" s="11" t="s">
        <v>645</v>
      </c>
      <c r="E331" s="11" t="s">
        <v>145</v>
      </c>
      <c r="F331" s="11" t="s">
        <v>554</v>
      </c>
      <c r="G331" s="12">
        <v>9</v>
      </c>
      <c r="H331" s="13">
        <v>189</v>
      </c>
      <c r="I331" s="14">
        <f t="shared" si="44"/>
        <v>1701</v>
      </c>
      <c r="J331" s="15">
        <v>7.0000000000000007E-2</v>
      </c>
      <c r="K331" s="15">
        <f t="shared" si="43"/>
        <v>1.7500000000000002E-2</v>
      </c>
      <c r="L331" s="14" t="s">
        <v>26</v>
      </c>
      <c r="M331" s="14">
        <f t="shared" si="45"/>
        <v>119.07000000000001</v>
      </c>
      <c r="N331" s="14">
        <f t="shared" si="42"/>
        <v>29.767500000000002</v>
      </c>
      <c r="O331" s="11" t="s">
        <v>27</v>
      </c>
      <c r="P331" s="11" t="s">
        <v>27</v>
      </c>
      <c r="Q331" s="11"/>
      <c r="R331" s="11">
        <v>6</v>
      </c>
      <c r="S331" s="11" t="s">
        <v>28</v>
      </c>
      <c r="T331" s="16" t="s">
        <v>31</v>
      </c>
    </row>
    <row r="332" spans="1:20" x14ac:dyDescent="0.25">
      <c r="A332" s="10">
        <v>45870</v>
      </c>
      <c r="B332" s="11">
        <v>127806</v>
      </c>
      <c r="C332" s="11" t="s">
        <v>31</v>
      </c>
      <c r="D332" s="11" t="s">
        <v>645</v>
      </c>
      <c r="E332" s="11" t="s">
        <v>145</v>
      </c>
      <c r="F332" s="11" t="s">
        <v>30</v>
      </c>
      <c r="G332" s="12">
        <v>1</v>
      </c>
      <c r="H332" s="13">
        <v>310</v>
      </c>
      <c r="I332" s="14">
        <f t="shared" si="44"/>
        <v>310</v>
      </c>
      <c r="J332" s="15">
        <v>1</v>
      </c>
      <c r="K332" s="15">
        <f t="shared" si="43"/>
        <v>0.25</v>
      </c>
      <c r="L332" s="14" t="s">
        <v>26</v>
      </c>
      <c r="M332" s="14">
        <f t="shared" si="45"/>
        <v>310</v>
      </c>
      <c r="N332" s="14">
        <f t="shared" si="42"/>
        <v>77.5</v>
      </c>
      <c r="O332" s="11" t="s">
        <v>27</v>
      </c>
      <c r="P332" s="11" t="s">
        <v>27</v>
      </c>
      <c r="Q332" s="11"/>
      <c r="R332" s="11">
        <v>1</v>
      </c>
      <c r="S332" s="11" t="s">
        <v>28</v>
      </c>
      <c r="T332" s="16" t="s">
        <v>31</v>
      </c>
    </row>
    <row r="333" spans="1:20" x14ac:dyDescent="0.25">
      <c r="A333" s="10">
        <v>45870</v>
      </c>
      <c r="B333" s="11">
        <v>127249</v>
      </c>
      <c r="C333" s="11" t="s">
        <v>44</v>
      </c>
      <c r="D333" s="11" t="s">
        <v>671</v>
      </c>
      <c r="E333" s="11" t="s">
        <v>63</v>
      </c>
      <c r="F333" s="11" t="s">
        <v>554</v>
      </c>
      <c r="G333" s="12">
        <v>80</v>
      </c>
      <c r="H333" s="13">
        <v>180.2</v>
      </c>
      <c r="I333" s="14">
        <f t="shared" si="44"/>
        <v>14416</v>
      </c>
      <c r="J333" s="15">
        <v>7.0000000000000007E-2</v>
      </c>
      <c r="K333" s="15">
        <f t="shared" si="43"/>
        <v>1.7500000000000002E-2</v>
      </c>
      <c r="L333" s="14" t="s">
        <v>46</v>
      </c>
      <c r="M333" s="14">
        <f t="shared" si="45"/>
        <v>1009.1200000000001</v>
      </c>
      <c r="N333" s="14">
        <f t="shared" si="42"/>
        <v>252.28000000000003</v>
      </c>
      <c r="O333" s="11" t="s">
        <v>27</v>
      </c>
      <c r="P333" s="11" t="s">
        <v>27</v>
      </c>
      <c r="Q333" s="11"/>
      <c r="R333" s="11">
        <v>6</v>
      </c>
      <c r="S333" s="11" t="s">
        <v>28</v>
      </c>
      <c r="T333" s="16" t="s">
        <v>44</v>
      </c>
    </row>
    <row r="334" spans="1:20" x14ac:dyDescent="0.25">
      <c r="A334" s="10">
        <v>45870</v>
      </c>
      <c r="B334" s="11">
        <v>127249</v>
      </c>
      <c r="C334" s="11" t="s">
        <v>44</v>
      </c>
      <c r="D334" s="11" t="s">
        <v>671</v>
      </c>
      <c r="E334" s="11" t="s">
        <v>63</v>
      </c>
      <c r="F334" s="11" t="s">
        <v>30</v>
      </c>
      <c r="G334" s="12">
        <v>20</v>
      </c>
      <c r="H334" s="13">
        <v>90.36</v>
      </c>
      <c r="I334" s="14">
        <f t="shared" si="44"/>
        <v>1807.2</v>
      </c>
      <c r="J334" s="15">
        <v>1</v>
      </c>
      <c r="K334" s="15">
        <f t="shared" si="43"/>
        <v>0.25</v>
      </c>
      <c r="L334" s="14" t="s">
        <v>46</v>
      </c>
      <c r="M334" s="14">
        <f t="shared" si="45"/>
        <v>1807.2</v>
      </c>
      <c r="N334" s="14">
        <f t="shared" si="42"/>
        <v>451.8</v>
      </c>
      <c r="O334" s="11" t="s">
        <v>27</v>
      </c>
      <c r="P334" s="11" t="s">
        <v>27</v>
      </c>
      <c r="Q334" s="11"/>
      <c r="R334" s="11">
        <v>1</v>
      </c>
      <c r="S334" s="11" t="s">
        <v>28</v>
      </c>
      <c r="T334" s="16" t="s">
        <v>44</v>
      </c>
    </row>
    <row r="335" spans="1:20" x14ac:dyDescent="0.25">
      <c r="A335" s="10">
        <v>45870</v>
      </c>
      <c r="B335" s="11" t="s">
        <v>672</v>
      </c>
      <c r="C335" s="11" t="s">
        <v>44</v>
      </c>
      <c r="D335" s="11" t="s">
        <v>137</v>
      </c>
      <c r="E335" s="11" t="s">
        <v>47</v>
      </c>
      <c r="F335" s="11" t="s">
        <v>554</v>
      </c>
      <c r="G335" s="12">
        <v>268</v>
      </c>
      <c r="H335" s="13">
        <v>171.72</v>
      </c>
      <c r="I335" s="14">
        <f t="shared" si="44"/>
        <v>46020.959999999999</v>
      </c>
      <c r="J335" s="15">
        <v>0.05</v>
      </c>
      <c r="K335" s="15">
        <f t="shared" si="43"/>
        <v>1.2500000000000001E-2</v>
      </c>
      <c r="L335" s="14" t="s">
        <v>46</v>
      </c>
      <c r="M335" s="14">
        <f t="shared" si="45"/>
        <v>2301.0480000000002</v>
      </c>
      <c r="N335" s="14">
        <f t="shared" si="42"/>
        <v>575.26200000000006</v>
      </c>
      <c r="O335" s="11" t="s">
        <v>27</v>
      </c>
      <c r="P335" s="11" t="s">
        <v>27</v>
      </c>
      <c r="Q335" s="11"/>
      <c r="R335" s="11">
        <v>10</v>
      </c>
      <c r="S335" s="11" t="s">
        <v>28</v>
      </c>
      <c r="T335" s="16" t="s">
        <v>44</v>
      </c>
    </row>
    <row r="336" spans="1:20" x14ac:dyDescent="0.25">
      <c r="A336" s="10">
        <v>45870</v>
      </c>
      <c r="B336" s="11" t="s">
        <v>672</v>
      </c>
      <c r="C336" s="11" t="s">
        <v>44</v>
      </c>
      <c r="D336" s="11" t="s">
        <v>137</v>
      </c>
      <c r="E336" s="11" t="s">
        <v>47</v>
      </c>
      <c r="F336" s="11" t="s">
        <v>30</v>
      </c>
      <c r="G336" s="12">
        <v>10</v>
      </c>
      <c r="H336" s="13">
        <v>275.62</v>
      </c>
      <c r="I336" s="14">
        <f t="shared" si="44"/>
        <v>2756.2</v>
      </c>
      <c r="J336" s="15">
        <v>1</v>
      </c>
      <c r="K336" s="15">
        <f t="shared" si="43"/>
        <v>0.25</v>
      </c>
      <c r="L336" s="14" t="s">
        <v>46</v>
      </c>
      <c r="M336" s="14">
        <f t="shared" si="45"/>
        <v>2756.2</v>
      </c>
      <c r="N336" s="14">
        <f t="shared" si="42"/>
        <v>689.05</v>
      </c>
      <c r="O336" s="11" t="s">
        <v>27</v>
      </c>
      <c r="P336" s="11" t="s">
        <v>27</v>
      </c>
      <c r="Q336" s="11"/>
      <c r="R336" s="11">
        <v>1</v>
      </c>
      <c r="S336" s="11" t="s">
        <v>28</v>
      </c>
      <c r="T336" s="16" t="s">
        <v>44</v>
      </c>
    </row>
    <row r="337" spans="1:20" x14ac:dyDescent="0.25">
      <c r="A337" s="10">
        <v>45870</v>
      </c>
      <c r="B337" s="11" t="s">
        <v>672</v>
      </c>
      <c r="C337" s="11" t="s">
        <v>44</v>
      </c>
      <c r="D337" s="11" t="s">
        <v>137</v>
      </c>
      <c r="E337" s="11" t="s">
        <v>63</v>
      </c>
      <c r="F337" s="11" t="s">
        <v>554</v>
      </c>
      <c r="G337" s="12">
        <v>52</v>
      </c>
      <c r="H337" s="13">
        <v>171.72</v>
      </c>
      <c r="I337" s="14">
        <f t="shared" si="44"/>
        <v>8929.44</v>
      </c>
      <c r="J337" s="15">
        <v>0.05</v>
      </c>
      <c r="K337" s="15">
        <f t="shared" si="43"/>
        <v>1.2500000000000001E-2</v>
      </c>
      <c r="L337" s="14" t="s">
        <v>46</v>
      </c>
      <c r="M337" s="14">
        <f t="shared" si="45"/>
        <v>446.47200000000004</v>
      </c>
      <c r="N337" s="14">
        <f t="shared" si="42"/>
        <v>111.61800000000001</v>
      </c>
      <c r="O337" s="11" t="s">
        <v>27</v>
      </c>
      <c r="P337" s="11" t="s">
        <v>27</v>
      </c>
      <c r="Q337" s="11"/>
      <c r="R337" s="11">
        <v>10</v>
      </c>
      <c r="S337" s="11" t="s">
        <v>28</v>
      </c>
      <c r="T337" s="16" t="s">
        <v>44</v>
      </c>
    </row>
    <row r="338" spans="1:20" x14ac:dyDescent="0.25">
      <c r="A338" s="10">
        <v>45870</v>
      </c>
      <c r="B338" s="11" t="s">
        <v>672</v>
      </c>
      <c r="C338" s="11" t="s">
        <v>44</v>
      </c>
      <c r="D338" s="11" t="s">
        <v>137</v>
      </c>
      <c r="E338" s="11" t="s">
        <v>63</v>
      </c>
      <c r="F338" s="11" t="s">
        <v>30</v>
      </c>
      <c r="G338" s="12">
        <v>10</v>
      </c>
      <c r="H338" s="13">
        <v>98.8</v>
      </c>
      <c r="I338" s="14">
        <f t="shared" si="44"/>
        <v>988</v>
      </c>
      <c r="J338" s="15">
        <v>1</v>
      </c>
      <c r="K338" s="15">
        <f t="shared" si="43"/>
        <v>0.25</v>
      </c>
      <c r="L338" s="14" t="s">
        <v>46</v>
      </c>
      <c r="M338" s="14">
        <f t="shared" si="45"/>
        <v>988</v>
      </c>
      <c r="N338" s="14">
        <f t="shared" si="42"/>
        <v>247</v>
      </c>
      <c r="O338" s="11" t="s">
        <v>27</v>
      </c>
      <c r="P338" s="11" t="s">
        <v>27</v>
      </c>
      <c r="Q338" s="11"/>
      <c r="R338" s="11">
        <v>1</v>
      </c>
      <c r="S338" s="11" t="s">
        <v>28</v>
      </c>
      <c r="T338" s="16" t="s">
        <v>44</v>
      </c>
    </row>
    <row r="339" spans="1:20" x14ac:dyDescent="0.25">
      <c r="A339" s="10">
        <v>45873</v>
      </c>
      <c r="B339" s="11">
        <v>127952</v>
      </c>
      <c r="C339" s="11" t="s">
        <v>31</v>
      </c>
      <c r="D339" s="11" t="s">
        <v>673</v>
      </c>
      <c r="E339" s="11" t="s">
        <v>24</v>
      </c>
      <c r="F339" s="11" t="s">
        <v>554</v>
      </c>
      <c r="G339" s="12">
        <v>40</v>
      </c>
      <c r="H339" s="13">
        <v>168</v>
      </c>
      <c r="I339" s="14">
        <f t="shared" si="44"/>
        <v>6720</v>
      </c>
      <c r="J339" s="15">
        <v>3.6900000000000002E-2</v>
      </c>
      <c r="K339" s="15">
        <f t="shared" si="43"/>
        <v>9.2250000000000006E-3</v>
      </c>
      <c r="L339" s="14" t="s">
        <v>26</v>
      </c>
      <c r="M339" s="14">
        <f t="shared" si="45"/>
        <v>247.96800000000002</v>
      </c>
      <c r="N339" s="14">
        <f t="shared" si="42"/>
        <v>61.992000000000004</v>
      </c>
      <c r="O339" s="11" t="s">
        <v>597</v>
      </c>
      <c r="P339" s="11" t="s">
        <v>597</v>
      </c>
      <c r="Q339" s="11"/>
      <c r="R339" s="11">
        <v>8</v>
      </c>
      <c r="S339" s="11" t="s">
        <v>597</v>
      </c>
      <c r="T339" s="16" t="s">
        <v>31</v>
      </c>
    </row>
    <row r="340" spans="1:20" x14ac:dyDescent="0.25">
      <c r="A340" s="10">
        <v>45876</v>
      </c>
      <c r="B340" s="11">
        <v>128300</v>
      </c>
      <c r="C340" s="11" t="s">
        <v>31</v>
      </c>
      <c r="D340" s="11" t="s">
        <v>79</v>
      </c>
      <c r="E340" s="11" t="s">
        <v>24</v>
      </c>
      <c r="F340" s="11" t="s">
        <v>554</v>
      </c>
      <c r="G340" s="12">
        <v>16</v>
      </c>
      <c r="H340" s="13">
        <v>210</v>
      </c>
      <c r="I340" s="14">
        <f t="shared" si="44"/>
        <v>3360</v>
      </c>
      <c r="J340" s="15">
        <v>7.0000000000000007E-2</v>
      </c>
      <c r="K340" s="15">
        <f t="shared" si="43"/>
        <v>1.7500000000000002E-2</v>
      </c>
      <c r="L340" s="14" t="s">
        <v>26</v>
      </c>
      <c r="M340" s="14">
        <f t="shared" si="45"/>
        <v>235.20000000000002</v>
      </c>
      <c r="N340" s="14">
        <f t="shared" si="42"/>
        <v>58.800000000000004</v>
      </c>
      <c r="O340" s="11" t="s">
        <v>597</v>
      </c>
      <c r="P340" s="11" t="s">
        <v>597</v>
      </c>
      <c r="Q340" s="11"/>
      <c r="R340" s="11">
        <v>6</v>
      </c>
      <c r="S340" s="11" t="s">
        <v>597</v>
      </c>
      <c r="T340" s="16" t="s">
        <v>31</v>
      </c>
    </row>
    <row r="341" spans="1:20" x14ac:dyDescent="0.25">
      <c r="A341" s="10">
        <v>45876</v>
      </c>
      <c r="B341" s="11">
        <v>128318</v>
      </c>
      <c r="C341" s="11" t="s">
        <v>31</v>
      </c>
      <c r="D341" s="11" t="s">
        <v>674</v>
      </c>
      <c r="E341" s="11" t="s">
        <v>24</v>
      </c>
      <c r="F341" s="11" t="s">
        <v>554</v>
      </c>
      <c r="G341" s="12">
        <v>8</v>
      </c>
      <c r="H341" s="13">
        <v>210</v>
      </c>
      <c r="I341" s="14">
        <f t="shared" si="44"/>
        <v>1680</v>
      </c>
      <c r="J341" s="15">
        <v>7.0000000000000007E-2</v>
      </c>
      <c r="K341" s="15">
        <f t="shared" si="43"/>
        <v>1.7500000000000002E-2</v>
      </c>
      <c r="L341" s="14" t="s">
        <v>26</v>
      </c>
      <c r="M341" s="14">
        <f t="shared" si="45"/>
        <v>117.60000000000001</v>
      </c>
      <c r="N341" s="14">
        <f t="shared" si="42"/>
        <v>29.400000000000002</v>
      </c>
      <c r="O341" s="11" t="s">
        <v>597</v>
      </c>
      <c r="P341" s="11" t="s">
        <v>597</v>
      </c>
      <c r="Q341" s="11"/>
      <c r="R341" s="11">
        <v>8</v>
      </c>
      <c r="S341" s="11" t="s">
        <v>597</v>
      </c>
      <c r="T341" s="16" t="s">
        <v>31</v>
      </c>
    </row>
    <row r="342" spans="1:20" x14ac:dyDescent="0.25">
      <c r="A342" s="10">
        <v>45876</v>
      </c>
      <c r="B342" s="11">
        <v>128242</v>
      </c>
      <c r="C342" s="11" t="s">
        <v>31</v>
      </c>
      <c r="D342" s="11" t="s">
        <v>95</v>
      </c>
      <c r="E342" s="11" t="s">
        <v>580</v>
      </c>
      <c r="F342" s="11" t="s">
        <v>554</v>
      </c>
      <c r="G342" s="12">
        <v>16</v>
      </c>
      <c r="H342" s="13">
        <v>189</v>
      </c>
      <c r="I342" s="14">
        <f t="shared" si="44"/>
        <v>3024</v>
      </c>
      <c r="J342" s="15">
        <v>7.0000000000000007E-2</v>
      </c>
      <c r="K342" s="15">
        <f t="shared" si="43"/>
        <v>1.7500000000000002E-2</v>
      </c>
      <c r="L342" s="14" t="s">
        <v>26</v>
      </c>
      <c r="M342" s="14">
        <f t="shared" si="45"/>
        <v>211.68</v>
      </c>
      <c r="N342" s="14">
        <f t="shared" si="42"/>
        <v>52.92</v>
      </c>
      <c r="O342" s="11" t="s">
        <v>27</v>
      </c>
      <c r="P342" s="11" t="s">
        <v>27</v>
      </c>
      <c r="Q342" s="11"/>
      <c r="R342" s="11">
        <v>6</v>
      </c>
      <c r="S342" s="11" t="s">
        <v>28</v>
      </c>
      <c r="T342" s="16" t="s">
        <v>31</v>
      </c>
    </row>
    <row r="343" spans="1:20" x14ac:dyDescent="0.25">
      <c r="A343" s="10">
        <v>45876</v>
      </c>
      <c r="B343" s="11">
        <v>128242</v>
      </c>
      <c r="C343" s="11" t="s">
        <v>31</v>
      </c>
      <c r="D343" s="11" t="s">
        <v>95</v>
      </c>
      <c r="E343" s="11" t="s">
        <v>580</v>
      </c>
      <c r="F343" s="11" t="s">
        <v>30</v>
      </c>
      <c r="G343" s="12">
        <v>1</v>
      </c>
      <c r="H343" s="13">
        <v>605</v>
      </c>
      <c r="I343" s="14">
        <f t="shared" si="44"/>
        <v>605</v>
      </c>
      <c r="J343" s="15">
        <v>1</v>
      </c>
      <c r="K343" s="15">
        <f t="shared" si="43"/>
        <v>0.25</v>
      </c>
      <c r="L343" s="14" t="s">
        <v>26</v>
      </c>
      <c r="M343" s="14">
        <f t="shared" si="45"/>
        <v>605</v>
      </c>
      <c r="N343" s="14">
        <f t="shared" si="42"/>
        <v>151.25</v>
      </c>
      <c r="O343" s="11" t="s">
        <v>27</v>
      </c>
      <c r="P343" s="11" t="s">
        <v>27</v>
      </c>
      <c r="Q343" s="11"/>
      <c r="R343" s="11">
        <v>1</v>
      </c>
      <c r="S343" s="11" t="s">
        <v>28</v>
      </c>
      <c r="T343" s="16" t="s">
        <v>31</v>
      </c>
    </row>
    <row r="344" spans="1:20" x14ac:dyDescent="0.25">
      <c r="A344" s="10">
        <v>45888</v>
      </c>
      <c r="B344" s="11">
        <v>128860</v>
      </c>
      <c r="C344" s="11" t="s">
        <v>22</v>
      </c>
      <c r="D344" s="11" t="s">
        <v>675</v>
      </c>
      <c r="E344" s="11" t="s">
        <v>47</v>
      </c>
      <c r="F344" s="11" t="s">
        <v>554</v>
      </c>
      <c r="G344" s="12">
        <v>260</v>
      </c>
      <c r="H344" s="13">
        <v>185</v>
      </c>
      <c r="I344" s="14">
        <f t="shared" si="44"/>
        <v>48100</v>
      </c>
      <c r="J344" s="15">
        <v>7.0000000000000007E-2</v>
      </c>
      <c r="K344" s="15">
        <v>0</v>
      </c>
      <c r="L344" s="14" t="s">
        <v>46</v>
      </c>
      <c r="M344" s="14">
        <f t="shared" si="45"/>
        <v>3367.0000000000005</v>
      </c>
      <c r="N344" s="14">
        <f t="shared" si="42"/>
        <v>0</v>
      </c>
      <c r="O344" s="11" t="s">
        <v>27</v>
      </c>
      <c r="P344" s="11" t="s">
        <v>27</v>
      </c>
      <c r="Q344" s="11"/>
      <c r="R344" s="11">
        <v>12</v>
      </c>
      <c r="S344" s="11" t="s">
        <v>28</v>
      </c>
      <c r="T344" s="16" t="s">
        <v>22</v>
      </c>
    </row>
    <row r="345" spans="1:20" x14ac:dyDescent="0.25">
      <c r="A345" s="10">
        <v>45888</v>
      </c>
      <c r="B345" s="11">
        <v>128860</v>
      </c>
      <c r="C345" s="11" t="s">
        <v>22</v>
      </c>
      <c r="D345" s="11" t="s">
        <v>675</v>
      </c>
      <c r="E345" s="11" t="s">
        <v>63</v>
      </c>
      <c r="F345" s="11" t="s">
        <v>554</v>
      </c>
      <c r="G345" s="12">
        <v>40</v>
      </c>
      <c r="H345" s="13">
        <v>185</v>
      </c>
      <c r="I345" s="14">
        <f t="shared" si="44"/>
        <v>7400</v>
      </c>
      <c r="J345" s="15">
        <v>7.0000000000000007E-2</v>
      </c>
      <c r="K345" s="15">
        <v>0</v>
      </c>
      <c r="L345" s="14" t="s">
        <v>46</v>
      </c>
      <c r="M345" s="14">
        <f t="shared" si="45"/>
        <v>518</v>
      </c>
      <c r="N345" s="14">
        <f t="shared" si="42"/>
        <v>0</v>
      </c>
      <c r="O345" s="11" t="s">
        <v>27</v>
      </c>
      <c r="P345" s="11" t="s">
        <v>27</v>
      </c>
      <c r="Q345" s="11"/>
      <c r="R345" s="11">
        <v>12</v>
      </c>
      <c r="S345" s="11" t="s">
        <v>28</v>
      </c>
      <c r="T345" s="16" t="s">
        <v>22</v>
      </c>
    </row>
    <row r="346" spans="1:20" x14ac:dyDescent="0.25">
      <c r="A346" s="10">
        <v>45888</v>
      </c>
      <c r="B346" s="11">
        <v>128860</v>
      </c>
      <c r="C346" s="11" t="s">
        <v>22</v>
      </c>
      <c r="D346" s="11" t="s">
        <v>675</v>
      </c>
      <c r="E346" s="11" t="s">
        <v>47</v>
      </c>
      <c r="F346" s="11" t="s">
        <v>30</v>
      </c>
      <c r="G346" s="12">
        <v>10</v>
      </c>
      <c r="H346" s="13">
        <v>275.62</v>
      </c>
      <c r="I346" s="14">
        <f t="shared" si="44"/>
        <v>2756.2</v>
      </c>
      <c r="J346" s="15">
        <v>1</v>
      </c>
      <c r="K346" s="15">
        <v>0</v>
      </c>
      <c r="L346" s="14" t="s">
        <v>46</v>
      </c>
      <c r="M346" s="14">
        <f t="shared" si="45"/>
        <v>2756.2</v>
      </c>
      <c r="N346" s="14">
        <f t="shared" si="42"/>
        <v>0</v>
      </c>
      <c r="O346" s="11" t="s">
        <v>27</v>
      </c>
      <c r="P346" s="11" t="s">
        <v>27</v>
      </c>
      <c r="Q346" s="11"/>
      <c r="R346" s="11">
        <v>1</v>
      </c>
      <c r="S346" s="11" t="s">
        <v>28</v>
      </c>
      <c r="T346" s="16" t="s">
        <v>22</v>
      </c>
    </row>
    <row r="347" spans="1:20" x14ac:dyDescent="0.25">
      <c r="A347" s="10">
        <v>45888</v>
      </c>
      <c r="B347" s="11">
        <v>128860</v>
      </c>
      <c r="C347" s="11" t="s">
        <v>22</v>
      </c>
      <c r="D347" s="11" t="s">
        <v>675</v>
      </c>
      <c r="E347" s="11" t="s">
        <v>63</v>
      </c>
      <c r="F347" s="11" t="s">
        <v>30</v>
      </c>
      <c r="G347" s="12">
        <v>30</v>
      </c>
      <c r="H347" s="13">
        <v>87</v>
      </c>
      <c r="I347" s="14">
        <f t="shared" si="44"/>
        <v>2610</v>
      </c>
      <c r="J347" s="15">
        <v>1</v>
      </c>
      <c r="K347" s="15">
        <v>0</v>
      </c>
      <c r="L347" s="14" t="s">
        <v>46</v>
      </c>
      <c r="M347" s="14">
        <f t="shared" si="45"/>
        <v>2610</v>
      </c>
      <c r="N347" s="14">
        <f t="shared" si="42"/>
        <v>0</v>
      </c>
      <c r="O347" s="11" t="s">
        <v>27</v>
      </c>
      <c r="P347" s="11" t="s">
        <v>27</v>
      </c>
      <c r="Q347" s="11"/>
      <c r="R347" s="11">
        <v>1</v>
      </c>
      <c r="S347" s="11" t="s">
        <v>28</v>
      </c>
      <c r="T347" s="16" t="s">
        <v>22</v>
      </c>
    </row>
    <row r="348" spans="1:20" x14ac:dyDescent="0.25">
      <c r="A348" s="10">
        <v>45888</v>
      </c>
      <c r="B348" s="11">
        <v>128861</v>
      </c>
      <c r="C348" s="11" t="s">
        <v>22</v>
      </c>
      <c r="D348" s="11" t="s">
        <v>675</v>
      </c>
      <c r="E348" s="11" t="s">
        <v>102</v>
      </c>
      <c r="F348" s="11" t="s">
        <v>41</v>
      </c>
      <c r="G348" s="12">
        <v>1</v>
      </c>
      <c r="H348" s="13">
        <v>1600</v>
      </c>
      <c r="I348" s="14">
        <f t="shared" si="44"/>
        <v>1600</v>
      </c>
      <c r="J348" s="15">
        <v>7.0000000000000007E-2</v>
      </c>
      <c r="K348" s="15">
        <v>0</v>
      </c>
      <c r="L348" s="14" t="s">
        <v>46</v>
      </c>
      <c r="M348" s="14">
        <f t="shared" si="45"/>
        <v>112.00000000000001</v>
      </c>
      <c r="N348" s="14">
        <f t="shared" si="42"/>
        <v>0</v>
      </c>
      <c r="O348" s="11" t="s">
        <v>27</v>
      </c>
      <c r="P348" s="11" t="s">
        <v>27</v>
      </c>
      <c r="Q348" s="11"/>
      <c r="R348" s="11">
        <v>12</v>
      </c>
      <c r="S348" s="11" t="s">
        <v>28</v>
      </c>
      <c r="T348" s="16" t="s">
        <v>22</v>
      </c>
    </row>
    <row r="349" spans="1:20" x14ac:dyDescent="0.25">
      <c r="A349" s="10">
        <v>45888</v>
      </c>
      <c r="B349" s="11">
        <v>128861</v>
      </c>
      <c r="C349" s="11" t="s">
        <v>22</v>
      </c>
      <c r="D349" s="11" t="s">
        <v>675</v>
      </c>
      <c r="E349" s="11" t="s">
        <v>102</v>
      </c>
      <c r="F349" s="11" t="s">
        <v>30</v>
      </c>
      <c r="G349" s="12">
        <v>1</v>
      </c>
      <c r="H349" s="13">
        <v>1371.27</v>
      </c>
      <c r="I349" s="14">
        <f t="shared" si="44"/>
        <v>1371.27</v>
      </c>
      <c r="J349" s="15">
        <v>1</v>
      </c>
      <c r="K349" s="15">
        <v>0</v>
      </c>
      <c r="L349" s="14" t="s">
        <v>46</v>
      </c>
      <c r="M349" s="14">
        <f t="shared" si="45"/>
        <v>1371.27</v>
      </c>
      <c r="N349" s="14">
        <f t="shared" si="42"/>
        <v>0</v>
      </c>
      <c r="O349" s="11" t="s">
        <v>27</v>
      </c>
      <c r="P349" s="11" t="s">
        <v>27</v>
      </c>
      <c r="Q349" s="11"/>
      <c r="R349" s="11">
        <v>1</v>
      </c>
      <c r="S349" s="11" t="s">
        <v>28</v>
      </c>
      <c r="T349" s="16" t="s">
        <v>22</v>
      </c>
    </row>
    <row r="350" spans="1:20" x14ac:dyDescent="0.25">
      <c r="A350" s="10">
        <v>45888</v>
      </c>
      <c r="B350" s="11">
        <v>128861</v>
      </c>
      <c r="C350" s="11" t="s">
        <v>22</v>
      </c>
      <c r="D350" s="11" t="s">
        <v>675</v>
      </c>
      <c r="E350" s="11" t="s">
        <v>102</v>
      </c>
      <c r="F350" s="11" t="s">
        <v>30</v>
      </c>
      <c r="G350" s="12">
        <v>12</v>
      </c>
      <c r="H350" s="13">
        <v>52</v>
      </c>
      <c r="I350" s="14">
        <f t="shared" si="44"/>
        <v>624</v>
      </c>
      <c r="J350" s="15">
        <v>1</v>
      </c>
      <c r="K350" s="15">
        <v>0</v>
      </c>
      <c r="L350" s="14" t="s">
        <v>46</v>
      </c>
      <c r="M350" s="14">
        <f t="shared" si="45"/>
        <v>624</v>
      </c>
      <c r="N350" s="14">
        <f t="shared" si="42"/>
        <v>0</v>
      </c>
      <c r="O350" s="11" t="s">
        <v>27</v>
      </c>
      <c r="P350" s="11" t="s">
        <v>27</v>
      </c>
      <c r="Q350" s="11"/>
      <c r="R350" s="11">
        <v>1</v>
      </c>
      <c r="S350" s="11" t="s">
        <v>28</v>
      </c>
      <c r="T350" s="16" t="s">
        <v>22</v>
      </c>
    </row>
    <row r="351" spans="1:20" x14ac:dyDescent="0.25">
      <c r="A351" s="10">
        <v>45888</v>
      </c>
      <c r="B351" s="11">
        <v>126929</v>
      </c>
      <c r="C351" s="11" t="s">
        <v>31</v>
      </c>
      <c r="D351" s="11" t="s">
        <v>614</v>
      </c>
      <c r="E351" s="11" t="s">
        <v>35</v>
      </c>
      <c r="F351" s="11" t="s">
        <v>35</v>
      </c>
      <c r="G351" s="12">
        <v>24</v>
      </c>
      <c r="H351" s="13">
        <v>176</v>
      </c>
      <c r="I351" s="14">
        <f t="shared" si="44"/>
        <v>4224</v>
      </c>
      <c r="J351" s="15">
        <v>0.01</v>
      </c>
      <c r="K351" s="15">
        <f t="shared" ref="K351:K382" si="46">J351*0.25</f>
        <v>2.5000000000000001E-3</v>
      </c>
      <c r="L351" s="14" t="s">
        <v>26</v>
      </c>
      <c r="M351" s="14">
        <f t="shared" si="45"/>
        <v>42.24</v>
      </c>
      <c r="N351" s="14">
        <f t="shared" si="42"/>
        <v>10.56</v>
      </c>
      <c r="O351" s="11" t="s">
        <v>597</v>
      </c>
      <c r="P351" s="11" t="s">
        <v>597</v>
      </c>
      <c r="Q351" s="11"/>
      <c r="R351" s="11">
        <v>3</v>
      </c>
      <c r="S351" s="11" t="s">
        <v>597</v>
      </c>
      <c r="T351" s="16" t="s">
        <v>31</v>
      </c>
    </row>
    <row r="352" spans="1:20" x14ac:dyDescent="0.25">
      <c r="A352" s="10">
        <v>45888</v>
      </c>
      <c r="B352" s="11">
        <v>128853</v>
      </c>
      <c r="C352" s="11" t="s">
        <v>31</v>
      </c>
      <c r="D352" s="11" t="s">
        <v>92</v>
      </c>
      <c r="E352" s="11" t="s">
        <v>576</v>
      </c>
      <c r="F352" s="11" t="s">
        <v>30</v>
      </c>
      <c r="G352" s="12">
        <v>40</v>
      </c>
      <c r="H352" s="13">
        <v>18.809999999999999</v>
      </c>
      <c r="I352" s="14">
        <f t="shared" si="44"/>
        <v>752.4</v>
      </c>
      <c r="J352" s="15">
        <v>1</v>
      </c>
      <c r="K352" s="15">
        <f t="shared" si="46"/>
        <v>0.25</v>
      </c>
      <c r="L352" s="14" t="s">
        <v>26</v>
      </c>
      <c r="M352" s="14">
        <f t="shared" si="45"/>
        <v>752.4</v>
      </c>
      <c r="N352" s="14">
        <f t="shared" si="42"/>
        <v>188.1</v>
      </c>
      <c r="O352" s="11" t="s">
        <v>27</v>
      </c>
      <c r="P352" s="11" t="s">
        <v>27</v>
      </c>
      <c r="Q352" s="11"/>
      <c r="R352" s="11">
        <v>1</v>
      </c>
      <c r="S352" s="11" t="s">
        <v>28</v>
      </c>
      <c r="T352" s="16" t="s">
        <v>31</v>
      </c>
    </row>
    <row r="353" spans="1:20" x14ac:dyDescent="0.25">
      <c r="A353" s="10">
        <v>45888</v>
      </c>
      <c r="B353" s="11">
        <v>127380</v>
      </c>
      <c r="C353" s="11" t="s">
        <v>31</v>
      </c>
      <c r="D353" s="11" t="s">
        <v>669</v>
      </c>
      <c r="E353" s="11" t="s">
        <v>24</v>
      </c>
      <c r="F353" s="11" t="s">
        <v>554</v>
      </c>
      <c r="G353" s="12">
        <v>3</v>
      </c>
      <c r="H353" s="13">
        <v>210</v>
      </c>
      <c r="I353" s="14">
        <f t="shared" si="44"/>
        <v>630</v>
      </c>
      <c r="J353" s="15">
        <v>7.0000000000000007E-2</v>
      </c>
      <c r="K353" s="15">
        <f t="shared" si="46"/>
        <v>1.7500000000000002E-2</v>
      </c>
      <c r="L353" s="14" t="s">
        <v>26</v>
      </c>
      <c r="M353" s="14">
        <f t="shared" si="45"/>
        <v>44.1</v>
      </c>
      <c r="N353" s="14">
        <f t="shared" si="42"/>
        <v>11.025</v>
      </c>
      <c r="O353" s="11" t="s">
        <v>597</v>
      </c>
      <c r="P353" s="11" t="s">
        <v>597</v>
      </c>
      <c r="Q353" s="11"/>
      <c r="R353" s="11">
        <v>2</v>
      </c>
      <c r="S353" s="11" t="s">
        <v>597</v>
      </c>
      <c r="T353" s="16" t="s">
        <v>31</v>
      </c>
    </row>
    <row r="354" spans="1:20" x14ac:dyDescent="0.25">
      <c r="A354" s="10">
        <v>45888</v>
      </c>
      <c r="B354" s="11">
        <v>126335</v>
      </c>
      <c r="C354" s="11" t="s">
        <v>31</v>
      </c>
      <c r="D354" s="11" t="s">
        <v>676</v>
      </c>
      <c r="E354" s="11" t="s">
        <v>24</v>
      </c>
      <c r="F354" s="11" t="s">
        <v>554</v>
      </c>
      <c r="G354" s="12">
        <v>32</v>
      </c>
      <c r="H354" s="13">
        <v>189</v>
      </c>
      <c r="I354" s="14">
        <f t="shared" si="44"/>
        <v>6048</v>
      </c>
      <c r="J354" s="15">
        <v>7.0000000000000007E-2</v>
      </c>
      <c r="K354" s="15">
        <f t="shared" si="46"/>
        <v>1.7500000000000002E-2</v>
      </c>
      <c r="L354" s="14" t="s">
        <v>26</v>
      </c>
      <c r="M354" s="14">
        <f t="shared" si="45"/>
        <v>423.36</v>
      </c>
      <c r="N354" s="14">
        <f t="shared" si="42"/>
        <v>105.84</v>
      </c>
      <c r="O354" s="11" t="s">
        <v>597</v>
      </c>
      <c r="P354" s="11" t="s">
        <v>597</v>
      </c>
      <c r="Q354" s="11"/>
      <c r="R354" s="11">
        <v>6</v>
      </c>
      <c r="S354" s="11" t="s">
        <v>597</v>
      </c>
      <c r="T354" s="16" t="s">
        <v>31</v>
      </c>
    </row>
    <row r="355" spans="1:20" x14ac:dyDescent="0.25">
      <c r="A355" s="10">
        <v>45888</v>
      </c>
      <c r="B355" s="11">
        <v>129187</v>
      </c>
      <c r="C355" s="11" t="s">
        <v>31</v>
      </c>
      <c r="D355" s="11" t="s">
        <v>141</v>
      </c>
      <c r="E355" s="11" t="s">
        <v>24</v>
      </c>
      <c r="F355" s="11" t="s">
        <v>554</v>
      </c>
      <c r="G355" s="12">
        <v>12</v>
      </c>
      <c r="H355" s="13">
        <v>166.66</v>
      </c>
      <c r="I355" s="14">
        <f t="shared" si="44"/>
        <v>1999.92</v>
      </c>
      <c r="J355" s="15">
        <v>3.32E-2</v>
      </c>
      <c r="K355" s="15">
        <f t="shared" si="46"/>
        <v>8.3000000000000001E-3</v>
      </c>
      <c r="L355" s="14" t="s">
        <v>26</v>
      </c>
      <c r="M355" s="14">
        <f t="shared" si="45"/>
        <v>66.397344000000004</v>
      </c>
      <c r="N355" s="14">
        <f t="shared" si="42"/>
        <v>16.599336000000001</v>
      </c>
      <c r="O355" s="11" t="s">
        <v>597</v>
      </c>
      <c r="P355" s="11" t="s">
        <v>597</v>
      </c>
      <c r="Q355" s="11"/>
      <c r="R355" s="11">
        <v>2</v>
      </c>
      <c r="S355" s="11" t="s">
        <v>597</v>
      </c>
      <c r="T355" s="16" t="s">
        <v>31</v>
      </c>
    </row>
    <row r="356" spans="1:20" x14ac:dyDescent="0.25">
      <c r="A356" s="10">
        <v>45888</v>
      </c>
      <c r="B356" s="11">
        <v>129152</v>
      </c>
      <c r="C356" s="11" t="s">
        <v>31</v>
      </c>
      <c r="D356" s="11" t="s">
        <v>100</v>
      </c>
      <c r="E356" s="11" t="s">
        <v>24</v>
      </c>
      <c r="F356" s="11" t="s">
        <v>554</v>
      </c>
      <c r="G356" s="12">
        <v>8</v>
      </c>
      <c r="H356" s="13">
        <v>210</v>
      </c>
      <c r="I356" s="14">
        <f t="shared" si="44"/>
        <v>1680</v>
      </c>
      <c r="J356" s="15">
        <v>7.0000000000000007E-2</v>
      </c>
      <c r="K356" s="15">
        <f t="shared" si="46"/>
        <v>1.7500000000000002E-2</v>
      </c>
      <c r="L356" s="14" t="s">
        <v>26</v>
      </c>
      <c r="M356" s="14">
        <f t="shared" si="45"/>
        <v>117.60000000000001</v>
      </c>
      <c r="N356" s="14">
        <f t="shared" si="42"/>
        <v>29.400000000000002</v>
      </c>
      <c r="O356" s="11" t="s">
        <v>597</v>
      </c>
      <c r="P356" s="11" t="s">
        <v>597</v>
      </c>
      <c r="Q356" s="11"/>
      <c r="R356" s="11">
        <v>4</v>
      </c>
      <c r="S356" s="11" t="s">
        <v>597</v>
      </c>
      <c r="T356" s="16" t="s">
        <v>31</v>
      </c>
    </row>
    <row r="357" spans="1:20" x14ac:dyDescent="0.25">
      <c r="A357" s="10">
        <v>45896</v>
      </c>
      <c r="B357" s="11">
        <v>129304</v>
      </c>
      <c r="C357" s="11" t="s">
        <v>31</v>
      </c>
      <c r="D357" s="11" t="s">
        <v>677</v>
      </c>
      <c r="E357" s="11" t="s">
        <v>40</v>
      </c>
      <c r="F357" s="11" t="s">
        <v>41</v>
      </c>
      <c r="G357" s="12">
        <v>1</v>
      </c>
      <c r="H357" s="13">
        <v>5800</v>
      </c>
      <c r="I357" s="14">
        <f t="shared" si="44"/>
        <v>5800</v>
      </c>
      <c r="J357" s="15">
        <v>7.0000000000000007E-2</v>
      </c>
      <c r="K357" s="15">
        <f t="shared" si="46"/>
        <v>1.7500000000000002E-2</v>
      </c>
      <c r="L357" s="14" t="s">
        <v>26</v>
      </c>
      <c r="M357" s="14">
        <f t="shared" si="45"/>
        <v>406.00000000000006</v>
      </c>
      <c r="N357" s="14">
        <f t="shared" si="42"/>
        <v>101.50000000000001</v>
      </c>
      <c r="O357" s="11" t="s">
        <v>597</v>
      </c>
      <c r="P357" s="11" t="s">
        <v>597</v>
      </c>
      <c r="Q357" s="11"/>
      <c r="R357" s="11">
        <v>10</v>
      </c>
      <c r="S357" s="11" t="s">
        <v>597</v>
      </c>
      <c r="T357" s="16" t="s">
        <v>31</v>
      </c>
    </row>
    <row r="358" spans="1:20" x14ac:dyDescent="0.25">
      <c r="A358" s="18">
        <v>45896</v>
      </c>
      <c r="B358" s="11">
        <v>128254</v>
      </c>
      <c r="C358" s="11" t="s">
        <v>31</v>
      </c>
      <c r="D358" s="11" t="s">
        <v>57</v>
      </c>
      <c r="E358" s="11" t="s">
        <v>35</v>
      </c>
      <c r="F358" s="11" t="s">
        <v>35</v>
      </c>
      <c r="G358" s="12">
        <v>2</v>
      </c>
      <c r="H358" s="13">
        <v>176</v>
      </c>
      <c r="I358" s="14">
        <f t="shared" ref="I358:I389" si="47">G358*H358</f>
        <v>352</v>
      </c>
      <c r="J358" s="15">
        <v>7.0000000000000007E-2</v>
      </c>
      <c r="K358" s="15">
        <f t="shared" si="46"/>
        <v>1.7500000000000002E-2</v>
      </c>
      <c r="L358" s="14" t="s">
        <v>26</v>
      </c>
      <c r="M358" s="14">
        <f t="shared" si="45"/>
        <v>24.64</v>
      </c>
      <c r="N358" s="14">
        <f t="shared" si="42"/>
        <v>6.16</v>
      </c>
      <c r="O358" s="11" t="s">
        <v>597</v>
      </c>
      <c r="P358" s="11" t="s">
        <v>597</v>
      </c>
      <c r="Q358" s="11"/>
      <c r="R358" s="11">
        <v>2</v>
      </c>
      <c r="S358" s="11" t="s">
        <v>597</v>
      </c>
      <c r="T358" s="16" t="s">
        <v>31</v>
      </c>
    </row>
    <row r="359" spans="1:20" x14ac:dyDescent="0.25">
      <c r="A359" s="10">
        <v>45902</v>
      </c>
      <c r="B359" s="11">
        <v>129348</v>
      </c>
      <c r="C359" s="11" t="s">
        <v>31</v>
      </c>
      <c r="D359" s="11" t="s">
        <v>95</v>
      </c>
      <c r="E359" s="11" t="s">
        <v>24</v>
      </c>
      <c r="F359" s="11" t="s">
        <v>554</v>
      </c>
      <c r="G359" s="12">
        <v>16</v>
      </c>
      <c r="H359" s="13">
        <v>210</v>
      </c>
      <c r="I359" s="14">
        <f t="shared" si="47"/>
        <v>3360</v>
      </c>
      <c r="J359" s="15">
        <v>7.0000000000000007E-2</v>
      </c>
      <c r="K359" s="15">
        <f t="shared" si="46"/>
        <v>1.7500000000000002E-2</v>
      </c>
      <c r="L359" s="14" t="s">
        <v>26</v>
      </c>
      <c r="M359" s="14">
        <f t="shared" si="45"/>
        <v>235.20000000000002</v>
      </c>
      <c r="N359" s="14">
        <f t="shared" si="42"/>
        <v>58.800000000000004</v>
      </c>
      <c r="O359" s="11" t="s">
        <v>597</v>
      </c>
      <c r="P359" s="11" t="s">
        <v>597</v>
      </c>
      <c r="Q359" s="11"/>
      <c r="R359" s="11">
        <v>6</v>
      </c>
      <c r="S359" s="11" t="s">
        <v>597</v>
      </c>
      <c r="T359" s="16" t="s">
        <v>31</v>
      </c>
    </row>
    <row r="360" spans="1:20" x14ac:dyDescent="0.25">
      <c r="A360" s="10">
        <v>45902</v>
      </c>
      <c r="B360" s="11">
        <v>129838</v>
      </c>
      <c r="C360" s="11" t="s">
        <v>31</v>
      </c>
      <c r="D360" s="11" t="s">
        <v>678</v>
      </c>
      <c r="E360" s="11" t="s">
        <v>24</v>
      </c>
      <c r="F360" s="11" t="s">
        <v>554</v>
      </c>
      <c r="G360" s="12">
        <v>16</v>
      </c>
      <c r="H360" s="13">
        <v>189</v>
      </c>
      <c r="I360" s="14">
        <f t="shared" si="47"/>
        <v>3024</v>
      </c>
      <c r="J360" s="15">
        <v>7.0000000000000007E-2</v>
      </c>
      <c r="K360" s="15">
        <f t="shared" si="46"/>
        <v>1.7500000000000002E-2</v>
      </c>
      <c r="L360" s="14" t="s">
        <v>26</v>
      </c>
      <c r="M360" s="14">
        <f t="shared" si="45"/>
        <v>211.68</v>
      </c>
      <c r="N360" s="14">
        <f t="shared" si="42"/>
        <v>52.92</v>
      </c>
      <c r="O360" s="11" t="s">
        <v>597</v>
      </c>
      <c r="P360" s="11" t="s">
        <v>597</v>
      </c>
      <c r="Q360" s="11"/>
      <c r="R360" s="11">
        <v>6</v>
      </c>
      <c r="S360" s="11" t="s">
        <v>597</v>
      </c>
      <c r="T360" s="16" t="s">
        <v>31</v>
      </c>
    </row>
    <row r="361" spans="1:20" x14ac:dyDescent="0.25">
      <c r="A361" s="10">
        <v>45902</v>
      </c>
      <c r="B361" s="11">
        <v>129486</v>
      </c>
      <c r="C361" s="11" t="s">
        <v>31</v>
      </c>
      <c r="D361" s="11" t="s">
        <v>93</v>
      </c>
      <c r="E361" s="11" t="s">
        <v>40</v>
      </c>
      <c r="F361" s="11" t="s">
        <v>41</v>
      </c>
      <c r="G361" s="12">
        <v>2</v>
      </c>
      <c r="H361" s="13">
        <f>15789.6/2</f>
        <v>7894.8</v>
      </c>
      <c r="I361" s="14">
        <f t="shared" si="47"/>
        <v>15789.6</v>
      </c>
      <c r="J361" s="15">
        <v>7.0000000000000007E-2</v>
      </c>
      <c r="K361" s="15">
        <f t="shared" si="46"/>
        <v>1.7500000000000002E-2</v>
      </c>
      <c r="L361" s="14" t="s">
        <v>26</v>
      </c>
      <c r="M361" s="14">
        <f t="shared" si="45"/>
        <v>1105.2720000000002</v>
      </c>
      <c r="N361" s="14">
        <f t="shared" si="42"/>
        <v>276.31800000000004</v>
      </c>
      <c r="O361" s="11" t="s">
        <v>27</v>
      </c>
      <c r="P361" s="11" t="s">
        <v>27</v>
      </c>
      <c r="Q361" s="11"/>
      <c r="R361" s="11">
        <v>10</v>
      </c>
      <c r="S361" s="11" t="s">
        <v>28</v>
      </c>
      <c r="T361" s="16" t="s">
        <v>31</v>
      </c>
    </row>
    <row r="362" spans="1:20" x14ac:dyDescent="0.25">
      <c r="A362" s="10">
        <v>45902</v>
      </c>
      <c r="B362" s="11">
        <v>129486</v>
      </c>
      <c r="C362" s="11" t="s">
        <v>31</v>
      </c>
      <c r="D362" s="11" t="s">
        <v>93</v>
      </c>
      <c r="E362" s="11" t="s">
        <v>24</v>
      </c>
      <c r="F362" s="11" t="s">
        <v>554</v>
      </c>
      <c r="G362" s="12">
        <v>16</v>
      </c>
      <c r="H362" s="13">
        <v>168</v>
      </c>
      <c r="I362" s="14">
        <f t="shared" si="47"/>
        <v>2688</v>
      </c>
      <c r="J362" s="15">
        <v>3.6900000000000002E-2</v>
      </c>
      <c r="K362" s="15">
        <f t="shared" si="46"/>
        <v>9.2250000000000006E-3</v>
      </c>
      <c r="L362" s="14" t="s">
        <v>26</v>
      </c>
      <c r="M362" s="14">
        <f t="shared" si="45"/>
        <v>99.187200000000004</v>
      </c>
      <c r="N362" s="14">
        <f t="shared" si="42"/>
        <v>24.796800000000001</v>
      </c>
      <c r="O362" s="11" t="s">
        <v>27</v>
      </c>
      <c r="P362" s="11" t="s">
        <v>27</v>
      </c>
      <c r="Q362" s="11"/>
      <c r="R362" s="11">
        <v>10</v>
      </c>
      <c r="S362" s="11" t="s">
        <v>28</v>
      </c>
      <c r="T362" s="16" t="s">
        <v>31</v>
      </c>
    </row>
    <row r="363" spans="1:20" x14ac:dyDescent="0.25">
      <c r="A363" s="10">
        <v>45902</v>
      </c>
      <c r="B363" s="11">
        <v>129486</v>
      </c>
      <c r="C363" s="11" t="s">
        <v>31</v>
      </c>
      <c r="D363" s="11" t="s">
        <v>93</v>
      </c>
      <c r="E363" s="11" t="s">
        <v>47</v>
      </c>
      <c r="F363" s="11" t="s">
        <v>30</v>
      </c>
      <c r="G363" s="12">
        <v>8</v>
      </c>
      <c r="H363" s="13">
        <v>109.65</v>
      </c>
      <c r="I363" s="14">
        <f t="shared" si="47"/>
        <v>877.2</v>
      </c>
      <c r="J363" s="15">
        <v>1</v>
      </c>
      <c r="K363" s="15">
        <f t="shared" si="46"/>
        <v>0.25</v>
      </c>
      <c r="L363" s="14" t="s">
        <v>26</v>
      </c>
      <c r="M363" s="14">
        <f t="shared" si="45"/>
        <v>877.2</v>
      </c>
      <c r="N363" s="14">
        <f t="shared" si="42"/>
        <v>219.3</v>
      </c>
      <c r="O363" s="11" t="s">
        <v>27</v>
      </c>
      <c r="P363" s="11" t="s">
        <v>27</v>
      </c>
      <c r="Q363" s="11"/>
      <c r="R363" s="11">
        <v>1</v>
      </c>
      <c r="S363" s="11" t="s">
        <v>28</v>
      </c>
      <c r="T363" s="16" t="s">
        <v>31</v>
      </c>
    </row>
    <row r="364" spans="1:20" x14ac:dyDescent="0.25">
      <c r="A364" s="10">
        <v>45902</v>
      </c>
      <c r="B364" s="11">
        <v>129486</v>
      </c>
      <c r="C364" s="11" t="s">
        <v>31</v>
      </c>
      <c r="D364" s="11" t="s">
        <v>93</v>
      </c>
      <c r="E364" s="11" t="s">
        <v>590</v>
      </c>
      <c r="F364" s="11" t="s">
        <v>30</v>
      </c>
      <c r="G364" s="12">
        <v>1</v>
      </c>
      <c r="H364" s="13">
        <v>712.8</v>
      </c>
      <c r="I364" s="14">
        <f t="shared" si="47"/>
        <v>712.8</v>
      </c>
      <c r="J364" s="15">
        <v>1</v>
      </c>
      <c r="K364" s="15">
        <f t="shared" si="46"/>
        <v>0.25</v>
      </c>
      <c r="L364" s="14" t="s">
        <v>26</v>
      </c>
      <c r="M364" s="14">
        <f t="shared" si="45"/>
        <v>712.8</v>
      </c>
      <c r="N364" s="14">
        <f t="shared" si="42"/>
        <v>178.2</v>
      </c>
      <c r="O364" s="11" t="s">
        <v>27</v>
      </c>
      <c r="P364" s="11" t="s">
        <v>27</v>
      </c>
      <c r="Q364" s="11"/>
      <c r="R364" s="11">
        <v>1</v>
      </c>
      <c r="S364" s="11" t="s">
        <v>28</v>
      </c>
      <c r="T364" s="16" t="s">
        <v>31</v>
      </c>
    </row>
    <row r="365" spans="1:20" x14ac:dyDescent="0.25">
      <c r="A365" s="10">
        <v>45902</v>
      </c>
      <c r="B365" s="11">
        <v>129735</v>
      </c>
      <c r="C365" s="11" t="s">
        <v>31</v>
      </c>
      <c r="D365" s="11" t="s">
        <v>120</v>
      </c>
      <c r="E365" s="11" t="s">
        <v>40</v>
      </c>
      <c r="F365" s="11" t="s">
        <v>41</v>
      </c>
      <c r="G365" s="12">
        <v>1</v>
      </c>
      <c r="H365" s="13">
        <v>2938.42</v>
      </c>
      <c r="I365" s="14">
        <f t="shared" si="47"/>
        <v>2938.42</v>
      </c>
      <c r="J365" s="15">
        <v>7.0000000000000007E-2</v>
      </c>
      <c r="K365" s="15">
        <f t="shared" si="46"/>
        <v>1.7500000000000002E-2</v>
      </c>
      <c r="L365" s="14" t="s">
        <v>26</v>
      </c>
      <c r="M365" s="14">
        <f t="shared" si="45"/>
        <v>205.68940000000003</v>
      </c>
      <c r="N365" s="14">
        <f t="shared" si="42"/>
        <v>51.422350000000009</v>
      </c>
      <c r="O365" s="11" t="s">
        <v>27</v>
      </c>
      <c r="P365" s="11" t="s">
        <v>27</v>
      </c>
      <c r="Q365" s="11"/>
      <c r="R365" s="11">
        <v>6</v>
      </c>
      <c r="S365" s="11" t="s">
        <v>28</v>
      </c>
      <c r="T365" s="16" t="s">
        <v>31</v>
      </c>
    </row>
    <row r="366" spans="1:20" x14ac:dyDescent="0.25">
      <c r="A366" s="10">
        <v>45910</v>
      </c>
      <c r="B366" s="11">
        <v>129973</v>
      </c>
      <c r="C366" s="11" t="s">
        <v>31</v>
      </c>
      <c r="D366" s="11" t="s">
        <v>679</v>
      </c>
      <c r="E366" s="11" t="s">
        <v>348</v>
      </c>
      <c r="F366" s="11" t="s">
        <v>554</v>
      </c>
      <c r="G366" s="12">
        <v>280</v>
      </c>
      <c r="H366" s="13">
        <v>172.38</v>
      </c>
      <c r="I366" s="14">
        <f t="shared" si="47"/>
        <v>48266.400000000001</v>
      </c>
      <c r="J366" s="15">
        <v>5.3100000000000001E-2</v>
      </c>
      <c r="K366" s="15">
        <f t="shared" si="46"/>
        <v>1.3275E-2</v>
      </c>
      <c r="L366" s="14" t="s">
        <v>26</v>
      </c>
      <c r="M366" s="14">
        <f t="shared" ref="M366:M397" si="48">(J366*I366)</f>
        <v>2562.9458400000003</v>
      </c>
      <c r="N366" s="14">
        <f t="shared" si="42"/>
        <v>640.73646000000008</v>
      </c>
      <c r="O366" s="11" t="s">
        <v>27</v>
      </c>
      <c r="P366" s="11" t="s">
        <v>27</v>
      </c>
      <c r="Q366" s="11"/>
      <c r="R366" s="11">
        <v>10</v>
      </c>
      <c r="S366" s="11" t="s">
        <v>28</v>
      </c>
      <c r="T366" s="16" t="s">
        <v>31</v>
      </c>
    </row>
    <row r="367" spans="1:20" x14ac:dyDescent="0.25">
      <c r="A367" s="10">
        <v>45910</v>
      </c>
      <c r="B367" s="11">
        <v>129973</v>
      </c>
      <c r="C367" s="11" t="s">
        <v>31</v>
      </c>
      <c r="D367" s="11" t="s">
        <v>679</v>
      </c>
      <c r="E367" s="11" t="s">
        <v>35</v>
      </c>
      <c r="F367" s="11" t="s">
        <v>35</v>
      </c>
      <c r="G367" s="12">
        <v>12</v>
      </c>
      <c r="H367" s="13">
        <v>144.47</v>
      </c>
      <c r="I367" s="14">
        <f t="shared" si="47"/>
        <v>1733.6399999999999</v>
      </c>
      <c r="J367" s="15">
        <v>5.4999999999999997E-3</v>
      </c>
      <c r="K367" s="15">
        <f t="shared" si="46"/>
        <v>1.3749999999999999E-3</v>
      </c>
      <c r="L367" s="14" t="s">
        <v>26</v>
      </c>
      <c r="M367" s="14">
        <f t="shared" si="48"/>
        <v>9.5350199999999994</v>
      </c>
      <c r="N367" s="14">
        <f t="shared" si="42"/>
        <v>2.3837549999999998</v>
      </c>
      <c r="O367" s="11" t="s">
        <v>27</v>
      </c>
      <c r="P367" s="11" t="s">
        <v>27</v>
      </c>
      <c r="Q367" s="11"/>
      <c r="R367" s="11">
        <v>10</v>
      </c>
      <c r="S367" s="11" t="s">
        <v>28</v>
      </c>
      <c r="T367" s="16" t="s">
        <v>31</v>
      </c>
    </row>
    <row r="368" spans="1:20" x14ac:dyDescent="0.25">
      <c r="A368" s="10">
        <v>45910</v>
      </c>
      <c r="B368" s="11">
        <v>129973</v>
      </c>
      <c r="C368" s="11" t="s">
        <v>31</v>
      </c>
      <c r="D368" s="11" t="s">
        <v>679</v>
      </c>
      <c r="E368" s="11" t="s">
        <v>348</v>
      </c>
      <c r="F368" s="11" t="s">
        <v>30</v>
      </c>
      <c r="G368" s="12">
        <v>1</v>
      </c>
      <c r="H368" s="13">
        <v>602.13</v>
      </c>
      <c r="I368" s="14">
        <f t="shared" si="47"/>
        <v>602.13</v>
      </c>
      <c r="J368" s="15">
        <v>1</v>
      </c>
      <c r="K368" s="15">
        <f t="shared" si="46"/>
        <v>0.25</v>
      </c>
      <c r="L368" s="14" t="s">
        <v>26</v>
      </c>
      <c r="M368" s="14">
        <f t="shared" si="48"/>
        <v>602.13</v>
      </c>
      <c r="N368" s="14">
        <f t="shared" si="42"/>
        <v>150.5325</v>
      </c>
      <c r="O368" s="11" t="s">
        <v>27</v>
      </c>
      <c r="P368" s="11" t="s">
        <v>27</v>
      </c>
      <c r="Q368" s="11"/>
      <c r="R368" s="11">
        <v>1</v>
      </c>
      <c r="S368" s="11" t="s">
        <v>28</v>
      </c>
      <c r="T368" s="16" t="s">
        <v>31</v>
      </c>
    </row>
    <row r="369" spans="1:20" x14ac:dyDescent="0.25">
      <c r="A369" s="10">
        <v>45910</v>
      </c>
      <c r="B369" s="11">
        <v>124731</v>
      </c>
      <c r="C369" s="11" t="s">
        <v>31</v>
      </c>
      <c r="D369" s="11" t="s">
        <v>680</v>
      </c>
      <c r="E369" s="11" t="s">
        <v>24</v>
      </c>
      <c r="F369" s="11" t="s">
        <v>554</v>
      </c>
      <c r="G369" s="12">
        <v>6</v>
      </c>
      <c r="H369" s="13">
        <v>166.66</v>
      </c>
      <c r="I369" s="14">
        <f t="shared" si="47"/>
        <v>999.96</v>
      </c>
      <c r="J369" s="15">
        <v>4.0599999999999997E-2</v>
      </c>
      <c r="K369" s="15">
        <f t="shared" si="46"/>
        <v>1.0149999999999999E-2</v>
      </c>
      <c r="L369" s="14" t="s">
        <v>26</v>
      </c>
      <c r="M369" s="14">
        <f t="shared" si="48"/>
        <v>40.598376000000002</v>
      </c>
      <c r="N369" s="14">
        <f t="shared" si="42"/>
        <v>10.149594</v>
      </c>
      <c r="O369" s="11" t="s">
        <v>597</v>
      </c>
      <c r="P369" s="11" t="s">
        <v>597</v>
      </c>
      <c r="Q369" s="11"/>
      <c r="R369" s="11">
        <v>1</v>
      </c>
      <c r="S369" s="11" t="s">
        <v>597</v>
      </c>
      <c r="T369" s="16" t="s">
        <v>31</v>
      </c>
    </row>
    <row r="370" spans="1:20" x14ac:dyDescent="0.25">
      <c r="A370" s="10">
        <v>45910</v>
      </c>
      <c r="B370" s="11">
        <v>130499</v>
      </c>
      <c r="C370" s="11" t="s">
        <v>31</v>
      </c>
      <c r="D370" s="11" t="s">
        <v>57</v>
      </c>
      <c r="E370" s="11" t="s">
        <v>24</v>
      </c>
      <c r="F370" s="11" t="s">
        <v>554</v>
      </c>
      <c r="G370" s="12">
        <v>3</v>
      </c>
      <c r="H370" s="13">
        <v>210</v>
      </c>
      <c r="I370" s="14">
        <f t="shared" si="47"/>
        <v>630</v>
      </c>
      <c r="J370" s="15">
        <v>7.0000000000000007E-2</v>
      </c>
      <c r="K370" s="15">
        <f t="shared" si="46"/>
        <v>1.7500000000000002E-2</v>
      </c>
      <c r="L370" s="14" t="s">
        <v>26</v>
      </c>
      <c r="M370" s="14">
        <f t="shared" si="48"/>
        <v>44.1</v>
      </c>
      <c r="N370" s="14">
        <f t="shared" si="42"/>
        <v>11.025</v>
      </c>
      <c r="O370" s="11" t="s">
        <v>597</v>
      </c>
      <c r="P370" s="11" t="s">
        <v>597</v>
      </c>
      <c r="Q370" s="11"/>
      <c r="R370" s="11">
        <v>1</v>
      </c>
      <c r="S370" s="11" t="s">
        <v>597</v>
      </c>
      <c r="T370" s="16" t="s">
        <v>31</v>
      </c>
    </row>
    <row r="371" spans="1:20" x14ac:dyDescent="0.25">
      <c r="A371" s="10">
        <v>45919</v>
      </c>
      <c r="B371" s="11">
        <v>129348</v>
      </c>
      <c r="C371" s="11" t="s">
        <v>31</v>
      </c>
      <c r="D371" s="11" t="s">
        <v>95</v>
      </c>
      <c r="E371" s="11" t="s">
        <v>24</v>
      </c>
      <c r="F371" s="11" t="s">
        <v>554</v>
      </c>
      <c r="G371" s="12">
        <v>24</v>
      </c>
      <c r="H371" s="13">
        <v>180</v>
      </c>
      <c r="I371" s="14">
        <f t="shared" si="47"/>
        <v>4320</v>
      </c>
      <c r="J371" s="15">
        <v>7.0000000000000007E-2</v>
      </c>
      <c r="K371" s="15">
        <f t="shared" si="46"/>
        <v>1.7500000000000002E-2</v>
      </c>
      <c r="L371" s="14" t="s">
        <v>26</v>
      </c>
      <c r="M371" s="14">
        <f t="shared" si="48"/>
        <v>302.40000000000003</v>
      </c>
      <c r="N371" s="14">
        <f t="shared" si="42"/>
        <v>75.600000000000009</v>
      </c>
      <c r="O371" s="11" t="s">
        <v>597</v>
      </c>
      <c r="P371" s="11" t="s">
        <v>597</v>
      </c>
      <c r="Q371" s="11"/>
      <c r="R371" s="11">
        <v>6</v>
      </c>
      <c r="S371" s="11" t="s">
        <v>597</v>
      </c>
      <c r="T371" s="16" t="s">
        <v>31</v>
      </c>
    </row>
    <row r="372" spans="1:20" x14ac:dyDescent="0.25">
      <c r="A372" s="10">
        <v>45919</v>
      </c>
      <c r="B372" s="11">
        <v>130453</v>
      </c>
      <c r="C372" s="11" t="s">
        <v>31</v>
      </c>
      <c r="D372" s="11" t="s">
        <v>674</v>
      </c>
      <c r="E372" s="11" t="s">
        <v>24</v>
      </c>
      <c r="F372" s="11" t="s">
        <v>554</v>
      </c>
      <c r="G372" s="12">
        <v>40</v>
      </c>
      <c r="H372" s="13">
        <v>189</v>
      </c>
      <c r="I372" s="14">
        <f t="shared" si="47"/>
        <v>7560</v>
      </c>
      <c r="J372" s="15">
        <v>7.0000000000000007E-2</v>
      </c>
      <c r="K372" s="15">
        <f t="shared" si="46"/>
        <v>1.7500000000000002E-2</v>
      </c>
      <c r="L372" s="14" t="s">
        <v>26</v>
      </c>
      <c r="M372" s="14">
        <f t="shared" si="48"/>
        <v>529.20000000000005</v>
      </c>
      <c r="N372" s="14">
        <f t="shared" si="42"/>
        <v>132.30000000000001</v>
      </c>
      <c r="O372" s="11" t="s">
        <v>597</v>
      </c>
      <c r="P372" s="11" t="s">
        <v>597</v>
      </c>
      <c r="Q372" s="11"/>
      <c r="R372" s="11">
        <v>6</v>
      </c>
      <c r="S372" s="11" t="s">
        <v>597</v>
      </c>
      <c r="T372" s="16" t="s">
        <v>31</v>
      </c>
    </row>
    <row r="373" spans="1:20" x14ac:dyDescent="0.25">
      <c r="A373" s="10">
        <v>45919</v>
      </c>
      <c r="B373" s="11">
        <v>130453</v>
      </c>
      <c r="C373" s="11" t="s">
        <v>31</v>
      </c>
      <c r="D373" s="11" t="s">
        <v>674</v>
      </c>
      <c r="E373" s="11" t="s">
        <v>24</v>
      </c>
      <c r="F373" s="11" t="s">
        <v>554</v>
      </c>
      <c r="G373" s="12">
        <v>8</v>
      </c>
      <c r="H373" s="13">
        <v>180</v>
      </c>
      <c r="I373" s="14">
        <f t="shared" si="47"/>
        <v>1440</v>
      </c>
      <c r="J373" s="15">
        <v>7.0000000000000007E-2</v>
      </c>
      <c r="K373" s="15">
        <f t="shared" si="46"/>
        <v>1.7500000000000002E-2</v>
      </c>
      <c r="L373" s="14" t="s">
        <v>26</v>
      </c>
      <c r="M373" s="14">
        <f t="shared" si="48"/>
        <v>100.80000000000001</v>
      </c>
      <c r="N373" s="14">
        <f t="shared" si="42"/>
        <v>25.200000000000003</v>
      </c>
      <c r="O373" s="11" t="s">
        <v>597</v>
      </c>
      <c r="P373" s="11" t="s">
        <v>597</v>
      </c>
      <c r="Q373" s="11"/>
      <c r="R373" s="11">
        <v>4</v>
      </c>
      <c r="S373" s="11" t="s">
        <v>597</v>
      </c>
      <c r="T373" s="16" t="s">
        <v>31</v>
      </c>
    </row>
    <row r="374" spans="1:20" x14ac:dyDescent="0.25">
      <c r="A374" s="10">
        <v>45919</v>
      </c>
      <c r="B374" s="11">
        <v>130175</v>
      </c>
      <c r="C374" s="11" t="s">
        <v>31</v>
      </c>
      <c r="D374" s="11" t="s">
        <v>141</v>
      </c>
      <c r="E374" s="11" t="s">
        <v>24</v>
      </c>
      <c r="F374" s="11" t="s">
        <v>554</v>
      </c>
      <c r="G374" s="12">
        <v>60</v>
      </c>
      <c r="H374" s="13">
        <v>180</v>
      </c>
      <c r="I374" s="14">
        <f t="shared" si="47"/>
        <v>10800</v>
      </c>
      <c r="J374" s="15">
        <v>7.0000000000000007E-2</v>
      </c>
      <c r="K374" s="15">
        <f t="shared" si="46"/>
        <v>1.7500000000000002E-2</v>
      </c>
      <c r="L374" s="14" t="s">
        <v>26</v>
      </c>
      <c r="M374" s="14">
        <f t="shared" si="48"/>
        <v>756.00000000000011</v>
      </c>
      <c r="N374" s="14">
        <f t="shared" ref="N374:N437" si="49">I374*K374</f>
        <v>189.00000000000003</v>
      </c>
      <c r="O374" s="11" t="s">
        <v>27</v>
      </c>
      <c r="P374" s="11" t="s">
        <v>27</v>
      </c>
      <c r="Q374" s="11"/>
      <c r="R374" s="11">
        <v>6</v>
      </c>
      <c r="S374" s="11" t="s">
        <v>28</v>
      </c>
      <c r="T374" s="16" t="s">
        <v>31</v>
      </c>
    </row>
    <row r="375" spans="1:20" x14ac:dyDescent="0.25">
      <c r="A375" s="10">
        <v>45919</v>
      </c>
      <c r="B375" s="11">
        <v>130175</v>
      </c>
      <c r="C375" s="11" t="s">
        <v>31</v>
      </c>
      <c r="D375" s="11" t="s">
        <v>141</v>
      </c>
      <c r="E375" s="11" t="s">
        <v>579</v>
      </c>
      <c r="F375" s="11" t="s">
        <v>30</v>
      </c>
      <c r="G375" s="12">
        <v>1</v>
      </c>
      <c r="H375" s="13">
        <v>350</v>
      </c>
      <c r="I375" s="14">
        <f t="shared" si="47"/>
        <v>350</v>
      </c>
      <c r="J375" s="15">
        <v>1</v>
      </c>
      <c r="K375" s="15">
        <f t="shared" si="46"/>
        <v>0.25</v>
      </c>
      <c r="L375" s="14" t="s">
        <v>26</v>
      </c>
      <c r="M375" s="14">
        <f t="shared" si="48"/>
        <v>350</v>
      </c>
      <c r="N375" s="14">
        <f t="shared" si="49"/>
        <v>87.5</v>
      </c>
      <c r="O375" s="11" t="s">
        <v>27</v>
      </c>
      <c r="P375" s="11" t="s">
        <v>27</v>
      </c>
      <c r="Q375" s="11"/>
      <c r="R375" s="11">
        <v>1</v>
      </c>
      <c r="S375" s="11" t="s">
        <v>28</v>
      </c>
      <c r="T375" s="16" t="s">
        <v>31</v>
      </c>
    </row>
    <row r="376" spans="1:20" x14ac:dyDescent="0.25">
      <c r="A376" s="10">
        <v>45919</v>
      </c>
      <c r="B376" s="11">
        <v>130175</v>
      </c>
      <c r="C376" s="11" t="s">
        <v>31</v>
      </c>
      <c r="D376" s="11" t="s">
        <v>141</v>
      </c>
      <c r="E376" s="11" t="s">
        <v>102</v>
      </c>
      <c r="F376" s="11" t="s">
        <v>30</v>
      </c>
      <c r="G376" s="12">
        <v>1</v>
      </c>
      <c r="H376" s="13">
        <v>79.819999999999993</v>
      </c>
      <c r="I376" s="14">
        <f t="shared" si="47"/>
        <v>79.819999999999993</v>
      </c>
      <c r="J376" s="15">
        <v>1</v>
      </c>
      <c r="K376" s="15">
        <f t="shared" si="46"/>
        <v>0.25</v>
      </c>
      <c r="L376" s="14" t="s">
        <v>26</v>
      </c>
      <c r="M376" s="14">
        <f t="shared" si="48"/>
        <v>79.819999999999993</v>
      </c>
      <c r="N376" s="14">
        <f t="shared" si="49"/>
        <v>19.954999999999998</v>
      </c>
      <c r="O376" s="11" t="s">
        <v>27</v>
      </c>
      <c r="P376" s="11" t="s">
        <v>27</v>
      </c>
      <c r="Q376" s="11"/>
      <c r="R376" s="11">
        <v>1</v>
      </c>
      <c r="S376" s="11" t="s">
        <v>28</v>
      </c>
      <c r="T376" s="16" t="s">
        <v>31</v>
      </c>
    </row>
    <row r="377" spans="1:20" x14ac:dyDescent="0.25">
      <c r="A377" s="10">
        <v>45919</v>
      </c>
      <c r="B377" s="11">
        <v>130890</v>
      </c>
      <c r="C377" s="11" t="s">
        <v>31</v>
      </c>
      <c r="D377" s="11" t="s">
        <v>100</v>
      </c>
      <c r="E377" s="11" t="s">
        <v>24</v>
      </c>
      <c r="F377" s="11" t="s">
        <v>554</v>
      </c>
      <c r="G377" s="12">
        <v>10</v>
      </c>
      <c r="H377" s="13">
        <v>180</v>
      </c>
      <c r="I377" s="14">
        <f t="shared" si="47"/>
        <v>1800</v>
      </c>
      <c r="J377" s="15">
        <v>7.0000000000000007E-2</v>
      </c>
      <c r="K377" s="15">
        <f t="shared" si="46"/>
        <v>1.7500000000000002E-2</v>
      </c>
      <c r="L377" s="14" t="s">
        <v>26</v>
      </c>
      <c r="M377" s="14">
        <f t="shared" si="48"/>
        <v>126.00000000000001</v>
      </c>
      <c r="N377" s="14">
        <f t="shared" si="49"/>
        <v>31.500000000000004</v>
      </c>
      <c r="O377" s="11" t="s">
        <v>27</v>
      </c>
      <c r="P377" s="11" t="s">
        <v>27</v>
      </c>
      <c r="Q377" s="11"/>
      <c r="R377" s="11">
        <v>1</v>
      </c>
      <c r="S377" s="11" t="s">
        <v>28</v>
      </c>
      <c r="T377" s="16" t="s">
        <v>31</v>
      </c>
    </row>
    <row r="378" spans="1:20" x14ac:dyDescent="0.25">
      <c r="A378" s="10">
        <v>45919</v>
      </c>
      <c r="B378" s="11">
        <v>130890</v>
      </c>
      <c r="C378" s="11" t="s">
        <v>31</v>
      </c>
      <c r="D378" s="11" t="s">
        <v>100</v>
      </c>
      <c r="E378" s="11" t="s">
        <v>40</v>
      </c>
      <c r="F378" s="11" t="s">
        <v>41</v>
      </c>
      <c r="G378" s="12">
        <v>1</v>
      </c>
      <c r="H378" s="13">
        <v>4163.2</v>
      </c>
      <c r="I378" s="14">
        <f t="shared" si="47"/>
        <v>4163.2</v>
      </c>
      <c r="J378" s="15">
        <v>7.0000000000000007E-2</v>
      </c>
      <c r="K378" s="15">
        <f t="shared" si="46"/>
        <v>1.7500000000000002E-2</v>
      </c>
      <c r="L378" s="14" t="s">
        <v>26</v>
      </c>
      <c r="M378" s="14">
        <f t="shared" si="48"/>
        <v>291.42400000000004</v>
      </c>
      <c r="N378" s="14">
        <f t="shared" si="49"/>
        <v>72.856000000000009</v>
      </c>
      <c r="O378" s="11" t="s">
        <v>27</v>
      </c>
      <c r="P378" s="11" t="s">
        <v>27</v>
      </c>
      <c r="Q378" s="11"/>
      <c r="R378" s="11">
        <v>1</v>
      </c>
      <c r="S378" s="11" t="s">
        <v>28</v>
      </c>
      <c r="T378" s="16" t="s">
        <v>31</v>
      </c>
    </row>
    <row r="379" spans="1:20" x14ac:dyDescent="0.25">
      <c r="A379" s="10">
        <v>45919</v>
      </c>
      <c r="B379" s="11">
        <v>130415</v>
      </c>
      <c r="C379" s="11" t="s">
        <v>31</v>
      </c>
      <c r="D379" s="11" t="s">
        <v>100</v>
      </c>
      <c r="E379" s="11" t="s">
        <v>24</v>
      </c>
      <c r="F379" s="11" t="s">
        <v>554</v>
      </c>
      <c r="G379" s="12">
        <v>8</v>
      </c>
      <c r="H379" s="13">
        <v>210</v>
      </c>
      <c r="I379" s="14">
        <f t="shared" si="47"/>
        <v>1680</v>
      </c>
      <c r="J379" s="15">
        <v>7.0000000000000007E-2</v>
      </c>
      <c r="K379" s="15">
        <f t="shared" si="46"/>
        <v>1.7500000000000002E-2</v>
      </c>
      <c r="L379" s="14" t="s">
        <v>26</v>
      </c>
      <c r="M379" s="14">
        <f t="shared" si="48"/>
        <v>117.60000000000001</v>
      </c>
      <c r="N379" s="14">
        <f t="shared" si="49"/>
        <v>29.400000000000002</v>
      </c>
      <c r="O379" s="11" t="s">
        <v>27</v>
      </c>
      <c r="P379" s="11" t="s">
        <v>27</v>
      </c>
      <c r="Q379" s="11"/>
      <c r="R379" s="11">
        <v>4</v>
      </c>
      <c r="S379" s="11" t="s">
        <v>28</v>
      </c>
      <c r="T379" s="16" t="s">
        <v>31</v>
      </c>
    </row>
    <row r="380" spans="1:20" x14ac:dyDescent="0.25">
      <c r="A380" s="10">
        <v>45919</v>
      </c>
      <c r="B380" s="11">
        <v>130415</v>
      </c>
      <c r="C380" s="11" t="s">
        <v>31</v>
      </c>
      <c r="D380" s="11" t="s">
        <v>100</v>
      </c>
      <c r="E380" s="11" t="s">
        <v>580</v>
      </c>
      <c r="F380" s="11" t="s">
        <v>30</v>
      </c>
      <c r="G380" s="12">
        <v>1</v>
      </c>
      <c r="H380" s="13">
        <v>641.52</v>
      </c>
      <c r="I380" s="14">
        <f t="shared" si="47"/>
        <v>641.52</v>
      </c>
      <c r="J380" s="15">
        <v>1</v>
      </c>
      <c r="K380" s="15">
        <f t="shared" si="46"/>
        <v>0.25</v>
      </c>
      <c r="L380" s="14" t="s">
        <v>26</v>
      </c>
      <c r="M380" s="14">
        <f t="shared" si="48"/>
        <v>641.52</v>
      </c>
      <c r="N380" s="14">
        <f t="shared" si="49"/>
        <v>160.38</v>
      </c>
      <c r="O380" s="11" t="s">
        <v>27</v>
      </c>
      <c r="P380" s="11" t="s">
        <v>27</v>
      </c>
      <c r="Q380" s="11"/>
      <c r="R380" s="11">
        <v>1</v>
      </c>
      <c r="S380" s="11" t="s">
        <v>28</v>
      </c>
      <c r="T380" s="16" t="s">
        <v>31</v>
      </c>
    </row>
    <row r="381" spans="1:20" x14ac:dyDescent="0.25">
      <c r="A381" s="10">
        <v>45922</v>
      </c>
      <c r="B381" s="11">
        <v>129985</v>
      </c>
      <c r="C381" s="11" t="s">
        <v>31</v>
      </c>
      <c r="D381" s="11" t="s">
        <v>658</v>
      </c>
      <c r="E381" s="11" t="s">
        <v>24</v>
      </c>
      <c r="F381" s="11" t="s">
        <v>554</v>
      </c>
      <c r="G381" s="12">
        <v>40</v>
      </c>
      <c r="H381" s="13">
        <v>180</v>
      </c>
      <c r="I381" s="14">
        <f t="shared" si="47"/>
        <v>7200</v>
      </c>
      <c r="J381" s="15">
        <v>7.0000000000000007E-2</v>
      </c>
      <c r="K381" s="15">
        <f t="shared" si="46"/>
        <v>1.7500000000000002E-2</v>
      </c>
      <c r="L381" s="14" t="s">
        <v>26</v>
      </c>
      <c r="M381" s="14">
        <f t="shared" si="48"/>
        <v>504.00000000000006</v>
      </c>
      <c r="N381" s="14">
        <f t="shared" si="49"/>
        <v>126.00000000000001</v>
      </c>
      <c r="O381" s="11" t="s">
        <v>597</v>
      </c>
      <c r="P381" s="11" t="s">
        <v>597</v>
      </c>
      <c r="Q381" s="11"/>
      <c r="R381" s="11">
        <v>6</v>
      </c>
      <c r="S381" s="11" t="s">
        <v>597</v>
      </c>
      <c r="T381" s="16" t="s">
        <v>31</v>
      </c>
    </row>
    <row r="382" spans="1:20" x14ac:dyDescent="0.25">
      <c r="A382" s="10">
        <v>45922</v>
      </c>
      <c r="B382" s="11">
        <v>128684</v>
      </c>
      <c r="C382" s="11" t="s">
        <v>31</v>
      </c>
      <c r="D382" s="11" t="s">
        <v>106</v>
      </c>
      <c r="E382" s="11" t="s">
        <v>35</v>
      </c>
      <c r="F382" s="11" t="s">
        <v>35</v>
      </c>
      <c r="G382" s="12">
        <v>5</v>
      </c>
      <c r="H382" s="13">
        <v>176</v>
      </c>
      <c r="I382" s="14">
        <f t="shared" si="47"/>
        <v>880</v>
      </c>
      <c r="J382" s="15">
        <v>0.01</v>
      </c>
      <c r="K382" s="15">
        <f t="shared" si="46"/>
        <v>2.5000000000000001E-3</v>
      </c>
      <c r="L382" s="14" t="s">
        <v>26</v>
      </c>
      <c r="M382" s="14">
        <f t="shared" si="48"/>
        <v>8.8000000000000007</v>
      </c>
      <c r="N382" s="14">
        <f t="shared" si="49"/>
        <v>2.2000000000000002</v>
      </c>
      <c r="O382" s="11" t="s">
        <v>597</v>
      </c>
      <c r="P382" s="11" t="s">
        <v>597</v>
      </c>
      <c r="Q382" s="11"/>
      <c r="R382" s="11">
        <v>3</v>
      </c>
      <c r="S382" s="11" t="s">
        <v>597</v>
      </c>
      <c r="T382" s="16" t="s">
        <v>31</v>
      </c>
    </row>
    <row r="383" spans="1:20" x14ac:dyDescent="0.25">
      <c r="A383" s="10">
        <v>45922</v>
      </c>
      <c r="B383" s="11">
        <v>129185</v>
      </c>
      <c r="C383" s="11" t="s">
        <v>31</v>
      </c>
      <c r="D383" s="11" t="s">
        <v>681</v>
      </c>
      <c r="E383" s="11" t="s">
        <v>35</v>
      </c>
      <c r="F383" s="11" t="s">
        <v>35</v>
      </c>
      <c r="G383" s="12">
        <v>6</v>
      </c>
      <c r="H383" s="13">
        <v>176</v>
      </c>
      <c r="I383" s="14">
        <f t="shared" si="47"/>
        <v>1056</v>
      </c>
      <c r="J383" s="15">
        <v>0.01</v>
      </c>
      <c r="K383" s="15">
        <f t="shared" ref="K383:K401" si="50">J383*0.25</f>
        <v>2.5000000000000001E-3</v>
      </c>
      <c r="L383" s="14" t="s">
        <v>26</v>
      </c>
      <c r="M383" s="14">
        <f t="shared" si="48"/>
        <v>10.56</v>
      </c>
      <c r="N383" s="14">
        <f t="shared" si="49"/>
        <v>2.64</v>
      </c>
      <c r="O383" s="11" t="s">
        <v>597</v>
      </c>
      <c r="P383" s="11" t="s">
        <v>597</v>
      </c>
      <c r="Q383" s="11"/>
      <c r="R383" s="11">
        <v>3</v>
      </c>
      <c r="S383" s="11" t="s">
        <v>597</v>
      </c>
      <c r="T383" s="16" t="s">
        <v>31</v>
      </c>
    </row>
    <row r="384" spans="1:20" x14ac:dyDescent="0.25">
      <c r="A384" s="10">
        <v>45922</v>
      </c>
      <c r="B384" s="11">
        <v>129080</v>
      </c>
      <c r="C384" s="11" t="s">
        <v>31</v>
      </c>
      <c r="D384" s="11" t="s">
        <v>79</v>
      </c>
      <c r="E384" s="11" t="s">
        <v>35</v>
      </c>
      <c r="F384" s="11" t="s">
        <v>35</v>
      </c>
      <c r="G384" s="12">
        <v>44</v>
      </c>
      <c r="H384" s="13">
        <v>131.82</v>
      </c>
      <c r="I384" s="14">
        <f t="shared" si="47"/>
        <v>5800.08</v>
      </c>
      <c r="J384" s="15">
        <v>6.8999999999999999E-3</v>
      </c>
      <c r="K384" s="15">
        <f t="shared" si="50"/>
        <v>1.725E-3</v>
      </c>
      <c r="L384" s="14" t="s">
        <v>26</v>
      </c>
      <c r="M384" s="14">
        <f t="shared" si="48"/>
        <v>40.020552000000002</v>
      </c>
      <c r="N384" s="14">
        <f t="shared" si="49"/>
        <v>10.005138000000001</v>
      </c>
      <c r="O384" s="11" t="s">
        <v>597</v>
      </c>
      <c r="P384" s="11" t="s">
        <v>597</v>
      </c>
      <c r="Q384" s="11"/>
      <c r="R384" s="11">
        <v>3</v>
      </c>
      <c r="S384" s="11" t="s">
        <v>597</v>
      </c>
      <c r="T384" s="16" t="s">
        <v>31</v>
      </c>
    </row>
    <row r="385" spans="1:20" x14ac:dyDescent="0.25">
      <c r="A385" s="10">
        <v>45922</v>
      </c>
      <c r="B385" s="11">
        <v>129607</v>
      </c>
      <c r="C385" s="11" t="s">
        <v>31</v>
      </c>
      <c r="D385" s="11" t="s">
        <v>79</v>
      </c>
      <c r="E385" s="11" t="s">
        <v>35</v>
      </c>
      <c r="F385" s="11" t="s">
        <v>35</v>
      </c>
      <c r="G385" s="12">
        <v>50</v>
      </c>
      <c r="H385" s="13">
        <v>120</v>
      </c>
      <c r="I385" s="14">
        <f t="shared" si="47"/>
        <v>6000</v>
      </c>
      <c r="J385" s="15">
        <v>0.01</v>
      </c>
      <c r="K385" s="15">
        <f t="shared" si="50"/>
        <v>2.5000000000000001E-3</v>
      </c>
      <c r="L385" s="14" t="s">
        <v>26</v>
      </c>
      <c r="M385" s="14">
        <f t="shared" si="48"/>
        <v>60</v>
      </c>
      <c r="N385" s="14">
        <f t="shared" si="49"/>
        <v>15</v>
      </c>
      <c r="O385" s="11" t="s">
        <v>597</v>
      </c>
      <c r="P385" s="11" t="s">
        <v>597</v>
      </c>
      <c r="Q385" s="11"/>
      <c r="R385" s="11">
        <v>4</v>
      </c>
      <c r="S385" s="11" t="s">
        <v>597</v>
      </c>
      <c r="T385" s="16" t="s">
        <v>31</v>
      </c>
    </row>
    <row r="386" spans="1:20" x14ac:dyDescent="0.25">
      <c r="A386" s="10">
        <v>45923</v>
      </c>
      <c r="B386" s="11">
        <v>127808</v>
      </c>
      <c r="C386" s="11" t="s">
        <v>31</v>
      </c>
      <c r="D386" s="11" t="s">
        <v>100</v>
      </c>
      <c r="E386" s="11" t="s">
        <v>35</v>
      </c>
      <c r="F386" s="11" t="s">
        <v>35</v>
      </c>
      <c r="G386" s="12">
        <v>2</v>
      </c>
      <c r="H386" s="13">
        <v>176</v>
      </c>
      <c r="I386" s="14">
        <f t="shared" si="47"/>
        <v>352</v>
      </c>
      <c r="J386" s="15">
        <v>0.01</v>
      </c>
      <c r="K386" s="15">
        <f t="shared" si="50"/>
        <v>2.5000000000000001E-3</v>
      </c>
      <c r="L386" s="14" t="s">
        <v>26</v>
      </c>
      <c r="M386" s="14">
        <f t="shared" si="48"/>
        <v>3.52</v>
      </c>
      <c r="N386" s="14">
        <f t="shared" si="49"/>
        <v>0.88</v>
      </c>
      <c r="O386" s="11" t="s">
        <v>597</v>
      </c>
      <c r="P386" s="11" t="s">
        <v>597</v>
      </c>
      <c r="Q386" s="11"/>
      <c r="R386" s="11">
        <v>1</v>
      </c>
      <c r="S386" s="11" t="s">
        <v>597</v>
      </c>
      <c r="T386" s="16" t="s">
        <v>31</v>
      </c>
    </row>
    <row r="387" spans="1:20" x14ac:dyDescent="0.25">
      <c r="A387" s="10">
        <v>45923</v>
      </c>
      <c r="B387" s="11">
        <v>130522</v>
      </c>
      <c r="C387" s="11" t="s">
        <v>31</v>
      </c>
      <c r="D387" s="11" t="s">
        <v>682</v>
      </c>
      <c r="E387" s="11" t="s">
        <v>35</v>
      </c>
      <c r="F387" s="11" t="s">
        <v>35</v>
      </c>
      <c r="G387" s="12">
        <v>116</v>
      </c>
      <c r="H387" s="13">
        <v>158.4</v>
      </c>
      <c r="I387" s="14">
        <f t="shared" si="47"/>
        <v>18374.400000000001</v>
      </c>
      <c r="J387" s="15">
        <v>6.8999999999999999E-3</v>
      </c>
      <c r="K387" s="15">
        <f t="shared" si="50"/>
        <v>1.725E-3</v>
      </c>
      <c r="L387" s="14" t="s">
        <v>26</v>
      </c>
      <c r="M387" s="14">
        <f t="shared" si="48"/>
        <v>126.78336</v>
      </c>
      <c r="N387" s="14">
        <f t="shared" si="49"/>
        <v>31.69584</v>
      </c>
      <c r="O387" s="11" t="s">
        <v>597</v>
      </c>
      <c r="P387" s="11" t="s">
        <v>597</v>
      </c>
      <c r="Q387" s="11"/>
      <c r="R387" s="11">
        <v>1</v>
      </c>
      <c r="S387" s="11" t="s">
        <v>597</v>
      </c>
      <c r="T387" s="16" t="s">
        <v>31</v>
      </c>
    </row>
    <row r="388" spans="1:20" x14ac:dyDescent="0.25">
      <c r="A388" s="10">
        <v>45923</v>
      </c>
      <c r="B388" s="11">
        <v>125644</v>
      </c>
      <c r="C388" s="11" t="s">
        <v>31</v>
      </c>
      <c r="D388" s="11" t="s">
        <v>127</v>
      </c>
      <c r="E388" s="11" t="s">
        <v>35</v>
      </c>
      <c r="F388" s="11" t="s">
        <v>35</v>
      </c>
      <c r="G388" s="12">
        <v>40</v>
      </c>
      <c r="H388" s="13">
        <v>125</v>
      </c>
      <c r="I388" s="14">
        <f t="shared" si="47"/>
        <v>5000</v>
      </c>
      <c r="J388" s="15">
        <v>2.8E-3</v>
      </c>
      <c r="K388" s="15">
        <f t="shared" si="50"/>
        <v>6.9999999999999999E-4</v>
      </c>
      <c r="L388" s="14" t="s">
        <v>26</v>
      </c>
      <c r="M388" s="14">
        <f t="shared" si="48"/>
        <v>14</v>
      </c>
      <c r="N388" s="14">
        <f t="shared" si="49"/>
        <v>3.5</v>
      </c>
      <c r="O388" s="11" t="s">
        <v>597</v>
      </c>
      <c r="P388" s="11" t="s">
        <v>597</v>
      </c>
      <c r="Q388" s="11"/>
      <c r="R388" s="11">
        <v>3</v>
      </c>
      <c r="S388" s="11" t="s">
        <v>597</v>
      </c>
      <c r="T388" s="16" t="s">
        <v>31</v>
      </c>
    </row>
    <row r="389" spans="1:20" x14ac:dyDescent="0.25">
      <c r="A389" s="10">
        <v>45923</v>
      </c>
      <c r="B389" s="11">
        <v>130018</v>
      </c>
      <c r="C389" s="11" t="s">
        <v>31</v>
      </c>
      <c r="D389" s="11" t="s">
        <v>620</v>
      </c>
      <c r="E389" s="11" t="s">
        <v>35</v>
      </c>
      <c r="F389" s="11" t="s">
        <v>35</v>
      </c>
      <c r="G389" s="12">
        <v>3</v>
      </c>
      <c r="H389" s="13">
        <v>176</v>
      </c>
      <c r="I389" s="14">
        <f t="shared" si="47"/>
        <v>528</v>
      </c>
      <c r="J389" s="15">
        <v>0.01</v>
      </c>
      <c r="K389" s="15">
        <f t="shared" si="50"/>
        <v>2.5000000000000001E-3</v>
      </c>
      <c r="L389" s="14" t="s">
        <v>26</v>
      </c>
      <c r="M389" s="14">
        <f t="shared" si="48"/>
        <v>5.28</v>
      </c>
      <c r="N389" s="14">
        <f t="shared" si="49"/>
        <v>1.32</v>
      </c>
      <c r="O389" s="11" t="s">
        <v>597</v>
      </c>
      <c r="P389" s="11" t="s">
        <v>597</v>
      </c>
      <c r="Q389" s="11"/>
      <c r="R389" s="11">
        <v>1</v>
      </c>
      <c r="S389" s="11" t="s">
        <v>597</v>
      </c>
      <c r="T389" s="16" t="s">
        <v>31</v>
      </c>
    </row>
    <row r="390" spans="1:20" x14ac:dyDescent="0.25">
      <c r="A390" s="10">
        <v>45923</v>
      </c>
      <c r="B390" s="11">
        <v>130090</v>
      </c>
      <c r="C390" s="11" t="s">
        <v>31</v>
      </c>
      <c r="D390" s="11" t="s">
        <v>635</v>
      </c>
      <c r="E390" s="11" t="s">
        <v>35</v>
      </c>
      <c r="F390" s="11" t="s">
        <v>35</v>
      </c>
      <c r="G390" s="12">
        <v>3</v>
      </c>
      <c r="H390" s="13">
        <v>176</v>
      </c>
      <c r="I390" s="14">
        <f t="shared" ref="I390:I421" si="51">G390*H390</f>
        <v>528</v>
      </c>
      <c r="J390" s="15">
        <v>0.01</v>
      </c>
      <c r="K390" s="15">
        <f t="shared" si="50"/>
        <v>2.5000000000000001E-3</v>
      </c>
      <c r="L390" s="14" t="s">
        <v>26</v>
      </c>
      <c r="M390" s="14">
        <f t="shared" si="48"/>
        <v>5.28</v>
      </c>
      <c r="N390" s="14">
        <f t="shared" si="49"/>
        <v>1.32</v>
      </c>
      <c r="O390" s="11" t="s">
        <v>597</v>
      </c>
      <c r="P390" s="11" t="s">
        <v>597</v>
      </c>
      <c r="Q390" s="11"/>
      <c r="R390" s="11">
        <v>1</v>
      </c>
      <c r="S390" s="11" t="s">
        <v>597</v>
      </c>
      <c r="T390" s="16" t="s">
        <v>31</v>
      </c>
    </row>
    <row r="391" spans="1:20" x14ac:dyDescent="0.25">
      <c r="A391" s="10">
        <v>45924</v>
      </c>
      <c r="B391" s="11">
        <v>130457</v>
      </c>
      <c r="C391" s="11" t="s">
        <v>44</v>
      </c>
      <c r="D391" s="11" t="s">
        <v>605</v>
      </c>
      <c r="E391" s="11" t="s">
        <v>40</v>
      </c>
      <c r="F391" s="11" t="s">
        <v>41</v>
      </c>
      <c r="G391" s="12">
        <v>1</v>
      </c>
      <c r="H391" s="13">
        <v>5202.96</v>
      </c>
      <c r="I391" s="14">
        <f t="shared" si="51"/>
        <v>5202.96</v>
      </c>
      <c r="J391" s="15">
        <v>7.0000000000000007E-2</v>
      </c>
      <c r="K391" s="15">
        <f t="shared" si="50"/>
        <v>1.7500000000000002E-2</v>
      </c>
      <c r="L391" s="14" t="s">
        <v>26</v>
      </c>
      <c r="M391" s="14">
        <f t="shared" si="48"/>
        <v>364.20720000000006</v>
      </c>
      <c r="N391" s="14">
        <f t="shared" si="49"/>
        <v>91.051800000000014</v>
      </c>
      <c r="O391" s="11" t="s">
        <v>27</v>
      </c>
      <c r="P391" s="11" t="s">
        <v>27</v>
      </c>
      <c r="Q391" s="11"/>
      <c r="R391" s="11">
        <v>12</v>
      </c>
      <c r="S391" s="11" t="s">
        <v>28</v>
      </c>
      <c r="T391" s="16" t="s">
        <v>44</v>
      </c>
    </row>
    <row r="392" spans="1:20" x14ac:dyDescent="0.25">
      <c r="A392" s="10">
        <v>45924</v>
      </c>
      <c r="B392" s="11">
        <v>130889</v>
      </c>
      <c r="C392" s="11" t="s">
        <v>44</v>
      </c>
      <c r="D392" s="11" t="s">
        <v>683</v>
      </c>
      <c r="E392" s="11" t="s">
        <v>63</v>
      </c>
      <c r="F392" s="11" t="s">
        <v>554</v>
      </c>
      <c r="G392" s="12">
        <v>80</v>
      </c>
      <c r="H392" s="13">
        <v>212</v>
      </c>
      <c r="I392" s="14">
        <f t="shared" si="51"/>
        <v>16960</v>
      </c>
      <c r="J392" s="15">
        <v>7.0000000000000007E-2</v>
      </c>
      <c r="K392" s="15">
        <f t="shared" si="50"/>
        <v>1.7500000000000002E-2</v>
      </c>
      <c r="L392" s="14" t="s">
        <v>26</v>
      </c>
      <c r="M392" s="14">
        <f t="shared" si="48"/>
        <v>1187.2</v>
      </c>
      <c r="N392" s="14">
        <f t="shared" si="49"/>
        <v>296.8</v>
      </c>
      <c r="O392" s="11" t="s">
        <v>27</v>
      </c>
      <c r="P392" s="11" t="s">
        <v>27</v>
      </c>
      <c r="Q392" s="11"/>
      <c r="R392" s="11">
        <v>12</v>
      </c>
      <c r="S392" s="11" t="s">
        <v>28</v>
      </c>
      <c r="T392" s="16" t="s">
        <v>44</v>
      </c>
    </row>
    <row r="393" spans="1:20" x14ac:dyDescent="0.25">
      <c r="A393" s="10">
        <v>45924</v>
      </c>
      <c r="B393" s="11">
        <v>130889</v>
      </c>
      <c r="C393" s="11" t="s">
        <v>44</v>
      </c>
      <c r="D393" s="11" t="s">
        <v>683</v>
      </c>
      <c r="E393" s="11" t="s">
        <v>63</v>
      </c>
      <c r="F393" s="11" t="s">
        <v>30</v>
      </c>
      <c r="G393" s="12">
        <v>25</v>
      </c>
      <c r="H393" s="13">
        <v>98.2</v>
      </c>
      <c r="I393" s="14">
        <f t="shared" si="51"/>
        <v>2455</v>
      </c>
      <c r="J393" s="15">
        <v>1</v>
      </c>
      <c r="K393" s="15">
        <f t="shared" si="50"/>
        <v>0.25</v>
      </c>
      <c r="L393" s="14" t="s">
        <v>26</v>
      </c>
      <c r="M393" s="14">
        <f t="shared" si="48"/>
        <v>2455</v>
      </c>
      <c r="N393" s="14">
        <f t="shared" si="49"/>
        <v>613.75</v>
      </c>
      <c r="O393" s="11" t="s">
        <v>27</v>
      </c>
      <c r="P393" s="11" t="s">
        <v>27</v>
      </c>
      <c r="Q393" s="11"/>
      <c r="R393" s="11">
        <v>1</v>
      </c>
      <c r="S393" s="11" t="s">
        <v>28</v>
      </c>
      <c r="T393" s="16" t="s">
        <v>44</v>
      </c>
    </row>
    <row r="394" spans="1:20" x14ac:dyDescent="0.25">
      <c r="A394" s="10">
        <v>45924</v>
      </c>
      <c r="B394" s="11">
        <v>105949</v>
      </c>
      <c r="C394" s="11" t="s">
        <v>44</v>
      </c>
      <c r="D394" s="11" t="s">
        <v>649</v>
      </c>
      <c r="E394" s="11" t="s">
        <v>24</v>
      </c>
      <c r="F394" s="11" t="s">
        <v>554</v>
      </c>
      <c r="G394" s="12">
        <v>34.5</v>
      </c>
      <c r="H394" s="13">
        <v>180.2</v>
      </c>
      <c r="I394" s="14">
        <f t="shared" si="51"/>
        <v>6216.9</v>
      </c>
      <c r="J394" s="15">
        <v>7.0000000000000007E-2</v>
      </c>
      <c r="K394" s="15">
        <f t="shared" si="50"/>
        <v>1.7500000000000002E-2</v>
      </c>
      <c r="L394" s="14" t="s">
        <v>26</v>
      </c>
      <c r="M394" s="14">
        <f t="shared" si="48"/>
        <v>435.18299999999999</v>
      </c>
      <c r="N394" s="14">
        <f t="shared" si="49"/>
        <v>108.79575</v>
      </c>
      <c r="O394" s="11" t="s">
        <v>597</v>
      </c>
      <c r="P394" s="11" t="s">
        <v>597</v>
      </c>
      <c r="Q394" s="11"/>
      <c r="R394" s="11">
        <v>10</v>
      </c>
      <c r="S394" s="11" t="s">
        <v>597</v>
      </c>
      <c r="T394" s="16" t="s">
        <v>44</v>
      </c>
    </row>
    <row r="395" spans="1:20" x14ac:dyDescent="0.25">
      <c r="A395" s="10">
        <v>45924</v>
      </c>
      <c r="B395" s="11">
        <v>130902</v>
      </c>
      <c r="C395" s="11" t="s">
        <v>44</v>
      </c>
      <c r="D395" s="11" t="s">
        <v>684</v>
      </c>
      <c r="E395" s="11" t="s">
        <v>47</v>
      </c>
      <c r="F395" s="11" t="s">
        <v>554</v>
      </c>
      <c r="G395" s="12">
        <v>280</v>
      </c>
      <c r="H395" s="13">
        <v>171.01</v>
      </c>
      <c r="I395" s="14">
        <f t="shared" si="51"/>
        <v>47882.799999999996</v>
      </c>
      <c r="J395" s="15">
        <v>0.05</v>
      </c>
      <c r="K395" s="15">
        <f t="shared" si="50"/>
        <v>1.2500000000000001E-2</v>
      </c>
      <c r="L395" s="14" t="s">
        <v>46</v>
      </c>
      <c r="M395" s="14">
        <f t="shared" si="48"/>
        <v>2394.14</v>
      </c>
      <c r="N395" s="14">
        <f t="shared" si="49"/>
        <v>598.53499999999997</v>
      </c>
      <c r="O395" s="11" t="s">
        <v>27</v>
      </c>
      <c r="P395" s="11" t="s">
        <v>27</v>
      </c>
      <c r="Q395" s="11"/>
      <c r="R395" s="11">
        <v>10</v>
      </c>
      <c r="S395" s="11" t="s">
        <v>28</v>
      </c>
      <c r="T395" s="16" t="s">
        <v>44</v>
      </c>
    </row>
    <row r="396" spans="1:20" x14ac:dyDescent="0.25">
      <c r="A396" s="10">
        <v>45924</v>
      </c>
      <c r="B396" s="11">
        <v>130902</v>
      </c>
      <c r="C396" s="11" t="s">
        <v>44</v>
      </c>
      <c r="D396" s="11" t="s">
        <v>684</v>
      </c>
      <c r="E396" s="11" t="s">
        <v>63</v>
      </c>
      <c r="F396" s="11" t="s">
        <v>554</v>
      </c>
      <c r="G396" s="12">
        <v>48</v>
      </c>
      <c r="H396" s="13">
        <v>171.01</v>
      </c>
      <c r="I396" s="14">
        <f t="shared" si="51"/>
        <v>8208.48</v>
      </c>
      <c r="J396" s="15">
        <v>0.05</v>
      </c>
      <c r="K396" s="15">
        <f t="shared" si="50"/>
        <v>1.2500000000000001E-2</v>
      </c>
      <c r="L396" s="14" t="s">
        <v>46</v>
      </c>
      <c r="M396" s="14">
        <f t="shared" si="48"/>
        <v>410.42399999999998</v>
      </c>
      <c r="N396" s="14">
        <f t="shared" si="49"/>
        <v>102.60599999999999</v>
      </c>
      <c r="O396" s="11" t="s">
        <v>27</v>
      </c>
      <c r="P396" s="11" t="s">
        <v>27</v>
      </c>
      <c r="Q396" s="11"/>
      <c r="R396" s="11">
        <v>10</v>
      </c>
      <c r="S396" s="11" t="s">
        <v>28</v>
      </c>
      <c r="T396" s="16" t="s">
        <v>44</v>
      </c>
    </row>
    <row r="397" spans="1:20" x14ac:dyDescent="0.25">
      <c r="A397" s="10">
        <v>45924</v>
      </c>
      <c r="B397" s="11">
        <v>130902</v>
      </c>
      <c r="C397" s="11" t="s">
        <v>44</v>
      </c>
      <c r="D397" s="11" t="s">
        <v>684</v>
      </c>
      <c r="E397" s="11" t="s">
        <v>145</v>
      </c>
      <c r="F397" s="11" t="s">
        <v>554</v>
      </c>
      <c r="G397" s="12">
        <v>48</v>
      </c>
      <c r="H397" s="13">
        <v>171.01</v>
      </c>
      <c r="I397" s="14">
        <f t="shared" si="51"/>
        <v>8208.48</v>
      </c>
      <c r="J397" s="15">
        <v>0.05</v>
      </c>
      <c r="K397" s="15">
        <f t="shared" si="50"/>
        <v>1.2500000000000001E-2</v>
      </c>
      <c r="L397" s="14" t="s">
        <v>46</v>
      </c>
      <c r="M397" s="14">
        <f t="shared" si="48"/>
        <v>410.42399999999998</v>
      </c>
      <c r="N397" s="14">
        <f t="shared" si="49"/>
        <v>102.60599999999999</v>
      </c>
      <c r="O397" s="11" t="s">
        <v>27</v>
      </c>
      <c r="P397" s="11" t="s">
        <v>27</v>
      </c>
      <c r="Q397" s="11"/>
      <c r="R397" s="11">
        <v>10</v>
      </c>
      <c r="S397" s="11" t="s">
        <v>28</v>
      </c>
      <c r="T397" s="16" t="s">
        <v>44</v>
      </c>
    </row>
    <row r="398" spans="1:20" x14ac:dyDescent="0.25">
      <c r="A398" s="10">
        <v>45924</v>
      </c>
      <c r="B398" s="11">
        <v>130902</v>
      </c>
      <c r="C398" s="11" t="s">
        <v>44</v>
      </c>
      <c r="D398" s="11" t="s">
        <v>684</v>
      </c>
      <c r="E398" s="11" t="s">
        <v>47</v>
      </c>
      <c r="F398" s="11" t="s">
        <v>30</v>
      </c>
      <c r="G398" s="12">
        <v>12</v>
      </c>
      <c r="H398" s="13">
        <v>248.06</v>
      </c>
      <c r="I398" s="14">
        <f t="shared" si="51"/>
        <v>2976.7200000000003</v>
      </c>
      <c r="J398" s="15">
        <v>1</v>
      </c>
      <c r="K398" s="15">
        <f t="shared" si="50"/>
        <v>0.25</v>
      </c>
      <c r="L398" s="14" t="s">
        <v>46</v>
      </c>
      <c r="M398" s="14">
        <f t="shared" ref="M398:M429" si="52">(J398*I398)</f>
        <v>2976.7200000000003</v>
      </c>
      <c r="N398" s="14">
        <f t="shared" si="49"/>
        <v>744.18000000000006</v>
      </c>
      <c r="O398" s="11" t="s">
        <v>27</v>
      </c>
      <c r="P398" s="11" t="s">
        <v>27</v>
      </c>
      <c r="Q398" s="11"/>
      <c r="R398" s="11">
        <v>1</v>
      </c>
      <c r="S398" s="11" t="s">
        <v>28</v>
      </c>
      <c r="T398" s="16" t="s">
        <v>44</v>
      </c>
    </row>
    <row r="399" spans="1:20" x14ac:dyDescent="0.25">
      <c r="A399" s="10">
        <v>45924</v>
      </c>
      <c r="B399" s="11">
        <v>130902</v>
      </c>
      <c r="C399" s="11" t="s">
        <v>44</v>
      </c>
      <c r="D399" s="11" t="s">
        <v>684</v>
      </c>
      <c r="E399" s="11" t="s">
        <v>48</v>
      </c>
      <c r="F399" s="11" t="s">
        <v>30</v>
      </c>
      <c r="G399" s="12">
        <v>1</v>
      </c>
      <c r="H399" s="13">
        <v>300</v>
      </c>
      <c r="I399" s="14">
        <f t="shared" si="51"/>
        <v>300</v>
      </c>
      <c r="J399" s="15">
        <v>1</v>
      </c>
      <c r="K399" s="15">
        <f t="shared" si="50"/>
        <v>0.25</v>
      </c>
      <c r="L399" s="14" t="s">
        <v>46</v>
      </c>
      <c r="M399" s="14">
        <f t="shared" si="52"/>
        <v>300</v>
      </c>
      <c r="N399" s="14">
        <f t="shared" si="49"/>
        <v>75</v>
      </c>
      <c r="O399" s="11" t="s">
        <v>27</v>
      </c>
      <c r="P399" s="11" t="s">
        <v>27</v>
      </c>
      <c r="Q399" s="11"/>
      <c r="R399" s="11">
        <v>1</v>
      </c>
      <c r="S399" s="11" t="s">
        <v>28</v>
      </c>
      <c r="T399" s="16" t="s">
        <v>44</v>
      </c>
    </row>
    <row r="400" spans="1:20" x14ac:dyDescent="0.25">
      <c r="A400" s="10">
        <v>45924</v>
      </c>
      <c r="B400" s="11">
        <v>130902</v>
      </c>
      <c r="C400" s="11" t="s">
        <v>44</v>
      </c>
      <c r="D400" s="11" t="s">
        <v>684</v>
      </c>
      <c r="E400" s="11" t="s">
        <v>145</v>
      </c>
      <c r="F400" s="11" t="s">
        <v>30</v>
      </c>
      <c r="G400" s="12">
        <v>1</v>
      </c>
      <c r="H400" s="13">
        <v>300</v>
      </c>
      <c r="I400" s="14">
        <f t="shared" si="51"/>
        <v>300</v>
      </c>
      <c r="J400" s="15">
        <v>1</v>
      </c>
      <c r="K400" s="15">
        <f t="shared" si="50"/>
        <v>0.25</v>
      </c>
      <c r="L400" s="14" t="s">
        <v>46</v>
      </c>
      <c r="M400" s="14">
        <f t="shared" si="52"/>
        <v>300</v>
      </c>
      <c r="N400" s="14">
        <f t="shared" si="49"/>
        <v>75</v>
      </c>
      <c r="O400" s="11" t="s">
        <v>27</v>
      </c>
      <c r="P400" s="11" t="s">
        <v>27</v>
      </c>
      <c r="Q400" s="11"/>
      <c r="R400" s="11">
        <v>1</v>
      </c>
      <c r="S400" s="11" t="s">
        <v>28</v>
      </c>
      <c r="T400" s="16" t="s">
        <v>44</v>
      </c>
    </row>
    <row r="401" spans="1:20" x14ac:dyDescent="0.25">
      <c r="A401" s="10">
        <v>45924</v>
      </c>
      <c r="B401" s="11">
        <v>130902</v>
      </c>
      <c r="C401" s="11" t="s">
        <v>44</v>
      </c>
      <c r="D401" s="11" t="s">
        <v>684</v>
      </c>
      <c r="E401" s="11" t="s">
        <v>63</v>
      </c>
      <c r="F401" s="11" t="s">
        <v>30</v>
      </c>
      <c r="G401" s="12">
        <v>5</v>
      </c>
      <c r="H401" s="13">
        <v>83.3</v>
      </c>
      <c r="I401" s="14">
        <f t="shared" si="51"/>
        <v>416.5</v>
      </c>
      <c r="J401" s="15">
        <v>1</v>
      </c>
      <c r="K401" s="15">
        <f t="shared" si="50"/>
        <v>0.25</v>
      </c>
      <c r="L401" s="14" t="s">
        <v>46</v>
      </c>
      <c r="M401" s="14">
        <f t="shared" si="52"/>
        <v>416.5</v>
      </c>
      <c r="N401" s="14">
        <f t="shared" si="49"/>
        <v>104.125</v>
      </c>
      <c r="O401" s="11" t="s">
        <v>27</v>
      </c>
      <c r="P401" s="11" t="s">
        <v>27</v>
      </c>
      <c r="Q401" s="11"/>
      <c r="R401" s="11">
        <v>1</v>
      </c>
      <c r="S401" s="11" t="s">
        <v>28</v>
      </c>
      <c r="T401" s="16" t="s">
        <v>44</v>
      </c>
    </row>
    <row r="402" spans="1:20" x14ac:dyDescent="0.25">
      <c r="A402" s="10">
        <v>45924</v>
      </c>
      <c r="B402" s="11">
        <v>130677</v>
      </c>
      <c r="C402" s="11" t="s">
        <v>22</v>
      </c>
      <c r="D402" s="11" t="s">
        <v>685</v>
      </c>
      <c r="E402" s="11" t="s">
        <v>47</v>
      </c>
      <c r="F402" s="11" t="s">
        <v>554</v>
      </c>
      <c r="G402" s="12">
        <v>210</v>
      </c>
      <c r="H402" s="13">
        <v>190</v>
      </c>
      <c r="I402" s="14">
        <f t="shared" si="51"/>
        <v>39900</v>
      </c>
      <c r="J402" s="15">
        <v>7.0000000000000007E-2</v>
      </c>
      <c r="K402" s="15">
        <v>0</v>
      </c>
      <c r="L402" s="14" t="s">
        <v>46</v>
      </c>
      <c r="M402" s="14">
        <f t="shared" si="52"/>
        <v>2793.0000000000005</v>
      </c>
      <c r="N402" s="14">
        <f t="shared" si="49"/>
        <v>0</v>
      </c>
      <c r="O402" s="11" t="s">
        <v>27</v>
      </c>
      <c r="P402" s="11" t="s">
        <v>27</v>
      </c>
      <c r="Q402" s="11"/>
      <c r="R402" s="11">
        <v>8</v>
      </c>
      <c r="S402" s="11" t="s">
        <v>28</v>
      </c>
      <c r="T402" s="16" t="s">
        <v>22</v>
      </c>
    </row>
    <row r="403" spans="1:20" x14ac:dyDescent="0.25">
      <c r="A403" s="10">
        <v>45924</v>
      </c>
      <c r="B403" s="11">
        <v>130677</v>
      </c>
      <c r="C403" s="11" t="s">
        <v>22</v>
      </c>
      <c r="D403" s="11" t="s">
        <v>685</v>
      </c>
      <c r="E403" s="11" t="s">
        <v>63</v>
      </c>
      <c r="F403" s="11" t="s">
        <v>554</v>
      </c>
      <c r="G403" s="12">
        <v>40</v>
      </c>
      <c r="H403" s="13">
        <v>190</v>
      </c>
      <c r="I403" s="14">
        <f t="shared" si="51"/>
        <v>7600</v>
      </c>
      <c r="J403" s="15">
        <v>7.0000000000000007E-2</v>
      </c>
      <c r="K403" s="15">
        <v>0</v>
      </c>
      <c r="L403" s="14" t="s">
        <v>46</v>
      </c>
      <c r="M403" s="14">
        <f t="shared" si="52"/>
        <v>532</v>
      </c>
      <c r="N403" s="14">
        <f t="shared" si="49"/>
        <v>0</v>
      </c>
      <c r="O403" s="11" t="s">
        <v>27</v>
      </c>
      <c r="P403" s="11" t="s">
        <v>27</v>
      </c>
      <c r="Q403" s="11"/>
      <c r="R403" s="11">
        <v>8</v>
      </c>
      <c r="S403" s="11" t="s">
        <v>28</v>
      </c>
      <c r="T403" s="16" t="s">
        <v>22</v>
      </c>
    </row>
    <row r="404" spans="1:20" x14ac:dyDescent="0.25">
      <c r="A404" s="10">
        <v>45924</v>
      </c>
      <c r="B404" s="11">
        <v>130677</v>
      </c>
      <c r="C404" s="11" t="s">
        <v>22</v>
      </c>
      <c r="D404" s="11" t="s">
        <v>685</v>
      </c>
      <c r="E404" s="11" t="s">
        <v>47</v>
      </c>
      <c r="F404" s="11" t="s">
        <v>30</v>
      </c>
      <c r="G404" s="12">
        <v>5</v>
      </c>
      <c r="H404" s="13">
        <v>275.62</v>
      </c>
      <c r="I404" s="14">
        <f t="shared" si="51"/>
        <v>1378.1</v>
      </c>
      <c r="J404" s="15">
        <v>1</v>
      </c>
      <c r="K404" s="15">
        <v>0</v>
      </c>
      <c r="L404" s="14" t="s">
        <v>46</v>
      </c>
      <c r="M404" s="14">
        <f t="shared" si="52"/>
        <v>1378.1</v>
      </c>
      <c r="N404" s="14">
        <f t="shared" si="49"/>
        <v>0</v>
      </c>
      <c r="O404" s="11" t="s">
        <v>27</v>
      </c>
      <c r="P404" s="11" t="s">
        <v>27</v>
      </c>
      <c r="Q404" s="11"/>
      <c r="R404" s="11">
        <v>1</v>
      </c>
      <c r="S404" s="11" t="s">
        <v>28</v>
      </c>
      <c r="T404" s="16" t="s">
        <v>22</v>
      </c>
    </row>
    <row r="405" spans="1:20" x14ac:dyDescent="0.25">
      <c r="A405" s="10">
        <v>45924</v>
      </c>
      <c r="B405" s="11">
        <v>130677</v>
      </c>
      <c r="C405" s="11" t="s">
        <v>22</v>
      </c>
      <c r="D405" s="11" t="s">
        <v>685</v>
      </c>
      <c r="E405" s="11" t="s">
        <v>63</v>
      </c>
      <c r="F405" s="11" t="s">
        <v>30</v>
      </c>
      <c r="G405" s="12">
        <v>15</v>
      </c>
      <c r="H405" s="13">
        <v>98.6</v>
      </c>
      <c r="I405" s="14">
        <f t="shared" si="51"/>
        <v>1479</v>
      </c>
      <c r="J405" s="15">
        <v>1</v>
      </c>
      <c r="K405" s="15">
        <v>0</v>
      </c>
      <c r="L405" s="14" t="s">
        <v>46</v>
      </c>
      <c r="M405" s="14">
        <f t="shared" si="52"/>
        <v>1479</v>
      </c>
      <c r="N405" s="14">
        <f t="shared" si="49"/>
        <v>0</v>
      </c>
      <c r="O405" s="11" t="s">
        <v>27</v>
      </c>
      <c r="P405" s="11" t="s">
        <v>27</v>
      </c>
      <c r="Q405" s="11"/>
      <c r="R405" s="11">
        <v>1</v>
      </c>
      <c r="S405" s="11" t="s">
        <v>28</v>
      </c>
      <c r="T405" s="16" t="s">
        <v>22</v>
      </c>
    </row>
    <row r="406" spans="1:20" x14ac:dyDescent="0.25">
      <c r="A406" s="10">
        <v>45930</v>
      </c>
      <c r="B406" s="11">
        <v>78364</v>
      </c>
      <c r="C406" s="11" t="s">
        <v>44</v>
      </c>
      <c r="D406" s="11" t="s">
        <v>681</v>
      </c>
      <c r="E406" s="11" t="s">
        <v>24</v>
      </c>
      <c r="F406" s="11" t="s">
        <v>554</v>
      </c>
      <c r="G406" s="12">
        <v>240.75</v>
      </c>
      <c r="H406" s="13">
        <v>150.44999999999999</v>
      </c>
      <c r="I406" s="14">
        <f t="shared" si="51"/>
        <v>36220.837499999994</v>
      </c>
      <c r="J406" s="15">
        <v>0.01</v>
      </c>
      <c r="K406" s="15">
        <f t="shared" ref="K406:K439" si="53">J406*0.25</f>
        <v>2.5000000000000001E-3</v>
      </c>
      <c r="L406" s="14" t="s">
        <v>26</v>
      </c>
      <c r="M406" s="14">
        <f t="shared" si="52"/>
        <v>362.20837499999993</v>
      </c>
      <c r="N406" s="14">
        <f t="shared" si="49"/>
        <v>90.552093749999983</v>
      </c>
      <c r="O406" s="11" t="s">
        <v>597</v>
      </c>
      <c r="P406" s="11" t="s">
        <v>597</v>
      </c>
      <c r="Q406" s="11"/>
      <c r="R406" s="11">
        <v>12</v>
      </c>
      <c r="S406" s="11" t="s">
        <v>597</v>
      </c>
      <c r="T406" s="16" t="s">
        <v>44</v>
      </c>
    </row>
    <row r="407" spans="1:20" x14ac:dyDescent="0.25">
      <c r="A407" s="10">
        <v>45930</v>
      </c>
      <c r="B407" s="11">
        <v>105949</v>
      </c>
      <c r="C407" s="11" t="s">
        <v>44</v>
      </c>
      <c r="D407" s="11" t="s">
        <v>649</v>
      </c>
      <c r="E407" s="11" t="s">
        <v>24</v>
      </c>
      <c r="F407" s="11" t="s">
        <v>554</v>
      </c>
      <c r="G407" s="12">
        <v>30</v>
      </c>
      <c r="H407" s="13">
        <v>180.2</v>
      </c>
      <c r="I407" s="14">
        <f t="shared" si="51"/>
        <v>5406</v>
      </c>
      <c r="J407" s="15">
        <v>7.0000000000000007E-2</v>
      </c>
      <c r="K407" s="15">
        <f t="shared" si="53"/>
        <v>1.7500000000000002E-2</v>
      </c>
      <c r="L407" s="14" t="s">
        <v>26</v>
      </c>
      <c r="M407" s="14">
        <f t="shared" si="52"/>
        <v>378.42</v>
      </c>
      <c r="N407" s="14">
        <f t="shared" si="49"/>
        <v>94.605000000000004</v>
      </c>
      <c r="O407" s="11" t="s">
        <v>597</v>
      </c>
      <c r="P407" s="11" t="s">
        <v>597</v>
      </c>
      <c r="Q407" s="11"/>
      <c r="R407" s="11">
        <v>10</v>
      </c>
      <c r="S407" s="11" t="s">
        <v>597</v>
      </c>
      <c r="T407" s="16" t="s">
        <v>44</v>
      </c>
    </row>
    <row r="408" spans="1:20" x14ac:dyDescent="0.25">
      <c r="A408" s="18">
        <v>45930</v>
      </c>
      <c r="B408" s="11">
        <v>123185</v>
      </c>
      <c r="C408" s="11" t="s">
        <v>31</v>
      </c>
      <c r="D408" s="11" t="s">
        <v>146</v>
      </c>
      <c r="E408" s="11" t="s">
        <v>588</v>
      </c>
      <c r="F408" s="11" t="s">
        <v>30</v>
      </c>
      <c r="G408" s="12">
        <v>1</v>
      </c>
      <c r="H408" s="13">
        <v>356.4</v>
      </c>
      <c r="I408" s="14">
        <f t="shared" si="51"/>
        <v>356.4</v>
      </c>
      <c r="J408" s="15">
        <v>1</v>
      </c>
      <c r="K408" s="15">
        <f t="shared" si="53"/>
        <v>0.25</v>
      </c>
      <c r="L408" s="14" t="s">
        <v>26</v>
      </c>
      <c r="M408" s="14">
        <f t="shared" si="52"/>
        <v>356.4</v>
      </c>
      <c r="N408" s="14">
        <f t="shared" si="49"/>
        <v>89.1</v>
      </c>
      <c r="O408" s="11" t="s">
        <v>27</v>
      </c>
      <c r="P408" s="11" t="s">
        <v>27</v>
      </c>
      <c r="Q408" s="11"/>
      <c r="R408" s="11">
        <v>1</v>
      </c>
      <c r="S408" s="11" t="s">
        <v>28</v>
      </c>
      <c r="T408" s="16" t="s">
        <v>31</v>
      </c>
    </row>
    <row r="409" spans="1:20" x14ac:dyDescent="0.25">
      <c r="A409" s="10">
        <v>45936</v>
      </c>
      <c r="B409" s="11">
        <v>130453</v>
      </c>
      <c r="C409" s="11" t="s">
        <v>31</v>
      </c>
      <c r="D409" s="11" t="s">
        <v>674</v>
      </c>
      <c r="E409" s="11" t="s">
        <v>54</v>
      </c>
      <c r="F409" s="11" t="s">
        <v>30</v>
      </c>
      <c r="G409" s="12">
        <v>2</v>
      </c>
      <c r="H409" s="13">
        <v>142.56</v>
      </c>
      <c r="I409" s="14">
        <f t="shared" si="51"/>
        <v>285.12</v>
      </c>
      <c r="J409" s="15">
        <v>1</v>
      </c>
      <c r="K409" s="15">
        <f t="shared" si="53"/>
        <v>0.25</v>
      </c>
      <c r="L409" s="14" t="s">
        <v>26</v>
      </c>
      <c r="M409" s="14">
        <f t="shared" si="52"/>
        <v>285.12</v>
      </c>
      <c r="N409" s="14">
        <f t="shared" si="49"/>
        <v>71.28</v>
      </c>
      <c r="O409" s="11" t="s">
        <v>27</v>
      </c>
      <c r="P409" s="11" t="s">
        <v>27</v>
      </c>
      <c r="Q409" s="11"/>
      <c r="R409" s="11">
        <v>1</v>
      </c>
      <c r="S409" s="11" t="s">
        <v>28</v>
      </c>
      <c r="T409" s="16" t="s">
        <v>31</v>
      </c>
    </row>
    <row r="410" spans="1:20" x14ac:dyDescent="0.25">
      <c r="A410" s="10">
        <v>45936</v>
      </c>
      <c r="B410" s="11">
        <v>131408</v>
      </c>
      <c r="C410" s="11" t="s">
        <v>31</v>
      </c>
      <c r="D410" s="11" t="s">
        <v>596</v>
      </c>
      <c r="E410" s="11" t="s">
        <v>24</v>
      </c>
      <c r="F410" s="11" t="s">
        <v>554</v>
      </c>
      <c r="G410" s="12">
        <v>24</v>
      </c>
      <c r="H410" s="13">
        <v>210</v>
      </c>
      <c r="I410" s="14">
        <f t="shared" si="51"/>
        <v>5040</v>
      </c>
      <c r="J410" s="15">
        <v>7.0000000000000007E-2</v>
      </c>
      <c r="K410" s="15">
        <f t="shared" si="53"/>
        <v>1.7500000000000002E-2</v>
      </c>
      <c r="L410" s="14" t="s">
        <v>26</v>
      </c>
      <c r="M410" s="14">
        <f t="shared" si="52"/>
        <v>352.8</v>
      </c>
      <c r="N410" s="14">
        <f t="shared" si="49"/>
        <v>88.2</v>
      </c>
      <c r="O410" s="11" t="s">
        <v>597</v>
      </c>
      <c r="P410" s="11" t="s">
        <v>597</v>
      </c>
      <c r="Q410" s="11"/>
      <c r="R410" s="11">
        <v>6</v>
      </c>
      <c r="S410" s="11" t="s">
        <v>597</v>
      </c>
      <c r="T410" s="16" t="s">
        <v>31</v>
      </c>
    </row>
    <row r="411" spans="1:20" x14ac:dyDescent="0.25">
      <c r="A411" s="10">
        <v>45936</v>
      </c>
      <c r="B411" s="11">
        <v>127383</v>
      </c>
      <c r="C411" s="11" t="s">
        <v>31</v>
      </c>
      <c r="D411" s="11" t="s">
        <v>73</v>
      </c>
      <c r="E411" s="11" t="s">
        <v>24</v>
      </c>
      <c r="F411" s="11" t="s">
        <v>554</v>
      </c>
      <c r="G411" s="12">
        <v>8</v>
      </c>
      <c r="H411" s="13">
        <v>180</v>
      </c>
      <c r="I411" s="14">
        <f t="shared" si="51"/>
        <v>1440</v>
      </c>
      <c r="J411" s="15">
        <v>7.0000000000000007E-2</v>
      </c>
      <c r="K411" s="15">
        <f t="shared" si="53"/>
        <v>1.7500000000000002E-2</v>
      </c>
      <c r="L411" s="14" t="s">
        <v>26</v>
      </c>
      <c r="M411" s="14">
        <f t="shared" si="52"/>
        <v>100.80000000000001</v>
      </c>
      <c r="N411" s="14">
        <f t="shared" si="49"/>
        <v>25.200000000000003</v>
      </c>
      <c r="O411" s="11" t="s">
        <v>597</v>
      </c>
      <c r="P411" s="11" t="s">
        <v>597</v>
      </c>
      <c r="Q411" s="11"/>
      <c r="R411" s="11">
        <v>4</v>
      </c>
      <c r="S411" s="11" t="s">
        <v>597</v>
      </c>
      <c r="T411" s="16" t="s">
        <v>31</v>
      </c>
    </row>
    <row r="412" spans="1:20" x14ac:dyDescent="0.25">
      <c r="A412" s="10">
        <v>45936</v>
      </c>
      <c r="B412" s="11">
        <v>130953</v>
      </c>
      <c r="C412" s="11" t="s">
        <v>31</v>
      </c>
      <c r="D412" s="11" t="s">
        <v>127</v>
      </c>
      <c r="E412" s="11" t="s">
        <v>35</v>
      </c>
      <c r="F412" s="11" t="s">
        <v>35</v>
      </c>
      <c r="G412" s="12">
        <v>60</v>
      </c>
      <c r="H412" s="13">
        <v>176</v>
      </c>
      <c r="I412" s="14">
        <f t="shared" si="51"/>
        <v>10560</v>
      </c>
      <c r="J412" s="15">
        <v>0.01</v>
      </c>
      <c r="K412" s="15">
        <f t="shared" si="53"/>
        <v>2.5000000000000001E-3</v>
      </c>
      <c r="L412" s="14" t="s">
        <v>26</v>
      </c>
      <c r="M412" s="14">
        <f t="shared" si="52"/>
        <v>105.60000000000001</v>
      </c>
      <c r="N412" s="14">
        <f t="shared" si="49"/>
        <v>26.400000000000002</v>
      </c>
      <c r="O412" s="11" t="s">
        <v>597</v>
      </c>
      <c r="P412" s="11" t="s">
        <v>597</v>
      </c>
      <c r="Q412" s="11"/>
      <c r="R412" s="11">
        <v>3</v>
      </c>
      <c r="S412" s="11" t="s">
        <v>597</v>
      </c>
      <c r="T412" s="16" t="s">
        <v>31</v>
      </c>
    </row>
    <row r="413" spans="1:20" x14ac:dyDescent="0.25">
      <c r="A413" s="10">
        <v>45937</v>
      </c>
      <c r="B413" s="11">
        <v>131727</v>
      </c>
      <c r="C413" s="11" t="s">
        <v>31</v>
      </c>
      <c r="D413" s="11" t="s">
        <v>670</v>
      </c>
      <c r="E413" s="11" t="s">
        <v>24</v>
      </c>
      <c r="F413" s="11" t="s">
        <v>554</v>
      </c>
      <c r="G413" s="12">
        <v>4</v>
      </c>
      <c r="H413" s="13">
        <v>175</v>
      </c>
      <c r="I413" s="14">
        <f t="shared" si="51"/>
        <v>700</v>
      </c>
      <c r="J413" s="15">
        <v>5.8900000000000001E-2</v>
      </c>
      <c r="K413" s="15">
        <f t="shared" si="53"/>
        <v>1.4725E-2</v>
      </c>
      <c r="L413" s="14" t="s">
        <v>26</v>
      </c>
      <c r="M413" s="14">
        <f t="shared" si="52"/>
        <v>41.230000000000004</v>
      </c>
      <c r="N413" s="14">
        <f t="shared" si="49"/>
        <v>10.307500000000001</v>
      </c>
      <c r="O413" s="11" t="s">
        <v>597</v>
      </c>
      <c r="P413" s="11" t="s">
        <v>597</v>
      </c>
      <c r="Q413" s="11"/>
      <c r="R413" s="11">
        <v>1</v>
      </c>
      <c r="S413" s="11" t="s">
        <v>597</v>
      </c>
      <c r="T413" s="16" t="s">
        <v>31</v>
      </c>
    </row>
    <row r="414" spans="1:20" x14ac:dyDescent="0.25">
      <c r="A414" s="10">
        <v>45960</v>
      </c>
      <c r="B414" s="11">
        <v>129348</v>
      </c>
      <c r="C414" s="11" t="s">
        <v>31</v>
      </c>
      <c r="D414" s="11" t="s">
        <v>95</v>
      </c>
      <c r="E414" s="11" t="s">
        <v>24</v>
      </c>
      <c r="F414" s="11" t="s">
        <v>554</v>
      </c>
      <c r="G414" s="12">
        <v>40</v>
      </c>
      <c r="H414" s="13">
        <v>210</v>
      </c>
      <c r="I414" s="14">
        <f t="shared" si="51"/>
        <v>8400</v>
      </c>
      <c r="J414" s="15">
        <v>7.0000000000000007E-2</v>
      </c>
      <c r="K414" s="15">
        <f t="shared" si="53"/>
        <v>1.7500000000000002E-2</v>
      </c>
      <c r="L414" s="14" t="s">
        <v>26</v>
      </c>
      <c r="M414" s="14">
        <f t="shared" si="52"/>
        <v>588</v>
      </c>
      <c r="N414" s="14">
        <f t="shared" si="49"/>
        <v>147</v>
      </c>
      <c r="O414" s="11" t="s">
        <v>597</v>
      </c>
      <c r="P414" s="11" t="s">
        <v>597</v>
      </c>
      <c r="Q414" s="11"/>
      <c r="R414" s="11">
        <v>6</v>
      </c>
      <c r="S414" s="11" t="s">
        <v>597</v>
      </c>
      <c r="T414" s="16" t="s">
        <v>31</v>
      </c>
    </row>
    <row r="415" spans="1:20" x14ac:dyDescent="0.25">
      <c r="A415" s="10">
        <v>45954</v>
      </c>
      <c r="B415" s="11">
        <v>130827</v>
      </c>
      <c r="C415" s="11" t="s">
        <v>31</v>
      </c>
      <c r="D415" s="11" t="s">
        <v>34</v>
      </c>
      <c r="E415" s="11" t="s">
        <v>35</v>
      </c>
      <c r="F415" s="11" t="s">
        <v>35</v>
      </c>
      <c r="G415" s="12">
        <v>90</v>
      </c>
      <c r="H415" s="13">
        <v>158.4</v>
      </c>
      <c r="I415" s="14">
        <f t="shared" si="51"/>
        <v>14256</v>
      </c>
      <c r="J415" s="15">
        <v>7.0000000000000001E-3</v>
      </c>
      <c r="K415" s="15">
        <f t="shared" si="53"/>
        <v>1.75E-3</v>
      </c>
      <c r="L415" s="14" t="s">
        <v>26</v>
      </c>
      <c r="M415" s="14">
        <f t="shared" si="52"/>
        <v>99.792000000000002</v>
      </c>
      <c r="N415" s="14">
        <f t="shared" si="49"/>
        <v>24.948</v>
      </c>
      <c r="O415" s="11" t="s">
        <v>27</v>
      </c>
      <c r="P415" s="11" t="s">
        <v>27</v>
      </c>
      <c r="Q415" s="11"/>
      <c r="R415" s="11">
        <v>8</v>
      </c>
      <c r="S415" s="11" t="s">
        <v>28</v>
      </c>
      <c r="T415" s="16" t="s">
        <v>31</v>
      </c>
    </row>
    <row r="416" spans="1:20" x14ac:dyDescent="0.25">
      <c r="A416" s="10">
        <v>45954</v>
      </c>
      <c r="B416" s="11">
        <v>130827</v>
      </c>
      <c r="C416" s="11" t="s">
        <v>31</v>
      </c>
      <c r="D416" s="11" t="s">
        <v>34</v>
      </c>
      <c r="E416" s="11" t="s">
        <v>565</v>
      </c>
      <c r="F416" s="11" t="s">
        <v>35</v>
      </c>
      <c r="G416" s="12">
        <v>1</v>
      </c>
      <c r="H416" s="13">
        <v>641.61</v>
      </c>
      <c r="I416" s="14">
        <f t="shared" si="51"/>
        <v>641.61</v>
      </c>
      <c r="J416" s="15">
        <v>1</v>
      </c>
      <c r="K416" s="15">
        <f t="shared" si="53"/>
        <v>0.25</v>
      </c>
      <c r="L416" s="14" t="s">
        <v>26</v>
      </c>
      <c r="M416" s="14">
        <f t="shared" si="52"/>
        <v>641.61</v>
      </c>
      <c r="N416" s="14">
        <f t="shared" si="49"/>
        <v>160.4025</v>
      </c>
      <c r="O416" s="11" t="s">
        <v>27</v>
      </c>
      <c r="P416" s="11" t="s">
        <v>27</v>
      </c>
      <c r="Q416" s="11"/>
      <c r="R416" s="11">
        <v>1</v>
      </c>
      <c r="S416" s="11" t="s">
        <v>28</v>
      </c>
      <c r="T416" s="16" t="s">
        <v>31</v>
      </c>
    </row>
    <row r="417" spans="1:20" x14ac:dyDescent="0.25">
      <c r="A417" s="10">
        <v>45954</v>
      </c>
      <c r="B417" s="11">
        <v>132507</v>
      </c>
      <c r="C417" s="11" t="s">
        <v>31</v>
      </c>
      <c r="D417" s="11" t="s">
        <v>620</v>
      </c>
      <c r="E417" s="11" t="s">
        <v>102</v>
      </c>
      <c r="F417" s="11" t="s">
        <v>30</v>
      </c>
      <c r="G417" s="12">
        <v>1</v>
      </c>
      <c r="H417" s="13">
        <v>258.60000000000002</v>
      </c>
      <c r="I417" s="14">
        <f t="shared" si="51"/>
        <v>258.60000000000002</v>
      </c>
      <c r="J417" s="15">
        <v>1</v>
      </c>
      <c r="K417" s="15">
        <f t="shared" si="53"/>
        <v>0.25</v>
      </c>
      <c r="L417" s="14" t="s">
        <v>26</v>
      </c>
      <c r="M417" s="14">
        <f t="shared" si="52"/>
        <v>258.60000000000002</v>
      </c>
      <c r="N417" s="14">
        <f t="shared" si="49"/>
        <v>64.650000000000006</v>
      </c>
      <c r="O417" s="11" t="s">
        <v>597</v>
      </c>
      <c r="P417" s="11" t="s">
        <v>597</v>
      </c>
      <c r="Q417" s="11"/>
      <c r="R417" s="11">
        <v>1</v>
      </c>
      <c r="S417" s="11" t="s">
        <v>597</v>
      </c>
      <c r="T417" s="16" t="s">
        <v>31</v>
      </c>
    </row>
    <row r="418" spans="1:20" x14ac:dyDescent="0.25">
      <c r="A418" s="10">
        <v>45952</v>
      </c>
      <c r="B418" s="11">
        <v>132374</v>
      </c>
      <c r="C418" s="11" t="s">
        <v>31</v>
      </c>
      <c r="D418" s="11" t="s">
        <v>43</v>
      </c>
      <c r="E418" s="11" t="s">
        <v>54</v>
      </c>
      <c r="F418" s="11" t="s">
        <v>554</v>
      </c>
      <c r="G418" s="12">
        <v>120</v>
      </c>
      <c r="H418" s="13">
        <v>175</v>
      </c>
      <c r="I418" s="14">
        <f t="shared" si="51"/>
        <v>21000</v>
      </c>
      <c r="J418" s="15">
        <v>7.0000000000000007E-2</v>
      </c>
      <c r="K418" s="15">
        <f t="shared" si="53"/>
        <v>1.7500000000000002E-2</v>
      </c>
      <c r="L418" s="14" t="s">
        <v>26</v>
      </c>
      <c r="M418" s="14">
        <f t="shared" si="52"/>
        <v>1470.0000000000002</v>
      </c>
      <c r="N418" s="14">
        <f t="shared" si="49"/>
        <v>367.50000000000006</v>
      </c>
      <c r="O418" s="11" t="s">
        <v>27</v>
      </c>
      <c r="P418" s="11" t="s">
        <v>27</v>
      </c>
      <c r="Q418" s="11"/>
      <c r="R418" s="11">
        <v>10</v>
      </c>
      <c r="S418" s="11" t="s">
        <v>28</v>
      </c>
      <c r="T418" s="16" t="s">
        <v>31</v>
      </c>
    </row>
    <row r="419" spans="1:20" x14ac:dyDescent="0.25">
      <c r="A419" s="10">
        <v>45952</v>
      </c>
      <c r="B419" s="11">
        <v>132374</v>
      </c>
      <c r="C419" s="11" t="s">
        <v>31</v>
      </c>
      <c r="D419" s="11" t="s">
        <v>43</v>
      </c>
      <c r="E419" s="11" t="s">
        <v>54</v>
      </c>
      <c r="F419" s="11" t="s">
        <v>30</v>
      </c>
      <c r="G419" s="12">
        <v>4</v>
      </c>
      <c r="H419" s="13">
        <v>150</v>
      </c>
      <c r="I419" s="14">
        <f t="shared" si="51"/>
        <v>600</v>
      </c>
      <c r="J419" s="15">
        <v>1</v>
      </c>
      <c r="K419" s="15">
        <f t="shared" si="53"/>
        <v>0.25</v>
      </c>
      <c r="L419" s="14" t="s">
        <v>26</v>
      </c>
      <c r="M419" s="14">
        <f t="shared" si="52"/>
        <v>600</v>
      </c>
      <c r="N419" s="14">
        <f t="shared" si="49"/>
        <v>150</v>
      </c>
      <c r="O419" s="11" t="s">
        <v>27</v>
      </c>
      <c r="P419" s="11" t="s">
        <v>27</v>
      </c>
      <c r="Q419" s="11"/>
      <c r="R419" s="11">
        <v>1</v>
      </c>
      <c r="S419" s="11" t="s">
        <v>28</v>
      </c>
      <c r="T419" s="16" t="s">
        <v>31</v>
      </c>
    </row>
    <row r="420" spans="1:20" x14ac:dyDescent="0.25">
      <c r="A420" s="10">
        <v>45945</v>
      </c>
      <c r="B420" s="11">
        <v>131545</v>
      </c>
      <c r="C420" s="11" t="s">
        <v>31</v>
      </c>
      <c r="D420" s="11" t="s">
        <v>686</v>
      </c>
      <c r="E420" s="11" t="s">
        <v>35</v>
      </c>
      <c r="F420" s="11" t="s">
        <v>35</v>
      </c>
      <c r="G420" s="12">
        <v>2</v>
      </c>
      <c r="H420" s="13">
        <v>176</v>
      </c>
      <c r="I420" s="14">
        <f t="shared" si="51"/>
        <v>352</v>
      </c>
      <c r="J420" s="15">
        <v>0.01</v>
      </c>
      <c r="K420" s="15">
        <f t="shared" si="53"/>
        <v>2.5000000000000001E-3</v>
      </c>
      <c r="L420" s="14" t="s">
        <v>26</v>
      </c>
      <c r="M420" s="14">
        <f t="shared" si="52"/>
        <v>3.52</v>
      </c>
      <c r="N420" s="14">
        <f t="shared" si="49"/>
        <v>0.88</v>
      </c>
      <c r="O420" s="11" t="s">
        <v>597</v>
      </c>
      <c r="P420" s="11" t="s">
        <v>597</v>
      </c>
      <c r="Q420" s="11"/>
      <c r="R420" s="11">
        <v>1</v>
      </c>
      <c r="S420" s="11" t="s">
        <v>597</v>
      </c>
      <c r="T420" s="16" t="s">
        <v>31</v>
      </c>
    </row>
    <row r="421" spans="1:20" x14ac:dyDescent="0.25">
      <c r="A421" s="10">
        <v>45952</v>
      </c>
      <c r="B421" s="11">
        <v>132473</v>
      </c>
      <c r="C421" s="11" t="s">
        <v>31</v>
      </c>
      <c r="D421" s="11" t="s">
        <v>659</v>
      </c>
      <c r="E421" s="11" t="s">
        <v>54</v>
      </c>
      <c r="F421" s="11" t="s">
        <v>554</v>
      </c>
      <c r="G421" s="12">
        <v>48</v>
      </c>
      <c r="H421" s="13">
        <v>168</v>
      </c>
      <c r="I421" s="14">
        <f t="shared" si="51"/>
        <v>8064</v>
      </c>
      <c r="J421" s="15">
        <v>3.39E-2</v>
      </c>
      <c r="K421" s="15">
        <f t="shared" si="53"/>
        <v>8.4749999999999999E-3</v>
      </c>
      <c r="L421" s="14" t="s">
        <v>26</v>
      </c>
      <c r="M421" s="14">
        <f t="shared" si="52"/>
        <v>273.36959999999999</v>
      </c>
      <c r="N421" s="14">
        <f t="shared" si="49"/>
        <v>68.342399999999998</v>
      </c>
      <c r="O421" s="11" t="s">
        <v>27</v>
      </c>
      <c r="P421" s="11" t="s">
        <v>27</v>
      </c>
      <c r="Q421" s="11"/>
      <c r="R421" s="11">
        <v>1</v>
      </c>
      <c r="S421" s="11" t="s">
        <v>28</v>
      </c>
      <c r="T421" s="16" t="s">
        <v>31</v>
      </c>
    </row>
    <row r="422" spans="1:20" x14ac:dyDescent="0.25">
      <c r="A422" s="10">
        <v>45952</v>
      </c>
      <c r="B422" s="11">
        <v>132473</v>
      </c>
      <c r="C422" s="11" t="s">
        <v>31</v>
      </c>
      <c r="D422" s="11" t="s">
        <v>659</v>
      </c>
      <c r="E422" s="11" t="s">
        <v>54</v>
      </c>
      <c r="F422" s="11" t="s">
        <v>30</v>
      </c>
      <c r="G422" s="12">
        <v>1</v>
      </c>
      <c r="H422" s="13">
        <v>142.56</v>
      </c>
      <c r="I422" s="14">
        <f t="shared" ref="I422:I453" si="54">G422*H422</f>
        <v>142.56</v>
      </c>
      <c r="J422" s="15">
        <v>1</v>
      </c>
      <c r="K422" s="15">
        <f t="shared" si="53"/>
        <v>0.25</v>
      </c>
      <c r="L422" s="14" t="s">
        <v>26</v>
      </c>
      <c r="M422" s="14">
        <f t="shared" si="52"/>
        <v>142.56</v>
      </c>
      <c r="N422" s="14">
        <f t="shared" si="49"/>
        <v>35.64</v>
      </c>
      <c r="O422" s="11" t="s">
        <v>27</v>
      </c>
      <c r="P422" s="11" t="s">
        <v>27</v>
      </c>
      <c r="Q422" s="11"/>
      <c r="R422" s="11">
        <v>1</v>
      </c>
      <c r="S422" s="11" t="s">
        <v>28</v>
      </c>
      <c r="T422" s="16" t="s">
        <v>31</v>
      </c>
    </row>
    <row r="423" spans="1:20" x14ac:dyDescent="0.25">
      <c r="A423" s="10">
        <v>45952</v>
      </c>
      <c r="B423" s="11">
        <v>129544</v>
      </c>
      <c r="C423" s="11" t="s">
        <v>31</v>
      </c>
      <c r="D423" s="11" t="s">
        <v>621</v>
      </c>
      <c r="E423" s="11" t="s">
        <v>35</v>
      </c>
      <c r="F423" s="11" t="s">
        <v>35</v>
      </c>
      <c r="G423" s="12">
        <v>30</v>
      </c>
      <c r="H423" s="13">
        <v>176</v>
      </c>
      <c r="I423" s="14">
        <f t="shared" si="54"/>
        <v>5280</v>
      </c>
      <c r="J423" s="15">
        <v>0.01</v>
      </c>
      <c r="K423" s="15">
        <f t="shared" si="53"/>
        <v>2.5000000000000001E-3</v>
      </c>
      <c r="L423" s="14" t="s">
        <v>26</v>
      </c>
      <c r="M423" s="14">
        <f t="shared" si="52"/>
        <v>52.800000000000004</v>
      </c>
      <c r="N423" s="14">
        <f t="shared" si="49"/>
        <v>13.200000000000001</v>
      </c>
      <c r="O423" s="11" t="s">
        <v>597</v>
      </c>
      <c r="P423" s="11" t="s">
        <v>597</v>
      </c>
      <c r="Q423" s="11"/>
      <c r="R423" s="11">
        <v>3</v>
      </c>
      <c r="S423" s="11" t="s">
        <v>597</v>
      </c>
      <c r="T423" s="16" t="s">
        <v>31</v>
      </c>
    </row>
    <row r="424" spans="1:20" x14ac:dyDescent="0.25">
      <c r="A424" s="10">
        <v>45947</v>
      </c>
      <c r="B424" s="11">
        <v>126731</v>
      </c>
      <c r="C424" s="11" t="s">
        <v>31</v>
      </c>
      <c r="D424" s="11" t="s">
        <v>79</v>
      </c>
      <c r="E424" s="11" t="s">
        <v>35</v>
      </c>
      <c r="F424" s="11" t="s">
        <v>35</v>
      </c>
      <c r="G424" s="12">
        <v>4</v>
      </c>
      <c r="H424" s="13">
        <v>176</v>
      </c>
      <c r="I424" s="14">
        <f t="shared" si="54"/>
        <v>704</v>
      </c>
      <c r="J424" s="15">
        <v>0.01</v>
      </c>
      <c r="K424" s="15">
        <f t="shared" si="53"/>
        <v>2.5000000000000001E-3</v>
      </c>
      <c r="L424" s="14" t="s">
        <v>26</v>
      </c>
      <c r="M424" s="14">
        <f t="shared" si="52"/>
        <v>7.04</v>
      </c>
      <c r="N424" s="14">
        <f t="shared" si="49"/>
        <v>1.76</v>
      </c>
      <c r="O424" s="11" t="s">
        <v>597</v>
      </c>
      <c r="P424" s="11" t="s">
        <v>597</v>
      </c>
      <c r="Q424" s="11"/>
      <c r="R424" s="11">
        <v>2</v>
      </c>
      <c r="S424" s="11" t="s">
        <v>597</v>
      </c>
      <c r="T424" s="16" t="s">
        <v>31</v>
      </c>
    </row>
    <row r="425" spans="1:20" x14ac:dyDescent="0.25">
      <c r="A425" s="10">
        <v>45952</v>
      </c>
      <c r="B425" s="11">
        <v>131629</v>
      </c>
      <c r="C425" s="11" t="s">
        <v>31</v>
      </c>
      <c r="D425" s="11" t="s">
        <v>124</v>
      </c>
      <c r="E425" s="11" t="s">
        <v>35</v>
      </c>
      <c r="F425" s="11" t="s">
        <v>35</v>
      </c>
      <c r="G425" s="12">
        <v>2</v>
      </c>
      <c r="H425" s="13">
        <v>176</v>
      </c>
      <c r="I425" s="14">
        <f t="shared" si="54"/>
        <v>352</v>
      </c>
      <c r="J425" s="15">
        <v>0.01</v>
      </c>
      <c r="K425" s="15">
        <f t="shared" si="53"/>
        <v>2.5000000000000001E-3</v>
      </c>
      <c r="L425" s="14" t="s">
        <v>26</v>
      </c>
      <c r="M425" s="14">
        <f t="shared" si="52"/>
        <v>3.52</v>
      </c>
      <c r="N425" s="14">
        <f t="shared" si="49"/>
        <v>0.88</v>
      </c>
      <c r="O425" s="11" t="s">
        <v>597</v>
      </c>
      <c r="P425" s="11" t="s">
        <v>597</v>
      </c>
      <c r="Q425" s="11"/>
      <c r="R425" s="11">
        <v>1</v>
      </c>
      <c r="S425" s="11" t="s">
        <v>597</v>
      </c>
      <c r="T425" s="16" t="s">
        <v>31</v>
      </c>
    </row>
    <row r="426" spans="1:20" x14ac:dyDescent="0.25">
      <c r="A426" s="10">
        <v>45960</v>
      </c>
      <c r="B426" s="11">
        <v>132318</v>
      </c>
      <c r="C426" s="11" t="s">
        <v>31</v>
      </c>
      <c r="D426" s="11" t="s">
        <v>65</v>
      </c>
      <c r="E426" s="11" t="s">
        <v>35</v>
      </c>
      <c r="F426" s="11" t="s">
        <v>35</v>
      </c>
      <c r="G426" s="12">
        <v>5</v>
      </c>
      <c r="H426" s="13">
        <v>176</v>
      </c>
      <c r="I426" s="14">
        <f t="shared" si="54"/>
        <v>880</v>
      </c>
      <c r="J426" s="15">
        <v>0.01</v>
      </c>
      <c r="K426" s="15">
        <f t="shared" si="53"/>
        <v>2.5000000000000001E-3</v>
      </c>
      <c r="L426" s="14" t="s">
        <v>26</v>
      </c>
      <c r="M426" s="14">
        <f t="shared" si="52"/>
        <v>8.8000000000000007</v>
      </c>
      <c r="N426" s="14">
        <f t="shared" si="49"/>
        <v>2.2000000000000002</v>
      </c>
      <c r="O426" s="11" t="s">
        <v>597</v>
      </c>
      <c r="P426" s="11" t="s">
        <v>597</v>
      </c>
      <c r="Q426" s="11"/>
      <c r="R426" s="11">
        <v>1</v>
      </c>
      <c r="S426" s="11" t="s">
        <v>597</v>
      </c>
      <c r="T426" s="16" t="s">
        <v>31</v>
      </c>
    </row>
    <row r="427" spans="1:20" x14ac:dyDescent="0.25">
      <c r="A427" s="10">
        <v>45952</v>
      </c>
      <c r="B427" s="11">
        <v>131697</v>
      </c>
      <c r="C427" s="11" t="s">
        <v>31</v>
      </c>
      <c r="D427" s="11" t="s">
        <v>687</v>
      </c>
      <c r="E427" s="11" t="s">
        <v>35</v>
      </c>
      <c r="F427" s="11" t="s">
        <v>35</v>
      </c>
      <c r="G427" s="12">
        <v>24</v>
      </c>
      <c r="H427" s="13">
        <v>176</v>
      </c>
      <c r="I427" s="14">
        <f t="shared" si="54"/>
        <v>4224</v>
      </c>
      <c r="J427" s="15">
        <v>0.01</v>
      </c>
      <c r="K427" s="15">
        <f t="shared" si="53"/>
        <v>2.5000000000000001E-3</v>
      </c>
      <c r="L427" s="14" t="s">
        <v>26</v>
      </c>
      <c r="M427" s="14">
        <f t="shared" si="52"/>
        <v>42.24</v>
      </c>
      <c r="N427" s="14">
        <f t="shared" si="49"/>
        <v>10.56</v>
      </c>
      <c r="O427" s="11" t="s">
        <v>597</v>
      </c>
      <c r="P427" s="11" t="s">
        <v>597</v>
      </c>
      <c r="Q427" s="11"/>
      <c r="R427" s="11">
        <v>3</v>
      </c>
      <c r="S427" s="11" t="s">
        <v>597</v>
      </c>
      <c r="T427" s="16" t="s">
        <v>31</v>
      </c>
    </row>
    <row r="428" spans="1:20" x14ac:dyDescent="0.25">
      <c r="A428" s="10">
        <v>45952</v>
      </c>
      <c r="B428" s="11">
        <v>123063</v>
      </c>
      <c r="C428" s="11" t="s">
        <v>31</v>
      </c>
      <c r="D428" s="11" t="s">
        <v>77</v>
      </c>
      <c r="E428" s="11" t="s">
        <v>35</v>
      </c>
      <c r="F428" s="11" t="s">
        <v>35</v>
      </c>
      <c r="G428" s="12">
        <v>3</v>
      </c>
      <c r="H428" s="13">
        <v>176</v>
      </c>
      <c r="I428" s="14">
        <f t="shared" si="54"/>
        <v>528</v>
      </c>
      <c r="J428" s="15">
        <v>0.01</v>
      </c>
      <c r="K428" s="15">
        <f t="shared" si="53"/>
        <v>2.5000000000000001E-3</v>
      </c>
      <c r="L428" s="14" t="s">
        <v>26</v>
      </c>
      <c r="M428" s="14">
        <f t="shared" si="52"/>
        <v>5.28</v>
      </c>
      <c r="N428" s="14">
        <f t="shared" si="49"/>
        <v>1.32</v>
      </c>
      <c r="O428" s="11" t="s">
        <v>597</v>
      </c>
      <c r="P428" s="11" t="s">
        <v>597</v>
      </c>
      <c r="Q428" s="11"/>
      <c r="R428" s="11">
        <v>1</v>
      </c>
      <c r="S428" s="11" t="s">
        <v>597</v>
      </c>
      <c r="T428" s="16" t="s">
        <v>31</v>
      </c>
    </row>
    <row r="429" spans="1:20" x14ac:dyDescent="0.25">
      <c r="A429" s="10">
        <v>45960</v>
      </c>
      <c r="B429" s="11">
        <v>132857</v>
      </c>
      <c r="C429" s="11" t="s">
        <v>31</v>
      </c>
      <c r="D429" s="11" t="s">
        <v>75</v>
      </c>
      <c r="E429" s="11" t="s">
        <v>35</v>
      </c>
      <c r="F429" s="11" t="s">
        <v>35</v>
      </c>
      <c r="G429" s="12">
        <v>2</v>
      </c>
      <c r="H429" s="13">
        <v>176</v>
      </c>
      <c r="I429" s="14">
        <f t="shared" si="54"/>
        <v>352</v>
      </c>
      <c r="J429" s="15">
        <v>0.01</v>
      </c>
      <c r="K429" s="15">
        <f t="shared" si="53"/>
        <v>2.5000000000000001E-3</v>
      </c>
      <c r="L429" s="14" t="s">
        <v>26</v>
      </c>
      <c r="M429" s="14">
        <f t="shared" si="52"/>
        <v>3.52</v>
      </c>
      <c r="N429" s="14">
        <f t="shared" si="49"/>
        <v>0.88</v>
      </c>
      <c r="O429" s="11" t="s">
        <v>597</v>
      </c>
      <c r="P429" s="11" t="s">
        <v>597</v>
      </c>
      <c r="Q429" s="11"/>
      <c r="R429" s="11">
        <v>1</v>
      </c>
      <c r="S429" s="11" t="s">
        <v>597</v>
      </c>
      <c r="T429" s="16" t="s">
        <v>31</v>
      </c>
    </row>
    <row r="430" spans="1:20" x14ac:dyDescent="0.25">
      <c r="A430" s="10">
        <v>45944</v>
      </c>
      <c r="B430" s="11">
        <v>131729</v>
      </c>
      <c r="C430" s="11" t="s">
        <v>31</v>
      </c>
      <c r="D430" s="11" t="s">
        <v>688</v>
      </c>
      <c r="E430" s="11" t="s">
        <v>35</v>
      </c>
      <c r="F430" s="11" t="s">
        <v>35</v>
      </c>
      <c r="G430" s="12">
        <v>40</v>
      </c>
      <c r="H430" s="13">
        <v>176</v>
      </c>
      <c r="I430" s="14">
        <f t="shared" si="54"/>
        <v>7040</v>
      </c>
      <c r="J430" s="15">
        <v>0.01</v>
      </c>
      <c r="K430" s="15">
        <f t="shared" si="53"/>
        <v>2.5000000000000001E-3</v>
      </c>
      <c r="L430" s="14" t="s">
        <v>26</v>
      </c>
      <c r="M430" s="14">
        <f t="shared" ref="M430:M461" si="55">(J430*I430)</f>
        <v>70.400000000000006</v>
      </c>
      <c r="N430" s="14">
        <f t="shared" si="49"/>
        <v>17.600000000000001</v>
      </c>
      <c r="O430" s="11" t="s">
        <v>597</v>
      </c>
      <c r="P430" s="11" t="s">
        <v>597</v>
      </c>
      <c r="Q430" s="11"/>
      <c r="R430" s="11">
        <v>3</v>
      </c>
      <c r="S430" s="11" t="s">
        <v>597</v>
      </c>
      <c r="T430" s="16" t="s">
        <v>31</v>
      </c>
    </row>
    <row r="431" spans="1:20" x14ac:dyDescent="0.25">
      <c r="A431" s="10">
        <v>45944</v>
      </c>
      <c r="B431" s="11">
        <v>131933</v>
      </c>
      <c r="C431" s="11" t="s">
        <v>31</v>
      </c>
      <c r="D431" s="11" t="s">
        <v>631</v>
      </c>
      <c r="E431" s="11" t="s">
        <v>35</v>
      </c>
      <c r="F431" s="11" t="s">
        <v>35</v>
      </c>
      <c r="G431" s="12">
        <v>52</v>
      </c>
      <c r="H431" s="13">
        <v>176</v>
      </c>
      <c r="I431" s="14">
        <f t="shared" si="54"/>
        <v>9152</v>
      </c>
      <c r="J431" s="15">
        <v>0.01</v>
      </c>
      <c r="K431" s="15">
        <f t="shared" si="53"/>
        <v>2.5000000000000001E-3</v>
      </c>
      <c r="L431" s="14" t="s">
        <v>26</v>
      </c>
      <c r="M431" s="14">
        <f t="shared" si="55"/>
        <v>91.52</v>
      </c>
      <c r="N431" s="14">
        <f t="shared" si="49"/>
        <v>22.88</v>
      </c>
      <c r="O431" s="11" t="s">
        <v>597</v>
      </c>
      <c r="P431" s="11" t="s">
        <v>597</v>
      </c>
      <c r="Q431" s="11"/>
      <c r="R431" s="11">
        <v>3</v>
      </c>
      <c r="S431" s="11" t="s">
        <v>597</v>
      </c>
      <c r="T431" s="16" t="s">
        <v>31</v>
      </c>
    </row>
    <row r="432" spans="1:20" x14ac:dyDescent="0.25">
      <c r="A432" s="10">
        <v>45952</v>
      </c>
      <c r="B432" s="11">
        <v>132623</v>
      </c>
      <c r="C432" s="11" t="s">
        <v>44</v>
      </c>
      <c r="D432" s="11" t="s">
        <v>681</v>
      </c>
      <c r="E432" s="11" t="s">
        <v>40</v>
      </c>
      <c r="F432" s="11" t="s">
        <v>41</v>
      </c>
      <c r="G432" s="12">
        <v>1</v>
      </c>
      <c r="H432" s="13">
        <v>1472.9</v>
      </c>
      <c r="I432" s="14">
        <f t="shared" si="54"/>
        <v>1472.9</v>
      </c>
      <c r="J432" s="15">
        <v>1.38E-2</v>
      </c>
      <c r="K432" s="15">
        <f t="shared" si="53"/>
        <v>3.4499999999999999E-3</v>
      </c>
      <c r="L432" s="14" t="s">
        <v>26</v>
      </c>
      <c r="M432" s="14">
        <f t="shared" si="55"/>
        <v>20.32602</v>
      </c>
      <c r="N432" s="14">
        <f t="shared" si="49"/>
        <v>5.0815049999999999</v>
      </c>
      <c r="O432" s="11" t="s">
        <v>597</v>
      </c>
      <c r="P432" s="11" t="s">
        <v>597</v>
      </c>
      <c r="Q432" s="11"/>
      <c r="R432" s="11">
        <v>12</v>
      </c>
      <c r="S432" s="11" t="s">
        <v>597</v>
      </c>
      <c r="T432" s="16" t="s">
        <v>44</v>
      </c>
    </row>
    <row r="433" spans="1:20" x14ac:dyDescent="0.25">
      <c r="A433" s="10">
        <v>45952</v>
      </c>
      <c r="B433" s="11">
        <v>132623</v>
      </c>
      <c r="C433" s="11" t="s">
        <v>44</v>
      </c>
      <c r="D433" s="11" t="s">
        <v>681</v>
      </c>
      <c r="E433" s="11" t="s">
        <v>24</v>
      </c>
      <c r="F433" s="11" t="s">
        <v>554</v>
      </c>
      <c r="G433" s="12">
        <v>159</v>
      </c>
      <c r="H433" s="13">
        <v>150</v>
      </c>
      <c r="I433" s="14">
        <f t="shared" si="54"/>
        <v>23850</v>
      </c>
      <c r="J433" s="15">
        <v>1.38E-2</v>
      </c>
      <c r="K433" s="15">
        <f t="shared" si="53"/>
        <v>3.4499999999999999E-3</v>
      </c>
      <c r="L433" s="14" t="s">
        <v>26</v>
      </c>
      <c r="M433" s="14">
        <f t="shared" si="55"/>
        <v>329.13</v>
      </c>
      <c r="N433" s="14">
        <f t="shared" si="49"/>
        <v>82.282499999999999</v>
      </c>
      <c r="O433" s="11" t="s">
        <v>597</v>
      </c>
      <c r="P433" s="11" t="s">
        <v>597</v>
      </c>
      <c r="Q433" s="11"/>
      <c r="R433" s="11">
        <v>12</v>
      </c>
      <c r="S433" s="11" t="s">
        <v>597</v>
      </c>
      <c r="T433" s="16" t="s">
        <v>44</v>
      </c>
    </row>
    <row r="434" spans="1:20" x14ac:dyDescent="0.25">
      <c r="A434" s="10">
        <v>45952</v>
      </c>
      <c r="B434" s="11">
        <v>129205</v>
      </c>
      <c r="C434" s="11" t="s">
        <v>31</v>
      </c>
      <c r="D434" s="11" t="s">
        <v>681</v>
      </c>
      <c r="E434" s="11" t="s">
        <v>35</v>
      </c>
      <c r="F434" s="11" t="s">
        <v>35</v>
      </c>
      <c r="G434" s="12">
        <v>100</v>
      </c>
      <c r="H434" s="13">
        <v>176</v>
      </c>
      <c r="I434" s="14">
        <f t="shared" si="54"/>
        <v>17600</v>
      </c>
      <c r="J434" s="15">
        <v>0.01</v>
      </c>
      <c r="K434" s="15">
        <f t="shared" si="53"/>
        <v>2.5000000000000001E-3</v>
      </c>
      <c r="L434" s="14" t="s">
        <v>26</v>
      </c>
      <c r="M434" s="14">
        <f t="shared" si="55"/>
        <v>176</v>
      </c>
      <c r="N434" s="14">
        <f t="shared" si="49"/>
        <v>44</v>
      </c>
      <c r="O434" s="11" t="s">
        <v>597</v>
      </c>
      <c r="P434" s="11" t="s">
        <v>597</v>
      </c>
      <c r="Q434" s="11"/>
      <c r="R434" s="11">
        <v>12</v>
      </c>
      <c r="S434" s="11" t="s">
        <v>597</v>
      </c>
      <c r="T434" s="16" t="s">
        <v>31</v>
      </c>
    </row>
    <row r="435" spans="1:20" x14ac:dyDescent="0.25">
      <c r="A435" s="19">
        <v>45946</v>
      </c>
      <c r="B435" s="11">
        <v>116031</v>
      </c>
      <c r="C435" s="11" t="s">
        <v>44</v>
      </c>
      <c r="D435" s="11" t="s">
        <v>105</v>
      </c>
      <c r="E435" s="11" t="s">
        <v>24</v>
      </c>
      <c r="F435" s="11" t="s">
        <v>554</v>
      </c>
      <c r="G435" s="12">
        <v>85</v>
      </c>
      <c r="H435" s="13">
        <v>162.44999999999999</v>
      </c>
      <c r="I435" s="14">
        <f t="shared" si="54"/>
        <v>13808.249999999998</v>
      </c>
      <c r="J435" s="15">
        <v>0.05</v>
      </c>
      <c r="K435" s="15">
        <f t="shared" si="53"/>
        <v>1.2500000000000001E-2</v>
      </c>
      <c r="L435" s="14" t="s">
        <v>26</v>
      </c>
      <c r="M435" s="14">
        <f t="shared" si="55"/>
        <v>690.41249999999991</v>
      </c>
      <c r="N435" s="14">
        <f t="shared" si="49"/>
        <v>172.60312499999998</v>
      </c>
      <c r="O435" s="11" t="s">
        <v>597</v>
      </c>
      <c r="P435" s="11" t="s">
        <v>597</v>
      </c>
      <c r="Q435" s="11"/>
      <c r="R435" s="11">
        <v>8</v>
      </c>
      <c r="S435" s="11" t="s">
        <v>597</v>
      </c>
      <c r="T435" s="16" t="s">
        <v>44</v>
      </c>
    </row>
    <row r="436" spans="1:20" x14ac:dyDescent="0.25">
      <c r="A436" s="10">
        <v>45968</v>
      </c>
      <c r="B436" s="11">
        <v>118061</v>
      </c>
      <c r="C436" s="11" t="s">
        <v>44</v>
      </c>
      <c r="D436" s="11" t="s">
        <v>140</v>
      </c>
      <c r="E436" s="11" t="s">
        <v>40</v>
      </c>
      <c r="F436" s="11" t="s">
        <v>41</v>
      </c>
      <c r="G436" s="12">
        <v>1</v>
      </c>
      <c r="H436" s="13">
        <v>3307.14</v>
      </c>
      <c r="I436" s="14">
        <f t="shared" si="54"/>
        <v>3307.14</v>
      </c>
      <c r="J436" s="15">
        <v>7.0000000000000007E-2</v>
      </c>
      <c r="K436" s="15">
        <f t="shared" si="53"/>
        <v>1.7500000000000002E-2</v>
      </c>
      <c r="L436" s="14" t="s">
        <v>26</v>
      </c>
      <c r="M436" s="14">
        <f t="shared" si="55"/>
        <v>231.49980000000002</v>
      </c>
      <c r="N436" s="14">
        <f t="shared" si="49"/>
        <v>57.874950000000005</v>
      </c>
      <c r="O436" s="11" t="s">
        <v>27</v>
      </c>
      <c r="P436" s="11" t="s">
        <v>27</v>
      </c>
      <c r="Q436" s="11"/>
      <c r="R436" s="11">
        <v>6</v>
      </c>
      <c r="S436" s="11" t="s">
        <v>28</v>
      </c>
      <c r="T436" s="16" t="s">
        <v>44</v>
      </c>
    </row>
    <row r="437" spans="1:20" x14ac:dyDescent="0.25">
      <c r="A437" s="10">
        <v>45965</v>
      </c>
      <c r="B437" s="11">
        <v>133158</v>
      </c>
      <c r="C437" s="11" t="s">
        <v>31</v>
      </c>
      <c r="D437" s="11" t="s">
        <v>80</v>
      </c>
      <c r="E437" s="11" t="s">
        <v>24</v>
      </c>
      <c r="F437" s="11" t="s">
        <v>554</v>
      </c>
      <c r="G437" s="12">
        <v>16</v>
      </c>
      <c r="H437" s="13">
        <v>180</v>
      </c>
      <c r="I437" s="14">
        <f t="shared" si="54"/>
        <v>2880</v>
      </c>
      <c r="J437" s="15">
        <v>7.0000000000000007E-2</v>
      </c>
      <c r="K437" s="15">
        <f t="shared" si="53"/>
        <v>1.7500000000000002E-2</v>
      </c>
      <c r="L437" s="14" t="s">
        <v>26</v>
      </c>
      <c r="M437" s="14">
        <f t="shared" si="55"/>
        <v>201.60000000000002</v>
      </c>
      <c r="N437" s="14">
        <f t="shared" si="49"/>
        <v>50.400000000000006</v>
      </c>
      <c r="O437" s="11" t="s">
        <v>597</v>
      </c>
      <c r="P437" s="11" t="s">
        <v>597</v>
      </c>
      <c r="Q437" s="11"/>
      <c r="R437" s="11">
        <v>1</v>
      </c>
      <c r="S437" s="11" t="s">
        <v>597</v>
      </c>
      <c r="T437" s="16" t="s">
        <v>31</v>
      </c>
    </row>
    <row r="438" spans="1:20" x14ac:dyDescent="0.25">
      <c r="A438" s="10">
        <v>45966</v>
      </c>
      <c r="B438" s="11">
        <v>133293</v>
      </c>
      <c r="C438" s="11" t="s">
        <v>31</v>
      </c>
      <c r="D438" s="11" t="s">
        <v>635</v>
      </c>
      <c r="E438" s="11" t="s">
        <v>24</v>
      </c>
      <c r="F438" s="11" t="s">
        <v>554</v>
      </c>
      <c r="G438" s="12">
        <v>2</v>
      </c>
      <c r="H438" s="13">
        <v>189</v>
      </c>
      <c r="I438" s="14">
        <f t="shared" si="54"/>
        <v>378</v>
      </c>
      <c r="J438" s="15">
        <v>7.0000000000000007E-2</v>
      </c>
      <c r="K438" s="15">
        <f t="shared" si="53"/>
        <v>1.7500000000000002E-2</v>
      </c>
      <c r="L438" s="14" t="s">
        <v>26</v>
      </c>
      <c r="M438" s="14">
        <f t="shared" si="55"/>
        <v>26.46</v>
      </c>
      <c r="N438" s="14">
        <f t="shared" ref="N438:N472" si="56">I438*K438</f>
        <v>6.6150000000000002</v>
      </c>
      <c r="O438" s="11" t="s">
        <v>597</v>
      </c>
      <c r="P438" s="11" t="s">
        <v>597</v>
      </c>
      <c r="Q438" s="11"/>
      <c r="R438" s="11">
        <v>1</v>
      </c>
      <c r="S438" s="11" t="s">
        <v>597</v>
      </c>
      <c r="T438" s="16" t="s">
        <v>31</v>
      </c>
    </row>
    <row r="439" spans="1:20" x14ac:dyDescent="0.25">
      <c r="A439" s="10">
        <v>45974</v>
      </c>
      <c r="B439" s="11">
        <v>123445</v>
      </c>
      <c r="C439" s="11" t="s">
        <v>44</v>
      </c>
      <c r="D439" s="11" t="s">
        <v>648</v>
      </c>
      <c r="E439" s="11" t="s">
        <v>653</v>
      </c>
      <c r="F439" s="11" t="s">
        <v>30</v>
      </c>
      <c r="G439" s="12">
        <v>1</v>
      </c>
      <c r="H439" s="13">
        <v>356.4</v>
      </c>
      <c r="I439" s="14">
        <f t="shared" si="54"/>
        <v>356.4</v>
      </c>
      <c r="J439" s="15">
        <v>1</v>
      </c>
      <c r="K439" s="15">
        <f t="shared" si="53"/>
        <v>0.25</v>
      </c>
      <c r="L439" s="14" t="s">
        <v>26</v>
      </c>
      <c r="M439" s="14">
        <f t="shared" si="55"/>
        <v>356.4</v>
      </c>
      <c r="N439" s="14">
        <f t="shared" si="56"/>
        <v>89.1</v>
      </c>
      <c r="O439" s="11" t="s">
        <v>27</v>
      </c>
      <c r="P439" s="11" t="s">
        <v>27</v>
      </c>
      <c r="Q439" s="11"/>
      <c r="R439" s="11">
        <v>1</v>
      </c>
      <c r="S439" s="11" t="s">
        <v>28</v>
      </c>
      <c r="T439" s="16" t="s">
        <v>44</v>
      </c>
    </row>
    <row r="440" spans="1:20" x14ac:dyDescent="0.25">
      <c r="A440" s="10">
        <v>45975</v>
      </c>
      <c r="B440" s="11">
        <v>125596</v>
      </c>
      <c r="C440" s="11" t="s">
        <v>22</v>
      </c>
      <c r="D440" s="11" t="s">
        <v>67</v>
      </c>
      <c r="E440" s="11" t="s">
        <v>40</v>
      </c>
      <c r="F440" s="11" t="s">
        <v>41</v>
      </c>
      <c r="G440" s="12">
        <v>1</v>
      </c>
      <c r="H440" s="13">
        <v>2010.12</v>
      </c>
      <c r="I440" s="14">
        <f t="shared" si="54"/>
        <v>2010.12</v>
      </c>
      <c r="J440" s="15">
        <v>7.0000000000000007E-2</v>
      </c>
      <c r="K440" s="15">
        <v>0</v>
      </c>
      <c r="L440" s="14" t="s">
        <v>26</v>
      </c>
      <c r="M440" s="14">
        <f t="shared" si="55"/>
        <v>140.70840000000001</v>
      </c>
      <c r="N440" s="14">
        <f t="shared" si="56"/>
        <v>0</v>
      </c>
      <c r="O440" s="11" t="s">
        <v>27</v>
      </c>
      <c r="P440" s="11" t="s">
        <v>27</v>
      </c>
      <c r="Q440" s="11"/>
      <c r="R440" s="11">
        <v>6</v>
      </c>
      <c r="S440" s="11" t="s">
        <v>28</v>
      </c>
      <c r="T440" s="16" t="s">
        <v>22</v>
      </c>
    </row>
    <row r="441" spans="1:20" x14ac:dyDescent="0.25">
      <c r="A441" s="10">
        <v>45975</v>
      </c>
      <c r="B441" s="11">
        <v>133844</v>
      </c>
      <c r="C441" s="11" t="s">
        <v>22</v>
      </c>
      <c r="D441" s="11" t="s">
        <v>689</v>
      </c>
      <c r="E441" s="11" t="s">
        <v>40</v>
      </c>
      <c r="F441" s="11" t="s">
        <v>41</v>
      </c>
      <c r="G441" s="12">
        <v>1</v>
      </c>
      <c r="H441" s="13">
        <v>1202.8800000000001</v>
      </c>
      <c r="I441" s="14">
        <f t="shared" si="54"/>
        <v>1202.8800000000001</v>
      </c>
      <c r="J441" s="15">
        <v>7.0000000000000007E-2</v>
      </c>
      <c r="K441" s="15">
        <v>0</v>
      </c>
      <c r="L441" s="14" t="s">
        <v>26</v>
      </c>
      <c r="M441" s="14">
        <f t="shared" si="55"/>
        <v>84.201600000000013</v>
      </c>
      <c r="N441" s="14">
        <f t="shared" si="56"/>
        <v>0</v>
      </c>
      <c r="O441" s="11" t="s">
        <v>27</v>
      </c>
      <c r="P441" s="11" t="s">
        <v>27</v>
      </c>
      <c r="Q441" s="11"/>
      <c r="R441" s="11">
        <v>4</v>
      </c>
      <c r="S441" s="11" t="s">
        <v>28</v>
      </c>
      <c r="T441" s="16" t="s">
        <v>22</v>
      </c>
    </row>
    <row r="442" spans="1:20" x14ac:dyDescent="0.25">
      <c r="A442" s="10">
        <v>45975</v>
      </c>
      <c r="B442" s="11">
        <v>133844</v>
      </c>
      <c r="C442" s="11" t="s">
        <v>22</v>
      </c>
      <c r="D442" s="11" t="s">
        <v>689</v>
      </c>
      <c r="E442" s="11" t="s">
        <v>40</v>
      </c>
      <c r="F442" s="11" t="s">
        <v>554</v>
      </c>
      <c r="G442" s="12">
        <v>16</v>
      </c>
      <c r="H442" s="13">
        <v>190</v>
      </c>
      <c r="I442" s="14">
        <f t="shared" si="54"/>
        <v>3040</v>
      </c>
      <c r="J442" s="15">
        <v>7.0000000000000007E-2</v>
      </c>
      <c r="K442" s="15">
        <v>0</v>
      </c>
      <c r="L442" s="14" t="s">
        <v>26</v>
      </c>
      <c r="M442" s="14">
        <f t="shared" si="55"/>
        <v>212.8</v>
      </c>
      <c r="N442" s="14">
        <f t="shared" si="56"/>
        <v>0</v>
      </c>
      <c r="O442" s="11" t="s">
        <v>27</v>
      </c>
      <c r="P442" s="11" t="s">
        <v>27</v>
      </c>
      <c r="Q442" s="11"/>
      <c r="R442" s="11">
        <v>4</v>
      </c>
      <c r="S442" s="11" t="s">
        <v>28</v>
      </c>
      <c r="T442" s="16" t="s">
        <v>22</v>
      </c>
    </row>
    <row r="443" spans="1:20" x14ac:dyDescent="0.25">
      <c r="A443" s="10">
        <v>45975</v>
      </c>
      <c r="B443" s="11">
        <v>133849</v>
      </c>
      <c r="C443" s="11" t="s">
        <v>31</v>
      </c>
      <c r="D443" s="11" t="s">
        <v>649</v>
      </c>
      <c r="E443" s="11" t="s">
        <v>54</v>
      </c>
      <c r="F443" s="11" t="s">
        <v>30</v>
      </c>
      <c r="G443" s="12">
        <v>2</v>
      </c>
      <c r="H443" s="13">
        <v>142.56</v>
      </c>
      <c r="I443" s="14">
        <f t="shared" si="54"/>
        <v>285.12</v>
      </c>
      <c r="J443" s="15">
        <v>1</v>
      </c>
      <c r="K443" s="15">
        <f t="shared" ref="K443:K461" si="57">J443*0.25</f>
        <v>0.25</v>
      </c>
      <c r="L443" s="14" t="s">
        <v>26</v>
      </c>
      <c r="M443" s="14">
        <f t="shared" si="55"/>
        <v>285.12</v>
      </c>
      <c r="N443" s="14">
        <f t="shared" si="56"/>
        <v>71.28</v>
      </c>
      <c r="O443" s="11" t="s">
        <v>27</v>
      </c>
      <c r="P443" s="11" t="s">
        <v>27</v>
      </c>
      <c r="Q443" s="11"/>
      <c r="R443" s="11">
        <v>1</v>
      </c>
      <c r="S443" s="11" t="s">
        <v>28</v>
      </c>
      <c r="T443" s="16" t="s">
        <v>31</v>
      </c>
    </row>
    <row r="444" spans="1:20" x14ac:dyDescent="0.25">
      <c r="A444" s="10">
        <v>45985</v>
      </c>
      <c r="B444" s="11">
        <v>134074</v>
      </c>
      <c r="C444" s="11" t="s">
        <v>31</v>
      </c>
      <c r="D444" s="11" t="s">
        <v>93</v>
      </c>
      <c r="E444" s="11" t="s">
        <v>40</v>
      </c>
      <c r="F444" s="11" t="s">
        <v>41</v>
      </c>
      <c r="G444" s="12">
        <v>1</v>
      </c>
      <c r="H444" s="13">
        <v>8388.2199999999993</v>
      </c>
      <c r="I444" s="14">
        <f t="shared" si="54"/>
        <v>8388.2199999999993</v>
      </c>
      <c r="J444" s="15">
        <v>7.0000000000000007E-2</v>
      </c>
      <c r="K444" s="15">
        <f t="shared" si="57"/>
        <v>1.7500000000000002E-2</v>
      </c>
      <c r="L444" s="14" t="s">
        <v>26</v>
      </c>
      <c r="M444" s="14">
        <f t="shared" si="55"/>
        <v>587.17539999999997</v>
      </c>
      <c r="N444" s="14">
        <f t="shared" si="56"/>
        <v>146.79384999999999</v>
      </c>
      <c r="O444" s="11" t="s">
        <v>27</v>
      </c>
      <c r="P444" s="11" t="s">
        <v>27</v>
      </c>
      <c r="Q444" s="11"/>
      <c r="R444" s="11">
        <v>10</v>
      </c>
      <c r="S444" s="11" t="s">
        <v>28</v>
      </c>
      <c r="T444" s="16" t="s">
        <v>31</v>
      </c>
    </row>
    <row r="445" spans="1:20" x14ac:dyDescent="0.25">
      <c r="A445" s="10">
        <v>45985</v>
      </c>
      <c r="B445" s="11">
        <v>133330</v>
      </c>
      <c r="C445" s="11" t="s">
        <v>31</v>
      </c>
      <c r="D445" s="11" t="s">
        <v>57</v>
      </c>
      <c r="E445" s="11" t="s">
        <v>35</v>
      </c>
      <c r="F445" s="11" t="s">
        <v>35</v>
      </c>
      <c r="G445" s="12">
        <v>18</v>
      </c>
      <c r="H445" s="13">
        <v>176</v>
      </c>
      <c r="I445" s="14">
        <f t="shared" si="54"/>
        <v>3168</v>
      </c>
      <c r="J445" s="15">
        <v>0.01</v>
      </c>
      <c r="K445" s="15">
        <f t="shared" si="57"/>
        <v>2.5000000000000001E-3</v>
      </c>
      <c r="L445" s="14" t="s">
        <v>26</v>
      </c>
      <c r="M445" s="14">
        <f t="shared" si="55"/>
        <v>31.68</v>
      </c>
      <c r="N445" s="14">
        <f t="shared" si="56"/>
        <v>7.92</v>
      </c>
      <c r="O445" s="11" t="s">
        <v>597</v>
      </c>
      <c r="P445" s="11" t="s">
        <v>597</v>
      </c>
      <c r="Q445" s="11"/>
      <c r="R445" s="11">
        <v>3</v>
      </c>
      <c r="S445" s="11" t="s">
        <v>597</v>
      </c>
      <c r="T445" s="16" t="s">
        <v>31</v>
      </c>
    </row>
    <row r="446" spans="1:20" x14ac:dyDescent="0.25">
      <c r="A446" s="10">
        <v>45985</v>
      </c>
      <c r="B446" s="11">
        <v>131368</v>
      </c>
      <c r="C446" s="11" t="s">
        <v>31</v>
      </c>
      <c r="D446" s="11" t="s">
        <v>690</v>
      </c>
      <c r="E446" s="11" t="s">
        <v>35</v>
      </c>
      <c r="F446" s="11" t="s">
        <v>35</v>
      </c>
      <c r="G446" s="12">
        <v>44</v>
      </c>
      <c r="H446" s="13">
        <v>140.80000000000001</v>
      </c>
      <c r="I446" s="14">
        <f t="shared" si="54"/>
        <v>6195.2000000000007</v>
      </c>
      <c r="J446" s="15">
        <v>5.0000000000000001E-3</v>
      </c>
      <c r="K446" s="15">
        <f t="shared" si="57"/>
        <v>1.25E-3</v>
      </c>
      <c r="L446" s="14" t="s">
        <v>26</v>
      </c>
      <c r="M446" s="14">
        <f t="shared" si="55"/>
        <v>30.976000000000003</v>
      </c>
      <c r="N446" s="14">
        <f t="shared" si="56"/>
        <v>7.7440000000000007</v>
      </c>
      <c r="O446" s="11" t="s">
        <v>597</v>
      </c>
      <c r="P446" s="11" t="s">
        <v>597</v>
      </c>
      <c r="Q446" s="11"/>
      <c r="R446" s="11">
        <v>3</v>
      </c>
      <c r="S446" s="11" t="s">
        <v>597</v>
      </c>
      <c r="T446" s="16" t="s">
        <v>31</v>
      </c>
    </row>
    <row r="447" spans="1:20" x14ac:dyDescent="0.25">
      <c r="A447" s="10">
        <v>45985</v>
      </c>
      <c r="B447" s="11">
        <v>129535</v>
      </c>
      <c r="C447" s="11" t="s">
        <v>31</v>
      </c>
      <c r="D447" s="11" t="s">
        <v>108</v>
      </c>
      <c r="E447" s="11" t="s">
        <v>35</v>
      </c>
      <c r="F447" s="11" t="s">
        <v>35</v>
      </c>
      <c r="G447" s="12">
        <v>36</v>
      </c>
      <c r="H447" s="13">
        <v>158.4</v>
      </c>
      <c r="I447" s="14">
        <f t="shared" si="54"/>
        <v>5702.4000000000005</v>
      </c>
      <c r="J447" s="15">
        <v>7.0000000000000001E-3</v>
      </c>
      <c r="K447" s="15">
        <f t="shared" si="57"/>
        <v>1.75E-3</v>
      </c>
      <c r="L447" s="14" t="s">
        <v>26</v>
      </c>
      <c r="M447" s="14">
        <f t="shared" si="55"/>
        <v>39.916800000000002</v>
      </c>
      <c r="N447" s="14">
        <f t="shared" si="56"/>
        <v>9.9792000000000005</v>
      </c>
      <c r="O447" s="11" t="s">
        <v>597</v>
      </c>
      <c r="P447" s="11" t="s">
        <v>597</v>
      </c>
      <c r="Q447" s="11"/>
      <c r="R447" s="11">
        <v>1</v>
      </c>
      <c r="S447" s="11" t="s">
        <v>597</v>
      </c>
      <c r="T447" s="16" t="s">
        <v>31</v>
      </c>
    </row>
    <row r="448" spans="1:20" x14ac:dyDescent="0.25">
      <c r="A448" s="10">
        <v>45985</v>
      </c>
      <c r="B448" s="11">
        <v>130968</v>
      </c>
      <c r="C448" s="11" t="s">
        <v>31</v>
      </c>
      <c r="D448" s="11" t="s">
        <v>604</v>
      </c>
      <c r="E448" s="11" t="s">
        <v>35</v>
      </c>
      <c r="F448" s="11" t="s">
        <v>35</v>
      </c>
      <c r="G448" s="12">
        <v>20</v>
      </c>
      <c r="H448" s="13">
        <v>176</v>
      </c>
      <c r="I448" s="14">
        <f t="shared" si="54"/>
        <v>3520</v>
      </c>
      <c r="J448" s="15">
        <v>0.01</v>
      </c>
      <c r="K448" s="15">
        <f t="shared" si="57"/>
        <v>2.5000000000000001E-3</v>
      </c>
      <c r="L448" s="14" t="s">
        <v>26</v>
      </c>
      <c r="M448" s="14">
        <f t="shared" si="55"/>
        <v>35.200000000000003</v>
      </c>
      <c r="N448" s="14">
        <f t="shared" si="56"/>
        <v>8.8000000000000007</v>
      </c>
      <c r="O448" s="11" t="s">
        <v>597</v>
      </c>
      <c r="P448" s="11" t="s">
        <v>597</v>
      </c>
      <c r="Q448" s="11"/>
      <c r="R448" s="11">
        <v>3</v>
      </c>
      <c r="S448" s="11" t="s">
        <v>597</v>
      </c>
      <c r="T448" s="16" t="s">
        <v>31</v>
      </c>
    </row>
    <row r="449" spans="1:20" x14ac:dyDescent="0.25">
      <c r="A449" s="10">
        <v>45985</v>
      </c>
      <c r="B449" s="11">
        <v>125265</v>
      </c>
      <c r="C449" s="11" t="s">
        <v>31</v>
      </c>
      <c r="D449" s="11" t="s">
        <v>659</v>
      </c>
      <c r="E449" s="11" t="s">
        <v>35</v>
      </c>
      <c r="F449" s="11" t="s">
        <v>35</v>
      </c>
      <c r="G449" s="12">
        <v>3</v>
      </c>
      <c r="H449" s="13">
        <v>176</v>
      </c>
      <c r="I449" s="14">
        <f t="shared" si="54"/>
        <v>528</v>
      </c>
      <c r="J449" s="15">
        <v>0.01</v>
      </c>
      <c r="K449" s="15">
        <f t="shared" si="57"/>
        <v>2.5000000000000001E-3</v>
      </c>
      <c r="L449" s="14" t="s">
        <v>26</v>
      </c>
      <c r="M449" s="14">
        <f t="shared" si="55"/>
        <v>5.28</v>
      </c>
      <c r="N449" s="14">
        <f t="shared" si="56"/>
        <v>1.32</v>
      </c>
      <c r="O449" s="11" t="s">
        <v>597</v>
      </c>
      <c r="P449" s="11" t="s">
        <v>597</v>
      </c>
      <c r="Q449" s="11"/>
      <c r="R449" s="11">
        <v>3</v>
      </c>
      <c r="S449" s="11" t="s">
        <v>597</v>
      </c>
      <c r="T449" s="16" t="s">
        <v>31</v>
      </c>
    </row>
    <row r="450" spans="1:20" x14ac:dyDescent="0.25">
      <c r="A450" s="10">
        <v>45985</v>
      </c>
      <c r="B450" s="11">
        <v>126986</v>
      </c>
      <c r="C450" s="11" t="s">
        <v>31</v>
      </c>
      <c r="D450" s="11" t="s">
        <v>647</v>
      </c>
      <c r="E450" s="11" t="s">
        <v>35</v>
      </c>
      <c r="F450" s="11" t="s">
        <v>35</v>
      </c>
      <c r="G450" s="12">
        <v>1</v>
      </c>
      <c r="H450" s="13">
        <v>176</v>
      </c>
      <c r="I450" s="14">
        <f t="shared" si="54"/>
        <v>176</v>
      </c>
      <c r="J450" s="15">
        <v>0.01</v>
      </c>
      <c r="K450" s="15">
        <f t="shared" si="57"/>
        <v>2.5000000000000001E-3</v>
      </c>
      <c r="L450" s="14" t="s">
        <v>26</v>
      </c>
      <c r="M450" s="14">
        <f t="shared" si="55"/>
        <v>1.76</v>
      </c>
      <c r="N450" s="14">
        <f t="shared" si="56"/>
        <v>0.44</v>
      </c>
      <c r="O450" s="11" t="s">
        <v>597</v>
      </c>
      <c r="P450" s="11" t="s">
        <v>597</v>
      </c>
      <c r="Q450" s="11"/>
      <c r="R450" s="11">
        <v>1</v>
      </c>
      <c r="S450" s="11" t="s">
        <v>597</v>
      </c>
      <c r="T450" s="16" t="s">
        <v>31</v>
      </c>
    </row>
    <row r="451" spans="1:20" x14ac:dyDescent="0.25">
      <c r="A451" s="10">
        <v>45985</v>
      </c>
      <c r="B451" s="11">
        <v>133489</v>
      </c>
      <c r="C451" s="11" t="s">
        <v>31</v>
      </c>
      <c r="D451" s="11" t="s">
        <v>614</v>
      </c>
      <c r="E451" s="11" t="s">
        <v>35</v>
      </c>
      <c r="F451" s="11" t="s">
        <v>35</v>
      </c>
      <c r="G451" s="12">
        <v>5</v>
      </c>
      <c r="H451" s="13">
        <v>176</v>
      </c>
      <c r="I451" s="14">
        <f t="shared" si="54"/>
        <v>880</v>
      </c>
      <c r="J451" s="15">
        <v>0.01</v>
      </c>
      <c r="K451" s="15">
        <f t="shared" si="57"/>
        <v>2.5000000000000001E-3</v>
      </c>
      <c r="L451" s="14" t="s">
        <v>26</v>
      </c>
      <c r="M451" s="14">
        <f t="shared" si="55"/>
        <v>8.8000000000000007</v>
      </c>
      <c r="N451" s="14">
        <f t="shared" si="56"/>
        <v>2.2000000000000002</v>
      </c>
      <c r="O451" s="11" t="s">
        <v>597</v>
      </c>
      <c r="P451" s="11" t="s">
        <v>597</v>
      </c>
      <c r="Q451" s="11"/>
      <c r="R451" s="11">
        <v>1</v>
      </c>
      <c r="S451" s="11" t="s">
        <v>597</v>
      </c>
      <c r="T451" s="16" t="s">
        <v>31</v>
      </c>
    </row>
    <row r="452" spans="1:20" x14ac:dyDescent="0.25">
      <c r="A452" s="10">
        <v>45985</v>
      </c>
      <c r="B452" s="11">
        <v>129318</v>
      </c>
      <c r="C452" s="11" t="s">
        <v>31</v>
      </c>
      <c r="D452" s="11" t="s">
        <v>688</v>
      </c>
      <c r="E452" s="11" t="s">
        <v>35</v>
      </c>
      <c r="F452" s="11" t="s">
        <v>35</v>
      </c>
      <c r="G452" s="12">
        <v>32</v>
      </c>
      <c r="H452" s="13">
        <v>176</v>
      </c>
      <c r="I452" s="14">
        <f t="shared" si="54"/>
        <v>5632</v>
      </c>
      <c r="J452" s="15">
        <v>0.01</v>
      </c>
      <c r="K452" s="15">
        <f t="shared" si="57"/>
        <v>2.5000000000000001E-3</v>
      </c>
      <c r="L452" s="14" t="s">
        <v>26</v>
      </c>
      <c r="M452" s="14">
        <f t="shared" si="55"/>
        <v>56.32</v>
      </c>
      <c r="N452" s="14">
        <f t="shared" si="56"/>
        <v>14.08</v>
      </c>
      <c r="O452" s="11" t="s">
        <v>597</v>
      </c>
      <c r="P452" s="11" t="s">
        <v>597</v>
      </c>
      <c r="Q452" s="11"/>
      <c r="R452" s="11">
        <v>1</v>
      </c>
      <c r="S452" s="11" t="s">
        <v>597</v>
      </c>
      <c r="T452" s="16" t="s">
        <v>31</v>
      </c>
    </row>
    <row r="453" spans="1:20" x14ac:dyDescent="0.25">
      <c r="A453" s="10">
        <v>45985</v>
      </c>
      <c r="B453" s="11">
        <v>133447</v>
      </c>
      <c r="C453" s="11" t="s">
        <v>31</v>
      </c>
      <c r="D453" s="11" t="s">
        <v>688</v>
      </c>
      <c r="E453" s="11" t="s">
        <v>35</v>
      </c>
      <c r="F453" s="11" t="s">
        <v>35</v>
      </c>
      <c r="G453" s="12">
        <v>30</v>
      </c>
      <c r="H453" s="13">
        <v>176</v>
      </c>
      <c r="I453" s="14">
        <f t="shared" si="54"/>
        <v>5280</v>
      </c>
      <c r="J453" s="15">
        <v>0.01</v>
      </c>
      <c r="K453" s="15">
        <f t="shared" si="57"/>
        <v>2.5000000000000001E-3</v>
      </c>
      <c r="L453" s="14" t="s">
        <v>26</v>
      </c>
      <c r="M453" s="14">
        <f t="shared" si="55"/>
        <v>52.800000000000004</v>
      </c>
      <c r="N453" s="14">
        <f t="shared" si="56"/>
        <v>13.200000000000001</v>
      </c>
      <c r="O453" s="11" t="s">
        <v>597</v>
      </c>
      <c r="P453" s="11" t="s">
        <v>597</v>
      </c>
      <c r="Q453" s="11"/>
      <c r="R453" s="11">
        <v>3</v>
      </c>
      <c r="S453" s="11" t="s">
        <v>597</v>
      </c>
      <c r="T453" s="16" t="s">
        <v>31</v>
      </c>
    </row>
    <row r="454" spans="1:20" x14ac:dyDescent="0.25">
      <c r="A454" s="10">
        <v>45985</v>
      </c>
      <c r="B454" s="11">
        <v>130516</v>
      </c>
      <c r="C454" s="11" t="s">
        <v>31</v>
      </c>
      <c r="D454" s="11" t="s">
        <v>58</v>
      </c>
      <c r="E454" s="11" t="s">
        <v>35</v>
      </c>
      <c r="F454" s="11" t="s">
        <v>35</v>
      </c>
      <c r="G454" s="12">
        <v>16</v>
      </c>
      <c r="H454" s="13">
        <v>176</v>
      </c>
      <c r="I454" s="14">
        <f t="shared" ref="I454:I472" si="58">G454*H454</f>
        <v>2816</v>
      </c>
      <c r="J454" s="15">
        <v>0.01</v>
      </c>
      <c r="K454" s="15">
        <f t="shared" si="57"/>
        <v>2.5000000000000001E-3</v>
      </c>
      <c r="L454" s="14" t="s">
        <v>26</v>
      </c>
      <c r="M454" s="14">
        <f t="shared" si="55"/>
        <v>28.16</v>
      </c>
      <c r="N454" s="14">
        <f t="shared" si="56"/>
        <v>7.04</v>
      </c>
      <c r="O454" s="11" t="s">
        <v>597</v>
      </c>
      <c r="P454" s="11" t="s">
        <v>597</v>
      </c>
      <c r="Q454" s="11"/>
      <c r="R454" s="11">
        <v>3</v>
      </c>
      <c r="S454" s="11" t="s">
        <v>597</v>
      </c>
      <c r="T454" s="16" t="s">
        <v>31</v>
      </c>
    </row>
    <row r="455" spans="1:20" x14ac:dyDescent="0.25">
      <c r="A455" s="10">
        <v>45985</v>
      </c>
      <c r="B455" s="11">
        <v>132888</v>
      </c>
      <c r="C455" s="11" t="s">
        <v>31</v>
      </c>
      <c r="D455" s="11" t="s">
        <v>58</v>
      </c>
      <c r="E455" s="11" t="s">
        <v>35</v>
      </c>
      <c r="F455" s="11" t="s">
        <v>35</v>
      </c>
      <c r="G455" s="12">
        <v>6</v>
      </c>
      <c r="H455" s="13">
        <v>158.33000000000001</v>
      </c>
      <c r="I455" s="14">
        <f t="shared" si="58"/>
        <v>949.98</v>
      </c>
      <c r="J455" s="15">
        <v>0.01</v>
      </c>
      <c r="K455" s="15">
        <f t="shared" si="57"/>
        <v>2.5000000000000001E-3</v>
      </c>
      <c r="L455" s="14" t="s">
        <v>26</v>
      </c>
      <c r="M455" s="14">
        <f t="shared" si="55"/>
        <v>9.4998000000000005</v>
      </c>
      <c r="N455" s="14">
        <f t="shared" si="56"/>
        <v>2.3749500000000001</v>
      </c>
      <c r="O455" s="11" t="s">
        <v>597</v>
      </c>
      <c r="P455" s="11" t="s">
        <v>597</v>
      </c>
      <c r="Q455" s="11"/>
      <c r="R455" s="11">
        <v>3</v>
      </c>
      <c r="S455" s="11" t="s">
        <v>597</v>
      </c>
      <c r="T455" s="16" t="s">
        <v>31</v>
      </c>
    </row>
    <row r="456" spans="1:20" x14ac:dyDescent="0.25">
      <c r="A456" s="18">
        <v>45988</v>
      </c>
      <c r="B456" s="11" t="s">
        <v>691</v>
      </c>
      <c r="C456" s="11" t="s">
        <v>31</v>
      </c>
      <c r="D456" s="11" t="s">
        <v>79</v>
      </c>
      <c r="E456" s="11" t="s">
        <v>35</v>
      </c>
      <c r="F456" s="11" t="s">
        <v>35</v>
      </c>
      <c r="G456" s="12">
        <v>24</v>
      </c>
      <c r="H456" s="13">
        <v>145.83000000000001</v>
      </c>
      <c r="I456" s="14">
        <f t="shared" si="58"/>
        <v>3499.92</v>
      </c>
      <c r="J456" s="15">
        <v>5.4999999999999997E-3</v>
      </c>
      <c r="K456" s="15">
        <f t="shared" si="57"/>
        <v>1.3749999999999999E-3</v>
      </c>
      <c r="L456" s="14" t="s">
        <v>26</v>
      </c>
      <c r="M456" s="14">
        <f t="shared" si="55"/>
        <v>19.249559999999999</v>
      </c>
      <c r="N456" s="14">
        <f t="shared" si="56"/>
        <v>4.8123899999999997</v>
      </c>
      <c r="O456" s="11" t="s">
        <v>597</v>
      </c>
      <c r="P456" s="11" t="s">
        <v>597</v>
      </c>
      <c r="Q456" s="11"/>
      <c r="R456" s="11">
        <v>1</v>
      </c>
      <c r="S456" s="11" t="s">
        <v>597</v>
      </c>
      <c r="T456" s="16" t="s">
        <v>31</v>
      </c>
    </row>
    <row r="457" spans="1:20" x14ac:dyDescent="0.25">
      <c r="A457" s="10">
        <v>45992</v>
      </c>
      <c r="B457" s="11">
        <v>132905</v>
      </c>
      <c r="C457" s="11" t="s">
        <v>31</v>
      </c>
      <c r="D457" s="11" t="s">
        <v>692</v>
      </c>
      <c r="E457" s="11" t="s">
        <v>47</v>
      </c>
      <c r="F457" s="11" t="s">
        <v>554</v>
      </c>
      <c r="G457" s="12">
        <v>220</v>
      </c>
      <c r="H457" s="13">
        <v>210</v>
      </c>
      <c r="I457" s="14">
        <f t="shared" si="58"/>
        <v>46200</v>
      </c>
      <c r="J457" s="15">
        <v>3.5000000000000003E-2</v>
      </c>
      <c r="K457" s="15">
        <f t="shared" si="57"/>
        <v>8.7500000000000008E-3</v>
      </c>
      <c r="L457" s="14" t="s">
        <v>46</v>
      </c>
      <c r="M457" s="14">
        <f t="shared" si="55"/>
        <v>1617.0000000000002</v>
      </c>
      <c r="N457" s="14">
        <f t="shared" si="56"/>
        <v>404.25000000000006</v>
      </c>
      <c r="O457" s="11" t="s">
        <v>27</v>
      </c>
      <c r="P457" s="11" t="s">
        <v>27</v>
      </c>
      <c r="Q457" s="11"/>
      <c r="R457" s="11">
        <v>3</v>
      </c>
      <c r="S457" s="11" t="s">
        <v>28</v>
      </c>
      <c r="T457" s="16" t="s">
        <v>31</v>
      </c>
    </row>
    <row r="458" spans="1:20" x14ac:dyDescent="0.25">
      <c r="A458" s="10">
        <v>45992</v>
      </c>
      <c r="B458" s="11">
        <v>132905</v>
      </c>
      <c r="C458" s="11" t="s">
        <v>31</v>
      </c>
      <c r="D458" s="11" t="s">
        <v>692</v>
      </c>
      <c r="E458" s="11" t="s">
        <v>40</v>
      </c>
      <c r="F458" s="11" t="s">
        <v>41</v>
      </c>
      <c r="G458" s="12">
        <v>1</v>
      </c>
      <c r="H458" s="13">
        <v>18000</v>
      </c>
      <c r="I458" s="14">
        <f t="shared" si="58"/>
        <v>18000</v>
      </c>
      <c r="J458" s="15">
        <v>3.5000000000000003E-2</v>
      </c>
      <c r="K458" s="15">
        <f t="shared" si="57"/>
        <v>8.7500000000000008E-3</v>
      </c>
      <c r="L458" s="14" t="s">
        <v>46</v>
      </c>
      <c r="M458" s="14">
        <f t="shared" si="55"/>
        <v>630.00000000000011</v>
      </c>
      <c r="N458" s="14">
        <f t="shared" si="56"/>
        <v>157.50000000000003</v>
      </c>
      <c r="O458" s="11" t="s">
        <v>27</v>
      </c>
      <c r="P458" s="11" t="s">
        <v>27</v>
      </c>
      <c r="Q458" s="11"/>
      <c r="R458" s="11">
        <v>3</v>
      </c>
      <c r="S458" s="11" t="s">
        <v>28</v>
      </c>
      <c r="T458" s="16" t="s">
        <v>31</v>
      </c>
    </row>
    <row r="459" spans="1:20" x14ac:dyDescent="0.25">
      <c r="A459" s="10">
        <v>45992</v>
      </c>
      <c r="B459" s="11">
        <v>132905</v>
      </c>
      <c r="C459" s="11" t="s">
        <v>31</v>
      </c>
      <c r="D459" s="11" t="s">
        <v>692</v>
      </c>
      <c r="E459" s="11" t="s">
        <v>47</v>
      </c>
      <c r="F459" s="11" t="s">
        <v>30</v>
      </c>
      <c r="G459" s="12">
        <v>8</v>
      </c>
      <c r="H459" s="13">
        <v>231.8</v>
      </c>
      <c r="I459" s="14">
        <f t="shared" si="58"/>
        <v>1854.4</v>
      </c>
      <c r="J459" s="15">
        <v>0.5</v>
      </c>
      <c r="K459" s="15">
        <f t="shared" si="57"/>
        <v>0.125</v>
      </c>
      <c r="L459" s="14" t="s">
        <v>46</v>
      </c>
      <c r="M459" s="14">
        <f t="shared" si="55"/>
        <v>927.2</v>
      </c>
      <c r="N459" s="14">
        <f t="shared" si="56"/>
        <v>231.8</v>
      </c>
      <c r="O459" s="11" t="s">
        <v>27</v>
      </c>
      <c r="P459" s="11" t="s">
        <v>27</v>
      </c>
      <c r="Q459" s="11"/>
      <c r="R459" s="11">
        <v>1</v>
      </c>
      <c r="S459" s="11" t="s">
        <v>28</v>
      </c>
      <c r="T459" s="16" t="s">
        <v>31</v>
      </c>
    </row>
    <row r="460" spans="1:20" x14ac:dyDescent="0.25">
      <c r="A460" s="10">
        <v>45992</v>
      </c>
      <c r="B460" s="11">
        <v>132905</v>
      </c>
      <c r="C460" s="11" t="s">
        <v>31</v>
      </c>
      <c r="D460" s="11" t="s">
        <v>692</v>
      </c>
      <c r="E460" s="11" t="s">
        <v>348</v>
      </c>
      <c r="F460" s="11" t="s">
        <v>30</v>
      </c>
      <c r="G460" s="12">
        <v>1</v>
      </c>
      <c r="H460" s="13">
        <v>689.04</v>
      </c>
      <c r="I460" s="14">
        <f t="shared" si="58"/>
        <v>689.04</v>
      </c>
      <c r="J460" s="15">
        <v>0.5</v>
      </c>
      <c r="K460" s="15">
        <f t="shared" si="57"/>
        <v>0.125</v>
      </c>
      <c r="L460" s="14" t="s">
        <v>46</v>
      </c>
      <c r="M460" s="14">
        <f t="shared" si="55"/>
        <v>344.52</v>
      </c>
      <c r="N460" s="14">
        <f t="shared" si="56"/>
        <v>86.13</v>
      </c>
      <c r="O460" s="11" t="s">
        <v>27</v>
      </c>
      <c r="P460" s="11" t="s">
        <v>27</v>
      </c>
      <c r="Q460" s="11"/>
      <c r="R460" s="11">
        <v>1</v>
      </c>
      <c r="S460" s="11" t="s">
        <v>28</v>
      </c>
      <c r="T460" s="16" t="s">
        <v>31</v>
      </c>
    </row>
    <row r="461" spans="1:20" x14ac:dyDescent="0.25">
      <c r="A461" s="10">
        <v>45992</v>
      </c>
      <c r="B461" s="11">
        <v>134252</v>
      </c>
      <c r="C461" s="11" t="s">
        <v>44</v>
      </c>
      <c r="D461" s="11" t="s">
        <v>693</v>
      </c>
      <c r="E461" s="11" t="s">
        <v>54</v>
      </c>
      <c r="F461" s="11" t="s">
        <v>30</v>
      </c>
      <c r="G461" s="12">
        <v>8</v>
      </c>
      <c r="H461" s="13">
        <v>142.56</v>
      </c>
      <c r="I461" s="14">
        <f t="shared" si="58"/>
        <v>1140.48</v>
      </c>
      <c r="J461" s="15">
        <v>1</v>
      </c>
      <c r="K461" s="15">
        <f t="shared" si="57"/>
        <v>0.25</v>
      </c>
      <c r="L461" s="14" t="s">
        <v>46</v>
      </c>
      <c r="M461" s="14">
        <f t="shared" si="55"/>
        <v>1140.48</v>
      </c>
      <c r="N461" s="14">
        <f t="shared" si="56"/>
        <v>285.12</v>
      </c>
      <c r="O461" s="11" t="s">
        <v>27</v>
      </c>
      <c r="P461" s="11" t="s">
        <v>27</v>
      </c>
      <c r="Q461" s="11"/>
      <c r="R461" s="11">
        <v>1</v>
      </c>
      <c r="S461" s="11" t="s">
        <v>28</v>
      </c>
      <c r="T461" s="16" t="s">
        <v>44</v>
      </c>
    </row>
    <row r="462" spans="1:20" x14ac:dyDescent="0.25">
      <c r="A462" s="10">
        <v>45993</v>
      </c>
      <c r="B462" s="11">
        <v>128860</v>
      </c>
      <c r="C462" s="11" t="s">
        <v>22</v>
      </c>
      <c r="D462" s="11" t="s">
        <v>694</v>
      </c>
      <c r="E462" s="11" t="s">
        <v>54</v>
      </c>
      <c r="F462" s="11" t="s">
        <v>30</v>
      </c>
      <c r="G462" s="12">
        <v>4</v>
      </c>
      <c r="H462" s="13">
        <v>142.56</v>
      </c>
      <c r="I462" s="14">
        <f t="shared" si="58"/>
        <v>570.24</v>
      </c>
      <c r="J462" s="15">
        <v>1</v>
      </c>
      <c r="K462" s="15">
        <v>0</v>
      </c>
      <c r="L462" s="14" t="s">
        <v>26</v>
      </c>
      <c r="M462" s="14">
        <f t="shared" ref="M462:M472" si="59">(J462*I462)</f>
        <v>570.24</v>
      </c>
      <c r="N462" s="14">
        <f t="shared" si="56"/>
        <v>0</v>
      </c>
      <c r="O462" s="11" t="s">
        <v>27</v>
      </c>
      <c r="P462" s="11" t="s">
        <v>27</v>
      </c>
      <c r="Q462" s="11"/>
      <c r="R462" s="11">
        <v>1</v>
      </c>
      <c r="S462" s="11" t="s">
        <v>28</v>
      </c>
      <c r="T462" s="16" t="s">
        <v>22</v>
      </c>
    </row>
    <row r="463" spans="1:20" x14ac:dyDescent="0.25">
      <c r="A463" s="10">
        <v>45993</v>
      </c>
      <c r="B463" s="11">
        <v>133914</v>
      </c>
      <c r="C463" s="11" t="s">
        <v>31</v>
      </c>
      <c r="D463" s="11" t="s">
        <v>662</v>
      </c>
      <c r="E463" s="11" t="s">
        <v>35</v>
      </c>
      <c r="F463" s="11" t="s">
        <v>35</v>
      </c>
      <c r="G463" s="12">
        <v>20</v>
      </c>
      <c r="H463" s="13">
        <v>123.2</v>
      </c>
      <c r="I463" s="14">
        <f t="shared" si="58"/>
        <v>2464</v>
      </c>
      <c r="J463" s="15">
        <v>0.01</v>
      </c>
      <c r="K463" s="15">
        <v>0</v>
      </c>
      <c r="L463" s="14" t="s">
        <v>26</v>
      </c>
      <c r="M463" s="14">
        <f t="shared" si="59"/>
        <v>24.64</v>
      </c>
      <c r="N463" s="14">
        <f t="shared" si="56"/>
        <v>0</v>
      </c>
      <c r="O463" s="11" t="s">
        <v>597</v>
      </c>
      <c r="P463" s="11" t="s">
        <v>597</v>
      </c>
      <c r="Q463" s="11"/>
      <c r="R463" s="11">
        <v>3</v>
      </c>
      <c r="S463" s="11" t="s">
        <v>597</v>
      </c>
      <c r="T463" s="16" t="s">
        <v>31</v>
      </c>
    </row>
    <row r="464" spans="1:20" x14ac:dyDescent="0.25">
      <c r="A464" s="10">
        <v>45993</v>
      </c>
      <c r="B464" s="11">
        <v>134510</v>
      </c>
      <c r="C464" s="11" t="s">
        <v>31</v>
      </c>
      <c r="D464" s="11" t="s">
        <v>620</v>
      </c>
      <c r="E464" s="11" t="s">
        <v>24</v>
      </c>
      <c r="F464" s="11" t="s">
        <v>554</v>
      </c>
      <c r="G464" s="12">
        <v>4</v>
      </c>
      <c r="H464" s="13">
        <v>178.5</v>
      </c>
      <c r="I464" s="14">
        <f t="shared" si="58"/>
        <v>714</v>
      </c>
      <c r="J464" s="15">
        <v>6.6900000000000001E-2</v>
      </c>
      <c r="K464" s="15">
        <f t="shared" ref="K464:K472" si="60">J464*0.25</f>
        <v>1.6725E-2</v>
      </c>
      <c r="L464" s="14" t="s">
        <v>26</v>
      </c>
      <c r="M464" s="14">
        <f t="shared" si="59"/>
        <v>47.766600000000004</v>
      </c>
      <c r="N464" s="14">
        <f t="shared" si="56"/>
        <v>11.941650000000001</v>
      </c>
      <c r="O464" s="11" t="s">
        <v>597</v>
      </c>
      <c r="P464" s="11" t="s">
        <v>597</v>
      </c>
      <c r="Q464" s="11"/>
      <c r="R464" s="11">
        <v>1</v>
      </c>
      <c r="S464" s="11" t="s">
        <v>597</v>
      </c>
      <c r="T464" s="16" t="s">
        <v>31</v>
      </c>
    </row>
    <row r="465" spans="1:21" x14ac:dyDescent="0.25">
      <c r="A465" s="10">
        <v>45993</v>
      </c>
      <c r="B465" s="11">
        <v>134524</v>
      </c>
      <c r="C465" s="11" t="s">
        <v>31</v>
      </c>
      <c r="D465" s="11" t="s">
        <v>79</v>
      </c>
      <c r="E465" s="11" t="s">
        <v>567</v>
      </c>
      <c r="F465" s="11" t="s">
        <v>30</v>
      </c>
      <c r="G465" s="12">
        <v>1</v>
      </c>
      <c r="H465" s="13">
        <v>605.88</v>
      </c>
      <c r="I465" s="14">
        <f t="shared" si="58"/>
        <v>605.88</v>
      </c>
      <c r="J465" s="15">
        <v>1</v>
      </c>
      <c r="K465" s="15">
        <f t="shared" si="60"/>
        <v>0.25</v>
      </c>
      <c r="L465" s="14" t="s">
        <v>26</v>
      </c>
      <c r="M465" s="14">
        <f t="shared" si="59"/>
        <v>605.88</v>
      </c>
      <c r="N465" s="14">
        <f t="shared" si="56"/>
        <v>151.47</v>
      </c>
      <c r="O465" s="11" t="s">
        <v>27</v>
      </c>
      <c r="P465" s="11" t="s">
        <v>27</v>
      </c>
      <c r="Q465" s="11"/>
      <c r="R465" s="11">
        <v>1</v>
      </c>
      <c r="S465" s="11" t="s">
        <v>28</v>
      </c>
      <c r="T465" s="16" t="s">
        <v>31</v>
      </c>
    </row>
    <row r="466" spans="1:21" x14ac:dyDescent="0.25">
      <c r="A466" s="10">
        <v>45993</v>
      </c>
      <c r="B466" s="11">
        <v>134524</v>
      </c>
      <c r="C466" s="11" t="s">
        <v>31</v>
      </c>
      <c r="D466" s="11" t="s">
        <v>79</v>
      </c>
      <c r="E466" s="11" t="s">
        <v>567</v>
      </c>
      <c r="F466" s="11" t="s">
        <v>554</v>
      </c>
      <c r="G466" s="12">
        <v>16</v>
      </c>
      <c r="H466" s="13">
        <v>178.5</v>
      </c>
      <c r="I466" s="14">
        <f t="shared" si="58"/>
        <v>2856</v>
      </c>
      <c r="J466" s="15">
        <v>6.5799999999999997E-2</v>
      </c>
      <c r="K466" s="15">
        <f t="shared" si="60"/>
        <v>1.6449999999999999E-2</v>
      </c>
      <c r="L466" s="14" t="s">
        <v>26</v>
      </c>
      <c r="M466" s="14">
        <f t="shared" si="59"/>
        <v>187.9248</v>
      </c>
      <c r="N466" s="14">
        <f t="shared" si="56"/>
        <v>46.981200000000001</v>
      </c>
      <c r="O466" s="11" t="s">
        <v>27</v>
      </c>
      <c r="P466" s="11" t="s">
        <v>27</v>
      </c>
      <c r="Q466" s="11"/>
      <c r="R466" s="11">
        <v>4</v>
      </c>
      <c r="S466" s="11" t="s">
        <v>28</v>
      </c>
      <c r="T466" s="16" t="s">
        <v>31</v>
      </c>
    </row>
    <row r="467" spans="1:21" x14ac:dyDescent="0.25">
      <c r="A467" s="10">
        <v>45995</v>
      </c>
      <c r="B467" s="11">
        <v>116018</v>
      </c>
      <c r="C467" s="11" t="s">
        <v>31</v>
      </c>
      <c r="D467" s="11" t="s">
        <v>656</v>
      </c>
      <c r="E467" s="11" t="s">
        <v>24</v>
      </c>
      <c r="F467" s="11" t="s">
        <v>554</v>
      </c>
      <c r="G467" s="12">
        <v>4</v>
      </c>
      <c r="H467" s="13">
        <v>210</v>
      </c>
      <c r="I467" s="14">
        <f t="shared" si="58"/>
        <v>840</v>
      </c>
      <c r="J467" s="15">
        <v>7.0000000000000007E-2</v>
      </c>
      <c r="K467" s="15">
        <f t="shared" si="60"/>
        <v>1.7500000000000002E-2</v>
      </c>
      <c r="L467" s="14" t="s">
        <v>26</v>
      </c>
      <c r="M467" s="14">
        <f t="shared" si="59"/>
        <v>58.800000000000004</v>
      </c>
      <c r="N467" s="14">
        <f t="shared" si="56"/>
        <v>14.700000000000001</v>
      </c>
      <c r="O467" s="11" t="s">
        <v>597</v>
      </c>
      <c r="P467" s="11" t="s">
        <v>597</v>
      </c>
      <c r="Q467" s="11"/>
      <c r="R467" s="11">
        <v>1</v>
      </c>
      <c r="S467" s="11" t="s">
        <v>597</v>
      </c>
      <c r="T467" s="16" t="s">
        <v>31</v>
      </c>
    </row>
    <row r="468" spans="1:21" x14ac:dyDescent="0.25">
      <c r="A468" s="10">
        <v>45995</v>
      </c>
      <c r="B468" s="11">
        <v>132376</v>
      </c>
      <c r="C468" s="11" t="s">
        <v>31</v>
      </c>
      <c r="D468" s="11" t="s">
        <v>625</v>
      </c>
      <c r="E468" s="11" t="s">
        <v>35</v>
      </c>
      <c r="F468" s="11" t="s">
        <v>35</v>
      </c>
      <c r="G468" s="12">
        <v>10</v>
      </c>
      <c r="H468" s="13">
        <v>176</v>
      </c>
      <c r="I468" s="14">
        <f t="shared" si="58"/>
        <v>1760</v>
      </c>
      <c r="J468" s="15">
        <v>0.01</v>
      </c>
      <c r="K468" s="15">
        <f t="shared" si="60"/>
        <v>2.5000000000000001E-3</v>
      </c>
      <c r="L468" s="14" t="s">
        <v>26</v>
      </c>
      <c r="M468" s="14">
        <f t="shared" si="59"/>
        <v>17.600000000000001</v>
      </c>
      <c r="N468" s="14">
        <f t="shared" si="56"/>
        <v>4.4000000000000004</v>
      </c>
      <c r="O468" s="11" t="s">
        <v>597</v>
      </c>
      <c r="P468" s="11" t="s">
        <v>597</v>
      </c>
      <c r="Q468" s="11"/>
      <c r="R468" s="11">
        <v>3</v>
      </c>
      <c r="S468" s="11" t="s">
        <v>597</v>
      </c>
      <c r="T468" s="16" t="s">
        <v>31</v>
      </c>
    </row>
    <row r="469" spans="1:21" x14ac:dyDescent="0.25">
      <c r="A469" s="10">
        <v>45995</v>
      </c>
      <c r="B469" s="11">
        <v>134730</v>
      </c>
      <c r="C469" s="11" t="s">
        <v>44</v>
      </c>
      <c r="D469" s="11" t="s">
        <v>695</v>
      </c>
      <c r="E469" s="11" t="s">
        <v>69</v>
      </c>
      <c r="F469" s="11" t="s">
        <v>41</v>
      </c>
      <c r="G469" s="12">
        <v>1</v>
      </c>
      <c r="H469" s="13">
        <v>22000</v>
      </c>
      <c r="I469" s="14">
        <f t="shared" si="58"/>
        <v>22000</v>
      </c>
      <c r="J469" s="15">
        <v>7.0000000000000007E-2</v>
      </c>
      <c r="K469" s="15">
        <f t="shared" si="60"/>
        <v>1.7500000000000002E-2</v>
      </c>
      <c r="L469" s="14" t="s">
        <v>26</v>
      </c>
      <c r="M469" s="14">
        <f t="shared" si="59"/>
        <v>1540.0000000000002</v>
      </c>
      <c r="N469" s="14">
        <f t="shared" si="56"/>
        <v>385.00000000000006</v>
      </c>
      <c r="O469" s="11" t="s">
        <v>597</v>
      </c>
      <c r="P469" s="11" t="s">
        <v>597</v>
      </c>
      <c r="Q469" s="11"/>
      <c r="R469" s="11">
        <v>10</v>
      </c>
      <c r="S469" s="11" t="s">
        <v>147</v>
      </c>
      <c r="T469" s="16" t="s">
        <v>44</v>
      </c>
    </row>
    <row r="470" spans="1:21" x14ac:dyDescent="0.25">
      <c r="A470" s="10">
        <v>45995</v>
      </c>
      <c r="B470" s="11">
        <v>134730</v>
      </c>
      <c r="C470" s="11" t="s">
        <v>44</v>
      </c>
      <c r="D470" s="11" t="s">
        <v>695</v>
      </c>
      <c r="E470" s="11" t="s">
        <v>69</v>
      </c>
      <c r="F470" s="11" t="s">
        <v>30</v>
      </c>
      <c r="G470" s="12">
        <v>1</v>
      </c>
      <c r="H470" s="13">
        <v>2800</v>
      </c>
      <c r="I470" s="14">
        <f t="shared" si="58"/>
        <v>2800</v>
      </c>
      <c r="J470" s="15">
        <v>1</v>
      </c>
      <c r="K470" s="15">
        <f t="shared" si="60"/>
        <v>0.25</v>
      </c>
      <c r="L470" s="14" t="s">
        <v>26</v>
      </c>
      <c r="M470" s="14">
        <f t="shared" si="59"/>
        <v>2800</v>
      </c>
      <c r="N470" s="14">
        <f t="shared" si="56"/>
        <v>700</v>
      </c>
      <c r="O470" s="11" t="s">
        <v>27</v>
      </c>
      <c r="P470" s="11" t="s">
        <v>27</v>
      </c>
      <c r="Q470" s="11"/>
      <c r="R470" s="11">
        <v>1</v>
      </c>
      <c r="S470" s="11" t="s">
        <v>147</v>
      </c>
      <c r="T470" s="16" t="s">
        <v>44</v>
      </c>
    </row>
    <row r="471" spans="1:21" x14ac:dyDescent="0.25">
      <c r="A471" s="10">
        <v>45996</v>
      </c>
      <c r="B471" s="11">
        <v>134560</v>
      </c>
      <c r="C471" s="11" t="s">
        <v>31</v>
      </c>
      <c r="D471" s="11" t="s">
        <v>696</v>
      </c>
      <c r="E471" s="11" t="s">
        <v>35</v>
      </c>
      <c r="F471" s="11" t="s">
        <v>35</v>
      </c>
      <c r="G471" s="12">
        <v>2</v>
      </c>
      <c r="H471" s="13">
        <v>176</v>
      </c>
      <c r="I471" s="14">
        <f t="shared" si="58"/>
        <v>352</v>
      </c>
      <c r="J471" s="15">
        <v>0.01</v>
      </c>
      <c r="K471" s="15">
        <f t="shared" si="60"/>
        <v>2.5000000000000001E-3</v>
      </c>
      <c r="L471" s="14" t="s">
        <v>26</v>
      </c>
      <c r="M471" s="14">
        <f t="shared" si="59"/>
        <v>3.52</v>
      </c>
      <c r="N471" s="14">
        <f t="shared" si="56"/>
        <v>0.88</v>
      </c>
      <c r="O471" s="11" t="s">
        <v>597</v>
      </c>
      <c r="P471" s="11" t="s">
        <v>597</v>
      </c>
      <c r="Q471" s="11"/>
      <c r="R471" s="11">
        <v>1</v>
      </c>
      <c r="S471" s="11" t="s">
        <v>597</v>
      </c>
      <c r="T471" s="16" t="s">
        <v>31</v>
      </c>
    </row>
    <row r="472" spans="1:21" x14ac:dyDescent="0.25">
      <c r="A472" s="10">
        <v>45996</v>
      </c>
      <c r="B472" s="11">
        <v>134873</v>
      </c>
      <c r="C472" s="11" t="s">
        <v>31</v>
      </c>
      <c r="D472" s="11" t="s">
        <v>92</v>
      </c>
      <c r="E472" s="11" t="s">
        <v>24</v>
      </c>
      <c r="F472" s="11" t="s">
        <v>35</v>
      </c>
      <c r="G472" s="12">
        <v>40</v>
      </c>
      <c r="H472" s="13">
        <v>180</v>
      </c>
      <c r="I472" s="14">
        <f t="shared" si="58"/>
        <v>7200</v>
      </c>
      <c r="J472" s="15">
        <v>7.0000000000000007E-2</v>
      </c>
      <c r="K472" s="15">
        <f t="shared" si="60"/>
        <v>1.7500000000000002E-2</v>
      </c>
      <c r="L472" s="14" t="s">
        <v>26</v>
      </c>
      <c r="M472" s="14">
        <f t="shared" si="59"/>
        <v>504.00000000000006</v>
      </c>
      <c r="N472" s="14">
        <f t="shared" si="56"/>
        <v>126.00000000000001</v>
      </c>
      <c r="O472" s="11" t="s">
        <v>597</v>
      </c>
      <c r="P472" s="11" t="s">
        <v>597</v>
      </c>
      <c r="Q472" s="11"/>
      <c r="R472" s="11">
        <v>1</v>
      </c>
      <c r="S472" s="11" t="s">
        <v>597</v>
      </c>
      <c r="T472" s="16" t="s">
        <v>31</v>
      </c>
    </row>
    <row r="473" spans="1:21" ht="13.9" customHeight="1" x14ac:dyDescent="0.25">
      <c r="A473" s="20"/>
      <c r="B473" s="21"/>
      <c r="C473" s="21"/>
      <c r="D473" s="21"/>
      <c r="E473" s="21"/>
      <c r="F473" s="21"/>
      <c r="G473" s="22">
        <f>SUBTOTAL(109,Vendas2025[Qtde])</f>
        <v>14611.02</v>
      </c>
      <c r="H473" s="23"/>
      <c r="I473" s="23">
        <f>SUBTOTAL(109,Vendas2025[VlrTotal])</f>
        <v>2764345.8064999999</v>
      </c>
      <c r="J473" s="22"/>
      <c r="K473" s="24"/>
      <c r="L473" s="23"/>
      <c r="M473" s="23">
        <f>SUBTOTAL(109,Vendas2025[[ComissãoVendedor ]])</f>
        <v>322930.3126779999</v>
      </c>
      <c r="N473" s="23">
        <f>SUBTOTAL(109,Vendas2025[ComissãoSupervisor])</f>
        <v>58788.171644499962</v>
      </c>
      <c r="O473" s="21"/>
      <c r="P473" s="21"/>
      <c r="Q473" s="21"/>
      <c r="R473" s="21"/>
      <c r="S473" s="21"/>
      <c r="T473" s="25">
        <f>SUBTOTAL(103,Vendas2025[SDR_RESPONSÁVEL])</f>
        <v>471</v>
      </c>
    </row>
    <row r="474" spans="1:21" x14ac:dyDescent="0.25">
      <c r="A474" s="26"/>
      <c r="B474" s="27"/>
      <c r="C474" s="27"/>
      <c r="D474" s="27"/>
      <c r="E474" s="27"/>
      <c r="F474" s="27"/>
      <c r="G474" s="28"/>
      <c r="H474" s="29"/>
      <c r="I474" s="29"/>
      <c r="J474" s="30"/>
      <c r="K474" s="30"/>
      <c r="L474" s="29"/>
      <c r="M474" s="29"/>
      <c r="N474" s="29"/>
      <c r="O474" s="27"/>
      <c r="P474" s="27"/>
      <c r="Q474" s="27"/>
      <c r="R474" s="27"/>
      <c r="S474" s="27"/>
    </row>
    <row r="475" spans="1:21" x14ac:dyDescent="0.25">
      <c r="I475" s="33"/>
      <c r="O475" s="32"/>
      <c r="P475" s="32"/>
      <c r="Q475" s="32"/>
      <c r="S475" s="34"/>
      <c r="T475" s="33"/>
      <c r="U475" s="35"/>
    </row>
    <row r="477" spans="1:21" x14ac:dyDescent="0.25">
      <c r="N477" s="33"/>
    </row>
  </sheetData>
  <dataValidations count="1">
    <dataValidation type="list" allowBlank="1" showInputMessage="1" showErrorMessage="1" sqref="F2 F5:F9 F13:F15 F17 F20:F22 F27:F28 F30:F31 F33:F34 F37 F40:F46 F49:F52 F54:F55 F57:F58 F60:F64 F68:F70 F72:F75 F77:F79 F81:F82 F86 F88:F90 F92:F98 F100:F102 F104 F106 F108:F109 F111 F113 F115:F117 F119:F120 F123:F125 F130:F133 F135:F139 F143:F151 F154:F164 F166 F170:F171 F174 F176:F179 F181 F183 F187:F190 F192 F194 F196:F198 F203 F207:F210 F213:F216 F219:F220 F222:F226 F228 F230:F231 F233:F234 F236:F238 F240:F244 F246 F248:F251 F253 F255:F265 F267 F269:F271 F274 F279:F281 F283:F284 F286:F287 F290 F292:F296 F299:F302 F305:F306 F308:F312 F314 F316:F320 F322 F325 F329:F330 F332 F334 F336 F338 F343 F346:F352 F357:F358 F361 F363:F365 F367:F368 F375:F376 F378 F380 F382:F391 F393 F398:F401 F404:F405 F408:F409 F412 F415:F417 F419:F420 F422:F432 F434 F436 F439:F441 F443:F456 F458:F461 F463 F465 F468:F472 F474" xr:uid="{00000000-0002-0000-0C00-000000000000}">
      <formula1>#REF!</formula1>
    </dataValidation>
  </dataValidations>
  <pageMargins left="0.511811024" right="0.511811024" top="0.78740157499999996" bottom="0.78740157499999996" header="0.31496062000000002" footer="0.31496062000000002"/>
  <legacyDrawing r:id="rId1"/>
  <tableParts count="1">
    <tablePart r:id="rId2"/>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AO1039"/>
  <sheetViews>
    <sheetView showGridLines="0" topLeftCell="T1" workbookViewId="0">
      <selection activeCell="T14" sqref="T14"/>
    </sheetView>
  </sheetViews>
  <sheetFormatPr defaultRowHeight="15" x14ac:dyDescent="0.25"/>
  <cols>
    <col min="1" max="1" width="16.85546875" bestFit="1" customWidth="1"/>
    <col min="2" max="2" width="18.140625" bestFit="1" customWidth="1"/>
    <col min="3" max="3" width="12.5703125" bestFit="1" customWidth="1"/>
    <col min="4" max="4" width="11.5703125" bestFit="1" customWidth="1"/>
    <col min="5" max="5" width="12.5703125" bestFit="1" customWidth="1"/>
    <col min="6" max="6" width="9" bestFit="1" customWidth="1"/>
    <col min="7" max="7" width="12.7109375" bestFit="1" customWidth="1"/>
    <col min="8" max="8" width="11.140625" bestFit="1" customWidth="1"/>
    <col min="9" max="9" width="20" bestFit="1" customWidth="1"/>
    <col min="10" max="10" width="14.85546875" bestFit="1" customWidth="1"/>
    <col min="11" max="11" width="12" bestFit="1" customWidth="1"/>
    <col min="12" max="12" width="11.28515625" bestFit="1" customWidth="1"/>
    <col min="13" max="13" width="13.28515625" bestFit="1" customWidth="1"/>
    <col min="14" max="14" width="11.7109375" customWidth="1"/>
    <col min="15" max="15" width="10.7109375" customWidth="1"/>
    <col min="16" max="16" width="10.28515625" bestFit="1" customWidth="1"/>
    <col min="17" max="17" width="10.7109375" bestFit="1" customWidth="1"/>
    <col min="18" max="18" width="12.140625" bestFit="1" customWidth="1"/>
    <col min="19" max="19" width="10.42578125" bestFit="1" customWidth="1"/>
    <col min="22" max="22" width="16.140625" bestFit="1" customWidth="1"/>
    <col min="23" max="23" width="18.42578125" bestFit="1" customWidth="1"/>
    <col min="24" max="24" width="12.5703125" bestFit="1" customWidth="1"/>
    <col min="25" max="25" width="101.42578125" bestFit="1" customWidth="1"/>
    <col min="26" max="26" width="18.42578125" bestFit="1" customWidth="1"/>
    <col min="27" max="27" width="16" bestFit="1" customWidth="1"/>
    <col min="28" max="28" width="16.140625" bestFit="1" customWidth="1"/>
    <col min="29" max="29" width="18.42578125" bestFit="1" customWidth="1"/>
    <col min="30" max="30" width="12.85546875" bestFit="1" customWidth="1"/>
    <col min="31" max="31" width="16.140625" bestFit="1" customWidth="1"/>
    <col min="32" max="32" width="18.42578125" bestFit="1" customWidth="1"/>
    <col min="34" max="34" width="16.140625" bestFit="1" customWidth="1"/>
    <col min="35" max="35" width="18.42578125" bestFit="1" customWidth="1"/>
    <col min="36" max="37" width="15" bestFit="1" customWidth="1"/>
    <col min="40" max="40" width="8.28515625" bestFit="1" customWidth="1"/>
    <col min="41" max="41" width="12.140625" bestFit="1" customWidth="1"/>
  </cols>
  <sheetData>
    <row r="1" spans="1:41" x14ac:dyDescent="0.25">
      <c r="C1" s="33"/>
      <c r="D1" s="33"/>
      <c r="E1" s="33"/>
      <c r="F1" s="33"/>
      <c r="G1" s="33"/>
      <c r="H1" s="33"/>
      <c r="I1" s="33"/>
      <c r="J1" s="33"/>
      <c r="K1" s="33"/>
      <c r="L1" s="33"/>
      <c r="M1" s="33"/>
      <c r="N1" s="33"/>
      <c r="Q1" t="s">
        <v>697</v>
      </c>
      <c r="R1" t="s">
        <v>698</v>
      </c>
      <c r="V1" s="36" t="s">
        <v>168</v>
      </c>
      <c r="W1" s="37">
        <v>2020</v>
      </c>
      <c r="Y1" s="36" t="s">
        <v>168</v>
      </c>
      <c r="Z1" s="37">
        <v>2021</v>
      </c>
      <c r="AB1" s="36" t="s">
        <v>168</v>
      </c>
      <c r="AC1" s="37">
        <v>2022</v>
      </c>
      <c r="AE1" s="36" t="s">
        <v>168</v>
      </c>
      <c r="AF1" s="37">
        <v>2023</v>
      </c>
      <c r="AH1" s="36" t="s">
        <v>168</v>
      </c>
      <c r="AI1" s="37">
        <v>2024</v>
      </c>
    </row>
    <row r="2" spans="1:41" x14ac:dyDescent="0.25">
      <c r="A2" s="36" t="s">
        <v>168</v>
      </c>
      <c r="B2" s="37">
        <v>2026</v>
      </c>
      <c r="D2" s="33"/>
      <c r="E2" s="33"/>
      <c r="F2" s="33"/>
      <c r="G2" s="33"/>
      <c r="H2" s="33"/>
      <c r="I2" s="36" t="s">
        <v>168</v>
      </c>
      <c r="J2" t="s">
        <v>213</v>
      </c>
      <c r="K2" s="33"/>
      <c r="L2" s="183" t="s">
        <v>699</v>
      </c>
      <c r="M2" s="184" t="s">
        <v>700</v>
      </c>
      <c r="N2" s="33"/>
      <c r="P2" t="s">
        <v>2</v>
      </c>
      <c r="Q2" s="33">
        <v>2887.7</v>
      </c>
      <c r="R2" s="185">
        <v>2139</v>
      </c>
      <c r="Y2" s="36" t="s">
        <v>2</v>
      </c>
      <c r="Z2" t="s">
        <v>162</v>
      </c>
      <c r="AB2" s="36" t="s">
        <v>2</v>
      </c>
      <c r="AC2" t="s">
        <v>162</v>
      </c>
      <c r="AE2" s="36" t="s">
        <v>2</v>
      </c>
      <c r="AF2" t="s">
        <v>162</v>
      </c>
      <c r="AH2" s="36" t="s">
        <v>2</v>
      </c>
      <c r="AI2" t="s">
        <v>162</v>
      </c>
    </row>
    <row r="3" spans="1:41" x14ac:dyDescent="0.25">
      <c r="H3" s="33"/>
      <c r="I3" s="33"/>
      <c r="J3" s="33"/>
      <c r="K3" s="33"/>
      <c r="L3" s="186">
        <v>2021</v>
      </c>
      <c r="M3" s="187">
        <v>9304.17</v>
      </c>
      <c r="N3" s="33"/>
      <c r="P3" t="s">
        <v>701</v>
      </c>
      <c r="Q3" s="33">
        <v>5557.27</v>
      </c>
      <c r="R3" s="185">
        <f>5557.27-596.83-21.66-394.32-237.81-338.33</f>
        <v>3968.3200000000006</v>
      </c>
      <c r="S3" s="188">
        <v>44317</v>
      </c>
      <c r="V3" s="36" t="s">
        <v>215</v>
      </c>
      <c r="W3" t="s">
        <v>702</v>
      </c>
    </row>
    <row r="4" spans="1:41" x14ac:dyDescent="0.25">
      <c r="A4" s="36" t="s">
        <v>702</v>
      </c>
      <c r="B4" s="36" t="s">
        <v>572</v>
      </c>
      <c r="H4" s="33"/>
      <c r="I4" s="36" t="s">
        <v>215</v>
      </c>
      <c r="J4" t="s">
        <v>703</v>
      </c>
      <c r="L4" s="186">
        <v>2022</v>
      </c>
      <c r="M4" s="187">
        <v>8436.86</v>
      </c>
      <c r="N4" s="33"/>
      <c r="V4" s="37" t="s">
        <v>220</v>
      </c>
      <c r="W4" s="189">
        <v>3217.42</v>
      </c>
      <c r="Y4" s="36" t="s">
        <v>215</v>
      </c>
      <c r="Z4" t="s">
        <v>702</v>
      </c>
      <c r="AB4" s="36" t="s">
        <v>215</v>
      </c>
      <c r="AC4" t="s">
        <v>702</v>
      </c>
      <c r="AE4" s="36" t="s">
        <v>215</v>
      </c>
      <c r="AF4" t="s">
        <v>702</v>
      </c>
      <c r="AH4" s="36" t="s">
        <v>215</v>
      </c>
      <c r="AI4" t="s">
        <v>702</v>
      </c>
    </row>
    <row r="5" spans="1:41" x14ac:dyDescent="0.25">
      <c r="A5" s="36" t="s">
        <v>215</v>
      </c>
      <c r="B5" s="32" t="s">
        <v>704</v>
      </c>
      <c r="C5" s="32" t="s">
        <v>162</v>
      </c>
      <c r="D5" s="32" t="s">
        <v>161</v>
      </c>
      <c r="E5" s="32" t="s">
        <v>223</v>
      </c>
      <c r="H5" s="33"/>
      <c r="I5" s="37" t="s">
        <v>705</v>
      </c>
      <c r="J5" s="54">
        <v>191.8626666666666</v>
      </c>
      <c r="L5" s="186">
        <v>2023</v>
      </c>
      <c r="M5" s="187">
        <v>8102.3609999999999</v>
      </c>
      <c r="N5" s="33"/>
      <c r="V5" s="37" t="s">
        <v>226</v>
      </c>
      <c r="W5" s="189">
        <v>7003.56</v>
      </c>
      <c r="Y5" s="37" t="s">
        <v>220</v>
      </c>
      <c r="Z5" s="189">
        <v>9551.7900000000009</v>
      </c>
      <c r="AB5" s="37" t="s">
        <v>220</v>
      </c>
      <c r="AC5" s="189">
        <v>10325.030000000001</v>
      </c>
      <c r="AE5" s="37" t="s">
        <v>220</v>
      </c>
      <c r="AF5" s="189">
        <v>6512.53</v>
      </c>
      <c r="AH5" s="37" t="s">
        <v>226</v>
      </c>
      <c r="AI5" s="189">
        <v>5298.52</v>
      </c>
      <c r="AN5" t="s">
        <v>706</v>
      </c>
      <c r="AO5" s="33">
        <f>Z18</f>
        <v>8670.8058333333338</v>
      </c>
    </row>
    <row r="6" spans="1:41" x14ac:dyDescent="0.25">
      <c r="A6" s="37" t="s">
        <v>220</v>
      </c>
      <c r="B6" s="33">
        <v>11269.48</v>
      </c>
      <c r="C6" s="33">
        <v>18594.310000000001</v>
      </c>
      <c r="D6" s="33">
        <v>6274.9000000000005</v>
      </c>
      <c r="E6" s="33">
        <v>36138.69</v>
      </c>
      <c r="H6" s="33"/>
      <c r="I6" s="37" t="s">
        <v>704</v>
      </c>
      <c r="J6" s="54">
        <v>10571.59083333333</v>
      </c>
      <c r="L6" s="186">
        <v>2024</v>
      </c>
      <c r="M6" s="187">
        <v>8177.97</v>
      </c>
      <c r="N6" s="33"/>
      <c r="V6" s="37" t="s">
        <v>230</v>
      </c>
      <c r="W6" s="189">
        <v>3870</v>
      </c>
      <c r="Y6" s="37" t="s">
        <v>226</v>
      </c>
      <c r="Z6" s="189">
        <v>11005.93</v>
      </c>
      <c r="AB6" s="37" t="s">
        <v>226</v>
      </c>
      <c r="AC6" s="189">
        <v>6014.19</v>
      </c>
      <c r="AE6" s="37" t="s">
        <v>226</v>
      </c>
      <c r="AF6" s="189">
        <v>8564.0300000000007</v>
      </c>
      <c r="AH6" s="37" t="s">
        <v>230</v>
      </c>
      <c r="AI6" s="189">
        <v>13119.38</v>
      </c>
      <c r="AN6">
        <v>2022</v>
      </c>
      <c r="AO6" s="54">
        <f>AC18</f>
        <v>9325.1491666666661</v>
      </c>
    </row>
    <row r="7" spans="1:41" x14ac:dyDescent="0.25">
      <c r="A7" s="37" t="s">
        <v>226</v>
      </c>
      <c r="B7" s="33">
        <v>1468.19</v>
      </c>
      <c r="C7" s="33">
        <v>16594.78</v>
      </c>
      <c r="D7" s="33">
        <v>4423.3830000000007</v>
      </c>
      <c r="E7" s="33">
        <v>22486.352999999999</v>
      </c>
      <c r="H7" s="33"/>
      <c r="I7" s="37" t="s">
        <v>707</v>
      </c>
      <c r="J7" s="54">
        <v>0</v>
      </c>
      <c r="L7" s="190" t="s">
        <v>708</v>
      </c>
      <c r="M7" s="190">
        <f>AVERAGE(M3:M6)</f>
        <v>8505.3402499999993</v>
      </c>
      <c r="N7" s="33"/>
      <c r="V7" s="37" t="s">
        <v>234</v>
      </c>
      <c r="W7" s="189">
        <v>1543.84</v>
      </c>
      <c r="Y7" s="37" t="s">
        <v>230</v>
      </c>
      <c r="Z7" s="189">
        <v>8850.1</v>
      </c>
      <c r="AB7" s="37" t="s">
        <v>230</v>
      </c>
      <c r="AC7" s="189">
        <v>7501</v>
      </c>
      <c r="AE7" s="37" t="s">
        <v>230</v>
      </c>
      <c r="AF7" s="189">
        <v>6481.14</v>
      </c>
      <c r="AH7" s="37" t="s">
        <v>234</v>
      </c>
      <c r="AI7" s="189">
        <v>9686.09</v>
      </c>
      <c r="AN7">
        <v>2023</v>
      </c>
      <c r="AO7" s="54">
        <f>AF18</f>
        <v>8102.3050000000003</v>
      </c>
    </row>
    <row r="8" spans="1:41" x14ac:dyDescent="0.25">
      <c r="A8" s="37" t="s">
        <v>230</v>
      </c>
      <c r="B8" s="33">
        <v>19420.650000000001</v>
      </c>
      <c r="C8" s="33">
        <v>30776.53</v>
      </c>
      <c r="D8" s="33">
        <v>4504.4400000000014</v>
      </c>
      <c r="E8" s="33">
        <v>54701.62</v>
      </c>
      <c r="H8" s="33"/>
      <c r="I8" s="37" t="s">
        <v>162</v>
      </c>
      <c r="J8" s="54">
        <v>8375.4311111111128</v>
      </c>
      <c r="L8" s="186">
        <v>2025</v>
      </c>
      <c r="M8" s="187">
        <v>10460.26</v>
      </c>
      <c r="N8" s="33"/>
      <c r="V8" s="37" t="s">
        <v>237</v>
      </c>
      <c r="W8" s="189">
        <v>2556.61</v>
      </c>
      <c r="Y8" s="37" t="s">
        <v>234</v>
      </c>
      <c r="Z8" s="189">
        <v>6846.17</v>
      </c>
      <c r="AB8" s="37" t="s">
        <v>234</v>
      </c>
      <c r="AC8" s="189">
        <v>7160.99</v>
      </c>
      <c r="AE8" s="37" t="s">
        <v>234</v>
      </c>
      <c r="AF8" s="189">
        <v>7030.18</v>
      </c>
      <c r="AH8" s="37" t="s">
        <v>237</v>
      </c>
      <c r="AI8" s="189">
        <v>11569.26</v>
      </c>
      <c r="AN8">
        <v>2024</v>
      </c>
      <c r="AO8" s="54">
        <f>AI18</f>
        <v>7755.0675000000001</v>
      </c>
    </row>
    <row r="9" spans="1:41" x14ac:dyDescent="0.25">
      <c r="A9" s="37" t="s">
        <v>234</v>
      </c>
      <c r="B9" s="33">
        <v>10341</v>
      </c>
      <c r="C9" s="33">
        <v>23597.67</v>
      </c>
      <c r="D9" s="33">
        <v>4981.8600000000006</v>
      </c>
      <c r="E9" s="33">
        <v>38920.53</v>
      </c>
      <c r="H9" s="33"/>
      <c r="I9" s="37" t="s">
        <v>161</v>
      </c>
      <c r="J9" s="54">
        <v>4223.059166666666</v>
      </c>
      <c r="L9" s="191">
        <v>2026</v>
      </c>
      <c r="M9" s="192">
        <f>AVERAGE(GETPIVOTDATA("Comissão",$A$4,"Vendedor","Paulo","Meses (Pago em)",1))</f>
        <v>18594.310000000001</v>
      </c>
      <c r="N9" s="33"/>
      <c r="V9" s="37" t="s">
        <v>709</v>
      </c>
      <c r="W9" s="189">
        <v>2351.86</v>
      </c>
      <c r="Y9" s="37" t="s">
        <v>237</v>
      </c>
      <c r="Z9" s="189">
        <v>10860.43</v>
      </c>
      <c r="AB9" s="37" t="s">
        <v>237</v>
      </c>
      <c r="AC9" s="189">
        <v>8225.76</v>
      </c>
      <c r="AE9" s="37" t="s">
        <v>237</v>
      </c>
      <c r="AF9" s="189">
        <v>3211.2</v>
      </c>
      <c r="AH9" s="37" t="s">
        <v>709</v>
      </c>
      <c r="AI9" s="189">
        <v>7174.82</v>
      </c>
    </row>
    <row r="10" spans="1:41" x14ac:dyDescent="0.25">
      <c r="A10" s="37" t="s">
        <v>237</v>
      </c>
      <c r="B10" s="33">
        <v>11487.46</v>
      </c>
      <c r="C10" s="33">
        <v>10496.66</v>
      </c>
      <c r="D10" s="33">
        <v>10607.25</v>
      </c>
      <c r="E10" s="33">
        <v>32591.37</v>
      </c>
      <c r="H10" s="33"/>
      <c r="I10" s="37" t="s">
        <v>223</v>
      </c>
      <c r="J10" s="54">
        <v>7115.727375000004</v>
      </c>
      <c r="L10" s="193" t="s">
        <v>710</v>
      </c>
      <c r="M10" s="190">
        <v>8500</v>
      </c>
      <c r="N10" s="33"/>
      <c r="V10" s="37" t="s">
        <v>711</v>
      </c>
      <c r="W10" s="189">
        <v>3620.72</v>
      </c>
      <c r="Y10" s="37" t="s">
        <v>709</v>
      </c>
      <c r="Z10" s="189">
        <v>7115.54</v>
      </c>
      <c r="AB10" s="37" t="s">
        <v>709</v>
      </c>
      <c r="AC10" s="189">
        <v>13521.65</v>
      </c>
      <c r="AE10" s="37" t="s">
        <v>709</v>
      </c>
      <c r="AF10" s="189">
        <v>3262.91</v>
      </c>
      <c r="AH10" s="37" t="s">
        <v>711</v>
      </c>
      <c r="AI10" s="189">
        <v>677.04</v>
      </c>
    </row>
    <row r="11" spans="1:41" x14ac:dyDescent="0.25">
      <c r="A11" s="37" t="s">
        <v>223</v>
      </c>
      <c r="B11" s="33">
        <v>53986.780000000013</v>
      </c>
      <c r="C11" s="33">
        <v>100059.95</v>
      </c>
      <c r="D11" s="33">
        <v>30791.832999999999</v>
      </c>
      <c r="E11" s="33">
        <v>184838.56299999999</v>
      </c>
      <c r="H11" s="33"/>
      <c r="L11" s="33"/>
      <c r="M11" s="33"/>
      <c r="N11" s="33"/>
      <c r="V11" s="37" t="s">
        <v>712</v>
      </c>
      <c r="W11" s="189">
        <v>6740.76</v>
      </c>
      <c r="Y11" s="37" t="s">
        <v>711</v>
      </c>
      <c r="Z11" s="189">
        <v>6085.95</v>
      </c>
      <c r="AB11" s="37" t="s">
        <v>711</v>
      </c>
      <c r="AC11" s="189">
        <v>9935.31</v>
      </c>
      <c r="AE11" s="37" t="s">
        <v>711</v>
      </c>
      <c r="AF11" s="189">
        <v>7708.11</v>
      </c>
      <c r="AH11" s="37" t="s">
        <v>712</v>
      </c>
      <c r="AI11" s="189">
        <v>6751.9</v>
      </c>
    </row>
    <row r="12" spans="1:41" x14ac:dyDescent="0.25">
      <c r="H12" s="33"/>
      <c r="L12" s="33"/>
      <c r="M12" s="33"/>
      <c r="N12" s="33"/>
      <c r="V12" s="37" t="s">
        <v>713</v>
      </c>
      <c r="W12" s="189">
        <v>3943.33</v>
      </c>
      <c r="Y12" s="37" t="s">
        <v>712</v>
      </c>
      <c r="Z12" s="189">
        <v>6042.51</v>
      </c>
      <c r="AB12" s="37" t="s">
        <v>712</v>
      </c>
      <c r="AC12" s="189">
        <v>8170.34</v>
      </c>
      <c r="AE12" s="37" t="s">
        <v>712</v>
      </c>
      <c r="AF12" s="189">
        <v>7985.31</v>
      </c>
      <c r="AH12" s="37" t="s">
        <v>713</v>
      </c>
      <c r="AI12" s="189">
        <v>4793.07</v>
      </c>
    </row>
    <row r="13" spans="1:41" x14ac:dyDescent="0.25">
      <c r="L13" s="33"/>
      <c r="M13" s="33"/>
      <c r="N13" s="33"/>
      <c r="V13" s="37" t="s">
        <v>551</v>
      </c>
      <c r="W13" s="189">
        <v>3688.83</v>
      </c>
      <c r="Y13" s="37" t="s">
        <v>713</v>
      </c>
      <c r="Z13" s="189">
        <v>12879.46</v>
      </c>
      <c r="AB13" s="37" t="s">
        <v>713</v>
      </c>
      <c r="AC13" s="189">
        <v>14096.05</v>
      </c>
      <c r="AE13" s="37" t="s">
        <v>713</v>
      </c>
      <c r="AF13" s="189">
        <v>16102.45</v>
      </c>
      <c r="AH13" s="37" t="s">
        <v>551</v>
      </c>
      <c r="AI13" s="189">
        <v>8631.26</v>
      </c>
    </row>
    <row r="14" spans="1:41" x14ac:dyDescent="0.25">
      <c r="H14" s="33"/>
      <c r="I14" s="37" t="s">
        <v>714</v>
      </c>
      <c r="L14" s="33"/>
      <c r="M14" s="33"/>
      <c r="N14" s="33"/>
      <c r="V14" s="37" t="s">
        <v>555</v>
      </c>
      <c r="W14" s="189">
        <v>6021.58</v>
      </c>
      <c r="Y14" s="37" t="s">
        <v>551</v>
      </c>
      <c r="Z14" s="189">
        <v>4137.12</v>
      </c>
      <c r="AB14" s="37" t="s">
        <v>551</v>
      </c>
      <c r="AC14" s="189">
        <v>8938.44</v>
      </c>
      <c r="AE14" s="37" t="s">
        <v>551</v>
      </c>
      <c r="AF14" s="189">
        <v>16753.759999999998</v>
      </c>
      <c r="AH14" s="37" t="s">
        <v>555</v>
      </c>
      <c r="AI14" s="189">
        <v>21011.54</v>
      </c>
    </row>
    <row r="15" spans="1:41" x14ac:dyDescent="0.25">
      <c r="H15" s="33"/>
      <c r="L15" s="33"/>
      <c r="M15" s="33"/>
      <c r="N15" s="33"/>
      <c r="V15" s="37" t="s">
        <v>556</v>
      </c>
      <c r="W15" s="189">
        <v>8115.23</v>
      </c>
      <c r="Y15" s="37" t="s">
        <v>555</v>
      </c>
      <c r="Z15" s="189">
        <v>9441.0400000000009</v>
      </c>
      <c r="AB15" s="37" t="s">
        <v>555</v>
      </c>
      <c r="AC15" s="189">
        <v>9477.94</v>
      </c>
      <c r="AE15" s="37" t="s">
        <v>555</v>
      </c>
      <c r="AF15" s="189">
        <v>9095.16</v>
      </c>
      <c r="AH15" s="37" t="s">
        <v>556</v>
      </c>
      <c r="AI15" s="189">
        <v>4347.93</v>
      </c>
    </row>
    <row r="16" spans="1:41" ht="18" customHeight="1" x14ac:dyDescent="0.3">
      <c r="H16" s="194">
        <f>(GETPIVOTDATA("Comissão",$A$3,"Vendedor","Paulo")/GETPIVOTDATA("Comissão",$A$3,"Vendedor","Junior"))-1</f>
        <v>0.85341578067815815</v>
      </c>
      <c r="I16" s="1" t="s">
        <v>715</v>
      </c>
      <c r="J16" s="195">
        <f>GETPIVOTDATA("Comissão",$A$3,"Vendedor","Junior")/1</f>
        <v>53986.780000000013</v>
      </c>
      <c r="K16" t="s">
        <v>44</v>
      </c>
      <c r="L16" s="33"/>
      <c r="M16" s="33"/>
      <c r="N16" s="33"/>
      <c r="V16" s="37" t="s">
        <v>223</v>
      </c>
      <c r="W16" s="189">
        <v>52673.740000000013</v>
      </c>
      <c r="Y16" s="37" t="s">
        <v>556</v>
      </c>
      <c r="Z16" s="189">
        <v>11233.63</v>
      </c>
      <c r="AB16" s="37" t="s">
        <v>556</v>
      </c>
      <c r="AC16" s="189">
        <v>8535.09</v>
      </c>
      <c r="AE16" s="37" t="s">
        <v>556</v>
      </c>
      <c r="AF16" s="189">
        <v>4520.88</v>
      </c>
      <c r="AH16" s="37" t="s">
        <v>223</v>
      </c>
      <c r="AI16" s="189">
        <v>93060.81</v>
      </c>
    </row>
    <row r="17" spans="1:35" x14ac:dyDescent="0.25">
      <c r="H17" s="33"/>
      <c r="L17" s="33"/>
      <c r="M17" s="33"/>
      <c r="N17" s="33"/>
      <c r="V17" s="37" t="s">
        <v>708</v>
      </c>
      <c r="W17" s="195">
        <f>GETPIVOTDATA("Comissão",$V$3)/12</f>
        <v>4389.4783333333344</v>
      </c>
      <c r="Y17" s="37" t="s">
        <v>223</v>
      </c>
      <c r="Z17" s="189">
        <v>104049.67</v>
      </c>
      <c r="AB17" s="37" t="s">
        <v>223</v>
      </c>
      <c r="AC17" s="189">
        <v>111901.79</v>
      </c>
      <c r="AE17" s="37" t="s">
        <v>223</v>
      </c>
      <c r="AF17" s="189">
        <v>97227.66</v>
      </c>
    </row>
    <row r="18" spans="1:35" x14ac:dyDescent="0.25">
      <c r="H18" s="35"/>
      <c r="L18" s="33"/>
      <c r="M18" s="33"/>
      <c r="N18" s="33"/>
      <c r="Y18" s="37" t="s">
        <v>708</v>
      </c>
      <c r="Z18" s="196">
        <f>GETPIVOTDATA("Comissão",$Y$4)/12</f>
        <v>8670.8058333333338</v>
      </c>
      <c r="AB18" s="37" t="s">
        <v>708</v>
      </c>
      <c r="AC18" s="195">
        <f>GETPIVOTDATA("Comissão",$AB$4)/12</f>
        <v>9325.1491666666661</v>
      </c>
      <c r="AE18" s="37" t="s">
        <v>708</v>
      </c>
      <c r="AF18" s="195">
        <f>GETPIVOTDATA("Comissão",$AE$4)/12</f>
        <v>8102.3050000000003</v>
      </c>
      <c r="AH18" s="37" t="s">
        <v>708</v>
      </c>
      <c r="AI18" s="195">
        <f>GETPIVOTDATA("Comissão",$AH$4)/12</f>
        <v>7755.0675000000001</v>
      </c>
    </row>
    <row r="19" spans="1:35" x14ac:dyDescent="0.25">
      <c r="H19" s="33"/>
      <c r="L19" s="33"/>
      <c r="M19" s="33"/>
      <c r="N19" s="33"/>
    </row>
    <row r="20" spans="1:35" x14ac:dyDescent="0.25">
      <c r="B20" s="33"/>
      <c r="C20" s="33"/>
      <c r="D20" s="33"/>
      <c r="E20" s="33"/>
      <c r="F20" s="33"/>
      <c r="G20" s="33"/>
      <c r="H20" s="33"/>
      <c r="L20" s="33"/>
      <c r="M20" s="33"/>
      <c r="N20" s="33"/>
    </row>
    <row r="21" spans="1:35" x14ac:dyDescent="0.25">
      <c r="B21" s="33"/>
      <c r="C21" s="33"/>
      <c r="D21" s="33"/>
      <c r="E21" s="33"/>
      <c r="F21" s="33"/>
      <c r="G21" s="33"/>
      <c r="H21" s="33"/>
      <c r="L21" s="33"/>
      <c r="M21" s="33"/>
      <c r="N21" s="33"/>
    </row>
    <row r="22" spans="1:35" x14ac:dyDescent="0.25">
      <c r="B22" s="33"/>
      <c r="C22" s="33"/>
      <c r="D22" s="33"/>
      <c r="E22" s="33"/>
      <c r="F22" s="33"/>
      <c r="G22" s="33"/>
      <c r="H22" s="33"/>
      <c r="I22" s="33"/>
      <c r="J22" s="33"/>
      <c r="K22" s="33"/>
      <c r="L22" s="33"/>
      <c r="M22" s="33"/>
      <c r="N22" s="33"/>
    </row>
    <row r="23" spans="1:35" x14ac:dyDescent="0.25">
      <c r="B23" s="33"/>
      <c r="C23" s="33"/>
      <c r="D23" s="33"/>
      <c r="E23" s="33"/>
      <c r="F23" s="33"/>
      <c r="G23" s="33"/>
      <c r="H23" s="33"/>
      <c r="I23" s="33"/>
      <c r="J23" s="33"/>
      <c r="K23" s="33"/>
      <c r="L23" s="33"/>
      <c r="M23" s="33"/>
      <c r="N23" s="33"/>
    </row>
    <row r="24" spans="1:35" x14ac:dyDescent="0.25">
      <c r="B24" s="33"/>
      <c r="C24" s="33"/>
      <c r="D24" s="33"/>
      <c r="E24" s="33"/>
      <c r="F24" s="33"/>
      <c r="G24" s="33"/>
      <c r="H24" s="33"/>
      <c r="I24" s="33"/>
      <c r="J24" s="33"/>
      <c r="K24" s="33"/>
      <c r="L24" s="33"/>
      <c r="M24" s="33"/>
      <c r="N24" s="33"/>
    </row>
    <row r="25" spans="1:35" x14ac:dyDescent="0.25">
      <c r="A25" s="37"/>
      <c r="B25" s="33"/>
      <c r="C25" s="33"/>
      <c r="D25" s="33"/>
      <c r="E25" s="33"/>
      <c r="F25" s="33"/>
      <c r="G25" s="33"/>
      <c r="H25" s="33"/>
      <c r="I25" s="33"/>
      <c r="J25" s="33"/>
      <c r="K25" s="33"/>
      <c r="L25" s="33"/>
      <c r="M25" s="33"/>
      <c r="N25" s="33"/>
    </row>
    <row r="26" spans="1:35" x14ac:dyDescent="0.25">
      <c r="A26" s="37"/>
      <c r="B26" s="33"/>
      <c r="C26" s="33"/>
      <c r="D26" s="33"/>
      <c r="E26" s="33"/>
      <c r="F26" s="33"/>
      <c r="G26" s="33"/>
      <c r="H26" s="33"/>
      <c r="I26" s="33"/>
      <c r="J26" s="33"/>
      <c r="K26" s="33"/>
      <c r="L26" s="33"/>
      <c r="M26" s="33"/>
      <c r="N26" s="33"/>
    </row>
    <row r="27" spans="1:35" x14ac:dyDescent="0.25">
      <c r="A27" s="37"/>
      <c r="B27" s="33"/>
      <c r="C27" s="33"/>
      <c r="D27" s="33"/>
      <c r="E27" s="33"/>
      <c r="F27" s="33"/>
      <c r="G27" s="33"/>
      <c r="H27" s="33"/>
      <c r="I27" s="33"/>
      <c r="J27" s="33"/>
      <c r="K27" s="33"/>
      <c r="L27" s="33"/>
      <c r="M27" s="33"/>
      <c r="N27" s="33"/>
    </row>
    <row r="28" spans="1:35" x14ac:dyDescent="0.25">
      <c r="A28" s="37"/>
      <c r="B28" s="33"/>
      <c r="C28" s="33"/>
      <c r="D28" s="33"/>
      <c r="E28" s="33"/>
      <c r="F28" s="33"/>
      <c r="G28" s="33"/>
      <c r="H28" s="33"/>
      <c r="I28" s="33"/>
      <c r="J28" s="33"/>
      <c r="K28" s="33"/>
      <c r="L28" s="33"/>
      <c r="M28" s="33"/>
      <c r="N28" s="33"/>
    </row>
    <row r="29" spans="1:35" x14ac:dyDescent="0.25">
      <c r="A29" s="37"/>
      <c r="B29" s="33"/>
      <c r="C29" s="33"/>
      <c r="D29" s="33"/>
      <c r="E29" s="33"/>
      <c r="F29" s="33"/>
      <c r="G29" s="33"/>
      <c r="H29" s="33"/>
      <c r="I29" s="33"/>
      <c r="J29" s="33"/>
      <c r="K29" s="33"/>
      <c r="L29" s="33"/>
      <c r="M29" s="33"/>
      <c r="N29" s="33"/>
    </row>
    <row r="30" spans="1:35" hidden="1" x14ac:dyDescent="0.25">
      <c r="A30" s="37"/>
      <c r="B30" s="33"/>
      <c r="C30" s="33"/>
      <c r="D30" s="33"/>
      <c r="E30" s="33"/>
      <c r="F30" s="33"/>
      <c r="G30" s="33"/>
      <c r="H30" s="33"/>
      <c r="I30" s="33"/>
      <c r="J30" s="33"/>
      <c r="K30" s="33"/>
      <c r="L30" s="33"/>
      <c r="M30" s="33"/>
      <c r="N30" s="33"/>
    </row>
    <row r="31" spans="1:35" hidden="1" x14ac:dyDescent="0.25">
      <c r="A31" s="37"/>
      <c r="B31" s="33"/>
      <c r="C31" s="33"/>
      <c r="D31" s="33"/>
      <c r="E31" s="33"/>
      <c r="F31" s="33"/>
      <c r="G31" s="33"/>
      <c r="H31" s="33"/>
      <c r="I31" s="33"/>
      <c r="J31" s="33"/>
      <c r="K31" s="33"/>
      <c r="L31" s="33"/>
      <c r="M31" s="33"/>
      <c r="N31" s="33"/>
    </row>
    <row r="32" spans="1:35" hidden="1" x14ac:dyDescent="0.25">
      <c r="A32" s="37"/>
      <c r="B32" s="33"/>
      <c r="C32" s="33"/>
      <c r="D32" s="33"/>
      <c r="E32" s="33"/>
      <c r="F32" s="33"/>
      <c r="G32" s="33"/>
      <c r="H32" s="33"/>
      <c r="I32" s="33"/>
      <c r="J32" s="33"/>
      <c r="K32" s="33"/>
      <c r="L32" s="33"/>
      <c r="M32" s="33"/>
      <c r="N32" s="33"/>
    </row>
    <row r="33" spans="1:14" hidden="1" x14ac:dyDescent="0.25">
      <c r="A33" s="37"/>
      <c r="B33" s="33"/>
      <c r="C33" s="33"/>
      <c r="D33" s="33"/>
      <c r="E33" s="33"/>
      <c r="F33" s="33"/>
      <c r="G33" s="33"/>
      <c r="H33" s="33"/>
      <c r="I33" s="33"/>
      <c r="J33" s="33"/>
      <c r="K33" s="33"/>
      <c r="L33" s="33"/>
      <c r="M33" s="33"/>
      <c r="N33" s="33"/>
    </row>
    <row r="34" spans="1:14" hidden="1" x14ac:dyDescent="0.25">
      <c r="A34" s="37"/>
      <c r="B34" s="33"/>
      <c r="C34" s="33"/>
      <c r="D34" s="33"/>
      <c r="E34" s="33"/>
      <c r="F34" s="33"/>
      <c r="G34" s="33"/>
      <c r="H34" s="33"/>
      <c r="I34" s="33"/>
      <c r="J34" s="33"/>
      <c r="K34" s="33"/>
      <c r="L34" s="33"/>
      <c r="M34" s="33"/>
      <c r="N34" s="33"/>
    </row>
    <row r="35" spans="1:14" hidden="1" x14ac:dyDescent="0.25">
      <c r="A35" s="37"/>
      <c r="B35" s="33"/>
      <c r="C35" s="33"/>
      <c r="D35" s="33"/>
      <c r="E35" s="33"/>
      <c r="F35" s="33"/>
      <c r="G35" s="33"/>
      <c r="H35" s="33"/>
      <c r="I35" s="33"/>
      <c r="J35" s="33"/>
      <c r="K35" s="33"/>
      <c r="L35" s="33"/>
      <c r="M35" s="33"/>
      <c r="N35" s="33"/>
    </row>
    <row r="36" spans="1:14" hidden="1" x14ac:dyDescent="0.25">
      <c r="A36" s="37"/>
      <c r="B36" s="33"/>
      <c r="C36" s="33"/>
      <c r="D36" s="33"/>
      <c r="E36" s="33"/>
      <c r="F36" s="33"/>
      <c r="G36" s="33"/>
      <c r="H36" s="33"/>
      <c r="I36" s="33"/>
      <c r="J36" s="33"/>
      <c r="K36" s="33"/>
      <c r="L36" s="33"/>
      <c r="M36" s="33"/>
      <c r="N36" s="33"/>
    </row>
    <row r="37" spans="1:14" hidden="1" x14ac:dyDescent="0.25">
      <c r="A37" s="37"/>
      <c r="B37" s="33"/>
      <c r="C37" s="33"/>
      <c r="D37" s="33"/>
      <c r="E37" s="33"/>
      <c r="F37" s="33"/>
      <c r="G37" s="33"/>
      <c r="H37" s="33"/>
      <c r="I37" s="33"/>
      <c r="J37" s="33"/>
      <c r="K37" s="33"/>
      <c r="L37" s="33"/>
      <c r="M37" s="33"/>
      <c r="N37" s="33"/>
    </row>
    <row r="38" spans="1:14" hidden="1" x14ac:dyDescent="0.25">
      <c r="A38" s="37"/>
      <c r="B38" s="33"/>
      <c r="C38" s="33"/>
      <c r="D38" s="33"/>
      <c r="E38" s="33"/>
      <c r="F38" s="33"/>
      <c r="G38" s="33"/>
      <c r="H38" s="33"/>
      <c r="I38" s="33"/>
      <c r="J38" s="33"/>
      <c r="K38" s="33"/>
      <c r="L38" s="33"/>
      <c r="M38" s="33"/>
      <c r="N38" s="33"/>
    </row>
    <row r="39" spans="1:14" hidden="1" x14ac:dyDescent="0.25">
      <c r="A39" s="37"/>
      <c r="B39" s="33"/>
      <c r="C39" s="33"/>
      <c r="D39" s="33"/>
      <c r="E39" s="33"/>
      <c r="F39" s="33"/>
      <c r="G39" s="33"/>
      <c r="H39" s="33"/>
      <c r="I39" s="33"/>
      <c r="J39" s="33"/>
      <c r="K39" s="33"/>
      <c r="L39" s="33"/>
      <c r="M39" s="33"/>
      <c r="N39" s="33"/>
    </row>
    <row r="40" spans="1:14" hidden="1" x14ac:dyDescent="0.25">
      <c r="A40" s="37"/>
      <c r="B40" s="33"/>
      <c r="C40" s="33"/>
      <c r="D40" s="33"/>
      <c r="E40" s="33"/>
      <c r="F40" s="33"/>
      <c r="G40" s="33"/>
      <c r="H40" s="33"/>
      <c r="I40" s="33"/>
      <c r="J40" s="33"/>
      <c r="K40" s="33"/>
      <c r="L40" s="33"/>
      <c r="M40" s="33"/>
      <c r="N40" s="33"/>
    </row>
    <row r="41" spans="1:14" hidden="1" x14ac:dyDescent="0.25">
      <c r="A41" s="37"/>
      <c r="B41" s="33"/>
      <c r="C41" s="33"/>
      <c r="D41" s="33"/>
      <c r="E41" s="33"/>
      <c r="F41" s="33"/>
      <c r="G41" s="33"/>
      <c r="H41" s="33"/>
      <c r="I41" s="33"/>
      <c r="J41" s="33"/>
      <c r="K41" s="33"/>
      <c r="L41" s="33"/>
      <c r="M41" s="33"/>
      <c r="N41" s="33"/>
    </row>
    <row r="42" spans="1:14" hidden="1" x14ac:dyDescent="0.25">
      <c r="A42" s="37"/>
      <c r="B42" s="33"/>
      <c r="C42" s="33"/>
      <c r="D42" s="33"/>
      <c r="E42" s="33"/>
      <c r="F42" s="33"/>
      <c r="G42" s="33"/>
      <c r="H42" s="33"/>
      <c r="I42" s="33"/>
      <c r="J42" s="33"/>
      <c r="K42" s="33"/>
      <c r="L42" s="33"/>
      <c r="M42" s="33"/>
      <c r="N42" s="33"/>
    </row>
    <row r="43" spans="1:14" hidden="1" x14ac:dyDescent="0.25">
      <c r="A43" s="37"/>
      <c r="B43" s="33"/>
      <c r="C43" s="33"/>
      <c r="D43" s="33"/>
      <c r="E43" s="33"/>
      <c r="F43" s="33"/>
      <c r="G43" s="33"/>
      <c r="H43" s="33"/>
      <c r="I43" s="33"/>
      <c r="J43" s="33"/>
      <c r="K43" s="33"/>
      <c r="L43" s="33"/>
      <c r="M43" s="33"/>
      <c r="N43" s="33"/>
    </row>
    <row r="44" spans="1:14" hidden="1" x14ac:dyDescent="0.25">
      <c r="A44" s="37"/>
      <c r="B44" s="33"/>
      <c r="C44" s="33"/>
      <c r="D44" s="33"/>
      <c r="E44" s="33"/>
      <c r="F44" s="33"/>
      <c r="G44" s="33"/>
      <c r="H44" s="33"/>
      <c r="I44" s="33"/>
      <c r="J44" s="33"/>
      <c r="K44" s="33"/>
      <c r="L44" s="33"/>
      <c r="M44" s="33"/>
      <c r="N44" s="33"/>
    </row>
    <row r="45" spans="1:14" hidden="1" x14ac:dyDescent="0.25">
      <c r="A45" s="37"/>
      <c r="B45" s="33"/>
      <c r="C45" s="33"/>
      <c r="D45" s="33"/>
      <c r="E45" s="33"/>
      <c r="F45" s="33"/>
      <c r="G45" s="33"/>
      <c r="H45" s="33"/>
      <c r="I45" s="33"/>
      <c r="J45" s="33"/>
      <c r="K45" s="33"/>
      <c r="L45" s="33"/>
      <c r="M45" s="33"/>
      <c r="N45" s="33"/>
    </row>
    <row r="46" spans="1:14" hidden="1" x14ac:dyDescent="0.25">
      <c r="A46" s="37"/>
      <c r="B46" s="33"/>
      <c r="C46" s="33"/>
      <c r="D46" s="33"/>
      <c r="E46" s="33"/>
      <c r="F46" s="33"/>
      <c r="G46" s="33"/>
      <c r="H46" s="33"/>
      <c r="I46" s="33"/>
      <c r="J46" s="33"/>
      <c r="K46" s="33"/>
      <c r="L46" s="33"/>
      <c r="M46" s="33"/>
      <c r="N46" s="33"/>
    </row>
    <row r="47" spans="1:14" hidden="1" x14ac:dyDescent="0.25">
      <c r="A47" s="37"/>
      <c r="B47" s="33"/>
      <c r="C47" s="33"/>
      <c r="D47" s="33"/>
      <c r="E47" s="33"/>
      <c r="F47" s="33"/>
      <c r="G47" s="33"/>
      <c r="H47" s="33"/>
      <c r="I47" s="33"/>
      <c r="J47" s="33"/>
      <c r="K47" s="33"/>
      <c r="L47" s="33"/>
      <c r="M47" s="33"/>
      <c r="N47" s="33"/>
    </row>
    <row r="48" spans="1:14" hidden="1" x14ac:dyDescent="0.25">
      <c r="A48" s="37"/>
      <c r="B48" s="33"/>
      <c r="C48" s="33"/>
      <c r="D48" s="33"/>
      <c r="E48" s="33"/>
      <c r="F48" s="33"/>
      <c r="G48" s="33"/>
      <c r="H48" s="33"/>
      <c r="I48" s="33"/>
      <c r="J48" s="33"/>
      <c r="K48" s="33"/>
      <c r="L48" s="33"/>
      <c r="M48" s="33"/>
      <c r="N48" s="33"/>
    </row>
    <row r="49" spans="1:14" hidden="1" x14ac:dyDescent="0.25">
      <c r="A49" s="37"/>
      <c r="B49" s="33"/>
      <c r="C49" s="33"/>
      <c r="D49" s="33"/>
      <c r="E49" s="33"/>
      <c r="F49" s="33"/>
      <c r="G49" s="33"/>
      <c r="H49" s="33"/>
      <c r="I49" s="33"/>
      <c r="J49" s="33"/>
      <c r="K49" s="33"/>
      <c r="L49" s="33"/>
      <c r="M49" s="33"/>
      <c r="N49" s="33"/>
    </row>
    <row r="50" spans="1:14" hidden="1" x14ac:dyDescent="0.25">
      <c r="A50" s="37"/>
      <c r="B50" s="33"/>
      <c r="C50" s="33"/>
      <c r="D50" s="33"/>
      <c r="E50" s="33"/>
      <c r="F50" s="33"/>
      <c r="G50" s="33"/>
      <c r="H50" s="33"/>
      <c r="I50" s="33"/>
      <c r="J50" s="33"/>
      <c r="K50" s="33"/>
      <c r="L50" s="33"/>
      <c r="M50" s="33"/>
      <c r="N50" s="33"/>
    </row>
    <row r="51" spans="1:14" hidden="1" x14ac:dyDescent="0.25">
      <c r="A51" s="37"/>
      <c r="B51" s="33"/>
      <c r="C51" s="33"/>
      <c r="D51" s="33"/>
      <c r="E51" s="33"/>
      <c r="F51" s="33"/>
      <c r="G51" s="33"/>
      <c r="H51" s="33"/>
      <c r="I51" s="33"/>
      <c r="J51" s="33"/>
      <c r="K51" s="33"/>
      <c r="L51" s="33"/>
      <c r="M51" s="33"/>
      <c r="N51" s="33"/>
    </row>
    <row r="52" spans="1:14" hidden="1" x14ac:dyDescent="0.25">
      <c r="A52" s="37"/>
      <c r="B52" s="33"/>
      <c r="C52" s="33"/>
      <c r="D52" s="33"/>
      <c r="E52" s="33"/>
      <c r="F52" s="33"/>
      <c r="G52" s="33"/>
      <c r="H52" s="33"/>
      <c r="I52" s="33"/>
      <c r="J52" s="33"/>
      <c r="K52" s="33"/>
      <c r="L52" s="33"/>
      <c r="M52" s="33"/>
      <c r="N52" s="33"/>
    </row>
    <row r="53" spans="1:14" hidden="1" x14ac:dyDescent="0.25">
      <c r="A53" s="37"/>
      <c r="B53" s="33"/>
      <c r="C53" s="33"/>
      <c r="D53" s="33"/>
      <c r="E53" s="33"/>
      <c r="F53" s="33"/>
      <c r="G53" s="33"/>
      <c r="H53" s="33"/>
      <c r="I53" s="33"/>
      <c r="J53" s="33"/>
      <c r="K53" s="33"/>
      <c r="L53" s="33"/>
      <c r="M53" s="33"/>
      <c r="N53" s="33"/>
    </row>
    <row r="54" spans="1:14" hidden="1" x14ac:dyDescent="0.25">
      <c r="A54" s="37"/>
      <c r="B54" s="33"/>
      <c r="C54" s="33"/>
      <c r="D54" s="33"/>
      <c r="E54" s="33"/>
      <c r="F54" s="33"/>
      <c r="G54" s="33"/>
      <c r="H54" s="33"/>
      <c r="I54" s="33"/>
      <c r="J54" s="33"/>
      <c r="K54" s="33"/>
      <c r="L54" s="33"/>
      <c r="M54" s="33"/>
      <c r="N54" s="33"/>
    </row>
    <row r="55" spans="1:14" hidden="1" x14ac:dyDescent="0.25">
      <c r="A55" s="37"/>
      <c r="B55" s="33"/>
      <c r="C55" s="33"/>
      <c r="D55" s="33"/>
      <c r="E55" s="33"/>
      <c r="F55" s="33"/>
      <c r="G55" s="33"/>
      <c r="H55" s="33"/>
      <c r="I55" s="33"/>
      <c r="J55" s="33"/>
      <c r="K55" s="33"/>
      <c r="L55" s="33"/>
      <c r="M55" s="33"/>
      <c r="N55" s="33"/>
    </row>
    <row r="56" spans="1:14" hidden="1" x14ac:dyDescent="0.25">
      <c r="A56" s="37"/>
      <c r="B56" s="33"/>
      <c r="C56" s="33"/>
      <c r="D56" s="33"/>
      <c r="E56" s="33"/>
      <c r="F56" s="33"/>
      <c r="G56" s="33"/>
      <c r="H56" s="33"/>
      <c r="I56" s="33"/>
      <c r="J56" s="33"/>
      <c r="K56" s="33"/>
      <c r="L56" s="33"/>
      <c r="M56" s="33"/>
      <c r="N56" s="33"/>
    </row>
    <row r="57" spans="1:14" hidden="1" x14ac:dyDescent="0.25">
      <c r="A57" s="37"/>
      <c r="B57" s="33"/>
      <c r="C57" s="33"/>
      <c r="D57" s="33"/>
      <c r="E57" s="33"/>
      <c r="F57" s="33"/>
      <c r="G57" s="33"/>
      <c r="H57" s="33"/>
      <c r="I57" s="33"/>
      <c r="J57" s="33"/>
      <c r="K57" s="33"/>
      <c r="L57" s="33"/>
      <c r="M57" s="33"/>
      <c r="N57" s="33"/>
    </row>
    <row r="58" spans="1:14" hidden="1" x14ac:dyDescent="0.25">
      <c r="A58" s="37"/>
      <c r="B58" s="33"/>
      <c r="C58" s="33"/>
      <c r="D58" s="33"/>
      <c r="E58" s="33"/>
      <c r="F58" s="33"/>
      <c r="G58" s="33"/>
      <c r="H58" s="33"/>
      <c r="I58" s="33"/>
      <c r="J58" s="33"/>
      <c r="K58" s="33"/>
      <c r="L58" s="33"/>
      <c r="M58" s="33"/>
      <c r="N58" s="33"/>
    </row>
    <row r="59" spans="1:14" hidden="1" x14ac:dyDescent="0.25">
      <c r="A59" s="37"/>
      <c r="B59" s="33"/>
      <c r="C59" s="33"/>
      <c r="D59" s="33"/>
      <c r="E59" s="33"/>
      <c r="F59" s="33"/>
      <c r="G59" s="33"/>
      <c r="H59" s="33"/>
      <c r="I59" s="33"/>
      <c r="J59" s="33"/>
      <c r="K59" s="33"/>
      <c r="L59" s="33"/>
      <c r="M59" s="33"/>
      <c r="N59" s="33"/>
    </row>
    <row r="60" spans="1:14" hidden="1" x14ac:dyDescent="0.25">
      <c r="A60" s="37"/>
      <c r="B60" s="33"/>
      <c r="C60" s="33"/>
      <c r="D60" s="33"/>
      <c r="E60" s="33"/>
      <c r="F60" s="33"/>
      <c r="G60" s="33"/>
      <c r="H60" s="33"/>
      <c r="I60" s="33"/>
      <c r="J60" s="33"/>
      <c r="K60" s="33"/>
      <c r="L60" s="33"/>
      <c r="M60" s="33"/>
      <c r="N60" s="33"/>
    </row>
    <row r="61" spans="1:14" hidden="1" x14ac:dyDescent="0.25">
      <c r="A61" s="37"/>
      <c r="B61" s="33"/>
      <c r="C61" s="33"/>
      <c r="D61" s="33"/>
      <c r="E61" s="33"/>
      <c r="F61" s="33"/>
      <c r="G61" s="33"/>
      <c r="H61" s="33"/>
      <c r="I61" s="33"/>
      <c r="J61" s="33"/>
      <c r="K61" s="33"/>
      <c r="L61" s="33"/>
      <c r="M61" s="33"/>
      <c r="N61" s="33"/>
    </row>
    <row r="62" spans="1:14" hidden="1" x14ac:dyDescent="0.25">
      <c r="A62" s="37"/>
      <c r="B62" s="33"/>
      <c r="C62" s="33"/>
      <c r="D62" s="33"/>
      <c r="E62" s="33"/>
      <c r="F62" s="33"/>
      <c r="G62" s="33"/>
      <c r="H62" s="33"/>
      <c r="I62" s="33"/>
      <c r="J62" s="33"/>
      <c r="K62" s="33"/>
      <c r="L62" s="33"/>
      <c r="M62" s="33"/>
      <c r="N62" s="33"/>
    </row>
    <row r="63" spans="1:14" hidden="1" x14ac:dyDescent="0.25">
      <c r="A63" s="37"/>
      <c r="B63" s="33"/>
      <c r="C63" s="33"/>
      <c r="D63" s="33"/>
      <c r="E63" s="33"/>
      <c r="F63" s="33"/>
      <c r="G63" s="33"/>
      <c r="H63" s="33"/>
      <c r="I63" s="33"/>
      <c r="J63" s="33"/>
      <c r="K63" s="33"/>
      <c r="L63" s="33"/>
      <c r="M63" s="33"/>
      <c r="N63" s="33"/>
    </row>
    <row r="64" spans="1:14" hidden="1" x14ac:dyDescent="0.25">
      <c r="A64" s="37"/>
      <c r="B64" s="33"/>
      <c r="C64" s="33"/>
      <c r="D64" s="33"/>
      <c r="E64" s="33"/>
      <c r="F64" s="33"/>
      <c r="G64" s="33"/>
      <c r="H64" s="33"/>
      <c r="I64" s="33"/>
      <c r="J64" s="33"/>
      <c r="K64" s="33"/>
      <c r="L64" s="33"/>
      <c r="M64" s="33"/>
      <c r="N64" s="33"/>
    </row>
    <row r="65" spans="1:14" hidden="1" x14ac:dyDescent="0.25">
      <c r="A65" s="37"/>
      <c r="B65" s="33"/>
      <c r="C65" s="33"/>
      <c r="D65" s="33"/>
      <c r="E65" s="33"/>
      <c r="F65" s="33"/>
      <c r="G65" s="33"/>
      <c r="H65" s="33"/>
      <c r="I65" s="33"/>
      <c r="J65" s="33"/>
      <c r="K65" s="33"/>
      <c r="L65" s="33"/>
      <c r="M65" s="33"/>
      <c r="N65" s="33"/>
    </row>
    <row r="66" spans="1:14" hidden="1" x14ac:dyDescent="0.25">
      <c r="A66" s="37"/>
      <c r="B66" s="33"/>
      <c r="C66" s="33"/>
      <c r="D66" s="33"/>
      <c r="E66" s="33"/>
      <c r="F66" s="33"/>
      <c r="G66" s="33"/>
      <c r="H66" s="33"/>
      <c r="I66" s="33"/>
      <c r="J66" s="33"/>
      <c r="K66" s="33"/>
      <c r="L66" s="33"/>
      <c r="M66" s="33"/>
      <c r="N66" s="33"/>
    </row>
    <row r="67" spans="1:14" hidden="1" x14ac:dyDescent="0.25">
      <c r="A67" s="37"/>
      <c r="B67" s="33"/>
      <c r="C67" s="33"/>
      <c r="D67" s="33"/>
      <c r="E67" s="33"/>
      <c r="F67" s="33"/>
      <c r="G67" s="33"/>
      <c r="H67" s="33"/>
      <c r="I67" s="33"/>
      <c r="J67" s="33"/>
      <c r="K67" s="33"/>
      <c r="L67" s="33"/>
      <c r="M67" s="33"/>
      <c r="N67" s="33"/>
    </row>
    <row r="68" spans="1:14" hidden="1" x14ac:dyDescent="0.25">
      <c r="A68" s="37"/>
      <c r="B68" s="33"/>
      <c r="C68" s="33"/>
      <c r="D68" s="33"/>
      <c r="E68" s="33"/>
      <c r="F68" s="33"/>
      <c r="G68" s="33"/>
      <c r="H68" s="33"/>
      <c r="I68" s="33"/>
      <c r="J68" s="33"/>
      <c r="K68" s="33"/>
      <c r="L68" s="33"/>
      <c r="M68" s="33"/>
      <c r="N68" s="33"/>
    </row>
    <row r="69" spans="1:14" hidden="1" x14ac:dyDescent="0.25">
      <c r="A69" s="37"/>
      <c r="B69" s="33"/>
      <c r="C69" s="33"/>
      <c r="D69" s="33"/>
      <c r="E69" s="33"/>
      <c r="F69" s="33"/>
      <c r="G69" s="33"/>
      <c r="H69" s="33"/>
      <c r="I69" s="33"/>
      <c r="J69" s="33"/>
      <c r="K69" s="33"/>
      <c r="L69" s="33"/>
      <c r="M69" s="33"/>
      <c r="N69" s="33"/>
    </row>
    <row r="70" spans="1:14" hidden="1" x14ac:dyDescent="0.25">
      <c r="A70" s="37"/>
      <c r="B70" s="33"/>
      <c r="C70" s="33"/>
      <c r="D70" s="33"/>
      <c r="E70" s="33"/>
      <c r="F70" s="33"/>
      <c r="G70" s="33"/>
      <c r="H70" s="33"/>
      <c r="I70" s="33"/>
      <c r="J70" s="33"/>
      <c r="K70" s="33"/>
      <c r="L70" s="33"/>
      <c r="M70" s="33"/>
      <c r="N70" s="33"/>
    </row>
    <row r="71" spans="1:14" hidden="1" x14ac:dyDescent="0.25">
      <c r="A71" s="37"/>
      <c r="B71" s="33"/>
      <c r="C71" s="33"/>
      <c r="D71" s="33"/>
      <c r="E71" s="33"/>
      <c r="F71" s="33"/>
      <c r="G71" s="33"/>
      <c r="H71" s="33"/>
      <c r="I71" s="33"/>
      <c r="J71" s="33"/>
      <c r="K71" s="33"/>
      <c r="L71" s="33"/>
      <c r="M71" s="33"/>
      <c r="N71" s="33"/>
    </row>
    <row r="72" spans="1:14" hidden="1" x14ac:dyDescent="0.25">
      <c r="A72" s="37"/>
      <c r="B72" s="33"/>
      <c r="C72" s="33"/>
      <c r="D72" s="33"/>
      <c r="E72" s="33"/>
      <c r="F72" s="33"/>
      <c r="G72" s="33"/>
      <c r="H72" s="33"/>
      <c r="I72" s="33"/>
      <c r="J72" s="33"/>
      <c r="K72" s="33"/>
      <c r="L72" s="33"/>
      <c r="M72" s="33"/>
      <c r="N72" s="33"/>
    </row>
    <row r="73" spans="1:14" hidden="1" x14ac:dyDescent="0.25">
      <c r="A73" s="37"/>
      <c r="B73" s="33"/>
      <c r="C73" s="33"/>
      <c r="D73" s="33"/>
      <c r="E73" s="33"/>
      <c r="F73" s="33"/>
      <c r="G73" s="33"/>
      <c r="H73" s="33"/>
      <c r="I73" s="33"/>
      <c r="J73" s="33"/>
      <c r="K73" s="33"/>
      <c r="L73" s="33"/>
      <c r="M73" s="33"/>
      <c r="N73" s="33"/>
    </row>
    <row r="74" spans="1:14" hidden="1" x14ac:dyDescent="0.25">
      <c r="A74" s="37"/>
      <c r="B74" s="33"/>
      <c r="C74" s="33"/>
      <c r="D74" s="33"/>
      <c r="E74" s="33"/>
      <c r="F74" s="33"/>
      <c r="G74" s="33"/>
      <c r="H74" s="33"/>
      <c r="I74" s="33"/>
      <c r="J74" s="33"/>
      <c r="K74" s="33"/>
      <c r="L74" s="33"/>
      <c r="M74" s="33"/>
      <c r="N74" s="33"/>
    </row>
    <row r="75" spans="1:14" hidden="1" x14ac:dyDescent="0.25">
      <c r="A75" s="37"/>
      <c r="B75" s="33"/>
      <c r="C75" s="33"/>
      <c r="D75" s="33"/>
      <c r="E75" s="33"/>
      <c r="F75" s="33"/>
      <c r="G75" s="33"/>
      <c r="H75" s="33"/>
      <c r="I75" s="33"/>
      <c r="J75" s="33"/>
      <c r="K75" s="33"/>
      <c r="L75" s="33"/>
      <c r="M75" s="33"/>
      <c r="N75" s="33"/>
    </row>
    <row r="76" spans="1:14" hidden="1" x14ac:dyDescent="0.25">
      <c r="A76" s="37"/>
      <c r="B76" s="33"/>
      <c r="C76" s="33"/>
      <c r="D76" s="33"/>
      <c r="E76" s="33"/>
      <c r="F76" s="33"/>
      <c r="G76" s="33"/>
      <c r="H76" s="33"/>
      <c r="I76" s="33"/>
      <c r="J76" s="33"/>
      <c r="K76" s="33"/>
      <c r="L76" s="33"/>
      <c r="M76" s="33"/>
      <c r="N76" s="33"/>
    </row>
    <row r="77" spans="1:14" hidden="1" x14ac:dyDescent="0.25">
      <c r="A77" s="37"/>
      <c r="B77" s="33"/>
      <c r="C77" s="33"/>
      <c r="D77" s="33"/>
      <c r="E77" s="33"/>
      <c r="F77" s="33"/>
      <c r="G77" s="33"/>
      <c r="H77" s="33"/>
      <c r="I77" s="33"/>
      <c r="J77" s="33"/>
      <c r="K77" s="33"/>
      <c r="L77" s="33"/>
      <c r="M77" s="33"/>
      <c r="N77" s="33"/>
    </row>
    <row r="78" spans="1:14" hidden="1" x14ac:dyDescent="0.25">
      <c r="A78" s="37"/>
      <c r="B78" s="33"/>
      <c r="C78" s="33"/>
      <c r="D78" s="33"/>
      <c r="E78" s="33"/>
      <c r="F78" s="33"/>
      <c r="G78" s="33"/>
      <c r="H78" s="33"/>
      <c r="I78" s="33"/>
      <c r="J78" s="33"/>
      <c r="K78" s="33"/>
      <c r="L78" s="33"/>
      <c r="M78" s="33"/>
      <c r="N78" s="33"/>
    </row>
    <row r="79" spans="1:14" hidden="1" x14ac:dyDescent="0.25">
      <c r="A79" s="37"/>
      <c r="B79" s="33"/>
      <c r="C79" s="33"/>
      <c r="D79" s="33"/>
      <c r="E79" s="33"/>
      <c r="F79" s="33"/>
      <c r="G79" s="33"/>
      <c r="H79" s="33"/>
      <c r="I79" s="33"/>
      <c r="J79" s="33"/>
      <c r="K79" s="33"/>
      <c r="L79" s="33"/>
      <c r="M79" s="33"/>
      <c r="N79" s="33"/>
    </row>
    <row r="80" spans="1:14" hidden="1" x14ac:dyDescent="0.25">
      <c r="A80" s="37"/>
      <c r="B80" s="33"/>
      <c r="C80" s="33"/>
      <c r="D80" s="33"/>
      <c r="E80" s="33"/>
      <c r="F80" s="33"/>
      <c r="G80" s="33"/>
      <c r="H80" s="33"/>
      <c r="I80" s="33"/>
      <c r="J80" s="33"/>
      <c r="K80" s="33"/>
      <c r="L80" s="33"/>
      <c r="M80" s="33"/>
      <c r="N80" s="33"/>
    </row>
    <row r="81" spans="1:14" hidden="1" x14ac:dyDescent="0.25">
      <c r="A81" s="37"/>
      <c r="B81" s="33"/>
      <c r="C81" s="33"/>
      <c r="D81" s="33"/>
      <c r="E81" s="33"/>
      <c r="F81" s="33"/>
      <c r="G81" s="33"/>
      <c r="H81" s="33"/>
      <c r="I81" s="33"/>
      <c r="J81" s="33"/>
      <c r="K81" s="33"/>
      <c r="L81" s="33"/>
      <c r="M81" s="33"/>
      <c r="N81" s="33"/>
    </row>
    <row r="82" spans="1:14" hidden="1" x14ac:dyDescent="0.25">
      <c r="A82" s="37"/>
      <c r="B82" s="33"/>
      <c r="C82" s="33"/>
      <c r="D82" s="33"/>
      <c r="E82" s="33"/>
      <c r="F82" s="33"/>
      <c r="G82" s="33"/>
      <c r="H82" s="33"/>
      <c r="I82" s="33"/>
      <c r="J82" s="33"/>
      <c r="K82" s="33"/>
      <c r="L82" s="33"/>
      <c r="M82" s="33"/>
      <c r="N82" s="33"/>
    </row>
    <row r="83" spans="1:14" hidden="1" x14ac:dyDescent="0.25">
      <c r="A83" s="37"/>
      <c r="B83" s="33"/>
      <c r="C83" s="33"/>
      <c r="D83" s="33"/>
      <c r="E83" s="33"/>
      <c r="F83" s="33"/>
      <c r="G83" s="33"/>
      <c r="H83" s="33"/>
      <c r="I83" s="33"/>
      <c r="J83" s="33"/>
      <c r="K83" s="33"/>
      <c r="L83" s="33"/>
      <c r="M83" s="33"/>
      <c r="N83" s="33"/>
    </row>
    <row r="84" spans="1:14" hidden="1" x14ac:dyDescent="0.25">
      <c r="A84" s="37"/>
      <c r="B84" s="33"/>
      <c r="C84" s="33"/>
      <c r="D84" s="33"/>
      <c r="E84" s="33"/>
      <c r="F84" s="33"/>
      <c r="G84" s="33"/>
      <c r="H84" s="33"/>
      <c r="I84" s="33"/>
      <c r="J84" s="33"/>
      <c r="K84" s="33"/>
      <c r="L84" s="33"/>
      <c r="M84" s="33"/>
      <c r="N84" s="33"/>
    </row>
    <row r="85" spans="1:14" hidden="1" x14ac:dyDescent="0.25">
      <c r="A85" s="37"/>
      <c r="B85" s="33"/>
      <c r="C85" s="33"/>
      <c r="D85" s="33"/>
      <c r="E85" s="33"/>
      <c r="F85" s="33"/>
      <c r="G85" s="33"/>
      <c r="H85" s="33"/>
      <c r="I85" s="33"/>
      <c r="J85" s="33"/>
      <c r="K85" s="33"/>
      <c r="L85" s="33"/>
      <c r="M85" s="33"/>
      <c r="N85" s="33"/>
    </row>
    <row r="86" spans="1:14" hidden="1" x14ac:dyDescent="0.25">
      <c r="A86" s="37"/>
      <c r="B86" s="33"/>
      <c r="C86" s="33"/>
      <c r="D86" s="33"/>
      <c r="E86" s="33"/>
      <c r="F86" s="33"/>
      <c r="G86" s="33"/>
      <c r="H86" s="33"/>
      <c r="I86" s="33"/>
      <c r="J86" s="33"/>
      <c r="K86" s="33"/>
      <c r="L86" s="33"/>
      <c r="M86" s="33"/>
      <c r="N86" s="33"/>
    </row>
    <row r="87" spans="1:14" hidden="1" x14ac:dyDescent="0.25">
      <c r="A87" s="37"/>
      <c r="B87" s="33"/>
      <c r="C87" s="33"/>
      <c r="D87" s="33"/>
      <c r="E87" s="33"/>
      <c r="F87" s="33"/>
      <c r="G87" s="33"/>
      <c r="H87" s="33"/>
      <c r="I87" s="33"/>
      <c r="J87" s="33"/>
      <c r="K87" s="33"/>
      <c r="L87" s="33"/>
      <c r="M87" s="33"/>
      <c r="N87" s="33"/>
    </row>
    <row r="88" spans="1:14" hidden="1" x14ac:dyDescent="0.25">
      <c r="A88" s="37"/>
      <c r="B88" s="33"/>
      <c r="C88" s="33"/>
      <c r="D88" s="33"/>
      <c r="E88" s="33"/>
      <c r="F88" s="33"/>
      <c r="G88" s="33"/>
      <c r="H88" s="33"/>
      <c r="I88" s="33"/>
      <c r="J88" s="33"/>
      <c r="K88" s="33"/>
      <c r="L88" s="33"/>
      <c r="M88" s="33"/>
      <c r="N88" s="33"/>
    </row>
    <row r="89" spans="1:14" hidden="1" x14ac:dyDescent="0.25">
      <c r="A89" s="37"/>
      <c r="B89" s="33"/>
      <c r="C89" s="33"/>
      <c r="D89" s="33"/>
      <c r="E89" s="33"/>
      <c r="F89" s="33"/>
      <c r="G89" s="33"/>
      <c r="H89" s="33"/>
      <c r="I89" s="33"/>
      <c r="J89" s="33"/>
      <c r="K89" s="33"/>
      <c r="L89" s="33"/>
      <c r="M89" s="33"/>
      <c r="N89" s="33"/>
    </row>
    <row r="90" spans="1:14" hidden="1" x14ac:dyDescent="0.25">
      <c r="A90" s="37"/>
      <c r="B90" s="33"/>
      <c r="C90" s="33"/>
      <c r="D90" s="33"/>
      <c r="E90" s="33"/>
      <c r="F90" s="33"/>
      <c r="G90" s="33"/>
      <c r="H90" s="33"/>
      <c r="I90" s="33"/>
      <c r="J90" s="33"/>
      <c r="K90" s="33"/>
      <c r="L90" s="33"/>
      <c r="M90" s="33"/>
      <c r="N90" s="33"/>
    </row>
    <row r="91" spans="1:14" hidden="1" x14ac:dyDescent="0.25">
      <c r="A91" s="37"/>
      <c r="B91" s="33"/>
      <c r="C91" s="33"/>
      <c r="D91" s="33"/>
      <c r="E91" s="33"/>
      <c r="F91" s="33"/>
      <c r="G91" s="33"/>
      <c r="H91" s="33"/>
      <c r="I91" s="33"/>
      <c r="J91" s="33"/>
      <c r="K91" s="33"/>
      <c r="L91" s="33"/>
      <c r="M91" s="33"/>
      <c r="N91" s="33"/>
    </row>
    <row r="92" spans="1:14" hidden="1" x14ac:dyDescent="0.25">
      <c r="A92" s="37"/>
      <c r="B92" s="33"/>
      <c r="C92" s="33"/>
      <c r="D92" s="33"/>
      <c r="E92" s="33"/>
      <c r="F92" s="33"/>
      <c r="G92" s="33"/>
      <c r="H92" s="33"/>
      <c r="I92" s="33"/>
      <c r="J92" s="33"/>
      <c r="K92" s="33"/>
      <c r="L92" s="33"/>
      <c r="M92" s="33"/>
      <c r="N92" s="33"/>
    </row>
    <row r="93" spans="1:14" hidden="1" x14ac:dyDescent="0.25">
      <c r="A93" s="37"/>
      <c r="B93" s="33"/>
      <c r="C93" s="33"/>
      <c r="D93" s="33"/>
      <c r="E93" s="33"/>
      <c r="F93" s="33"/>
      <c r="G93" s="33"/>
      <c r="H93" s="33"/>
      <c r="I93" s="33"/>
      <c r="J93" s="33"/>
      <c r="K93" s="33"/>
      <c r="L93" s="33"/>
      <c r="M93" s="33"/>
      <c r="N93" s="33"/>
    </row>
    <row r="94" spans="1:14" hidden="1" x14ac:dyDescent="0.25">
      <c r="A94" s="37"/>
      <c r="B94" s="33"/>
      <c r="C94" s="33"/>
      <c r="D94" s="33"/>
      <c r="E94" s="33"/>
      <c r="F94" s="33"/>
      <c r="G94" s="33"/>
      <c r="H94" s="33"/>
      <c r="I94" s="33"/>
      <c r="J94" s="33"/>
      <c r="K94" s="33"/>
      <c r="L94" s="33"/>
      <c r="M94" s="33"/>
      <c r="N94" s="33"/>
    </row>
    <row r="95" spans="1:14" hidden="1" x14ac:dyDescent="0.25">
      <c r="A95" s="37"/>
      <c r="B95" s="33"/>
      <c r="C95" s="33"/>
      <c r="D95" s="33"/>
      <c r="E95" s="33"/>
      <c r="F95" s="33"/>
      <c r="G95" s="33"/>
      <c r="H95" s="33"/>
      <c r="I95" s="33"/>
      <c r="J95" s="33"/>
      <c r="K95" s="33"/>
      <c r="L95" s="33"/>
      <c r="M95" s="33"/>
      <c r="N95" s="33"/>
    </row>
    <row r="96" spans="1:14" hidden="1" x14ac:dyDescent="0.25">
      <c r="A96" s="37"/>
      <c r="B96" s="33"/>
      <c r="C96" s="33"/>
      <c r="D96" s="33"/>
      <c r="E96" s="33"/>
      <c r="F96" s="33"/>
      <c r="G96" s="33"/>
      <c r="H96" s="33"/>
      <c r="I96" s="33"/>
      <c r="J96" s="33"/>
      <c r="K96" s="33"/>
      <c r="L96" s="33"/>
      <c r="M96" s="33"/>
      <c r="N96" s="33"/>
    </row>
    <row r="97" spans="1:14" hidden="1" x14ac:dyDescent="0.25">
      <c r="A97" s="37"/>
      <c r="B97" s="33"/>
      <c r="C97" s="33"/>
      <c r="D97" s="33"/>
      <c r="E97" s="33"/>
      <c r="F97" s="33"/>
      <c r="G97" s="33"/>
      <c r="H97" s="33"/>
      <c r="I97" s="33"/>
      <c r="J97" s="33"/>
      <c r="K97" s="33"/>
      <c r="L97" s="33"/>
      <c r="M97" s="33"/>
      <c r="N97" s="33"/>
    </row>
    <row r="98" spans="1:14" hidden="1" x14ac:dyDescent="0.25">
      <c r="A98" s="37"/>
      <c r="B98" s="33"/>
      <c r="C98" s="33"/>
      <c r="D98" s="33"/>
      <c r="E98" s="33"/>
      <c r="F98" s="33"/>
      <c r="G98" s="33"/>
      <c r="H98" s="33"/>
      <c r="I98" s="33"/>
      <c r="J98" s="33"/>
      <c r="K98" s="33"/>
      <c r="L98" s="33"/>
      <c r="M98" s="33"/>
      <c r="N98" s="33"/>
    </row>
    <row r="99" spans="1:14" hidden="1" x14ac:dyDescent="0.25">
      <c r="A99" s="37"/>
      <c r="B99" s="33"/>
      <c r="C99" s="33"/>
      <c r="D99" s="33"/>
      <c r="E99" s="33"/>
      <c r="F99" s="33"/>
      <c r="G99" s="33"/>
      <c r="H99" s="33"/>
      <c r="I99" s="33"/>
      <c r="J99" s="33"/>
      <c r="K99" s="33"/>
      <c r="L99" s="33"/>
      <c r="M99" s="33"/>
      <c r="N99" s="33"/>
    </row>
    <row r="100" spans="1:14" hidden="1" x14ac:dyDescent="0.25">
      <c r="A100" s="37"/>
      <c r="B100" s="33"/>
      <c r="C100" s="33"/>
      <c r="D100" s="33"/>
      <c r="E100" s="33"/>
      <c r="F100" s="33"/>
      <c r="G100" s="33"/>
      <c r="H100" s="33"/>
      <c r="I100" s="33"/>
      <c r="J100" s="33"/>
      <c r="K100" s="33"/>
      <c r="L100" s="33"/>
      <c r="M100" s="33"/>
      <c r="N100" s="33"/>
    </row>
    <row r="101" spans="1:14" hidden="1" x14ac:dyDescent="0.25">
      <c r="A101" s="37"/>
      <c r="B101" s="33"/>
      <c r="C101" s="33"/>
      <c r="D101" s="33"/>
      <c r="E101" s="33"/>
      <c r="F101" s="33"/>
      <c r="G101" s="33"/>
      <c r="H101" s="33"/>
      <c r="I101" s="33"/>
      <c r="J101" s="33"/>
      <c r="K101" s="33"/>
      <c r="L101" s="33"/>
      <c r="M101" s="33"/>
      <c r="N101" s="33"/>
    </row>
    <row r="102" spans="1:14" hidden="1" x14ac:dyDescent="0.25">
      <c r="A102" s="37"/>
      <c r="B102" s="33"/>
      <c r="C102" s="33"/>
      <c r="D102" s="33"/>
      <c r="E102" s="33"/>
      <c r="F102" s="33"/>
      <c r="G102" s="33"/>
      <c r="H102" s="33"/>
      <c r="I102" s="33"/>
      <c r="J102" s="33"/>
      <c r="K102" s="33"/>
      <c r="L102" s="33"/>
      <c r="M102" s="33"/>
      <c r="N102" s="33"/>
    </row>
    <row r="103" spans="1:14" hidden="1" x14ac:dyDescent="0.25">
      <c r="A103" s="37"/>
      <c r="B103" s="33"/>
      <c r="C103" s="33"/>
      <c r="D103" s="33"/>
      <c r="E103" s="33"/>
      <c r="F103" s="33"/>
      <c r="G103" s="33"/>
      <c r="H103" s="33"/>
      <c r="I103" s="33"/>
      <c r="J103" s="33"/>
      <c r="K103" s="33"/>
      <c r="L103" s="33"/>
      <c r="M103" s="33"/>
      <c r="N103" s="33"/>
    </row>
    <row r="104" spans="1:14" hidden="1" x14ac:dyDescent="0.25">
      <c r="A104" s="37"/>
      <c r="B104" s="33"/>
      <c r="C104" s="33"/>
      <c r="D104" s="33"/>
      <c r="E104" s="33"/>
      <c r="F104" s="33"/>
      <c r="G104" s="33"/>
      <c r="H104" s="33"/>
      <c r="I104" s="33"/>
      <c r="J104" s="33"/>
      <c r="K104" s="33"/>
      <c r="L104" s="33"/>
      <c r="M104" s="33"/>
      <c r="N104" s="33"/>
    </row>
    <row r="105" spans="1:14" hidden="1" x14ac:dyDescent="0.25">
      <c r="A105" s="37"/>
      <c r="B105" s="33"/>
      <c r="C105" s="33"/>
      <c r="D105" s="33"/>
      <c r="E105" s="33"/>
      <c r="F105" s="33"/>
      <c r="G105" s="33"/>
      <c r="H105" s="33"/>
      <c r="I105" s="33"/>
      <c r="J105" s="33"/>
      <c r="K105" s="33"/>
      <c r="L105" s="33"/>
      <c r="M105" s="33"/>
      <c r="N105" s="33"/>
    </row>
    <row r="106" spans="1:14" hidden="1" x14ac:dyDescent="0.25">
      <c r="A106" s="37"/>
      <c r="B106" s="33"/>
      <c r="C106" s="33"/>
      <c r="D106" s="33"/>
      <c r="E106" s="33"/>
      <c r="F106" s="33"/>
      <c r="G106" s="33"/>
      <c r="H106" s="33"/>
      <c r="I106" s="33"/>
      <c r="J106" s="33"/>
      <c r="K106" s="33"/>
      <c r="L106" s="33"/>
      <c r="M106" s="33"/>
      <c r="N106" s="33"/>
    </row>
    <row r="107" spans="1:14" hidden="1" x14ac:dyDescent="0.25">
      <c r="A107" s="37"/>
      <c r="B107" s="33"/>
      <c r="C107" s="33"/>
      <c r="D107" s="33"/>
      <c r="E107" s="33"/>
      <c r="F107" s="33"/>
      <c r="G107" s="33"/>
      <c r="H107" s="33"/>
      <c r="I107" s="33"/>
      <c r="J107" s="33"/>
      <c r="K107" s="33"/>
      <c r="L107" s="33"/>
      <c r="M107" s="33"/>
      <c r="N107" s="33"/>
    </row>
    <row r="108" spans="1:14" hidden="1" x14ac:dyDescent="0.25">
      <c r="A108" s="37"/>
      <c r="B108" s="33"/>
      <c r="C108" s="33"/>
      <c r="D108" s="33"/>
      <c r="E108" s="33"/>
      <c r="F108" s="33"/>
      <c r="G108" s="33"/>
      <c r="H108" s="33"/>
      <c r="I108" s="33"/>
      <c r="J108" s="33"/>
      <c r="K108" s="33"/>
      <c r="L108" s="33"/>
      <c r="M108" s="33"/>
      <c r="N108" s="33"/>
    </row>
    <row r="109" spans="1:14" hidden="1" x14ac:dyDescent="0.25">
      <c r="A109" s="37"/>
      <c r="B109" s="33"/>
      <c r="C109" s="33"/>
      <c r="D109" s="33"/>
      <c r="E109" s="33"/>
      <c r="F109" s="33"/>
      <c r="G109" s="33"/>
      <c r="H109" s="33"/>
      <c r="I109" s="33"/>
      <c r="J109" s="33"/>
      <c r="K109" s="33"/>
      <c r="L109" s="33"/>
      <c r="M109" s="33"/>
      <c r="N109" s="33"/>
    </row>
    <row r="110" spans="1:14" hidden="1" x14ac:dyDescent="0.25">
      <c r="A110" s="37"/>
      <c r="B110" s="33"/>
      <c r="C110" s="33"/>
      <c r="D110" s="33"/>
      <c r="E110" s="33"/>
      <c r="F110" s="33"/>
      <c r="G110" s="33"/>
      <c r="H110" s="33"/>
      <c r="I110" s="33"/>
      <c r="J110" s="33"/>
      <c r="K110" s="33"/>
      <c r="L110" s="33"/>
      <c r="M110" s="33"/>
      <c r="N110" s="33"/>
    </row>
    <row r="111" spans="1:14" hidden="1" x14ac:dyDescent="0.25">
      <c r="A111" s="37"/>
      <c r="B111" s="33"/>
      <c r="C111" s="33"/>
      <c r="D111" s="33"/>
      <c r="E111" s="33"/>
      <c r="F111" s="33"/>
      <c r="G111" s="33"/>
      <c r="H111" s="33"/>
      <c r="I111" s="33"/>
      <c r="J111" s="33"/>
      <c r="K111" s="33"/>
      <c r="L111" s="33"/>
      <c r="M111" s="33"/>
      <c r="N111" s="33"/>
    </row>
    <row r="112" spans="1:14" hidden="1" x14ac:dyDescent="0.25">
      <c r="A112" s="37"/>
      <c r="B112" s="33"/>
      <c r="C112" s="33"/>
      <c r="D112" s="33"/>
      <c r="E112" s="33"/>
      <c r="F112" s="33"/>
      <c r="G112" s="33"/>
      <c r="H112" s="33"/>
      <c r="I112" s="33"/>
      <c r="J112" s="33"/>
      <c r="K112" s="33"/>
      <c r="L112" s="33"/>
      <c r="M112" s="33"/>
      <c r="N112" s="33"/>
    </row>
    <row r="113" spans="1:14" hidden="1" x14ac:dyDescent="0.25">
      <c r="A113" s="37"/>
      <c r="B113" s="33"/>
      <c r="C113" s="33"/>
      <c r="D113" s="33"/>
      <c r="E113" s="33"/>
      <c r="F113" s="33"/>
      <c r="G113" s="33"/>
      <c r="H113" s="33"/>
      <c r="I113" s="33"/>
      <c r="J113" s="33"/>
      <c r="K113" s="33"/>
      <c r="L113" s="33"/>
      <c r="M113" s="33"/>
      <c r="N113" s="33"/>
    </row>
    <row r="114" spans="1:14" hidden="1" x14ac:dyDescent="0.25">
      <c r="A114" s="37"/>
      <c r="B114" s="33"/>
      <c r="C114" s="33"/>
      <c r="D114" s="33"/>
      <c r="E114" s="33"/>
      <c r="F114" s="33"/>
      <c r="G114" s="33"/>
      <c r="H114" s="33"/>
      <c r="I114" s="33"/>
      <c r="J114" s="33"/>
      <c r="K114" s="33"/>
      <c r="L114" s="33"/>
      <c r="M114" s="33"/>
      <c r="N114" s="33"/>
    </row>
    <row r="115" spans="1:14" hidden="1" x14ac:dyDescent="0.25">
      <c r="A115" s="37"/>
      <c r="B115" s="33"/>
      <c r="C115" s="33"/>
      <c r="D115" s="33"/>
      <c r="E115" s="33"/>
      <c r="F115" s="33"/>
      <c r="G115" s="33"/>
      <c r="H115" s="33"/>
      <c r="I115" s="33"/>
      <c r="J115" s="33"/>
      <c r="K115" s="33"/>
      <c r="L115" s="33"/>
      <c r="M115" s="33"/>
      <c r="N115" s="33"/>
    </row>
    <row r="116" spans="1:14" hidden="1" x14ac:dyDescent="0.25">
      <c r="A116" s="37"/>
      <c r="B116" s="33"/>
      <c r="C116" s="33"/>
      <c r="D116" s="33"/>
      <c r="E116" s="33"/>
      <c r="F116" s="33"/>
      <c r="G116" s="33"/>
      <c r="H116" s="33"/>
      <c r="I116" s="33"/>
      <c r="J116" s="33"/>
      <c r="K116" s="33"/>
      <c r="L116" s="33"/>
      <c r="M116" s="33"/>
      <c r="N116" s="33"/>
    </row>
    <row r="117" spans="1:14" hidden="1" x14ac:dyDescent="0.25">
      <c r="A117" s="37"/>
      <c r="B117" s="33"/>
      <c r="C117" s="33"/>
      <c r="D117" s="33"/>
      <c r="E117" s="33"/>
      <c r="F117" s="33"/>
      <c r="G117" s="33"/>
      <c r="H117" s="33"/>
      <c r="I117" s="33"/>
      <c r="J117" s="33"/>
      <c r="K117" s="33"/>
      <c r="L117" s="33"/>
      <c r="M117" s="33"/>
      <c r="N117" s="33"/>
    </row>
    <row r="118" spans="1:14" hidden="1" x14ac:dyDescent="0.25">
      <c r="A118" s="37"/>
      <c r="B118" s="33"/>
      <c r="C118" s="33"/>
      <c r="D118" s="33"/>
      <c r="E118" s="33"/>
      <c r="F118" s="33"/>
      <c r="G118" s="33"/>
      <c r="H118" s="33"/>
      <c r="I118" s="33"/>
      <c r="J118" s="33"/>
      <c r="K118" s="33"/>
      <c r="L118" s="33"/>
      <c r="M118" s="33"/>
      <c r="N118" s="33"/>
    </row>
    <row r="119" spans="1:14" hidden="1" x14ac:dyDescent="0.25">
      <c r="A119" s="37"/>
      <c r="B119" s="33"/>
      <c r="C119" s="33"/>
      <c r="D119" s="33"/>
      <c r="E119" s="33"/>
      <c r="F119" s="33"/>
      <c r="G119" s="33"/>
      <c r="H119" s="33"/>
      <c r="I119" s="33"/>
      <c r="J119" s="33"/>
      <c r="K119" s="33"/>
      <c r="L119" s="33"/>
      <c r="M119" s="33"/>
      <c r="N119" s="33"/>
    </row>
    <row r="120" spans="1:14" hidden="1" x14ac:dyDescent="0.25">
      <c r="A120" s="37"/>
      <c r="B120" s="33"/>
      <c r="C120" s="33"/>
      <c r="D120" s="33"/>
      <c r="E120" s="33"/>
      <c r="F120" s="33"/>
      <c r="G120" s="33"/>
      <c r="H120" s="33"/>
      <c r="I120" s="33"/>
      <c r="J120" s="33"/>
      <c r="K120" s="33"/>
      <c r="L120" s="33"/>
      <c r="M120" s="33"/>
      <c r="N120" s="33"/>
    </row>
    <row r="121" spans="1:14" hidden="1" x14ac:dyDescent="0.25">
      <c r="A121" s="37"/>
      <c r="B121" s="33"/>
      <c r="C121" s="33"/>
      <c r="D121" s="33"/>
      <c r="E121" s="33"/>
      <c r="F121" s="33"/>
      <c r="G121" s="33"/>
      <c r="H121" s="33"/>
      <c r="I121" s="33"/>
      <c r="J121" s="33"/>
      <c r="K121" s="33"/>
      <c r="L121" s="33"/>
      <c r="M121" s="33"/>
      <c r="N121" s="33"/>
    </row>
    <row r="122" spans="1:14" hidden="1" x14ac:dyDescent="0.25">
      <c r="A122" s="37"/>
      <c r="B122" s="33"/>
      <c r="C122" s="33"/>
      <c r="D122" s="33"/>
      <c r="E122" s="33"/>
      <c r="F122" s="33"/>
      <c r="G122" s="33"/>
      <c r="H122" s="33"/>
      <c r="I122" s="33"/>
      <c r="J122" s="33"/>
      <c r="K122" s="33"/>
      <c r="L122" s="33"/>
      <c r="M122" s="33"/>
      <c r="N122" s="33"/>
    </row>
    <row r="123" spans="1:14" hidden="1" x14ac:dyDescent="0.25">
      <c r="A123" s="37"/>
      <c r="B123" s="33"/>
      <c r="C123" s="33"/>
      <c r="D123" s="33"/>
      <c r="E123" s="33"/>
      <c r="F123" s="33"/>
      <c r="G123" s="33"/>
      <c r="H123" s="33"/>
      <c r="I123" s="33"/>
      <c r="J123" s="33"/>
      <c r="K123" s="33"/>
      <c r="L123" s="33"/>
      <c r="M123" s="33"/>
      <c r="N123" s="33"/>
    </row>
    <row r="124" spans="1:14" hidden="1" x14ac:dyDescent="0.25">
      <c r="A124" s="37"/>
      <c r="B124" s="33"/>
      <c r="C124" s="33"/>
      <c r="D124" s="33"/>
      <c r="E124" s="33"/>
      <c r="F124" s="33"/>
      <c r="G124" s="33"/>
      <c r="H124" s="33"/>
      <c r="I124" s="33"/>
      <c r="J124" s="33"/>
      <c r="K124" s="33"/>
      <c r="L124" s="33"/>
      <c r="M124" s="33"/>
      <c r="N124" s="33"/>
    </row>
    <row r="125" spans="1:14" hidden="1" x14ac:dyDescent="0.25">
      <c r="A125" s="37"/>
      <c r="B125" s="33"/>
      <c r="C125" s="33"/>
      <c r="D125" s="33"/>
      <c r="E125" s="33"/>
      <c r="F125" s="33"/>
      <c r="G125" s="33"/>
      <c r="H125" s="33"/>
      <c r="I125" s="33"/>
      <c r="J125" s="33"/>
      <c r="K125" s="33"/>
      <c r="L125" s="33"/>
      <c r="M125" s="33"/>
      <c r="N125" s="33"/>
    </row>
    <row r="126" spans="1:14" hidden="1" x14ac:dyDescent="0.25">
      <c r="A126" s="37"/>
      <c r="B126" s="33"/>
      <c r="C126" s="33"/>
      <c r="D126" s="33"/>
      <c r="E126" s="33"/>
      <c r="F126" s="33"/>
      <c r="G126" s="33"/>
      <c r="H126" s="33"/>
      <c r="I126" s="33"/>
      <c r="J126" s="33"/>
      <c r="K126" s="33"/>
      <c r="L126" s="33"/>
      <c r="M126" s="33"/>
      <c r="N126" s="33"/>
    </row>
    <row r="127" spans="1:14" hidden="1" x14ac:dyDescent="0.25">
      <c r="A127" s="37"/>
      <c r="B127" s="33"/>
      <c r="C127" s="33"/>
      <c r="D127" s="33"/>
      <c r="E127" s="33"/>
      <c r="F127" s="33"/>
      <c r="G127" s="33"/>
      <c r="H127" s="33"/>
      <c r="I127" s="33"/>
      <c r="J127" s="33"/>
      <c r="K127" s="33"/>
      <c r="L127" s="33"/>
      <c r="M127" s="33"/>
      <c r="N127" s="33"/>
    </row>
    <row r="128" spans="1:14" hidden="1" x14ac:dyDescent="0.25">
      <c r="A128" s="37"/>
      <c r="B128" s="33"/>
      <c r="C128" s="33"/>
      <c r="D128" s="33"/>
      <c r="E128" s="33"/>
      <c r="F128" s="33"/>
      <c r="G128" s="33"/>
      <c r="H128" s="33"/>
      <c r="I128" s="33"/>
      <c r="J128" s="33"/>
      <c r="K128" s="33"/>
      <c r="L128" s="33"/>
      <c r="M128" s="33"/>
      <c r="N128" s="33"/>
    </row>
    <row r="129" spans="1:14" hidden="1" x14ac:dyDescent="0.25">
      <c r="A129" s="37"/>
      <c r="B129" s="33"/>
      <c r="C129" s="33"/>
      <c r="D129" s="33"/>
      <c r="E129" s="33"/>
      <c r="F129" s="33"/>
      <c r="G129" s="33"/>
      <c r="H129" s="33"/>
      <c r="I129" s="33"/>
      <c r="J129" s="33"/>
      <c r="K129" s="33"/>
      <c r="L129" s="33"/>
      <c r="M129" s="33"/>
      <c r="N129" s="33"/>
    </row>
    <row r="130" spans="1:14" hidden="1" x14ac:dyDescent="0.25">
      <c r="A130" s="37"/>
      <c r="B130" s="33"/>
      <c r="C130" s="33"/>
      <c r="D130" s="33"/>
      <c r="E130" s="33"/>
      <c r="F130" s="33"/>
      <c r="G130" s="33"/>
      <c r="H130" s="33"/>
      <c r="I130" s="33"/>
      <c r="J130" s="33"/>
      <c r="K130" s="33"/>
      <c r="L130" s="33"/>
      <c r="M130" s="33"/>
      <c r="N130" s="33"/>
    </row>
    <row r="131" spans="1:14" hidden="1" x14ac:dyDescent="0.25">
      <c r="A131" s="37"/>
      <c r="B131" s="33"/>
      <c r="C131" s="33"/>
      <c r="D131" s="33"/>
      <c r="E131" s="33"/>
      <c r="F131" s="33"/>
      <c r="G131" s="33"/>
      <c r="H131" s="33"/>
      <c r="I131" s="33"/>
      <c r="J131" s="33"/>
      <c r="K131" s="33"/>
      <c r="L131" s="33"/>
      <c r="M131" s="33"/>
      <c r="N131" s="33"/>
    </row>
    <row r="132" spans="1:14" hidden="1" x14ac:dyDescent="0.25">
      <c r="A132" s="37"/>
      <c r="B132" s="33"/>
      <c r="C132" s="33"/>
      <c r="D132" s="33"/>
      <c r="E132" s="33"/>
      <c r="F132" s="33"/>
      <c r="G132" s="33"/>
      <c r="H132" s="33"/>
      <c r="I132" s="33"/>
      <c r="J132" s="33"/>
      <c r="K132" s="33"/>
      <c r="L132" s="33"/>
      <c r="M132" s="33"/>
      <c r="N132" s="33"/>
    </row>
    <row r="133" spans="1:14" hidden="1" x14ac:dyDescent="0.25">
      <c r="A133" s="37"/>
      <c r="B133" s="33"/>
      <c r="C133" s="33"/>
      <c r="D133" s="33"/>
      <c r="E133" s="33"/>
      <c r="F133" s="33"/>
      <c r="G133" s="33"/>
      <c r="H133" s="33"/>
      <c r="I133" s="33"/>
      <c r="J133" s="33"/>
      <c r="K133" s="33"/>
      <c r="L133" s="33"/>
      <c r="M133" s="33"/>
      <c r="N133" s="33"/>
    </row>
    <row r="134" spans="1:14" hidden="1" x14ac:dyDescent="0.25">
      <c r="A134" s="37"/>
      <c r="B134" s="33"/>
      <c r="C134" s="33"/>
      <c r="D134" s="33"/>
      <c r="E134" s="33"/>
      <c r="F134" s="33"/>
      <c r="G134" s="33"/>
      <c r="H134" s="33"/>
      <c r="I134" s="33"/>
      <c r="J134" s="33"/>
      <c r="K134" s="33"/>
      <c r="L134" s="33"/>
      <c r="M134" s="33"/>
      <c r="N134" s="33"/>
    </row>
    <row r="135" spans="1:14" hidden="1" x14ac:dyDescent="0.25">
      <c r="A135" s="37"/>
      <c r="B135" s="33"/>
      <c r="C135" s="33"/>
      <c r="D135" s="33"/>
      <c r="E135" s="33"/>
      <c r="F135" s="33"/>
      <c r="G135" s="33"/>
      <c r="H135" s="33"/>
      <c r="I135" s="33"/>
      <c r="J135" s="33"/>
      <c r="K135" s="33"/>
      <c r="L135" s="33"/>
      <c r="M135" s="33"/>
      <c r="N135" s="33"/>
    </row>
    <row r="136" spans="1:14" hidden="1" x14ac:dyDescent="0.25">
      <c r="A136" s="37"/>
      <c r="B136" s="33"/>
      <c r="C136" s="33"/>
      <c r="D136" s="33"/>
      <c r="E136" s="33"/>
      <c r="F136" s="33"/>
      <c r="G136" s="33"/>
      <c r="H136" s="33"/>
      <c r="I136" s="33"/>
      <c r="J136" s="33"/>
      <c r="K136" s="33"/>
      <c r="L136" s="33"/>
      <c r="M136" s="33"/>
      <c r="N136" s="33"/>
    </row>
    <row r="137" spans="1:14" hidden="1" x14ac:dyDescent="0.25">
      <c r="A137" s="37"/>
      <c r="B137" s="33"/>
      <c r="C137" s="33"/>
      <c r="D137" s="33"/>
      <c r="E137" s="33"/>
      <c r="F137" s="33"/>
      <c r="G137" s="33"/>
      <c r="H137" s="33"/>
      <c r="I137" s="33"/>
      <c r="J137" s="33"/>
      <c r="K137" s="33"/>
      <c r="L137" s="33"/>
      <c r="M137" s="33"/>
      <c r="N137" s="33"/>
    </row>
    <row r="138" spans="1:14" hidden="1" x14ac:dyDescent="0.25">
      <c r="A138" s="37"/>
      <c r="B138" s="33"/>
      <c r="C138" s="33"/>
      <c r="D138" s="33"/>
      <c r="E138" s="33"/>
      <c r="F138" s="33"/>
      <c r="G138" s="33"/>
      <c r="H138" s="33"/>
      <c r="I138" s="33"/>
      <c r="J138" s="33"/>
      <c r="K138" s="33"/>
      <c r="L138" s="33"/>
      <c r="M138" s="33"/>
      <c r="N138" s="33"/>
    </row>
    <row r="139" spans="1:14" hidden="1" x14ac:dyDescent="0.25">
      <c r="A139" s="37"/>
      <c r="B139" s="33"/>
      <c r="C139" s="33"/>
      <c r="D139" s="33"/>
      <c r="E139" s="33"/>
      <c r="F139" s="33"/>
      <c r="G139" s="33"/>
      <c r="H139" s="33"/>
      <c r="I139" s="33"/>
      <c r="J139" s="33"/>
      <c r="K139" s="33"/>
      <c r="L139" s="33"/>
      <c r="M139" s="33"/>
      <c r="N139" s="33"/>
    </row>
    <row r="140" spans="1:14" hidden="1" x14ac:dyDescent="0.25">
      <c r="A140" s="37"/>
      <c r="B140" s="33"/>
      <c r="C140" s="33"/>
      <c r="D140" s="33"/>
      <c r="E140" s="33"/>
      <c r="F140" s="33"/>
      <c r="G140" s="33"/>
      <c r="H140" s="33"/>
      <c r="I140" s="33"/>
      <c r="J140" s="33"/>
      <c r="K140" s="33"/>
      <c r="L140" s="33"/>
      <c r="M140" s="33"/>
      <c r="N140" s="33"/>
    </row>
    <row r="141" spans="1:14" hidden="1" x14ac:dyDescent="0.25">
      <c r="A141" s="37"/>
      <c r="B141" s="33"/>
      <c r="C141" s="33"/>
      <c r="D141" s="33"/>
      <c r="E141" s="33"/>
      <c r="F141" s="33"/>
      <c r="G141" s="33"/>
      <c r="H141" s="33"/>
      <c r="I141" s="33"/>
      <c r="J141" s="33"/>
      <c r="K141" s="33"/>
      <c r="L141" s="33"/>
      <c r="M141" s="33"/>
      <c r="N141" s="33"/>
    </row>
    <row r="142" spans="1:14" hidden="1" x14ac:dyDescent="0.25">
      <c r="A142" s="37"/>
      <c r="B142" s="33"/>
      <c r="C142" s="33"/>
      <c r="D142" s="33"/>
      <c r="E142" s="33"/>
      <c r="F142" s="33"/>
      <c r="G142" s="33"/>
      <c r="H142" s="33"/>
      <c r="I142" s="33"/>
      <c r="J142" s="33"/>
      <c r="K142" s="33"/>
      <c r="L142" s="33"/>
      <c r="M142" s="33"/>
      <c r="N142" s="33"/>
    </row>
    <row r="143" spans="1:14" hidden="1" x14ac:dyDescent="0.25">
      <c r="A143" s="37"/>
      <c r="B143" s="33"/>
      <c r="C143" s="33"/>
      <c r="D143" s="33"/>
      <c r="E143" s="33"/>
      <c r="F143" s="33"/>
      <c r="G143" s="33"/>
      <c r="H143" s="33"/>
      <c r="I143" s="33"/>
      <c r="J143" s="33"/>
      <c r="K143" s="33"/>
      <c r="L143" s="33"/>
      <c r="M143" s="33"/>
      <c r="N143" s="33"/>
    </row>
    <row r="144" spans="1:14" hidden="1" x14ac:dyDescent="0.25">
      <c r="A144" s="37"/>
      <c r="B144" s="33"/>
      <c r="C144" s="33"/>
      <c r="D144" s="33"/>
      <c r="E144" s="33"/>
      <c r="F144" s="33"/>
      <c r="G144" s="33"/>
      <c r="H144" s="33"/>
      <c r="I144" s="33"/>
      <c r="J144" s="33"/>
      <c r="K144" s="33"/>
      <c r="L144" s="33"/>
      <c r="M144" s="33"/>
      <c r="N144" s="33"/>
    </row>
    <row r="145" spans="1:14" hidden="1" x14ac:dyDescent="0.25">
      <c r="A145" s="37"/>
      <c r="B145" s="33"/>
      <c r="C145" s="33"/>
      <c r="D145" s="33"/>
      <c r="E145" s="33"/>
      <c r="F145" s="33"/>
      <c r="G145" s="33"/>
      <c r="H145" s="33"/>
      <c r="I145" s="33"/>
      <c r="J145" s="33"/>
      <c r="K145" s="33"/>
      <c r="L145" s="33"/>
      <c r="M145" s="33"/>
      <c r="N145" s="33"/>
    </row>
    <row r="146" spans="1:14" hidden="1" x14ac:dyDescent="0.25">
      <c r="A146" s="37"/>
      <c r="B146" s="33"/>
      <c r="C146" s="33"/>
      <c r="D146" s="33"/>
      <c r="E146" s="33"/>
      <c r="F146" s="33"/>
      <c r="G146" s="33"/>
      <c r="H146" s="33"/>
      <c r="I146" s="33"/>
      <c r="J146" s="33"/>
      <c r="K146" s="33"/>
      <c r="L146" s="33"/>
      <c r="M146" s="33"/>
      <c r="N146" s="33"/>
    </row>
    <row r="147" spans="1:14" hidden="1" x14ac:dyDescent="0.25">
      <c r="A147" s="37"/>
      <c r="B147" s="33"/>
      <c r="C147" s="33"/>
      <c r="D147" s="33"/>
      <c r="E147" s="33"/>
      <c r="F147" s="33"/>
      <c r="G147" s="33"/>
      <c r="H147" s="33"/>
      <c r="I147" s="33"/>
      <c r="J147" s="33"/>
      <c r="K147" s="33"/>
      <c r="L147" s="33"/>
      <c r="M147" s="33"/>
      <c r="N147" s="33"/>
    </row>
    <row r="148" spans="1:14" hidden="1" x14ac:dyDescent="0.25">
      <c r="A148" s="37"/>
      <c r="B148" s="33"/>
      <c r="C148" s="33"/>
      <c r="D148" s="33"/>
      <c r="E148" s="33"/>
      <c r="F148" s="33"/>
      <c r="G148" s="33"/>
      <c r="H148" s="33"/>
      <c r="I148" s="33"/>
      <c r="J148" s="33"/>
      <c r="K148" s="33"/>
      <c r="L148" s="33"/>
      <c r="M148" s="33"/>
      <c r="N148" s="33"/>
    </row>
    <row r="149" spans="1:14" hidden="1" x14ac:dyDescent="0.25">
      <c r="A149" s="37"/>
      <c r="B149" s="33"/>
      <c r="C149" s="33"/>
      <c r="D149" s="33"/>
      <c r="E149" s="33"/>
      <c r="F149" s="33"/>
      <c r="G149" s="33"/>
      <c r="H149" s="33"/>
      <c r="I149" s="33"/>
      <c r="J149" s="33"/>
      <c r="K149" s="33"/>
      <c r="L149" s="33"/>
      <c r="M149" s="33"/>
      <c r="N149" s="33"/>
    </row>
    <row r="150" spans="1:14" hidden="1" x14ac:dyDescent="0.25">
      <c r="A150" s="37"/>
      <c r="B150" s="33"/>
      <c r="C150" s="33"/>
      <c r="D150" s="33"/>
      <c r="E150" s="33"/>
      <c r="F150" s="33"/>
      <c r="G150" s="33"/>
      <c r="H150" s="33"/>
      <c r="I150" s="33"/>
      <c r="J150" s="33"/>
      <c r="K150" s="33"/>
      <c r="L150" s="33"/>
      <c r="M150" s="33"/>
      <c r="N150" s="33"/>
    </row>
    <row r="151" spans="1:14" hidden="1" x14ac:dyDescent="0.25">
      <c r="A151" s="37"/>
      <c r="B151" s="33"/>
      <c r="C151" s="33"/>
      <c r="D151" s="33"/>
      <c r="E151" s="33"/>
      <c r="F151" s="33"/>
      <c r="G151" s="33"/>
      <c r="H151" s="33"/>
      <c r="I151" s="33"/>
      <c r="J151" s="33"/>
      <c r="K151" s="33"/>
      <c r="L151" s="33"/>
      <c r="M151" s="33"/>
      <c r="N151" s="33"/>
    </row>
    <row r="152" spans="1:14" hidden="1" x14ac:dyDescent="0.25">
      <c r="A152" s="37"/>
      <c r="B152" s="33"/>
      <c r="C152" s="33"/>
      <c r="D152" s="33"/>
      <c r="E152" s="33"/>
      <c r="F152" s="33"/>
      <c r="G152" s="33"/>
      <c r="H152" s="33"/>
      <c r="I152" s="33"/>
      <c r="J152" s="33"/>
      <c r="K152" s="33"/>
      <c r="L152" s="33"/>
      <c r="M152" s="33"/>
      <c r="N152" s="33"/>
    </row>
    <row r="153" spans="1:14" hidden="1" x14ac:dyDescent="0.25">
      <c r="A153" s="37"/>
      <c r="B153" s="33"/>
      <c r="C153" s="33"/>
      <c r="D153" s="33"/>
      <c r="E153" s="33"/>
      <c r="F153" s="33"/>
      <c r="G153" s="33"/>
      <c r="H153" s="33"/>
      <c r="I153" s="33"/>
      <c r="J153" s="33"/>
      <c r="K153" s="33"/>
      <c r="L153" s="33"/>
      <c r="M153" s="33"/>
      <c r="N153" s="33"/>
    </row>
    <row r="154" spans="1:14" hidden="1" x14ac:dyDescent="0.25">
      <c r="A154" s="37"/>
      <c r="B154" s="33"/>
      <c r="C154" s="33"/>
      <c r="D154" s="33"/>
      <c r="E154" s="33"/>
      <c r="F154" s="33"/>
      <c r="G154" s="33"/>
      <c r="H154" s="33"/>
      <c r="I154" s="33"/>
      <c r="J154" s="33"/>
      <c r="K154" s="33"/>
      <c r="L154" s="33"/>
      <c r="M154" s="33"/>
      <c r="N154" s="33"/>
    </row>
    <row r="155" spans="1:14" hidden="1" x14ac:dyDescent="0.25">
      <c r="A155" s="37"/>
      <c r="B155" s="33"/>
      <c r="C155" s="33"/>
      <c r="D155" s="33"/>
      <c r="E155" s="33"/>
      <c r="F155" s="33"/>
      <c r="G155" s="33"/>
      <c r="H155" s="33"/>
      <c r="I155" s="33"/>
      <c r="J155" s="33"/>
      <c r="K155" s="33"/>
      <c r="L155" s="33"/>
      <c r="M155" s="33"/>
      <c r="N155" s="33"/>
    </row>
    <row r="156" spans="1:14" hidden="1" x14ac:dyDescent="0.25">
      <c r="A156" s="37"/>
      <c r="B156" s="33"/>
      <c r="C156" s="33"/>
      <c r="D156" s="33"/>
      <c r="E156" s="33"/>
      <c r="F156" s="33"/>
      <c r="G156" s="33"/>
      <c r="H156" s="33"/>
      <c r="I156" s="33"/>
      <c r="J156" s="33"/>
      <c r="K156" s="33"/>
      <c r="L156" s="33"/>
      <c r="M156" s="33"/>
      <c r="N156" s="33"/>
    </row>
    <row r="157" spans="1:14" hidden="1" x14ac:dyDescent="0.25">
      <c r="A157" s="37"/>
      <c r="B157" s="33"/>
      <c r="C157" s="33"/>
      <c r="D157" s="33"/>
      <c r="E157" s="33"/>
      <c r="F157" s="33"/>
      <c r="G157" s="33"/>
      <c r="H157" s="33"/>
      <c r="I157" s="33"/>
      <c r="J157" s="33"/>
      <c r="K157" s="33"/>
      <c r="L157" s="33"/>
      <c r="M157" s="33"/>
      <c r="N157" s="33"/>
    </row>
    <row r="158" spans="1:14" hidden="1" x14ac:dyDescent="0.25">
      <c r="A158" s="37"/>
      <c r="B158" s="33"/>
      <c r="C158" s="33"/>
      <c r="D158" s="33"/>
      <c r="E158" s="33"/>
      <c r="F158" s="33"/>
      <c r="G158" s="33"/>
      <c r="H158" s="33"/>
      <c r="I158" s="33"/>
      <c r="J158" s="33"/>
      <c r="K158" s="33"/>
      <c r="L158" s="33"/>
      <c r="M158" s="33"/>
      <c r="N158" s="33"/>
    </row>
    <row r="159" spans="1:14" hidden="1" x14ac:dyDescent="0.25">
      <c r="A159" s="37"/>
      <c r="B159" s="33"/>
      <c r="C159" s="33"/>
      <c r="D159" s="33"/>
      <c r="E159" s="33"/>
      <c r="F159" s="33"/>
      <c r="G159" s="33"/>
      <c r="H159" s="33"/>
      <c r="I159" s="33"/>
      <c r="J159" s="33"/>
      <c r="K159" s="33"/>
      <c r="L159" s="33"/>
      <c r="M159" s="33"/>
      <c r="N159" s="33"/>
    </row>
    <row r="160" spans="1:14" hidden="1" x14ac:dyDescent="0.25">
      <c r="A160" s="37"/>
      <c r="B160" s="33"/>
      <c r="C160" s="33"/>
      <c r="D160" s="33"/>
      <c r="E160" s="33"/>
      <c r="F160" s="33"/>
      <c r="G160" s="33"/>
      <c r="H160" s="33"/>
      <c r="I160" s="33"/>
      <c r="J160" s="33"/>
      <c r="K160" s="33"/>
      <c r="L160" s="33"/>
      <c r="M160" s="33"/>
      <c r="N160" s="33"/>
    </row>
    <row r="161" spans="1:14" hidden="1" x14ac:dyDescent="0.25">
      <c r="A161" s="37"/>
      <c r="B161" s="33"/>
      <c r="C161" s="33"/>
      <c r="D161" s="33"/>
      <c r="E161" s="33"/>
      <c r="F161" s="33"/>
      <c r="G161" s="33"/>
      <c r="H161" s="33"/>
      <c r="I161" s="33"/>
      <c r="J161" s="33"/>
      <c r="K161" s="33"/>
      <c r="L161" s="33"/>
      <c r="M161" s="33"/>
      <c r="N161" s="33"/>
    </row>
    <row r="162" spans="1:14" hidden="1" x14ac:dyDescent="0.25">
      <c r="A162" s="37"/>
      <c r="B162" s="33"/>
      <c r="C162" s="33"/>
      <c r="D162" s="33"/>
      <c r="E162" s="33"/>
      <c r="F162" s="33"/>
      <c r="G162" s="33"/>
      <c r="H162" s="33"/>
      <c r="I162" s="33"/>
      <c r="J162" s="33"/>
      <c r="K162" s="33"/>
      <c r="L162" s="33"/>
      <c r="M162" s="33"/>
      <c r="N162" s="33"/>
    </row>
    <row r="163" spans="1:14" hidden="1" x14ac:dyDescent="0.25">
      <c r="A163" s="37"/>
      <c r="B163" s="33"/>
      <c r="C163" s="33"/>
      <c r="D163" s="33"/>
      <c r="E163" s="33"/>
      <c r="F163" s="33"/>
      <c r="G163" s="33"/>
      <c r="H163" s="33"/>
      <c r="I163" s="33"/>
      <c r="J163" s="33"/>
      <c r="K163" s="33"/>
      <c r="L163" s="33"/>
      <c r="M163" s="33"/>
      <c r="N163" s="33"/>
    </row>
    <row r="164" spans="1:14" hidden="1" x14ac:dyDescent="0.25">
      <c r="A164" s="37"/>
      <c r="B164" s="33"/>
      <c r="C164" s="33"/>
      <c r="D164" s="33"/>
      <c r="E164" s="33"/>
      <c r="F164" s="33"/>
      <c r="G164" s="33"/>
      <c r="H164" s="33"/>
      <c r="I164" s="33"/>
      <c r="J164" s="33"/>
      <c r="K164" s="33"/>
      <c r="L164" s="33"/>
      <c r="M164" s="33"/>
      <c r="N164" s="33"/>
    </row>
    <row r="165" spans="1:14" hidden="1" x14ac:dyDescent="0.25">
      <c r="A165" s="37"/>
      <c r="B165" s="33"/>
      <c r="C165" s="33"/>
      <c r="D165" s="33"/>
      <c r="E165" s="33"/>
      <c r="F165" s="33"/>
      <c r="G165" s="33"/>
      <c r="H165" s="33"/>
      <c r="I165" s="33"/>
      <c r="J165" s="33"/>
      <c r="K165" s="33"/>
      <c r="L165" s="33"/>
      <c r="M165" s="33"/>
      <c r="N165" s="33"/>
    </row>
    <row r="166" spans="1:14" hidden="1" x14ac:dyDescent="0.25">
      <c r="A166" s="37"/>
      <c r="B166" s="33"/>
      <c r="C166" s="33"/>
      <c r="D166" s="33"/>
      <c r="E166" s="33"/>
      <c r="F166" s="33"/>
      <c r="G166" s="33"/>
      <c r="H166" s="33"/>
      <c r="I166" s="33"/>
      <c r="J166" s="33"/>
      <c r="K166" s="33"/>
      <c r="L166" s="33"/>
      <c r="M166" s="33"/>
      <c r="N166" s="33"/>
    </row>
    <row r="167" spans="1:14" hidden="1" x14ac:dyDescent="0.25">
      <c r="A167" s="37"/>
      <c r="B167" s="33"/>
      <c r="C167" s="33"/>
      <c r="D167" s="33"/>
      <c r="E167" s="33"/>
      <c r="F167" s="33"/>
      <c r="G167" s="33"/>
      <c r="H167" s="33"/>
      <c r="I167" s="33"/>
      <c r="J167" s="33"/>
      <c r="K167" s="33"/>
      <c r="L167" s="33"/>
      <c r="M167" s="33"/>
      <c r="N167" s="33"/>
    </row>
    <row r="168" spans="1:14" hidden="1" x14ac:dyDescent="0.25">
      <c r="A168" s="37"/>
      <c r="B168" s="33"/>
      <c r="C168" s="33"/>
      <c r="D168" s="33"/>
      <c r="E168" s="33"/>
      <c r="F168" s="33"/>
      <c r="G168" s="33"/>
      <c r="H168" s="33"/>
      <c r="I168" s="33"/>
      <c r="J168" s="33"/>
      <c r="K168" s="33"/>
      <c r="L168" s="33"/>
      <c r="M168" s="33"/>
      <c r="N168" s="33"/>
    </row>
    <row r="169" spans="1:14" hidden="1" x14ac:dyDescent="0.25">
      <c r="A169" s="37"/>
      <c r="B169" s="33"/>
      <c r="C169" s="33"/>
      <c r="D169" s="33"/>
      <c r="E169" s="33"/>
      <c r="F169" s="33"/>
      <c r="G169" s="33"/>
      <c r="H169" s="33"/>
      <c r="I169" s="33"/>
      <c r="J169" s="33"/>
      <c r="K169" s="33"/>
      <c r="L169" s="33"/>
      <c r="M169" s="33"/>
      <c r="N169" s="33"/>
    </row>
    <row r="170" spans="1:14" hidden="1" x14ac:dyDescent="0.25">
      <c r="A170" s="37"/>
      <c r="B170" s="33"/>
      <c r="C170" s="33"/>
      <c r="D170" s="33"/>
      <c r="E170" s="33"/>
      <c r="F170" s="33"/>
      <c r="G170" s="33"/>
      <c r="H170" s="33"/>
      <c r="I170" s="33"/>
      <c r="J170" s="33"/>
      <c r="K170" s="33"/>
      <c r="L170" s="33"/>
      <c r="M170" s="33"/>
      <c r="N170" s="33"/>
    </row>
    <row r="171" spans="1:14" hidden="1" x14ac:dyDescent="0.25">
      <c r="A171" s="37"/>
      <c r="B171" s="33"/>
      <c r="C171" s="33"/>
      <c r="D171" s="33"/>
      <c r="E171" s="33"/>
      <c r="F171" s="33"/>
      <c r="G171" s="33"/>
      <c r="H171" s="33"/>
      <c r="I171" s="33"/>
      <c r="J171" s="33"/>
      <c r="K171" s="33"/>
      <c r="L171" s="33"/>
      <c r="M171" s="33"/>
      <c r="N171" s="33"/>
    </row>
    <row r="172" spans="1:14" hidden="1" x14ac:dyDescent="0.25">
      <c r="A172" s="37"/>
      <c r="B172" s="33"/>
      <c r="C172" s="33"/>
      <c r="D172" s="33"/>
      <c r="E172" s="33"/>
      <c r="F172" s="33"/>
      <c r="G172" s="33"/>
      <c r="H172" s="33"/>
      <c r="I172" s="33"/>
      <c r="J172" s="33"/>
      <c r="K172" s="33"/>
      <c r="L172" s="33"/>
      <c r="M172" s="33"/>
      <c r="N172" s="33"/>
    </row>
    <row r="173" spans="1:14" hidden="1" x14ac:dyDescent="0.25">
      <c r="A173" s="37"/>
      <c r="B173" s="33"/>
      <c r="C173" s="33"/>
      <c r="D173" s="33"/>
      <c r="E173" s="33"/>
      <c r="F173" s="33"/>
      <c r="G173" s="33"/>
      <c r="H173" s="33"/>
      <c r="I173" s="33"/>
      <c r="J173" s="33"/>
      <c r="K173" s="33"/>
      <c r="L173" s="33"/>
      <c r="M173" s="33"/>
      <c r="N173" s="33"/>
    </row>
    <row r="174" spans="1:14" hidden="1" x14ac:dyDescent="0.25">
      <c r="A174" s="37"/>
      <c r="B174" s="33"/>
      <c r="C174" s="33"/>
      <c r="D174" s="33"/>
      <c r="E174" s="33"/>
      <c r="F174" s="33"/>
      <c r="G174" s="33"/>
      <c r="H174" s="33"/>
      <c r="I174" s="33"/>
      <c r="J174" s="33"/>
      <c r="K174" s="33"/>
      <c r="L174" s="33"/>
      <c r="M174" s="33"/>
      <c r="N174" s="33"/>
    </row>
    <row r="175" spans="1:14" hidden="1" x14ac:dyDescent="0.25">
      <c r="A175" s="37"/>
      <c r="B175" s="33"/>
      <c r="C175" s="33"/>
      <c r="D175" s="33"/>
      <c r="E175" s="33"/>
      <c r="F175" s="33"/>
      <c r="G175" s="33"/>
      <c r="H175" s="33"/>
      <c r="I175" s="33"/>
      <c r="J175" s="33"/>
      <c r="K175" s="33"/>
      <c r="L175" s="33"/>
      <c r="M175" s="33"/>
      <c r="N175" s="33"/>
    </row>
    <row r="176" spans="1:14" hidden="1" x14ac:dyDescent="0.25">
      <c r="A176" s="37"/>
      <c r="B176" s="33"/>
      <c r="C176" s="33"/>
      <c r="D176" s="33"/>
      <c r="E176" s="33"/>
      <c r="F176" s="33"/>
      <c r="G176" s="33"/>
      <c r="H176" s="33"/>
      <c r="I176" s="33"/>
      <c r="J176" s="33"/>
      <c r="K176" s="33"/>
      <c r="L176" s="33"/>
      <c r="M176" s="33"/>
      <c r="N176" s="33"/>
    </row>
    <row r="177" spans="1:14" hidden="1" x14ac:dyDescent="0.25">
      <c r="A177" s="37"/>
      <c r="B177" s="33"/>
      <c r="C177" s="33"/>
      <c r="D177" s="33"/>
      <c r="E177" s="33"/>
      <c r="F177" s="33"/>
      <c r="G177" s="33"/>
      <c r="H177" s="33"/>
      <c r="I177" s="33"/>
      <c r="J177" s="33"/>
      <c r="K177" s="33"/>
      <c r="L177" s="33"/>
      <c r="M177" s="33"/>
      <c r="N177" s="33"/>
    </row>
    <row r="178" spans="1:14" hidden="1" x14ac:dyDescent="0.25">
      <c r="A178" s="37"/>
      <c r="B178" s="33"/>
      <c r="C178" s="33"/>
      <c r="D178" s="33"/>
      <c r="E178" s="33"/>
      <c r="F178" s="33"/>
      <c r="G178" s="33"/>
      <c r="H178" s="33"/>
      <c r="I178" s="33"/>
      <c r="J178" s="33"/>
      <c r="K178" s="33"/>
      <c r="L178" s="33"/>
      <c r="M178" s="33"/>
      <c r="N178" s="33"/>
    </row>
    <row r="179" spans="1:14" hidden="1" x14ac:dyDescent="0.25">
      <c r="A179" s="37"/>
      <c r="B179" s="33"/>
      <c r="C179" s="33"/>
      <c r="D179" s="33"/>
      <c r="E179" s="33"/>
      <c r="F179" s="33"/>
      <c r="G179" s="33"/>
      <c r="H179" s="33"/>
      <c r="I179" s="33"/>
      <c r="J179" s="33"/>
      <c r="K179" s="33"/>
      <c r="L179" s="33"/>
      <c r="M179" s="33"/>
      <c r="N179" s="33"/>
    </row>
    <row r="180" spans="1:14" hidden="1" x14ac:dyDescent="0.25">
      <c r="A180" s="37"/>
      <c r="B180" s="33"/>
      <c r="C180" s="33"/>
      <c r="D180" s="33"/>
      <c r="E180" s="33"/>
      <c r="F180" s="33"/>
      <c r="G180" s="33"/>
      <c r="H180" s="33"/>
      <c r="I180" s="33"/>
      <c r="J180" s="33"/>
      <c r="K180" s="33"/>
      <c r="L180" s="33"/>
      <c r="M180" s="33"/>
      <c r="N180" s="33"/>
    </row>
    <row r="181" spans="1:14" hidden="1" x14ac:dyDescent="0.25">
      <c r="A181" s="37"/>
      <c r="B181" s="33"/>
      <c r="C181" s="33"/>
      <c r="D181" s="33"/>
      <c r="E181" s="33"/>
      <c r="F181" s="33"/>
      <c r="G181" s="33"/>
      <c r="H181" s="33"/>
      <c r="I181" s="33"/>
      <c r="J181" s="33"/>
      <c r="K181" s="33"/>
      <c r="L181" s="33"/>
      <c r="M181" s="33"/>
      <c r="N181" s="33"/>
    </row>
    <row r="182" spans="1:14" hidden="1" x14ac:dyDescent="0.25">
      <c r="A182" s="37"/>
      <c r="B182" s="33"/>
      <c r="C182" s="33"/>
      <c r="D182" s="33"/>
      <c r="E182" s="33"/>
      <c r="F182" s="33"/>
      <c r="G182" s="33"/>
      <c r="H182" s="33"/>
      <c r="I182" s="33"/>
      <c r="J182" s="33"/>
      <c r="K182" s="33"/>
      <c r="L182" s="33"/>
      <c r="M182" s="33"/>
      <c r="N182" s="33"/>
    </row>
    <row r="183" spans="1:14" hidden="1" x14ac:dyDescent="0.25">
      <c r="A183" s="37"/>
      <c r="B183" s="33"/>
      <c r="C183" s="33"/>
      <c r="D183" s="33"/>
      <c r="E183" s="33"/>
      <c r="F183" s="33"/>
      <c r="G183" s="33"/>
      <c r="H183" s="33"/>
      <c r="I183" s="33"/>
      <c r="J183" s="33"/>
      <c r="K183" s="33"/>
      <c r="L183" s="33"/>
      <c r="M183" s="33"/>
      <c r="N183" s="33"/>
    </row>
    <row r="184" spans="1:14" hidden="1" x14ac:dyDescent="0.25">
      <c r="A184" s="37"/>
      <c r="B184" s="33"/>
      <c r="C184" s="33"/>
      <c r="D184" s="33"/>
      <c r="E184" s="33"/>
      <c r="F184" s="33"/>
      <c r="G184" s="33"/>
      <c r="H184" s="33"/>
      <c r="I184" s="33"/>
      <c r="J184" s="33"/>
      <c r="K184" s="33"/>
      <c r="L184" s="33"/>
      <c r="M184" s="33"/>
      <c r="N184" s="33"/>
    </row>
    <row r="185" spans="1:14" hidden="1" x14ac:dyDescent="0.25">
      <c r="A185" s="37"/>
      <c r="B185" s="33"/>
      <c r="C185" s="33"/>
      <c r="D185" s="33"/>
      <c r="E185" s="33"/>
      <c r="F185" s="33"/>
      <c r="G185" s="33"/>
      <c r="H185" s="33"/>
      <c r="I185" s="33"/>
      <c r="J185" s="33"/>
      <c r="K185" s="33"/>
      <c r="L185" s="33"/>
      <c r="M185" s="33"/>
      <c r="N185" s="33"/>
    </row>
    <row r="186" spans="1:14" hidden="1" x14ac:dyDescent="0.25">
      <c r="A186" s="37"/>
      <c r="B186" s="33"/>
      <c r="C186" s="33"/>
      <c r="D186" s="33"/>
      <c r="E186" s="33"/>
      <c r="F186" s="33"/>
      <c r="G186" s="33"/>
      <c r="H186" s="33"/>
      <c r="I186" s="33"/>
      <c r="J186" s="33"/>
      <c r="K186" s="33"/>
      <c r="L186" s="33"/>
      <c r="M186" s="33"/>
      <c r="N186" s="33"/>
    </row>
    <row r="187" spans="1:14" hidden="1" x14ac:dyDescent="0.25">
      <c r="A187" s="37"/>
      <c r="B187" s="33"/>
      <c r="C187" s="33"/>
      <c r="D187" s="33"/>
      <c r="E187" s="33"/>
      <c r="F187" s="33"/>
      <c r="G187" s="33"/>
      <c r="H187" s="33"/>
      <c r="I187" s="33"/>
      <c r="J187" s="33"/>
      <c r="K187" s="33"/>
      <c r="L187" s="33"/>
      <c r="M187" s="33"/>
      <c r="N187" s="33"/>
    </row>
    <row r="188" spans="1:14" hidden="1" x14ac:dyDescent="0.25">
      <c r="A188" s="37"/>
      <c r="B188" s="33"/>
      <c r="C188" s="33"/>
      <c r="D188" s="33"/>
      <c r="E188" s="33"/>
      <c r="F188" s="33"/>
      <c r="G188" s="33"/>
      <c r="H188" s="33"/>
      <c r="I188" s="33"/>
      <c r="J188" s="33"/>
      <c r="K188" s="33"/>
      <c r="L188" s="33"/>
      <c r="M188" s="33"/>
      <c r="N188" s="33"/>
    </row>
    <row r="189" spans="1:14" hidden="1" x14ac:dyDescent="0.25">
      <c r="A189" s="37"/>
      <c r="B189" s="33"/>
      <c r="C189" s="33"/>
      <c r="D189" s="33"/>
      <c r="E189" s="33"/>
      <c r="F189" s="33"/>
      <c r="G189" s="33"/>
      <c r="H189" s="33"/>
      <c r="I189" s="33"/>
      <c r="J189" s="33"/>
      <c r="K189" s="33"/>
      <c r="L189" s="33"/>
      <c r="M189" s="33"/>
      <c r="N189" s="33"/>
    </row>
    <row r="190" spans="1:14" hidden="1" x14ac:dyDescent="0.25">
      <c r="A190" s="37"/>
      <c r="B190" s="33"/>
      <c r="C190" s="33"/>
      <c r="D190" s="33"/>
      <c r="E190" s="33"/>
      <c r="F190" s="33"/>
      <c r="G190" s="33"/>
      <c r="H190" s="33"/>
      <c r="I190" s="33"/>
      <c r="J190" s="33"/>
      <c r="K190" s="33"/>
      <c r="L190" s="33"/>
      <c r="M190" s="33"/>
      <c r="N190" s="33"/>
    </row>
    <row r="191" spans="1:14" hidden="1" x14ac:dyDescent="0.25">
      <c r="A191" s="37"/>
      <c r="B191" s="33"/>
      <c r="C191" s="33"/>
      <c r="D191" s="33"/>
      <c r="E191" s="33"/>
      <c r="F191" s="33"/>
      <c r="G191" s="33"/>
      <c r="H191" s="33"/>
      <c r="I191" s="33"/>
      <c r="J191" s="33"/>
      <c r="K191" s="33"/>
      <c r="L191" s="33"/>
      <c r="M191" s="33"/>
      <c r="N191" s="33"/>
    </row>
    <row r="192" spans="1:14" hidden="1" x14ac:dyDescent="0.25">
      <c r="A192" s="37"/>
      <c r="B192" s="33"/>
      <c r="C192" s="33"/>
      <c r="D192" s="33"/>
      <c r="E192" s="33"/>
      <c r="F192" s="33"/>
      <c r="G192" s="33"/>
      <c r="H192" s="33"/>
      <c r="I192" s="33"/>
      <c r="J192" s="33"/>
      <c r="K192" s="33"/>
      <c r="L192" s="33"/>
      <c r="M192" s="33"/>
      <c r="N192" s="33"/>
    </row>
    <row r="193" spans="1:14" hidden="1" x14ac:dyDescent="0.25">
      <c r="A193" s="37"/>
      <c r="B193" s="33"/>
      <c r="C193" s="33"/>
      <c r="D193" s="33"/>
      <c r="E193" s="33"/>
      <c r="F193" s="33"/>
      <c r="G193" s="33"/>
      <c r="H193" s="33"/>
      <c r="I193" s="33"/>
      <c r="J193" s="33"/>
      <c r="K193" s="33"/>
      <c r="L193" s="33"/>
      <c r="M193" s="33"/>
      <c r="N193" s="33"/>
    </row>
    <row r="194" spans="1:14" hidden="1" x14ac:dyDescent="0.25">
      <c r="A194" s="37"/>
      <c r="B194" s="33"/>
      <c r="C194" s="33"/>
      <c r="D194" s="33"/>
      <c r="E194" s="33"/>
      <c r="F194" s="33"/>
      <c r="G194" s="33"/>
      <c r="H194" s="33"/>
      <c r="I194" s="33"/>
      <c r="J194" s="33"/>
      <c r="K194" s="33"/>
      <c r="L194" s="33"/>
      <c r="M194" s="33"/>
      <c r="N194" s="33"/>
    </row>
    <row r="195" spans="1:14" hidden="1" x14ac:dyDescent="0.25">
      <c r="A195" s="37"/>
      <c r="B195" s="33"/>
      <c r="C195" s="33"/>
      <c r="D195" s="33"/>
      <c r="E195" s="33"/>
      <c r="F195" s="33"/>
      <c r="G195" s="33"/>
      <c r="H195" s="33"/>
      <c r="I195" s="33"/>
      <c r="J195" s="33"/>
      <c r="K195" s="33"/>
      <c r="L195" s="33"/>
      <c r="M195" s="33"/>
      <c r="N195" s="33"/>
    </row>
    <row r="196" spans="1:14" hidden="1" x14ac:dyDescent="0.25">
      <c r="A196" s="37"/>
      <c r="B196" s="33"/>
      <c r="C196" s="33"/>
      <c r="D196" s="33"/>
      <c r="E196" s="33"/>
      <c r="F196" s="33"/>
      <c r="G196" s="33"/>
      <c r="H196" s="33"/>
      <c r="I196" s="33"/>
      <c r="J196" s="33"/>
      <c r="K196" s="33"/>
      <c r="L196" s="33"/>
      <c r="M196" s="33"/>
      <c r="N196" s="33"/>
    </row>
    <row r="197" spans="1:14" hidden="1" x14ac:dyDescent="0.25">
      <c r="A197" s="37"/>
      <c r="B197" s="33"/>
      <c r="C197" s="33"/>
      <c r="D197" s="33"/>
      <c r="E197" s="33"/>
      <c r="F197" s="33"/>
      <c r="G197" s="33"/>
      <c r="H197" s="33"/>
      <c r="I197" s="33"/>
      <c r="J197" s="33"/>
      <c r="K197" s="33"/>
      <c r="L197" s="33"/>
      <c r="M197" s="33"/>
      <c r="N197" s="33"/>
    </row>
    <row r="198" spans="1:14" hidden="1" x14ac:dyDescent="0.25">
      <c r="A198" s="37"/>
      <c r="B198" s="33"/>
      <c r="C198" s="33"/>
      <c r="D198" s="33"/>
      <c r="E198" s="33"/>
      <c r="F198" s="33"/>
      <c r="G198" s="33"/>
      <c r="H198" s="33"/>
      <c r="I198" s="33"/>
      <c r="J198" s="33"/>
      <c r="K198" s="33"/>
      <c r="L198" s="33"/>
      <c r="M198" s="33"/>
      <c r="N198" s="33"/>
    </row>
    <row r="199" spans="1:14" hidden="1" x14ac:dyDescent="0.25">
      <c r="A199" s="37"/>
      <c r="B199" s="33"/>
      <c r="C199" s="33"/>
      <c r="D199" s="33"/>
      <c r="E199" s="33"/>
      <c r="F199" s="33"/>
      <c r="G199" s="33"/>
      <c r="H199" s="33"/>
      <c r="I199" s="33"/>
      <c r="J199" s="33"/>
      <c r="K199" s="33"/>
      <c r="L199" s="33"/>
      <c r="M199" s="33"/>
      <c r="N199" s="33"/>
    </row>
    <row r="200" spans="1:14" hidden="1" x14ac:dyDescent="0.25">
      <c r="A200" s="37"/>
      <c r="B200" s="33"/>
      <c r="C200" s="33"/>
      <c r="D200" s="33"/>
      <c r="E200" s="33"/>
      <c r="F200" s="33"/>
      <c r="G200" s="33"/>
      <c r="H200" s="33"/>
      <c r="I200" s="33"/>
      <c r="J200" s="33"/>
      <c r="K200" s="33"/>
      <c r="L200" s="33"/>
      <c r="M200" s="33"/>
      <c r="N200" s="33"/>
    </row>
    <row r="201" spans="1:14" hidden="1" x14ac:dyDescent="0.25">
      <c r="A201" s="37"/>
      <c r="B201" s="33"/>
      <c r="C201" s="33"/>
      <c r="D201" s="33"/>
      <c r="E201" s="33"/>
      <c r="F201" s="33"/>
      <c r="G201" s="33"/>
      <c r="H201" s="33"/>
      <c r="I201" s="33"/>
      <c r="J201" s="33"/>
      <c r="K201" s="33"/>
      <c r="L201" s="33"/>
      <c r="M201" s="33"/>
      <c r="N201" s="33"/>
    </row>
    <row r="202" spans="1:14" hidden="1" x14ac:dyDescent="0.25">
      <c r="A202" s="37"/>
      <c r="B202" s="33"/>
      <c r="C202" s="33"/>
      <c r="D202" s="33"/>
      <c r="E202" s="33"/>
      <c r="F202" s="33"/>
      <c r="G202" s="33"/>
      <c r="H202" s="33"/>
      <c r="I202" s="33"/>
      <c r="J202" s="33"/>
      <c r="K202" s="33"/>
      <c r="L202" s="33"/>
      <c r="M202" s="33"/>
      <c r="N202" s="33"/>
    </row>
    <row r="203" spans="1:14" hidden="1" x14ac:dyDescent="0.25">
      <c r="A203" s="37"/>
      <c r="B203" s="33"/>
      <c r="C203" s="33"/>
      <c r="D203" s="33"/>
      <c r="E203" s="33"/>
      <c r="F203" s="33"/>
      <c r="G203" s="33"/>
      <c r="H203" s="33"/>
      <c r="I203" s="33"/>
      <c r="J203" s="33"/>
      <c r="K203" s="33"/>
      <c r="L203" s="33"/>
      <c r="M203" s="33"/>
      <c r="N203" s="33"/>
    </row>
    <row r="204" spans="1:14" hidden="1" x14ac:dyDescent="0.25">
      <c r="A204" s="37"/>
      <c r="B204" s="33"/>
      <c r="C204" s="33"/>
      <c r="D204" s="33"/>
      <c r="E204" s="33"/>
      <c r="F204" s="33"/>
      <c r="G204" s="33"/>
      <c r="H204" s="33"/>
      <c r="I204" s="33"/>
      <c r="J204" s="33"/>
      <c r="K204" s="33"/>
      <c r="L204" s="33"/>
      <c r="M204" s="33"/>
      <c r="N204" s="33"/>
    </row>
    <row r="205" spans="1:14" hidden="1" x14ac:dyDescent="0.25">
      <c r="A205" s="37"/>
      <c r="B205" s="33"/>
      <c r="C205" s="33"/>
      <c r="D205" s="33"/>
      <c r="E205" s="33"/>
      <c r="F205" s="33"/>
      <c r="G205" s="33"/>
      <c r="H205" s="33"/>
      <c r="I205" s="33"/>
      <c r="J205" s="33"/>
      <c r="K205" s="33"/>
      <c r="L205" s="33"/>
      <c r="M205" s="33"/>
      <c r="N205" s="33"/>
    </row>
    <row r="206" spans="1:14" hidden="1" x14ac:dyDescent="0.25">
      <c r="A206" s="37"/>
      <c r="B206" s="33"/>
      <c r="C206" s="33"/>
      <c r="D206" s="33"/>
      <c r="E206" s="33"/>
      <c r="F206" s="33"/>
      <c r="G206" s="33"/>
      <c r="H206" s="33"/>
      <c r="I206" s="33"/>
      <c r="J206" s="33"/>
      <c r="K206" s="33"/>
      <c r="L206" s="33"/>
      <c r="M206" s="33"/>
      <c r="N206" s="33"/>
    </row>
    <row r="207" spans="1:14" hidden="1" x14ac:dyDescent="0.25">
      <c r="A207" s="37"/>
      <c r="B207" s="33"/>
      <c r="C207" s="33"/>
      <c r="D207" s="33"/>
      <c r="E207" s="33"/>
      <c r="F207" s="33"/>
      <c r="G207" s="33"/>
      <c r="H207" s="33"/>
      <c r="I207" s="33"/>
      <c r="J207" s="33"/>
      <c r="K207" s="33"/>
      <c r="L207" s="33"/>
      <c r="M207" s="33"/>
      <c r="N207" s="33"/>
    </row>
    <row r="208" spans="1:14" hidden="1" x14ac:dyDescent="0.25">
      <c r="A208" s="37"/>
      <c r="B208" s="33"/>
      <c r="C208" s="33"/>
      <c r="D208" s="33"/>
      <c r="E208" s="33"/>
      <c r="F208" s="33"/>
      <c r="G208" s="33"/>
      <c r="H208" s="33"/>
      <c r="I208" s="33"/>
      <c r="J208" s="33"/>
      <c r="K208" s="33"/>
      <c r="L208" s="33"/>
      <c r="M208" s="33"/>
      <c r="N208" s="33"/>
    </row>
    <row r="209" spans="1:14" hidden="1" x14ac:dyDescent="0.25">
      <c r="A209" s="37"/>
      <c r="B209" s="33"/>
      <c r="C209" s="33"/>
      <c r="D209" s="33"/>
      <c r="E209" s="33"/>
      <c r="F209" s="33"/>
      <c r="G209" s="33"/>
      <c r="H209" s="33"/>
      <c r="I209" s="33"/>
      <c r="J209" s="33"/>
      <c r="K209" s="33"/>
      <c r="L209" s="33"/>
      <c r="M209" s="33"/>
      <c r="N209" s="33"/>
    </row>
    <row r="210" spans="1:14" hidden="1" x14ac:dyDescent="0.25">
      <c r="A210" s="37"/>
      <c r="B210" s="33"/>
      <c r="C210" s="33"/>
      <c r="D210" s="33"/>
      <c r="E210" s="33"/>
      <c r="F210" s="33"/>
      <c r="G210" s="33"/>
      <c r="H210" s="33"/>
      <c r="I210" s="33"/>
      <c r="J210" s="33"/>
      <c r="K210" s="33"/>
      <c r="L210" s="33"/>
      <c r="M210" s="33"/>
      <c r="N210" s="33"/>
    </row>
    <row r="211" spans="1:14" hidden="1" x14ac:dyDescent="0.25">
      <c r="A211" s="37"/>
      <c r="B211" s="33"/>
      <c r="C211" s="33"/>
      <c r="D211" s="33"/>
      <c r="E211" s="33"/>
      <c r="F211" s="33"/>
      <c r="G211" s="33"/>
      <c r="H211" s="33"/>
      <c r="I211" s="33"/>
      <c r="J211" s="33"/>
      <c r="K211" s="33"/>
      <c r="L211" s="33"/>
      <c r="M211" s="33"/>
      <c r="N211" s="33"/>
    </row>
    <row r="212" spans="1:14" hidden="1" x14ac:dyDescent="0.25">
      <c r="A212" s="37"/>
      <c r="B212" s="33"/>
      <c r="C212" s="33"/>
      <c r="D212" s="33"/>
      <c r="E212" s="33"/>
      <c r="F212" s="33"/>
      <c r="G212" s="33"/>
      <c r="H212" s="33"/>
      <c r="I212" s="33"/>
      <c r="J212" s="33"/>
      <c r="K212" s="33"/>
      <c r="L212" s="33"/>
      <c r="M212" s="33"/>
      <c r="N212" s="33"/>
    </row>
    <row r="213" spans="1:14" hidden="1" x14ac:dyDescent="0.25">
      <c r="A213" s="37"/>
      <c r="B213" s="33"/>
      <c r="C213" s="33"/>
      <c r="D213" s="33"/>
      <c r="E213" s="33"/>
      <c r="F213" s="33"/>
      <c r="G213" s="33"/>
      <c r="H213" s="33"/>
      <c r="I213" s="33"/>
      <c r="J213" s="33"/>
      <c r="K213" s="33"/>
      <c r="L213" s="33"/>
      <c r="M213" s="33"/>
      <c r="N213" s="33"/>
    </row>
    <row r="214" spans="1:14" hidden="1" x14ac:dyDescent="0.25">
      <c r="A214" s="37"/>
      <c r="B214" s="33"/>
      <c r="C214" s="33"/>
      <c r="D214" s="33"/>
      <c r="E214" s="33"/>
      <c r="F214" s="33"/>
      <c r="G214" s="33"/>
      <c r="H214" s="33"/>
      <c r="I214" s="33"/>
      <c r="J214" s="33"/>
      <c r="K214" s="33"/>
      <c r="L214" s="33"/>
      <c r="M214" s="33"/>
      <c r="N214" s="33"/>
    </row>
    <row r="215" spans="1:14" hidden="1" x14ac:dyDescent="0.25">
      <c r="A215" s="37"/>
      <c r="B215" s="33"/>
      <c r="C215" s="33"/>
      <c r="D215" s="33"/>
      <c r="E215" s="33"/>
      <c r="F215" s="33"/>
      <c r="G215" s="33"/>
      <c r="H215" s="33"/>
      <c r="I215" s="33"/>
      <c r="J215" s="33"/>
      <c r="K215" s="33"/>
      <c r="L215" s="33"/>
      <c r="M215" s="33"/>
      <c r="N215" s="33"/>
    </row>
    <row r="216" spans="1:14" hidden="1" x14ac:dyDescent="0.25">
      <c r="A216" s="37"/>
      <c r="B216" s="33"/>
      <c r="C216" s="33"/>
      <c r="D216" s="33"/>
      <c r="E216" s="33"/>
      <c r="F216" s="33"/>
      <c r="G216" s="33"/>
      <c r="H216" s="33"/>
      <c r="I216" s="33"/>
      <c r="J216" s="33"/>
      <c r="K216" s="33"/>
      <c r="L216" s="33"/>
      <c r="M216" s="33"/>
      <c r="N216" s="33"/>
    </row>
    <row r="217" spans="1:14" hidden="1" x14ac:dyDescent="0.25">
      <c r="A217" s="37"/>
      <c r="B217" s="33"/>
      <c r="C217" s="33"/>
      <c r="D217" s="33"/>
      <c r="E217" s="33"/>
      <c r="F217" s="33"/>
      <c r="G217" s="33"/>
      <c r="H217" s="33"/>
      <c r="I217" s="33"/>
      <c r="J217" s="33"/>
      <c r="K217" s="33"/>
      <c r="L217" s="33"/>
      <c r="M217" s="33"/>
      <c r="N217" s="33"/>
    </row>
    <row r="218" spans="1:14" hidden="1" x14ac:dyDescent="0.25">
      <c r="A218" s="37"/>
      <c r="B218" s="33"/>
      <c r="C218" s="33"/>
      <c r="D218" s="33"/>
      <c r="E218" s="33"/>
      <c r="F218" s="33"/>
      <c r="G218" s="33"/>
      <c r="H218" s="33"/>
      <c r="I218" s="33"/>
      <c r="J218" s="33"/>
      <c r="K218" s="33"/>
      <c r="L218" s="33"/>
      <c r="M218" s="33"/>
      <c r="N218" s="33"/>
    </row>
    <row r="219" spans="1:14" hidden="1" x14ac:dyDescent="0.25">
      <c r="A219" s="37"/>
      <c r="B219" s="33"/>
      <c r="C219" s="33"/>
      <c r="D219" s="33"/>
      <c r="E219" s="33"/>
      <c r="F219" s="33"/>
      <c r="G219" s="33"/>
      <c r="H219" s="33"/>
      <c r="I219" s="33"/>
      <c r="J219" s="33"/>
      <c r="K219" s="33"/>
      <c r="L219" s="33"/>
      <c r="M219" s="33"/>
      <c r="N219" s="33"/>
    </row>
    <row r="220" spans="1:14" hidden="1" x14ac:dyDescent="0.25">
      <c r="A220" s="37"/>
      <c r="B220" s="33"/>
      <c r="C220" s="33"/>
      <c r="D220" s="33"/>
      <c r="E220" s="33"/>
      <c r="F220" s="33"/>
      <c r="G220" s="33"/>
      <c r="H220" s="33"/>
      <c r="I220" s="33"/>
      <c r="J220" s="33"/>
      <c r="K220" s="33"/>
      <c r="L220" s="33"/>
      <c r="M220" s="33"/>
      <c r="N220" s="33"/>
    </row>
    <row r="221" spans="1:14" hidden="1" x14ac:dyDescent="0.25">
      <c r="A221" s="37"/>
      <c r="B221" s="33"/>
      <c r="C221" s="33"/>
      <c r="D221" s="33"/>
      <c r="E221" s="33"/>
      <c r="F221" s="33"/>
      <c r="G221" s="33"/>
      <c r="H221" s="33"/>
      <c r="I221" s="33"/>
      <c r="J221" s="33"/>
      <c r="K221" s="33"/>
      <c r="L221" s="33"/>
      <c r="M221" s="33"/>
      <c r="N221" s="33"/>
    </row>
    <row r="222" spans="1:14" hidden="1" x14ac:dyDescent="0.25">
      <c r="A222" s="37"/>
      <c r="B222" s="33"/>
      <c r="C222" s="33"/>
      <c r="D222" s="33"/>
      <c r="E222" s="33"/>
      <c r="F222" s="33"/>
      <c r="G222" s="33"/>
      <c r="H222" s="33"/>
      <c r="I222" s="33"/>
      <c r="J222" s="33"/>
      <c r="K222" s="33"/>
      <c r="L222" s="33"/>
      <c r="M222" s="33"/>
      <c r="N222" s="33"/>
    </row>
    <row r="223" spans="1:14" hidden="1" x14ac:dyDescent="0.25">
      <c r="A223" s="37"/>
      <c r="B223" s="33"/>
      <c r="C223" s="33"/>
      <c r="D223" s="33"/>
      <c r="E223" s="33"/>
      <c r="F223" s="33"/>
      <c r="G223" s="33"/>
      <c r="H223" s="33"/>
      <c r="I223" s="33"/>
      <c r="J223" s="33"/>
      <c r="K223" s="33"/>
      <c r="L223" s="33"/>
      <c r="M223" s="33"/>
      <c r="N223" s="33"/>
    </row>
    <row r="224" spans="1:14" hidden="1" x14ac:dyDescent="0.25">
      <c r="A224" s="37"/>
      <c r="B224" s="33"/>
      <c r="C224" s="33"/>
      <c r="D224" s="33"/>
      <c r="E224" s="33"/>
      <c r="F224" s="33"/>
      <c r="G224" s="33"/>
      <c r="H224" s="33"/>
      <c r="I224" s="33"/>
      <c r="J224" s="33"/>
      <c r="K224" s="33"/>
      <c r="L224" s="33"/>
      <c r="M224" s="33"/>
      <c r="N224" s="33"/>
    </row>
    <row r="225" spans="1:14" hidden="1" x14ac:dyDescent="0.25">
      <c r="A225" s="37"/>
      <c r="B225" s="33"/>
      <c r="C225" s="33"/>
      <c r="D225" s="33"/>
      <c r="E225" s="33"/>
      <c r="F225" s="33"/>
      <c r="G225" s="33"/>
      <c r="H225" s="33"/>
      <c r="I225" s="33"/>
      <c r="J225" s="33"/>
      <c r="K225" s="33"/>
      <c r="L225" s="33"/>
      <c r="M225" s="33"/>
      <c r="N225" s="33"/>
    </row>
    <row r="226" spans="1:14" hidden="1" x14ac:dyDescent="0.25">
      <c r="A226" s="37"/>
      <c r="B226" s="33"/>
      <c r="C226" s="33"/>
      <c r="D226" s="33"/>
      <c r="E226" s="33"/>
      <c r="F226" s="33"/>
      <c r="G226" s="33"/>
      <c r="H226" s="33"/>
      <c r="I226" s="33"/>
      <c r="J226" s="33"/>
      <c r="K226" s="33"/>
      <c r="L226" s="33"/>
      <c r="M226" s="33"/>
      <c r="N226" s="33"/>
    </row>
    <row r="227" spans="1:14" hidden="1" x14ac:dyDescent="0.25">
      <c r="A227" s="37"/>
      <c r="B227" s="33"/>
      <c r="C227" s="33"/>
      <c r="D227" s="33"/>
      <c r="E227" s="33"/>
      <c r="F227" s="33"/>
      <c r="G227" s="33"/>
      <c r="H227" s="33"/>
      <c r="I227" s="33"/>
      <c r="J227" s="33"/>
      <c r="K227" s="33"/>
      <c r="L227" s="33"/>
      <c r="M227" s="33"/>
      <c r="N227" s="33"/>
    </row>
    <row r="228" spans="1:14" hidden="1" x14ac:dyDescent="0.25">
      <c r="A228" s="37"/>
      <c r="B228" s="33"/>
      <c r="C228" s="33"/>
      <c r="D228" s="33"/>
      <c r="E228" s="33"/>
      <c r="F228" s="33"/>
      <c r="G228" s="33"/>
      <c r="H228" s="33"/>
      <c r="I228" s="33"/>
      <c r="J228" s="33"/>
      <c r="K228" s="33"/>
      <c r="L228" s="33"/>
      <c r="M228" s="33"/>
      <c r="N228" s="33"/>
    </row>
    <row r="229" spans="1:14" hidden="1" x14ac:dyDescent="0.25">
      <c r="A229" s="37"/>
      <c r="B229" s="33"/>
      <c r="C229" s="33"/>
      <c r="D229" s="33"/>
      <c r="E229" s="33"/>
      <c r="F229" s="33"/>
      <c r="G229" s="33"/>
      <c r="H229" s="33"/>
      <c r="I229" s="33"/>
      <c r="J229" s="33"/>
      <c r="K229" s="33"/>
      <c r="L229" s="33"/>
      <c r="M229" s="33"/>
      <c r="N229" s="33"/>
    </row>
    <row r="230" spans="1:14" hidden="1" x14ac:dyDescent="0.25">
      <c r="A230" s="37"/>
      <c r="B230" s="33"/>
      <c r="C230" s="33"/>
      <c r="D230" s="33"/>
      <c r="E230" s="33"/>
      <c r="F230" s="33"/>
      <c r="G230" s="33"/>
      <c r="H230" s="33"/>
      <c r="I230" s="33"/>
      <c r="J230" s="33"/>
      <c r="K230" s="33"/>
      <c r="L230" s="33"/>
      <c r="M230" s="33"/>
      <c r="N230" s="33"/>
    </row>
    <row r="231" spans="1:14" hidden="1" x14ac:dyDescent="0.25">
      <c r="A231" s="37"/>
      <c r="B231" s="33"/>
      <c r="C231" s="33"/>
      <c r="D231" s="33"/>
      <c r="E231" s="33"/>
      <c r="F231" s="33"/>
      <c r="G231" s="33"/>
      <c r="H231" s="33"/>
      <c r="I231" s="33"/>
      <c r="J231" s="33"/>
      <c r="K231" s="33"/>
      <c r="L231" s="33"/>
      <c r="M231" s="33"/>
      <c r="N231" s="33"/>
    </row>
    <row r="232" spans="1:14" hidden="1" x14ac:dyDescent="0.25">
      <c r="A232" s="37"/>
      <c r="B232" s="33"/>
      <c r="C232" s="33"/>
      <c r="D232" s="33"/>
      <c r="E232" s="33"/>
      <c r="F232" s="33"/>
      <c r="G232" s="33"/>
      <c r="H232" s="33"/>
      <c r="I232" s="33"/>
      <c r="J232" s="33"/>
      <c r="K232" s="33"/>
      <c r="L232" s="33"/>
      <c r="M232" s="33"/>
      <c r="N232" s="33"/>
    </row>
    <row r="233" spans="1:14" hidden="1" x14ac:dyDescent="0.25">
      <c r="A233" s="37"/>
      <c r="B233" s="33"/>
      <c r="C233" s="33"/>
      <c r="D233" s="33"/>
      <c r="E233" s="33"/>
      <c r="F233" s="33"/>
      <c r="G233" s="33"/>
      <c r="H233" s="33"/>
      <c r="I233" s="33"/>
      <c r="J233" s="33"/>
      <c r="K233" s="33"/>
      <c r="L233" s="33"/>
      <c r="M233" s="33"/>
      <c r="N233" s="33"/>
    </row>
    <row r="234" spans="1:14" hidden="1" x14ac:dyDescent="0.25">
      <c r="A234" s="37"/>
      <c r="B234" s="33"/>
      <c r="C234" s="33"/>
      <c r="D234" s="33"/>
      <c r="E234" s="33"/>
      <c r="F234" s="33"/>
      <c r="G234" s="33"/>
      <c r="H234" s="33"/>
      <c r="I234" s="33"/>
      <c r="J234" s="33"/>
      <c r="K234" s="33"/>
      <c r="L234" s="33"/>
      <c r="M234" s="33"/>
      <c r="N234" s="33"/>
    </row>
    <row r="235" spans="1:14" hidden="1" x14ac:dyDescent="0.25">
      <c r="A235" s="37"/>
      <c r="B235" s="33"/>
      <c r="C235" s="33"/>
      <c r="D235" s="33"/>
      <c r="E235" s="33"/>
      <c r="F235" s="33"/>
      <c r="G235" s="33"/>
      <c r="H235" s="33"/>
      <c r="I235" s="33"/>
      <c r="J235" s="33"/>
      <c r="K235" s="33"/>
      <c r="L235" s="33"/>
      <c r="M235" s="33"/>
      <c r="N235" s="33"/>
    </row>
    <row r="236" spans="1:14" hidden="1" x14ac:dyDescent="0.25">
      <c r="A236" s="37"/>
      <c r="B236" s="33"/>
      <c r="C236" s="33"/>
      <c r="D236" s="33"/>
      <c r="E236" s="33"/>
      <c r="F236" s="33"/>
      <c r="G236" s="33"/>
      <c r="H236" s="33"/>
      <c r="I236" s="33"/>
      <c r="J236" s="33"/>
      <c r="K236" s="33"/>
      <c r="L236" s="33"/>
      <c r="M236" s="33"/>
      <c r="N236" s="33"/>
    </row>
    <row r="237" spans="1:14" hidden="1" x14ac:dyDescent="0.25">
      <c r="A237" s="37"/>
      <c r="B237" s="33"/>
      <c r="C237" s="33"/>
      <c r="D237" s="33"/>
      <c r="E237" s="33"/>
      <c r="F237" s="33"/>
      <c r="G237" s="33"/>
      <c r="H237" s="33"/>
      <c r="I237" s="33"/>
      <c r="J237" s="33"/>
      <c r="K237" s="33"/>
      <c r="L237" s="33"/>
      <c r="M237" s="33"/>
      <c r="N237" s="33"/>
    </row>
    <row r="238" spans="1:14" hidden="1" x14ac:dyDescent="0.25">
      <c r="A238" s="37"/>
      <c r="B238" s="33"/>
      <c r="C238" s="33"/>
      <c r="D238" s="33"/>
      <c r="E238" s="33"/>
      <c r="F238" s="33"/>
      <c r="G238" s="33"/>
      <c r="H238" s="33"/>
      <c r="I238" s="33"/>
      <c r="J238" s="33"/>
      <c r="K238" s="33"/>
      <c r="L238" s="33"/>
      <c r="M238" s="33"/>
      <c r="N238" s="33"/>
    </row>
    <row r="239" spans="1:14" hidden="1" x14ac:dyDescent="0.25">
      <c r="A239" s="37"/>
      <c r="B239" s="33"/>
      <c r="C239" s="33"/>
      <c r="D239" s="33"/>
      <c r="E239" s="33"/>
      <c r="F239" s="33"/>
      <c r="G239" s="33"/>
      <c r="H239" s="33"/>
      <c r="I239" s="33"/>
      <c r="J239" s="33"/>
      <c r="K239" s="33"/>
      <c r="L239" s="33"/>
      <c r="M239" s="33"/>
      <c r="N239" s="33"/>
    </row>
    <row r="240" spans="1:14" hidden="1" x14ac:dyDescent="0.25">
      <c r="A240" s="37"/>
      <c r="B240" s="33"/>
      <c r="C240" s="33"/>
      <c r="D240" s="33"/>
      <c r="E240" s="33"/>
      <c r="F240" s="33"/>
      <c r="G240" s="33"/>
      <c r="H240" s="33"/>
      <c r="I240" s="33"/>
      <c r="J240" s="33"/>
      <c r="K240" s="33"/>
      <c r="L240" s="33"/>
      <c r="M240" s="33"/>
      <c r="N240" s="33"/>
    </row>
    <row r="241" spans="1:14" hidden="1" x14ac:dyDescent="0.25">
      <c r="A241" s="37"/>
      <c r="B241" s="33"/>
      <c r="C241" s="33"/>
      <c r="D241" s="33"/>
      <c r="E241" s="33"/>
      <c r="F241" s="33"/>
      <c r="G241" s="33"/>
      <c r="H241" s="33"/>
      <c r="I241" s="33"/>
      <c r="J241" s="33"/>
      <c r="K241" s="33"/>
      <c r="L241" s="33"/>
      <c r="M241" s="33"/>
      <c r="N241" s="33"/>
    </row>
    <row r="242" spans="1:14" hidden="1" x14ac:dyDescent="0.25">
      <c r="A242" s="37"/>
      <c r="B242" s="33"/>
      <c r="C242" s="33"/>
      <c r="D242" s="33"/>
      <c r="E242" s="33"/>
      <c r="F242" s="33"/>
      <c r="G242" s="33"/>
      <c r="H242" s="33"/>
      <c r="I242" s="33"/>
      <c r="J242" s="33"/>
      <c r="K242" s="33"/>
      <c r="L242" s="33"/>
      <c r="M242" s="33"/>
      <c r="N242" s="33"/>
    </row>
    <row r="243" spans="1:14" hidden="1" x14ac:dyDescent="0.25">
      <c r="A243" s="37"/>
      <c r="B243" s="33"/>
      <c r="C243" s="33"/>
      <c r="D243" s="33"/>
      <c r="E243" s="33"/>
      <c r="F243" s="33"/>
      <c r="G243" s="33"/>
      <c r="H243" s="33"/>
      <c r="I243" s="33"/>
      <c r="J243" s="33"/>
      <c r="K243" s="33"/>
      <c r="L243" s="33"/>
      <c r="M243" s="33"/>
      <c r="N243" s="33"/>
    </row>
    <row r="244" spans="1:14" hidden="1" x14ac:dyDescent="0.25">
      <c r="A244" s="37"/>
      <c r="B244" s="33"/>
      <c r="C244" s="33"/>
      <c r="D244" s="33"/>
      <c r="E244" s="33"/>
      <c r="F244" s="33"/>
      <c r="G244" s="33"/>
      <c r="H244" s="33"/>
      <c r="I244" s="33"/>
      <c r="J244" s="33"/>
      <c r="K244" s="33"/>
      <c r="L244" s="33"/>
      <c r="M244" s="33"/>
      <c r="N244" s="33"/>
    </row>
    <row r="245" spans="1:14" hidden="1" x14ac:dyDescent="0.25">
      <c r="A245" s="37"/>
      <c r="B245" s="33"/>
      <c r="C245" s="33"/>
      <c r="D245" s="33"/>
      <c r="E245" s="33"/>
      <c r="F245" s="33"/>
      <c r="G245" s="33"/>
      <c r="H245" s="33"/>
      <c r="I245" s="33"/>
      <c r="J245" s="33"/>
      <c r="K245" s="33"/>
      <c r="L245" s="33"/>
      <c r="M245" s="33"/>
      <c r="N245" s="33"/>
    </row>
    <row r="246" spans="1:14" hidden="1" x14ac:dyDescent="0.25">
      <c r="A246" s="37"/>
      <c r="B246" s="33"/>
      <c r="C246" s="33"/>
      <c r="D246" s="33"/>
      <c r="E246" s="33"/>
      <c r="F246" s="33"/>
      <c r="G246" s="33"/>
      <c r="H246" s="33"/>
      <c r="I246" s="33"/>
      <c r="J246" s="33"/>
      <c r="K246" s="33"/>
      <c r="L246" s="33"/>
      <c r="M246" s="33"/>
      <c r="N246" s="33"/>
    </row>
    <row r="247" spans="1:14" hidden="1" x14ac:dyDescent="0.25">
      <c r="A247" s="37"/>
      <c r="B247" s="33"/>
      <c r="C247" s="33"/>
      <c r="D247" s="33"/>
      <c r="E247" s="33"/>
      <c r="F247" s="33"/>
      <c r="G247" s="33"/>
      <c r="H247" s="33"/>
      <c r="I247" s="33"/>
      <c r="J247" s="33"/>
      <c r="K247" s="33"/>
      <c r="L247" s="33"/>
      <c r="M247" s="33"/>
      <c r="N247" s="33"/>
    </row>
    <row r="248" spans="1:14" hidden="1" x14ac:dyDescent="0.25">
      <c r="A248" s="37"/>
      <c r="B248" s="33"/>
      <c r="C248" s="33"/>
      <c r="D248" s="33"/>
      <c r="E248" s="33"/>
      <c r="F248" s="33"/>
      <c r="G248" s="33"/>
      <c r="H248" s="33"/>
      <c r="I248" s="33"/>
      <c r="J248" s="33"/>
      <c r="K248" s="33"/>
      <c r="L248" s="33"/>
      <c r="M248" s="33"/>
      <c r="N248" s="33"/>
    </row>
    <row r="249" spans="1:14" hidden="1" x14ac:dyDescent="0.25">
      <c r="A249" s="37"/>
      <c r="B249" s="33"/>
      <c r="C249" s="33"/>
      <c r="D249" s="33"/>
      <c r="E249" s="33"/>
      <c r="F249" s="33"/>
      <c r="G249" s="33"/>
      <c r="H249" s="33"/>
      <c r="I249" s="33"/>
      <c r="J249" s="33"/>
      <c r="K249" s="33"/>
      <c r="L249" s="33"/>
      <c r="M249" s="33"/>
      <c r="N249" s="33"/>
    </row>
    <row r="250" spans="1:14" hidden="1" x14ac:dyDescent="0.25">
      <c r="A250" s="37"/>
      <c r="B250" s="33"/>
      <c r="C250" s="33"/>
      <c r="D250" s="33"/>
      <c r="E250" s="33"/>
      <c r="F250" s="33"/>
      <c r="G250" s="33"/>
      <c r="H250" s="33"/>
      <c r="I250" s="33"/>
      <c r="J250" s="33"/>
      <c r="K250" s="33"/>
      <c r="L250" s="33"/>
      <c r="M250" s="33"/>
      <c r="N250" s="33"/>
    </row>
    <row r="251" spans="1:14" hidden="1" x14ac:dyDescent="0.25">
      <c r="A251" s="37"/>
      <c r="B251" s="33"/>
      <c r="C251" s="33"/>
      <c r="D251" s="33"/>
      <c r="E251" s="33"/>
      <c r="F251" s="33"/>
      <c r="G251" s="33"/>
      <c r="H251" s="33"/>
      <c r="I251" s="33"/>
      <c r="J251" s="33"/>
      <c r="K251" s="33"/>
      <c r="L251" s="33"/>
      <c r="M251" s="33"/>
      <c r="N251" s="33"/>
    </row>
    <row r="252" spans="1:14" hidden="1" x14ac:dyDescent="0.25">
      <c r="A252" s="37"/>
      <c r="B252" s="33"/>
      <c r="C252" s="33"/>
      <c r="D252" s="33"/>
      <c r="E252" s="33"/>
      <c r="F252" s="33"/>
      <c r="G252" s="33"/>
      <c r="H252" s="33"/>
      <c r="I252" s="33"/>
      <c r="J252" s="33"/>
      <c r="K252" s="33"/>
      <c r="L252" s="33"/>
      <c r="M252" s="33"/>
      <c r="N252" s="33"/>
    </row>
    <row r="253" spans="1:14" hidden="1" x14ac:dyDescent="0.25">
      <c r="A253" s="37"/>
      <c r="B253" s="33"/>
      <c r="C253" s="33"/>
      <c r="D253" s="33"/>
      <c r="E253" s="33"/>
      <c r="F253" s="33"/>
      <c r="G253" s="33"/>
      <c r="H253" s="33"/>
      <c r="I253" s="33"/>
      <c r="J253" s="33"/>
      <c r="K253" s="33"/>
      <c r="L253" s="33"/>
      <c r="M253" s="33"/>
      <c r="N253" s="33"/>
    </row>
    <row r="254" spans="1:14" hidden="1" x14ac:dyDescent="0.25">
      <c r="A254" s="37"/>
      <c r="B254" s="33"/>
      <c r="C254" s="33"/>
      <c r="D254" s="33"/>
      <c r="E254" s="33"/>
      <c r="F254" s="33"/>
      <c r="G254" s="33"/>
      <c r="H254" s="33"/>
      <c r="I254" s="33"/>
      <c r="J254" s="33"/>
      <c r="K254" s="33"/>
      <c r="L254" s="33"/>
      <c r="M254" s="33"/>
      <c r="N254" s="33"/>
    </row>
    <row r="255" spans="1:14" hidden="1" x14ac:dyDescent="0.25">
      <c r="A255" s="37"/>
      <c r="B255" s="33"/>
      <c r="C255" s="33"/>
      <c r="D255" s="33"/>
      <c r="E255" s="33"/>
      <c r="F255" s="33"/>
      <c r="G255" s="33"/>
      <c r="H255" s="33"/>
      <c r="I255" s="33"/>
      <c r="J255" s="33"/>
      <c r="K255" s="33"/>
      <c r="L255" s="33"/>
      <c r="M255" s="33"/>
      <c r="N255" s="33"/>
    </row>
    <row r="256" spans="1:14" hidden="1" x14ac:dyDescent="0.25">
      <c r="A256" s="37"/>
      <c r="B256" s="33"/>
      <c r="C256" s="33"/>
      <c r="D256" s="33"/>
      <c r="E256" s="33"/>
      <c r="F256" s="33"/>
      <c r="G256" s="33"/>
      <c r="H256" s="33"/>
      <c r="I256" s="33"/>
      <c r="J256" s="33"/>
      <c r="K256" s="33"/>
      <c r="L256" s="33"/>
      <c r="M256" s="33"/>
      <c r="N256" s="33"/>
    </row>
    <row r="257" spans="1:14" hidden="1" x14ac:dyDescent="0.25">
      <c r="A257" s="37"/>
      <c r="B257" s="33"/>
      <c r="C257" s="33"/>
      <c r="D257" s="33"/>
      <c r="E257" s="33"/>
      <c r="F257" s="33"/>
      <c r="G257" s="33"/>
      <c r="H257" s="33"/>
      <c r="I257" s="33"/>
      <c r="J257" s="33"/>
      <c r="K257" s="33"/>
      <c r="L257" s="33"/>
      <c r="M257" s="33"/>
      <c r="N257" s="33"/>
    </row>
    <row r="258" spans="1:14" hidden="1" x14ac:dyDescent="0.25">
      <c r="A258" s="37"/>
      <c r="B258" s="33"/>
      <c r="C258" s="33"/>
      <c r="D258" s="33"/>
      <c r="E258" s="33"/>
      <c r="F258" s="33"/>
      <c r="G258" s="33"/>
      <c r="H258" s="33"/>
      <c r="I258" s="33"/>
      <c r="J258" s="33"/>
      <c r="K258" s="33"/>
      <c r="L258" s="33"/>
      <c r="M258" s="33"/>
      <c r="N258" s="33"/>
    </row>
    <row r="259" spans="1:14" hidden="1" x14ac:dyDescent="0.25">
      <c r="A259" s="37"/>
      <c r="B259" s="33"/>
      <c r="C259" s="33"/>
      <c r="D259" s="33"/>
      <c r="E259" s="33"/>
      <c r="F259" s="33"/>
      <c r="G259" s="33"/>
      <c r="H259" s="33"/>
      <c r="I259" s="33"/>
      <c r="J259" s="33"/>
      <c r="K259" s="33"/>
      <c r="L259" s="33"/>
      <c r="M259" s="33"/>
      <c r="N259" s="33"/>
    </row>
    <row r="260" spans="1:14" hidden="1" x14ac:dyDescent="0.25">
      <c r="A260" s="37"/>
      <c r="B260" s="33"/>
      <c r="C260" s="33"/>
      <c r="D260" s="33"/>
      <c r="E260" s="33"/>
      <c r="F260" s="33"/>
      <c r="G260" s="33"/>
      <c r="H260" s="33"/>
      <c r="I260" s="33"/>
      <c r="J260" s="33"/>
      <c r="K260" s="33"/>
      <c r="L260" s="33"/>
      <c r="M260" s="33"/>
      <c r="N260" s="33"/>
    </row>
    <row r="261" spans="1:14" hidden="1" x14ac:dyDescent="0.25">
      <c r="A261" s="37"/>
      <c r="B261" s="33"/>
      <c r="C261" s="33"/>
      <c r="D261" s="33"/>
      <c r="E261" s="33"/>
      <c r="F261" s="33"/>
      <c r="G261" s="33"/>
      <c r="H261" s="33"/>
      <c r="I261" s="33"/>
      <c r="J261" s="33"/>
      <c r="K261" s="33"/>
      <c r="L261" s="33"/>
      <c r="M261" s="33"/>
      <c r="N261" s="33"/>
    </row>
    <row r="262" spans="1:14" hidden="1" x14ac:dyDescent="0.25">
      <c r="A262" s="37"/>
      <c r="B262" s="33"/>
      <c r="C262" s="33"/>
      <c r="D262" s="33"/>
      <c r="E262" s="33"/>
      <c r="F262" s="33"/>
      <c r="G262" s="33"/>
      <c r="H262" s="33"/>
      <c r="I262" s="33"/>
      <c r="J262" s="33"/>
      <c r="K262" s="33"/>
      <c r="L262" s="33"/>
      <c r="M262" s="33"/>
      <c r="N262" s="33"/>
    </row>
    <row r="263" spans="1:14" hidden="1" x14ac:dyDescent="0.25">
      <c r="A263" s="37"/>
      <c r="B263" s="33"/>
      <c r="C263" s="33"/>
      <c r="D263" s="33"/>
      <c r="E263" s="33"/>
      <c r="F263" s="33"/>
      <c r="G263" s="33"/>
      <c r="H263" s="33"/>
      <c r="I263" s="33"/>
      <c r="J263" s="33"/>
      <c r="K263" s="33"/>
      <c r="L263" s="33"/>
      <c r="M263" s="33"/>
      <c r="N263" s="33"/>
    </row>
    <row r="264" spans="1:14" hidden="1" x14ac:dyDescent="0.25">
      <c r="A264" s="37"/>
      <c r="B264" s="33"/>
      <c r="C264" s="33"/>
      <c r="D264" s="33"/>
      <c r="E264" s="33"/>
      <c r="F264" s="33"/>
      <c r="G264" s="33"/>
      <c r="H264" s="33"/>
      <c r="I264" s="33"/>
      <c r="J264" s="33"/>
      <c r="K264" s="33"/>
      <c r="L264" s="33"/>
      <c r="M264" s="33"/>
      <c r="N264" s="33"/>
    </row>
    <row r="265" spans="1:14" hidden="1" x14ac:dyDescent="0.25">
      <c r="A265" s="37"/>
      <c r="B265" s="33"/>
      <c r="C265" s="33"/>
      <c r="D265" s="33"/>
      <c r="E265" s="33"/>
      <c r="F265" s="33"/>
      <c r="G265" s="33"/>
      <c r="H265" s="33"/>
      <c r="I265" s="33"/>
      <c r="J265" s="33"/>
      <c r="K265" s="33"/>
      <c r="L265" s="33"/>
      <c r="M265" s="33"/>
      <c r="N265" s="33"/>
    </row>
    <row r="266" spans="1:14" hidden="1" x14ac:dyDescent="0.25">
      <c r="A266" s="37"/>
      <c r="B266" s="33"/>
      <c r="C266" s="33"/>
      <c r="D266" s="33"/>
      <c r="E266" s="33"/>
      <c r="F266" s="33"/>
      <c r="G266" s="33"/>
      <c r="H266" s="33"/>
      <c r="I266" s="33"/>
      <c r="J266" s="33"/>
      <c r="K266" s="33"/>
      <c r="L266" s="33"/>
      <c r="M266" s="33"/>
      <c r="N266" s="33"/>
    </row>
    <row r="267" spans="1:14" hidden="1" x14ac:dyDescent="0.25">
      <c r="A267" s="37"/>
      <c r="B267" s="33"/>
      <c r="C267" s="33"/>
      <c r="D267" s="33"/>
      <c r="E267" s="33"/>
      <c r="F267" s="33"/>
      <c r="G267" s="33"/>
      <c r="H267" s="33"/>
      <c r="I267" s="33"/>
      <c r="J267" s="33"/>
      <c r="K267" s="33"/>
      <c r="L267" s="33"/>
      <c r="M267" s="33"/>
      <c r="N267" s="33"/>
    </row>
    <row r="268" spans="1:14" hidden="1" x14ac:dyDescent="0.25">
      <c r="A268" s="37"/>
      <c r="B268" s="33"/>
      <c r="C268" s="33"/>
      <c r="D268" s="33"/>
      <c r="E268" s="33"/>
      <c r="F268" s="33"/>
      <c r="G268" s="33"/>
      <c r="H268" s="33"/>
      <c r="I268" s="33"/>
      <c r="J268" s="33"/>
      <c r="K268" s="33"/>
      <c r="L268" s="33"/>
      <c r="M268" s="33"/>
      <c r="N268" s="33"/>
    </row>
    <row r="269" spans="1:14" hidden="1" x14ac:dyDescent="0.25">
      <c r="A269" s="37"/>
      <c r="B269" s="33"/>
      <c r="C269" s="33"/>
      <c r="D269" s="33"/>
      <c r="E269" s="33"/>
      <c r="F269" s="33"/>
      <c r="G269" s="33"/>
      <c r="H269" s="33"/>
      <c r="I269" s="33"/>
      <c r="J269" s="33"/>
      <c r="K269" s="33"/>
      <c r="L269" s="33"/>
      <c r="M269" s="33"/>
      <c r="N269" s="33"/>
    </row>
    <row r="270" spans="1:14" hidden="1" x14ac:dyDescent="0.25">
      <c r="A270" s="37"/>
      <c r="B270" s="33"/>
      <c r="C270" s="33"/>
      <c r="D270" s="33"/>
      <c r="E270" s="33"/>
      <c r="F270" s="33"/>
      <c r="G270" s="33"/>
      <c r="H270" s="33"/>
      <c r="I270" s="33"/>
      <c r="J270" s="33"/>
      <c r="K270" s="33"/>
      <c r="L270" s="33"/>
      <c r="M270" s="33"/>
      <c r="N270" s="33"/>
    </row>
    <row r="271" spans="1:14" hidden="1" x14ac:dyDescent="0.25">
      <c r="A271" s="37"/>
      <c r="B271" s="33"/>
      <c r="C271" s="33"/>
      <c r="D271" s="33"/>
      <c r="E271" s="33"/>
      <c r="F271" s="33"/>
      <c r="G271" s="33"/>
      <c r="H271" s="33"/>
      <c r="I271" s="33"/>
      <c r="J271" s="33"/>
      <c r="K271" s="33"/>
      <c r="L271" s="33"/>
      <c r="M271" s="33"/>
      <c r="N271" s="33"/>
    </row>
    <row r="272" spans="1:14" hidden="1" x14ac:dyDescent="0.25">
      <c r="A272" s="37"/>
      <c r="B272" s="33"/>
      <c r="C272" s="33"/>
      <c r="D272" s="33"/>
      <c r="E272" s="33"/>
      <c r="F272" s="33"/>
      <c r="G272" s="33"/>
      <c r="H272" s="33"/>
      <c r="I272" s="33"/>
      <c r="J272" s="33"/>
      <c r="K272" s="33"/>
      <c r="L272" s="33"/>
      <c r="M272" s="33"/>
      <c r="N272" s="33"/>
    </row>
    <row r="273" spans="1:14" hidden="1" x14ac:dyDescent="0.25">
      <c r="A273" s="37"/>
      <c r="B273" s="33"/>
      <c r="C273" s="33"/>
      <c r="D273" s="33"/>
      <c r="E273" s="33"/>
      <c r="F273" s="33"/>
      <c r="G273" s="33"/>
      <c r="H273" s="33"/>
      <c r="I273" s="33"/>
      <c r="J273" s="33"/>
      <c r="K273" s="33"/>
      <c r="L273" s="33"/>
      <c r="M273" s="33"/>
      <c r="N273" s="33"/>
    </row>
    <row r="274" spans="1:14" hidden="1" x14ac:dyDescent="0.25">
      <c r="A274" s="37"/>
      <c r="B274" s="33"/>
      <c r="C274" s="33"/>
      <c r="D274" s="33"/>
      <c r="E274" s="33"/>
      <c r="F274" s="33"/>
      <c r="G274" s="33"/>
      <c r="H274" s="33"/>
      <c r="I274" s="33"/>
      <c r="J274" s="33"/>
      <c r="K274" s="33"/>
      <c r="L274" s="33"/>
      <c r="M274" s="33"/>
      <c r="N274" s="33"/>
    </row>
    <row r="275" spans="1:14" hidden="1" x14ac:dyDescent="0.25">
      <c r="A275" s="37"/>
      <c r="B275" s="33"/>
      <c r="C275" s="33"/>
      <c r="D275" s="33"/>
      <c r="E275" s="33"/>
      <c r="F275" s="33"/>
      <c r="G275" s="33"/>
      <c r="H275" s="33"/>
      <c r="I275" s="33"/>
      <c r="J275" s="33"/>
      <c r="K275" s="33"/>
      <c r="L275" s="33"/>
      <c r="M275" s="33"/>
      <c r="N275" s="33"/>
    </row>
    <row r="276" spans="1:14" hidden="1" x14ac:dyDescent="0.25">
      <c r="A276" s="37"/>
      <c r="B276" s="33"/>
      <c r="C276" s="33"/>
      <c r="D276" s="33"/>
      <c r="E276" s="33"/>
      <c r="F276" s="33"/>
      <c r="G276" s="33"/>
      <c r="H276" s="33"/>
      <c r="I276" s="33"/>
      <c r="J276" s="33"/>
      <c r="K276" s="33"/>
      <c r="L276" s="33"/>
      <c r="M276" s="33"/>
      <c r="N276" s="33"/>
    </row>
    <row r="277" spans="1:14" hidden="1" x14ac:dyDescent="0.25">
      <c r="A277" s="37"/>
      <c r="B277" s="33"/>
      <c r="C277" s="33"/>
      <c r="D277" s="33"/>
      <c r="E277" s="33"/>
      <c r="F277" s="33"/>
      <c r="G277" s="33"/>
      <c r="H277" s="33"/>
      <c r="I277" s="33"/>
      <c r="J277" s="33"/>
      <c r="K277" s="33"/>
      <c r="L277" s="33"/>
      <c r="M277" s="33"/>
      <c r="N277" s="33"/>
    </row>
    <row r="278" spans="1:14" hidden="1" x14ac:dyDescent="0.25">
      <c r="A278" s="37"/>
      <c r="B278" s="33"/>
      <c r="C278" s="33"/>
      <c r="D278" s="33"/>
      <c r="E278" s="33"/>
      <c r="F278" s="33"/>
      <c r="G278" s="33"/>
      <c r="H278" s="33"/>
      <c r="I278" s="33"/>
      <c r="J278" s="33"/>
      <c r="K278" s="33"/>
      <c r="L278" s="33"/>
      <c r="M278" s="33"/>
      <c r="N278" s="33"/>
    </row>
    <row r="279" spans="1:14" hidden="1" x14ac:dyDescent="0.25">
      <c r="A279" s="37"/>
      <c r="B279" s="33"/>
      <c r="C279" s="33"/>
      <c r="D279" s="33"/>
      <c r="E279" s="33"/>
      <c r="F279" s="33"/>
      <c r="G279" s="33"/>
      <c r="H279" s="33"/>
      <c r="I279" s="33"/>
      <c r="J279" s="33"/>
      <c r="K279" s="33"/>
      <c r="L279" s="33"/>
      <c r="M279" s="33"/>
      <c r="N279" s="33"/>
    </row>
    <row r="280" spans="1:14" hidden="1" x14ac:dyDescent="0.25">
      <c r="A280" s="37"/>
      <c r="B280" s="33"/>
      <c r="C280" s="33"/>
      <c r="D280" s="33"/>
      <c r="E280" s="33"/>
      <c r="F280" s="33"/>
      <c r="G280" s="33"/>
      <c r="H280" s="33"/>
      <c r="I280" s="33"/>
      <c r="J280" s="33"/>
      <c r="K280" s="33"/>
      <c r="L280" s="33"/>
      <c r="M280" s="33"/>
      <c r="N280" s="33"/>
    </row>
    <row r="281" spans="1:14" hidden="1" x14ac:dyDescent="0.25">
      <c r="A281" s="37"/>
      <c r="B281" s="33"/>
      <c r="C281" s="33"/>
      <c r="D281" s="33"/>
      <c r="E281" s="33"/>
      <c r="F281" s="33"/>
      <c r="G281" s="33"/>
      <c r="H281" s="33"/>
      <c r="I281" s="33"/>
      <c r="J281" s="33"/>
      <c r="K281" s="33"/>
      <c r="L281" s="33"/>
      <c r="M281" s="33"/>
      <c r="N281" s="33"/>
    </row>
    <row r="282" spans="1:14" hidden="1" x14ac:dyDescent="0.25"/>
    <row r="283" spans="1:14" hidden="1" x14ac:dyDescent="0.25"/>
    <row r="284" spans="1:14" hidden="1" x14ac:dyDescent="0.25"/>
    <row r="285" spans="1:14" hidden="1" x14ac:dyDescent="0.25"/>
    <row r="286" spans="1:14" hidden="1" x14ac:dyDescent="0.25"/>
    <row r="287" spans="1:14" hidden="1" x14ac:dyDescent="0.25"/>
    <row r="288" spans="1:14" hidden="1" x14ac:dyDescent="0.25"/>
    <row r="289" hidden="1" x14ac:dyDescent="0.25"/>
    <row r="290" hidden="1" x14ac:dyDescent="0.25"/>
    <row r="291" hidden="1" x14ac:dyDescent="0.25"/>
    <row r="292" hidden="1" x14ac:dyDescent="0.25"/>
    <row r="293" hidden="1" x14ac:dyDescent="0.25"/>
    <row r="294" hidden="1" x14ac:dyDescent="0.25"/>
    <row r="295" hidden="1" x14ac:dyDescent="0.25"/>
    <row r="296" hidden="1" x14ac:dyDescent="0.25"/>
    <row r="297" hidden="1" x14ac:dyDescent="0.25"/>
    <row r="298" hidden="1" x14ac:dyDescent="0.25"/>
    <row r="299" hidden="1" x14ac:dyDescent="0.25"/>
    <row r="300" hidden="1" x14ac:dyDescent="0.25"/>
    <row r="301" hidden="1" x14ac:dyDescent="0.25"/>
    <row r="302" hidden="1" x14ac:dyDescent="0.25"/>
    <row r="303" hidden="1" x14ac:dyDescent="0.25"/>
    <row r="304" hidden="1" x14ac:dyDescent="0.25"/>
    <row r="305" hidden="1" x14ac:dyDescent="0.25"/>
    <row r="306" hidden="1" x14ac:dyDescent="0.25"/>
    <row r="307" hidden="1" x14ac:dyDescent="0.25"/>
    <row r="308" hidden="1" x14ac:dyDescent="0.25"/>
    <row r="309" hidden="1" x14ac:dyDescent="0.25"/>
    <row r="310" hidden="1" x14ac:dyDescent="0.25"/>
    <row r="311" hidden="1" x14ac:dyDescent="0.25"/>
    <row r="312" hidden="1" x14ac:dyDescent="0.25"/>
    <row r="313" hidden="1" x14ac:dyDescent="0.25"/>
    <row r="314" hidden="1" x14ac:dyDescent="0.25"/>
    <row r="315" hidden="1" x14ac:dyDescent="0.25"/>
    <row r="316" hidden="1" x14ac:dyDescent="0.25"/>
    <row r="317" hidden="1" x14ac:dyDescent="0.25"/>
    <row r="318" hidden="1" x14ac:dyDescent="0.25"/>
    <row r="319" hidden="1" x14ac:dyDescent="0.25"/>
    <row r="320" hidden="1" x14ac:dyDescent="0.25"/>
    <row r="321" hidden="1" x14ac:dyDescent="0.25"/>
    <row r="322" hidden="1" x14ac:dyDescent="0.25"/>
    <row r="323" hidden="1" x14ac:dyDescent="0.25"/>
    <row r="324" hidden="1" x14ac:dyDescent="0.25"/>
    <row r="325" hidden="1" x14ac:dyDescent="0.25"/>
    <row r="326" hidden="1" x14ac:dyDescent="0.25"/>
    <row r="327" hidden="1" x14ac:dyDescent="0.25"/>
    <row r="328" hidden="1" x14ac:dyDescent="0.25"/>
    <row r="329" hidden="1" x14ac:dyDescent="0.25"/>
    <row r="330" hidden="1" x14ac:dyDescent="0.25"/>
    <row r="331" hidden="1" x14ac:dyDescent="0.25"/>
    <row r="332" hidden="1" x14ac:dyDescent="0.25"/>
    <row r="333" hidden="1" x14ac:dyDescent="0.25"/>
    <row r="334" hidden="1" x14ac:dyDescent="0.25"/>
    <row r="335" hidden="1" x14ac:dyDescent="0.25"/>
    <row r="336" hidden="1" x14ac:dyDescent="0.25"/>
    <row r="337" hidden="1" x14ac:dyDescent="0.25"/>
    <row r="338" hidden="1" x14ac:dyDescent="0.25"/>
    <row r="339" hidden="1" x14ac:dyDescent="0.25"/>
    <row r="340" hidden="1" x14ac:dyDescent="0.25"/>
    <row r="341" hidden="1" x14ac:dyDescent="0.25"/>
    <row r="342" hidden="1" x14ac:dyDescent="0.25"/>
    <row r="343" hidden="1" x14ac:dyDescent="0.25"/>
    <row r="344" hidden="1" x14ac:dyDescent="0.25"/>
    <row r="345" hidden="1" x14ac:dyDescent="0.25"/>
    <row r="346" hidden="1" x14ac:dyDescent="0.25"/>
    <row r="347" hidden="1" x14ac:dyDescent="0.25"/>
    <row r="348" hidden="1" x14ac:dyDescent="0.25"/>
    <row r="349" hidden="1" x14ac:dyDescent="0.25"/>
    <row r="350" hidden="1" x14ac:dyDescent="0.25"/>
    <row r="351" hidden="1" x14ac:dyDescent="0.25"/>
    <row r="352" hidden="1" x14ac:dyDescent="0.25"/>
    <row r="353" hidden="1" x14ac:dyDescent="0.25"/>
    <row r="354" hidden="1" x14ac:dyDescent="0.25"/>
    <row r="355" hidden="1" x14ac:dyDescent="0.25"/>
    <row r="356" hidden="1" x14ac:dyDescent="0.25"/>
    <row r="357" hidden="1" x14ac:dyDescent="0.25"/>
    <row r="358" hidden="1" x14ac:dyDescent="0.25"/>
    <row r="359" hidden="1" x14ac:dyDescent="0.25"/>
    <row r="360" hidden="1" x14ac:dyDescent="0.25"/>
    <row r="361" hidden="1" x14ac:dyDescent="0.25"/>
    <row r="362" hidden="1" x14ac:dyDescent="0.25"/>
    <row r="363" hidden="1" x14ac:dyDescent="0.25"/>
    <row r="364" hidden="1" x14ac:dyDescent="0.25"/>
    <row r="365" hidden="1" x14ac:dyDescent="0.25"/>
    <row r="366" hidden="1" x14ac:dyDescent="0.25"/>
    <row r="367" hidden="1" x14ac:dyDescent="0.25"/>
    <row r="368" hidden="1" x14ac:dyDescent="0.25"/>
    <row r="369" hidden="1" x14ac:dyDescent="0.25"/>
    <row r="370" hidden="1" x14ac:dyDescent="0.25"/>
    <row r="371" hidden="1" x14ac:dyDescent="0.25"/>
    <row r="372" hidden="1" x14ac:dyDescent="0.25"/>
    <row r="373" hidden="1" x14ac:dyDescent="0.25"/>
    <row r="374" hidden="1" x14ac:dyDescent="0.25"/>
    <row r="375" hidden="1" x14ac:dyDescent="0.25"/>
    <row r="376" hidden="1" x14ac:dyDescent="0.25"/>
    <row r="377" hidden="1" x14ac:dyDescent="0.25"/>
    <row r="378" hidden="1" x14ac:dyDescent="0.25"/>
    <row r="379" hidden="1" x14ac:dyDescent="0.25"/>
    <row r="380" hidden="1" x14ac:dyDescent="0.25"/>
    <row r="381" hidden="1" x14ac:dyDescent="0.25"/>
    <row r="382" hidden="1" x14ac:dyDescent="0.25"/>
    <row r="383" hidden="1" x14ac:dyDescent="0.25"/>
    <row r="384" hidden="1" x14ac:dyDescent="0.25"/>
    <row r="385" hidden="1" x14ac:dyDescent="0.25"/>
    <row r="386" hidden="1" x14ac:dyDescent="0.25"/>
    <row r="387" hidden="1" x14ac:dyDescent="0.25"/>
    <row r="388" hidden="1" x14ac:dyDescent="0.25"/>
    <row r="389" hidden="1" x14ac:dyDescent="0.25"/>
    <row r="390" hidden="1" x14ac:dyDescent="0.25"/>
    <row r="391" hidden="1" x14ac:dyDescent="0.25"/>
    <row r="392" hidden="1" x14ac:dyDescent="0.25"/>
    <row r="393" hidden="1" x14ac:dyDescent="0.25"/>
    <row r="394" hidden="1" x14ac:dyDescent="0.25"/>
    <row r="395" hidden="1" x14ac:dyDescent="0.25"/>
    <row r="396" hidden="1" x14ac:dyDescent="0.25"/>
    <row r="397" hidden="1" x14ac:dyDescent="0.25"/>
    <row r="398" hidden="1" x14ac:dyDescent="0.25"/>
    <row r="399" hidden="1" x14ac:dyDescent="0.25"/>
    <row r="400" hidden="1" x14ac:dyDescent="0.25"/>
    <row r="401" hidden="1" x14ac:dyDescent="0.25"/>
    <row r="402" hidden="1" x14ac:dyDescent="0.25"/>
    <row r="403" hidden="1" x14ac:dyDescent="0.25"/>
    <row r="404" hidden="1" x14ac:dyDescent="0.25"/>
    <row r="405" hidden="1" x14ac:dyDescent="0.25"/>
    <row r="406" hidden="1" x14ac:dyDescent="0.25"/>
    <row r="407" hidden="1" x14ac:dyDescent="0.25"/>
    <row r="408" hidden="1" x14ac:dyDescent="0.25"/>
    <row r="409" hidden="1" x14ac:dyDescent="0.25"/>
    <row r="410" hidden="1" x14ac:dyDescent="0.25"/>
    <row r="411" hidden="1" x14ac:dyDescent="0.25"/>
    <row r="412" hidden="1" x14ac:dyDescent="0.25"/>
    <row r="413" hidden="1" x14ac:dyDescent="0.25"/>
    <row r="414" hidden="1" x14ac:dyDescent="0.25"/>
    <row r="415" hidden="1" x14ac:dyDescent="0.25"/>
    <row r="416" hidden="1" x14ac:dyDescent="0.25"/>
    <row r="417" hidden="1" x14ac:dyDescent="0.25"/>
    <row r="418" hidden="1" x14ac:dyDescent="0.25"/>
    <row r="419" hidden="1" x14ac:dyDescent="0.25"/>
    <row r="420" hidden="1" x14ac:dyDescent="0.25"/>
    <row r="421" hidden="1" x14ac:dyDescent="0.25"/>
    <row r="422" hidden="1" x14ac:dyDescent="0.25"/>
    <row r="423" hidden="1" x14ac:dyDescent="0.25"/>
    <row r="424" hidden="1" x14ac:dyDescent="0.25"/>
    <row r="425" hidden="1" x14ac:dyDescent="0.25"/>
    <row r="426" hidden="1" x14ac:dyDescent="0.25"/>
    <row r="427" hidden="1" x14ac:dyDescent="0.25"/>
    <row r="428" hidden="1" x14ac:dyDescent="0.25"/>
    <row r="429" hidden="1" x14ac:dyDescent="0.25"/>
    <row r="430" hidden="1" x14ac:dyDescent="0.25"/>
    <row r="431" hidden="1" x14ac:dyDescent="0.25"/>
    <row r="432" hidden="1" x14ac:dyDescent="0.25"/>
    <row r="433" hidden="1" x14ac:dyDescent="0.25"/>
    <row r="434" hidden="1" x14ac:dyDescent="0.25"/>
    <row r="435" hidden="1" x14ac:dyDescent="0.25"/>
    <row r="436" hidden="1" x14ac:dyDescent="0.25"/>
    <row r="437" hidden="1" x14ac:dyDescent="0.25"/>
    <row r="438" hidden="1" x14ac:dyDescent="0.25"/>
    <row r="439" hidden="1" x14ac:dyDescent="0.25"/>
    <row r="440" hidden="1" x14ac:dyDescent="0.25"/>
    <row r="441" hidden="1" x14ac:dyDescent="0.25"/>
    <row r="442" hidden="1" x14ac:dyDescent="0.25"/>
    <row r="443" hidden="1" x14ac:dyDescent="0.25"/>
    <row r="444" hidden="1" x14ac:dyDescent="0.25"/>
    <row r="445" hidden="1" x14ac:dyDescent="0.25"/>
    <row r="446" hidden="1" x14ac:dyDescent="0.25"/>
    <row r="447" hidden="1" x14ac:dyDescent="0.25"/>
    <row r="448" hidden="1" x14ac:dyDescent="0.25"/>
    <row r="449" hidden="1" x14ac:dyDescent="0.25"/>
    <row r="450" hidden="1" x14ac:dyDescent="0.25"/>
    <row r="451" hidden="1" x14ac:dyDescent="0.25"/>
    <row r="452" hidden="1" x14ac:dyDescent="0.25"/>
    <row r="453" hidden="1" x14ac:dyDescent="0.25"/>
    <row r="454" hidden="1" x14ac:dyDescent="0.25"/>
    <row r="455" hidden="1" x14ac:dyDescent="0.25"/>
    <row r="456" hidden="1" x14ac:dyDescent="0.25"/>
    <row r="457" hidden="1" x14ac:dyDescent="0.25"/>
    <row r="458" hidden="1" x14ac:dyDescent="0.25"/>
    <row r="459" hidden="1" x14ac:dyDescent="0.25"/>
    <row r="460" hidden="1" x14ac:dyDescent="0.25"/>
    <row r="461" hidden="1" x14ac:dyDescent="0.25"/>
    <row r="462" hidden="1" x14ac:dyDescent="0.25"/>
    <row r="463" hidden="1" x14ac:dyDescent="0.25"/>
    <row r="464" hidden="1" x14ac:dyDescent="0.25"/>
    <row r="465" hidden="1" x14ac:dyDescent="0.25"/>
    <row r="466" hidden="1" x14ac:dyDescent="0.25"/>
    <row r="467" hidden="1" x14ac:dyDescent="0.25"/>
    <row r="468" hidden="1" x14ac:dyDescent="0.25"/>
    <row r="469" hidden="1" x14ac:dyDescent="0.25"/>
    <row r="470" hidden="1" x14ac:dyDescent="0.25"/>
    <row r="471" hidden="1" x14ac:dyDescent="0.25"/>
    <row r="472" hidden="1" x14ac:dyDescent="0.25"/>
    <row r="473" hidden="1" x14ac:dyDescent="0.25"/>
    <row r="474" hidden="1" x14ac:dyDescent="0.25"/>
    <row r="475" hidden="1" x14ac:dyDescent="0.25"/>
    <row r="476" hidden="1" x14ac:dyDescent="0.25"/>
    <row r="477" hidden="1" x14ac:dyDescent="0.25"/>
    <row r="478" hidden="1" x14ac:dyDescent="0.25"/>
    <row r="479" hidden="1" x14ac:dyDescent="0.25"/>
    <row r="480" hidden="1" x14ac:dyDescent="0.25"/>
    <row r="481" hidden="1" x14ac:dyDescent="0.25"/>
    <row r="482" hidden="1" x14ac:dyDescent="0.25"/>
    <row r="483" hidden="1" x14ac:dyDescent="0.25"/>
    <row r="484" hidden="1" x14ac:dyDescent="0.25"/>
    <row r="485" hidden="1" x14ac:dyDescent="0.25"/>
    <row r="486" hidden="1" x14ac:dyDescent="0.25"/>
    <row r="487" hidden="1" x14ac:dyDescent="0.25"/>
    <row r="488" hidden="1" x14ac:dyDescent="0.25"/>
    <row r="489" hidden="1" x14ac:dyDescent="0.25"/>
    <row r="490" hidden="1" x14ac:dyDescent="0.25"/>
    <row r="491" hidden="1" x14ac:dyDescent="0.25"/>
    <row r="492" hidden="1" x14ac:dyDescent="0.25"/>
    <row r="493" hidden="1" x14ac:dyDescent="0.25"/>
    <row r="494" hidden="1" x14ac:dyDescent="0.25"/>
    <row r="495" hidden="1" x14ac:dyDescent="0.25"/>
    <row r="496" hidden="1" x14ac:dyDescent="0.25"/>
    <row r="497" hidden="1" x14ac:dyDescent="0.25"/>
    <row r="498" hidden="1" x14ac:dyDescent="0.25"/>
    <row r="499" hidden="1" x14ac:dyDescent="0.25"/>
    <row r="500" hidden="1" x14ac:dyDescent="0.25"/>
    <row r="501" hidden="1" x14ac:dyDescent="0.25"/>
    <row r="502" hidden="1" x14ac:dyDescent="0.25"/>
    <row r="503" hidden="1" x14ac:dyDescent="0.25"/>
    <row r="504" hidden="1" x14ac:dyDescent="0.25"/>
    <row r="505" hidden="1" x14ac:dyDescent="0.25"/>
    <row r="506" hidden="1" x14ac:dyDescent="0.25"/>
    <row r="507" hidden="1" x14ac:dyDescent="0.25"/>
    <row r="508" hidden="1" x14ac:dyDescent="0.25"/>
    <row r="509" hidden="1" x14ac:dyDescent="0.25"/>
    <row r="510" hidden="1" x14ac:dyDescent="0.25"/>
    <row r="511" hidden="1" x14ac:dyDescent="0.25"/>
    <row r="512" hidden="1" x14ac:dyDescent="0.25"/>
    <row r="513" hidden="1" x14ac:dyDescent="0.25"/>
    <row r="514" hidden="1" x14ac:dyDescent="0.25"/>
    <row r="515" hidden="1" x14ac:dyDescent="0.25"/>
    <row r="516" hidden="1" x14ac:dyDescent="0.25"/>
    <row r="517" hidden="1" x14ac:dyDescent="0.25"/>
    <row r="518" hidden="1" x14ac:dyDescent="0.25"/>
    <row r="519" hidden="1" x14ac:dyDescent="0.25"/>
    <row r="520" hidden="1" x14ac:dyDescent="0.25"/>
    <row r="521" hidden="1" x14ac:dyDescent="0.25"/>
    <row r="522" hidden="1" x14ac:dyDescent="0.25"/>
    <row r="523" hidden="1" x14ac:dyDescent="0.25"/>
    <row r="524" hidden="1" x14ac:dyDescent="0.25"/>
    <row r="525" hidden="1" x14ac:dyDescent="0.25"/>
    <row r="526" hidden="1" x14ac:dyDescent="0.25"/>
    <row r="527" hidden="1" x14ac:dyDescent="0.25"/>
    <row r="528" hidden="1" x14ac:dyDescent="0.25"/>
    <row r="529" hidden="1" x14ac:dyDescent="0.25"/>
    <row r="530" hidden="1" x14ac:dyDescent="0.25"/>
    <row r="531" hidden="1" x14ac:dyDescent="0.25"/>
    <row r="532" hidden="1" x14ac:dyDescent="0.25"/>
    <row r="533" hidden="1" x14ac:dyDescent="0.25"/>
    <row r="534" hidden="1" x14ac:dyDescent="0.25"/>
    <row r="535" hidden="1" x14ac:dyDescent="0.25"/>
    <row r="536" hidden="1" x14ac:dyDescent="0.25"/>
    <row r="537" hidden="1" x14ac:dyDescent="0.25"/>
    <row r="538" hidden="1" x14ac:dyDescent="0.25"/>
    <row r="539" hidden="1" x14ac:dyDescent="0.25"/>
    <row r="540" hidden="1" x14ac:dyDescent="0.25"/>
    <row r="541" hidden="1" x14ac:dyDescent="0.25"/>
    <row r="542" hidden="1" x14ac:dyDescent="0.25"/>
    <row r="543" hidden="1" x14ac:dyDescent="0.25"/>
    <row r="544" hidden="1" x14ac:dyDescent="0.25"/>
    <row r="545" hidden="1" x14ac:dyDescent="0.25"/>
    <row r="546" hidden="1" x14ac:dyDescent="0.25"/>
    <row r="547" hidden="1" x14ac:dyDescent="0.25"/>
    <row r="548" hidden="1" x14ac:dyDescent="0.25"/>
    <row r="549" hidden="1" x14ac:dyDescent="0.25"/>
    <row r="550" hidden="1" x14ac:dyDescent="0.25"/>
    <row r="551" hidden="1" x14ac:dyDescent="0.25"/>
    <row r="552" hidden="1" x14ac:dyDescent="0.25"/>
    <row r="553" hidden="1" x14ac:dyDescent="0.25"/>
    <row r="554" hidden="1" x14ac:dyDescent="0.25"/>
    <row r="555" hidden="1" x14ac:dyDescent="0.25"/>
    <row r="556" hidden="1" x14ac:dyDescent="0.25"/>
    <row r="557" hidden="1" x14ac:dyDescent="0.25"/>
    <row r="558" hidden="1" x14ac:dyDescent="0.25"/>
    <row r="559" hidden="1" x14ac:dyDescent="0.25"/>
    <row r="560" hidden="1" x14ac:dyDescent="0.25"/>
    <row r="561" hidden="1" x14ac:dyDescent="0.25"/>
    <row r="562" hidden="1" x14ac:dyDescent="0.25"/>
    <row r="563" hidden="1" x14ac:dyDescent="0.25"/>
    <row r="564" hidden="1" x14ac:dyDescent="0.25"/>
    <row r="565" hidden="1" x14ac:dyDescent="0.25"/>
    <row r="566" hidden="1" x14ac:dyDescent="0.25"/>
    <row r="567" hidden="1" x14ac:dyDescent="0.25"/>
    <row r="568" hidden="1" x14ac:dyDescent="0.25"/>
    <row r="569" hidden="1" x14ac:dyDescent="0.25"/>
    <row r="570" hidden="1" x14ac:dyDescent="0.25"/>
    <row r="571" hidden="1" x14ac:dyDescent="0.25"/>
    <row r="572" hidden="1" x14ac:dyDescent="0.25"/>
    <row r="573" hidden="1" x14ac:dyDescent="0.25"/>
    <row r="574" hidden="1" x14ac:dyDescent="0.25"/>
    <row r="575" hidden="1" x14ac:dyDescent="0.25"/>
    <row r="576" hidden="1" x14ac:dyDescent="0.25"/>
    <row r="577" hidden="1" x14ac:dyDescent="0.25"/>
    <row r="578" hidden="1" x14ac:dyDescent="0.25"/>
    <row r="579" hidden="1" x14ac:dyDescent="0.25"/>
    <row r="580" hidden="1" x14ac:dyDescent="0.25"/>
    <row r="581" hidden="1" x14ac:dyDescent="0.25"/>
    <row r="582" hidden="1" x14ac:dyDescent="0.25"/>
    <row r="583" hidden="1" x14ac:dyDescent="0.25"/>
    <row r="584" hidden="1" x14ac:dyDescent="0.25"/>
    <row r="585" hidden="1" x14ac:dyDescent="0.25"/>
    <row r="586" hidden="1" x14ac:dyDescent="0.25"/>
    <row r="587" hidden="1" x14ac:dyDescent="0.25"/>
    <row r="588" hidden="1" x14ac:dyDescent="0.25"/>
    <row r="589" hidden="1" x14ac:dyDescent="0.25"/>
    <row r="590" hidden="1" x14ac:dyDescent="0.25"/>
    <row r="591" hidden="1" x14ac:dyDescent="0.25"/>
    <row r="592" hidden="1" x14ac:dyDescent="0.25"/>
    <row r="593" hidden="1" x14ac:dyDescent="0.25"/>
    <row r="594" hidden="1" x14ac:dyDescent="0.25"/>
    <row r="595" hidden="1" x14ac:dyDescent="0.25"/>
    <row r="596" hidden="1" x14ac:dyDescent="0.25"/>
    <row r="597" hidden="1" x14ac:dyDescent="0.25"/>
    <row r="598" hidden="1" x14ac:dyDescent="0.25"/>
    <row r="599" hidden="1" x14ac:dyDescent="0.25"/>
    <row r="600" hidden="1" x14ac:dyDescent="0.25"/>
    <row r="601" hidden="1" x14ac:dyDescent="0.25"/>
    <row r="602" hidden="1" x14ac:dyDescent="0.25"/>
    <row r="603" hidden="1" x14ac:dyDescent="0.25"/>
    <row r="604" hidden="1" x14ac:dyDescent="0.25"/>
    <row r="605" hidden="1" x14ac:dyDescent="0.25"/>
    <row r="606" hidden="1" x14ac:dyDescent="0.25"/>
    <row r="607" hidden="1" x14ac:dyDescent="0.25"/>
    <row r="608" hidden="1" x14ac:dyDescent="0.25"/>
    <row r="609" hidden="1" x14ac:dyDescent="0.25"/>
    <row r="610" hidden="1" x14ac:dyDescent="0.25"/>
    <row r="611" hidden="1" x14ac:dyDescent="0.25"/>
    <row r="612" hidden="1" x14ac:dyDescent="0.25"/>
    <row r="613" hidden="1" x14ac:dyDescent="0.25"/>
    <row r="614" hidden="1" x14ac:dyDescent="0.25"/>
    <row r="615" hidden="1" x14ac:dyDescent="0.25"/>
    <row r="616" hidden="1" x14ac:dyDescent="0.25"/>
    <row r="617" hidden="1" x14ac:dyDescent="0.25"/>
    <row r="618" hidden="1" x14ac:dyDescent="0.25"/>
    <row r="619" hidden="1" x14ac:dyDescent="0.25"/>
    <row r="620" hidden="1" x14ac:dyDescent="0.25"/>
    <row r="621" hidden="1" x14ac:dyDescent="0.25"/>
    <row r="622" hidden="1" x14ac:dyDescent="0.25"/>
    <row r="623" hidden="1" x14ac:dyDescent="0.25"/>
    <row r="624" hidden="1" x14ac:dyDescent="0.25"/>
    <row r="625" hidden="1" x14ac:dyDescent="0.25"/>
    <row r="626" hidden="1" x14ac:dyDescent="0.25"/>
    <row r="627" hidden="1" x14ac:dyDescent="0.25"/>
    <row r="628" hidden="1" x14ac:dyDescent="0.25"/>
    <row r="629" hidden="1" x14ac:dyDescent="0.25"/>
    <row r="630" hidden="1" x14ac:dyDescent="0.25"/>
    <row r="631" hidden="1" x14ac:dyDescent="0.25"/>
    <row r="632" hidden="1" x14ac:dyDescent="0.25"/>
    <row r="633" hidden="1" x14ac:dyDescent="0.25"/>
    <row r="634" hidden="1" x14ac:dyDescent="0.25"/>
    <row r="635" hidden="1" x14ac:dyDescent="0.25"/>
    <row r="636" hidden="1" x14ac:dyDescent="0.25"/>
    <row r="637" hidden="1" x14ac:dyDescent="0.25"/>
    <row r="638" hidden="1" x14ac:dyDescent="0.25"/>
    <row r="639" hidden="1" x14ac:dyDescent="0.25"/>
    <row r="640" hidden="1" x14ac:dyDescent="0.25"/>
    <row r="641" hidden="1" x14ac:dyDescent="0.25"/>
    <row r="642" hidden="1" x14ac:dyDescent="0.25"/>
    <row r="643" hidden="1" x14ac:dyDescent="0.25"/>
    <row r="644" hidden="1" x14ac:dyDescent="0.25"/>
    <row r="645" hidden="1" x14ac:dyDescent="0.25"/>
    <row r="646" hidden="1" x14ac:dyDescent="0.25"/>
    <row r="647" hidden="1" x14ac:dyDescent="0.25"/>
    <row r="648" hidden="1" x14ac:dyDescent="0.25"/>
    <row r="649" hidden="1" x14ac:dyDescent="0.25"/>
    <row r="650" hidden="1" x14ac:dyDescent="0.25"/>
    <row r="651" hidden="1" x14ac:dyDescent="0.25"/>
    <row r="652" hidden="1" x14ac:dyDescent="0.25"/>
    <row r="653" hidden="1" x14ac:dyDescent="0.25"/>
    <row r="654" hidden="1" x14ac:dyDescent="0.25"/>
    <row r="655" hidden="1" x14ac:dyDescent="0.25"/>
    <row r="656" hidden="1" x14ac:dyDescent="0.25"/>
    <row r="657" hidden="1" x14ac:dyDescent="0.25"/>
    <row r="658" hidden="1" x14ac:dyDescent="0.25"/>
    <row r="659" hidden="1" x14ac:dyDescent="0.25"/>
    <row r="660" hidden="1" x14ac:dyDescent="0.25"/>
    <row r="661" hidden="1" x14ac:dyDescent="0.25"/>
    <row r="662" hidden="1" x14ac:dyDescent="0.25"/>
    <row r="663" hidden="1" x14ac:dyDescent="0.25"/>
    <row r="664" hidden="1" x14ac:dyDescent="0.25"/>
    <row r="665" hidden="1" x14ac:dyDescent="0.25"/>
    <row r="666" hidden="1" x14ac:dyDescent="0.25"/>
    <row r="667" hidden="1" x14ac:dyDescent="0.25"/>
    <row r="668" hidden="1" x14ac:dyDescent="0.25"/>
    <row r="669" hidden="1" x14ac:dyDescent="0.25"/>
    <row r="670" hidden="1" x14ac:dyDescent="0.25"/>
    <row r="671" hidden="1" x14ac:dyDescent="0.25"/>
    <row r="672" hidden="1" x14ac:dyDescent="0.25"/>
    <row r="673" hidden="1" x14ac:dyDescent="0.25"/>
    <row r="674" hidden="1" x14ac:dyDescent="0.25"/>
    <row r="675" hidden="1" x14ac:dyDescent="0.25"/>
    <row r="676" hidden="1" x14ac:dyDescent="0.25"/>
    <row r="677" hidden="1" x14ac:dyDescent="0.25"/>
    <row r="678" hidden="1" x14ac:dyDescent="0.25"/>
    <row r="679" hidden="1" x14ac:dyDescent="0.25"/>
    <row r="680" hidden="1" x14ac:dyDescent="0.25"/>
    <row r="681" hidden="1" x14ac:dyDescent="0.25"/>
    <row r="682" hidden="1" x14ac:dyDescent="0.25"/>
    <row r="683" hidden="1" x14ac:dyDescent="0.25"/>
    <row r="684" hidden="1" x14ac:dyDescent="0.25"/>
    <row r="685" hidden="1" x14ac:dyDescent="0.25"/>
    <row r="686" hidden="1" x14ac:dyDescent="0.25"/>
    <row r="687" hidden="1" x14ac:dyDescent="0.25"/>
    <row r="688" hidden="1" x14ac:dyDescent="0.25"/>
    <row r="689" hidden="1" x14ac:dyDescent="0.25"/>
    <row r="690" hidden="1" x14ac:dyDescent="0.25"/>
    <row r="691" hidden="1" x14ac:dyDescent="0.25"/>
    <row r="692" hidden="1" x14ac:dyDescent="0.25"/>
    <row r="693" hidden="1" x14ac:dyDescent="0.25"/>
    <row r="694" hidden="1" x14ac:dyDescent="0.25"/>
    <row r="695" hidden="1" x14ac:dyDescent="0.25"/>
    <row r="696" hidden="1" x14ac:dyDescent="0.25"/>
    <row r="697" hidden="1" x14ac:dyDescent="0.25"/>
    <row r="698" hidden="1" x14ac:dyDescent="0.25"/>
    <row r="699" hidden="1" x14ac:dyDescent="0.25"/>
    <row r="700" hidden="1" x14ac:dyDescent="0.25"/>
    <row r="701" hidden="1" x14ac:dyDescent="0.25"/>
    <row r="702" hidden="1" x14ac:dyDescent="0.25"/>
    <row r="703" hidden="1" x14ac:dyDescent="0.25"/>
    <row r="704" hidden="1" x14ac:dyDescent="0.25"/>
    <row r="705" hidden="1" x14ac:dyDescent="0.25"/>
    <row r="706" hidden="1" x14ac:dyDescent="0.25"/>
    <row r="707" hidden="1" x14ac:dyDescent="0.25"/>
    <row r="708" hidden="1" x14ac:dyDescent="0.25"/>
    <row r="709" hidden="1" x14ac:dyDescent="0.25"/>
    <row r="710" hidden="1" x14ac:dyDescent="0.25"/>
    <row r="711" hidden="1" x14ac:dyDescent="0.25"/>
    <row r="712" hidden="1" x14ac:dyDescent="0.25"/>
    <row r="713" hidden="1" x14ac:dyDescent="0.25"/>
    <row r="714" hidden="1" x14ac:dyDescent="0.25"/>
    <row r="715" hidden="1" x14ac:dyDescent="0.25"/>
    <row r="716" hidden="1" x14ac:dyDescent="0.25"/>
    <row r="717" hidden="1" x14ac:dyDescent="0.25"/>
    <row r="718" hidden="1" x14ac:dyDescent="0.25"/>
    <row r="719" hidden="1" x14ac:dyDescent="0.25"/>
    <row r="720" hidden="1" x14ac:dyDescent="0.25"/>
    <row r="721" hidden="1" x14ac:dyDescent="0.25"/>
    <row r="722" hidden="1" x14ac:dyDescent="0.25"/>
    <row r="723" hidden="1" x14ac:dyDescent="0.25"/>
    <row r="724" hidden="1" x14ac:dyDescent="0.25"/>
    <row r="725" hidden="1" x14ac:dyDescent="0.25"/>
    <row r="726" hidden="1" x14ac:dyDescent="0.25"/>
    <row r="727" hidden="1" x14ac:dyDescent="0.25"/>
    <row r="728" hidden="1" x14ac:dyDescent="0.25"/>
    <row r="729" hidden="1" x14ac:dyDescent="0.25"/>
    <row r="730" hidden="1" x14ac:dyDescent="0.25"/>
    <row r="731" hidden="1" x14ac:dyDescent="0.25"/>
    <row r="732" hidden="1" x14ac:dyDescent="0.25"/>
    <row r="733" hidden="1" x14ac:dyDescent="0.25"/>
    <row r="734" hidden="1" x14ac:dyDescent="0.25"/>
    <row r="735" hidden="1" x14ac:dyDescent="0.25"/>
    <row r="736" hidden="1" x14ac:dyDescent="0.25"/>
    <row r="737" hidden="1" x14ac:dyDescent="0.25"/>
    <row r="738" hidden="1" x14ac:dyDescent="0.25"/>
    <row r="739" hidden="1" x14ac:dyDescent="0.25"/>
    <row r="740" hidden="1" x14ac:dyDescent="0.25"/>
    <row r="741" hidden="1" x14ac:dyDescent="0.25"/>
    <row r="742" hidden="1" x14ac:dyDescent="0.25"/>
    <row r="743" hidden="1" x14ac:dyDescent="0.25"/>
    <row r="744" hidden="1" x14ac:dyDescent="0.25"/>
    <row r="745" hidden="1" x14ac:dyDescent="0.25"/>
    <row r="746" hidden="1" x14ac:dyDescent="0.25"/>
    <row r="747" hidden="1" x14ac:dyDescent="0.25"/>
    <row r="748" hidden="1" x14ac:dyDescent="0.25"/>
    <row r="749" hidden="1" x14ac:dyDescent="0.25"/>
    <row r="750" hidden="1" x14ac:dyDescent="0.25"/>
    <row r="751" hidden="1" x14ac:dyDescent="0.25"/>
    <row r="752" hidden="1" x14ac:dyDescent="0.25"/>
    <row r="753" hidden="1" x14ac:dyDescent="0.25"/>
    <row r="754" hidden="1" x14ac:dyDescent="0.25"/>
    <row r="755" hidden="1" x14ac:dyDescent="0.25"/>
    <row r="756" hidden="1" x14ac:dyDescent="0.25"/>
    <row r="757" hidden="1" x14ac:dyDescent="0.25"/>
    <row r="758" hidden="1" x14ac:dyDescent="0.25"/>
    <row r="759" hidden="1" x14ac:dyDescent="0.25"/>
    <row r="760" hidden="1" x14ac:dyDescent="0.25"/>
    <row r="761" hidden="1" x14ac:dyDescent="0.25"/>
    <row r="762" hidden="1" x14ac:dyDescent="0.25"/>
    <row r="763" hidden="1" x14ac:dyDescent="0.25"/>
    <row r="764" hidden="1" x14ac:dyDescent="0.25"/>
    <row r="765" hidden="1" x14ac:dyDescent="0.25"/>
    <row r="766" hidden="1" x14ac:dyDescent="0.25"/>
    <row r="767" hidden="1" x14ac:dyDescent="0.25"/>
    <row r="768" hidden="1" x14ac:dyDescent="0.25"/>
    <row r="769" hidden="1" x14ac:dyDescent="0.25"/>
    <row r="770" hidden="1" x14ac:dyDescent="0.25"/>
    <row r="771" hidden="1" x14ac:dyDescent="0.25"/>
    <row r="772" hidden="1" x14ac:dyDescent="0.25"/>
    <row r="773" hidden="1" x14ac:dyDescent="0.25"/>
    <row r="774" hidden="1" x14ac:dyDescent="0.25"/>
    <row r="775" hidden="1" x14ac:dyDescent="0.25"/>
    <row r="776" hidden="1" x14ac:dyDescent="0.25"/>
    <row r="777" hidden="1" x14ac:dyDescent="0.25"/>
    <row r="778" hidden="1" x14ac:dyDescent="0.25"/>
    <row r="779" hidden="1" x14ac:dyDescent="0.25"/>
    <row r="780" hidden="1" x14ac:dyDescent="0.25"/>
    <row r="781" hidden="1" x14ac:dyDescent="0.25"/>
    <row r="782" hidden="1" x14ac:dyDescent="0.25"/>
    <row r="783" hidden="1" x14ac:dyDescent="0.25"/>
    <row r="784" hidden="1" x14ac:dyDescent="0.25"/>
    <row r="785" hidden="1" x14ac:dyDescent="0.25"/>
    <row r="786" hidden="1" x14ac:dyDescent="0.25"/>
    <row r="787" hidden="1" x14ac:dyDescent="0.25"/>
    <row r="788" hidden="1" x14ac:dyDescent="0.25"/>
    <row r="789" hidden="1" x14ac:dyDescent="0.25"/>
    <row r="790" hidden="1" x14ac:dyDescent="0.25"/>
    <row r="791" hidden="1" x14ac:dyDescent="0.25"/>
    <row r="792" hidden="1" x14ac:dyDescent="0.25"/>
    <row r="793" hidden="1" x14ac:dyDescent="0.25"/>
    <row r="794" hidden="1" x14ac:dyDescent="0.25"/>
    <row r="795" hidden="1" x14ac:dyDescent="0.25"/>
    <row r="796" hidden="1" x14ac:dyDescent="0.25"/>
    <row r="797" hidden="1" x14ac:dyDescent="0.25"/>
    <row r="798" hidden="1" x14ac:dyDescent="0.25"/>
    <row r="799" hidden="1" x14ac:dyDescent="0.25"/>
    <row r="800" hidden="1" x14ac:dyDescent="0.25"/>
    <row r="801" hidden="1" x14ac:dyDescent="0.25"/>
    <row r="802" hidden="1" x14ac:dyDescent="0.25"/>
    <row r="803" hidden="1" x14ac:dyDescent="0.25"/>
    <row r="804" hidden="1" x14ac:dyDescent="0.25"/>
    <row r="805" hidden="1" x14ac:dyDescent="0.25"/>
    <row r="806" hidden="1" x14ac:dyDescent="0.25"/>
    <row r="807" hidden="1" x14ac:dyDescent="0.25"/>
    <row r="808" hidden="1" x14ac:dyDescent="0.25"/>
    <row r="809" hidden="1" x14ac:dyDescent="0.25"/>
    <row r="810" hidden="1" x14ac:dyDescent="0.25"/>
    <row r="811" hidden="1" x14ac:dyDescent="0.25"/>
    <row r="812" hidden="1" x14ac:dyDescent="0.25"/>
    <row r="813" hidden="1" x14ac:dyDescent="0.25"/>
    <row r="814" hidden="1" x14ac:dyDescent="0.25"/>
    <row r="815" hidden="1" x14ac:dyDescent="0.25"/>
    <row r="816" hidden="1" x14ac:dyDescent="0.25"/>
    <row r="817" hidden="1" x14ac:dyDescent="0.25"/>
    <row r="818" hidden="1" x14ac:dyDescent="0.25"/>
    <row r="819" hidden="1" x14ac:dyDescent="0.25"/>
    <row r="820" hidden="1" x14ac:dyDescent="0.25"/>
    <row r="821" hidden="1" x14ac:dyDescent="0.25"/>
    <row r="822" hidden="1" x14ac:dyDescent="0.25"/>
    <row r="823" hidden="1" x14ac:dyDescent="0.25"/>
    <row r="824" hidden="1" x14ac:dyDescent="0.25"/>
    <row r="825" hidden="1" x14ac:dyDescent="0.25"/>
    <row r="826" hidden="1" x14ac:dyDescent="0.25"/>
    <row r="827" hidden="1" x14ac:dyDescent="0.25"/>
    <row r="828" hidden="1" x14ac:dyDescent="0.25"/>
    <row r="829" hidden="1" x14ac:dyDescent="0.25"/>
    <row r="830" hidden="1" x14ac:dyDescent="0.25"/>
    <row r="831" hidden="1" x14ac:dyDescent="0.25"/>
    <row r="832" hidden="1" x14ac:dyDescent="0.25"/>
    <row r="833" hidden="1" x14ac:dyDescent="0.25"/>
    <row r="834" hidden="1" x14ac:dyDescent="0.25"/>
    <row r="835" hidden="1" x14ac:dyDescent="0.25"/>
    <row r="836" hidden="1" x14ac:dyDescent="0.25"/>
    <row r="837" hidden="1" x14ac:dyDescent="0.25"/>
    <row r="838" hidden="1" x14ac:dyDescent="0.25"/>
    <row r="839" hidden="1" x14ac:dyDescent="0.25"/>
    <row r="840" hidden="1" x14ac:dyDescent="0.25"/>
    <row r="841" hidden="1" x14ac:dyDescent="0.25"/>
    <row r="842" hidden="1" x14ac:dyDescent="0.25"/>
    <row r="843" hidden="1" x14ac:dyDescent="0.25"/>
    <row r="844" hidden="1" x14ac:dyDescent="0.25"/>
    <row r="845" hidden="1" x14ac:dyDescent="0.25"/>
    <row r="846" hidden="1" x14ac:dyDescent="0.25"/>
    <row r="847" hidden="1" x14ac:dyDescent="0.25"/>
    <row r="848" hidden="1" x14ac:dyDescent="0.25"/>
    <row r="849" hidden="1" x14ac:dyDescent="0.25"/>
    <row r="850" hidden="1" x14ac:dyDescent="0.25"/>
    <row r="851" hidden="1" x14ac:dyDescent="0.25"/>
    <row r="852" hidden="1" x14ac:dyDescent="0.25"/>
    <row r="853" hidden="1" x14ac:dyDescent="0.25"/>
    <row r="854" hidden="1" x14ac:dyDescent="0.25"/>
    <row r="855" hidden="1" x14ac:dyDescent="0.25"/>
    <row r="856" hidden="1" x14ac:dyDescent="0.25"/>
    <row r="857" hidden="1" x14ac:dyDescent="0.25"/>
    <row r="858" hidden="1" x14ac:dyDescent="0.25"/>
    <row r="859" hidden="1" x14ac:dyDescent="0.25"/>
    <row r="860" hidden="1" x14ac:dyDescent="0.25"/>
    <row r="861" hidden="1" x14ac:dyDescent="0.25"/>
    <row r="862" hidden="1" x14ac:dyDescent="0.25"/>
    <row r="863" hidden="1" x14ac:dyDescent="0.25"/>
    <row r="866" spans="1:18" ht="14.25" customHeight="1" x14ac:dyDescent="0.25">
      <c r="A866" s="1" t="s">
        <v>716</v>
      </c>
    </row>
    <row r="867" spans="1:18" x14ac:dyDescent="0.25">
      <c r="A867" s="2" t="s">
        <v>169</v>
      </c>
      <c r="B867" s="2" t="s">
        <v>2</v>
      </c>
      <c r="C867" s="2" t="s">
        <v>717</v>
      </c>
      <c r="D867" s="2" t="s">
        <v>718</v>
      </c>
      <c r="E867" s="2" t="s">
        <v>719</v>
      </c>
      <c r="F867" s="2" t="s">
        <v>168</v>
      </c>
    </row>
    <row r="868" spans="1:18" hidden="1" x14ac:dyDescent="0.25">
      <c r="A868" s="197">
        <v>43831</v>
      </c>
      <c r="B868" s="32" t="s">
        <v>162</v>
      </c>
      <c r="C868" s="198">
        <v>3217.42</v>
      </c>
      <c r="D868" s="197">
        <v>43831</v>
      </c>
      <c r="E868" s="32">
        <v>1</v>
      </c>
      <c r="F868" s="32">
        <v>2020</v>
      </c>
    </row>
    <row r="869" spans="1:18" hidden="1" x14ac:dyDescent="0.25">
      <c r="A869" s="197">
        <v>43862</v>
      </c>
      <c r="B869" s="32" t="s">
        <v>162</v>
      </c>
      <c r="C869" s="198">
        <v>7003.56</v>
      </c>
      <c r="D869" s="197">
        <v>43862</v>
      </c>
      <c r="E869" s="32">
        <v>1</v>
      </c>
      <c r="F869" s="32">
        <v>2020</v>
      </c>
      <c r="P869" s="199"/>
      <c r="Q869" s="199" t="s">
        <v>697</v>
      </c>
      <c r="R869" s="199" t="s">
        <v>698</v>
      </c>
    </row>
    <row r="870" spans="1:18" hidden="1" x14ac:dyDescent="0.25">
      <c r="A870" s="197">
        <v>43891</v>
      </c>
      <c r="B870" s="32" t="s">
        <v>162</v>
      </c>
      <c r="C870" s="198">
        <v>3870</v>
      </c>
      <c r="D870" s="197">
        <v>43891</v>
      </c>
      <c r="E870" s="32">
        <v>1</v>
      </c>
      <c r="F870" s="32">
        <v>2020</v>
      </c>
      <c r="P870" s="200" t="s">
        <v>2</v>
      </c>
      <c r="Q870" s="201">
        <v>2887.7</v>
      </c>
      <c r="R870" s="202">
        <v>2139</v>
      </c>
    </row>
    <row r="871" spans="1:18" hidden="1" x14ac:dyDescent="0.25">
      <c r="A871" s="197">
        <v>43922</v>
      </c>
      <c r="B871" s="32" t="s">
        <v>162</v>
      </c>
      <c r="C871" s="198">
        <v>1543.84</v>
      </c>
      <c r="D871" s="197">
        <v>43922</v>
      </c>
      <c r="E871" s="32">
        <v>1</v>
      </c>
      <c r="F871" s="32">
        <v>2020</v>
      </c>
      <c r="P871" s="200" t="s">
        <v>701</v>
      </c>
      <c r="Q871" s="201">
        <v>5557.27</v>
      </c>
      <c r="R871" s="202">
        <f>5557.27-596.83-21.66-394.32-237.81-338.33</f>
        <v>3968.3200000000006</v>
      </c>
    </row>
    <row r="872" spans="1:18" hidden="1" x14ac:dyDescent="0.25">
      <c r="A872" s="197">
        <v>43952</v>
      </c>
      <c r="B872" s="32" t="s">
        <v>162</v>
      </c>
      <c r="C872" s="198">
        <v>2556.61</v>
      </c>
      <c r="D872" s="197">
        <v>43952</v>
      </c>
      <c r="E872" s="32">
        <v>1</v>
      </c>
      <c r="F872" s="32">
        <v>2020</v>
      </c>
      <c r="P872" s="188"/>
      <c r="Q872" s="33">
        <f>(Q871-Q870)-480.52</f>
        <v>2189.0500000000006</v>
      </c>
      <c r="R872" s="54">
        <f>(R871-R870)-329.28</f>
        <v>1500.0400000000006</v>
      </c>
    </row>
    <row r="873" spans="1:18" hidden="1" x14ac:dyDescent="0.25">
      <c r="A873" s="197">
        <v>43983</v>
      </c>
      <c r="B873" s="32" t="s">
        <v>162</v>
      </c>
      <c r="C873" s="198">
        <v>2351.86</v>
      </c>
      <c r="D873" s="197">
        <v>43983</v>
      </c>
      <c r="E873" s="32">
        <v>1</v>
      </c>
      <c r="F873" s="32">
        <v>2020</v>
      </c>
    </row>
    <row r="874" spans="1:18" hidden="1" x14ac:dyDescent="0.25">
      <c r="A874" s="197">
        <v>44013</v>
      </c>
      <c r="B874" s="32" t="s">
        <v>162</v>
      </c>
      <c r="C874" s="198">
        <v>3620.72</v>
      </c>
      <c r="D874" s="197">
        <v>44013</v>
      </c>
      <c r="E874" s="32">
        <v>1</v>
      </c>
      <c r="F874" s="32">
        <v>2020</v>
      </c>
    </row>
    <row r="875" spans="1:18" hidden="1" x14ac:dyDescent="0.25">
      <c r="A875" s="197">
        <v>44044</v>
      </c>
      <c r="B875" s="32" t="s">
        <v>162</v>
      </c>
      <c r="C875" s="198">
        <v>6740.76</v>
      </c>
      <c r="D875" s="197">
        <v>44044</v>
      </c>
      <c r="E875" s="32">
        <v>1</v>
      </c>
      <c r="F875" s="32">
        <v>2020</v>
      </c>
    </row>
    <row r="876" spans="1:18" hidden="1" x14ac:dyDescent="0.25">
      <c r="A876" s="197">
        <v>44075</v>
      </c>
      <c r="B876" s="32" t="s">
        <v>162</v>
      </c>
      <c r="C876" s="198">
        <v>3943.33</v>
      </c>
      <c r="D876" s="197">
        <v>44075</v>
      </c>
      <c r="E876" s="32">
        <v>1</v>
      </c>
      <c r="F876" s="32">
        <v>2020</v>
      </c>
    </row>
    <row r="877" spans="1:18" hidden="1" x14ac:dyDescent="0.25">
      <c r="A877" s="197">
        <v>44105</v>
      </c>
      <c r="B877" s="32" t="s">
        <v>162</v>
      </c>
      <c r="C877" s="198">
        <v>3688.83</v>
      </c>
      <c r="D877" s="197">
        <v>44105</v>
      </c>
      <c r="E877" s="32">
        <v>1</v>
      </c>
      <c r="F877" s="32">
        <v>2020</v>
      </c>
    </row>
    <row r="878" spans="1:18" hidden="1" x14ac:dyDescent="0.25">
      <c r="A878" s="197">
        <v>44136</v>
      </c>
      <c r="B878" s="32" t="s">
        <v>162</v>
      </c>
      <c r="C878" s="198">
        <v>6021.58</v>
      </c>
      <c r="D878" s="197">
        <v>44136</v>
      </c>
      <c r="E878" s="32">
        <v>1</v>
      </c>
      <c r="F878" s="32">
        <v>2020</v>
      </c>
    </row>
    <row r="879" spans="1:18" hidden="1" x14ac:dyDescent="0.25">
      <c r="A879" s="197">
        <v>44166</v>
      </c>
      <c r="B879" s="32" t="s">
        <v>162</v>
      </c>
      <c r="C879" s="198">
        <v>8115.23</v>
      </c>
      <c r="D879" s="197">
        <v>44166</v>
      </c>
      <c r="E879" s="32">
        <v>1</v>
      </c>
      <c r="F879" s="32">
        <v>2020</v>
      </c>
    </row>
    <row r="880" spans="1:18" hidden="1" x14ac:dyDescent="0.25">
      <c r="A880" s="197">
        <v>44197</v>
      </c>
      <c r="B880" s="32" t="s">
        <v>162</v>
      </c>
      <c r="C880" s="198">
        <v>11005.93</v>
      </c>
      <c r="D880" s="197">
        <v>44228</v>
      </c>
      <c r="E880" s="32">
        <v>1</v>
      </c>
      <c r="F880" s="32">
        <v>2021</v>
      </c>
    </row>
    <row r="881" spans="1:37" hidden="1" x14ac:dyDescent="0.25">
      <c r="A881" s="197">
        <v>44228</v>
      </c>
      <c r="B881" s="32" t="s">
        <v>162</v>
      </c>
      <c r="C881" s="198">
        <v>8850.1</v>
      </c>
      <c r="D881" s="197">
        <v>44256</v>
      </c>
      <c r="E881" s="32">
        <v>1</v>
      </c>
      <c r="F881" s="32">
        <v>2021</v>
      </c>
    </row>
    <row r="882" spans="1:37" hidden="1" x14ac:dyDescent="0.25">
      <c r="A882" s="197">
        <v>44256</v>
      </c>
      <c r="B882" s="32" t="s">
        <v>162</v>
      </c>
      <c r="C882" s="198">
        <v>6846.17</v>
      </c>
      <c r="D882" s="197">
        <v>44287</v>
      </c>
      <c r="E882" s="32">
        <v>1</v>
      </c>
      <c r="F882" s="32">
        <v>2021</v>
      </c>
    </row>
    <row r="883" spans="1:37" hidden="1" x14ac:dyDescent="0.25">
      <c r="A883" s="197">
        <v>44287</v>
      </c>
      <c r="B883" s="32" t="s">
        <v>162</v>
      </c>
      <c r="C883" s="198">
        <v>10860.43</v>
      </c>
      <c r="D883" s="197">
        <v>44317</v>
      </c>
      <c r="E883" s="32">
        <v>1</v>
      </c>
      <c r="F883" s="32">
        <v>2021</v>
      </c>
    </row>
    <row r="884" spans="1:37" hidden="1" x14ac:dyDescent="0.25">
      <c r="A884" s="197">
        <v>44317</v>
      </c>
      <c r="B884" s="32" t="s">
        <v>162</v>
      </c>
      <c r="C884" s="198">
        <v>7115.54</v>
      </c>
      <c r="D884" s="197">
        <v>44348</v>
      </c>
      <c r="E884" s="32">
        <v>1</v>
      </c>
      <c r="F884" s="32">
        <v>2021</v>
      </c>
    </row>
    <row r="885" spans="1:37" hidden="1" x14ac:dyDescent="0.25">
      <c r="A885" s="197">
        <v>44348</v>
      </c>
      <c r="B885" s="32" t="s">
        <v>162</v>
      </c>
      <c r="C885" s="198">
        <v>6085.95</v>
      </c>
      <c r="D885" s="197">
        <v>44378</v>
      </c>
      <c r="E885" s="32">
        <v>1</v>
      </c>
      <c r="F885" s="32">
        <v>2021</v>
      </c>
      <c r="AJ885" s="33"/>
      <c r="AK885" s="54"/>
    </row>
    <row r="886" spans="1:37" ht="15" hidden="1" customHeight="1" thickBot="1" x14ac:dyDescent="0.3">
      <c r="A886" s="197">
        <v>44378</v>
      </c>
      <c r="B886" s="32" t="s">
        <v>162</v>
      </c>
      <c r="C886" s="198">
        <v>6042.51</v>
      </c>
      <c r="D886" s="197">
        <v>44409</v>
      </c>
      <c r="E886" s="32">
        <v>1</v>
      </c>
      <c r="F886" s="32">
        <v>2021</v>
      </c>
      <c r="Y886" s="203" t="s">
        <v>720</v>
      </c>
      <c r="Z886" s="203" t="s">
        <v>2</v>
      </c>
      <c r="AA886" s="204"/>
      <c r="AB886" s="205" t="s">
        <v>701</v>
      </c>
      <c r="AC886" s="32"/>
    </row>
    <row r="887" spans="1:37" hidden="1" x14ac:dyDescent="0.25">
      <c r="A887" s="197">
        <v>44409</v>
      </c>
      <c r="B887" s="32" t="s">
        <v>162</v>
      </c>
      <c r="C887" s="198">
        <v>12879.46</v>
      </c>
      <c r="D887" s="197">
        <v>44440</v>
      </c>
      <c r="E887" s="32">
        <v>1</v>
      </c>
      <c r="F887" s="32">
        <v>2021</v>
      </c>
      <c r="Y887" s="206">
        <v>2021</v>
      </c>
      <c r="Z887" s="417">
        <f>Z18</f>
        <v>8670.8058333333338</v>
      </c>
      <c r="AA887" s="206"/>
      <c r="AB887" s="207">
        <v>0</v>
      </c>
      <c r="AC887" s="208"/>
    </row>
    <row r="888" spans="1:37" hidden="1" x14ac:dyDescent="0.25">
      <c r="A888" s="197">
        <v>44440</v>
      </c>
      <c r="B888" s="32" t="s">
        <v>162</v>
      </c>
      <c r="C888" s="198">
        <v>4137.12</v>
      </c>
      <c r="D888" s="197">
        <v>44470</v>
      </c>
      <c r="E888" s="32">
        <v>1</v>
      </c>
      <c r="F888" s="32">
        <v>2021</v>
      </c>
      <c r="Y888" s="209">
        <v>2022</v>
      </c>
      <c r="Z888" s="418"/>
      <c r="AA888" s="209"/>
      <c r="AB888" s="210">
        <f>AC18</f>
        <v>9325.1491666666661</v>
      </c>
    </row>
    <row r="889" spans="1:37" hidden="1" x14ac:dyDescent="0.25">
      <c r="A889" s="197">
        <v>44470</v>
      </c>
      <c r="B889" s="32" t="s">
        <v>162</v>
      </c>
      <c r="C889" s="198">
        <v>9441.0400000000009</v>
      </c>
      <c r="D889" s="197">
        <v>44501</v>
      </c>
      <c r="E889" s="32">
        <v>1</v>
      </c>
      <c r="F889" s="32">
        <v>2021</v>
      </c>
      <c r="Y889" s="209">
        <v>2023</v>
      </c>
      <c r="Z889" s="418"/>
      <c r="AA889" s="209"/>
      <c r="AB889" s="210">
        <f>AF18</f>
        <v>8102.3050000000003</v>
      </c>
      <c r="AC889" s="53"/>
    </row>
    <row r="890" spans="1:37" ht="15" hidden="1" customHeight="1" thickBot="1" x14ac:dyDescent="0.3">
      <c r="A890" s="197">
        <v>44501</v>
      </c>
      <c r="B890" s="32" t="s">
        <v>162</v>
      </c>
      <c r="C890" s="198">
        <v>11233.63</v>
      </c>
      <c r="D890" s="197">
        <v>44531</v>
      </c>
      <c r="E890" s="32">
        <v>1</v>
      </c>
      <c r="F890" s="32">
        <v>2021</v>
      </c>
      <c r="Y890" s="211">
        <v>2024</v>
      </c>
      <c r="Z890" s="419"/>
      <c r="AA890" s="211"/>
      <c r="AB890" s="212">
        <f>AI16</f>
        <v>93060.81</v>
      </c>
    </row>
    <row r="891" spans="1:37" hidden="1" x14ac:dyDescent="0.25">
      <c r="A891" s="197">
        <v>44531</v>
      </c>
      <c r="B891" s="32" t="s">
        <v>162</v>
      </c>
      <c r="C891" s="198">
        <v>9551.7900000000009</v>
      </c>
      <c r="D891" s="197">
        <v>44562</v>
      </c>
      <c r="E891" s="32">
        <v>1</v>
      </c>
      <c r="F891" s="32">
        <v>2021</v>
      </c>
      <c r="Y891" s="32"/>
      <c r="Z891" s="32"/>
      <c r="AA891" s="32"/>
      <c r="AB891" s="32"/>
      <c r="AC891" s="54"/>
      <c r="AD891" s="54"/>
    </row>
    <row r="892" spans="1:37" hidden="1" x14ac:dyDescent="0.25">
      <c r="A892" s="197">
        <v>44562</v>
      </c>
      <c r="B892" s="32" t="s">
        <v>162</v>
      </c>
      <c r="C892" s="198">
        <v>10325.030000000001</v>
      </c>
      <c r="D892" s="197">
        <f>comissao[[#This Row],[Mês]]</f>
        <v>44562</v>
      </c>
      <c r="E892" s="32">
        <v>1</v>
      </c>
      <c r="F892" s="32">
        <v>2022</v>
      </c>
    </row>
    <row r="893" spans="1:37" hidden="1" x14ac:dyDescent="0.25">
      <c r="A893" s="197">
        <v>44593</v>
      </c>
      <c r="B893" s="32" t="s">
        <v>162</v>
      </c>
      <c r="C893" s="198">
        <v>6014.19</v>
      </c>
      <c r="D893" s="197">
        <f>comissao[[#This Row],[Mês]]</f>
        <v>44593</v>
      </c>
      <c r="E893" s="32">
        <v>1</v>
      </c>
      <c r="F893" s="32">
        <v>2022</v>
      </c>
    </row>
    <row r="894" spans="1:37" ht="21.6" hidden="1" customHeight="1" thickBot="1" x14ac:dyDescent="0.4">
      <c r="A894" s="197">
        <v>44621</v>
      </c>
      <c r="B894" s="32" t="s">
        <v>162</v>
      </c>
      <c r="C894" s="198">
        <v>7501</v>
      </c>
      <c r="D894" s="197">
        <f>comissao[[#This Row],[Mês]]</f>
        <v>44621</v>
      </c>
      <c r="E894" s="32">
        <v>1</v>
      </c>
      <c r="F894" s="32">
        <v>2022</v>
      </c>
      <c r="Y894" s="213" t="s">
        <v>721</v>
      </c>
      <c r="Z894" s="32" t="s">
        <v>722</v>
      </c>
      <c r="AA894" s="415" t="s">
        <v>723</v>
      </c>
      <c r="AB894" s="416"/>
      <c r="AC894" s="416"/>
    </row>
    <row r="895" spans="1:37" ht="15" hidden="1" customHeight="1" thickBot="1" x14ac:dyDescent="0.3">
      <c r="A895" s="197">
        <v>44652</v>
      </c>
      <c r="B895" s="32" t="s">
        <v>162</v>
      </c>
      <c r="C895" s="198">
        <v>7160.99</v>
      </c>
      <c r="D895" s="197">
        <f>comissao[[#This Row],[Mês]]</f>
        <v>44652</v>
      </c>
      <c r="E895" s="32">
        <v>1</v>
      </c>
      <c r="F895" s="32">
        <v>2022</v>
      </c>
      <c r="Y895" s="214" t="s">
        <v>724</v>
      </c>
      <c r="Z895" s="215">
        <v>2021</v>
      </c>
      <c r="AA895" s="215">
        <v>2022</v>
      </c>
      <c r="AB895" s="215">
        <v>2023</v>
      </c>
      <c r="AC895" s="216">
        <v>2024</v>
      </c>
      <c r="AD895" s="217"/>
    </row>
    <row r="896" spans="1:37" hidden="1" x14ac:dyDescent="0.25">
      <c r="A896" s="197">
        <v>44682</v>
      </c>
      <c r="B896" s="32" t="s">
        <v>162</v>
      </c>
      <c r="C896" s="198">
        <v>8225.76</v>
      </c>
      <c r="D896" s="197">
        <f>comissao[[#This Row],[Mês]]</f>
        <v>44682</v>
      </c>
      <c r="E896" s="32">
        <v>1</v>
      </c>
      <c r="F896" s="32">
        <v>2022</v>
      </c>
      <c r="Y896" s="218" t="s">
        <v>725</v>
      </c>
      <c r="Z896" s="219">
        <v>1640281.68</v>
      </c>
      <c r="AA896" s="219">
        <v>1707330.58</v>
      </c>
      <c r="AB896" s="219">
        <v>1877690.07</v>
      </c>
      <c r="AC896" s="220">
        <v>2317247.21</v>
      </c>
      <c r="AD896" s="35"/>
    </row>
    <row r="897" spans="1:30" ht="15" hidden="1" customHeight="1" thickBot="1" x14ac:dyDescent="0.3">
      <c r="A897" s="197">
        <v>44713</v>
      </c>
      <c r="B897" s="32" t="s">
        <v>162</v>
      </c>
      <c r="C897" s="198">
        <v>13521.65</v>
      </c>
      <c r="D897" s="197">
        <f>comissao[[#This Row],[Mês]]</f>
        <v>44713</v>
      </c>
      <c r="E897" s="32">
        <v>1</v>
      </c>
      <c r="F897" s="32">
        <v>2022</v>
      </c>
      <c r="Y897" s="221" t="s">
        <v>726</v>
      </c>
      <c r="Z897" s="222">
        <v>137603.31</v>
      </c>
      <c r="AA897" s="222">
        <v>160713.38</v>
      </c>
      <c r="AB897" s="222">
        <v>129728.19</v>
      </c>
      <c r="AC897" s="223">
        <v>176869.79</v>
      </c>
      <c r="AD897" s="35"/>
    </row>
    <row r="898" spans="1:30" hidden="1" x14ac:dyDescent="0.25">
      <c r="A898" s="197">
        <v>44743</v>
      </c>
      <c r="B898" s="32" t="s">
        <v>162</v>
      </c>
      <c r="C898" s="198">
        <v>9935.31</v>
      </c>
      <c r="D898" s="197">
        <f>comissao[[#This Row],[Mês]]</f>
        <v>44743</v>
      </c>
      <c r="E898" s="32">
        <v>1</v>
      </c>
      <c r="F898" s="32">
        <v>2022</v>
      </c>
      <c r="Z898" s="224" t="s">
        <v>727</v>
      </c>
    </row>
    <row r="899" spans="1:30" hidden="1" x14ac:dyDescent="0.25">
      <c r="A899" s="197">
        <v>44774</v>
      </c>
      <c r="B899" s="32" t="s">
        <v>162</v>
      </c>
      <c r="C899" s="198">
        <v>8170.34</v>
      </c>
      <c r="D899" s="197">
        <f>comissao[[#This Row],[Mês]]</f>
        <v>44774</v>
      </c>
      <c r="E899" s="32">
        <v>1</v>
      </c>
      <c r="F899" s="32">
        <v>2022</v>
      </c>
    </row>
    <row r="900" spans="1:30" ht="21" hidden="1" customHeight="1" x14ac:dyDescent="0.35">
      <c r="A900" s="197">
        <v>44805</v>
      </c>
      <c r="B900" s="32" t="s">
        <v>162</v>
      </c>
      <c r="C900" s="198">
        <v>14096.05</v>
      </c>
      <c r="D900" s="197">
        <f>comissao[[#This Row],[Mês]]</f>
        <v>44805</v>
      </c>
      <c r="E900" s="32">
        <v>1</v>
      </c>
      <c r="F900" s="32">
        <v>2022</v>
      </c>
      <c r="Y900" s="213" t="s">
        <v>728</v>
      </c>
    </row>
    <row r="901" spans="1:30" ht="15" hidden="1" customHeight="1" thickBot="1" x14ac:dyDescent="0.3">
      <c r="A901" s="197">
        <v>44835</v>
      </c>
      <c r="B901" s="32" t="s">
        <v>162</v>
      </c>
      <c r="C901" s="198">
        <v>8938.44</v>
      </c>
      <c r="D901" s="197">
        <f>comissao[[#This Row],[Mês]]</f>
        <v>44835</v>
      </c>
      <c r="E901" s="32">
        <v>1</v>
      </c>
      <c r="F901" s="32">
        <v>2022</v>
      </c>
      <c r="Y901" s="77"/>
      <c r="Z901" s="225" t="s">
        <v>727</v>
      </c>
      <c r="AA901" s="215">
        <v>2022</v>
      </c>
      <c r="AB901" s="215">
        <v>2023</v>
      </c>
      <c r="AC901" s="216">
        <v>2024</v>
      </c>
    </row>
    <row r="902" spans="1:30" hidden="1" x14ac:dyDescent="0.25">
      <c r="A902" s="197">
        <v>44866</v>
      </c>
      <c r="B902" s="32" t="s">
        <v>162</v>
      </c>
      <c r="C902" s="198">
        <v>9477.94</v>
      </c>
      <c r="D902" s="197">
        <f>comissao[[#This Row],[Mês]]</f>
        <v>44866</v>
      </c>
      <c r="E902" s="32">
        <v>1</v>
      </c>
      <c r="F902" s="32">
        <v>2022</v>
      </c>
      <c r="Y902" s="226" t="s">
        <v>729</v>
      </c>
      <c r="Z902" s="227">
        <v>1640281.68</v>
      </c>
      <c r="AA902" s="228">
        <f>(AA896/$Z$902)-1</f>
        <v>4.0876454829392506E-2</v>
      </c>
      <c r="AB902" s="228">
        <f>(AB896/$Z$902)-1</f>
        <v>0.14473635406328511</v>
      </c>
      <c r="AC902" s="229">
        <f>(AC896/$Z$902)-1</f>
        <v>0.41271297378630734</v>
      </c>
    </row>
    <row r="903" spans="1:30" ht="15" hidden="1" customHeight="1" thickBot="1" x14ac:dyDescent="0.3">
      <c r="A903" s="197">
        <v>44896</v>
      </c>
      <c r="B903" s="32" t="s">
        <v>162</v>
      </c>
      <c r="C903" s="198">
        <v>8535.09</v>
      </c>
      <c r="D903" s="197">
        <f>comissao[[#This Row],[Mês]]</f>
        <v>44896</v>
      </c>
      <c r="E903" s="32">
        <v>1</v>
      </c>
      <c r="F903" s="32">
        <v>2022</v>
      </c>
      <c r="Y903" s="230" t="s">
        <v>160</v>
      </c>
      <c r="Z903" s="222">
        <v>137603.31</v>
      </c>
      <c r="AA903" s="231">
        <f>(AA897/$Z$903)-1</f>
        <v>0.16794705011093125</v>
      </c>
      <c r="AB903" s="231">
        <f>(AB897/$Z$903)-1</f>
        <v>-5.7230600048792435E-2</v>
      </c>
      <c r="AC903" s="232">
        <f>(AC897/$Z$903)-1</f>
        <v>0.28535999606404827</v>
      </c>
    </row>
    <row r="904" spans="1:30" hidden="1" x14ac:dyDescent="0.25">
      <c r="A904" s="197">
        <v>44931</v>
      </c>
      <c r="B904" s="32" t="s">
        <v>162</v>
      </c>
      <c r="C904" s="198">
        <v>6512.53</v>
      </c>
      <c r="D904" s="197">
        <f>comissao[[#This Row],[Mês]]</f>
        <v>44931</v>
      </c>
      <c r="E904" s="32">
        <v>1</v>
      </c>
      <c r="F904" s="32">
        <v>2023</v>
      </c>
    </row>
    <row r="905" spans="1:30" ht="21" hidden="1" customHeight="1" x14ac:dyDescent="0.35">
      <c r="A905" s="197">
        <v>44931</v>
      </c>
      <c r="B905" s="32" t="s">
        <v>161</v>
      </c>
      <c r="C905" s="198">
        <f>2057.71</f>
        <v>2057.71</v>
      </c>
      <c r="D905" s="197">
        <v>44962</v>
      </c>
      <c r="E905" s="32">
        <v>1</v>
      </c>
      <c r="F905" s="32">
        <v>2023</v>
      </c>
      <c r="Y905" s="213" t="s">
        <v>730</v>
      </c>
    </row>
    <row r="906" spans="1:30" ht="15" hidden="1" customHeight="1" thickBot="1" x14ac:dyDescent="0.3">
      <c r="A906" s="197">
        <v>44931</v>
      </c>
      <c r="B906" s="32" t="s">
        <v>704</v>
      </c>
      <c r="C906" s="198">
        <f>2583.12+357</f>
        <v>2940.12</v>
      </c>
      <c r="D906" s="197">
        <v>44962</v>
      </c>
      <c r="E906" s="32">
        <v>1</v>
      </c>
      <c r="F906" s="32">
        <v>2023</v>
      </c>
      <c r="Y906" s="77"/>
      <c r="Z906" s="233">
        <v>2021</v>
      </c>
      <c r="AA906" s="215">
        <v>2022</v>
      </c>
      <c r="AB906" s="215">
        <v>2023</v>
      </c>
      <c r="AC906" s="216">
        <v>2024</v>
      </c>
    </row>
    <row r="907" spans="1:30" hidden="1" x14ac:dyDescent="0.25">
      <c r="A907" s="197">
        <v>44962</v>
      </c>
      <c r="B907" s="32" t="s">
        <v>162</v>
      </c>
      <c r="C907" s="198">
        <f>8553.08+10.95</f>
        <v>8564.0300000000007</v>
      </c>
      <c r="D907" s="197">
        <f>comissao[[#This Row],[Mês]]</f>
        <v>44962</v>
      </c>
      <c r="E907" s="32">
        <v>1</v>
      </c>
      <c r="F907" s="32">
        <v>2023</v>
      </c>
      <c r="Y907" s="234" t="s">
        <v>729</v>
      </c>
      <c r="Z907" s="227">
        <v>1640281.68</v>
      </c>
      <c r="AA907" s="228">
        <f>(AA896/Z907)-1</f>
        <v>4.0876454829392506E-2</v>
      </c>
      <c r="AB907" s="228">
        <f>(AB896/AA896)-1</f>
        <v>9.9781197616691131E-2</v>
      </c>
      <c r="AC907" s="229">
        <f>(AC896/AB896)-1</f>
        <v>0.23409461818158306</v>
      </c>
    </row>
    <row r="908" spans="1:30" ht="15" hidden="1" customHeight="1" thickBot="1" x14ac:dyDescent="0.3">
      <c r="A908" s="197">
        <v>44962</v>
      </c>
      <c r="B908" s="32" t="s">
        <v>161</v>
      </c>
      <c r="C908" s="198">
        <f>59.67+741.76</f>
        <v>801.43</v>
      </c>
      <c r="D908" s="197">
        <v>44990</v>
      </c>
      <c r="E908" s="32">
        <v>1</v>
      </c>
      <c r="F908" s="32">
        <v>2023</v>
      </c>
      <c r="Y908" s="221" t="s">
        <v>160</v>
      </c>
      <c r="Z908" s="222">
        <v>137603.31</v>
      </c>
      <c r="AA908" s="231">
        <f>(AA897/Z908)-1</f>
        <v>0.16794705011093125</v>
      </c>
      <c r="AB908" s="231">
        <f>(AB897/AA897)-1</f>
        <v>-0.19279782430062764</v>
      </c>
      <c r="AC908" s="232">
        <f>(AC897/AB897)-1</f>
        <v>0.3633874796218155</v>
      </c>
    </row>
    <row r="909" spans="1:30" hidden="1" x14ac:dyDescent="0.25">
      <c r="A909" s="197">
        <v>44962</v>
      </c>
      <c r="B909" s="32" t="s">
        <v>704</v>
      </c>
      <c r="C909" s="198">
        <v>1817.54</v>
      </c>
      <c r="D909" s="197">
        <v>44990</v>
      </c>
      <c r="E909" s="32">
        <v>1</v>
      </c>
      <c r="F909" s="32">
        <v>2023</v>
      </c>
    </row>
    <row r="910" spans="1:30" hidden="1" x14ac:dyDescent="0.25">
      <c r="A910" s="197">
        <v>44990</v>
      </c>
      <c r="B910" s="32" t="s">
        <v>162</v>
      </c>
      <c r="C910" s="198">
        <v>6481.14</v>
      </c>
      <c r="D910" s="197">
        <f>comissao[[#This Row],[Mês]]</f>
        <v>44990</v>
      </c>
      <c r="E910" s="32">
        <v>1</v>
      </c>
      <c r="F910" s="32">
        <v>2023</v>
      </c>
    </row>
    <row r="911" spans="1:30" hidden="1" x14ac:dyDescent="0.25">
      <c r="A911" s="197">
        <v>44990</v>
      </c>
      <c r="B911" s="32" t="s">
        <v>161</v>
      </c>
      <c r="C911" s="198">
        <f>138.6+7604.34</f>
        <v>7742.9400000000005</v>
      </c>
      <c r="D911" s="197">
        <v>45021</v>
      </c>
      <c r="E911" s="32">
        <v>1</v>
      </c>
      <c r="F911" s="32">
        <v>2023</v>
      </c>
    </row>
    <row r="912" spans="1:30" hidden="1" x14ac:dyDescent="0.25">
      <c r="A912" s="197">
        <v>44990</v>
      </c>
      <c r="B912" s="32" t="s">
        <v>704</v>
      </c>
      <c r="C912" s="198">
        <f>6536.71+63</f>
        <v>6599.71</v>
      </c>
      <c r="D912" s="197">
        <v>45021</v>
      </c>
      <c r="E912" s="32">
        <v>1</v>
      </c>
      <c r="F912" s="32">
        <v>2023</v>
      </c>
    </row>
    <row r="913" spans="1:6" hidden="1" x14ac:dyDescent="0.25">
      <c r="A913" s="197">
        <v>45021</v>
      </c>
      <c r="B913" s="32" t="s">
        <v>162</v>
      </c>
      <c r="C913" s="198">
        <v>7030.18</v>
      </c>
      <c r="D913" s="197">
        <f>comissao[[#This Row],[Mês]]</f>
        <v>45021</v>
      </c>
      <c r="E913" s="32">
        <v>1</v>
      </c>
      <c r="F913" s="32">
        <v>2023</v>
      </c>
    </row>
    <row r="914" spans="1:6" hidden="1" x14ac:dyDescent="0.25">
      <c r="A914" s="197">
        <v>45021</v>
      </c>
      <c r="B914" s="32" t="s">
        <v>161</v>
      </c>
      <c r="C914" s="198">
        <v>4433.51</v>
      </c>
      <c r="D914" s="197">
        <v>45051</v>
      </c>
      <c r="E914" s="32">
        <v>1</v>
      </c>
      <c r="F914" s="32">
        <v>2023</v>
      </c>
    </row>
    <row r="915" spans="1:6" hidden="1" x14ac:dyDescent="0.25">
      <c r="A915" s="197">
        <v>45021</v>
      </c>
      <c r="B915" s="32" t="s">
        <v>704</v>
      </c>
      <c r="C915" s="198">
        <f>8924.82+670</f>
        <v>9594.82</v>
      </c>
      <c r="D915" s="197">
        <v>45051</v>
      </c>
      <c r="E915" s="32">
        <v>1</v>
      </c>
      <c r="F915" s="32">
        <v>2023</v>
      </c>
    </row>
    <row r="916" spans="1:6" hidden="1" x14ac:dyDescent="0.25">
      <c r="A916" s="197">
        <v>45051</v>
      </c>
      <c r="B916" s="32" t="s">
        <v>162</v>
      </c>
      <c r="C916" s="198">
        <v>3211.2</v>
      </c>
      <c r="D916" s="197">
        <f>comissao[[#This Row],[Mês]]</f>
        <v>45051</v>
      </c>
      <c r="E916" s="32">
        <v>1</v>
      </c>
      <c r="F916" s="32">
        <v>2023</v>
      </c>
    </row>
    <row r="917" spans="1:6" hidden="1" x14ac:dyDescent="0.25">
      <c r="A917" s="197">
        <v>45051</v>
      </c>
      <c r="B917" s="32" t="s">
        <v>161</v>
      </c>
      <c r="C917" s="198">
        <f>27.84+315.45</f>
        <v>343.28999999999996</v>
      </c>
      <c r="D917" s="197">
        <v>45082</v>
      </c>
      <c r="E917" s="32">
        <v>1</v>
      </c>
      <c r="F917" s="32">
        <v>2023</v>
      </c>
    </row>
    <row r="918" spans="1:6" hidden="1" x14ac:dyDescent="0.25">
      <c r="A918" s="197">
        <v>45051</v>
      </c>
      <c r="B918" s="32" t="s">
        <v>704</v>
      </c>
      <c r="C918" s="198">
        <f>1802.05+818.4</f>
        <v>2620.4499999999998</v>
      </c>
      <c r="D918" s="197">
        <v>45082</v>
      </c>
      <c r="E918" s="32">
        <v>1</v>
      </c>
      <c r="F918" s="32">
        <v>2023</v>
      </c>
    </row>
    <row r="919" spans="1:6" hidden="1" x14ac:dyDescent="0.25">
      <c r="A919" s="197">
        <v>45082</v>
      </c>
      <c r="B919" s="32" t="s">
        <v>162</v>
      </c>
      <c r="C919" s="198">
        <f>93.33+3158.63+10.95</f>
        <v>3262.91</v>
      </c>
      <c r="D919" s="197">
        <f>comissao[[#This Row],[Mês]]</f>
        <v>45082</v>
      </c>
      <c r="E919" s="32">
        <v>1</v>
      </c>
      <c r="F919" s="32">
        <v>2023</v>
      </c>
    </row>
    <row r="920" spans="1:6" hidden="1" x14ac:dyDescent="0.25">
      <c r="A920" s="197">
        <v>45082</v>
      </c>
      <c r="B920" s="32" t="s">
        <v>161</v>
      </c>
      <c r="C920" s="198">
        <f>2649.25+36.24+40.64</f>
        <v>2726.1299999999997</v>
      </c>
      <c r="D920" s="197">
        <v>45112</v>
      </c>
      <c r="E920" s="32">
        <v>1</v>
      </c>
      <c r="F920" s="32">
        <v>2023</v>
      </c>
    </row>
    <row r="921" spans="1:6" hidden="1" x14ac:dyDescent="0.25">
      <c r="A921" s="197">
        <v>45082</v>
      </c>
      <c r="B921" s="32" t="s">
        <v>704</v>
      </c>
      <c r="C921" s="198">
        <f>1382.06+818.4</f>
        <v>2200.46</v>
      </c>
      <c r="D921" s="197">
        <v>45112</v>
      </c>
      <c r="E921" s="32">
        <v>1</v>
      </c>
      <c r="F921" s="32">
        <v>2023</v>
      </c>
    </row>
    <row r="922" spans="1:6" hidden="1" x14ac:dyDescent="0.25">
      <c r="A922" s="197">
        <v>45112</v>
      </c>
      <c r="B922" s="32" t="s">
        <v>162</v>
      </c>
      <c r="C922" s="198">
        <f>1120.35+1400.01+1849.33+3338.42</f>
        <v>7708.11</v>
      </c>
      <c r="D922" s="197">
        <f>comissao[[#This Row],[Mês]]</f>
        <v>45112</v>
      </c>
      <c r="E922" s="32">
        <v>1</v>
      </c>
      <c r="F922" s="32">
        <v>2023</v>
      </c>
    </row>
    <row r="923" spans="1:6" hidden="1" x14ac:dyDescent="0.25">
      <c r="A923" s="197">
        <v>45112</v>
      </c>
      <c r="B923" s="32" t="s">
        <v>161</v>
      </c>
      <c r="C923" s="198">
        <f>53.26+313.68+2846.24</f>
        <v>3213.18</v>
      </c>
      <c r="D923" s="197">
        <v>45143</v>
      </c>
      <c r="E923" s="32">
        <v>1</v>
      </c>
      <c r="F923" s="32">
        <v>2023</v>
      </c>
    </row>
    <row r="924" spans="1:6" hidden="1" x14ac:dyDescent="0.25">
      <c r="A924" s="197">
        <v>45112</v>
      </c>
      <c r="B924" s="32" t="s">
        <v>704</v>
      </c>
      <c r="C924" s="198">
        <f>1159.4+142.02+2591.8</f>
        <v>3893.2200000000003</v>
      </c>
      <c r="D924" s="197">
        <v>45143</v>
      </c>
      <c r="E924" s="32">
        <v>1</v>
      </c>
      <c r="F924" s="32">
        <v>2023</v>
      </c>
    </row>
    <row r="925" spans="1:6" hidden="1" x14ac:dyDescent="0.25">
      <c r="A925" s="197">
        <v>45143</v>
      </c>
      <c r="B925" s="32" t="s">
        <v>162</v>
      </c>
      <c r="C925" s="198">
        <f>93.33+7207.97+684.01</f>
        <v>7985.31</v>
      </c>
      <c r="D925" s="197">
        <f>comissao[[#This Row],[Mês]]</f>
        <v>45143</v>
      </c>
      <c r="E925" s="32">
        <v>1</v>
      </c>
      <c r="F925" s="32">
        <v>2023</v>
      </c>
    </row>
    <row r="926" spans="1:6" hidden="1" x14ac:dyDescent="0.25">
      <c r="A926" s="197">
        <v>45143</v>
      </c>
      <c r="B926" s="32" t="s">
        <v>161</v>
      </c>
      <c r="C926" s="198">
        <f>59.46+883.14+41.24</f>
        <v>983.84</v>
      </c>
      <c r="D926" s="197">
        <v>45174</v>
      </c>
      <c r="E926" s="32">
        <v>1</v>
      </c>
      <c r="F926" s="32">
        <v>2023</v>
      </c>
    </row>
    <row r="927" spans="1:6" hidden="1" x14ac:dyDescent="0.25">
      <c r="A927" s="197">
        <v>45143</v>
      </c>
      <c r="B927" s="32" t="s">
        <v>704</v>
      </c>
      <c r="C927" s="198">
        <f>5748.13+142.02+211.4</f>
        <v>6101.55</v>
      </c>
      <c r="D927" s="197">
        <v>45174</v>
      </c>
      <c r="E927" s="32">
        <v>1</v>
      </c>
      <c r="F927" s="32">
        <v>2023</v>
      </c>
    </row>
    <row r="928" spans="1:6" hidden="1" x14ac:dyDescent="0.25">
      <c r="A928" s="197">
        <v>45174</v>
      </c>
      <c r="B928" s="32" t="s">
        <v>162</v>
      </c>
      <c r="C928" s="198">
        <f>348.01+211.06+1812.01+6156.82+7574.55</f>
        <v>16102.45</v>
      </c>
      <c r="D928" s="197">
        <f>comissao[[#This Row],[Mês]]</f>
        <v>45174</v>
      </c>
      <c r="E928" s="32">
        <v>1</v>
      </c>
      <c r="F928" s="32">
        <v>2023</v>
      </c>
    </row>
    <row r="929" spans="1:6" hidden="1" x14ac:dyDescent="0.25">
      <c r="A929" s="197">
        <v>45174</v>
      </c>
      <c r="B929" s="32" t="s">
        <v>161</v>
      </c>
      <c r="C929" s="198">
        <f>54.73+1856.74+40.58+1724.24</f>
        <v>3676.29</v>
      </c>
      <c r="D929" s="197">
        <v>45204</v>
      </c>
      <c r="E929" s="32">
        <v>1</v>
      </c>
      <c r="F929" s="32">
        <v>2023</v>
      </c>
    </row>
    <row r="930" spans="1:6" hidden="1" x14ac:dyDescent="0.25">
      <c r="A930" s="197">
        <v>45174</v>
      </c>
      <c r="B930" s="32" t="s">
        <v>704</v>
      </c>
      <c r="C930" s="198">
        <f>439.39+6108.28+2761.4</f>
        <v>9309.07</v>
      </c>
      <c r="D930" s="197">
        <v>45204</v>
      </c>
      <c r="E930" s="32">
        <v>1</v>
      </c>
      <c r="F930" s="32">
        <v>2023</v>
      </c>
    </row>
    <row r="931" spans="1:6" hidden="1" x14ac:dyDescent="0.25">
      <c r="A931" s="197">
        <v>45204</v>
      </c>
      <c r="B931" s="32" t="s">
        <v>162</v>
      </c>
      <c r="C931" s="198">
        <f>153.07+211.06+16364.38+25.25</f>
        <v>16753.759999999998</v>
      </c>
      <c r="D931" s="197">
        <f>comissao[[#This Row],[Mês]]</f>
        <v>45204</v>
      </c>
      <c r="E931" s="32">
        <v>1</v>
      </c>
      <c r="F931" s="32">
        <v>2023</v>
      </c>
    </row>
    <row r="932" spans="1:6" hidden="1" x14ac:dyDescent="0.25">
      <c r="A932" s="197">
        <v>45204</v>
      </c>
      <c r="B932" s="32" t="s">
        <v>161</v>
      </c>
      <c r="C932" s="198">
        <f>50.11+6017.26+52.41</f>
        <v>6119.78</v>
      </c>
      <c r="D932" s="197">
        <v>45235</v>
      </c>
      <c r="E932" s="32">
        <v>1</v>
      </c>
      <c r="F932" s="32">
        <v>2023</v>
      </c>
    </row>
    <row r="933" spans="1:6" hidden="1" x14ac:dyDescent="0.25">
      <c r="A933" s="197">
        <v>45204</v>
      </c>
      <c r="B933" s="32" t="s">
        <v>704</v>
      </c>
      <c r="C933" s="198">
        <f>142.02+17440.28+371.24+3567.2</f>
        <v>21520.74</v>
      </c>
      <c r="D933" s="197">
        <v>45235</v>
      </c>
      <c r="E933" s="32">
        <v>1</v>
      </c>
      <c r="F933" s="32">
        <v>2023</v>
      </c>
    </row>
    <row r="934" spans="1:6" hidden="1" x14ac:dyDescent="0.25">
      <c r="A934" s="197">
        <v>45235</v>
      </c>
      <c r="B934" s="32" t="s">
        <v>162</v>
      </c>
      <c r="C934" s="198">
        <f>29.87+211.06+8828.97+25.26</f>
        <v>9095.16</v>
      </c>
      <c r="D934" s="197">
        <f>comissao[[#This Row],[Mês]]</f>
        <v>45235</v>
      </c>
      <c r="E934" s="32">
        <v>1</v>
      </c>
      <c r="F934" s="32">
        <v>2023</v>
      </c>
    </row>
    <row r="935" spans="1:6" hidden="1" x14ac:dyDescent="0.25">
      <c r="A935" s="197">
        <v>45235</v>
      </c>
      <c r="B935" s="32" t="s">
        <v>161</v>
      </c>
      <c r="C935" s="198">
        <f>272.26+894.36+1613.87</f>
        <v>2780.49</v>
      </c>
      <c r="D935" s="197">
        <v>45265</v>
      </c>
      <c r="E935" s="32">
        <v>1</v>
      </c>
      <c r="F935" s="32">
        <v>2023</v>
      </c>
    </row>
    <row r="936" spans="1:6" hidden="1" x14ac:dyDescent="0.25">
      <c r="A936" s="197">
        <v>45235</v>
      </c>
      <c r="B936" s="32" t="s">
        <v>704</v>
      </c>
      <c r="C936" s="198">
        <f>136.3+8302.15+141.77+331.28</f>
        <v>8911.5</v>
      </c>
      <c r="D936" s="197">
        <v>45265</v>
      </c>
      <c r="E936" s="32">
        <v>1</v>
      </c>
      <c r="F936" s="32">
        <v>2023</v>
      </c>
    </row>
    <row r="937" spans="1:6" hidden="1" x14ac:dyDescent="0.25">
      <c r="A937" s="197">
        <v>45265</v>
      </c>
      <c r="B937" s="32" t="s">
        <v>162</v>
      </c>
      <c r="C937" s="198">
        <v>4520.88</v>
      </c>
      <c r="D937" s="197">
        <f>comissao[[#This Row],[Mês]]</f>
        <v>45265</v>
      </c>
      <c r="E937" s="32">
        <v>1</v>
      </c>
      <c r="F937" s="32">
        <v>2023</v>
      </c>
    </row>
    <row r="938" spans="1:6" hidden="1" x14ac:dyDescent="0.25">
      <c r="A938" s="197">
        <v>45265</v>
      </c>
      <c r="B938" s="32" t="s">
        <v>161</v>
      </c>
      <c r="C938" s="198">
        <f>2777.39-864.51+33.27+27.95</f>
        <v>1974.1</v>
      </c>
      <c r="D938" s="197">
        <v>45296</v>
      </c>
      <c r="E938" s="32">
        <v>1</v>
      </c>
      <c r="F938" s="32">
        <v>2023</v>
      </c>
    </row>
    <row r="939" spans="1:6" hidden="1" x14ac:dyDescent="0.25">
      <c r="A939" s="197">
        <v>45265</v>
      </c>
      <c r="B939" s="32" t="s">
        <v>704</v>
      </c>
      <c r="C939" s="198">
        <f>3400.81+142.02+10062.24-29.08</f>
        <v>13575.99</v>
      </c>
      <c r="D939" s="197">
        <v>45296</v>
      </c>
      <c r="E939" s="32">
        <v>1</v>
      </c>
      <c r="F939" s="32">
        <v>2023</v>
      </c>
    </row>
    <row r="940" spans="1:6" hidden="1" x14ac:dyDescent="0.25">
      <c r="A940" s="197">
        <v>45296</v>
      </c>
      <c r="B940" s="32" t="s">
        <v>162</v>
      </c>
      <c r="C940" s="198">
        <f>15.76+4941.03+211.06+130.67</f>
        <v>5298.52</v>
      </c>
      <c r="D940" s="197">
        <v>45327</v>
      </c>
      <c r="E940" s="32">
        <v>1</v>
      </c>
      <c r="F940" s="32">
        <v>2024</v>
      </c>
    </row>
    <row r="941" spans="1:6" hidden="1" x14ac:dyDescent="0.25">
      <c r="A941" s="197">
        <v>45296</v>
      </c>
      <c r="B941" s="32" t="s">
        <v>161</v>
      </c>
      <c r="C941" s="198">
        <f>1253.95+14.08+16.83+2577.1</f>
        <v>3861.96</v>
      </c>
      <c r="D941" s="197">
        <v>45327</v>
      </c>
      <c r="E941" s="32">
        <v>1</v>
      </c>
      <c r="F941" s="32">
        <v>2024</v>
      </c>
    </row>
    <row r="942" spans="1:6" hidden="1" x14ac:dyDescent="0.25">
      <c r="A942" s="197">
        <v>45296</v>
      </c>
      <c r="B942" s="32" t="s">
        <v>704</v>
      </c>
      <c r="C942" s="198">
        <f>4436.28+83.13+4299.79</f>
        <v>8819.2000000000007</v>
      </c>
      <c r="D942" s="197">
        <v>45327</v>
      </c>
      <c r="E942" s="32">
        <v>1</v>
      </c>
      <c r="F942" s="32">
        <v>2024</v>
      </c>
    </row>
    <row r="943" spans="1:6" hidden="1" x14ac:dyDescent="0.25">
      <c r="A943" s="197">
        <v>45296</v>
      </c>
      <c r="B943" s="32" t="s">
        <v>705</v>
      </c>
      <c r="C943" s="198">
        <v>120</v>
      </c>
      <c r="D943" s="197">
        <v>45327</v>
      </c>
      <c r="E943" s="32">
        <v>1</v>
      </c>
      <c r="F943" s="32">
        <v>2024</v>
      </c>
    </row>
    <row r="944" spans="1:6" hidden="1" x14ac:dyDescent="0.25">
      <c r="A944" s="197">
        <v>45327</v>
      </c>
      <c r="B944" s="32" t="s">
        <v>162</v>
      </c>
      <c r="C944" s="198">
        <v>13119.38</v>
      </c>
      <c r="D944" s="197">
        <v>45356</v>
      </c>
      <c r="E944" s="32">
        <v>1</v>
      </c>
      <c r="F944" s="32">
        <v>2024</v>
      </c>
    </row>
    <row r="945" spans="1:28" hidden="1" x14ac:dyDescent="0.25">
      <c r="A945" s="197">
        <v>45327</v>
      </c>
      <c r="B945" s="32" t="s">
        <v>161</v>
      </c>
      <c r="C945" s="198">
        <f>2113.55+394.22+14.08+40.58</f>
        <v>2562.4300000000003</v>
      </c>
      <c r="D945" s="197">
        <v>45356</v>
      </c>
      <c r="E945" s="32">
        <v>1</v>
      </c>
      <c r="F945" s="32">
        <v>2024</v>
      </c>
    </row>
    <row r="946" spans="1:28" hidden="1" x14ac:dyDescent="0.25">
      <c r="A946" s="197">
        <v>45327</v>
      </c>
      <c r="B946" s="32" t="s">
        <v>704</v>
      </c>
      <c r="C946" s="198">
        <v>6416.69</v>
      </c>
      <c r="D946" s="197">
        <v>45356</v>
      </c>
      <c r="E946" s="32">
        <v>1</v>
      </c>
      <c r="F946" s="32">
        <v>2024</v>
      </c>
    </row>
    <row r="947" spans="1:28" hidden="1" x14ac:dyDescent="0.25">
      <c r="A947" s="197">
        <v>45327</v>
      </c>
      <c r="B947" s="32" t="s">
        <v>705</v>
      </c>
      <c r="C947" s="198">
        <v>0</v>
      </c>
      <c r="D947" s="197">
        <v>45356</v>
      </c>
      <c r="E947" s="32">
        <v>1</v>
      </c>
      <c r="F947" s="32">
        <v>2024</v>
      </c>
    </row>
    <row r="948" spans="1:28" hidden="1" x14ac:dyDescent="0.25">
      <c r="A948" s="197">
        <v>45356</v>
      </c>
      <c r="B948" s="32" t="s">
        <v>162</v>
      </c>
      <c r="C948" s="198">
        <v>9686.09</v>
      </c>
      <c r="D948" s="197">
        <v>45387</v>
      </c>
      <c r="E948" s="32">
        <v>1</v>
      </c>
      <c r="F948" s="32">
        <v>2024</v>
      </c>
    </row>
    <row r="949" spans="1:28" hidden="1" x14ac:dyDescent="0.25">
      <c r="A949" s="197">
        <v>45356</v>
      </c>
      <c r="B949" s="32" t="s">
        <v>161</v>
      </c>
      <c r="C949" s="198">
        <v>4795.16</v>
      </c>
      <c r="D949" s="197">
        <v>45387</v>
      </c>
      <c r="E949" s="32">
        <v>1</v>
      </c>
      <c r="F949" s="32">
        <v>2024</v>
      </c>
    </row>
    <row r="950" spans="1:28" hidden="1" x14ac:dyDescent="0.25">
      <c r="A950" s="197">
        <v>45356</v>
      </c>
      <c r="B950" s="32" t="s">
        <v>704</v>
      </c>
      <c r="C950" s="198">
        <v>9548.93</v>
      </c>
      <c r="D950" s="197">
        <v>45387</v>
      </c>
      <c r="E950" s="32">
        <v>1</v>
      </c>
      <c r="F950" s="32">
        <v>2024</v>
      </c>
    </row>
    <row r="951" spans="1:28" hidden="1" x14ac:dyDescent="0.25">
      <c r="A951" s="197">
        <v>45356</v>
      </c>
      <c r="B951" s="32" t="s">
        <v>705</v>
      </c>
      <c r="C951" s="198">
        <v>0</v>
      </c>
      <c r="D951" s="197">
        <v>45387</v>
      </c>
      <c r="E951" s="32">
        <v>1</v>
      </c>
      <c r="F951" s="32">
        <v>2024</v>
      </c>
      <c r="Y951" s="32"/>
      <c r="Z951" s="32"/>
      <c r="AA951" s="32"/>
      <c r="AB951" s="32"/>
    </row>
    <row r="952" spans="1:28" hidden="1" x14ac:dyDescent="0.25">
      <c r="A952" s="197">
        <v>45387</v>
      </c>
      <c r="B952" s="32" t="s">
        <v>162</v>
      </c>
      <c r="C952" s="198">
        <v>11569.26</v>
      </c>
      <c r="D952" s="197">
        <v>45417</v>
      </c>
      <c r="E952" s="32">
        <v>1</v>
      </c>
      <c r="F952" s="32">
        <v>2024</v>
      </c>
      <c r="Y952" s="32"/>
      <c r="Z952" s="32"/>
      <c r="AA952" s="32"/>
      <c r="AB952" s="32"/>
    </row>
    <row r="953" spans="1:28" hidden="1" x14ac:dyDescent="0.25">
      <c r="A953" s="197">
        <v>45387</v>
      </c>
      <c r="B953" s="32" t="s">
        <v>161</v>
      </c>
      <c r="C953" s="198">
        <v>8473.4</v>
      </c>
      <c r="D953" s="197">
        <v>45417</v>
      </c>
      <c r="E953" s="32">
        <v>1</v>
      </c>
      <c r="F953" s="32">
        <v>2024</v>
      </c>
      <c r="Y953" s="32"/>
      <c r="Z953" s="32"/>
      <c r="AA953" s="32"/>
      <c r="AB953" s="32"/>
    </row>
    <row r="954" spans="1:28" hidden="1" x14ac:dyDescent="0.25">
      <c r="A954" s="197">
        <v>45387</v>
      </c>
      <c r="B954" s="32" t="s">
        <v>704</v>
      </c>
      <c r="C954" s="198">
        <v>9837.77</v>
      </c>
      <c r="D954" s="197">
        <v>45417</v>
      </c>
      <c r="E954" s="32">
        <v>1</v>
      </c>
      <c r="F954" s="32">
        <v>2024</v>
      </c>
      <c r="Y954" s="32"/>
      <c r="Z954" s="32"/>
      <c r="AA954" s="32"/>
      <c r="AB954" s="32"/>
    </row>
    <row r="955" spans="1:28" hidden="1" x14ac:dyDescent="0.25">
      <c r="A955" s="197">
        <v>45387</v>
      </c>
      <c r="B955" s="32" t="s">
        <v>705</v>
      </c>
      <c r="C955" s="198">
        <v>0</v>
      </c>
      <c r="D955" s="197">
        <v>45417</v>
      </c>
      <c r="E955" s="32">
        <v>1</v>
      </c>
      <c r="F955" s="32">
        <v>2024</v>
      </c>
      <c r="Y955" s="32"/>
      <c r="Z955" s="32"/>
      <c r="AA955" s="32"/>
      <c r="AB955" s="32"/>
    </row>
    <row r="956" spans="1:28" hidden="1" x14ac:dyDescent="0.25">
      <c r="A956" s="197">
        <v>45417</v>
      </c>
      <c r="B956" s="32" t="s">
        <v>162</v>
      </c>
      <c r="C956" s="198">
        <v>7174.82</v>
      </c>
      <c r="D956" s="197">
        <v>45448</v>
      </c>
      <c r="E956" s="32">
        <v>1</v>
      </c>
      <c r="F956" s="32">
        <v>2024</v>
      </c>
      <c r="Y956" s="32"/>
      <c r="Z956" s="32"/>
      <c r="AA956" s="32"/>
      <c r="AB956" s="32"/>
    </row>
    <row r="957" spans="1:28" hidden="1" x14ac:dyDescent="0.25">
      <c r="A957" s="197">
        <v>45417</v>
      </c>
      <c r="B957" s="32" t="s">
        <v>161</v>
      </c>
      <c r="C957" s="198">
        <v>4066.02</v>
      </c>
      <c r="D957" s="197">
        <v>45448</v>
      </c>
      <c r="E957" s="32">
        <v>1</v>
      </c>
      <c r="F957" s="32">
        <v>2024</v>
      </c>
      <c r="Y957" s="32"/>
      <c r="Z957" s="32"/>
      <c r="AA957" s="32"/>
      <c r="AB957" s="32"/>
    </row>
    <row r="958" spans="1:28" hidden="1" x14ac:dyDescent="0.25">
      <c r="A958" s="197">
        <v>45417</v>
      </c>
      <c r="B958" s="32" t="s">
        <v>704</v>
      </c>
      <c r="C958" s="198">
        <v>9566.2800000000007</v>
      </c>
      <c r="D958" s="197">
        <v>45448</v>
      </c>
      <c r="E958" s="32">
        <v>1</v>
      </c>
      <c r="F958" s="32">
        <v>2024</v>
      </c>
      <c r="Y958" s="32"/>
      <c r="Z958" s="32"/>
      <c r="AA958" s="32"/>
      <c r="AB958" s="32"/>
    </row>
    <row r="959" spans="1:28" hidden="1" x14ac:dyDescent="0.25">
      <c r="A959" s="197">
        <v>45417</v>
      </c>
      <c r="B959" s="32" t="s">
        <v>705</v>
      </c>
      <c r="C959" s="198">
        <v>201.43</v>
      </c>
      <c r="D959" s="197">
        <v>45448</v>
      </c>
      <c r="E959" s="32">
        <v>1</v>
      </c>
      <c r="F959" s="32">
        <v>2024</v>
      </c>
      <c r="Y959" s="32"/>
      <c r="Z959" s="32"/>
      <c r="AA959" s="32"/>
      <c r="AB959" s="32"/>
    </row>
    <row r="960" spans="1:28" hidden="1" x14ac:dyDescent="0.25">
      <c r="A960" s="197">
        <v>45448</v>
      </c>
      <c r="B960" s="32" t="s">
        <v>162</v>
      </c>
      <c r="C960" s="198">
        <v>677.04</v>
      </c>
      <c r="D960" s="197">
        <v>45478</v>
      </c>
      <c r="E960" s="32">
        <v>1</v>
      </c>
      <c r="F960" s="32">
        <v>2024</v>
      </c>
      <c r="Y960" s="32"/>
      <c r="Z960" s="32"/>
      <c r="AA960" s="32"/>
      <c r="AB960" s="32"/>
    </row>
    <row r="961" spans="1:6" hidden="1" x14ac:dyDescent="0.25">
      <c r="A961" s="197">
        <v>45448</v>
      </c>
      <c r="B961" s="32" t="s">
        <v>161</v>
      </c>
      <c r="C961" s="198">
        <v>1543.15</v>
      </c>
      <c r="D961" s="197">
        <v>45478</v>
      </c>
      <c r="E961" s="32">
        <v>1</v>
      </c>
      <c r="F961" s="32">
        <v>2024</v>
      </c>
    </row>
    <row r="962" spans="1:6" hidden="1" x14ac:dyDescent="0.25">
      <c r="A962" s="197">
        <v>45448</v>
      </c>
      <c r="B962" s="32" t="s">
        <v>704</v>
      </c>
      <c r="C962" s="198">
        <v>1151.46</v>
      </c>
      <c r="D962" s="197">
        <v>45478</v>
      </c>
      <c r="E962" s="32">
        <v>1</v>
      </c>
      <c r="F962" s="32">
        <v>2024</v>
      </c>
    </row>
    <row r="963" spans="1:6" hidden="1" x14ac:dyDescent="0.25">
      <c r="A963" s="197">
        <v>45448</v>
      </c>
      <c r="B963" s="32" t="s">
        <v>705</v>
      </c>
      <c r="C963" s="198">
        <v>0</v>
      </c>
      <c r="D963" s="197">
        <v>45478</v>
      </c>
      <c r="E963" s="32">
        <v>1</v>
      </c>
      <c r="F963" s="32">
        <v>2024</v>
      </c>
    </row>
    <row r="964" spans="1:6" hidden="1" x14ac:dyDescent="0.25">
      <c r="A964" s="197">
        <v>45478</v>
      </c>
      <c r="B964" s="32" t="s">
        <v>162</v>
      </c>
      <c r="C964" s="198">
        <v>6751.9</v>
      </c>
      <c r="D964" s="197">
        <v>45509</v>
      </c>
      <c r="E964" s="32">
        <v>1</v>
      </c>
      <c r="F964" s="32">
        <v>2024</v>
      </c>
    </row>
    <row r="965" spans="1:6" hidden="1" x14ac:dyDescent="0.25">
      <c r="A965" s="197">
        <v>45478</v>
      </c>
      <c r="B965" s="32" t="s">
        <v>161</v>
      </c>
      <c r="C965" s="198">
        <v>8068.59</v>
      </c>
      <c r="D965" s="197">
        <v>45509</v>
      </c>
      <c r="E965" s="32">
        <v>1</v>
      </c>
      <c r="F965" s="32">
        <v>2024</v>
      </c>
    </row>
    <row r="966" spans="1:6" hidden="1" x14ac:dyDescent="0.25">
      <c r="A966" s="197">
        <v>45478</v>
      </c>
      <c r="B966" s="32" t="s">
        <v>704</v>
      </c>
      <c r="C966" s="198">
        <v>28964.69</v>
      </c>
      <c r="D966" s="197">
        <v>45509</v>
      </c>
      <c r="E966" s="32">
        <v>1</v>
      </c>
      <c r="F966" s="32">
        <v>2024</v>
      </c>
    </row>
    <row r="967" spans="1:6" hidden="1" x14ac:dyDescent="0.25">
      <c r="A967" s="197">
        <v>45478</v>
      </c>
      <c r="B967" s="32" t="s">
        <v>705</v>
      </c>
      <c r="C967" s="198">
        <v>248.12</v>
      </c>
      <c r="D967" s="197">
        <v>45509</v>
      </c>
      <c r="E967" s="32">
        <v>1</v>
      </c>
      <c r="F967" s="32">
        <v>2024</v>
      </c>
    </row>
    <row r="968" spans="1:6" hidden="1" x14ac:dyDescent="0.25">
      <c r="A968" s="197">
        <v>45509</v>
      </c>
      <c r="B968" s="32" t="s">
        <v>162</v>
      </c>
      <c r="C968" s="198">
        <v>4793.07</v>
      </c>
      <c r="D968" s="197">
        <v>45540</v>
      </c>
      <c r="E968" s="32">
        <v>1</v>
      </c>
      <c r="F968" s="32">
        <v>2024</v>
      </c>
    </row>
    <row r="969" spans="1:6" hidden="1" x14ac:dyDescent="0.25">
      <c r="A969" s="197">
        <v>45509</v>
      </c>
      <c r="B969" s="32" t="s">
        <v>161</v>
      </c>
      <c r="C969" s="198">
        <f>266.07+1606.81+252.8</f>
        <v>2125.6799999999998</v>
      </c>
      <c r="D969" s="197">
        <v>45540</v>
      </c>
      <c r="E969" s="32">
        <v>1</v>
      </c>
      <c r="F969" s="32">
        <v>2024</v>
      </c>
    </row>
    <row r="970" spans="1:6" hidden="1" x14ac:dyDescent="0.25">
      <c r="A970" s="197">
        <v>45509</v>
      </c>
      <c r="B970" s="32" t="s">
        <v>704</v>
      </c>
      <c r="C970" s="198">
        <f>6966.07+4080.28</f>
        <v>11046.35</v>
      </c>
      <c r="D970" s="197">
        <v>45540</v>
      </c>
      <c r="E970" s="32">
        <v>1</v>
      </c>
      <c r="F970" s="32">
        <v>2024</v>
      </c>
    </row>
    <row r="971" spans="1:6" hidden="1" x14ac:dyDescent="0.25">
      <c r="A971" s="197">
        <v>45509</v>
      </c>
      <c r="B971" s="32" t="s">
        <v>705</v>
      </c>
      <c r="C971" s="198">
        <v>850.9</v>
      </c>
      <c r="D971" s="197">
        <v>45540</v>
      </c>
      <c r="E971" s="32">
        <v>1</v>
      </c>
      <c r="F971" s="32">
        <v>2024</v>
      </c>
    </row>
    <row r="972" spans="1:6" hidden="1" x14ac:dyDescent="0.25">
      <c r="A972" s="197">
        <v>45509</v>
      </c>
      <c r="B972" s="32" t="s">
        <v>707</v>
      </c>
      <c r="C972" s="198">
        <v>0</v>
      </c>
      <c r="D972" s="197">
        <v>45540</v>
      </c>
      <c r="E972" s="32">
        <v>1</v>
      </c>
      <c r="F972" s="32">
        <v>2024</v>
      </c>
    </row>
    <row r="973" spans="1:6" hidden="1" x14ac:dyDescent="0.25">
      <c r="A973" s="197">
        <v>45540</v>
      </c>
      <c r="B973" s="32" t="s">
        <v>162</v>
      </c>
      <c r="C973" s="198">
        <f>157.77+8033.3+211.06+229.13</f>
        <v>8631.26</v>
      </c>
      <c r="D973" s="197">
        <v>45570</v>
      </c>
      <c r="E973" s="32">
        <v>1</v>
      </c>
      <c r="F973" s="32">
        <v>2024</v>
      </c>
    </row>
    <row r="974" spans="1:6" hidden="1" x14ac:dyDescent="0.25">
      <c r="A974" s="197">
        <v>45540</v>
      </c>
      <c r="B974" s="32" t="s">
        <v>161</v>
      </c>
      <c r="C974" s="198">
        <f>1844.66+222.66+157.9</f>
        <v>2225.2200000000003</v>
      </c>
      <c r="D974" s="197">
        <v>45570</v>
      </c>
      <c r="E974" s="32">
        <v>1</v>
      </c>
      <c r="F974" s="32">
        <v>2024</v>
      </c>
    </row>
    <row r="975" spans="1:6" hidden="1" x14ac:dyDescent="0.25">
      <c r="A975" s="197">
        <v>45540</v>
      </c>
      <c r="B975" s="32" t="s">
        <v>704</v>
      </c>
      <c r="C975" s="198">
        <f>4945.92+11306.97</f>
        <v>16252.89</v>
      </c>
      <c r="D975" s="197">
        <v>45570</v>
      </c>
      <c r="E975" s="32">
        <v>1</v>
      </c>
      <c r="F975" s="32">
        <v>2024</v>
      </c>
    </row>
    <row r="976" spans="1:6" hidden="1" x14ac:dyDescent="0.25">
      <c r="A976" s="197">
        <v>45540</v>
      </c>
      <c r="B976" s="32" t="s">
        <v>705</v>
      </c>
      <c r="C976" s="198">
        <f>392.54</f>
        <v>392.54</v>
      </c>
      <c r="D976" s="197">
        <v>45570</v>
      </c>
      <c r="E976" s="32">
        <v>1</v>
      </c>
      <c r="F976" s="32">
        <v>2024</v>
      </c>
    </row>
    <row r="977" spans="1:6" hidden="1" x14ac:dyDescent="0.25">
      <c r="A977" s="197">
        <v>45570</v>
      </c>
      <c r="B977" s="32" t="s">
        <v>162</v>
      </c>
      <c r="C977" s="198">
        <v>21011.54</v>
      </c>
      <c r="D977" s="197">
        <v>45601</v>
      </c>
      <c r="E977" s="32">
        <v>1</v>
      </c>
      <c r="F977" s="32">
        <v>2024</v>
      </c>
    </row>
    <row r="978" spans="1:6" hidden="1" x14ac:dyDescent="0.25">
      <c r="A978" s="197">
        <v>45570</v>
      </c>
      <c r="B978" s="32" t="s">
        <v>161</v>
      </c>
      <c r="C978" s="198">
        <v>3052.37</v>
      </c>
      <c r="D978" s="197">
        <v>45601</v>
      </c>
      <c r="E978" s="32">
        <v>1</v>
      </c>
      <c r="F978" s="32">
        <v>2024</v>
      </c>
    </row>
    <row r="979" spans="1:6" hidden="1" x14ac:dyDescent="0.25">
      <c r="A979" s="197">
        <v>45570</v>
      </c>
      <c r="B979" s="32" t="s">
        <v>704</v>
      </c>
      <c r="C979" s="198">
        <v>25348.65</v>
      </c>
      <c r="D979" s="197">
        <v>45601</v>
      </c>
      <c r="E979" s="32">
        <v>1</v>
      </c>
      <c r="F979" s="32">
        <v>2024</v>
      </c>
    </row>
    <row r="980" spans="1:6" hidden="1" x14ac:dyDescent="0.25">
      <c r="A980" s="197">
        <v>45570</v>
      </c>
      <c r="B980" s="32" t="s">
        <v>705</v>
      </c>
      <c r="C980" s="198">
        <v>582.42999999999995</v>
      </c>
      <c r="D980" s="197">
        <v>45601</v>
      </c>
      <c r="E980" s="32">
        <v>1</v>
      </c>
      <c r="F980" s="32">
        <v>2024</v>
      </c>
    </row>
    <row r="981" spans="1:6" hidden="1" x14ac:dyDescent="0.25">
      <c r="A981" s="197">
        <v>45601</v>
      </c>
      <c r="B981" s="32" t="s">
        <v>162</v>
      </c>
      <c r="C981" s="198">
        <v>4347.93</v>
      </c>
      <c r="D981" s="197">
        <v>45631</v>
      </c>
      <c r="E981" s="32">
        <v>1</v>
      </c>
      <c r="F981" s="32">
        <v>2024</v>
      </c>
    </row>
    <row r="982" spans="1:6" hidden="1" x14ac:dyDescent="0.25">
      <c r="A982" s="197">
        <v>45601</v>
      </c>
      <c r="B982" s="32" t="s">
        <v>161</v>
      </c>
      <c r="C982" s="198">
        <f>134.54+888.86+5228.54</f>
        <v>6251.94</v>
      </c>
      <c r="D982" s="197">
        <v>45631</v>
      </c>
      <c r="E982" s="32">
        <v>1</v>
      </c>
      <c r="F982" s="32">
        <v>2024</v>
      </c>
    </row>
    <row r="983" spans="1:6" hidden="1" x14ac:dyDescent="0.25">
      <c r="A983" s="197">
        <v>45601</v>
      </c>
      <c r="B983" s="32" t="s">
        <v>704</v>
      </c>
      <c r="C983" s="198">
        <f>-111.22+555.77</f>
        <v>444.54999999999995</v>
      </c>
      <c r="D983" s="197">
        <v>45631</v>
      </c>
      <c r="E983" s="32">
        <v>1</v>
      </c>
      <c r="F983" s="32">
        <v>2024</v>
      </c>
    </row>
    <row r="984" spans="1:6" hidden="1" x14ac:dyDescent="0.25">
      <c r="A984" s="197">
        <v>45601</v>
      </c>
      <c r="B984" s="32" t="s">
        <v>705</v>
      </c>
      <c r="C984" s="198">
        <v>0</v>
      </c>
      <c r="D984" s="197">
        <v>45631</v>
      </c>
      <c r="E984" s="32">
        <v>1</v>
      </c>
      <c r="F984" s="32">
        <v>2024</v>
      </c>
    </row>
    <row r="985" spans="1:6" hidden="1" x14ac:dyDescent="0.25">
      <c r="A985" s="197">
        <v>45631</v>
      </c>
      <c r="B985" s="32" t="s">
        <v>162</v>
      </c>
      <c r="C985" s="198">
        <f>4995.4+79.37</f>
        <v>5074.7699999999995</v>
      </c>
      <c r="D985" s="197">
        <v>45662</v>
      </c>
      <c r="E985" s="32">
        <v>1</v>
      </c>
      <c r="F985" s="32">
        <v>2025</v>
      </c>
    </row>
    <row r="986" spans="1:6" hidden="1" x14ac:dyDescent="0.25">
      <c r="A986" s="197">
        <v>45631</v>
      </c>
      <c r="B986" s="32" t="s">
        <v>161</v>
      </c>
      <c r="C986" s="198">
        <f>3304.49+6040.4+681.24</f>
        <v>10026.129999999999</v>
      </c>
      <c r="D986" s="197">
        <v>45662</v>
      </c>
      <c r="E986" s="32">
        <v>1</v>
      </c>
      <c r="F986" s="32">
        <v>2025</v>
      </c>
    </row>
    <row r="987" spans="1:6" hidden="1" x14ac:dyDescent="0.25">
      <c r="A987" s="197">
        <v>45631</v>
      </c>
      <c r="B987" s="32" t="s">
        <v>704</v>
      </c>
      <c r="C987" s="198">
        <f>434.46+1210.9</f>
        <v>1645.3600000000001</v>
      </c>
      <c r="D987" s="197">
        <v>45662</v>
      </c>
      <c r="E987" s="32">
        <v>1</v>
      </c>
      <c r="F987" s="32">
        <v>2025</v>
      </c>
    </row>
    <row r="988" spans="1:6" hidden="1" x14ac:dyDescent="0.25">
      <c r="A988" s="197">
        <v>45631</v>
      </c>
      <c r="B988" s="32" t="s">
        <v>705</v>
      </c>
      <c r="C988" s="198">
        <v>83.7</v>
      </c>
      <c r="D988" s="197">
        <v>45662</v>
      </c>
      <c r="E988" s="32">
        <v>1</v>
      </c>
      <c r="F988" s="32">
        <v>2025</v>
      </c>
    </row>
    <row r="989" spans="1:6" hidden="1" x14ac:dyDescent="0.25">
      <c r="A989" s="197">
        <v>45662</v>
      </c>
      <c r="B989" s="32" t="s">
        <v>161</v>
      </c>
      <c r="C989" s="198">
        <f>12.74+3415.58+663.61</f>
        <v>4091.93</v>
      </c>
      <c r="D989" s="197">
        <v>45693</v>
      </c>
      <c r="E989" s="32">
        <v>1</v>
      </c>
      <c r="F989" s="32">
        <v>2025</v>
      </c>
    </row>
    <row r="990" spans="1:6" hidden="1" x14ac:dyDescent="0.25">
      <c r="A990" s="197">
        <v>45662</v>
      </c>
      <c r="B990" s="32" t="s">
        <v>704</v>
      </c>
      <c r="C990" s="198">
        <f>3334.94+16199.98</f>
        <v>19534.919999999998</v>
      </c>
      <c r="D990" s="197">
        <v>45693</v>
      </c>
      <c r="E990" s="32">
        <v>1</v>
      </c>
      <c r="F990" s="32">
        <v>2025</v>
      </c>
    </row>
    <row r="991" spans="1:6" hidden="1" x14ac:dyDescent="0.25">
      <c r="A991" s="197">
        <v>45662</v>
      </c>
      <c r="B991" s="32" t="s">
        <v>162</v>
      </c>
      <c r="C991" s="198">
        <f>4163.55+13779.4+215.6</f>
        <v>18158.55</v>
      </c>
      <c r="D991" s="197">
        <v>45693</v>
      </c>
      <c r="E991" s="32">
        <v>1</v>
      </c>
      <c r="F991" s="32">
        <v>2025</v>
      </c>
    </row>
    <row r="992" spans="1:6" hidden="1" x14ac:dyDescent="0.25">
      <c r="A992" s="197">
        <v>45692</v>
      </c>
      <c r="B992" s="32" t="s">
        <v>161</v>
      </c>
      <c r="C992" s="198">
        <f>3087.21+344.62+1021.41</f>
        <v>4453.24</v>
      </c>
      <c r="D992" s="197">
        <v>45721</v>
      </c>
      <c r="E992" s="32">
        <v>1</v>
      </c>
      <c r="F992" s="32">
        <v>2025</v>
      </c>
    </row>
    <row r="993" spans="1:6" hidden="1" x14ac:dyDescent="0.25">
      <c r="A993" s="197">
        <v>45692</v>
      </c>
      <c r="B993" s="32" t="s">
        <v>704</v>
      </c>
      <c r="C993" s="198">
        <f>352.94+24208.04</f>
        <v>24560.98</v>
      </c>
      <c r="D993" s="197">
        <v>45721</v>
      </c>
      <c r="E993" s="32">
        <v>1</v>
      </c>
      <c r="F993" s="32">
        <v>2025</v>
      </c>
    </row>
    <row r="994" spans="1:6" hidden="1" x14ac:dyDescent="0.25">
      <c r="A994" s="197">
        <v>45692</v>
      </c>
      <c r="B994" s="32" t="s">
        <v>162</v>
      </c>
      <c r="C994" s="198">
        <f>18.18+8930.52+169.05</f>
        <v>9117.75</v>
      </c>
      <c r="D994" s="197">
        <v>45721</v>
      </c>
      <c r="E994" s="32">
        <v>1</v>
      </c>
      <c r="F994" s="32">
        <v>2025</v>
      </c>
    </row>
    <row r="995" spans="1:6" hidden="1" x14ac:dyDescent="0.25">
      <c r="A995" s="197">
        <v>45692</v>
      </c>
      <c r="B995" s="32" t="s">
        <v>705</v>
      </c>
      <c r="C995" s="198">
        <v>151.59</v>
      </c>
      <c r="D995" s="197">
        <v>45721</v>
      </c>
      <c r="E995" s="32">
        <v>1</v>
      </c>
      <c r="F995" s="32">
        <v>2025</v>
      </c>
    </row>
    <row r="996" spans="1:6" hidden="1" x14ac:dyDescent="0.25">
      <c r="A996" s="197">
        <v>45720</v>
      </c>
      <c r="B996" s="32" t="s">
        <v>161</v>
      </c>
      <c r="C996" s="198">
        <f>6844.76+274.1+374.1</f>
        <v>7492.9600000000009</v>
      </c>
      <c r="D996" s="197">
        <v>45752</v>
      </c>
      <c r="E996" s="32">
        <v>1</v>
      </c>
      <c r="F996" s="32">
        <v>2025</v>
      </c>
    </row>
    <row r="997" spans="1:6" hidden="1" x14ac:dyDescent="0.25">
      <c r="A997" s="197">
        <v>45720</v>
      </c>
      <c r="B997" s="32" t="s">
        <v>704</v>
      </c>
      <c r="C997" s="198">
        <f>3888.14+3182.78</f>
        <v>7070.92</v>
      </c>
      <c r="D997" s="197">
        <v>45752</v>
      </c>
      <c r="E997" s="32">
        <v>1</v>
      </c>
      <c r="F997" s="32">
        <v>2025</v>
      </c>
    </row>
    <row r="998" spans="1:6" hidden="1" x14ac:dyDescent="0.25">
      <c r="A998" s="197">
        <v>45720</v>
      </c>
      <c r="B998" s="32" t="s">
        <v>162</v>
      </c>
      <c r="C998" s="198">
        <f>165.64+5154.43+166.6</f>
        <v>5486.670000000001</v>
      </c>
      <c r="D998" s="197">
        <v>45752</v>
      </c>
      <c r="E998" s="32">
        <v>1</v>
      </c>
      <c r="F998" s="32">
        <v>2025</v>
      </c>
    </row>
    <row r="999" spans="1:6" hidden="1" x14ac:dyDescent="0.25">
      <c r="A999" s="197">
        <v>45720</v>
      </c>
      <c r="B999" s="32" t="s">
        <v>705</v>
      </c>
      <c r="C999" s="198">
        <v>176.76</v>
      </c>
      <c r="D999" s="197">
        <v>45752</v>
      </c>
      <c r="E999" s="32">
        <v>1</v>
      </c>
      <c r="F999" s="32">
        <v>2025</v>
      </c>
    </row>
    <row r="1000" spans="1:6" hidden="1" x14ac:dyDescent="0.25">
      <c r="A1000" s="197">
        <v>45752</v>
      </c>
      <c r="B1000" s="32" t="s">
        <v>161</v>
      </c>
      <c r="C1000" s="198">
        <f>352.98+4445.74+250.9</f>
        <v>5049.619999999999</v>
      </c>
      <c r="D1000" s="197">
        <v>45782</v>
      </c>
      <c r="E1000" s="32">
        <v>1</v>
      </c>
      <c r="F1000" s="32">
        <v>2025</v>
      </c>
    </row>
    <row r="1001" spans="1:6" hidden="1" x14ac:dyDescent="0.25">
      <c r="A1001" s="197">
        <v>45752</v>
      </c>
      <c r="B1001" s="32" t="s">
        <v>704</v>
      </c>
      <c r="C1001" s="198">
        <f>676.8+15392.75</f>
        <v>16069.55</v>
      </c>
      <c r="D1001" s="197">
        <v>45782</v>
      </c>
      <c r="E1001" s="32">
        <v>1</v>
      </c>
      <c r="F1001" s="32">
        <v>2025</v>
      </c>
    </row>
    <row r="1002" spans="1:6" hidden="1" x14ac:dyDescent="0.25">
      <c r="A1002" s="197">
        <v>45752</v>
      </c>
      <c r="B1002" s="32" t="s">
        <v>162</v>
      </c>
      <c r="C1002" s="198">
        <v>8112.66</v>
      </c>
      <c r="D1002" s="197">
        <v>45782</v>
      </c>
      <c r="E1002" s="32">
        <v>1</v>
      </c>
      <c r="F1002" s="32">
        <v>2025</v>
      </c>
    </row>
    <row r="1003" spans="1:6" hidden="1" x14ac:dyDescent="0.25">
      <c r="A1003" s="197">
        <v>45752</v>
      </c>
      <c r="B1003" s="32" t="s">
        <v>705</v>
      </c>
      <c r="C1003" s="198">
        <v>70.47</v>
      </c>
      <c r="D1003" s="197">
        <v>45782</v>
      </c>
      <c r="E1003" s="32">
        <v>1</v>
      </c>
      <c r="F1003" s="32">
        <v>2025</v>
      </c>
    </row>
    <row r="1004" spans="1:6" hidden="1" x14ac:dyDescent="0.25">
      <c r="A1004" s="197">
        <v>45782</v>
      </c>
      <c r="B1004" s="32" t="s">
        <v>161</v>
      </c>
      <c r="C1004" s="198">
        <f>2874.02+512.41+117.63</f>
        <v>3504.06</v>
      </c>
      <c r="D1004" s="197">
        <v>45813</v>
      </c>
      <c r="E1004" s="32">
        <v>1</v>
      </c>
      <c r="F1004" s="32">
        <v>2025</v>
      </c>
    </row>
    <row r="1005" spans="1:6" hidden="1" x14ac:dyDescent="0.25">
      <c r="A1005" s="197">
        <v>45782</v>
      </c>
      <c r="B1005" s="32" t="s">
        <v>704</v>
      </c>
      <c r="C1005" s="198">
        <f>901.03+23649.83</f>
        <v>24550.86</v>
      </c>
      <c r="D1005" s="197">
        <v>45813</v>
      </c>
      <c r="E1005" s="32">
        <v>1</v>
      </c>
      <c r="F1005" s="32">
        <v>2025</v>
      </c>
    </row>
    <row r="1006" spans="1:6" hidden="1" x14ac:dyDescent="0.25">
      <c r="A1006" s="197">
        <v>45782</v>
      </c>
      <c r="B1006" s="32" t="s">
        <v>162</v>
      </c>
      <c r="C1006" s="198">
        <f>452.46+13860.57+36.26</f>
        <v>14349.289999999999</v>
      </c>
      <c r="D1006" s="197">
        <v>45813</v>
      </c>
      <c r="E1006" s="32">
        <v>1</v>
      </c>
      <c r="F1006" s="32">
        <v>2025</v>
      </c>
    </row>
    <row r="1007" spans="1:6" hidden="1" x14ac:dyDescent="0.25">
      <c r="A1007" s="197">
        <v>45813</v>
      </c>
      <c r="B1007" s="32" t="s">
        <v>161</v>
      </c>
      <c r="C1007" s="198">
        <f>393.68+3340.53+4414.41</f>
        <v>8148.62</v>
      </c>
      <c r="D1007" s="197">
        <v>45843</v>
      </c>
      <c r="E1007" s="32">
        <v>1</v>
      </c>
      <c r="F1007" s="32">
        <v>2025</v>
      </c>
    </row>
    <row r="1008" spans="1:6" hidden="1" x14ac:dyDescent="0.25">
      <c r="A1008" s="197">
        <v>45813</v>
      </c>
      <c r="B1008" s="32" t="s">
        <v>704</v>
      </c>
      <c r="C1008" s="198">
        <f>951.57+13632.01</f>
        <v>14583.58</v>
      </c>
      <c r="D1008" s="197">
        <v>45843</v>
      </c>
      <c r="E1008" s="32">
        <v>1</v>
      </c>
      <c r="F1008" s="32">
        <v>2025</v>
      </c>
    </row>
    <row r="1009" spans="1:6" hidden="1" x14ac:dyDescent="0.25">
      <c r="A1009" s="197">
        <v>45813</v>
      </c>
      <c r="B1009" s="32" t="s">
        <v>162</v>
      </c>
      <c r="C1009" s="198">
        <f>18518.86</f>
        <v>18518.86</v>
      </c>
      <c r="D1009" s="197">
        <v>45843</v>
      </c>
      <c r="E1009" s="32">
        <v>1</v>
      </c>
      <c r="F1009" s="32">
        <v>2025</v>
      </c>
    </row>
    <row r="1010" spans="1:6" hidden="1" x14ac:dyDescent="0.25">
      <c r="A1010" s="197">
        <v>45843</v>
      </c>
      <c r="B1010" s="32" t="s">
        <v>161</v>
      </c>
      <c r="C1010" s="198">
        <f>205+2767.73</f>
        <v>2972.73</v>
      </c>
      <c r="D1010" s="197">
        <v>45874</v>
      </c>
      <c r="E1010" s="32">
        <v>1</v>
      </c>
      <c r="F1010" s="32">
        <v>2025</v>
      </c>
    </row>
    <row r="1011" spans="1:6" hidden="1" x14ac:dyDescent="0.25">
      <c r="A1011" s="197">
        <v>45843</v>
      </c>
      <c r="B1011" s="32" t="s">
        <v>704</v>
      </c>
      <c r="C1011" s="198">
        <f>623.69+7156.42</f>
        <v>7780.1100000000006</v>
      </c>
      <c r="D1011" s="197">
        <v>45874</v>
      </c>
      <c r="E1011" s="32">
        <v>1</v>
      </c>
      <c r="F1011" s="32">
        <v>2025</v>
      </c>
    </row>
    <row r="1012" spans="1:6" hidden="1" x14ac:dyDescent="0.25">
      <c r="A1012" s="197">
        <v>45843</v>
      </c>
      <c r="B1012" s="32" t="s">
        <v>162</v>
      </c>
      <c r="C1012" s="198">
        <f>635.61+5629.33</f>
        <v>6264.94</v>
      </c>
      <c r="D1012" s="197">
        <v>45874</v>
      </c>
      <c r="E1012" s="32">
        <v>1</v>
      </c>
      <c r="F1012" s="32">
        <v>2025</v>
      </c>
    </row>
    <row r="1013" spans="1:6" hidden="1" x14ac:dyDescent="0.25">
      <c r="A1013" s="197">
        <v>45874</v>
      </c>
      <c r="B1013" s="32" t="s">
        <v>161</v>
      </c>
      <c r="C1013" s="198">
        <f>1440.43+756.13</f>
        <v>2196.56</v>
      </c>
      <c r="D1013" s="197">
        <v>45905</v>
      </c>
      <c r="E1013" s="32">
        <v>1</v>
      </c>
      <c r="F1013" s="32">
        <v>2025</v>
      </c>
    </row>
    <row r="1014" spans="1:6" hidden="1" x14ac:dyDescent="0.25">
      <c r="A1014" s="197">
        <v>45874</v>
      </c>
      <c r="B1014" s="32" t="s">
        <v>704</v>
      </c>
      <c r="C1014" s="198">
        <f>6254.95+875.97</f>
        <v>7130.92</v>
      </c>
      <c r="D1014" s="197">
        <v>45905</v>
      </c>
      <c r="E1014" s="32">
        <v>1</v>
      </c>
      <c r="F1014" s="32">
        <v>2025</v>
      </c>
    </row>
    <row r="1015" spans="1:6" hidden="1" x14ac:dyDescent="0.25">
      <c r="A1015" s="197">
        <v>45874</v>
      </c>
      <c r="B1015" s="32" t="s">
        <v>162</v>
      </c>
      <c r="C1015" s="198">
        <f>1217.06+7359.87</f>
        <v>8576.93</v>
      </c>
      <c r="D1015" s="197">
        <v>45905</v>
      </c>
      <c r="E1015" s="32">
        <v>1</v>
      </c>
      <c r="F1015" s="32">
        <v>2025</v>
      </c>
    </row>
    <row r="1016" spans="1:6" hidden="1" x14ac:dyDescent="0.25">
      <c r="A1016" s="197">
        <v>45905</v>
      </c>
      <c r="B1016" s="32" t="s">
        <v>161</v>
      </c>
      <c r="C1016" s="198">
        <f>2932.73+381.61</f>
        <v>3314.34</v>
      </c>
      <c r="D1016" s="197">
        <v>45935</v>
      </c>
      <c r="E1016" s="32">
        <v>1</v>
      </c>
      <c r="F1016" s="32">
        <v>2025</v>
      </c>
    </row>
    <row r="1017" spans="1:6" hidden="1" x14ac:dyDescent="0.25">
      <c r="A1017" s="197">
        <v>45905</v>
      </c>
      <c r="B1017" s="32" t="s">
        <v>704</v>
      </c>
      <c r="C1017" s="198">
        <f>4605.9+10194.08</f>
        <v>14799.98</v>
      </c>
      <c r="D1017" s="197">
        <v>45935</v>
      </c>
      <c r="E1017" s="32">
        <v>1</v>
      </c>
      <c r="F1017" s="32">
        <v>2025</v>
      </c>
    </row>
    <row r="1018" spans="1:6" hidden="1" x14ac:dyDescent="0.25">
      <c r="A1018" s="197">
        <v>45905</v>
      </c>
      <c r="B1018" s="32" t="s">
        <v>162</v>
      </c>
      <c r="C1018" s="198">
        <f>12161.44+2166.16</f>
        <v>14327.6</v>
      </c>
      <c r="D1018" s="197">
        <v>45935</v>
      </c>
      <c r="E1018" s="32">
        <v>1</v>
      </c>
      <c r="F1018" s="32">
        <v>2025</v>
      </c>
    </row>
    <row r="1019" spans="1:6" hidden="1" x14ac:dyDescent="0.25">
      <c r="A1019" s="197">
        <v>45935</v>
      </c>
      <c r="B1019" s="32" t="s">
        <v>161</v>
      </c>
      <c r="C1019" s="198">
        <f>2869.7+281.65+26.99</f>
        <v>3178.3399999999997</v>
      </c>
      <c r="D1019" s="197">
        <v>45966</v>
      </c>
      <c r="E1019" s="32">
        <v>1</v>
      </c>
      <c r="F1019" s="32">
        <v>2025</v>
      </c>
    </row>
    <row r="1020" spans="1:6" hidden="1" x14ac:dyDescent="0.25">
      <c r="A1020" s="197">
        <v>45935</v>
      </c>
      <c r="B1020" s="32" t="s">
        <v>704</v>
      </c>
      <c r="C1020" s="198">
        <f>686.6+9285.71</f>
        <v>9972.31</v>
      </c>
      <c r="D1020" s="197">
        <v>45966</v>
      </c>
      <c r="E1020" s="32">
        <v>1</v>
      </c>
      <c r="F1020" s="32">
        <v>2025</v>
      </c>
    </row>
    <row r="1021" spans="1:6" hidden="1" x14ac:dyDescent="0.25">
      <c r="A1021" s="197">
        <v>45935</v>
      </c>
      <c r="B1021" s="32" t="s">
        <v>162</v>
      </c>
      <c r="C1021" s="198">
        <f>5234.89+635.61</f>
        <v>5870.5</v>
      </c>
      <c r="D1021" s="197">
        <v>45966</v>
      </c>
      <c r="E1021" s="32">
        <v>1</v>
      </c>
      <c r="F1021" s="32">
        <v>2025</v>
      </c>
    </row>
    <row r="1022" spans="1:6" hidden="1" x14ac:dyDescent="0.25">
      <c r="A1022" s="197">
        <v>45966</v>
      </c>
      <c r="B1022" s="32" t="s">
        <v>161</v>
      </c>
      <c r="C1022" s="198">
        <f>145.91+7302.18</f>
        <v>7448.09</v>
      </c>
      <c r="D1022" s="197">
        <v>45996</v>
      </c>
      <c r="E1022" s="32">
        <v>1</v>
      </c>
      <c r="F1022" s="32">
        <v>2025</v>
      </c>
    </row>
    <row r="1023" spans="1:6" hidden="1" x14ac:dyDescent="0.25">
      <c r="A1023" s="197">
        <v>45966</v>
      </c>
      <c r="B1023" s="32" t="s">
        <v>704</v>
      </c>
      <c r="C1023" s="198">
        <f>89.04+5036.63</f>
        <v>5125.67</v>
      </c>
      <c r="D1023" s="197">
        <v>45996</v>
      </c>
      <c r="E1023" s="32">
        <v>1</v>
      </c>
      <c r="F1023" s="32">
        <v>2025</v>
      </c>
    </row>
    <row r="1024" spans="1:6" hidden="1" x14ac:dyDescent="0.25">
      <c r="A1024" s="197">
        <v>45966</v>
      </c>
      <c r="B1024" s="32" t="s">
        <v>162</v>
      </c>
      <c r="C1024" s="198">
        <v>11664.54</v>
      </c>
      <c r="D1024" s="197">
        <v>45996</v>
      </c>
      <c r="E1024" s="32">
        <v>1</v>
      </c>
      <c r="F1024" s="32">
        <v>2025</v>
      </c>
    </row>
    <row r="1025" spans="1:6" hidden="1" x14ac:dyDescent="0.25">
      <c r="A1025" s="197">
        <v>45996</v>
      </c>
      <c r="B1025" s="32" t="s">
        <v>161</v>
      </c>
      <c r="C1025" s="198">
        <f>111.48+123.2+6040.22</f>
        <v>6274.9000000000005</v>
      </c>
      <c r="D1025" s="197">
        <v>46027</v>
      </c>
      <c r="E1025" s="32">
        <v>1</v>
      </c>
      <c r="F1025" s="32">
        <v>2026</v>
      </c>
    </row>
    <row r="1026" spans="1:6" hidden="1" x14ac:dyDescent="0.25">
      <c r="A1026" s="197">
        <v>45996</v>
      </c>
      <c r="B1026" s="32" t="s">
        <v>704</v>
      </c>
      <c r="C1026" s="198">
        <f>623.28+10646.2</f>
        <v>11269.480000000001</v>
      </c>
      <c r="D1026" s="197">
        <v>46027</v>
      </c>
      <c r="E1026" s="32">
        <v>1</v>
      </c>
      <c r="F1026" s="32">
        <v>2026</v>
      </c>
    </row>
    <row r="1027" spans="1:6" hidden="1" x14ac:dyDescent="0.25">
      <c r="A1027" s="197">
        <v>45996</v>
      </c>
      <c r="B1027" s="32" t="s">
        <v>162</v>
      </c>
      <c r="C1027" s="198">
        <f>257.49+18336.82</f>
        <v>18594.310000000001</v>
      </c>
      <c r="D1027" s="197">
        <v>46027</v>
      </c>
      <c r="E1027" s="32">
        <v>1</v>
      </c>
      <c r="F1027" s="32">
        <v>2026</v>
      </c>
    </row>
    <row r="1028" spans="1:6" x14ac:dyDescent="0.25">
      <c r="A1028" s="197">
        <v>46027</v>
      </c>
      <c r="B1028" s="32" t="s">
        <v>161</v>
      </c>
      <c r="C1028" s="198">
        <f>223.64+3945.8+253.943</f>
        <v>4423.3830000000007</v>
      </c>
      <c r="D1028" s="197">
        <v>46058</v>
      </c>
      <c r="E1028" s="32">
        <v>1</v>
      </c>
      <c r="F1028" s="32">
        <v>2026</v>
      </c>
    </row>
    <row r="1029" spans="1:6" x14ac:dyDescent="0.25">
      <c r="A1029" s="197">
        <v>46027</v>
      </c>
      <c r="B1029" s="32" t="s">
        <v>704</v>
      </c>
      <c r="C1029" s="198">
        <f>1056.96+411.23</f>
        <v>1468.19</v>
      </c>
      <c r="D1029" s="197">
        <v>46058</v>
      </c>
      <c r="E1029" s="32">
        <v>1</v>
      </c>
      <c r="F1029" s="32">
        <v>2026</v>
      </c>
    </row>
    <row r="1030" spans="1:6" x14ac:dyDescent="0.25">
      <c r="A1030" s="197">
        <v>46027</v>
      </c>
      <c r="B1030" s="32" t="s">
        <v>162</v>
      </c>
      <c r="C1030" s="198">
        <f>53.55+16541.23</f>
        <v>16594.78</v>
      </c>
      <c r="D1030" s="197">
        <v>46058</v>
      </c>
      <c r="E1030" s="32">
        <v>1</v>
      </c>
      <c r="F1030" s="32">
        <v>2026</v>
      </c>
    </row>
    <row r="1031" spans="1:6" x14ac:dyDescent="0.25">
      <c r="A1031" s="197">
        <v>46058</v>
      </c>
      <c r="B1031" s="32" t="s">
        <v>161</v>
      </c>
      <c r="C1031" s="198">
        <f>28.16+1204.26+3272.02</f>
        <v>4504.4400000000005</v>
      </c>
      <c r="D1031" s="197">
        <v>46086</v>
      </c>
      <c r="E1031" s="32">
        <v>1</v>
      </c>
      <c r="F1031" s="32">
        <v>2026</v>
      </c>
    </row>
    <row r="1032" spans="1:6" x14ac:dyDescent="0.25">
      <c r="A1032" s="197">
        <v>46058</v>
      </c>
      <c r="B1032" s="32" t="s">
        <v>704</v>
      </c>
      <c r="C1032" s="198">
        <f>10792.63+8628.02</f>
        <v>19420.650000000001</v>
      </c>
      <c r="D1032" s="197">
        <v>46086</v>
      </c>
      <c r="E1032" s="32">
        <v>1</v>
      </c>
      <c r="F1032" s="32">
        <v>2026</v>
      </c>
    </row>
    <row r="1033" spans="1:6" x14ac:dyDescent="0.25">
      <c r="A1033" s="197">
        <v>46058</v>
      </c>
      <c r="B1033" s="32" t="s">
        <v>162</v>
      </c>
      <c r="C1033" s="198">
        <f>30776.53</f>
        <v>30776.53</v>
      </c>
      <c r="D1033" s="197">
        <v>46086</v>
      </c>
      <c r="E1033" s="32">
        <v>1</v>
      </c>
      <c r="F1033" s="32">
        <v>2026</v>
      </c>
    </row>
    <row r="1034" spans="1:6" x14ac:dyDescent="0.25">
      <c r="A1034" s="197">
        <v>46086</v>
      </c>
      <c r="B1034" s="32" t="s">
        <v>161</v>
      </c>
      <c r="C1034" s="198">
        <f>217.56+4711.64+52.66</f>
        <v>4981.8600000000006</v>
      </c>
      <c r="D1034" s="197">
        <v>46117</v>
      </c>
      <c r="E1034" s="32">
        <v>1</v>
      </c>
      <c r="F1034" s="32">
        <v>2026</v>
      </c>
    </row>
    <row r="1035" spans="1:6" x14ac:dyDescent="0.25">
      <c r="A1035" s="197">
        <v>46086</v>
      </c>
      <c r="B1035" s="32" t="s">
        <v>704</v>
      </c>
      <c r="C1035" s="198">
        <f>243.16+965.8+9132.04</f>
        <v>10341</v>
      </c>
      <c r="D1035" s="197">
        <v>46117</v>
      </c>
      <c r="E1035" s="32">
        <v>1</v>
      </c>
      <c r="F1035" s="32">
        <v>2026</v>
      </c>
    </row>
    <row r="1036" spans="1:6" x14ac:dyDescent="0.25">
      <c r="A1036" s="197">
        <v>46086</v>
      </c>
      <c r="B1036" s="32" t="s">
        <v>162</v>
      </c>
      <c r="C1036" s="198">
        <f>3453.55+20144.12</f>
        <v>23597.67</v>
      </c>
      <c r="D1036" s="197">
        <v>46117</v>
      </c>
      <c r="E1036" s="32">
        <v>1</v>
      </c>
      <c r="F1036" s="32">
        <v>2026</v>
      </c>
    </row>
    <row r="1037" spans="1:6" x14ac:dyDescent="0.25">
      <c r="A1037" s="197">
        <v>46117</v>
      </c>
      <c r="B1037" s="32" t="s">
        <v>161</v>
      </c>
      <c r="C1037" s="198">
        <f>161.96+638.02+9807.27</f>
        <v>10607.25</v>
      </c>
      <c r="D1037" s="197">
        <v>46147</v>
      </c>
      <c r="E1037" s="32">
        <v>1</v>
      </c>
      <c r="F1037" s="32">
        <v>2026</v>
      </c>
    </row>
    <row r="1038" spans="1:6" x14ac:dyDescent="0.25">
      <c r="A1038" s="197">
        <v>46117</v>
      </c>
      <c r="B1038" s="32" t="s">
        <v>704</v>
      </c>
      <c r="C1038" s="198">
        <f>3111.79+5882.93+2492.74</f>
        <v>11487.460000000001</v>
      </c>
      <c r="D1038" s="197">
        <v>46147</v>
      </c>
      <c r="E1038" s="32">
        <v>1</v>
      </c>
      <c r="F1038" s="32">
        <v>2026</v>
      </c>
    </row>
    <row r="1039" spans="1:6" x14ac:dyDescent="0.25">
      <c r="A1039" s="197">
        <v>46117</v>
      </c>
      <c r="B1039" s="32" t="s">
        <v>162</v>
      </c>
      <c r="C1039" s="198">
        <v>10496.66</v>
      </c>
      <c r="D1039" s="197">
        <v>46147</v>
      </c>
      <c r="E1039" s="32">
        <v>1</v>
      </c>
      <c r="F1039" s="32">
        <v>2026</v>
      </c>
    </row>
  </sheetData>
  <mergeCells count="2">
    <mergeCell ref="AA894:AC894"/>
    <mergeCell ref="Z887:Z890"/>
  </mergeCells>
  <pageMargins left="0.511811024" right="0.511811024" top="0.78740157499999996" bottom="0.78740157499999996" header="0.31496062000000002" footer="0.31496062000000002"/>
  <drawing r:id="rId8"/>
  <tableParts count="1">
    <tablePart r:id="rId9"/>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AX473"/>
  <sheetViews>
    <sheetView topLeftCell="A440" workbookViewId="0">
      <selection activeCell="E447" sqref="E447"/>
    </sheetView>
  </sheetViews>
  <sheetFormatPr defaultRowHeight="15" x14ac:dyDescent="0.25"/>
  <cols>
    <col min="1" max="1" width="16.5703125" bestFit="1" customWidth="1"/>
    <col min="2" max="2" width="17" bestFit="1" customWidth="1"/>
    <col min="3" max="3" width="11.28515625" bestFit="1" customWidth="1"/>
    <col min="4" max="4" width="11.85546875" bestFit="1" customWidth="1"/>
    <col min="5" max="6" width="80.85546875" bestFit="1" customWidth="1"/>
    <col min="7" max="7" width="67.28515625" bestFit="1" customWidth="1"/>
    <col min="8" max="8" width="12" bestFit="1" customWidth="1"/>
    <col min="9" max="9" width="26.7109375" bestFit="1" customWidth="1"/>
    <col min="10" max="10" width="80.85546875" bestFit="1" customWidth="1"/>
    <col min="11" max="11" width="40.7109375" bestFit="1" customWidth="1"/>
    <col min="12" max="12" width="18.7109375" bestFit="1" customWidth="1"/>
    <col min="13" max="13" width="39.85546875" bestFit="1" customWidth="1"/>
    <col min="14" max="14" width="17" bestFit="1" customWidth="1"/>
    <col min="15" max="15" width="30.140625" bestFit="1" customWidth="1"/>
    <col min="16" max="16" width="21" bestFit="1" customWidth="1"/>
    <col min="17" max="17" width="24" bestFit="1" customWidth="1"/>
    <col min="18" max="18" width="9.140625" bestFit="1" customWidth="1"/>
    <col min="19" max="19" width="23.140625" bestFit="1" customWidth="1"/>
    <col min="20" max="20" width="18" bestFit="1" customWidth="1"/>
    <col min="21" max="21" width="20" bestFit="1" customWidth="1"/>
    <col min="22" max="22" width="59.7109375" bestFit="1" customWidth="1"/>
    <col min="23" max="23" width="16.28515625" bestFit="1" customWidth="1"/>
    <col min="24" max="24" width="30.140625" bestFit="1" customWidth="1"/>
    <col min="25" max="25" width="31.85546875" bestFit="1" customWidth="1"/>
    <col min="26" max="26" width="28.28515625" bestFit="1" customWidth="1"/>
    <col min="27" max="27" width="12" bestFit="1" customWidth="1"/>
    <col min="28" max="28" width="14" bestFit="1" customWidth="1"/>
    <col min="29" max="29" width="25.7109375" bestFit="1" customWidth="1"/>
    <col min="30" max="30" width="16.5703125" bestFit="1" customWidth="1"/>
    <col min="31" max="31" width="16.42578125" bestFit="1" customWidth="1"/>
    <col min="32" max="32" width="16.5703125" bestFit="1" customWidth="1"/>
    <col min="33" max="33" width="15.7109375" bestFit="1" customWidth="1"/>
    <col min="34" max="34" width="8.5703125" bestFit="1" customWidth="1"/>
    <col min="35" max="35" width="21" bestFit="1" customWidth="1"/>
    <col min="36" max="36" width="21.140625" bestFit="1" customWidth="1"/>
    <col min="37" max="37" width="30" bestFit="1" customWidth="1"/>
    <col min="38" max="38" width="80.85546875" bestFit="1" customWidth="1"/>
    <col min="39" max="39" width="19.7109375" bestFit="1" customWidth="1"/>
    <col min="40" max="40" width="15.28515625" bestFit="1" customWidth="1"/>
    <col min="41" max="41" width="17.28515625" bestFit="1" customWidth="1"/>
    <col min="42" max="43" width="19.7109375" bestFit="1" customWidth="1"/>
    <col min="44" max="44" width="16.5703125" bestFit="1" customWidth="1"/>
    <col min="45" max="45" width="13.85546875" bestFit="1" customWidth="1"/>
    <col min="46" max="46" width="8.140625" bestFit="1" customWidth="1"/>
    <col min="47" max="47" width="33.85546875" bestFit="1" customWidth="1"/>
    <col min="48" max="48" width="11.85546875" bestFit="1" customWidth="1"/>
    <col min="49" max="49" width="16.7109375" bestFit="1" customWidth="1"/>
    <col min="50" max="50" width="7.7109375" bestFit="1" customWidth="1"/>
  </cols>
  <sheetData>
    <row r="1" spans="1:50" x14ac:dyDescent="0.25">
      <c r="A1" s="62" t="s">
        <v>212</v>
      </c>
      <c r="B1" t="s">
        <v>731</v>
      </c>
      <c r="C1" t="s">
        <v>732</v>
      </c>
      <c r="D1" t="s">
        <v>733</v>
      </c>
      <c r="E1" s="62" t="s">
        <v>734</v>
      </c>
      <c r="F1" t="s">
        <v>735</v>
      </c>
      <c r="G1" s="62" t="s">
        <v>736</v>
      </c>
      <c r="H1" t="s">
        <v>40</v>
      </c>
      <c r="I1" t="s">
        <v>737</v>
      </c>
      <c r="J1" t="s">
        <v>738</v>
      </c>
      <c r="K1" t="s">
        <v>739</v>
      </c>
      <c r="L1" t="s">
        <v>740</v>
      </c>
      <c r="M1" t="s">
        <v>741</v>
      </c>
      <c r="N1" t="s">
        <v>742</v>
      </c>
      <c r="O1" t="s">
        <v>743</v>
      </c>
      <c r="P1" t="s">
        <v>744</v>
      </c>
      <c r="Q1" t="s">
        <v>745</v>
      </c>
      <c r="R1" t="s">
        <v>746</v>
      </c>
      <c r="S1" t="s">
        <v>747</v>
      </c>
      <c r="T1" t="s">
        <v>748</v>
      </c>
      <c r="U1" t="s">
        <v>749</v>
      </c>
      <c r="V1" s="62" t="s">
        <v>750</v>
      </c>
      <c r="W1" t="s">
        <v>751</v>
      </c>
      <c r="X1" t="s">
        <v>752</v>
      </c>
      <c r="Y1" t="s">
        <v>753</v>
      </c>
      <c r="Z1" s="62" t="s">
        <v>754</v>
      </c>
      <c r="AA1" t="s">
        <v>755</v>
      </c>
      <c r="AB1" t="s">
        <v>756</v>
      </c>
      <c r="AC1" t="s">
        <v>757</v>
      </c>
      <c r="AD1" t="s">
        <v>758</v>
      </c>
      <c r="AE1" s="62" t="s">
        <v>759</v>
      </c>
      <c r="AF1" t="s">
        <v>760</v>
      </c>
      <c r="AG1" t="s">
        <v>761</v>
      </c>
      <c r="AH1" s="62" t="s">
        <v>762</v>
      </c>
      <c r="AI1" t="s">
        <v>763</v>
      </c>
      <c r="AJ1" t="s">
        <v>764</v>
      </c>
      <c r="AK1" t="s">
        <v>765</v>
      </c>
      <c r="AL1" t="s">
        <v>766</v>
      </c>
      <c r="AM1" t="s">
        <v>767</v>
      </c>
      <c r="AN1" s="62" t="s">
        <v>249</v>
      </c>
      <c r="AO1" t="s">
        <v>768</v>
      </c>
      <c r="AP1" s="62" t="s">
        <v>214</v>
      </c>
      <c r="AQ1" t="s">
        <v>769</v>
      </c>
      <c r="AR1" s="62" t="s">
        <v>770</v>
      </c>
      <c r="AS1" t="s">
        <v>260</v>
      </c>
      <c r="AT1" t="s">
        <v>258</v>
      </c>
      <c r="AU1" t="s">
        <v>771</v>
      </c>
      <c r="AV1" t="s">
        <v>257</v>
      </c>
      <c r="AW1" t="s">
        <v>772</v>
      </c>
      <c r="AX1" t="s">
        <v>773</v>
      </c>
    </row>
    <row r="2" spans="1:50" x14ac:dyDescent="0.25">
      <c r="A2" t="s">
        <v>22</v>
      </c>
      <c r="B2">
        <v>87</v>
      </c>
      <c r="D2">
        <v>548</v>
      </c>
      <c r="G2" t="s">
        <v>774</v>
      </c>
      <c r="J2" t="s">
        <v>775</v>
      </c>
      <c r="K2" t="s">
        <v>776</v>
      </c>
      <c r="M2" t="s">
        <v>777</v>
      </c>
      <c r="P2" t="s">
        <v>778</v>
      </c>
      <c r="V2" t="s">
        <v>779</v>
      </c>
      <c r="W2" t="s">
        <v>780</v>
      </c>
      <c r="X2" t="s">
        <v>781</v>
      </c>
      <c r="Z2" s="31"/>
      <c r="AA2">
        <v>0</v>
      </c>
      <c r="AB2">
        <v>27562</v>
      </c>
      <c r="AC2">
        <v>450</v>
      </c>
      <c r="AD2" t="s">
        <v>22</v>
      </c>
      <c r="AE2" s="31">
        <v>45622</v>
      </c>
      <c r="AF2" s="61">
        <v>0.72627314814814814</v>
      </c>
      <c r="AH2" t="s">
        <v>782</v>
      </c>
      <c r="AI2" s="31"/>
      <c r="AJ2" s="61"/>
      <c r="AO2" t="s">
        <v>22</v>
      </c>
      <c r="AR2" s="31"/>
      <c r="AX2">
        <v>1</v>
      </c>
    </row>
    <row r="3" spans="1:50" x14ac:dyDescent="0.25">
      <c r="A3" t="s">
        <v>44</v>
      </c>
      <c r="B3">
        <v>88</v>
      </c>
      <c r="D3">
        <v>269</v>
      </c>
      <c r="F3" t="s">
        <v>783</v>
      </c>
      <c r="G3" t="s">
        <v>784</v>
      </c>
      <c r="H3">
        <v>24870219000100</v>
      </c>
      <c r="J3" t="s">
        <v>785</v>
      </c>
      <c r="K3" t="s">
        <v>786</v>
      </c>
      <c r="M3" t="s">
        <v>787</v>
      </c>
      <c r="O3" t="s">
        <v>788</v>
      </c>
      <c r="P3" t="s">
        <v>778</v>
      </c>
      <c r="Q3" t="s">
        <v>789</v>
      </c>
      <c r="R3" t="s">
        <v>790</v>
      </c>
      <c r="S3" t="s">
        <v>791</v>
      </c>
      <c r="V3" t="s">
        <v>792</v>
      </c>
      <c r="W3" t="s">
        <v>780</v>
      </c>
      <c r="X3" t="s">
        <v>793</v>
      </c>
      <c r="Z3" s="31"/>
      <c r="AC3">
        <v>55</v>
      </c>
      <c r="AD3" t="s">
        <v>794</v>
      </c>
      <c r="AE3" s="31">
        <v>45623</v>
      </c>
      <c r="AF3" s="61">
        <v>0.60320601851851852</v>
      </c>
      <c r="AH3" t="s">
        <v>795</v>
      </c>
      <c r="AI3" s="31">
        <v>45678</v>
      </c>
      <c r="AJ3" s="61">
        <v>0.49710648148148151</v>
      </c>
      <c r="AK3" t="s">
        <v>796</v>
      </c>
      <c r="AL3" t="s">
        <v>797</v>
      </c>
      <c r="AM3" t="s">
        <v>798</v>
      </c>
      <c r="AN3" t="s">
        <v>799</v>
      </c>
      <c r="AO3" t="s">
        <v>794</v>
      </c>
      <c r="AP3" t="s">
        <v>798</v>
      </c>
      <c r="AR3" s="31"/>
      <c r="AX3">
        <v>1</v>
      </c>
    </row>
    <row r="4" spans="1:50" x14ac:dyDescent="0.25">
      <c r="A4" t="s">
        <v>22</v>
      </c>
      <c r="B4">
        <v>89</v>
      </c>
      <c r="D4">
        <v>439</v>
      </c>
      <c r="E4" t="s">
        <v>800</v>
      </c>
      <c r="G4" t="s">
        <v>801</v>
      </c>
      <c r="H4">
        <v>51921277000198</v>
      </c>
      <c r="J4" t="s">
        <v>802</v>
      </c>
      <c r="K4" t="s">
        <v>803</v>
      </c>
      <c r="M4" t="s">
        <v>804</v>
      </c>
      <c r="P4" t="s">
        <v>778</v>
      </c>
      <c r="S4" t="s">
        <v>805</v>
      </c>
      <c r="V4" t="s">
        <v>806</v>
      </c>
      <c r="W4" t="s">
        <v>780</v>
      </c>
      <c r="X4" t="s">
        <v>807</v>
      </c>
      <c r="Z4" s="31"/>
      <c r="AC4">
        <v>63</v>
      </c>
      <c r="AD4" t="s">
        <v>594</v>
      </c>
      <c r="AE4" s="31">
        <v>45623</v>
      </c>
      <c r="AF4" s="61">
        <v>0.6035300925925926</v>
      </c>
      <c r="AH4" t="s">
        <v>795</v>
      </c>
      <c r="AI4" s="31">
        <v>45686</v>
      </c>
      <c r="AJ4" s="61">
        <v>4.445601851851852E-2</v>
      </c>
      <c r="AK4" t="s">
        <v>808</v>
      </c>
      <c r="AM4" t="s">
        <v>798</v>
      </c>
      <c r="AO4" t="s">
        <v>594</v>
      </c>
      <c r="AR4" s="31"/>
      <c r="AX4">
        <v>1</v>
      </c>
    </row>
    <row r="5" spans="1:50" x14ac:dyDescent="0.25">
      <c r="A5" t="s">
        <v>44</v>
      </c>
      <c r="B5">
        <v>90</v>
      </c>
      <c r="D5">
        <v>372</v>
      </c>
      <c r="E5" t="s">
        <v>809</v>
      </c>
      <c r="G5" t="s">
        <v>810</v>
      </c>
      <c r="H5">
        <v>1740627000575</v>
      </c>
      <c r="J5" t="s">
        <v>811</v>
      </c>
      <c r="K5" t="s">
        <v>812</v>
      </c>
      <c r="M5" t="s">
        <v>813</v>
      </c>
      <c r="P5" t="s">
        <v>778</v>
      </c>
      <c r="S5" t="s">
        <v>814</v>
      </c>
      <c r="V5" t="s">
        <v>815</v>
      </c>
      <c r="W5" t="s">
        <v>780</v>
      </c>
      <c r="X5" t="s">
        <v>816</v>
      </c>
      <c r="Y5" t="s">
        <v>817</v>
      </c>
      <c r="Z5" s="31"/>
      <c r="AA5">
        <v>14416</v>
      </c>
      <c r="AB5">
        <v>18072</v>
      </c>
      <c r="AC5">
        <v>266</v>
      </c>
      <c r="AD5" t="s">
        <v>594</v>
      </c>
      <c r="AE5" s="31">
        <v>45623</v>
      </c>
      <c r="AF5" s="61">
        <v>0.64762731481481484</v>
      </c>
      <c r="AH5" t="s">
        <v>818</v>
      </c>
      <c r="AI5" s="31">
        <v>45889</v>
      </c>
      <c r="AJ5" s="61">
        <v>0.4010185185185185</v>
      </c>
      <c r="AM5" t="s">
        <v>819</v>
      </c>
      <c r="AN5" t="s">
        <v>820</v>
      </c>
      <c r="AO5" t="s">
        <v>594</v>
      </c>
      <c r="AP5" t="s">
        <v>821</v>
      </c>
      <c r="AQ5" t="s">
        <v>820</v>
      </c>
      <c r="AR5" s="31"/>
      <c r="AX5">
        <v>1</v>
      </c>
    </row>
    <row r="6" spans="1:50" x14ac:dyDescent="0.25">
      <c r="A6" t="s">
        <v>44</v>
      </c>
      <c r="B6">
        <v>91</v>
      </c>
      <c r="D6">
        <v>502</v>
      </c>
      <c r="E6" t="s">
        <v>822</v>
      </c>
      <c r="G6" t="s">
        <v>823</v>
      </c>
      <c r="H6">
        <v>8196258000117</v>
      </c>
      <c r="J6" t="s">
        <v>824</v>
      </c>
      <c r="K6" t="s">
        <v>825</v>
      </c>
      <c r="M6" t="s">
        <v>826</v>
      </c>
      <c r="P6" t="s">
        <v>778</v>
      </c>
      <c r="S6" t="s">
        <v>814</v>
      </c>
      <c r="V6" t="s">
        <v>827</v>
      </c>
      <c r="W6" t="s">
        <v>780</v>
      </c>
      <c r="X6" t="s">
        <v>793</v>
      </c>
      <c r="Z6" s="31"/>
      <c r="AC6">
        <v>55</v>
      </c>
      <c r="AD6" t="s">
        <v>594</v>
      </c>
      <c r="AE6" s="31">
        <v>45623</v>
      </c>
      <c r="AF6" s="61">
        <v>0.64908564814814818</v>
      </c>
      <c r="AH6" t="s">
        <v>795</v>
      </c>
      <c r="AI6" s="31">
        <v>45678</v>
      </c>
      <c r="AJ6" s="61">
        <v>0.49982638888888892</v>
      </c>
      <c r="AK6" t="s">
        <v>796</v>
      </c>
      <c r="AL6" t="s">
        <v>797</v>
      </c>
      <c r="AM6" t="s">
        <v>828</v>
      </c>
      <c r="AN6" t="s">
        <v>829</v>
      </c>
      <c r="AO6" t="s">
        <v>594</v>
      </c>
      <c r="AP6" t="s">
        <v>830</v>
      </c>
      <c r="AR6" s="31"/>
      <c r="AX6">
        <v>1</v>
      </c>
    </row>
    <row r="7" spans="1:50" x14ac:dyDescent="0.25">
      <c r="A7" t="s">
        <v>44</v>
      </c>
      <c r="B7">
        <v>92</v>
      </c>
      <c r="D7">
        <v>360</v>
      </c>
      <c r="E7" t="s">
        <v>831</v>
      </c>
      <c r="F7" t="s">
        <v>832</v>
      </c>
      <c r="G7" t="s">
        <v>833</v>
      </c>
      <c r="H7">
        <v>32364538000171</v>
      </c>
      <c r="J7" t="s">
        <v>834</v>
      </c>
      <c r="K7" t="s">
        <v>835</v>
      </c>
      <c r="M7" t="s">
        <v>836</v>
      </c>
      <c r="P7" t="s">
        <v>778</v>
      </c>
      <c r="Q7" t="s">
        <v>837</v>
      </c>
      <c r="R7" t="s">
        <v>790</v>
      </c>
      <c r="S7" t="s">
        <v>805</v>
      </c>
      <c r="V7" t="s">
        <v>838</v>
      </c>
      <c r="W7" t="s">
        <v>780</v>
      </c>
      <c r="X7" t="s">
        <v>807</v>
      </c>
      <c r="Z7" s="31"/>
      <c r="AA7">
        <v>2496</v>
      </c>
      <c r="AC7">
        <v>62</v>
      </c>
      <c r="AD7" t="s">
        <v>594</v>
      </c>
      <c r="AE7" s="31">
        <v>45623</v>
      </c>
      <c r="AF7" s="61">
        <v>0.6508680555555556</v>
      </c>
      <c r="AH7" t="s">
        <v>795</v>
      </c>
      <c r="AI7" s="31">
        <v>45685</v>
      </c>
      <c r="AJ7" s="61">
        <v>0.64828703703703705</v>
      </c>
      <c r="AK7" t="s">
        <v>796</v>
      </c>
      <c r="AL7" t="s">
        <v>839</v>
      </c>
      <c r="AM7" t="s">
        <v>840</v>
      </c>
      <c r="AN7" t="s">
        <v>841</v>
      </c>
      <c r="AO7" t="s">
        <v>594</v>
      </c>
      <c r="AP7" t="s">
        <v>821</v>
      </c>
      <c r="AR7" s="31"/>
      <c r="AX7">
        <v>1</v>
      </c>
    </row>
    <row r="8" spans="1:50" x14ac:dyDescent="0.25">
      <c r="A8" t="s">
        <v>22</v>
      </c>
      <c r="B8">
        <v>93</v>
      </c>
      <c r="D8">
        <v>598</v>
      </c>
      <c r="E8" t="s">
        <v>842</v>
      </c>
      <c r="G8" t="s">
        <v>843</v>
      </c>
      <c r="H8">
        <v>3375396000492</v>
      </c>
      <c r="J8" t="s">
        <v>844</v>
      </c>
      <c r="K8" t="s">
        <v>845</v>
      </c>
      <c r="M8" t="s">
        <v>846</v>
      </c>
      <c r="P8" t="s">
        <v>778</v>
      </c>
      <c r="Q8" t="s">
        <v>847</v>
      </c>
      <c r="R8" t="s">
        <v>848</v>
      </c>
      <c r="S8" t="s">
        <v>791</v>
      </c>
      <c r="V8" t="s">
        <v>849</v>
      </c>
      <c r="W8" t="s">
        <v>780</v>
      </c>
      <c r="X8" t="s">
        <v>807</v>
      </c>
      <c r="Z8" s="31"/>
      <c r="AA8">
        <v>0</v>
      </c>
      <c r="AB8">
        <v>0</v>
      </c>
      <c r="AC8">
        <v>61</v>
      </c>
      <c r="AD8" t="s">
        <v>22</v>
      </c>
      <c r="AE8" s="31">
        <v>45624</v>
      </c>
      <c r="AF8" s="61">
        <v>0.36658564814814809</v>
      </c>
      <c r="AH8" t="s">
        <v>795</v>
      </c>
      <c r="AI8" s="31">
        <v>45685</v>
      </c>
      <c r="AJ8" s="61">
        <v>0.69954861111111111</v>
      </c>
      <c r="AK8" t="s">
        <v>796</v>
      </c>
      <c r="AL8" t="s">
        <v>850</v>
      </c>
      <c r="AO8" t="s">
        <v>22</v>
      </c>
      <c r="AR8" s="31"/>
      <c r="AX8">
        <v>1</v>
      </c>
    </row>
    <row r="9" spans="1:50" x14ac:dyDescent="0.25">
      <c r="A9" t="s">
        <v>44</v>
      </c>
      <c r="B9">
        <v>94</v>
      </c>
      <c r="D9">
        <v>378</v>
      </c>
      <c r="F9" t="s">
        <v>851</v>
      </c>
      <c r="G9" t="s">
        <v>852</v>
      </c>
      <c r="H9">
        <v>11650898000160</v>
      </c>
      <c r="J9" t="s">
        <v>853</v>
      </c>
      <c r="K9" t="s">
        <v>854</v>
      </c>
      <c r="M9" t="s">
        <v>855</v>
      </c>
      <c r="O9" t="s">
        <v>856</v>
      </c>
      <c r="P9" t="s">
        <v>778</v>
      </c>
      <c r="S9" t="s">
        <v>791</v>
      </c>
      <c r="V9" t="s">
        <v>792</v>
      </c>
      <c r="W9" t="s">
        <v>780</v>
      </c>
      <c r="X9" t="s">
        <v>857</v>
      </c>
      <c r="Z9" s="31"/>
      <c r="AA9">
        <v>0</v>
      </c>
      <c r="AB9">
        <v>0</v>
      </c>
      <c r="AC9">
        <v>61</v>
      </c>
      <c r="AD9" t="s">
        <v>794</v>
      </c>
      <c r="AE9" s="31">
        <v>45624</v>
      </c>
      <c r="AF9" s="61">
        <v>0.62634259259259262</v>
      </c>
      <c r="AH9" t="s">
        <v>795</v>
      </c>
      <c r="AI9" s="31">
        <v>45685</v>
      </c>
      <c r="AJ9" s="61">
        <v>0.58120370370370367</v>
      </c>
      <c r="AK9" t="s">
        <v>858</v>
      </c>
      <c r="AL9" t="s">
        <v>859</v>
      </c>
      <c r="AM9" t="s">
        <v>860</v>
      </c>
      <c r="AO9" t="s">
        <v>794</v>
      </c>
      <c r="AR9" s="31"/>
      <c r="AX9">
        <v>1</v>
      </c>
    </row>
    <row r="10" spans="1:50" x14ac:dyDescent="0.25">
      <c r="A10" t="s">
        <v>22</v>
      </c>
      <c r="B10">
        <v>95</v>
      </c>
      <c r="D10">
        <v>778</v>
      </c>
      <c r="E10" t="s">
        <v>861</v>
      </c>
      <c r="G10" t="s">
        <v>862</v>
      </c>
      <c r="H10">
        <v>15211327000180</v>
      </c>
      <c r="J10" t="s">
        <v>863</v>
      </c>
      <c r="K10" t="s">
        <v>864</v>
      </c>
      <c r="M10" t="s">
        <v>865</v>
      </c>
      <c r="P10" t="s">
        <v>778</v>
      </c>
      <c r="S10" t="s">
        <v>791</v>
      </c>
      <c r="V10" t="s">
        <v>866</v>
      </c>
      <c r="W10" t="s">
        <v>780</v>
      </c>
      <c r="X10" t="s">
        <v>793</v>
      </c>
      <c r="Z10" s="31"/>
      <c r="AC10">
        <v>39</v>
      </c>
      <c r="AD10" t="s">
        <v>22</v>
      </c>
      <c r="AE10" s="31">
        <v>45625</v>
      </c>
      <c r="AF10" s="61">
        <v>0.58859953703703705</v>
      </c>
      <c r="AH10" t="s">
        <v>795</v>
      </c>
      <c r="AI10" s="31">
        <v>45664</v>
      </c>
      <c r="AJ10" s="61">
        <v>0.70936342592592594</v>
      </c>
      <c r="AK10" t="s">
        <v>867</v>
      </c>
      <c r="AO10" t="s">
        <v>594</v>
      </c>
      <c r="AP10" t="s">
        <v>868</v>
      </c>
      <c r="AR10" s="31"/>
      <c r="AX10">
        <v>1</v>
      </c>
    </row>
    <row r="11" spans="1:50" x14ac:dyDescent="0.25">
      <c r="A11" t="s">
        <v>44</v>
      </c>
      <c r="B11">
        <v>96</v>
      </c>
      <c r="C11">
        <v>155</v>
      </c>
      <c r="D11">
        <v>812</v>
      </c>
      <c r="G11" t="s">
        <v>869</v>
      </c>
      <c r="H11">
        <v>13609763000186</v>
      </c>
      <c r="I11" t="s">
        <v>870</v>
      </c>
      <c r="J11" t="s">
        <v>870</v>
      </c>
      <c r="K11" t="s">
        <v>871</v>
      </c>
      <c r="M11" t="s">
        <v>872</v>
      </c>
      <c r="P11" t="s">
        <v>778</v>
      </c>
      <c r="Q11" t="s">
        <v>873</v>
      </c>
      <c r="R11" t="s">
        <v>874</v>
      </c>
      <c r="S11" t="s">
        <v>791</v>
      </c>
      <c r="V11" t="s">
        <v>875</v>
      </c>
      <c r="W11" t="s">
        <v>780</v>
      </c>
      <c r="X11" t="s">
        <v>816</v>
      </c>
      <c r="Y11" t="s">
        <v>817</v>
      </c>
      <c r="Z11" s="31">
        <v>45688</v>
      </c>
      <c r="AA11">
        <v>8479884</v>
      </c>
      <c r="AB11">
        <v>630984</v>
      </c>
      <c r="AC11">
        <v>62</v>
      </c>
      <c r="AD11" t="s">
        <v>22</v>
      </c>
      <c r="AE11" s="31">
        <v>45627</v>
      </c>
      <c r="AF11" s="61">
        <v>0.85458333333333336</v>
      </c>
      <c r="AH11" t="s">
        <v>818</v>
      </c>
      <c r="AI11" s="31">
        <v>45689</v>
      </c>
      <c r="AJ11" s="61">
        <v>6.9525462962962969E-2</v>
      </c>
      <c r="AN11" t="s">
        <v>876</v>
      </c>
      <c r="AO11" t="s">
        <v>44</v>
      </c>
      <c r="AP11" t="s">
        <v>876</v>
      </c>
      <c r="AR11" s="31"/>
      <c r="AX11">
        <v>1</v>
      </c>
    </row>
    <row r="12" spans="1:50" x14ac:dyDescent="0.25">
      <c r="A12" t="s">
        <v>44</v>
      </c>
      <c r="B12">
        <v>97</v>
      </c>
      <c r="C12">
        <v>155</v>
      </c>
      <c r="D12">
        <v>813</v>
      </c>
      <c r="G12" t="s">
        <v>877</v>
      </c>
      <c r="H12">
        <v>13609763000186</v>
      </c>
      <c r="I12" t="s">
        <v>870</v>
      </c>
      <c r="J12" t="s">
        <v>878</v>
      </c>
      <c r="K12" t="s">
        <v>879</v>
      </c>
      <c r="M12" t="s">
        <v>872</v>
      </c>
      <c r="P12" t="s">
        <v>778</v>
      </c>
      <c r="Q12" t="s">
        <v>873</v>
      </c>
      <c r="R12" t="s">
        <v>874</v>
      </c>
      <c r="V12" t="s">
        <v>880</v>
      </c>
      <c r="W12" t="s">
        <v>780</v>
      </c>
      <c r="X12" t="s">
        <v>807</v>
      </c>
      <c r="Z12" s="31"/>
      <c r="AC12">
        <v>82</v>
      </c>
      <c r="AD12" t="s">
        <v>22</v>
      </c>
      <c r="AE12" s="31">
        <v>45627</v>
      </c>
      <c r="AF12" s="61">
        <v>0.8545949074074074</v>
      </c>
      <c r="AH12" t="s">
        <v>795</v>
      </c>
      <c r="AI12" s="31">
        <v>45709</v>
      </c>
      <c r="AJ12" s="61">
        <v>0.5092592592592593</v>
      </c>
      <c r="AK12" t="s">
        <v>858</v>
      </c>
      <c r="AL12" t="s">
        <v>881</v>
      </c>
      <c r="AN12" t="s">
        <v>876</v>
      </c>
      <c r="AP12" t="s">
        <v>876</v>
      </c>
      <c r="AR12" s="31"/>
      <c r="AX12">
        <v>1</v>
      </c>
    </row>
    <row r="13" spans="1:50" x14ac:dyDescent="0.25">
      <c r="A13" t="s">
        <v>44</v>
      </c>
      <c r="B13">
        <v>98</v>
      </c>
      <c r="C13">
        <v>156</v>
      </c>
      <c r="D13">
        <v>816</v>
      </c>
      <c r="G13" t="s">
        <v>882</v>
      </c>
      <c r="H13">
        <v>3921447000272</v>
      </c>
      <c r="I13" t="s">
        <v>627</v>
      </c>
      <c r="J13" t="s">
        <v>883</v>
      </c>
      <c r="K13" t="s">
        <v>884</v>
      </c>
      <c r="M13" t="s">
        <v>885</v>
      </c>
      <c r="P13" t="s">
        <v>778</v>
      </c>
      <c r="Q13" t="s">
        <v>886</v>
      </c>
      <c r="R13" t="s">
        <v>790</v>
      </c>
      <c r="V13" t="s">
        <v>887</v>
      </c>
      <c r="W13" t="s">
        <v>780</v>
      </c>
      <c r="X13" t="s">
        <v>816</v>
      </c>
      <c r="Z13" s="31"/>
      <c r="AA13">
        <v>532332</v>
      </c>
      <c r="AB13">
        <v>292918</v>
      </c>
      <c r="AC13">
        <v>110</v>
      </c>
      <c r="AD13" t="s">
        <v>22</v>
      </c>
      <c r="AE13" s="31">
        <v>45627</v>
      </c>
      <c r="AF13" s="61">
        <v>0.8545949074074074</v>
      </c>
      <c r="AH13" t="s">
        <v>818</v>
      </c>
      <c r="AI13" s="31">
        <v>45737</v>
      </c>
      <c r="AJ13" s="61">
        <v>0.45113425925925932</v>
      </c>
      <c r="AN13" t="s">
        <v>888</v>
      </c>
      <c r="AP13" t="s">
        <v>889</v>
      </c>
      <c r="AQ13" t="s">
        <v>890</v>
      </c>
      <c r="AR13" s="31"/>
      <c r="AX13">
        <v>1</v>
      </c>
    </row>
    <row r="14" spans="1:50" x14ac:dyDescent="0.25">
      <c r="A14" t="s">
        <v>44</v>
      </c>
      <c r="B14">
        <v>99</v>
      </c>
      <c r="C14">
        <v>157</v>
      </c>
      <c r="D14">
        <v>818</v>
      </c>
      <c r="G14" t="s">
        <v>891</v>
      </c>
      <c r="H14">
        <v>55773964000164</v>
      </c>
      <c r="I14" t="s">
        <v>892</v>
      </c>
      <c r="J14" t="s">
        <v>844</v>
      </c>
      <c r="K14" t="s">
        <v>893</v>
      </c>
      <c r="M14" t="s">
        <v>894</v>
      </c>
      <c r="P14" t="s">
        <v>778</v>
      </c>
      <c r="Q14" t="s">
        <v>895</v>
      </c>
      <c r="R14" t="s">
        <v>790</v>
      </c>
      <c r="V14" t="s">
        <v>896</v>
      </c>
      <c r="W14" t="s">
        <v>780</v>
      </c>
      <c r="X14" t="s">
        <v>897</v>
      </c>
      <c r="Z14" s="31"/>
      <c r="AC14">
        <v>11</v>
      </c>
      <c r="AD14" t="s">
        <v>22</v>
      </c>
      <c r="AE14" s="31">
        <v>45627</v>
      </c>
      <c r="AF14" s="61">
        <v>0.8545949074074074</v>
      </c>
      <c r="AH14" t="s">
        <v>795</v>
      </c>
      <c r="AI14" s="31">
        <v>45638</v>
      </c>
      <c r="AJ14" s="61">
        <v>0.41818287037037039</v>
      </c>
      <c r="AK14" t="s">
        <v>898</v>
      </c>
      <c r="AL14" t="s">
        <v>899</v>
      </c>
      <c r="AR14" s="31"/>
      <c r="AX14">
        <v>1</v>
      </c>
    </row>
    <row r="15" spans="1:50" x14ac:dyDescent="0.25">
      <c r="A15" t="s">
        <v>44</v>
      </c>
      <c r="B15">
        <v>100</v>
      </c>
      <c r="C15">
        <v>156</v>
      </c>
      <c r="D15">
        <v>816</v>
      </c>
      <c r="G15" t="s">
        <v>900</v>
      </c>
      <c r="H15">
        <v>3921447000272</v>
      </c>
      <c r="I15" t="s">
        <v>627</v>
      </c>
      <c r="J15" t="s">
        <v>883</v>
      </c>
      <c r="K15" t="s">
        <v>884</v>
      </c>
      <c r="M15" t="s">
        <v>885</v>
      </c>
      <c r="P15" t="s">
        <v>778</v>
      </c>
      <c r="Q15" t="s">
        <v>886</v>
      </c>
      <c r="R15" t="s">
        <v>790</v>
      </c>
      <c r="V15" t="s">
        <v>901</v>
      </c>
      <c r="W15" t="s">
        <v>780</v>
      </c>
      <c r="X15" t="s">
        <v>816</v>
      </c>
      <c r="Z15" s="31"/>
      <c r="AA15">
        <v>1600</v>
      </c>
      <c r="AB15">
        <v>256119</v>
      </c>
      <c r="AC15">
        <v>110</v>
      </c>
      <c r="AD15" t="s">
        <v>22</v>
      </c>
      <c r="AE15" s="31">
        <v>45627</v>
      </c>
      <c r="AF15" s="61">
        <v>0.8545949074074074</v>
      </c>
      <c r="AH15" t="s">
        <v>795</v>
      </c>
      <c r="AI15" s="31">
        <v>45737</v>
      </c>
      <c r="AJ15" s="61">
        <v>0.43179398148148151</v>
      </c>
      <c r="AK15" t="s">
        <v>796</v>
      </c>
      <c r="AL15" t="s">
        <v>902</v>
      </c>
      <c r="AN15" t="s">
        <v>888</v>
      </c>
      <c r="AP15" t="s">
        <v>903</v>
      </c>
      <c r="AQ15" t="s">
        <v>890</v>
      </c>
      <c r="AR15" s="31"/>
      <c r="AX15">
        <v>1</v>
      </c>
    </row>
    <row r="16" spans="1:50" x14ac:dyDescent="0.25">
      <c r="A16" t="s">
        <v>44</v>
      </c>
      <c r="B16">
        <v>101</v>
      </c>
      <c r="C16">
        <v>158</v>
      </c>
      <c r="D16">
        <v>821</v>
      </c>
      <c r="G16" t="s">
        <v>904</v>
      </c>
      <c r="H16">
        <v>4207648000194</v>
      </c>
      <c r="I16" t="s">
        <v>905</v>
      </c>
      <c r="J16" t="s">
        <v>906</v>
      </c>
      <c r="K16" t="s">
        <v>907</v>
      </c>
      <c r="M16" t="s">
        <v>908</v>
      </c>
      <c r="P16" t="s">
        <v>778</v>
      </c>
      <c r="Q16" t="s">
        <v>909</v>
      </c>
      <c r="R16" t="s">
        <v>790</v>
      </c>
      <c r="V16" t="s">
        <v>838</v>
      </c>
      <c r="W16" t="s">
        <v>780</v>
      </c>
      <c r="X16" t="s">
        <v>807</v>
      </c>
      <c r="Z16" s="31">
        <v>45688</v>
      </c>
      <c r="AA16">
        <v>3928</v>
      </c>
      <c r="AC16">
        <v>51</v>
      </c>
      <c r="AD16" t="s">
        <v>22</v>
      </c>
      <c r="AE16" s="31">
        <v>45627</v>
      </c>
      <c r="AF16" s="61">
        <v>0.8545949074074074</v>
      </c>
      <c r="AH16" t="s">
        <v>795</v>
      </c>
      <c r="AI16" s="31">
        <v>45678</v>
      </c>
      <c r="AJ16" s="61">
        <v>0.49775462962962957</v>
      </c>
      <c r="AK16" t="s">
        <v>796</v>
      </c>
      <c r="AL16" t="s">
        <v>797</v>
      </c>
      <c r="AM16" t="s">
        <v>910</v>
      </c>
      <c r="AN16" t="s">
        <v>911</v>
      </c>
      <c r="AO16" t="s">
        <v>594</v>
      </c>
      <c r="AP16" t="s">
        <v>911</v>
      </c>
      <c r="AR16" s="31"/>
      <c r="AX16">
        <v>1</v>
      </c>
    </row>
    <row r="17" spans="1:50" x14ac:dyDescent="0.25">
      <c r="A17" t="s">
        <v>44</v>
      </c>
      <c r="B17">
        <v>102</v>
      </c>
      <c r="C17">
        <v>159</v>
      </c>
      <c r="D17">
        <v>823</v>
      </c>
      <c r="G17" t="s">
        <v>912</v>
      </c>
      <c r="H17">
        <v>43526090000161</v>
      </c>
      <c r="I17" t="s">
        <v>913</v>
      </c>
      <c r="J17" t="s">
        <v>914</v>
      </c>
      <c r="K17" t="s">
        <v>915</v>
      </c>
      <c r="M17" t="s">
        <v>916</v>
      </c>
      <c r="P17" t="s">
        <v>778</v>
      </c>
      <c r="Q17" t="s">
        <v>909</v>
      </c>
      <c r="R17" t="s">
        <v>790</v>
      </c>
      <c r="V17" t="s">
        <v>896</v>
      </c>
      <c r="W17" t="s">
        <v>780</v>
      </c>
      <c r="X17" t="s">
        <v>816</v>
      </c>
      <c r="Z17" s="31">
        <v>45632</v>
      </c>
      <c r="AA17">
        <v>49012</v>
      </c>
      <c r="AC17">
        <v>18</v>
      </c>
      <c r="AD17" t="s">
        <v>22</v>
      </c>
      <c r="AE17" s="31">
        <v>45627</v>
      </c>
      <c r="AF17" s="61">
        <v>0.8545949074074074</v>
      </c>
      <c r="AH17" t="s">
        <v>818</v>
      </c>
      <c r="AI17" s="31">
        <v>45645</v>
      </c>
      <c r="AJ17" s="61">
        <v>0.61006944444444444</v>
      </c>
      <c r="AN17" t="s">
        <v>917</v>
      </c>
      <c r="AP17" t="s">
        <v>918</v>
      </c>
      <c r="AR17" s="31"/>
      <c r="AX17">
        <v>1</v>
      </c>
    </row>
    <row r="18" spans="1:50" x14ac:dyDescent="0.25">
      <c r="A18" t="s">
        <v>44</v>
      </c>
      <c r="B18">
        <v>103</v>
      </c>
      <c r="C18">
        <v>160</v>
      </c>
      <c r="D18">
        <v>825</v>
      </c>
      <c r="G18" t="s">
        <v>919</v>
      </c>
      <c r="H18">
        <v>4949701000122</v>
      </c>
      <c r="I18" t="s">
        <v>595</v>
      </c>
      <c r="J18" t="s">
        <v>920</v>
      </c>
      <c r="K18" t="s">
        <v>921</v>
      </c>
      <c r="M18" t="s">
        <v>922</v>
      </c>
      <c r="P18" t="s">
        <v>778</v>
      </c>
      <c r="Q18" t="s">
        <v>923</v>
      </c>
      <c r="R18" t="s">
        <v>790</v>
      </c>
      <c r="V18" t="s">
        <v>875</v>
      </c>
      <c r="W18" t="s">
        <v>780</v>
      </c>
      <c r="X18" t="s">
        <v>816</v>
      </c>
      <c r="Y18" t="s">
        <v>817</v>
      </c>
      <c r="Z18" s="31">
        <v>45688</v>
      </c>
      <c r="AA18">
        <v>46854</v>
      </c>
      <c r="AB18">
        <v>348312</v>
      </c>
      <c r="AC18">
        <v>54</v>
      </c>
      <c r="AD18" t="s">
        <v>22</v>
      </c>
      <c r="AE18" s="31">
        <v>45627</v>
      </c>
      <c r="AF18" s="61">
        <v>0.8545949074074074</v>
      </c>
      <c r="AH18" t="s">
        <v>818</v>
      </c>
      <c r="AI18" s="31">
        <v>45681</v>
      </c>
      <c r="AJ18" s="61">
        <v>0.50578703703703709</v>
      </c>
      <c r="AN18" t="s">
        <v>924</v>
      </c>
      <c r="AP18" t="s">
        <v>924</v>
      </c>
      <c r="AQ18" t="s">
        <v>925</v>
      </c>
      <c r="AR18" s="31"/>
      <c r="AX18">
        <v>1</v>
      </c>
    </row>
    <row r="19" spans="1:50" x14ac:dyDescent="0.25">
      <c r="A19" t="s">
        <v>44</v>
      </c>
      <c r="B19">
        <v>104</v>
      </c>
      <c r="C19">
        <v>161</v>
      </c>
      <c r="D19">
        <v>843</v>
      </c>
      <c r="G19" t="s">
        <v>926</v>
      </c>
      <c r="H19">
        <v>2609426000172</v>
      </c>
      <c r="I19" t="s">
        <v>927</v>
      </c>
      <c r="J19" t="s">
        <v>928</v>
      </c>
      <c r="K19" t="s">
        <v>929</v>
      </c>
      <c r="M19" t="s">
        <v>930</v>
      </c>
      <c r="P19" t="s">
        <v>778</v>
      </c>
      <c r="Q19" t="s">
        <v>931</v>
      </c>
      <c r="R19" t="s">
        <v>932</v>
      </c>
      <c r="S19" t="s">
        <v>933</v>
      </c>
      <c r="V19" t="s">
        <v>896</v>
      </c>
      <c r="W19" t="s">
        <v>780</v>
      </c>
      <c r="X19" t="s">
        <v>807</v>
      </c>
      <c r="Z19" s="31"/>
      <c r="AC19">
        <v>120</v>
      </c>
      <c r="AD19" t="s">
        <v>22</v>
      </c>
      <c r="AE19" s="31">
        <v>45627</v>
      </c>
      <c r="AF19" s="61">
        <v>0.8545949074074074</v>
      </c>
      <c r="AH19" t="s">
        <v>795</v>
      </c>
      <c r="AI19" s="31">
        <v>45747</v>
      </c>
      <c r="AJ19" s="61">
        <v>0.6567708333333333</v>
      </c>
      <c r="AK19" t="s">
        <v>934</v>
      </c>
      <c r="AL19" t="s">
        <v>935</v>
      </c>
      <c r="AN19" t="s">
        <v>936</v>
      </c>
      <c r="AP19" t="s">
        <v>937</v>
      </c>
      <c r="AR19" s="31"/>
      <c r="AX19">
        <v>1</v>
      </c>
    </row>
    <row r="20" spans="1:50" x14ac:dyDescent="0.25">
      <c r="A20" t="s">
        <v>44</v>
      </c>
      <c r="B20">
        <v>105</v>
      </c>
      <c r="C20">
        <v>162</v>
      </c>
      <c r="D20">
        <v>829</v>
      </c>
      <c r="G20" t="s">
        <v>938</v>
      </c>
      <c r="H20">
        <v>17545517000169</v>
      </c>
      <c r="I20" t="s">
        <v>939</v>
      </c>
      <c r="J20" t="s">
        <v>940</v>
      </c>
      <c r="K20" t="s">
        <v>941</v>
      </c>
      <c r="M20" t="s">
        <v>942</v>
      </c>
      <c r="P20" t="s">
        <v>778</v>
      </c>
      <c r="Q20" t="s">
        <v>943</v>
      </c>
      <c r="R20" t="s">
        <v>790</v>
      </c>
      <c r="V20" t="s">
        <v>944</v>
      </c>
      <c r="W20" t="s">
        <v>780</v>
      </c>
      <c r="X20" t="s">
        <v>807</v>
      </c>
      <c r="Z20" s="31"/>
      <c r="AC20">
        <v>58</v>
      </c>
      <c r="AD20" t="s">
        <v>22</v>
      </c>
      <c r="AE20" s="31">
        <v>45627</v>
      </c>
      <c r="AF20" s="61">
        <v>0.8545949074074074</v>
      </c>
      <c r="AH20" t="s">
        <v>795</v>
      </c>
      <c r="AI20" s="31">
        <v>45685</v>
      </c>
      <c r="AJ20" s="61">
        <v>0.6466898148148148</v>
      </c>
      <c r="AK20" t="s">
        <v>796</v>
      </c>
      <c r="AL20" t="s">
        <v>797</v>
      </c>
      <c r="AM20" t="s">
        <v>945</v>
      </c>
      <c r="AN20" t="s">
        <v>946</v>
      </c>
      <c r="AO20" t="s">
        <v>594</v>
      </c>
      <c r="AP20" t="s">
        <v>947</v>
      </c>
      <c r="AR20" s="31"/>
      <c r="AX20">
        <v>1</v>
      </c>
    </row>
    <row r="21" spans="1:50" x14ac:dyDescent="0.25">
      <c r="A21" t="s">
        <v>44</v>
      </c>
      <c r="B21">
        <v>106</v>
      </c>
      <c r="C21">
        <v>162</v>
      </c>
      <c r="D21">
        <v>829</v>
      </c>
      <c r="G21" t="s">
        <v>948</v>
      </c>
      <c r="H21">
        <v>17545517000169</v>
      </c>
      <c r="I21" t="s">
        <v>939</v>
      </c>
      <c r="J21" t="s">
        <v>940</v>
      </c>
      <c r="K21" t="s">
        <v>941</v>
      </c>
      <c r="M21" t="s">
        <v>942</v>
      </c>
      <c r="P21" t="s">
        <v>778</v>
      </c>
      <c r="Q21" t="s">
        <v>943</v>
      </c>
      <c r="R21" t="s">
        <v>790</v>
      </c>
      <c r="V21" t="s">
        <v>949</v>
      </c>
      <c r="W21" t="s">
        <v>780</v>
      </c>
      <c r="X21" t="s">
        <v>807</v>
      </c>
      <c r="Z21" s="31"/>
      <c r="AC21">
        <v>58</v>
      </c>
      <c r="AD21" t="s">
        <v>22</v>
      </c>
      <c r="AE21" s="31">
        <v>45627</v>
      </c>
      <c r="AF21" s="61">
        <v>0.8545949074074074</v>
      </c>
      <c r="AH21" t="s">
        <v>795</v>
      </c>
      <c r="AI21" s="31">
        <v>45685</v>
      </c>
      <c r="AJ21" s="61">
        <v>0.64710648148148153</v>
      </c>
      <c r="AK21" t="s">
        <v>796</v>
      </c>
      <c r="AL21" t="s">
        <v>797</v>
      </c>
      <c r="AM21" t="s">
        <v>945</v>
      </c>
      <c r="AN21" t="s">
        <v>946</v>
      </c>
      <c r="AO21" t="s">
        <v>594</v>
      </c>
      <c r="AP21" t="s">
        <v>947</v>
      </c>
      <c r="AR21" s="31"/>
      <c r="AX21">
        <v>1</v>
      </c>
    </row>
    <row r="22" spans="1:50" x14ac:dyDescent="0.25">
      <c r="A22" t="s">
        <v>44</v>
      </c>
      <c r="B22">
        <v>107</v>
      </c>
      <c r="C22">
        <v>163</v>
      </c>
      <c r="D22">
        <v>832</v>
      </c>
      <c r="G22" t="s">
        <v>950</v>
      </c>
      <c r="H22">
        <v>5861238000125</v>
      </c>
      <c r="I22" t="s">
        <v>951</v>
      </c>
      <c r="J22" t="s">
        <v>952</v>
      </c>
      <c r="K22" t="s">
        <v>953</v>
      </c>
      <c r="M22" t="s">
        <v>954</v>
      </c>
      <c r="P22" t="s">
        <v>778</v>
      </c>
      <c r="Q22" t="s">
        <v>955</v>
      </c>
      <c r="R22" t="s">
        <v>956</v>
      </c>
      <c r="V22" t="s">
        <v>591</v>
      </c>
      <c r="W22" t="s">
        <v>780</v>
      </c>
      <c r="X22" t="s">
        <v>807</v>
      </c>
      <c r="Z22" s="31"/>
      <c r="AC22">
        <v>58</v>
      </c>
      <c r="AD22" t="s">
        <v>22</v>
      </c>
      <c r="AE22" s="31">
        <v>45627</v>
      </c>
      <c r="AF22" s="61">
        <v>0.8545949074074074</v>
      </c>
      <c r="AH22" t="s">
        <v>795</v>
      </c>
      <c r="AI22" s="31">
        <v>45685</v>
      </c>
      <c r="AJ22" s="61">
        <v>0.64769675925925929</v>
      </c>
      <c r="AK22" t="s">
        <v>934</v>
      </c>
      <c r="AN22" t="s">
        <v>957</v>
      </c>
      <c r="AP22" t="s">
        <v>957</v>
      </c>
      <c r="AR22" s="31"/>
      <c r="AX22">
        <v>1</v>
      </c>
    </row>
    <row r="23" spans="1:50" x14ac:dyDescent="0.25">
      <c r="A23" t="s">
        <v>44</v>
      </c>
      <c r="B23">
        <v>108</v>
      </c>
      <c r="C23">
        <v>160</v>
      </c>
      <c r="D23">
        <v>825</v>
      </c>
      <c r="G23" t="s">
        <v>958</v>
      </c>
      <c r="H23">
        <v>4949701000122</v>
      </c>
      <c r="I23" t="s">
        <v>595</v>
      </c>
      <c r="J23" t="s">
        <v>920</v>
      </c>
      <c r="K23" t="s">
        <v>921</v>
      </c>
      <c r="M23" t="s">
        <v>922</v>
      </c>
      <c r="P23" t="s">
        <v>778</v>
      </c>
      <c r="Q23" t="s">
        <v>923</v>
      </c>
      <c r="R23" t="s">
        <v>790</v>
      </c>
      <c r="V23" t="s">
        <v>880</v>
      </c>
      <c r="W23" t="s">
        <v>780</v>
      </c>
      <c r="X23" t="s">
        <v>816</v>
      </c>
      <c r="Y23" t="s">
        <v>959</v>
      </c>
      <c r="Z23" s="31">
        <v>45688</v>
      </c>
      <c r="AA23">
        <v>1600</v>
      </c>
      <c r="AB23">
        <v>224819</v>
      </c>
      <c r="AC23">
        <v>60</v>
      </c>
      <c r="AD23" t="s">
        <v>22</v>
      </c>
      <c r="AE23" s="31">
        <v>45627</v>
      </c>
      <c r="AF23" s="61">
        <v>0.8545949074074074</v>
      </c>
      <c r="AH23" t="s">
        <v>818</v>
      </c>
      <c r="AI23" s="31">
        <v>45687</v>
      </c>
      <c r="AJ23" s="61">
        <v>0.39712962962962961</v>
      </c>
      <c r="AN23" t="s">
        <v>960</v>
      </c>
      <c r="AP23" t="s">
        <v>961</v>
      </c>
      <c r="AQ23" t="s">
        <v>925</v>
      </c>
      <c r="AR23" s="31"/>
      <c r="AX23">
        <v>1</v>
      </c>
    </row>
    <row r="24" spans="1:50" x14ac:dyDescent="0.25">
      <c r="A24" t="s">
        <v>44</v>
      </c>
      <c r="B24">
        <v>109</v>
      </c>
      <c r="C24">
        <v>164</v>
      </c>
      <c r="D24">
        <v>835</v>
      </c>
      <c r="G24" t="s">
        <v>962</v>
      </c>
      <c r="H24">
        <v>2531826000102</v>
      </c>
      <c r="I24" t="s">
        <v>963</v>
      </c>
      <c r="J24" t="s">
        <v>964</v>
      </c>
      <c r="K24" t="s">
        <v>965</v>
      </c>
      <c r="M24" t="s">
        <v>966</v>
      </c>
      <c r="P24" t="s">
        <v>778</v>
      </c>
      <c r="Q24" t="s">
        <v>873</v>
      </c>
      <c r="R24" t="s">
        <v>874</v>
      </c>
      <c r="V24" t="s">
        <v>896</v>
      </c>
      <c r="W24" t="s">
        <v>780</v>
      </c>
      <c r="X24" t="s">
        <v>857</v>
      </c>
      <c r="Z24" s="31"/>
      <c r="AC24">
        <v>18</v>
      </c>
      <c r="AD24" t="s">
        <v>22</v>
      </c>
      <c r="AE24" s="31">
        <v>45627</v>
      </c>
      <c r="AF24" s="61">
        <v>0.8545949074074074</v>
      </c>
      <c r="AH24" t="s">
        <v>795</v>
      </c>
      <c r="AI24" s="31">
        <v>45645</v>
      </c>
      <c r="AJ24" s="61">
        <v>0.63103009259259257</v>
      </c>
      <c r="AK24" t="s">
        <v>898</v>
      </c>
      <c r="AL24" t="s">
        <v>967</v>
      </c>
      <c r="AN24" t="s">
        <v>799</v>
      </c>
      <c r="AP24" t="s">
        <v>798</v>
      </c>
      <c r="AR24" s="31"/>
      <c r="AX24">
        <v>1</v>
      </c>
    </row>
    <row r="25" spans="1:50" x14ac:dyDescent="0.25">
      <c r="A25" t="s">
        <v>44</v>
      </c>
      <c r="B25">
        <v>110</v>
      </c>
      <c r="C25">
        <v>165</v>
      </c>
      <c r="D25">
        <v>836</v>
      </c>
      <c r="G25" t="s">
        <v>968</v>
      </c>
      <c r="H25">
        <v>29341068000116</v>
      </c>
      <c r="I25" t="s">
        <v>969</v>
      </c>
      <c r="J25" t="s">
        <v>969</v>
      </c>
      <c r="K25" t="s">
        <v>970</v>
      </c>
      <c r="M25" t="s">
        <v>971</v>
      </c>
      <c r="P25" t="s">
        <v>778</v>
      </c>
      <c r="Q25" t="s">
        <v>972</v>
      </c>
      <c r="R25" t="s">
        <v>973</v>
      </c>
      <c r="V25" t="s">
        <v>896</v>
      </c>
      <c r="W25" t="s">
        <v>780</v>
      </c>
      <c r="X25" t="s">
        <v>793</v>
      </c>
      <c r="Z25" s="31"/>
      <c r="AC25">
        <v>57</v>
      </c>
      <c r="AD25" t="s">
        <v>22</v>
      </c>
      <c r="AE25" s="31">
        <v>45627</v>
      </c>
      <c r="AF25" s="61">
        <v>0.8545949074074074</v>
      </c>
      <c r="AH25" t="s">
        <v>795</v>
      </c>
      <c r="AI25" s="31">
        <v>45684</v>
      </c>
      <c r="AJ25" s="61">
        <v>0.4944560185185185</v>
      </c>
      <c r="AK25" t="s">
        <v>974</v>
      </c>
      <c r="AL25" t="s">
        <v>975</v>
      </c>
      <c r="AN25" t="s">
        <v>799</v>
      </c>
      <c r="AP25" t="s">
        <v>798</v>
      </c>
      <c r="AR25" s="31"/>
      <c r="AX25">
        <v>1</v>
      </c>
    </row>
    <row r="26" spans="1:50" x14ac:dyDescent="0.25">
      <c r="A26" t="s">
        <v>44</v>
      </c>
      <c r="B26">
        <v>111</v>
      </c>
      <c r="C26">
        <v>165</v>
      </c>
      <c r="D26">
        <v>837</v>
      </c>
      <c r="G26" t="s">
        <v>976</v>
      </c>
      <c r="H26">
        <v>29341068000116</v>
      </c>
      <c r="I26" t="s">
        <v>969</v>
      </c>
      <c r="J26" t="s">
        <v>977</v>
      </c>
      <c r="K26" t="s">
        <v>970</v>
      </c>
      <c r="M26" t="s">
        <v>971</v>
      </c>
      <c r="P26" t="s">
        <v>778</v>
      </c>
      <c r="Q26" t="s">
        <v>972</v>
      </c>
      <c r="R26" t="s">
        <v>973</v>
      </c>
      <c r="V26" t="s">
        <v>901</v>
      </c>
      <c r="W26" t="s">
        <v>780</v>
      </c>
      <c r="X26" t="s">
        <v>793</v>
      </c>
      <c r="Z26" s="31"/>
      <c r="AC26">
        <v>57</v>
      </c>
      <c r="AD26" t="s">
        <v>22</v>
      </c>
      <c r="AE26" s="31">
        <v>45627</v>
      </c>
      <c r="AF26" s="61">
        <v>0.8545949074074074</v>
      </c>
      <c r="AH26" t="s">
        <v>795</v>
      </c>
      <c r="AI26" s="31">
        <v>45684</v>
      </c>
      <c r="AJ26" s="61">
        <v>0.49512731481481481</v>
      </c>
      <c r="AK26" t="s">
        <v>974</v>
      </c>
      <c r="AL26" t="s">
        <v>975</v>
      </c>
      <c r="AN26" t="s">
        <v>799</v>
      </c>
      <c r="AP26" t="s">
        <v>798</v>
      </c>
      <c r="AR26" s="31"/>
      <c r="AX26">
        <v>1</v>
      </c>
    </row>
    <row r="27" spans="1:50" x14ac:dyDescent="0.25">
      <c r="A27" t="s">
        <v>44</v>
      </c>
      <c r="B27">
        <v>113</v>
      </c>
      <c r="C27">
        <v>167</v>
      </c>
      <c r="D27">
        <v>842</v>
      </c>
      <c r="G27" t="s">
        <v>978</v>
      </c>
      <c r="H27">
        <v>7973104000121</v>
      </c>
      <c r="I27" t="s">
        <v>979</v>
      </c>
      <c r="J27" t="s">
        <v>980</v>
      </c>
      <c r="K27" t="s">
        <v>981</v>
      </c>
      <c r="M27" t="s">
        <v>982</v>
      </c>
      <c r="P27" t="s">
        <v>778</v>
      </c>
      <c r="Q27" t="s">
        <v>983</v>
      </c>
      <c r="R27" t="s">
        <v>932</v>
      </c>
      <c r="V27" t="s">
        <v>984</v>
      </c>
      <c r="W27" t="s">
        <v>780</v>
      </c>
      <c r="X27" t="s">
        <v>807</v>
      </c>
      <c r="Z27" s="31"/>
      <c r="AC27">
        <v>81</v>
      </c>
      <c r="AD27" t="s">
        <v>22</v>
      </c>
      <c r="AE27" s="31">
        <v>45627</v>
      </c>
      <c r="AF27" s="61">
        <v>0.85460648148148144</v>
      </c>
      <c r="AH27" t="s">
        <v>795</v>
      </c>
      <c r="AI27" s="31">
        <v>45708</v>
      </c>
      <c r="AJ27" s="61">
        <v>0.47692129629629632</v>
      </c>
      <c r="AK27" t="s">
        <v>796</v>
      </c>
      <c r="AL27" t="s">
        <v>985</v>
      </c>
      <c r="AN27" t="s">
        <v>986</v>
      </c>
      <c r="AR27" s="31"/>
      <c r="AX27">
        <v>1</v>
      </c>
    </row>
    <row r="28" spans="1:50" x14ac:dyDescent="0.25">
      <c r="A28" t="s">
        <v>44</v>
      </c>
      <c r="B28">
        <v>114</v>
      </c>
      <c r="C28">
        <v>161</v>
      </c>
      <c r="D28">
        <v>827</v>
      </c>
      <c r="G28" t="s">
        <v>987</v>
      </c>
      <c r="H28">
        <v>2609426000172</v>
      </c>
      <c r="I28" t="s">
        <v>927</v>
      </c>
      <c r="J28" t="s">
        <v>928</v>
      </c>
      <c r="K28" t="s">
        <v>929</v>
      </c>
      <c r="M28" t="s">
        <v>930</v>
      </c>
      <c r="P28" t="s">
        <v>778</v>
      </c>
      <c r="Q28" t="s">
        <v>931</v>
      </c>
      <c r="R28" t="s">
        <v>932</v>
      </c>
      <c r="S28" t="s">
        <v>933</v>
      </c>
      <c r="V28" t="s">
        <v>901</v>
      </c>
      <c r="W28" t="s">
        <v>780</v>
      </c>
      <c r="X28" t="s">
        <v>807</v>
      </c>
      <c r="Z28" s="31"/>
      <c r="AC28">
        <v>120</v>
      </c>
      <c r="AD28" t="s">
        <v>22</v>
      </c>
      <c r="AE28" s="31">
        <v>45627</v>
      </c>
      <c r="AF28" s="61">
        <v>0.85460648148148144</v>
      </c>
      <c r="AH28" t="s">
        <v>795</v>
      </c>
      <c r="AI28" s="31">
        <v>45747</v>
      </c>
      <c r="AJ28" s="61">
        <v>0.65732638888888884</v>
      </c>
      <c r="AK28" t="s">
        <v>934</v>
      </c>
      <c r="AL28" t="s">
        <v>988</v>
      </c>
      <c r="AN28" t="s">
        <v>936</v>
      </c>
      <c r="AP28" t="s">
        <v>937</v>
      </c>
      <c r="AR28" s="31"/>
      <c r="AX28">
        <v>1</v>
      </c>
    </row>
    <row r="29" spans="1:50" x14ac:dyDescent="0.25">
      <c r="A29" t="s">
        <v>44</v>
      </c>
      <c r="B29">
        <v>116</v>
      </c>
      <c r="D29">
        <v>847</v>
      </c>
      <c r="G29" t="s">
        <v>989</v>
      </c>
      <c r="H29">
        <v>58151616000143</v>
      </c>
      <c r="J29" t="s">
        <v>990</v>
      </c>
      <c r="K29" t="s">
        <v>991</v>
      </c>
      <c r="M29" t="s">
        <v>992</v>
      </c>
      <c r="P29" t="s">
        <v>778</v>
      </c>
      <c r="Q29" t="s">
        <v>993</v>
      </c>
      <c r="R29" t="s">
        <v>932</v>
      </c>
      <c r="V29" t="s">
        <v>994</v>
      </c>
      <c r="W29" t="s">
        <v>780</v>
      </c>
      <c r="X29" t="s">
        <v>816</v>
      </c>
      <c r="Y29" t="s">
        <v>995</v>
      </c>
      <c r="Z29" s="31">
        <v>45688</v>
      </c>
      <c r="AA29">
        <v>4736912</v>
      </c>
      <c r="AB29">
        <v>98326</v>
      </c>
      <c r="AC29">
        <v>53</v>
      </c>
      <c r="AD29" t="s">
        <v>44</v>
      </c>
      <c r="AE29" s="31">
        <v>45628</v>
      </c>
      <c r="AF29" s="61">
        <v>0.39987268518518521</v>
      </c>
      <c r="AH29" t="s">
        <v>818</v>
      </c>
      <c r="AI29" s="31">
        <v>45681</v>
      </c>
      <c r="AJ29" s="61">
        <v>0.47471064814814817</v>
      </c>
      <c r="AN29" t="s">
        <v>996</v>
      </c>
      <c r="AO29" t="s">
        <v>44</v>
      </c>
      <c r="AP29" t="s">
        <v>997</v>
      </c>
      <c r="AR29" s="31"/>
      <c r="AX29">
        <v>1</v>
      </c>
    </row>
    <row r="30" spans="1:50" x14ac:dyDescent="0.25">
      <c r="A30" t="s">
        <v>44</v>
      </c>
      <c r="B30">
        <v>118</v>
      </c>
      <c r="D30">
        <v>851</v>
      </c>
      <c r="G30" t="s">
        <v>998</v>
      </c>
      <c r="H30">
        <v>64582232000188</v>
      </c>
      <c r="J30" t="s">
        <v>999</v>
      </c>
      <c r="K30" t="s">
        <v>1000</v>
      </c>
      <c r="M30" t="s">
        <v>1001</v>
      </c>
      <c r="P30" t="s">
        <v>778</v>
      </c>
      <c r="W30" t="s">
        <v>780</v>
      </c>
      <c r="X30" t="s">
        <v>807</v>
      </c>
      <c r="Z30" s="31">
        <v>45688</v>
      </c>
      <c r="AA30">
        <v>202945</v>
      </c>
      <c r="AC30">
        <v>64</v>
      </c>
      <c r="AD30" t="s">
        <v>44</v>
      </c>
      <c r="AE30" s="31">
        <v>45630</v>
      </c>
      <c r="AF30" s="61">
        <v>0.49253472222222222</v>
      </c>
      <c r="AH30" t="s">
        <v>795</v>
      </c>
      <c r="AI30" s="31">
        <v>45694</v>
      </c>
      <c r="AJ30" s="61">
        <v>0.66188657407407403</v>
      </c>
      <c r="AK30" t="s">
        <v>858</v>
      </c>
      <c r="AL30" t="s">
        <v>1002</v>
      </c>
      <c r="AM30" t="s">
        <v>830</v>
      </c>
      <c r="AN30" t="s">
        <v>1003</v>
      </c>
      <c r="AO30" t="s">
        <v>44</v>
      </c>
      <c r="AP30" t="s">
        <v>996</v>
      </c>
      <c r="AR30" s="31"/>
      <c r="AX30">
        <v>1</v>
      </c>
    </row>
    <row r="31" spans="1:50" x14ac:dyDescent="0.25">
      <c r="A31" t="s">
        <v>44</v>
      </c>
      <c r="B31">
        <v>122</v>
      </c>
      <c r="D31">
        <v>855</v>
      </c>
      <c r="E31" t="s">
        <v>1004</v>
      </c>
      <c r="G31" t="s">
        <v>1005</v>
      </c>
      <c r="H31">
        <v>8520654000158</v>
      </c>
      <c r="J31" t="s">
        <v>1006</v>
      </c>
      <c r="K31" t="s">
        <v>1007</v>
      </c>
      <c r="M31" t="s">
        <v>1008</v>
      </c>
      <c r="P31" t="s">
        <v>778</v>
      </c>
      <c r="S31" t="s">
        <v>791</v>
      </c>
      <c r="V31" t="s">
        <v>1009</v>
      </c>
      <c r="W31" t="s">
        <v>780</v>
      </c>
      <c r="X31" t="s">
        <v>816</v>
      </c>
      <c r="Y31" t="s">
        <v>817</v>
      </c>
      <c r="Z31" s="31">
        <v>46112</v>
      </c>
      <c r="AA31">
        <v>33920</v>
      </c>
      <c r="AB31">
        <v>37684</v>
      </c>
      <c r="AC31">
        <v>442</v>
      </c>
      <c r="AD31" t="s">
        <v>594</v>
      </c>
      <c r="AE31" s="31">
        <v>45630</v>
      </c>
      <c r="AF31" s="61">
        <v>0.61173611111111115</v>
      </c>
      <c r="AH31" t="s">
        <v>782</v>
      </c>
      <c r="AI31" s="31"/>
      <c r="AJ31" s="61"/>
      <c r="AM31" t="s">
        <v>997</v>
      </c>
      <c r="AN31" t="s">
        <v>1010</v>
      </c>
      <c r="AO31" t="s">
        <v>44</v>
      </c>
      <c r="AP31" t="s">
        <v>1011</v>
      </c>
      <c r="AQ31" t="s">
        <v>1010</v>
      </c>
      <c r="AR31" s="31">
        <v>46049</v>
      </c>
      <c r="AS31" t="s">
        <v>1012</v>
      </c>
      <c r="AX31">
        <v>1</v>
      </c>
    </row>
    <row r="32" spans="1:50" x14ac:dyDescent="0.25">
      <c r="A32" t="s">
        <v>44</v>
      </c>
      <c r="B32">
        <v>125</v>
      </c>
      <c r="D32">
        <v>860</v>
      </c>
      <c r="G32" t="s">
        <v>1013</v>
      </c>
      <c r="J32" t="s">
        <v>1014</v>
      </c>
      <c r="K32" t="s">
        <v>991</v>
      </c>
      <c r="M32" t="s">
        <v>992</v>
      </c>
      <c r="P32" t="s">
        <v>778</v>
      </c>
      <c r="V32" t="s">
        <v>994</v>
      </c>
      <c r="W32" t="s">
        <v>780</v>
      </c>
      <c r="X32" t="s">
        <v>816</v>
      </c>
      <c r="Z32" s="31">
        <v>45688</v>
      </c>
      <c r="AA32">
        <v>1600</v>
      </c>
      <c r="AB32">
        <v>157626</v>
      </c>
      <c r="AC32">
        <v>49</v>
      </c>
      <c r="AD32" t="s">
        <v>44</v>
      </c>
      <c r="AE32" s="31">
        <v>45632</v>
      </c>
      <c r="AF32" s="61">
        <v>0.68636574074074075</v>
      </c>
      <c r="AH32" t="s">
        <v>818</v>
      </c>
      <c r="AI32" s="31">
        <v>45681</v>
      </c>
      <c r="AJ32" s="61">
        <v>0.48759259259259258</v>
      </c>
      <c r="AN32" t="s">
        <v>996</v>
      </c>
      <c r="AP32" t="s">
        <v>829</v>
      </c>
      <c r="AR32" s="31"/>
      <c r="AX32">
        <v>1</v>
      </c>
    </row>
    <row r="33" spans="1:50" x14ac:dyDescent="0.25">
      <c r="A33" t="s">
        <v>44</v>
      </c>
      <c r="B33">
        <v>127</v>
      </c>
      <c r="D33">
        <v>981</v>
      </c>
      <c r="G33" t="s">
        <v>1015</v>
      </c>
      <c r="H33">
        <v>48885921000105</v>
      </c>
      <c r="J33" t="s">
        <v>1016</v>
      </c>
      <c r="K33" t="s">
        <v>1017</v>
      </c>
      <c r="M33" t="s">
        <v>1018</v>
      </c>
      <c r="P33" t="s">
        <v>778</v>
      </c>
      <c r="S33" t="s">
        <v>791</v>
      </c>
      <c r="W33" t="s">
        <v>780</v>
      </c>
      <c r="X33" t="s">
        <v>816</v>
      </c>
      <c r="Z33" s="31">
        <v>45657</v>
      </c>
      <c r="AA33">
        <v>450</v>
      </c>
      <c r="AC33">
        <v>2</v>
      </c>
      <c r="AD33" t="s">
        <v>44</v>
      </c>
      <c r="AE33" s="31">
        <v>45636</v>
      </c>
      <c r="AF33" s="61">
        <v>0.44290509259259259</v>
      </c>
      <c r="AH33" t="s">
        <v>818</v>
      </c>
      <c r="AI33" s="31">
        <v>45638</v>
      </c>
      <c r="AJ33" s="61">
        <v>0.67709490740740741</v>
      </c>
      <c r="AM33" t="s">
        <v>1019</v>
      </c>
      <c r="AN33" t="s">
        <v>1020</v>
      </c>
      <c r="AO33" t="s">
        <v>44</v>
      </c>
      <c r="AP33" t="s">
        <v>996</v>
      </c>
      <c r="AQ33" t="s">
        <v>1021</v>
      </c>
      <c r="AR33" s="31"/>
      <c r="AX33">
        <v>1</v>
      </c>
    </row>
    <row r="34" spans="1:50" x14ac:dyDescent="0.25">
      <c r="A34" t="s">
        <v>44</v>
      </c>
      <c r="B34">
        <v>130</v>
      </c>
      <c r="D34">
        <v>987</v>
      </c>
      <c r="G34" t="s">
        <v>1022</v>
      </c>
      <c r="H34">
        <v>5691820000190</v>
      </c>
      <c r="J34" t="s">
        <v>1023</v>
      </c>
      <c r="K34" t="s">
        <v>1024</v>
      </c>
      <c r="M34" t="s">
        <v>1025</v>
      </c>
      <c r="P34" t="s">
        <v>778</v>
      </c>
      <c r="Q34" t="s">
        <v>1026</v>
      </c>
      <c r="R34" t="s">
        <v>1027</v>
      </c>
      <c r="V34" t="s">
        <v>994</v>
      </c>
      <c r="W34" t="s">
        <v>780</v>
      </c>
      <c r="X34" t="s">
        <v>816</v>
      </c>
      <c r="Z34" s="31">
        <v>45688</v>
      </c>
      <c r="AA34">
        <v>0</v>
      </c>
      <c r="AB34">
        <v>3564</v>
      </c>
      <c r="AC34">
        <v>43</v>
      </c>
      <c r="AD34" t="s">
        <v>44</v>
      </c>
      <c r="AE34" s="31">
        <v>45638</v>
      </c>
      <c r="AF34" s="61">
        <v>0.38504629629629628</v>
      </c>
      <c r="AH34" t="s">
        <v>818</v>
      </c>
      <c r="AI34" s="31">
        <v>45681</v>
      </c>
      <c r="AJ34" s="61">
        <v>0.46354166666666669</v>
      </c>
      <c r="AM34" t="s">
        <v>821</v>
      </c>
      <c r="AN34" t="s">
        <v>821</v>
      </c>
      <c r="AO34" t="s">
        <v>44</v>
      </c>
      <c r="AP34" t="s">
        <v>821</v>
      </c>
      <c r="AR34" s="31"/>
      <c r="AX34">
        <v>1</v>
      </c>
    </row>
    <row r="35" spans="1:50" x14ac:dyDescent="0.25">
      <c r="A35" t="s">
        <v>44</v>
      </c>
      <c r="B35">
        <v>131</v>
      </c>
      <c r="D35">
        <v>990</v>
      </c>
      <c r="G35" t="s">
        <v>1028</v>
      </c>
      <c r="J35" t="s">
        <v>1029</v>
      </c>
      <c r="K35" t="s">
        <v>1030</v>
      </c>
      <c r="M35" t="s">
        <v>1031</v>
      </c>
      <c r="P35" t="s">
        <v>778</v>
      </c>
      <c r="W35" t="s">
        <v>780</v>
      </c>
      <c r="X35" t="s">
        <v>857</v>
      </c>
      <c r="Z35" s="31"/>
      <c r="AA35">
        <v>37964</v>
      </c>
      <c r="AC35">
        <v>7</v>
      </c>
      <c r="AD35" t="s">
        <v>44</v>
      </c>
      <c r="AE35" s="31">
        <v>45638</v>
      </c>
      <c r="AF35" s="61">
        <v>0.45196759259259262</v>
      </c>
      <c r="AH35" t="s">
        <v>795</v>
      </c>
      <c r="AI35" s="31">
        <v>45645</v>
      </c>
      <c r="AJ35" s="61">
        <v>0.40232638888888889</v>
      </c>
      <c r="AK35" t="s">
        <v>974</v>
      </c>
      <c r="AL35" t="s">
        <v>1032</v>
      </c>
      <c r="AN35" t="s">
        <v>1033</v>
      </c>
      <c r="AP35" t="s">
        <v>1021</v>
      </c>
      <c r="AQ35" t="s">
        <v>1033</v>
      </c>
      <c r="AR35" s="31"/>
      <c r="AX35">
        <v>1</v>
      </c>
    </row>
    <row r="36" spans="1:50" x14ac:dyDescent="0.25">
      <c r="A36" t="s">
        <v>44</v>
      </c>
      <c r="B36">
        <v>135</v>
      </c>
      <c r="D36">
        <v>996</v>
      </c>
      <c r="G36" t="s">
        <v>1034</v>
      </c>
      <c r="J36" t="s">
        <v>1035</v>
      </c>
      <c r="K36" t="s">
        <v>1036</v>
      </c>
      <c r="M36" t="s">
        <v>1037</v>
      </c>
      <c r="P36" t="s">
        <v>778</v>
      </c>
      <c r="V36" t="s">
        <v>994</v>
      </c>
      <c r="W36" t="s">
        <v>780</v>
      </c>
      <c r="X36" t="s">
        <v>816</v>
      </c>
      <c r="Z36" s="31"/>
      <c r="AA36">
        <v>28832</v>
      </c>
      <c r="AB36">
        <v>110248</v>
      </c>
      <c r="AC36">
        <v>83</v>
      </c>
      <c r="AD36" t="s">
        <v>44</v>
      </c>
      <c r="AE36" s="31">
        <v>45638</v>
      </c>
      <c r="AF36" s="61">
        <v>0.72285879629629635</v>
      </c>
      <c r="AH36" t="s">
        <v>795</v>
      </c>
      <c r="AI36" s="31">
        <v>45721</v>
      </c>
      <c r="AJ36" s="61">
        <v>0.46725694444444438</v>
      </c>
      <c r="AK36" t="s">
        <v>796</v>
      </c>
      <c r="AL36" t="s">
        <v>1038</v>
      </c>
      <c r="AN36" t="s">
        <v>1039</v>
      </c>
      <c r="AR36" s="31"/>
      <c r="AX36">
        <v>1</v>
      </c>
    </row>
    <row r="37" spans="1:50" x14ac:dyDescent="0.25">
      <c r="A37" t="s">
        <v>44</v>
      </c>
      <c r="B37">
        <v>138</v>
      </c>
      <c r="D37">
        <v>1103</v>
      </c>
      <c r="G37" t="s">
        <v>1040</v>
      </c>
      <c r="H37">
        <v>54734384000103</v>
      </c>
      <c r="J37" t="s">
        <v>1041</v>
      </c>
      <c r="K37" t="s">
        <v>1042</v>
      </c>
      <c r="M37" t="s">
        <v>1043</v>
      </c>
      <c r="P37" t="s">
        <v>778</v>
      </c>
      <c r="V37" t="s">
        <v>994</v>
      </c>
      <c r="W37" t="s">
        <v>780</v>
      </c>
      <c r="X37" t="s">
        <v>807</v>
      </c>
      <c r="Z37" s="31"/>
      <c r="AA37">
        <v>49588</v>
      </c>
      <c r="AC37">
        <v>23</v>
      </c>
      <c r="AD37" t="s">
        <v>44</v>
      </c>
      <c r="AE37" s="31">
        <v>45643</v>
      </c>
      <c r="AF37" s="61">
        <v>0.51571759259259264</v>
      </c>
      <c r="AH37" t="s">
        <v>795</v>
      </c>
      <c r="AI37" s="31">
        <v>45666</v>
      </c>
      <c r="AJ37" s="61">
        <v>0.6648263888888889</v>
      </c>
      <c r="AK37" t="s">
        <v>796</v>
      </c>
      <c r="AL37" t="s">
        <v>1044</v>
      </c>
      <c r="AN37" t="s">
        <v>1045</v>
      </c>
      <c r="AP37" t="s">
        <v>1033</v>
      </c>
      <c r="AR37" s="31"/>
      <c r="AX37">
        <v>1</v>
      </c>
    </row>
    <row r="38" spans="1:50" x14ac:dyDescent="0.25">
      <c r="A38" t="s">
        <v>44</v>
      </c>
      <c r="B38">
        <v>139</v>
      </c>
      <c r="D38">
        <v>1113</v>
      </c>
      <c r="G38" t="s">
        <v>1046</v>
      </c>
      <c r="J38" t="s">
        <v>1047</v>
      </c>
      <c r="K38" t="s">
        <v>1048</v>
      </c>
      <c r="M38" t="s">
        <v>1049</v>
      </c>
      <c r="P38" t="s">
        <v>778</v>
      </c>
      <c r="W38" t="s">
        <v>780</v>
      </c>
      <c r="X38" t="s">
        <v>793</v>
      </c>
      <c r="Z38" s="31">
        <v>45688</v>
      </c>
      <c r="AA38">
        <v>168592</v>
      </c>
      <c r="AB38">
        <v>6426</v>
      </c>
      <c r="AC38">
        <v>40</v>
      </c>
      <c r="AD38" t="s">
        <v>44</v>
      </c>
      <c r="AE38" s="31">
        <v>45645</v>
      </c>
      <c r="AF38" s="61">
        <v>0.40438657407407408</v>
      </c>
      <c r="AH38" t="s">
        <v>795</v>
      </c>
      <c r="AI38" s="31">
        <v>45685</v>
      </c>
      <c r="AJ38" s="61">
        <v>0.60306712962962961</v>
      </c>
      <c r="AK38" t="s">
        <v>934</v>
      </c>
      <c r="AL38" t="s">
        <v>1050</v>
      </c>
      <c r="AM38" t="s">
        <v>1003</v>
      </c>
      <c r="AN38" t="s">
        <v>1003</v>
      </c>
      <c r="AP38" t="s">
        <v>1003</v>
      </c>
      <c r="AR38" s="31"/>
      <c r="AX38">
        <v>1</v>
      </c>
    </row>
    <row r="39" spans="1:50" x14ac:dyDescent="0.25">
      <c r="A39" t="s">
        <v>44</v>
      </c>
      <c r="B39">
        <v>140</v>
      </c>
      <c r="D39">
        <v>1114</v>
      </c>
      <c r="G39" t="s">
        <v>1051</v>
      </c>
      <c r="J39" t="s">
        <v>1052</v>
      </c>
      <c r="K39" t="s">
        <v>1042</v>
      </c>
      <c r="M39" t="s">
        <v>1043</v>
      </c>
      <c r="P39" t="s">
        <v>778</v>
      </c>
      <c r="W39" t="s">
        <v>780</v>
      </c>
      <c r="X39" t="s">
        <v>816</v>
      </c>
      <c r="Y39" t="s">
        <v>995</v>
      </c>
      <c r="Z39" s="31">
        <v>45688</v>
      </c>
      <c r="AA39">
        <v>4587892</v>
      </c>
      <c r="AB39">
        <v>628168</v>
      </c>
      <c r="AC39">
        <v>36</v>
      </c>
      <c r="AD39" t="s">
        <v>44</v>
      </c>
      <c r="AE39" s="31">
        <v>45645</v>
      </c>
      <c r="AF39" s="61">
        <v>0.41775462962962961</v>
      </c>
      <c r="AH39" t="s">
        <v>818</v>
      </c>
      <c r="AI39" s="31">
        <v>45681</v>
      </c>
      <c r="AJ39" s="61">
        <v>0.51848379629629626</v>
      </c>
      <c r="AN39" t="s">
        <v>1053</v>
      </c>
      <c r="AP39" t="s">
        <v>1054</v>
      </c>
      <c r="AQ39" t="s">
        <v>1055</v>
      </c>
      <c r="AR39" s="31"/>
      <c r="AX39">
        <v>1</v>
      </c>
    </row>
    <row r="40" spans="1:50" x14ac:dyDescent="0.25">
      <c r="A40" t="s">
        <v>44</v>
      </c>
      <c r="B40">
        <v>141</v>
      </c>
      <c r="C40">
        <v>159</v>
      </c>
      <c r="D40">
        <v>1115</v>
      </c>
      <c r="G40" t="s">
        <v>1056</v>
      </c>
      <c r="H40">
        <v>43526090000161</v>
      </c>
      <c r="I40" t="s">
        <v>913</v>
      </c>
      <c r="J40" t="s">
        <v>1057</v>
      </c>
      <c r="K40" t="s">
        <v>915</v>
      </c>
      <c r="M40" t="s">
        <v>916</v>
      </c>
      <c r="P40" t="s">
        <v>778</v>
      </c>
      <c r="Q40" t="s">
        <v>909</v>
      </c>
      <c r="R40" t="s">
        <v>790</v>
      </c>
      <c r="W40" t="s">
        <v>780</v>
      </c>
      <c r="X40" t="s">
        <v>816</v>
      </c>
      <c r="Y40" t="s">
        <v>959</v>
      </c>
      <c r="Z40" s="31">
        <v>45688</v>
      </c>
      <c r="AA40">
        <v>1600</v>
      </c>
      <c r="AB40">
        <v>2500</v>
      </c>
      <c r="AC40">
        <v>42</v>
      </c>
      <c r="AD40" t="s">
        <v>44</v>
      </c>
      <c r="AE40" s="31">
        <v>45645</v>
      </c>
      <c r="AF40" s="61">
        <v>0.61128472222222219</v>
      </c>
      <c r="AH40" t="s">
        <v>818</v>
      </c>
      <c r="AI40" s="31">
        <v>45685</v>
      </c>
      <c r="AJ40" s="61">
        <v>0.68137731481481478</v>
      </c>
      <c r="AL40" t="s">
        <v>1058</v>
      </c>
      <c r="AM40" t="s">
        <v>1039</v>
      </c>
      <c r="AN40" t="s">
        <v>1059</v>
      </c>
      <c r="AR40" s="31"/>
      <c r="AX40">
        <v>1</v>
      </c>
    </row>
    <row r="41" spans="1:50" x14ac:dyDescent="0.25">
      <c r="A41" t="s">
        <v>44</v>
      </c>
      <c r="B41">
        <v>142</v>
      </c>
      <c r="D41">
        <v>1117</v>
      </c>
      <c r="G41" t="s">
        <v>1060</v>
      </c>
      <c r="J41" t="s">
        <v>1061</v>
      </c>
      <c r="K41" t="s">
        <v>1042</v>
      </c>
      <c r="M41" t="s">
        <v>1043</v>
      </c>
      <c r="P41" t="s">
        <v>778</v>
      </c>
      <c r="W41" t="s">
        <v>780</v>
      </c>
      <c r="X41" t="s">
        <v>816</v>
      </c>
      <c r="Z41" s="31">
        <v>45688</v>
      </c>
      <c r="AA41">
        <v>1600</v>
      </c>
      <c r="AB41">
        <v>243721</v>
      </c>
      <c r="AC41">
        <v>35</v>
      </c>
      <c r="AD41" t="s">
        <v>44</v>
      </c>
      <c r="AE41" s="31">
        <v>45646</v>
      </c>
      <c r="AF41" s="61">
        <v>0.60428240740740746</v>
      </c>
      <c r="AH41" t="s">
        <v>818</v>
      </c>
      <c r="AI41" s="31">
        <v>45681</v>
      </c>
      <c r="AJ41" s="61">
        <v>0.58530092592592597</v>
      </c>
      <c r="AN41" t="s">
        <v>1053</v>
      </c>
      <c r="AP41" t="s">
        <v>1054</v>
      </c>
      <c r="AQ41" t="s">
        <v>1055</v>
      </c>
      <c r="AR41" s="31"/>
      <c r="AX41">
        <v>1</v>
      </c>
    </row>
    <row r="42" spans="1:50" x14ac:dyDescent="0.25">
      <c r="A42" t="s">
        <v>22</v>
      </c>
      <c r="B42">
        <v>144</v>
      </c>
      <c r="D42">
        <v>181</v>
      </c>
      <c r="E42" t="s">
        <v>1062</v>
      </c>
      <c r="G42" t="s">
        <v>1063</v>
      </c>
      <c r="H42">
        <v>27805256000122</v>
      </c>
      <c r="J42" t="s">
        <v>1064</v>
      </c>
      <c r="K42" t="s">
        <v>1065</v>
      </c>
      <c r="P42" t="s">
        <v>778</v>
      </c>
      <c r="Q42" t="s">
        <v>1066</v>
      </c>
      <c r="R42" t="s">
        <v>1067</v>
      </c>
      <c r="S42" t="s">
        <v>1068</v>
      </c>
      <c r="V42" t="s">
        <v>1069</v>
      </c>
      <c r="W42" t="s">
        <v>780</v>
      </c>
      <c r="X42" t="s">
        <v>816</v>
      </c>
      <c r="Y42" t="s">
        <v>817</v>
      </c>
      <c r="Z42" s="31"/>
      <c r="AA42">
        <v>146772</v>
      </c>
      <c r="AB42">
        <v>1102804</v>
      </c>
      <c r="AC42">
        <v>154</v>
      </c>
      <c r="AD42" t="s">
        <v>22</v>
      </c>
      <c r="AE42" s="31">
        <v>45664</v>
      </c>
      <c r="AF42" s="61">
        <v>0.70750000000000002</v>
      </c>
      <c r="AH42" t="s">
        <v>818</v>
      </c>
      <c r="AI42" s="31">
        <v>45686</v>
      </c>
      <c r="AJ42" s="61">
        <v>4.5011574074074072E-2</v>
      </c>
      <c r="AL42" t="s">
        <v>1058</v>
      </c>
      <c r="AN42" t="s">
        <v>1070</v>
      </c>
      <c r="AO42" t="s">
        <v>22</v>
      </c>
      <c r="AP42" t="s">
        <v>1070</v>
      </c>
      <c r="AR42" s="31"/>
      <c r="AX42">
        <v>1</v>
      </c>
    </row>
    <row r="43" spans="1:50" x14ac:dyDescent="0.25">
      <c r="A43" t="s">
        <v>22</v>
      </c>
      <c r="B43">
        <v>145</v>
      </c>
      <c r="D43">
        <v>12</v>
      </c>
      <c r="E43" t="s">
        <v>1071</v>
      </c>
      <c r="F43" t="s">
        <v>1072</v>
      </c>
      <c r="G43" t="s">
        <v>1073</v>
      </c>
      <c r="H43">
        <v>22752240000185</v>
      </c>
      <c r="J43" t="s">
        <v>1074</v>
      </c>
      <c r="K43" t="s">
        <v>1075</v>
      </c>
      <c r="M43" t="s">
        <v>1076</v>
      </c>
      <c r="P43" t="s">
        <v>778</v>
      </c>
      <c r="Q43" t="s">
        <v>1077</v>
      </c>
      <c r="S43" t="s">
        <v>791</v>
      </c>
      <c r="V43" t="s">
        <v>806</v>
      </c>
      <c r="W43" t="s">
        <v>780</v>
      </c>
      <c r="X43" t="s">
        <v>807</v>
      </c>
      <c r="Z43" s="31"/>
      <c r="AC43">
        <v>38</v>
      </c>
      <c r="AD43" t="s">
        <v>22</v>
      </c>
      <c r="AE43" s="31">
        <v>45664</v>
      </c>
      <c r="AF43" s="61">
        <v>0.73380787037037032</v>
      </c>
      <c r="AH43" t="s">
        <v>795</v>
      </c>
      <c r="AI43" s="31">
        <v>45702</v>
      </c>
      <c r="AJ43" s="61">
        <v>0.64967592592592593</v>
      </c>
      <c r="AK43" t="s">
        <v>796</v>
      </c>
      <c r="AP43" t="s">
        <v>960</v>
      </c>
      <c r="AR43" s="31"/>
      <c r="AX43">
        <v>1</v>
      </c>
    </row>
    <row r="44" spans="1:50" x14ac:dyDescent="0.25">
      <c r="A44" t="s">
        <v>44</v>
      </c>
      <c r="B44">
        <v>148</v>
      </c>
      <c r="D44">
        <v>270</v>
      </c>
      <c r="E44" t="s">
        <v>1078</v>
      </c>
      <c r="F44" t="s">
        <v>1079</v>
      </c>
      <c r="G44" t="s">
        <v>1080</v>
      </c>
      <c r="H44">
        <v>45723541000186</v>
      </c>
      <c r="J44" t="s">
        <v>1081</v>
      </c>
      <c r="K44" t="s">
        <v>1082</v>
      </c>
      <c r="M44" t="s">
        <v>1083</v>
      </c>
      <c r="O44" t="s">
        <v>1084</v>
      </c>
      <c r="P44" t="s">
        <v>778</v>
      </c>
      <c r="Q44" t="s">
        <v>1085</v>
      </c>
      <c r="R44" t="s">
        <v>790</v>
      </c>
      <c r="S44" t="s">
        <v>791</v>
      </c>
      <c r="V44" t="s">
        <v>1086</v>
      </c>
      <c r="W44" t="s">
        <v>780</v>
      </c>
      <c r="X44" t="s">
        <v>807</v>
      </c>
      <c r="Z44" s="31"/>
      <c r="AA44">
        <v>16960</v>
      </c>
      <c r="AB44">
        <v>4714</v>
      </c>
      <c r="AC44">
        <v>72</v>
      </c>
      <c r="AD44" t="s">
        <v>794</v>
      </c>
      <c r="AE44" s="31">
        <v>45665</v>
      </c>
      <c r="AF44" s="61">
        <v>0.46423611111111113</v>
      </c>
      <c r="AH44" t="s">
        <v>795</v>
      </c>
      <c r="AI44" s="31">
        <v>45737</v>
      </c>
      <c r="AJ44" s="61">
        <v>0.43061342592592589</v>
      </c>
      <c r="AK44" t="s">
        <v>858</v>
      </c>
      <c r="AL44" t="s">
        <v>1087</v>
      </c>
      <c r="AN44" t="s">
        <v>1088</v>
      </c>
      <c r="AO44" t="s">
        <v>794</v>
      </c>
      <c r="AP44" t="s">
        <v>1089</v>
      </c>
      <c r="AQ44" t="s">
        <v>1088</v>
      </c>
      <c r="AR44" s="31"/>
      <c r="AX44">
        <v>1</v>
      </c>
    </row>
    <row r="45" spans="1:50" x14ac:dyDescent="0.25">
      <c r="A45" t="s">
        <v>44</v>
      </c>
      <c r="B45">
        <v>151</v>
      </c>
      <c r="D45">
        <v>1540</v>
      </c>
      <c r="G45" t="s">
        <v>1090</v>
      </c>
      <c r="H45">
        <v>21733807000103</v>
      </c>
      <c r="J45" t="s">
        <v>1091</v>
      </c>
      <c r="K45" t="s">
        <v>1092</v>
      </c>
      <c r="M45" t="s">
        <v>1093</v>
      </c>
      <c r="P45" t="s">
        <v>778</v>
      </c>
      <c r="Q45" t="s">
        <v>1094</v>
      </c>
      <c r="R45" t="s">
        <v>790</v>
      </c>
      <c r="W45" t="s">
        <v>780</v>
      </c>
      <c r="X45" t="s">
        <v>807</v>
      </c>
      <c r="Z45" s="31"/>
      <c r="AA45">
        <v>4830624</v>
      </c>
      <c r="AB45">
        <v>384549</v>
      </c>
      <c r="AC45">
        <v>43</v>
      </c>
      <c r="AD45" t="s">
        <v>44</v>
      </c>
      <c r="AE45" s="31">
        <v>45666</v>
      </c>
      <c r="AF45" s="61">
        <v>0.66763888888888889</v>
      </c>
      <c r="AH45" t="s">
        <v>795</v>
      </c>
      <c r="AI45" s="31">
        <v>45709</v>
      </c>
      <c r="AJ45" s="61">
        <v>0.60252314814814811</v>
      </c>
      <c r="AK45" t="s">
        <v>934</v>
      </c>
      <c r="AL45" t="s">
        <v>1095</v>
      </c>
      <c r="AN45" t="s">
        <v>1088</v>
      </c>
      <c r="AP45" t="s">
        <v>1096</v>
      </c>
      <c r="AQ45" t="s">
        <v>1039</v>
      </c>
      <c r="AR45" s="31"/>
      <c r="AX45">
        <v>1</v>
      </c>
    </row>
    <row r="46" spans="1:50" x14ac:dyDescent="0.25">
      <c r="A46" t="s">
        <v>22</v>
      </c>
      <c r="B46">
        <v>154</v>
      </c>
      <c r="C46">
        <v>177</v>
      </c>
      <c r="D46">
        <v>1546</v>
      </c>
      <c r="G46" t="s">
        <v>1097</v>
      </c>
      <c r="H46">
        <v>58636773000149</v>
      </c>
      <c r="I46" t="s">
        <v>1098</v>
      </c>
      <c r="J46" t="s">
        <v>1099</v>
      </c>
      <c r="K46" t="s">
        <v>1100</v>
      </c>
      <c r="M46" t="s">
        <v>1101</v>
      </c>
      <c r="N46" t="s">
        <v>1102</v>
      </c>
      <c r="P46" t="s">
        <v>1103</v>
      </c>
      <c r="Q46" t="s">
        <v>1104</v>
      </c>
      <c r="R46" t="s">
        <v>1105</v>
      </c>
      <c r="S46" t="s">
        <v>814</v>
      </c>
      <c r="T46" t="s">
        <v>814</v>
      </c>
      <c r="V46" t="s">
        <v>1106</v>
      </c>
      <c r="W46" t="s">
        <v>780</v>
      </c>
      <c r="X46" t="s">
        <v>807</v>
      </c>
      <c r="Y46" t="s">
        <v>817</v>
      </c>
      <c r="Z46" s="31"/>
      <c r="AA46">
        <v>5689656</v>
      </c>
      <c r="AB46">
        <v>259936</v>
      </c>
      <c r="AC46">
        <v>151</v>
      </c>
      <c r="AD46" t="s">
        <v>794</v>
      </c>
      <c r="AE46" s="31">
        <v>45667</v>
      </c>
      <c r="AF46" s="61">
        <v>0.50881944444444449</v>
      </c>
      <c r="AH46" t="s">
        <v>795</v>
      </c>
      <c r="AI46" s="31">
        <v>45818</v>
      </c>
      <c r="AJ46" s="61">
        <v>0.61144675925925929</v>
      </c>
      <c r="AK46" t="s">
        <v>858</v>
      </c>
      <c r="AM46" t="s">
        <v>1107</v>
      </c>
      <c r="AN46" t="s">
        <v>960</v>
      </c>
      <c r="AO46" t="s">
        <v>22</v>
      </c>
      <c r="AP46" t="s">
        <v>1107</v>
      </c>
      <c r="AR46" s="31"/>
      <c r="AX46">
        <v>1</v>
      </c>
    </row>
    <row r="47" spans="1:50" x14ac:dyDescent="0.25">
      <c r="A47" t="s">
        <v>22</v>
      </c>
      <c r="B47">
        <v>155</v>
      </c>
      <c r="D47">
        <v>1547</v>
      </c>
      <c r="G47" t="s">
        <v>1108</v>
      </c>
      <c r="J47" t="s">
        <v>1109</v>
      </c>
      <c r="K47" t="s">
        <v>1110</v>
      </c>
      <c r="M47" t="s">
        <v>1111</v>
      </c>
      <c r="P47" t="s">
        <v>778</v>
      </c>
      <c r="W47" t="s">
        <v>780</v>
      </c>
      <c r="X47" t="s">
        <v>857</v>
      </c>
      <c r="Z47" s="31"/>
      <c r="AC47">
        <v>18</v>
      </c>
      <c r="AD47" t="s">
        <v>22</v>
      </c>
      <c r="AE47" s="31">
        <v>45667</v>
      </c>
      <c r="AF47" s="61">
        <v>0.61699074074074078</v>
      </c>
      <c r="AH47" t="s">
        <v>795</v>
      </c>
      <c r="AI47" s="31">
        <v>45685</v>
      </c>
      <c r="AJ47" s="61">
        <v>0.70386574074074071</v>
      </c>
      <c r="AK47" t="s">
        <v>796</v>
      </c>
      <c r="AL47" t="s">
        <v>1112</v>
      </c>
      <c r="AN47" t="s">
        <v>1113</v>
      </c>
      <c r="AO47" t="s">
        <v>22</v>
      </c>
      <c r="AP47" t="s">
        <v>1113</v>
      </c>
      <c r="AR47" s="31"/>
      <c r="AX47">
        <v>1</v>
      </c>
    </row>
    <row r="48" spans="1:50" x14ac:dyDescent="0.25">
      <c r="A48" t="s">
        <v>22</v>
      </c>
      <c r="B48">
        <v>164</v>
      </c>
      <c r="D48">
        <v>1582</v>
      </c>
      <c r="G48" t="s">
        <v>1114</v>
      </c>
      <c r="H48">
        <v>2675142000184</v>
      </c>
      <c r="J48" t="s">
        <v>1115</v>
      </c>
      <c r="K48" t="s">
        <v>1116</v>
      </c>
      <c r="M48" t="s">
        <v>1117</v>
      </c>
      <c r="P48" t="s">
        <v>778</v>
      </c>
      <c r="Q48" t="s">
        <v>923</v>
      </c>
      <c r="S48" t="s">
        <v>814</v>
      </c>
      <c r="V48" t="s">
        <v>1118</v>
      </c>
      <c r="W48" t="s">
        <v>780</v>
      </c>
      <c r="X48" t="s">
        <v>807</v>
      </c>
      <c r="Z48" s="31"/>
      <c r="AC48">
        <v>65</v>
      </c>
      <c r="AD48" t="s">
        <v>794</v>
      </c>
      <c r="AE48" s="31">
        <v>45672</v>
      </c>
      <c r="AF48" s="61">
        <v>0.73280092592592594</v>
      </c>
      <c r="AH48" t="s">
        <v>795</v>
      </c>
      <c r="AI48" s="31">
        <v>45737</v>
      </c>
      <c r="AJ48" s="61">
        <v>0.60968750000000005</v>
      </c>
      <c r="AK48" t="s">
        <v>1119</v>
      </c>
      <c r="AM48" t="s">
        <v>1120</v>
      </c>
      <c r="AN48" t="s">
        <v>960</v>
      </c>
      <c r="AO48" t="s">
        <v>794</v>
      </c>
      <c r="AP48" t="s">
        <v>1121</v>
      </c>
      <c r="AR48" s="31"/>
      <c r="AX48">
        <v>1</v>
      </c>
    </row>
    <row r="49" spans="1:50" x14ac:dyDescent="0.25">
      <c r="A49" t="s">
        <v>44</v>
      </c>
      <c r="B49">
        <v>166</v>
      </c>
      <c r="D49">
        <v>745</v>
      </c>
      <c r="F49" t="s">
        <v>1122</v>
      </c>
      <c r="G49" t="s">
        <v>1123</v>
      </c>
      <c r="H49">
        <v>48314771000180</v>
      </c>
      <c r="J49" t="s">
        <v>1124</v>
      </c>
      <c r="K49" t="s">
        <v>1125</v>
      </c>
      <c r="M49" t="s">
        <v>1126</v>
      </c>
      <c r="O49" t="s">
        <v>1127</v>
      </c>
      <c r="P49" t="s">
        <v>778</v>
      </c>
      <c r="V49" t="s">
        <v>1128</v>
      </c>
      <c r="W49" t="s">
        <v>780</v>
      </c>
      <c r="X49" t="s">
        <v>857</v>
      </c>
      <c r="Z49" s="31"/>
      <c r="AC49">
        <v>36</v>
      </c>
      <c r="AD49" t="s">
        <v>794</v>
      </c>
      <c r="AE49" s="31">
        <v>45673</v>
      </c>
      <c r="AF49" s="61">
        <v>0.46156249999999999</v>
      </c>
      <c r="AH49" t="s">
        <v>795</v>
      </c>
      <c r="AI49" s="31">
        <v>45709</v>
      </c>
      <c r="AJ49" s="61">
        <v>0.50829861111111108</v>
      </c>
      <c r="AK49" t="s">
        <v>796</v>
      </c>
      <c r="AL49" t="s">
        <v>1129</v>
      </c>
      <c r="AM49" t="s">
        <v>1130</v>
      </c>
      <c r="AO49" t="s">
        <v>794</v>
      </c>
      <c r="AP49" t="s">
        <v>1131</v>
      </c>
      <c r="AR49" s="31"/>
      <c r="AX49">
        <v>1</v>
      </c>
    </row>
    <row r="50" spans="1:50" x14ac:dyDescent="0.25">
      <c r="A50" t="s">
        <v>22</v>
      </c>
      <c r="B50">
        <v>167</v>
      </c>
      <c r="D50">
        <v>1599</v>
      </c>
      <c r="G50" t="s">
        <v>1132</v>
      </c>
      <c r="J50" t="s">
        <v>1133</v>
      </c>
      <c r="K50" t="s">
        <v>1134</v>
      </c>
      <c r="M50" t="s">
        <v>1111</v>
      </c>
      <c r="P50" t="s">
        <v>778</v>
      </c>
      <c r="S50" t="s">
        <v>933</v>
      </c>
      <c r="V50" t="s">
        <v>1135</v>
      </c>
      <c r="W50" t="s">
        <v>780</v>
      </c>
      <c r="X50" t="s">
        <v>807</v>
      </c>
      <c r="Y50" t="s">
        <v>817</v>
      </c>
      <c r="Z50" s="31">
        <v>45808</v>
      </c>
      <c r="AA50">
        <v>46000</v>
      </c>
      <c r="AB50">
        <v>308546</v>
      </c>
      <c r="AC50">
        <v>82</v>
      </c>
      <c r="AD50" t="s">
        <v>22</v>
      </c>
      <c r="AE50" s="31">
        <v>45673</v>
      </c>
      <c r="AF50" s="61">
        <v>0.58497685185185189</v>
      </c>
      <c r="AH50" t="s">
        <v>795</v>
      </c>
      <c r="AI50" s="31">
        <v>45755</v>
      </c>
      <c r="AJ50" s="61">
        <v>0.39619212962962957</v>
      </c>
      <c r="AK50" t="s">
        <v>858</v>
      </c>
      <c r="AN50" t="s">
        <v>1136</v>
      </c>
      <c r="AO50" t="s">
        <v>22</v>
      </c>
      <c r="AP50" t="s">
        <v>1136</v>
      </c>
      <c r="AR50" s="31"/>
      <c r="AX50">
        <v>1</v>
      </c>
    </row>
    <row r="51" spans="1:50" x14ac:dyDescent="0.25">
      <c r="A51" t="s">
        <v>44</v>
      </c>
      <c r="B51">
        <v>169</v>
      </c>
      <c r="D51">
        <v>735</v>
      </c>
      <c r="F51" t="s">
        <v>1137</v>
      </c>
      <c r="G51" t="s">
        <v>1138</v>
      </c>
      <c r="H51">
        <v>16941656000149</v>
      </c>
      <c r="J51" t="s">
        <v>1139</v>
      </c>
      <c r="K51" t="s">
        <v>1140</v>
      </c>
      <c r="M51" t="s">
        <v>1141</v>
      </c>
      <c r="O51" t="s">
        <v>1142</v>
      </c>
      <c r="P51" t="s">
        <v>778</v>
      </c>
      <c r="W51" t="s">
        <v>780</v>
      </c>
      <c r="X51" t="s">
        <v>793</v>
      </c>
      <c r="Z51" s="31"/>
      <c r="AA51">
        <v>16700</v>
      </c>
      <c r="AB51">
        <v>18186</v>
      </c>
      <c r="AC51">
        <v>6</v>
      </c>
      <c r="AD51" t="s">
        <v>794</v>
      </c>
      <c r="AE51" s="31">
        <v>45673</v>
      </c>
      <c r="AF51" s="61">
        <v>0.71754629629629629</v>
      </c>
      <c r="AH51" t="s">
        <v>795</v>
      </c>
      <c r="AI51" s="31">
        <v>45679</v>
      </c>
      <c r="AJ51" s="61">
        <v>0.50843749999999999</v>
      </c>
      <c r="AK51" t="s">
        <v>796</v>
      </c>
      <c r="AL51" t="s">
        <v>1143</v>
      </c>
      <c r="AM51" t="s">
        <v>1144</v>
      </c>
      <c r="AN51" t="s">
        <v>1145</v>
      </c>
      <c r="AO51" t="s">
        <v>794</v>
      </c>
      <c r="AP51" t="s">
        <v>1146</v>
      </c>
      <c r="AR51" s="31"/>
      <c r="AX51">
        <v>1</v>
      </c>
    </row>
    <row r="52" spans="1:50" x14ac:dyDescent="0.25">
      <c r="A52" t="s">
        <v>44</v>
      </c>
      <c r="B52">
        <v>174</v>
      </c>
      <c r="D52">
        <v>734</v>
      </c>
      <c r="F52" t="s">
        <v>1147</v>
      </c>
      <c r="G52" t="s">
        <v>1148</v>
      </c>
      <c r="H52">
        <v>66559436000123</v>
      </c>
      <c r="J52" t="s">
        <v>1149</v>
      </c>
      <c r="K52" t="s">
        <v>1150</v>
      </c>
      <c r="M52" t="s">
        <v>1151</v>
      </c>
      <c r="O52" t="s">
        <v>1152</v>
      </c>
      <c r="P52" t="s">
        <v>778</v>
      </c>
      <c r="W52" t="s">
        <v>780</v>
      </c>
      <c r="X52" t="s">
        <v>781</v>
      </c>
      <c r="Z52" s="31"/>
      <c r="AC52">
        <v>31</v>
      </c>
      <c r="AD52" t="s">
        <v>794</v>
      </c>
      <c r="AE52" s="31">
        <v>45678</v>
      </c>
      <c r="AF52" s="61">
        <v>0.4437962962962963</v>
      </c>
      <c r="AH52" t="s">
        <v>795</v>
      </c>
      <c r="AI52" s="31">
        <v>45709</v>
      </c>
      <c r="AJ52" s="61">
        <v>0.45508101851851851</v>
      </c>
      <c r="AK52" t="s">
        <v>796</v>
      </c>
      <c r="AL52" t="s">
        <v>1153</v>
      </c>
      <c r="AM52" t="s">
        <v>1154</v>
      </c>
      <c r="AO52" t="s">
        <v>794</v>
      </c>
      <c r="AP52" t="s">
        <v>1155</v>
      </c>
      <c r="AR52" s="31"/>
      <c r="AX52">
        <v>1</v>
      </c>
    </row>
    <row r="53" spans="1:50" x14ac:dyDescent="0.25">
      <c r="A53" t="s">
        <v>44</v>
      </c>
      <c r="B53">
        <v>178</v>
      </c>
      <c r="D53">
        <v>1619</v>
      </c>
      <c r="G53" t="s">
        <v>1156</v>
      </c>
      <c r="H53">
        <v>2306559000331</v>
      </c>
      <c r="J53" t="s">
        <v>1157</v>
      </c>
      <c r="K53" t="s">
        <v>1158</v>
      </c>
      <c r="M53" t="s">
        <v>1159</v>
      </c>
      <c r="P53" t="s">
        <v>778</v>
      </c>
      <c r="W53" t="s">
        <v>780</v>
      </c>
      <c r="X53" t="s">
        <v>807</v>
      </c>
      <c r="Y53" t="s">
        <v>817</v>
      </c>
      <c r="Z53" s="31"/>
      <c r="AA53">
        <v>11520</v>
      </c>
      <c r="AB53">
        <v>14114</v>
      </c>
      <c r="AC53">
        <v>30</v>
      </c>
      <c r="AD53" t="s">
        <v>44</v>
      </c>
      <c r="AE53" s="31">
        <v>45679</v>
      </c>
      <c r="AF53" s="61">
        <v>0.51081018518518517</v>
      </c>
      <c r="AH53" t="s">
        <v>795</v>
      </c>
      <c r="AI53" s="31">
        <v>45709</v>
      </c>
      <c r="AJ53" s="61">
        <v>0.50973379629629634</v>
      </c>
      <c r="AK53" t="s">
        <v>974</v>
      </c>
      <c r="AL53" t="s">
        <v>1160</v>
      </c>
      <c r="AN53" t="s">
        <v>1145</v>
      </c>
      <c r="AP53" t="s">
        <v>1161</v>
      </c>
      <c r="AR53" s="31"/>
      <c r="AX53">
        <v>1</v>
      </c>
    </row>
    <row r="54" spans="1:50" x14ac:dyDescent="0.25">
      <c r="A54" t="s">
        <v>44</v>
      </c>
      <c r="B54">
        <v>179</v>
      </c>
      <c r="D54">
        <v>1621</v>
      </c>
      <c r="G54" t="s">
        <v>1162</v>
      </c>
      <c r="J54" t="s">
        <v>1163</v>
      </c>
      <c r="K54" t="s">
        <v>1164</v>
      </c>
      <c r="M54" t="s">
        <v>1165</v>
      </c>
      <c r="P54" t="s">
        <v>778</v>
      </c>
      <c r="W54" t="s">
        <v>780</v>
      </c>
      <c r="X54" t="s">
        <v>793</v>
      </c>
      <c r="Y54" t="s">
        <v>817</v>
      </c>
      <c r="Z54" s="31"/>
      <c r="AA54">
        <v>61056</v>
      </c>
      <c r="AB54">
        <v>625045</v>
      </c>
      <c r="AC54">
        <v>14</v>
      </c>
      <c r="AD54" t="s">
        <v>44</v>
      </c>
      <c r="AE54" s="31">
        <v>45680</v>
      </c>
      <c r="AF54" s="61">
        <v>0.39780092592592592</v>
      </c>
      <c r="AH54" t="s">
        <v>795</v>
      </c>
      <c r="AI54" s="31">
        <v>45694</v>
      </c>
      <c r="AJ54" s="61">
        <v>0.66874999999999996</v>
      </c>
      <c r="AK54" t="s">
        <v>867</v>
      </c>
      <c r="AL54" t="s">
        <v>1166</v>
      </c>
      <c r="AN54" t="s">
        <v>1167</v>
      </c>
      <c r="AP54" t="s">
        <v>1168</v>
      </c>
      <c r="AQ54" t="s">
        <v>1167</v>
      </c>
      <c r="AR54" s="31"/>
      <c r="AX54">
        <v>1</v>
      </c>
    </row>
    <row r="55" spans="1:50" x14ac:dyDescent="0.25">
      <c r="A55" t="s">
        <v>44</v>
      </c>
      <c r="B55">
        <v>183</v>
      </c>
      <c r="D55">
        <v>1631</v>
      </c>
      <c r="G55" t="s">
        <v>1169</v>
      </c>
      <c r="J55" t="s">
        <v>1170</v>
      </c>
      <c r="K55" t="s">
        <v>1171</v>
      </c>
      <c r="M55" t="s">
        <v>1172</v>
      </c>
      <c r="P55" t="s">
        <v>778</v>
      </c>
      <c r="S55" t="s">
        <v>1068</v>
      </c>
      <c r="W55" t="s">
        <v>780</v>
      </c>
      <c r="X55" t="s">
        <v>816</v>
      </c>
      <c r="Y55" t="s">
        <v>817</v>
      </c>
      <c r="Z55" s="31"/>
      <c r="AA55">
        <v>16960</v>
      </c>
      <c r="AB55">
        <v>863104</v>
      </c>
      <c r="AC55">
        <v>103</v>
      </c>
      <c r="AD55" t="s">
        <v>44</v>
      </c>
      <c r="AE55" s="31">
        <v>45681</v>
      </c>
      <c r="AF55" s="61">
        <v>0.4445486111111111</v>
      </c>
      <c r="AH55" t="s">
        <v>818</v>
      </c>
      <c r="AI55" s="31">
        <v>45784</v>
      </c>
      <c r="AJ55" s="61">
        <v>0.37054398148148149</v>
      </c>
      <c r="AN55" t="s">
        <v>890</v>
      </c>
      <c r="AP55" t="s">
        <v>1168</v>
      </c>
      <c r="AR55" s="31"/>
      <c r="AX55">
        <v>1</v>
      </c>
    </row>
    <row r="56" spans="1:50" x14ac:dyDescent="0.25">
      <c r="A56" t="s">
        <v>44</v>
      </c>
      <c r="B56">
        <v>187</v>
      </c>
      <c r="D56">
        <v>1642</v>
      </c>
      <c r="G56" t="s">
        <v>1173</v>
      </c>
      <c r="J56" t="s">
        <v>1174</v>
      </c>
      <c r="K56" t="s">
        <v>1175</v>
      </c>
      <c r="M56" t="s">
        <v>1176</v>
      </c>
      <c r="P56" t="s">
        <v>778</v>
      </c>
      <c r="W56" t="s">
        <v>780</v>
      </c>
      <c r="X56" t="s">
        <v>857</v>
      </c>
      <c r="Z56" s="31"/>
      <c r="AC56">
        <v>49</v>
      </c>
      <c r="AD56" t="s">
        <v>44</v>
      </c>
      <c r="AE56" s="31">
        <v>45684</v>
      </c>
      <c r="AF56" s="61">
        <v>0.62056712962962968</v>
      </c>
      <c r="AH56" t="s">
        <v>795</v>
      </c>
      <c r="AI56" s="31">
        <v>45733</v>
      </c>
      <c r="AJ56" s="61">
        <v>0.41342592592592592</v>
      </c>
      <c r="AK56" t="s">
        <v>796</v>
      </c>
      <c r="AL56" t="s">
        <v>1177</v>
      </c>
      <c r="AP56" t="s">
        <v>1167</v>
      </c>
      <c r="AR56" s="31"/>
      <c r="AX56">
        <v>1</v>
      </c>
    </row>
    <row r="57" spans="1:50" x14ac:dyDescent="0.25">
      <c r="A57" t="s">
        <v>44</v>
      </c>
      <c r="B57">
        <v>188</v>
      </c>
      <c r="D57">
        <v>1643</v>
      </c>
      <c r="G57" t="s">
        <v>1178</v>
      </c>
      <c r="J57" t="s">
        <v>1179</v>
      </c>
      <c r="K57" t="s">
        <v>1180</v>
      </c>
      <c r="M57" t="s">
        <v>1093</v>
      </c>
      <c r="P57" t="s">
        <v>778</v>
      </c>
      <c r="W57" t="s">
        <v>780</v>
      </c>
      <c r="X57" t="s">
        <v>807</v>
      </c>
      <c r="Z57" s="31"/>
      <c r="AA57">
        <v>1600</v>
      </c>
      <c r="AB57">
        <v>314528</v>
      </c>
      <c r="AC57">
        <v>25</v>
      </c>
      <c r="AD57" t="s">
        <v>44</v>
      </c>
      <c r="AE57" s="31">
        <v>45684</v>
      </c>
      <c r="AF57" s="61">
        <v>0.65873842592592591</v>
      </c>
      <c r="AH57" t="s">
        <v>795</v>
      </c>
      <c r="AI57" s="31">
        <v>45709</v>
      </c>
      <c r="AJ57" s="61">
        <v>0.60328703703703701</v>
      </c>
      <c r="AK57" t="s">
        <v>934</v>
      </c>
      <c r="AN57" t="s">
        <v>1145</v>
      </c>
      <c r="AP57" t="s">
        <v>1096</v>
      </c>
      <c r="AR57" s="31"/>
      <c r="AX57">
        <v>1</v>
      </c>
    </row>
    <row r="58" spans="1:50" x14ac:dyDescent="0.25">
      <c r="A58" t="s">
        <v>44</v>
      </c>
      <c r="B58">
        <v>191</v>
      </c>
      <c r="D58">
        <v>1651</v>
      </c>
      <c r="G58" t="s">
        <v>1181</v>
      </c>
      <c r="J58" t="s">
        <v>1163</v>
      </c>
      <c r="K58" t="s">
        <v>1164</v>
      </c>
      <c r="M58" t="s">
        <v>1165</v>
      </c>
      <c r="P58" t="s">
        <v>778</v>
      </c>
      <c r="W58" t="s">
        <v>780</v>
      </c>
      <c r="X58" t="s">
        <v>793</v>
      </c>
      <c r="Z58" s="31"/>
      <c r="AA58">
        <v>1600</v>
      </c>
      <c r="AB58">
        <v>4063</v>
      </c>
      <c r="AC58">
        <v>9</v>
      </c>
      <c r="AD58" t="s">
        <v>44</v>
      </c>
      <c r="AE58" s="31">
        <v>45685</v>
      </c>
      <c r="AF58" s="61">
        <v>0.62687499999999996</v>
      </c>
      <c r="AH58" t="s">
        <v>795</v>
      </c>
      <c r="AI58" s="31">
        <v>45694</v>
      </c>
      <c r="AJ58" s="61">
        <v>0.66998842592592589</v>
      </c>
      <c r="AK58" t="s">
        <v>867</v>
      </c>
      <c r="AL58" t="s">
        <v>1166</v>
      </c>
      <c r="AR58" s="31"/>
      <c r="AX58">
        <v>1</v>
      </c>
    </row>
    <row r="59" spans="1:50" x14ac:dyDescent="0.25">
      <c r="A59" t="s">
        <v>22</v>
      </c>
      <c r="B59">
        <v>193</v>
      </c>
      <c r="D59">
        <v>1608</v>
      </c>
      <c r="G59" t="s">
        <v>1182</v>
      </c>
      <c r="H59">
        <v>2142286000175</v>
      </c>
      <c r="J59" t="s">
        <v>1183</v>
      </c>
      <c r="K59" t="s">
        <v>1184</v>
      </c>
      <c r="M59" t="s">
        <v>1185</v>
      </c>
      <c r="P59" t="s">
        <v>778</v>
      </c>
      <c r="Q59" t="s">
        <v>923</v>
      </c>
      <c r="S59" t="s">
        <v>814</v>
      </c>
      <c r="V59" t="s">
        <v>1186</v>
      </c>
      <c r="W59" t="s">
        <v>780</v>
      </c>
      <c r="X59" t="s">
        <v>807</v>
      </c>
      <c r="Z59" s="31"/>
      <c r="AC59">
        <v>9</v>
      </c>
      <c r="AD59" t="s">
        <v>22</v>
      </c>
      <c r="AE59" s="31">
        <v>45685</v>
      </c>
      <c r="AF59" s="61">
        <v>0.69854166666666662</v>
      </c>
      <c r="AH59" t="s">
        <v>795</v>
      </c>
      <c r="AI59" s="31">
        <v>45694</v>
      </c>
      <c r="AJ59" s="61">
        <v>0.72714120370370372</v>
      </c>
      <c r="AK59" t="s">
        <v>867</v>
      </c>
      <c r="AN59" t="s">
        <v>1187</v>
      </c>
      <c r="AP59" t="s">
        <v>1187</v>
      </c>
      <c r="AR59" s="31"/>
      <c r="AX59">
        <v>1</v>
      </c>
    </row>
    <row r="60" spans="1:50" x14ac:dyDescent="0.25">
      <c r="A60" t="s">
        <v>22</v>
      </c>
      <c r="B60">
        <v>195</v>
      </c>
      <c r="D60">
        <v>1603</v>
      </c>
      <c r="G60" t="s">
        <v>1188</v>
      </c>
      <c r="J60" t="s">
        <v>1189</v>
      </c>
      <c r="K60" t="s">
        <v>1190</v>
      </c>
      <c r="M60" t="s">
        <v>1111</v>
      </c>
      <c r="P60" t="s">
        <v>778</v>
      </c>
      <c r="S60" t="s">
        <v>1191</v>
      </c>
      <c r="W60" t="s">
        <v>780</v>
      </c>
      <c r="X60" t="s">
        <v>807</v>
      </c>
      <c r="Z60" s="31"/>
      <c r="AC60">
        <v>9</v>
      </c>
      <c r="AD60" t="s">
        <v>22</v>
      </c>
      <c r="AE60" s="31">
        <v>45685</v>
      </c>
      <c r="AF60" s="61">
        <v>0.71567129629629633</v>
      </c>
      <c r="AH60" t="s">
        <v>795</v>
      </c>
      <c r="AI60" s="31">
        <v>45694</v>
      </c>
      <c r="AJ60" s="61">
        <v>0.73074074074074069</v>
      </c>
      <c r="AK60" t="s">
        <v>858</v>
      </c>
      <c r="AN60" t="s">
        <v>1187</v>
      </c>
      <c r="AP60" t="s">
        <v>1187</v>
      </c>
      <c r="AR60" s="31"/>
      <c r="AX60">
        <v>1</v>
      </c>
    </row>
    <row r="61" spans="1:50" x14ac:dyDescent="0.25">
      <c r="A61" t="s">
        <v>22</v>
      </c>
      <c r="B61">
        <v>196</v>
      </c>
      <c r="D61">
        <v>1596</v>
      </c>
      <c r="F61" t="s">
        <v>1192</v>
      </c>
      <c r="G61" t="s">
        <v>1193</v>
      </c>
      <c r="H61">
        <v>56884678000139</v>
      </c>
      <c r="J61" t="s">
        <v>1194</v>
      </c>
      <c r="K61" t="s">
        <v>1195</v>
      </c>
      <c r="M61" t="s">
        <v>1196</v>
      </c>
      <c r="P61" t="s">
        <v>778</v>
      </c>
      <c r="Q61" t="s">
        <v>1197</v>
      </c>
      <c r="R61" t="s">
        <v>790</v>
      </c>
      <c r="S61" t="s">
        <v>1191</v>
      </c>
      <c r="V61" t="s">
        <v>1198</v>
      </c>
      <c r="W61" t="s">
        <v>780</v>
      </c>
      <c r="X61" t="s">
        <v>807</v>
      </c>
      <c r="Z61" s="31"/>
      <c r="AC61">
        <v>1</v>
      </c>
      <c r="AD61" t="s">
        <v>22</v>
      </c>
      <c r="AE61" s="31">
        <v>45685</v>
      </c>
      <c r="AF61" s="61">
        <v>0.71672453703703709</v>
      </c>
      <c r="AH61" t="s">
        <v>795</v>
      </c>
      <c r="AI61" s="31">
        <v>45686</v>
      </c>
      <c r="AJ61" s="61">
        <v>4.1851851851851848E-2</v>
      </c>
      <c r="AK61" t="s">
        <v>867</v>
      </c>
      <c r="AN61" t="s">
        <v>1187</v>
      </c>
      <c r="AO61" t="s">
        <v>22</v>
      </c>
      <c r="AP61" t="s">
        <v>1187</v>
      </c>
      <c r="AR61" s="31"/>
      <c r="AX61">
        <v>1</v>
      </c>
    </row>
    <row r="62" spans="1:50" x14ac:dyDescent="0.25">
      <c r="A62" t="s">
        <v>22</v>
      </c>
      <c r="B62">
        <v>197</v>
      </c>
      <c r="D62">
        <v>1598</v>
      </c>
      <c r="G62" t="s">
        <v>1199</v>
      </c>
      <c r="J62" t="s">
        <v>1200</v>
      </c>
      <c r="K62" t="s">
        <v>1201</v>
      </c>
      <c r="M62" t="s">
        <v>1111</v>
      </c>
      <c r="P62" t="s">
        <v>778</v>
      </c>
      <c r="S62" t="s">
        <v>1191</v>
      </c>
      <c r="V62" t="s">
        <v>1198</v>
      </c>
      <c r="W62" t="s">
        <v>780</v>
      </c>
      <c r="X62" t="s">
        <v>807</v>
      </c>
      <c r="Z62" s="31"/>
      <c r="AC62">
        <v>1</v>
      </c>
      <c r="AD62" t="s">
        <v>22</v>
      </c>
      <c r="AE62" s="31">
        <v>45685</v>
      </c>
      <c r="AF62" s="61">
        <v>0.71711805555555552</v>
      </c>
      <c r="AH62" t="s">
        <v>795</v>
      </c>
      <c r="AI62" s="31">
        <v>45686</v>
      </c>
      <c r="AJ62" s="61">
        <v>4.3159722222222217E-2</v>
      </c>
      <c r="AK62" t="s">
        <v>867</v>
      </c>
      <c r="AN62" t="s">
        <v>1187</v>
      </c>
      <c r="AP62" t="s">
        <v>1187</v>
      </c>
      <c r="AR62" s="31"/>
      <c r="AX62">
        <v>1</v>
      </c>
    </row>
    <row r="63" spans="1:50" x14ac:dyDescent="0.25">
      <c r="A63" t="s">
        <v>22</v>
      </c>
      <c r="B63">
        <v>198</v>
      </c>
      <c r="D63">
        <v>1600</v>
      </c>
      <c r="G63" t="s">
        <v>1202</v>
      </c>
      <c r="J63" t="s">
        <v>1203</v>
      </c>
      <c r="K63" t="s">
        <v>1204</v>
      </c>
      <c r="M63" t="s">
        <v>1205</v>
      </c>
      <c r="P63" t="s">
        <v>778</v>
      </c>
      <c r="Q63" t="s">
        <v>1206</v>
      </c>
      <c r="S63" t="s">
        <v>814</v>
      </c>
      <c r="V63" t="s">
        <v>1198</v>
      </c>
      <c r="W63" t="s">
        <v>780</v>
      </c>
      <c r="X63" t="s">
        <v>807</v>
      </c>
      <c r="Z63" s="31"/>
      <c r="AC63">
        <v>1</v>
      </c>
      <c r="AD63" t="s">
        <v>22</v>
      </c>
      <c r="AE63" s="31">
        <v>45685</v>
      </c>
      <c r="AF63" s="61">
        <v>0.71755787037037033</v>
      </c>
      <c r="AH63" t="s">
        <v>795</v>
      </c>
      <c r="AI63" s="31">
        <v>45686</v>
      </c>
      <c r="AJ63" s="61">
        <v>4.5671296296296293E-2</v>
      </c>
      <c r="AK63" t="s">
        <v>867</v>
      </c>
      <c r="AN63" t="s">
        <v>1187</v>
      </c>
      <c r="AP63" t="s">
        <v>1187</v>
      </c>
      <c r="AR63" s="31"/>
      <c r="AX63">
        <v>1</v>
      </c>
    </row>
    <row r="64" spans="1:50" x14ac:dyDescent="0.25">
      <c r="A64" t="s">
        <v>22</v>
      </c>
      <c r="B64">
        <v>199</v>
      </c>
      <c r="D64">
        <v>1623</v>
      </c>
      <c r="E64" t="s">
        <v>1207</v>
      </c>
      <c r="G64" t="s">
        <v>1208</v>
      </c>
      <c r="J64" t="s">
        <v>1209</v>
      </c>
      <c r="K64" t="s">
        <v>1210</v>
      </c>
      <c r="M64" t="s">
        <v>1211</v>
      </c>
      <c r="P64" t="s">
        <v>778</v>
      </c>
      <c r="Q64" t="s">
        <v>1212</v>
      </c>
      <c r="S64" t="s">
        <v>1068</v>
      </c>
      <c r="V64" t="s">
        <v>1068</v>
      </c>
      <c r="W64" t="s">
        <v>780</v>
      </c>
      <c r="X64" t="s">
        <v>807</v>
      </c>
      <c r="Z64" s="31"/>
      <c r="AC64">
        <v>9</v>
      </c>
      <c r="AD64" t="s">
        <v>22</v>
      </c>
      <c r="AE64" s="31">
        <v>45685</v>
      </c>
      <c r="AF64" s="61">
        <v>0.71810185185185182</v>
      </c>
      <c r="AH64" t="s">
        <v>795</v>
      </c>
      <c r="AI64" s="31">
        <v>45694</v>
      </c>
      <c r="AJ64" s="61">
        <v>0.73619212962962965</v>
      </c>
      <c r="AK64" t="s">
        <v>867</v>
      </c>
      <c r="AN64" t="s">
        <v>1187</v>
      </c>
      <c r="AQ64" t="s">
        <v>1187</v>
      </c>
      <c r="AR64" s="31"/>
      <c r="AX64">
        <v>1</v>
      </c>
    </row>
    <row r="65" spans="1:50" x14ac:dyDescent="0.25">
      <c r="A65" t="s">
        <v>44</v>
      </c>
      <c r="B65">
        <v>200</v>
      </c>
      <c r="D65">
        <v>1660</v>
      </c>
      <c r="G65" t="s">
        <v>1213</v>
      </c>
      <c r="J65" t="s">
        <v>1214</v>
      </c>
      <c r="K65" t="s">
        <v>1215</v>
      </c>
      <c r="M65" t="s">
        <v>1216</v>
      </c>
      <c r="P65" t="s">
        <v>778</v>
      </c>
      <c r="W65" t="s">
        <v>780</v>
      </c>
      <c r="X65" t="s">
        <v>897</v>
      </c>
      <c r="Z65" s="31"/>
      <c r="AC65">
        <v>51</v>
      </c>
      <c r="AD65" t="s">
        <v>44</v>
      </c>
      <c r="AE65" s="31">
        <v>45686</v>
      </c>
      <c r="AF65" s="61">
        <v>0.39648148148148149</v>
      </c>
      <c r="AH65" t="s">
        <v>795</v>
      </c>
      <c r="AI65" s="31">
        <v>45737</v>
      </c>
      <c r="AJ65" s="61">
        <v>0.61332175925925925</v>
      </c>
      <c r="AK65" t="s">
        <v>858</v>
      </c>
      <c r="AL65" t="s">
        <v>1217</v>
      </c>
      <c r="AP65" t="s">
        <v>1059</v>
      </c>
      <c r="AR65" s="31"/>
      <c r="AX65">
        <v>1</v>
      </c>
    </row>
    <row r="66" spans="1:50" x14ac:dyDescent="0.25">
      <c r="A66" t="s">
        <v>22</v>
      </c>
      <c r="B66">
        <v>201</v>
      </c>
      <c r="D66">
        <v>198</v>
      </c>
      <c r="F66" t="s">
        <v>1218</v>
      </c>
      <c r="G66" t="s">
        <v>1219</v>
      </c>
      <c r="H66">
        <v>13474916000125</v>
      </c>
      <c r="J66" t="s">
        <v>1220</v>
      </c>
      <c r="K66" t="s">
        <v>1221</v>
      </c>
      <c r="M66" t="s">
        <v>1222</v>
      </c>
      <c r="O66" t="s">
        <v>1223</v>
      </c>
      <c r="P66" t="s">
        <v>778</v>
      </c>
      <c r="Q66" t="s">
        <v>1224</v>
      </c>
      <c r="R66" t="s">
        <v>790</v>
      </c>
      <c r="S66" t="s">
        <v>791</v>
      </c>
      <c r="V66" t="s">
        <v>1225</v>
      </c>
      <c r="W66" t="s">
        <v>780</v>
      </c>
      <c r="X66" t="s">
        <v>857</v>
      </c>
      <c r="Z66" s="31"/>
      <c r="AC66">
        <v>8</v>
      </c>
      <c r="AD66" t="s">
        <v>794</v>
      </c>
      <c r="AE66" s="31">
        <v>45686</v>
      </c>
      <c r="AF66" s="61">
        <v>0.49991898148148151</v>
      </c>
      <c r="AH66" t="s">
        <v>795</v>
      </c>
      <c r="AI66" s="31">
        <v>45694</v>
      </c>
      <c r="AJ66" s="61">
        <v>0.57891203703703709</v>
      </c>
      <c r="AK66" t="s">
        <v>1226</v>
      </c>
      <c r="AM66" t="s">
        <v>1227</v>
      </c>
      <c r="AO66" t="s">
        <v>794</v>
      </c>
      <c r="AP66" t="s">
        <v>1228</v>
      </c>
      <c r="AR66" s="31"/>
      <c r="AX66">
        <v>1</v>
      </c>
    </row>
    <row r="67" spans="1:50" x14ac:dyDescent="0.25">
      <c r="A67" t="s">
        <v>44</v>
      </c>
      <c r="B67">
        <v>202</v>
      </c>
      <c r="D67">
        <v>1665</v>
      </c>
      <c r="G67" t="s">
        <v>1229</v>
      </c>
      <c r="J67" t="s">
        <v>1230</v>
      </c>
      <c r="K67" t="s">
        <v>1036</v>
      </c>
      <c r="M67" t="s">
        <v>1037</v>
      </c>
      <c r="P67" t="s">
        <v>778</v>
      </c>
      <c r="W67" t="s">
        <v>780</v>
      </c>
      <c r="X67" t="s">
        <v>816</v>
      </c>
      <c r="Z67" s="31"/>
      <c r="AA67">
        <v>1600</v>
      </c>
      <c r="AB67">
        <v>1824</v>
      </c>
      <c r="AC67">
        <v>34</v>
      </c>
      <c r="AD67" t="s">
        <v>44</v>
      </c>
      <c r="AE67" s="31">
        <v>45687</v>
      </c>
      <c r="AF67" s="61">
        <v>0.41543981481481479</v>
      </c>
      <c r="AH67" t="s">
        <v>795</v>
      </c>
      <c r="AI67" s="31">
        <v>45721</v>
      </c>
      <c r="AJ67" s="61">
        <v>0.46659722222222222</v>
      </c>
      <c r="AK67" t="s">
        <v>796</v>
      </c>
      <c r="AL67" t="s">
        <v>1231</v>
      </c>
      <c r="AN67" t="s">
        <v>1039</v>
      </c>
      <c r="AR67" s="31"/>
      <c r="AX67">
        <v>1</v>
      </c>
    </row>
    <row r="68" spans="1:50" x14ac:dyDescent="0.25">
      <c r="A68" t="s">
        <v>44</v>
      </c>
      <c r="B68">
        <v>203</v>
      </c>
      <c r="D68">
        <v>1666</v>
      </c>
      <c r="G68" t="s">
        <v>1232</v>
      </c>
      <c r="J68" t="s">
        <v>1233</v>
      </c>
      <c r="K68" t="s">
        <v>1234</v>
      </c>
      <c r="M68" t="s">
        <v>1235</v>
      </c>
      <c r="P68" t="s">
        <v>778</v>
      </c>
      <c r="W68" t="s">
        <v>780</v>
      </c>
      <c r="X68" t="s">
        <v>857</v>
      </c>
      <c r="Z68" s="31"/>
      <c r="AC68">
        <v>22</v>
      </c>
      <c r="AD68" t="s">
        <v>44</v>
      </c>
      <c r="AE68" s="31">
        <v>45687</v>
      </c>
      <c r="AF68" s="61">
        <v>0.45832175925925928</v>
      </c>
      <c r="AH68" t="s">
        <v>795</v>
      </c>
      <c r="AI68" s="31">
        <v>45709</v>
      </c>
      <c r="AJ68" s="61">
        <v>0.50681712962962966</v>
      </c>
      <c r="AK68" t="s">
        <v>858</v>
      </c>
      <c r="AL68" t="s">
        <v>1236</v>
      </c>
      <c r="AP68" t="s">
        <v>1237</v>
      </c>
      <c r="AR68" s="31"/>
      <c r="AX68">
        <v>1</v>
      </c>
    </row>
    <row r="69" spans="1:50" x14ac:dyDescent="0.25">
      <c r="A69" t="s">
        <v>44</v>
      </c>
      <c r="B69">
        <v>204</v>
      </c>
      <c r="D69">
        <v>1669</v>
      </c>
      <c r="G69" t="s">
        <v>1238</v>
      </c>
      <c r="J69" t="s">
        <v>1239</v>
      </c>
      <c r="K69" t="s">
        <v>1240</v>
      </c>
      <c r="M69" t="s">
        <v>1241</v>
      </c>
      <c r="P69" t="s">
        <v>778</v>
      </c>
      <c r="W69" t="s">
        <v>780</v>
      </c>
      <c r="X69" t="s">
        <v>781</v>
      </c>
      <c r="Z69" s="31"/>
      <c r="AA69">
        <v>837998</v>
      </c>
      <c r="AB69">
        <v>516364</v>
      </c>
      <c r="AC69">
        <v>0</v>
      </c>
      <c r="AD69" t="s">
        <v>22</v>
      </c>
      <c r="AE69" s="31">
        <v>45689</v>
      </c>
      <c r="AF69" s="61">
        <v>7.4224537037037033E-2</v>
      </c>
      <c r="AH69" t="s">
        <v>818</v>
      </c>
      <c r="AI69" s="31">
        <v>45689</v>
      </c>
      <c r="AJ69" s="61">
        <v>0.14140046296296299</v>
      </c>
      <c r="AR69" s="31"/>
      <c r="AX69">
        <v>1</v>
      </c>
    </row>
    <row r="70" spans="1:50" x14ac:dyDescent="0.25">
      <c r="A70" t="s">
        <v>22</v>
      </c>
      <c r="B70">
        <v>205</v>
      </c>
      <c r="D70">
        <v>1670</v>
      </c>
      <c r="G70" t="s">
        <v>1242</v>
      </c>
      <c r="J70" t="s">
        <v>1243</v>
      </c>
      <c r="K70" t="s">
        <v>1244</v>
      </c>
      <c r="M70" t="s">
        <v>1245</v>
      </c>
      <c r="P70" t="s">
        <v>778</v>
      </c>
      <c r="W70" t="s">
        <v>780</v>
      </c>
      <c r="X70" t="s">
        <v>816</v>
      </c>
      <c r="Z70" s="31"/>
      <c r="AA70">
        <v>299984</v>
      </c>
      <c r="AB70">
        <v>0</v>
      </c>
      <c r="AC70">
        <v>0</v>
      </c>
      <c r="AD70" t="s">
        <v>22</v>
      </c>
      <c r="AE70" s="31">
        <v>45689</v>
      </c>
      <c r="AF70" s="61">
        <v>9.1087962962962968E-2</v>
      </c>
      <c r="AH70" t="s">
        <v>818</v>
      </c>
      <c r="AI70" s="31">
        <v>45689</v>
      </c>
      <c r="AJ70" s="61">
        <v>9.9201388888888895E-2</v>
      </c>
      <c r="AN70" t="s">
        <v>888</v>
      </c>
      <c r="AO70" t="s">
        <v>22</v>
      </c>
      <c r="AP70" t="s">
        <v>888</v>
      </c>
      <c r="AR70" s="31"/>
      <c r="AX70">
        <v>1</v>
      </c>
    </row>
    <row r="71" spans="1:50" x14ac:dyDescent="0.25">
      <c r="A71" t="s">
        <v>22</v>
      </c>
      <c r="B71">
        <v>206</v>
      </c>
      <c r="D71">
        <v>1671</v>
      </c>
      <c r="G71" t="s">
        <v>1246</v>
      </c>
      <c r="J71" t="s">
        <v>1247</v>
      </c>
      <c r="K71" t="s">
        <v>1248</v>
      </c>
      <c r="M71" t="s">
        <v>1249</v>
      </c>
      <c r="P71" t="s">
        <v>778</v>
      </c>
      <c r="W71" t="s">
        <v>780</v>
      </c>
      <c r="X71" t="s">
        <v>816</v>
      </c>
      <c r="Z71" s="31"/>
      <c r="AA71">
        <v>1936</v>
      </c>
      <c r="AB71">
        <v>0</v>
      </c>
      <c r="AC71">
        <v>0</v>
      </c>
      <c r="AD71" t="s">
        <v>22</v>
      </c>
      <c r="AE71" s="31">
        <v>45689</v>
      </c>
      <c r="AF71" s="61">
        <v>9.2152777777777778E-2</v>
      </c>
      <c r="AH71" t="s">
        <v>818</v>
      </c>
      <c r="AI71" s="31">
        <v>45689</v>
      </c>
      <c r="AJ71" s="61">
        <v>9.7048611111111113E-2</v>
      </c>
      <c r="AN71" t="s">
        <v>1250</v>
      </c>
      <c r="AO71" t="s">
        <v>22</v>
      </c>
      <c r="AP71" t="s">
        <v>1250</v>
      </c>
      <c r="AR71" s="31"/>
      <c r="AX71">
        <v>1</v>
      </c>
    </row>
    <row r="72" spans="1:50" x14ac:dyDescent="0.25">
      <c r="A72" t="s">
        <v>22</v>
      </c>
      <c r="B72">
        <v>207</v>
      </c>
      <c r="D72">
        <v>1672</v>
      </c>
      <c r="G72" t="s">
        <v>1251</v>
      </c>
      <c r="J72" t="s">
        <v>1252</v>
      </c>
      <c r="M72" t="s">
        <v>1253</v>
      </c>
      <c r="P72" t="s">
        <v>778</v>
      </c>
      <c r="W72" t="s">
        <v>780</v>
      </c>
      <c r="X72" t="s">
        <v>816</v>
      </c>
      <c r="Z72" s="31"/>
      <c r="AA72">
        <v>6160</v>
      </c>
      <c r="AB72">
        <v>0</v>
      </c>
      <c r="AC72">
        <v>0</v>
      </c>
      <c r="AD72" t="s">
        <v>22</v>
      </c>
      <c r="AE72" s="31">
        <v>45689</v>
      </c>
      <c r="AF72" s="61">
        <v>9.2499999999999999E-2</v>
      </c>
      <c r="AH72" t="s">
        <v>818</v>
      </c>
      <c r="AI72" s="31">
        <v>45689</v>
      </c>
      <c r="AJ72" s="61">
        <v>9.7812499999999997E-2</v>
      </c>
      <c r="AN72" t="s">
        <v>1254</v>
      </c>
      <c r="AO72" t="s">
        <v>22</v>
      </c>
      <c r="AP72" t="s">
        <v>1254</v>
      </c>
      <c r="AR72" s="31"/>
      <c r="AX72">
        <v>1</v>
      </c>
    </row>
    <row r="73" spans="1:50" x14ac:dyDescent="0.25">
      <c r="A73" t="s">
        <v>22</v>
      </c>
      <c r="B73">
        <v>208</v>
      </c>
      <c r="D73">
        <v>1673</v>
      </c>
      <c r="G73" t="s">
        <v>1255</v>
      </c>
      <c r="J73" t="s">
        <v>678</v>
      </c>
      <c r="M73" t="s">
        <v>1256</v>
      </c>
      <c r="P73" t="s">
        <v>778</v>
      </c>
      <c r="W73" t="s">
        <v>780</v>
      </c>
      <c r="X73" t="s">
        <v>816</v>
      </c>
      <c r="Z73" s="31"/>
      <c r="AA73">
        <v>486308</v>
      </c>
      <c r="AB73">
        <v>3564</v>
      </c>
      <c r="AC73">
        <v>0</v>
      </c>
      <c r="AD73" t="s">
        <v>22</v>
      </c>
      <c r="AE73" s="31">
        <v>45689</v>
      </c>
      <c r="AF73" s="61">
        <v>9.331018518518519E-2</v>
      </c>
      <c r="AH73" t="s">
        <v>818</v>
      </c>
      <c r="AI73" s="31">
        <v>45689</v>
      </c>
      <c r="AJ73" s="61">
        <v>9.6041666666666664E-2</v>
      </c>
      <c r="AN73" t="s">
        <v>1070</v>
      </c>
      <c r="AO73" t="s">
        <v>22</v>
      </c>
      <c r="AP73" t="s">
        <v>1070</v>
      </c>
      <c r="AR73" s="31"/>
      <c r="AX73">
        <v>1</v>
      </c>
    </row>
    <row r="74" spans="1:50" x14ac:dyDescent="0.25">
      <c r="A74" t="s">
        <v>44</v>
      </c>
      <c r="B74">
        <v>209</v>
      </c>
      <c r="D74">
        <v>1710</v>
      </c>
      <c r="G74" t="s">
        <v>1257</v>
      </c>
      <c r="J74" t="s">
        <v>1258</v>
      </c>
      <c r="K74" t="s">
        <v>1259</v>
      </c>
      <c r="M74" t="s">
        <v>1260</v>
      </c>
      <c r="P74" t="s">
        <v>778</v>
      </c>
      <c r="S74" t="s">
        <v>1068</v>
      </c>
      <c r="W74" t="s">
        <v>780</v>
      </c>
      <c r="X74" t="s">
        <v>857</v>
      </c>
      <c r="Y74" t="s">
        <v>817</v>
      </c>
      <c r="Z74" s="31"/>
      <c r="AC74">
        <v>68</v>
      </c>
      <c r="AD74" t="s">
        <v>44</v>
      </c>
      <c r="AE74" s="31">
        <v>45694</v>
      </c>
      <c r="AF74" s="61">
        <v>0.4337152777777778</v>
      </c>
      <c r="AH74" t="s">
        <v>795</v>
      </c>
      <c r="AI74" s="31">
        <v>45762</v>
      </c>
      <c r="AJ74" s="61">
        <v>0.69322916666666667</v>
      </c>
      <c r="AK74" t="s">
        <v>796</v>
      </c>
      <c r="AL74" t="s">
        <v>1261</v>
      </c>
      <c r="AP74" t="s">
        <v>1262</v>
      </c>
      <c r="AR74" s="31"/>
      <c r="AX74">
        <v>1</v>
      </c>
    </row>
    <row r="75" spans="1:50" x14ac:dyDescent="0.25">
      <c r="A75" t="s">
        <v>44</v>
      </c>
      <c r="B75">
        <v>210</v>
      </c>
      <c r="D75">
        <v>1711</v>
      </c>
      <c r="G75" t="s">
        <v>1263</v>
      </c>
      <c r="H75">
        <v>12792269000137</v>
      </c>
      <c r="J75" t="s">
        <v>624</v>
      </c>
      <c r="K75" t="s">
        <v>1264</v>
      </c>
      <c r="M75" t="s">
        <v>1265</v>
      </c>
      <c r="P75" t="s">
        <v>778</v>
      </c>
      <c r="V75" t="s">
        <v>1266</v>
      </c>
      <c r="W75" t="s">
        <v>780</v>
      </c>
      <c r="X75" t="s">
        <v>816</v>
      </c>
      <c r="Y75" t="s">
        <v>995</v>
      </c>
      <c r="Z75" s="31"/>
      <c r="AA75">
        <v>65920</v>
      </c>
      <c r="AB75">
        <v>481924</v>
      </c>
      <c r="AC75">
        <v>25</v>
      </c>
      <c r="AD75" t="s">
        <v>44</v>
      </c>
      <c r="AE75" s="31">
        <v>45694</v>
      </c>
      <c r="AF75" s="61">
        <v>0.45374999999999999</v>
      </c>
      <c r="AH75" t="s">
        <v>818</v>
      </c>
      <c r="AI75" s="31">
        <v>45719</v>
      </c>
      <c r="AJ75" s="61">
        <v>0.4811111111111111</v>
      </c>
      <c r="AN75" t="s">
        <v>1262</v>
      </c>
      <c r="AP75" t="s">
        <v>1262</v>
      </c>
      <c r="AQ75" t="s">
        <v>1267</v>
      </c>
      <c r="AR75" s="31"/>
      <c r="AX75">
        <v>1</v>
      </c>
    </row>
    <row r="76" spans="1:50" x14ac:dyDescent="0.25">
      <c r="A76" t="s">
        <v>44</v>
      </c>
      <c r="B76">
        <v>211</v>
      </c>
      <c r="D76">
        <v>1712</v>
      </c>
      <c r="G76" t="s">
        <v>1268</v>
      </c>
      <c r="J76" t="s">
        <v>1269</v>
      </c>
      <c r="K76" t="s">
        <v>1264</v>
      </c>
      <c r="M76" t="s">
        <v>1265</v>
      </c>
      <c r="P76" t="s">
        <v>778</v>
      </c>
      <c r="V76" t="s">
        <v>1266</v>
      </c>
      <c r="W76" t="s">
        <v>780</v>
      </c>
      <c r="X76" t="s">
        <v>816</v>
      </c>
      <c r="Z76" s="31"/>
      <c r="AA76">
        <v>1600</v>
      </c>
      <c r="AB76">
        <v>25908</v>
      </c>
      <c r="AC76">
        <v>14</v>
      </c>
      <c r="AD76" t="s">
        <v>44</v>
      </c>
      <c r="AE76" s="31">
        <v>45694</v>
      </c>
      <c r="AF76" s="61">
        <v>0.48604166666666659</v>
      </c>
      <c r="AH76" t="s">
        <v>795</v>
      </c>
      <c r="AI76" s="31">
        <v>45708</v>
      </c>
      <c r="AJ76" s="61">
        <v>0.66526620370370371</v>
      </c>
      <c r="AK76" t="s">
        <v>858</v>
      </c>
      <c r="AL76" t="s">
        <v>1270</v>
      </c>
      <c r="AN76" t="s">
        <v>1262</v>
      </c>
      <c r="AP76" t="s">
        <v>1262</v>
      </c>
      <c r="AQ76" t="s">
        <v>1267</v>
      </c>
      <c r="AR76" s="31"/>
      <c r="AX76">
        <v>1</v>
      </c>
    </row>
    <row r="77" spans="1:50" x14ac:dyDescent="0.25">
      <c r="A77" t="s">
        <v>44</v>
      </c>
      <c r="B77">
        <v>212</v>
      </c>
      <c r="D77">
        <v>1713</v>
      </c>
      <c r="G77" t="s">
        <v>1271</v>
      </c>
      <c r="J77" t="s">
        <v>1272</v>
      </c>
      <c r="K77" t="s">
        <v>1273</v>
      </c>
      <c r="M77" t="s">
        <v>1274</v>
      </c>
      <c r="P77" t="s">
        <v>778</v>
      </c>
      <c r="S77" t="s">
        <v>1068</v>
      </c>
      <c r="W77" t="s">
        <v>780</v>
      </c>
      <c r="X77" t="s">
        <v>857</v>
      </c>
      <c r="Y77" t="s">
        <v>817</v>
      </c>
      <c r="Z77" s="31"/>
      <c r="AC77">
        <v>60</v>
      </c>
      <c r="AD77" t="s">
        <v>44</v>
      </c>
      <c r="AE77" s="31">
        <v>45694</v>
      </c>
      <c r="AF77" s="61">
        <v>0.5163078703703704</v>
      </c>
      <c r="AH77" t="s">
        <v>795</v>
      </c>
      <c r="AI77" s="31">
        <v>45754</v>
      </c>
      <c r="AJ77" s="61">
        <v>0.4931828703703704</v>
      </c>
      <c r="AK77" t="s">
        <v>796</v>
      </c>
      <c r="AL77" t="s">
        <v>1275</v>
      </c>
      <c r="AP77" t="s">
        <v>1262</v>
      </c>
      <c r="AR77" s="31"/>
      <c r="AX77">
        <v>1</v>
      </c>
    </row>
    <row r="78" spans="1:50" x14ac:dyDescent="0.25">
      <c r="A78" t="s">
        <v>44</v>
      </c>
      <c r="B78">
        <v>213</v>
      </c>
      <c r="D78">
        <v>1714</v>
      </c>
      <c r="G78" t="s">
        <v>1276</v>
      </c>
      <c r="J78" t="s">
        <v>1277</v>
      </c>
      <c r="K78" t="s">
        <v>1278</v>
      </c>
      <c r="M78" t="s">
        <v>1279</v>
      </c>
      <c r="P78" t="s">
        <v>778</v>
      </c>
      <c r="W78" t="s">
        <v>780</v>
      </c>
      <c r="X78" t="s">
        <v>897</v>
      </c>
      <c r="Z78" s="31"/>
      <c r="AA78">
        <v>14400</v>
      </c>
      <c r="AB78">
        <v>18034</v>
      </c>
      <c r="AC78">
        <v>43</v>
      </c>
      <c r="AD78" t="s">
        <v>44</v>
      </c>
      <c r="AE78" s="31">
        <v>45694</v>
      </c>
      <c r="AF78" s="61">
        <v>0.52555555555555555</v>
      </c>
      <c r="AH78" t="s">
        <v>795</v>
      </c>
      <c r="AI78" s="31">
        <v>45737</v>
      </c>
      <c r="AJ78" s="61">
        <v>0.60868055555555556</v>
      </c>
      <c r="AK78" t="s">
        <v>858</v>
      </c>
      <c r="AL78" t="s">
        <v>1280</v>
      </c>
      <c r="AN78" t="s">
        <v>1281</v>
      </c>
      <c r="AP78" t="s">
        <v>1262</v>
      </c>
      <c r="AR78" s="31"/>
      <c r="AX78">
        <v>1</v>
      </c>
    </row>
    <row r="79" spans="1:50" x14ac:dyDescent="0.25">
      <c r="A79" t="s">
        <v>22</v>
      </c>
      <c r="B79">
        <v>214</v>
      </c>
      <c r="D79">
        <v>1661</v>
      </c>
      <c r="G79" t="s">
        <v>1282</v>
      </c>
      <c r="J79" t="s">
        <v>914</v>
      </c>
      <c r="K79" t="s">
        <v>1283</v>
      </c>
      <c r="M79" t="s">
        <v>1284</v>
      </c>
      <c r="P79" t="s">
        <v>778</v>
      </c>
      <c r="Q79" t="s">
        <v>1285</v>
      </c>
      <c r="S79" t="s">
        <v>814</v>
      </c>
      <c r="W79" t="s">
        <v>780</v>
      </c>
      <c r="X79" t="s">
        <v>807</v>
      </c>
      <c r="Z79" s="31"/>
      <c r="AC79">
        <v>0</v>
      </c>
      <c r="AD79" t="s">
        <v>22</v>
      </c>
      <c r="AE79" s="31">
        <v>45694</v>
      </c>
      <c r="AF79" s="61">
        <v>0.57986111111111116</v>
      </c>
      <c r="AH79" t="s">
        <v>795</v>
      </c>
      <c r="AI79" s="31">
        <v>45694</v>
      </c>
      <c r="AJ79" s="61">
        <v>0.72984953703703703</v>
      </c>
      <c r="AK79" t="s">
        <v>867</v>
      </c>
      <c r="AN79" t="s">
        <v>1286</v>
      </c>
      <c r="AP79" t="s">
        <v>1286</v>
      </c>
      <c r="AR79" s="31"/>
      <c r="AX79">
        <v>1</v>
      </c>
    </row>
    <row r="80" spans="1:50" x14ac:dyDescent="0.25">
      <c r="A80" t="s">
        <v>22</v>
      </c>
      <c r="B80">
        <v>215</v>
      </c>
      <c r="D80">
        <v>1715</v>
      </c>
      <c r="G80" t="s">
        <v>1287</v>
      </c>
      <c r="J80" t="s">
        <v>1288</v>
      </c>
      <c r="K80" t="s">
        <v>1289</v>
      </c>
      <c r="M80" t="s">
        <v>1290</v>
      </c>
      <c r="P80" t="s">
        <v>778</v>
      </c>
      <c r="S80" t="s">
        <v>814</v>
      </c>
      <c r="V80" t="s">
        <v>1291</v>
      </c>
      <c r="W80" t="s">
        <v>780</v>
      </c>
      <c r="X80" t="s">
        <v>807</v>
      </c>
      <c r="Z80" s="31"/>
      <c r="AA80">
        <v>43740</v>
      </c>
      <c r="AB80">
        <v>158239</v>
      </c>
      <c r="AC80">
        <v>13</v>
      </c>
      <c r="AD80" t="s">
        <v>22</v>
      </c>
      <c r="AE80" s="31">
        <v>45694</v>
      </c>
      <c r="AF80" s="61">
        <v>0.58037037037037043</v>
      </c>
      <c r="AH80" t="s">
        <v>795</v>
      </c>
      <c r="AI80" s="31">
        <v>45707</v>
      </c>
      <c r="AJ80" s="61">
        <v>0.38752314814814809</v>
      </c>
      <c r="AK80" t="s">
        <v>867</v>
      </c>
      <c r="AN80" t="s">
        <v>1292</v>
      </c>
      <c r="AP80" t="s">
        <v>1293</v>
      </c>
      <c r="AR80" s="31"/>
      <c r="AX80">
        <v>1</v>
      </c>
    </row>
    <row r="81" spans="1:50" x14ac:dyDescent="0.25">
      <c r="A81" t="s">
        <v>22</v>
      </c>
      <c r="B81">
        <v>219</v>
      </c>
      <c r="D81">
        <v>1720</v>
      </c>
      <c r="G81" t="s">
        <v>1294</v>
      </c>
      <c r="J81" t="s">
        <v>1295</v>
      </c>
      <c r="K81" t="s">
        <v>1296</v>
      </c>
      <c r="M81" t="s">
        <v>1297</v>
      </c>
      <c r="P81" t="s">
        <v>778</v>
      </c>
      <c r="W81" t="s">
        <v>780</v>
      </c>
      <c r="X81" t="s">
        <v>816</v>
      </c>
      <c r="Z81" s="31"/>
      <c r="AA81">
        <v>14400</v>
      </c>
      <c r="AB81">
        <v>122984</v>
      </c>
      <c r="AC81">
        <v>8</v>
      </c>
      <c r="AD81" t="s">
        <v>22</v>
      </c>
      <c r="AE81" s="31">
        <v>45694</v>
      </c>
      <c r="AF81" s="61">
        <v>0.73803240740740739</v>
      </c>
      <c r="AH81" t="s">
        <v>818</v>
      </c>
      <c r="AI81" s="31">
        <v>45702</v>
      </c>
      <c r="AJ81" s="61">
        <v>0.46967592592592589</v>
      </c>
      <c r="AN81" t="s">
        <v>1293</v>
      </c>
      <c r="AO81" t="s">
        <v>22</v>
      </c>
      <c r="AP81" t="s">
        <v>1293</v>
      </c>
      <c r="AR81" s="31"/>
      <c r="AX81">
        <v>1</v>
      </c>
    </row>
    <row r="82" spans="1:50" x14ac:dyDescent="0.25">
      <c r="A82" t="s">
        <v>44</v>
      </c>
      <c r="B82">
        <v>230</v>
      </c>
      <c r="D82">
        <v>1734</v>
      </c>
      <c r="G82" t="s">
        <v>1298</v>
      </c>
      <c r="J82" t="s">
        <v>1299</v>
      </c>
      <c r="K82" t="s">
        <v>1300</v>
      </c>
      <c r="M82" t="s">
        <v>1301</v>
      </c>
      <c r="P82" t="s">
        <v>778</v>
      </c>
      <c r="S82" t="s">
        <v>1068</v>
      </c>
      <c r="V82" t="s">
        <v>1302</v>
      </c>
      <c r="W82" t="s">
        <v>780</v>
      </c>
      <c r="X82" t="s">
        <v>816</v>
      </c>
      <c r="Y82" t="s">
        <v>817</v>
      </c>
      <c r="Z82" s="31"/>
      <c r="AA82">
        <v>56000</v>
      </c>
      <c r="AB82">
        <v>2101739</v>
      </c>
      <c r="AC82">
        <v>161</v>
      </c>
      <c r="AD82" t="s">
        <v>44</v>
      </c>
      <c r="AE82" s="31">
        <v>45698</v>
      </c>
      <c r="AF82" s="61">
        <v>0.32956018518518521</v>
      </c>
      <c r="AH82" t="s">
        <v>795</v>
      </c>
      <c r="AI82" s="31">
        <v>45859</v>
      </c>
      <c r="AJ82" s="61">
        <v>0.40759259259259262</v>
      </c>
      <c r="AK82" t="s">
        <v>796</v>
      </c>
      <c r="AL82" t="s">
        <v>1303</v>
      </c>
      <c r="AN82" t="s">
        <v>1304</v>
      </c>
      <c r="AP82" t="s">
        <v>1305</v>
      </c>
      <c r="AR82" s="31"/>
      <c r="AX82">
        <v>1</v>
      </c>
    </row>
    <row r="83" spans="1:50" x14ac:dyDescent="0.25">
      <c r="A83" t="s">
        <v>22</v>
      </c>
      <c r="B83">
        <v>231</v>
      </c>
      <c r="D83">
        <v>1733</v>
      </c>
      <c r="E83" t="s">
        <v>1306</v>
      </c>
      <c r="F83" t="s">
        <v>1307</v>
      </c>
      <c r="G83" t="s">
        <v>1308</v>
      </c>
      <c r="H83">
        <v>14936505000258</v>
      </c>
      <c r="J83" t="s">
        <v>1309</v>
      </c>
      <c r="K83" t="s">
        <v>1310</v>
      </c>
      <c r="M83" t="s">
        <v>1311</v>
      </c>
      <c r="P83" t="s">
        <v>778</v>
      </c>
      <c r="Q83" t="s">
        <v>1312</v>
      </c>
      <c r="R83" t="s">
        <v>790</v>
      </c>
      <c r="S83" t="s">
        <v>1068</v>
      </c>
      <c r="V83" t="s">
        <v>1068</v>
      </c>
      <c r="W83" t="s">
        <v>780</v>
      </c>
      <c r="X83" t="s">
        <v>897</v>
      </c>
      <c r="Z83" s="31"/>
      <c r="AC83">
        <v>38</v>
      </c>
      <c r="AD83" t="s">
        <v>794</v>
      </c>
      <c r="AE83" s="31">
        <v>45699</v>
      </c>
      <c r="AF83" s="61">
        <v>0.65057870370370374</v>
      </c>
      <c r="AH83" t="s">
        <v>795</v>
      </c>
      <c r="AI83" s="31">
        <v>45737</v>
      </c>
      <c r="AJ83" s="61">
        <v>0.63589120370370367</v>
      </c>
      <c r="AK83" t="s">
        <v>1226</v>
      </c>
      <c r="AL83" t="s">
        <v>1313</v>
      </c>
      <c r="AM83" t="s">
        <v>1314</v>
      </c>
      <c r="AO83" t="s">
        <v>794</v>
      </c>
      <c r="AP83" t="s">
        <v>1315</v>
      </c>
      <c r="AR83" s="31"/>
      <c r="AX83">
        <v>1</v>
      </c>
    </row>
    <row r="84" spans="1:50" x14ac:dyDescent="0.25">
      <c r="A84" t="s">
        <v>22</v>
      </c>
      <c r="B84">
        <v>232</v>
      </c>
      <c r="D84">
        <v>1704</v>
      </c>
      <c r="G84" t="s">
        <v>1316</v>
      </c>
      <c r="H84">
        <v>29432229000187</v>
      </c>
      <c r="J84" t="s">
        <v>1317</v>
      </c>
      <c r="K84" t="s">
        <v>1318</v>
      </c>
      <c r="M84" t="s">
        <v>1319</v>
      </c>
      <c r="P84" t="s">
        <v>778</v>
      </c>
      <c r="S84" t="s">
        <v>805</v>
      </c>
      <c r="V84" t="s">
        <v>1320</v>
      </c>
      <c r="W84" t="s">
        <v>780</v>
      </c>
      <c r="X84" t="s">
        <v>897</v>
      </c>
      <c r="Z84" s="31"/>
      <c r="AC84">
        <v>42</v>
      </c>
      <c r="AD84" t="s">
        <v>794</v>
      </c>
      <c r="AE84" s="31">
        <v>45700</v>
      </c>
      <c r="AF84" s="61">
        <v>0.45228009259259261</v>
      </c>
      <c r="AH84" t="s">
        <v>795</v>
      </c>
      <c r="AI84" s="31">
        <v>45742</v>
      </c>
      <c r="AJ84" s="61">
        <v>0.73261574074074076</v>
      </c>
      <c r="AK84" t="s">
        <v>867</v>
      </c>
      <c r="AM84" t="s">
        <v>1321</v>
      </c>
      <c r="AO84" t="s">
        <v>794</v>
      </c>
      <c r="AP84" t="s">
        <v>1322</v>
      </c>
      <c r="AR84" s="31"/>
      <c r="AX84">
        <v>1</v>
      </c>
    </row>
    <row r="85" spans="1:50" x14ac:dyDescent="0.25">
      <c r="A85" t="s">
        <v>44</v>
      </c>
      <c r="B85">
        <v>233</v>
      </c>
      <c r="D85">
        <v>1747</v>
      </c>
      <c r="G85" t="s">
        <v>1323</v>
      </c>
      <c r="J85" t="s">
        <v>1324</v>
      </c>
      <c r="K85" t="s">
        <v>1325</v>
      </c>
      <c r="M85" t="s">
        <v>1326</v>
      </c>
      <c r="P85" t="s">
        <v>778</v>
      </c>
      <c r="V85" t="s">
        <v>1327</v>
      </c>
      <c r="W85" t="s">
        <v>780</v>
      </c>
      <c r="X85" t="s">
        <v>816</v>
      </c>
      <c r="Z85" s="31"/>
      <c r="AA85">
        <v>60534</v>
      </c>
      <c r="AB85">
        <v>27562</v>
      </c>
      <c r="AC85">
        <v>18</v>
      </c>
      <c r="AD85" t="s">
        <v>44</v>
      </c>
      <c r="AE85" s="31">
        <v>45701</v>
      </c>
      <c r="AF85" s="61">
        <v>0.4293865740740741</v>
      </c>
      <c r="AH85" t="s">
        <v>818</v>
      </c>
      <c r="AI85" s="31">
        <v>45719</v>
      </c>
      <c r="AJ85" s="61">
        <v>0.4816435185185185</v>
      </c>
      <c r="AN85" t="s">
        <v>1328</v>
      </c>
      <c r="AP85" t="s">
        <v>1305</v>
      </c>
      <c r="AR85" s="31"/>
      <c r="AX85">
        <v>1</v>
      </c>
    </row>
    <row r="86" spans="1:50" x14ac:dyDescent="0.25">
      <c r="A86" t="s">
        <v>44</v>
      </c>
      <c r="B86">
        <v>234</v>
      </c>
      <c r="D86">
        <v>1748</v>
      </c>
      <c r="G86" t="s">
        <v>1329</v>
      </c>
      <c r="H86">
        <v>26981837000152</v>
      </c>
      <c r="J86" t="s">
        <v>1330</v>
      </c>
      <c r="K86" t="s">
        <v>1331</v>
      </c>
      <c r="M86" t="s">
        <v>1332</v>
      </c>
      <c r="P86" t="s">
        <v>778</v>
      </c>
      <c r="Q86" t="s">
        <v>1333</v>
      </c>
      <c r="R86" t="s">
        <v>1334</v>
      </c>
      <c r="V86" t="s">
        <v>1327</v>
      </c>
      <c r="W86" t="s">
        <v>780</v>
      </c>
      <c r="X86" t="s">
        <v>793</v>
      </c>
      <c r="Z86" s="31"/>
      <c r="AA86">
        <v>40440</v>
      </c>
      <c r="AB86">
        <v>340574</v>
      </c>
      <c r="AC86">
        <v>11</v>
      </c>
      <c r="AD86" t="s">
        <v>44</v>
      </c>
      <c r="AE86" s="31">
        <v>45701</v>
      </c>
      <c r="AF86" s="61">
        <v>0.45105324074074082</v>
      </c>
      <c r="AH86" t="s">
        <v>795</v>
      </c>
      <c r="AI86" s="31">
        <v>45712</v>
      </c>
      <c r="AJ86" s="61">
        <v>0.69750000000000001</v>
      </c>
      <c r="AK86" t="s">
        <v>867</v>
      </c>
      <c r="AL86" t="s">
        <v>1335</v>
      </c>
      <c r="AN86" t="s">
        <v>1328</v>
      </c>
      <c r="AP86" t="s">
        <v>1336</v>
      </c>
      <c r="AR86" s="31"/>
      <c r="AX86">
        <v>1</v>
      </c>
    </row>
    <row r="87" spans="1:50" x14ac:dyDescent="0.25">
      <c r="A87" t="s">
        <v>44</v>
      </c>
      <c r="B87">
        <v>235</v>
      </c>
      <c r="D87">
        <v>1750</v>
      </c>
      <c r="G87" t="s">
        <v>1337</v>
      </c>
      <c r="H87">
        <v>43530585000164</v>
      </c>
      <c r="J87" t="s">
        <v>1338</v>
      </c>
      <c r="K87" t="s">
        <v>1339</v>
      </c>
      <c r="M87" t="s">
        <v>1340</v>
      </c>
      <c r="P87" t="s">
        <v>778</v>
      </c>
      <c r="Q87" t="s">
        <v>1341</v>
      </c>
      <c r="R87" t="s">
        <v>932</v>
      </c>
      <c r="V87" t="s">
        <v>1327</v>
      </c>
      <c r="W87" t="s">
        <v>780</v>
      </c>
      <c r="X87" t="s">
        <v>793</v>
      </c>
      <c r="Z87" s="31"/>
      <c r="AA87">
        <v>4663152</v>
      </c>
      <c r="AB87">
        <v>15528</v>
      </c>
      <c r="AC87">
        <v>11</v>
      </c>
      <c r="AD87" t="s">
        <v>44</v>
      </c>
      <c r="AE87" s="31">
        <v>45701</v>
      </c>
      <c r="AF87" s="61">
        <v>0.46368055555555548</v>
      </c>
      <c r="AH87" t="s">
        <v>795</v>
      </c>
      <c r="AI87" s="31">
        <v>45712</v>
      </c>
      <c r="AJ87" s="61">
        <v>0.71800925925925929</v>
      </c>
      <c r="AK87" t="s">
        <v>867</v>
      </c>
      <c r="AL87" t="s">
        <v>1342</v>
      </c>
      <c r="AN87" t="s">
        <v>1343</v>
      </c>
      <c r="AP87" t="s">
        <v>1336</v>
      </c>
      <c r="AR87" s="31"/>
      <c r="AX87">
        <v>1</v>
      </c>
    </row>
    <row r="88" spans="1:50" x14ac:dyDescent="0.25">
      <c r="A88" t="s">
        <v>44</v>
      </c>
      <c r="B88">
        <v>236</v>
      </c>
      <c r="D88">
        <v>1754</v>
      </c>
      <c r="G88" t="s">
        <v>1344</v>
      </c>
      <c r="H88">
        <v>43530585000164</v>
      </c>
      <c r="J88" t="s">
        <v>1345</v>
      </c>
      <c r="K88" t="s">
        <v>1339</v>
      </c>
      <c r="M88" t="s">
        <v>1340</v>
      </c>
      <c r="P88" t="s">
        <v>778</v>
      </c>
      <c r="Q88" t="s">
        <v>1341</v>
      </c>
      <c r="R88" t="s">
        <v>932</v>
      </c>
      <c r="V88" t="s">
        <v>1327</v>
      </c>
      <c r="W88" t="s">
        <v>780</v>
      </c>
      <c r="X88" t="s">
        <v>793</v>
      </c>
      <c r="Z88" s="31"/>
      <c r="AA88">
        <v>23580</v>
      </c>
      <c r="AB88">
        <v>3060</v>
      </c>
      <c r="AC88">
        <v>11</v>
      </c>
      <c r="AD88" t="s">
        <v>44</v>
      </c>
      <c r="AE88" s="31">
        <v>45701</v>
      </c>
      <c r="AF88" s="61">
        <v>0.46849537037037042</v>
      </c>
      <c r="AH88" t="s">
        <v>795</v>
      </c>
      <c r="AI88" s="31">
        <v>45712</v>
      </c>
      <c r="AJ88" s="61">
        <v>0.71834490740740742</v>
      </c>
      <c r="AK88" t="s">
        <v>867</v>
      </c>
      <c r="AL88" t="s">
        <v>1342</v>
      </c>
      <c r="AN88" t="s">
        <v>1343</v>
      </c>
      <c r="AP88" t="s">
        <v>1336</v>
      </c>
      <c r="AR88" s="31"/>
      <c r="AX88">
        <v>1</v>
      </c>
    </row>
    <row r="89" spans="1:50" x14ac:dyDescent="0.25">
      <c r="A89" t="s">
        <v>44</v>
      </c>
      <c r="B89">
        <v>237</v>
      </c>
      <c r="D89">
        <v>1758</v>
      </c>
      <c r="G89" t="s">
        <v>1346</v>
      </c>
      <c r="H89">
        <v>12182313000197</v>
      </c>
      <c r="J89" t="s">
        <v>1347</v>
      </c>
      <c r="K89" t="s">
        <v>1348</v>
      </c>
      <c r="M89" t="s">
        <v>1349</v>
      </c>
      <c r="P89" t="s">
        <v>778</v>
      </c>
      <c r="Q89" t="s">
        <v>1350</v>
      </c>
      <c r="R89" t="s">
        <v>874</v>
      </c>
      <c r="S89" t="s">
        <v>1068</v>
      </c>
      <c r="V89" t="s">
        <v>1327</v>
      </c>
      <c r="W89" t="s">
        <v>780</v>
      </c>
      <c r="X89" t="s">
        <v>793</v>
      </c>
      <c r="Y89" t="s">
        <v>817</v>
      </c>
      <c r="Z89" s="31"/>
      <c r="AA89">
        <v>85500</v>
      </c>
      <c r="AB89">
        <v>769354</v>
      </c>
      <c r="AC89">
        <v>62</v>
      </c>
      <c r="AD89" t="s">
        <v>44</v>
      </c>
      <c r="AE89" s="31">
        <v>45701</v>
      </c>
      <c r="AF89" s="61">
        <v>0.47734953703703698</v>
      </c>
      <c r="AH89" t="s">
        <v>795</v>
      </c>
      <c r="AI89" s="31">
        <v>45763</v>
      </c>
      <c r="AJ89" s="61">
        <v>0.39438657407407413</v>
      </c>
      <c r="AK89" t="s">
        <v>796</v>
      </c>
      <c r="AL89" t="s">
        <v>1351</v>
      </c>
      <c r="AN89" t="s">
        <v>1352</v>
      </c>
      <c r="AP89" t="s">
        <v>1305</v>
      </c>
      <c r="AR89" s="31"/>
      <c r="AX89">
        <v>1</v>
      </c>
    </row>
    <row r="90" spans="1:50" x14ac:dyDescent="0.25">
      <c r="A90" t="s">
        <v>22</v>
      </c>
      <c r="B90">
        <v>242</v>
      </c>
      <c r="D90">
        <v>1746</v>
      </c>
      <c r="G90" t="s">
        <v>1353</v>
      </c>
      <c r="H90">
        <v>865166000170</v>
      </c>
      <c r="J90" t="s">
        <v>1354</v>
      </c>
      <c r="K90" t="s">
        <v>1355</v>
      </c>
      <c r="M90" t="s">
        <v>1356</v>
      </c>
      <c r="P90" t="s">
        <v>778</v>
      </c>
      <c r="Q90" t="s">
        <v>1104</v>
      </c>
      <c r="S90" t="s">
        <v>814</v>
      </c>
      <c r="V90" t="s">
        <v>1357</v>
      </c>
      <c r="W90" t="s">
        <v>780</v>
      </c>
      <c r="X90" t="s">
        <v>807</v>
      </c>
      <c r="Z90" s="31"/>
      <c r="AC90">
        <v>25</v>
      </c>
      <c r="AD90" t="s">
        <v>22</v>
      </c>
      <c r="AE90" s="31">
        <v>45701</v>
      </c>
      <c r="AF90" s="61">
        <v>0.73598379629629629</v>
      </c>
      <c r="AH90" t="s">
        <v>795</v>
      </c>
      <c r="AI90" s="31">
        <v>45726</v>
      </c>
      <c r="AJ90" s="61">
        <v>0.73435185185185181</v>
      </c>
      <c r="AK90" t="s">
        <v>1358</v>
      </c>
      <c r="AO90" t="s">
        <v>22</v>
      </c>
      <c r="AP90" t="s">
        <v>1359</v>
      </c>
      <c r="AR90" s="31"/>
      <c r="AX90">
        <v>1</v>
      </c>
    </row>
    <row r="91" spans="1:50" x14ac:dyDescent="0.25">
      <c r="A91" t="s">
        <v>22</v>
      </c>
      <c r="B91">
        <v>245</v>
      </c>
      <c r="D91">
        <v>1763</v>
      </c>
      <c r="G91" t="s">
        <v>1360</v>
      </c>
      <c r="H91">
        <v>30164963000191</v>
      </c>
      <c r="J91" t="s">
        <v>1361</v>
      </c>
      <c r="K91" t="s">
        <v>1362</v>
      </c>
      <c r="M91" t="s">
        <v>1363</v>
      </c>
      <c r="P91" t="s">
        <v>778</v>
      </c>
      <c r="Q91" t="s">
        <v>923</v>
      </c>
      <c r="S91" t="s">
        <v>814</v>
      </c>
      <c r="V91" t="s">
        <v>1291</v>
      </c>
      <c r="W91" t="s">
        <v>780</v>
      </c>
      <c r="X91" t="s">
        <v>816</v>
      </c>
      <c r="Z91" s="31"/>
      <c r="AA91">
        <v>46332</v>
      </c>
      <c r="AB91">
        <v>257546</v>
      </c>
      <c r="AC91">
        <v>35</v>
      </c>
      <c r="AD91" t="s">
        <v>22</v>
      </c>
      <c r="AE91" s="31">
        <v>45702</v>
      </c>
      <c r="AF91" s="61">
        <v>0.46055555555555561</v>
      </c>
      <c r="AH91" t="s">
        <v>818</v>
      </c>
      <c r="AI91" s="31">
        <v>45737</v>
      </c>
      <c r="AJ91" s="61">
        <v>0.61858796296296292</v>
      </c>
      <c r="AN91" t="s">
        <v>1364</v>
      </c>
      <c r="AO91" t="s">
        <v>22</v>
      </c>
      <c r="AP91" t="s">
        <v>1359</v>
      </c>
      <c r="AR91" s="31"/>
      <c r="AX91">
        <v>1</v>
      </c>
    </row>
    <row r="92" spans="1:50" x14ac:dyDescent="0.25">
      <c r="A92" t="s">
        <v>22</v>
      </c>
      <c r="B92">
        <v>246</v>
      </c>
      <c r="D92">
        <v>1768</v>
      </c>
      <c r="G92" t="s">
        <v>1365</v>
      </c>
      <c r="J92" t="s">
        <v>1366</v>
      </c>
      <c r="K92" t="s">
        <v>1296</v>
      </c>
      <c r="M92" t="s">
        <v>1297</v>
      </c>
      <c r="P92" t="s">
        <v>778</v>
      </c>
      <c r="W92" t="s">
        <v>780</v>
      </c>
      <c r="X92" t="s">
        <v>816</v>
      </c>
      <c r="Z92" s="31"/>
      <c r="AA92">
        <v>0</v>
      </c>
      <c r="AB92">
        <v>3062</v>
      </c>
      <c r="AC92">
        <v>0</v>
      </c>
      <c r="AD92" t="s">
        <v>22</v>
      </c>
      <c r="AE92" s="31">
        <v>45702</v>
      </c>
      <c r="AF92" s="61">
        <v>0.4742939814814815</v>
      </c>
      <c r="AH92" t="s">
        <v>818</v>
      </c>
      <c r="AI92" s="31">
        <v>45702</v>
      </c>
      <c r="AJ92" s="61">
        <v>0.47730324074074082</v>
      </c>
      <c r="AN92" t="s">
        <v>1328</v>
      </c>
      <c r="AO92" t="s">
        <v>22</v>
      </c>
      <c r="AP92" t="s">
        <v>1328</v>
      </c>
      <c r="AR92" s="31"/>
      <c r="AX92">
        <v>1</v>
      </c>
    </row>
    <row r="93" spans="1:50" x14ac:dyDescent="0.25">
      <c r="A93" t="s">
        <v>22</v>
      </c>
      <c r="B93">
        <v>248</v>
      </c>
      <c r="D93">
        <v>1770</v>
      </c>
      <c r="G93" t="s">
        <v>1367</v>
      </c>
      <c r="J93" t="s">
        <v>1368</v>
      </c>
      <c r="K93" t="s">
        <v>1369</v>
      </c>
      <c r="M93" t="s">
        <v>1370</v>
      </c>
      <c r="P93" t="s">
        <v>778</v>
      </c>
      <c r="S93" t="s">
        <v>1068</v>
      </c>
      <c r="V93" t="s">
        <v>1327</v>
      </c>
      <c r="W93" t="s">
        <v>780</v>
      </c>
      <c r="X93" t="s">
        <v>807</v>
      </c>
      <c r="Y93" t="s">
        <v>817</v>
      </c>
      <c r="Z93" s="31"/>
      <c r="AA93">
        <v>64600</v>
      </c>
      <c r="AB93">
        <v>199064</v>
      </c>
      <c r="AC93">
        <v>53</v>
      </c>
      <c r="AD93" t="s">
        <v>22</v>
      </c>
      <c r="AE93" s="31">
        <v>45702</v>
      </c>
      <c r="AF93" s="61">
        <v>0.67921296296296296</v>
      </c>
      <c r="AH93" t="s">
        <v>795</v>
      </c>
      <c r="AI93" s="31">
        <v>45755</v>
      </c>
      <c r="AJ93" s="61">
        <v>0.37805555555555548</v>
      </c>
      <c r="AK93" t="s">
        <v>858</v>
      </c>
      <c r="AN93" t="s">
        <v>1343</v>
      </c>
      <c r="AP93" t="s">
        <v>1328</v>
      </c>
      <c r="AR93" s="31"/>
      <c r="AX93">
        <v>1</v>
      </c>
    </row>
    <row r="94" spans="1:50" x14ac:dyDescent="0.25">
      <c r="A94" t="s">
        <v>22</v>
      </c>
      <c r="B94">
        <v>249</v>
      </c>
      <c r="D94">
        <v>1771</v>
      </c>
      <c r="G94" t="s">
        <v>1371</v>
      </c>
      <c r="J94" t="s">
        <v>1372</v>
      </c>
      <c r="K94" t="s">
        <v>1373</v>
      </c>
      <c r="M94" t="s">
        <v>1111</v>
      </c>
      <c r="P94" t="s">
        <v>778</v>
      </c>
      <c r="S94" t="s">
        <v>933</v>
      </c>
      <c r="V94" t="s">
        <v>1327</v>
      </c>
      <c r="W94" t="s">
        <v>780</v>
      </c>
      <c r="X94" t="s">
        <v>807</v>
      </c>
      <c r="Y94" t="s">
        <v>817</v>
      </c>
      <c r="Z94" s="31"/>
      <c r="AA94">
        <v>16000</v>
      </c>
      <c r="AB94">
        <v>3724</v>
      </c>
      <c r="AC94">
        <v>116</v>
      </c>
      <c r="AD94" t="s">
        <v>22</v>
      </c>
      <c r="AE94" s="31">
        <v>45702</v>
      </c>
      <c r="AF94" s="61">
        <v>0.68333333333333335</v>
      </c>
      <c r="AH94" t="s">
        <v>795</v>
      </c>
      <c r="AI94" s="31">
        <v>45818</v>
      </c>
      <c r="AJ94" s="61">
        <v>0.61789351851851848</v>
      </c>
      <c r="AK94" t="s">
        <v>858</v>
      </c>
      <c r="AN94" t="s">
        <v>1374</v>
      </c>
      <c r="AO94" t="s">
        <v>22</v>
      </c>
      <c r="AP94" t="s">
        <v>1343</v>
      </c>
      <c r="AR94" s="31"/>
      <c r="AX94">
        <v>1</v>
      </c>
    </row>
    <row r="95" spans="1:50" x14ac:dyDescent="0.25">
      <c r="A95" t="s">
        <v>22</v>
      </c>
      <c r="B95">
        <v>250</v>
      </c>
      <c r="D95">
        <v>1772</v>
      </c>
      <c r="G95" t="s">
        <v>1375</v>
      </c>
      <c r="J95" t="s">
        <v>1239</v>
      </c>
      <c r="K95" t="s">
        <v>1376</v>
      </c>
      <c r="M95" t="s">
        <v>1111</v>
      </c>
      <c r="P95" t="s">
        <v>778</v>
      </c>
      <c r="S95" t="s">
        <v>1068</v>
      </c>
      <c r="V95" t="s">
        <v>1377</v>
      </c>
      <c r="W95" t="s">
        <v>780</v>
      </c>
      <c r="X95" t="s">
        <v>857</v>
      </c>
      <c r="Y95" t="s">
        <v>817</v>
      </c>
      <c r="Z95" s="31">
        <v>46935</v>
      </c>
      <c r="AC95">
        <v>208</v>
      </c>
      <c r="AD95" t="s">
        <v>22</v>
      </c>
      <c r="AE95" s="31">
        <v>45702</v>
      </c>
      <c r="AF95" s="61">
        <v>0.68557870370370366</v>
      </c>
      <c r="AH95" t="s">
        <v>795</v>
      </c>
      <c r="AI95" s="31">
        <v>45910</v>
      </c>
      <c r="AJ95" s="61">
        <v>0.6743055555555556</v>
      </c>
      <c r="AK95" t="s">
        <v>796</v>
      </c>
      <c r="AO95" t="s">
        <v>22</v>
      </c>
      <c r="AP95" t="s">
        <v>1378</v>
      </c>
      <c r="AR95" s="31"/>
      <c r="AX95">
        <v>1</v>
      </c>
    </row>
    <row r="96" spans="1:50" x14ac:dyDescent="0.25">
      <c r="A96" t="s">
        <v>22</v>
      </c>
      <c r="B96">
        <v>253</v>
      </c>
      <c r="D96">
        <v>1776</v>
      </c>
      <c r="G96" t="s">
        <v>1379</v>
      </c>
      <c r="J96" t="s">
        <v>1380</v>
      </c>
      <c r="K96" t="s">
        <v>1381</v>
      </c>
      <c r="M96" t="s">
        <v>1111</v>
      </c>
      <c r="P96" t="s">
        <v>778</v>
      </c>
      <c r="S96" t="s">
        <v>1068</v>
      </c>
      <c r="V96" t="s">
        <v>1382</v>
      </c>
      <c r="W96" t="s">
        <v>780</v>
      </c>
      <c r="X96" t="s">
        <v>807</v>
      </c>
      <c r="Y96" t="s">
        <v>817</v>
      </c>
      <c r="Z96" s="31">
        <v>46037</v>
      </c>
      <c r="AA96">
        <v>48000</v>
      </c>
      <c r="AB96">
        <v>1690959</v>
      </c>
      <c r="AC96">
        <v>299</v>
      </c>
      <c r="AD96" t="s">
        <v>22</v>
      </c>
      <c r="AE96" s="31">
        <v>45702</v>
      </c>
      <c r="AF96" s="61">
        <v>0.72782407407407412</v>
      </c>
      <c r="AH96" t="s">
        <v>795</v>
      </c>
      <c r="AI96" s="31">
        <v>46001</v>
      </c>
      <c r="AJ96" s="61">
        <v>0.71494212962962966</v>
      </c>
      <c r="AK96" t="s">
        <v>858</v>
      </c>
      <c r="AN96" t="s">
        <v>1383</v>
      </c>
      <c r="AO96" t="s">
        <v>22</v>
      </c>
      <c r="AP96" t="s">
        <v>1359</v>
      </c>
      <c r="AR96" s="31"/>
      <c r="AX96">
        <v>1</v>
      </c>
    </row>
    <row r="97" spans="1:50" x14ac:dyDescent="0.25">
      <c r="A97" t="s">
        <v>22</v>
      </c>
      <c r="B97">
        <v>254</v>
      </c>
      <c r="D97">
        <v>1777</v>
      </c>
      <c r="G97" t="s">
        <v>1384</v>
      </c>
      <c r="J97" t="s">
        <v>1385</v>
      </c>
      <c r="K97" t="s">
        <v>1386</v>
      </c>
      <c r="M97" t="s">
        <v>1111</v>
      </c>
      <c r="P97" t="s">
        <v>778</v>
      </c>
      <c r="S97" t="s">
        <v>1068</v>
      </c>
      <c r="V97" t="s">
        <v>1327</v>
      </c>
      <c r="W97" t="s">
        <v>780</v>
      </c>
      <c r="X97" t="s">
        <v>897</v>
      </c>
      <c r="Y97" t="s">
        <v>817</v>
      </c>
      <c r="Z97" s="31"/>
      <c r="AC97">
        <v>40</v>
      </c>
      <c r="AD97" t="s">
        <v>22</v>
      </c>
      <c r="AE97" s="31">
        <v>45702</v>
      </c>
      <c r="AF97" s="61">
        <v>0.73282407407407413</v>
      </c>
      <c r="AH97" t="s">
        <v>795</v>
      </c>
      <c r="AI97" s="31">
        <v>45742</v>
      </c>
      <c r="AJ97" s="61">
        <v>0.72969907407407408</v>
      </c>
      <c r="AK97" t="s">
        <v>1226</v>
      </c>
      <c r="AP97" t="s">
        <v>1359</v>
      </c>
      <c r="AR97" s="31"/>
      <c r="AX97">
        <v>1</v>
      </c>
    </row>
    <row r="98" spans="1:50" x14ac:dyDescent="0.25">
      <c r="A98" t="s">
        <v>22</v>
      </c>
      <c r="B98">
        <v>255</v>
      </c>
      <c r="D98">
        <v>1778</v>
      </c>
      <c r="G98" t="s">
        <v>1387</v>
      </c>
      <c r="J98" t="s">
        <v>1388</v>
      </c>
      <c r="K98" t="s">
        <v>1389</v>
      </c>
      <c r="M98" t="s">
        <v>1111</v>
      </c>
      <c r="P98" t="s">
        <v>778</v>
      </c>
      <c r="S98" t="s">
        <v>1068</v>
      </c>
      <c r="V98" t="s">
        <v>1327</v>
      </c>
      <c r="W98" t="s">
        <v>780</v>
      </c>
      <c r="X98" t="s">
        <v>897</v>
      </c>
      <c r="Y98" t="s">
        <v>817</v>
      </c>
      <c r="Z98" s="31"/>
      <c r="AC98">
        <v>116</v>
      </c>
      <c r="AD98" t="s">
        <v>22</v>
      </c>
      <c r="AE98" s="31">
        <v>45702</v>
      </c>
      <c r="AF98" s="61">
        <v>0.73409722222222218</v>
      </c>
      <c r="AH98" t="s">
        <v>795</v>
      </c>
      <c r="AI98" s="31">
        <v>45818</v>
      </c>
      <c r="AJ98" s="61">
        <v>0.61849537037037039</v>
      </c>
      <c r="AK98" t="s">
        <v>796</v>
      </c>
      <c r="AP98" t="s">
        <v>1378</v>
      </c>
      <c r="AR98" s="31"/>
      <c r="AX98">
        <v>1</v>
      </c>
    </row>
    <row r="99" spans="1:50" x14ac:dyDescent="0.25">
      <c r="A99" t="s">
        <v>22</v>
      </c>
      <c r="B99">
        <v>256</v>
      </c>
      <c r="D99">
        <v>1781</v>
      </c>
      <c r="G99" t="s">
        <v>1390</v>
      </c>
      <c r="J99" t="s">
        <v>1391</v>
      </c>
      <c r="K99" t="s">
        <v>1392</v>
      </c>
      <c r="M99" t="s">
        <v>1393</v>
      </c>
      <c r="P99" t="s">
        <v>778</v>
      </c>
      <c r="S99" t="s">
        <v>933</v>
      </c>
      <c r="W99" t="s">
        <v>780</v>
      </c>
      <c r="X99" t="s">
        <v>857</v>
      </c>
      <c r="Y99" t="s">
        <v>817</v>
      </c>
      <c r="Z99" s="31"/>
      <c r="AC99">
        <v>37</v>
      </c>
      <c r="AD99" t="s">
        <v>22</v>
      </c>
      <c r="AE99" s="31">
        <v>45705</v>
      </c>
      <c r="AF99" s="61">
        <v>0.51423611111111112</v>
      </c>
      <c r="AH99" t="s">
        <v>795</v>
      </c>
      <c r="AI99" s="31">
        <v>45742</v>
      </c>
      <c r="AJ99" s="61">
        <v>0.73364583333333333</v>
      </c>
      <c r="AK99" t="s">
        <v>858</v>
      </c>
      <c r="AN99" t="s">
        <v>1378</v>
      </c>
      <c r="AO99" t="s">
        <v>22</v>
      </c>
      <c r="AP99" t="s">
        <v>1378</v>
      </c>
      <c r="AR99" s="31"/>
      <c r="AX99">
        <v>1</v>
      </c>
    </row>
    <row r="100" spans="1:50" x14ac:dyDescent="0.25">
      <c r="A100" t="s">
        <v>22</v>
      </c>
      <c r="B100">
        <v>257</v>
      </c>
      <c r="D100">
        <v>1780</v>
      </c>
      <c r="G100" t="s">
        <v>1394</v>
      </c>
      <c r="J100" t="s">
        <v>1395</v>
      </c>
      <c r="K100" t="s">
        <v>1396</v>
      </c>
      <c r="M100" t="s">
        <v>1397</v>
      </c>
      <c r="P100" t="s">
        <v>778</v>
      </c>
      <c r="Q100" t="s">
        <v>1398</v>
      </c>
      <c r="S100" t="s">
        <v>814</v>
      </c>
      <c r="V100" t="s">
        <v>1399</v>
      </c>
      <c r="W100" t="s">
        <v>780</v>
      </c>
      <c r="X100" t="s">
        <v>807</v>
      </c>
      <c r="Y100" t="s">
        <v>817</v>
      </c>
      <c r="Z100" s="31"/>
      <c r="AA100">
        <v>1234935</v>
      </c>
      <c r="AB100">
        <v>833725</v>
      </c>
      <c r="AC100">
        <v>113</v>
      </c>
      <c r="AD100" t="s">
        <v>22</v>
      </c>
      <c r="AE100" s="31">
        <v>45705</v>
      </c>
      <c r="AF100" s="61">
        <v>0.53861111111111115</v>
      </c>
      <c r="AH100" t="s">
        <v>795</v>
      </c>
      <c r="AI100" s="31">
        <v>45818</v>
      </c>
      <c r="AJ100" s="61">
        <v>0.60993055555555553</v>
      </c>
      <c r="AK100" t="s">
        <v>974</v>
      </c>
      <c r="AN100" t="s">
        <v>1378</v>
      </c>
      <c r="AO100" t="s">
        <v>22</v>
      </c>
      <c r="AP100" t="s">
        <v>1378</v>
      </c>
      <c r="AR100" s="31"/>
      <c r="AX100">
        <v>1</v>
      </c>
    </row>
    <row r="101" spans="1:50" x14ac:dyDescent="0.25">
      <c r="A101" t="s">
        <v>22</v>
      </c>
      <c r="B101">
        <v>258</v>
      </c>
      <c r="D101">
        <v>1782</v>
      </c>
      <c r="G101" t="s">
        <v>1400</v>
      </c>
      <c r="J101" t="s">
        <v>1401</v>
      </c>
      <c r="K101" t="s">
        <v>1402</v>
      </c>
      <c r="M101" t="s">
        <v>1403</v>
      </c>
      <c r="P101" t="s">
        <v>778</v>
      </c>
      <c r="V101" t="s">
        <v>1327</v>
      </c>
      <c r="W101" t="s">
        <v>780</v>
      </c>
      <c r="X101" t="s">
        <v>807</v>
      </c>
      <c r="Z101" s="31"/>
      <c r="AC101">
        <v>21</v>
      </c>
      <c r="AD101" t="s">
        <v>22</v>
      </c>
      <c r="AE101" s="31">
        <v>45705</v>
      </c>
      <c r="AF101" s="61">
        <v>0.54</v>
      </c>
      <c r="AH101" t="s">
        <v>795</v>
      </c>
      <c r="AI101" s="31">
        <v>45726</v>
      </c>
      <c r="AJ101" s="61">
        <v>0.73636574074074079</v>
      </c>
      <c r="AK101" t="s">
        <v>867</v>
      </c>
      <c r="AN101" t="s">
        <v>1378</v>
      </c>
      <c r="AO101" t="s">
        <v>22</v>
      </c>
      <c r="AP101" t="s">
        <v>1378</v>
      </c>
      <c r="AR101" s="31"/>
      <c r="AX101">
        <v>1</v>
      </c>
    </row>
    <row r="102" spans="1:50" x14ac:dyDescent="0.25">
      <c r="A102" t="s">
        <v>22</v>
      </c>
      <c r="B102">
        <v>259</v>
      </c>
      <c r="D102">
        <v>1783</v>
      </c>
      <c r="G102" t="s">
        <v>1404</v>
      </c>
      <c r="J102" t="s">
        <v>1405</v>
      </c>
      <c r="K102" t="s">
        <v>1406</v>
      </c>
      <c r="M102" t="s">
        <v>1111</v>
      </c>
      <c r="P102" t="s">
        <v>778</v>
      </c>
      <c r="S102" t="s">
        <v>1068</v>
      </c>
      <c r="V102" t="s">
        <v>1407</v>
      </c>
      <c r="W102" t="s">
        <v>780</v>
      </c>
      <c r="X102" t="s">
        <v>897</v>
      </c>
      <c r="Y102" t="s">
        <v>817</v>
      </c>
      <c r="Z102" s="31"/>
      <c r="AC102">
        <v>75</v>
      </c>
      <c r="AD102" t="s">
        <v>22</v>
      </c>
      <c r="AE102" s="31">
        <v>45705</v>
      </c>
      <c r="AF102" s="61">
        <v>0.55487268518518518</v>
      </c>
      <c r="AH102" t="s">
        <v>795</v>
      </c>
      <c r="AI102" s="31">
        <v>45780</v>
      </c>
      <c r="AJ102" s="61">
        <v>0.45906249999999998</v>
      </c>
      <c r="AK102" t="s">
        <v>796</v>
      </c>
      <c r="AO102" t="s">
        <v>22</v>
      </c>
      <c r="AP102" t="s">
        <v>1408</v>
      </c>
      <c r="AR102" s="31"/>
      <c r="AX102">
        <v>1</v>
      </c>
    </row>
    <row r="103" spans="1:50" x14ac:dyDescent="0.25">
      <c r="A103" t="s">
        <v>22</v>
      </c>
      <c r="B103">
        <v>260</v>
      </c>
      <c r="D103">
        <v>1785</v>
      </c>
      <c r="G103" t="s">
        <v>1409</v>
      </c>
      <c r="J103" t="s">
        <v>1410</v>
      </c>
      <c r="K103" t="s">
        <v>1411</v>
      </c>
      <c r="M103" t="s">
        <v>1111</v>
      </c>
      <c r="P103" t="s">
        <v>778</v>
      </c>
      <c r="S103" t="s">
        <v>1068</v>
      </c>
      <c r="V103" t="s">
        <v>1266</v>
      </c>
      <c r="W103" t="s">
        <v>780</v>
      </c>
      <c r="X103" t="s">
        <v>897</v>
      </c>
      <c r="Y103" t="s">
        <v>817</v>
      </c>
      <c r="Z103" s="31"/>
      <c r="AC103">
        <v>37</v>
      </c>
      <c r="AD103" t="s">
        <v>22</v>
      </c>
      <c r="AE103" s="31">
        <v>45705</v>
      </c>
      <c r="AF103" s="61">
        <v>0.55835648148148154</v>
      </c>
      <c r="AH103" t="s">
        <v>795</v>
      </c>
      <c r="AI103" s="31">
        <v>45742</v>
      </c>
      <c r="AJ103" s="61">
        <v>0.73165509259259254</v>
      </c>
      <c r="AK103" t="s">
        <v>867</v>
      </c>
      <c r="AO103" t="s">
        <v>22</v>
      </c>
      <c r="AP103" t="s">
        <v>1408</v>
      </c>
      <c r="AR103" s="31"/>
      <c r="AX103">
        <v>1</v>
      </c>
    </row>
    <row r="104" spans="1:50" x14ac:dyDescent="0.25">
      <c r="A104" t="s">
        <v>44</v>
      </c>
      <c r="B104">
        <v>261</v>
      </c>
      <c r="D104">
        <v>1786</v>
      </c>
      <c r="G104" t="s">
        <v>1412</v>
      </c>
      <c r="J104" t="s">
        <v>1413</v>
      </c>
      <c r="K104" t="s">
        <v>1414</v>
      </c>
      <c r="M104" t="s">
        <v>1340</v>
      </c>
      <c r="P104" t="s">
        <v>778</v>
      </c>
      <c r="V104" t="s">
        <v>1327</v>
      </c>
      <c r="W104" t="s">
        <v>780</v>
      </c>
      <c r="X104" t="s">
        <v>793</v>
      </c>
      <c r="Z104" s="31"/>
      <c r="AA104">
        <v>1600</v>
      </c>
      <c r="AB104">
        <v>2101</v>
      </c>
      <c r="AC104">
        <v>7</v>
      </c>
      <c r="AD104" t="s">
        <v>44</v>
      </c>
      <c r="AE104" s="31">
        <v>45705</v>
      </c>
      <c r="AF104" s="61">
        <v>0.62410879629629634</v>
      </c>
      <c r="AH104" t="s">
        <v>795</v>
      </c>
      <c r="AI104" s="31">
        <v>45712</v>
      </c>
      <c r="AJ104" s="61">
        <v>0.71869212962962958</v>
      </c>
      <c r="AK104" t="s">
        <v>867</v>
      </c>
      <c r="AL104" t="s">
        <v>1342</v>
      </c>
      <c r="AN104" t="s">
        <v>1343</v>
      </c>
      <c r="AP104" t="s">
        <v>1336</v>
      </c>
      <c r="AR104" s="31"/>
      <c r="AX104">
        <v>1</v>
      </c>
    </row>
    <row r="105" spans="1:50" x14ac:dyDescent="0.25">
      <c r="A105" t="s">
        <v>22</v>
      </c>
      <c r="B105">
        <v>263</v>
      </c>
      <c r="D105">
        <v>1790</v>
      </c>
      <c r="E105" t="s">
        <v>1415</v>
      </c>
      <c r="G105" t="s">
        <v>1416</v>
      </c>
      <c r="J105" t="s">
        <v>1417</v>
      </c>
      <c r="K105" t="s">
        <v>1418</v>
      </c>
      <c r="M105" t="s">
        <v>1111</v>
      </c>
      <c r="P105" t="s">
        <v>778</v>
      </c>
      <c r="S105" t="s">
        <v>791</v>
      </c>
      <c r="V105" t="s">
        <v>1419</v>
      </c>
      <c r="W105" t="s">
        <v>780</v>
      </c>
      <c r="X105" t="s">
        <v>793</v>
      </c>
      <c r="Y105" t="s">
        <v>817</v>
      </c>
      <c r="Z105" s="31">
        <v>46053</v>
      </c>
      <c r="AC105">
        <v>364</v>
      </c>
      <c r="AD105" t="s">
        <v>22</v>
      </c>
      <c r="AE105" s="31">
        <v>45706</v>
      </c>
      <c r="AF105" s="61">
        <v>0.41710648148148149</v>
      </c>
      <c r="AH105" t="s">
        <v>795</v>
      </c>
      <c r="AI105" s="31">
        <v>46070</v>
      </c>
      <c r="AJ105" s="61">
        <v>0.60356481481481483</v>
      </c>
      <c r="AK105" t="s">
        <v>796</v>
      </c>
      <c r="AL105" t="s">
        <v>1420</v>
      </c>
      <c r="AN105" t="s">
        <v>1421</v>
      </c>
      <c r="AO105" t="s">
        <v>22</v>
      </c>
      <c r="AP105" t="s">
        <v>1422</v>
      </c>
      <c r="AQ105" t="s">
        <v>1422</v>
      </c>
      <c r="AR105" s="31">
        <v>46045</v>
      </c>
      <c r="AS105" t="s">
        <v>1423</v>
      </c>
      <c r="AX105">
        <v>1</v>
      </c>
    </row>
    <row r="106" spans="1:50" x14ac:dyDescent="0.25">
      <c r="A106" t="s">
        <v>44</v>
      </c>
      <c r="B106">
        <v>266</v>
      </c>
      <c r="D106">
        <v>1866</v>
      </c>
      <c r="G106" t="s">
        <v>1424</v>
      </c>
      <c r="H106">
        <v>8652421000109</v>
      </c>
      <c r="J106" t="s">
        <v>1425</v>
      </c>
      <c r="K106" t="s">
        <v>1426</v>
      </c>
      <c r="M106" t="s">
        <v>1427</v>
      </c>
      <c r="P106" t="s">
        <v>778</v>
      </c>
      <c r="Q106" t="s">
        <v>1428</v>
      </c>
      <c r="R106" t="s">
        <v>1027</v>
      </c>
      <c r="W106" t="s">
        <v>780</v>
      </c>
      <c r="X106" t="s">
        <v>897</v>
      </c>
      <c r="Z106" s="31"/>
      <c r="AA106">
        <v>14400</v>
      </c>
      <c r="AB106">
        <v>18034</v>
      </c>
      <c r="AC106">
        <v>30</v>
      </c>
      <c r="AD106" t="s">
        <v>44</v>
      </c>
      <c r="AE106" s="31">
        <v>45707</v>
      </c>
      <c r="AF106" s="61">
        <v>0.70996527777777774</v>
      </c>
      <c r="AH106" t="s">
        <v>795</v>
      </c>
      <c r="AI106" s="31">
        <v>45737</v>
      </c>
      <c r="AJ106" s="61">
        <v>0.61376157407407406</v>
      </c>
      <c r="AK106" t="s">
        <v>858</v>
      </c>
      <c r="AL106" t="s">
        <v>1429</v>
      </c>
      <c r="AN106" t="s">
        <v>1430</v>
      </c>
      <c r="AP106" t="s">
        <v>1430</v>
      </c>
      <c r="AR106" s="31"/>
      <c r="AX106">
        <v>1</v>
      </c>
    </row>
    <row r="107" spans="1:50" x14ac:dyDescent="0.25">
      <c r="A107" t="s">
        <v>44</v>
      </c>
      <c r="B107">
        <v>267</v>
      </c>
      <c r="D107">
        <v>1871</v>
      </c>
      <c r="G107" t="s">
        <v>1431</v>
      </c>
      <c r="H107">
        <v>21969045000149</v>
      </c>
      <c r="J107" t="s">
        <v>1432</v>
      </c>
      <c r="K107" t="s">
        <v>1433</v>
      </c>
      <c r="M107" t="s">
        <v>1434</v>
      </c>
      <c r="P107" t="s">
        <v>778</v>
      </c>
      <c r="Q107" t="s">
        <v>1435</v>
      </c>
      <c r="R107" t="s">
        <v>790</v>
      </c>
      <c r="S107" t="s">
        <v>1068</v>
      </c>
      <c r="V107" t="s">
        <v>1266</v>
      </c>
      <c r="W107" t="s">
        <v>780</v>
      </c>
      <c r="X107" t="s">
        <v>816</v>
      </c>
      <c r="Y107" t="s">
        <v>817</v>
      </c>
      <c r="Z107" s="31"/>
      <c r="AA107">
        <v>88000</v>
      </c>
      <c r="AB107">
        <v>450432</v>
      </c>
      <c r="AC107">
        <v>64</v>
      </c>
      <c r="AD107" t="s">
        <v>44</v>
      </c>
      <c r="AE107" s="31">
        <v>45707</v>
      </c>
      <c r="AF107" s="61">
        <v>0.71253472222222225</v>
      </c>
      <c r="AH107" t="s">
        <v>818</v>
      </c>
      <c r="AI107" s="31">
        <v>45771</v>
      </c>
      <c r="AJ107" s="61">
        <v>0.50746527777777772</v>
      </c>
      <c r="AN107" t="s">
        <v>1436</v>
      </c>
      <c r="AR107" s="31"/>
      <c r="AX107">
        <v>1</v>
      </c>
    </row>
    <row r="108" spans="1:50" x14ac:dyDescent="0.25">
      <c r="A108" t="s">
        <v>44</v>
      </c>
      <c r="B108">
        <v>268</v>
      </c>
      <c r="D108">
        <v>1874</v>
      </c>
      <c r="G108" t="s">
        <v>1437</v>
      </c>
      <c r="H108">
        <v>52556578000122</v>
      </c>
      <c r="J108" t="s">
        <v>1438</v>
      </c>
      <c r="K108" t="s">
        <v>1439</v>
      </c>
      <c r="M108" t="s">
        <v>1440</v>
      </c>
      <c r="P108" t="s">
        <v>778</v>
      </c>
      <c r="Q108" t="s">
        <v>1441</v>
      </c>
      <c r="R108" t="s">
        <v>790</v>
      </c>
      <c r="S108" t="s">
        <v>1068</v>
      </c>
      <c r="V108" t="s">
        <v>1266</v>
      </c>
      <c r="W108" t="s">
        <v>780</v>
      </c>
      <c r="X108" t="s">
        <v>897</v>
      </c>
      <c r="Y108" t="s">
        <v>817</v>
      </c>
      <c r="Z108" s="31"/>
      <c r="AC108">
        <v>54</v>
      </c>
      <c r="AD108" t="s">
        <v>44</v>
      </c>
      <c r="AE108" s="31">
        <v>45708</v>
      </c>
      <c r="AF108" s="61">
        <v>0.44270833333333331</v>
      </c>
      <c r="AH108" t="s">
        <v>795</v>
      </c>
      <c r="AI108" s="31">
        <v>45762</v>
      </c>
      <c r="AJ108" s="61">
        <v>0.69423611111111116</v>
      </c>
      <c r="AK108" t="s">
        <v>796</v>
      </c>
      <c r="AL108" t="s">
        <v>1442</v>
      </c>
      <c r="AR108" s="31"/>
      <c r="AX108">
        <v>1</v>
      </c>
    </row>
    <row r="109" spans="1:50" x14ac:dyDescent="0.25">
      <c r="A109" t="s">
        <v>44</v>
      </c>
      <c r="B109">
        <v>270</v>
      </c>
      <c r="C109">
        <v>167</v>
      </c>
      <c r="D109">
        <v>1880</v>
      </c>
      <c r="G109" t="s">
        <v>1443</v>
      </c>
      <c r="H109">
        <v>7973104000121</v>
      </c>
      <c r="I109" t="s">
        <v>979</v>
      </c>
      <c r="J109" t="s">
        <v>1444</v>
      </c>
      <c r="K109" t="s">
        <v>981</v>
      </c>
      <c r="M109" t="s">
        <v>982</v>
      </c>
      <c r="P109" t="s">
        <v>778</v>
      </c>
      <c r="Q109" t="s">
        <v>983</v>
      </c>
      <c r="R109" t="s">
        <v>932</v>
      </c>
      <c r="W109" t="s">
        <v>780</v>
      </c>
      <c r="X109" t="s">
        <v>816</v>
      </c>
      <c r="Z109" s="31"/>
      <c r="AA109">
        <v>0</v>
      </c>
      <c r="AB109">
        <v>49896</v>
      </c>
      <c r="AC109">
        <v>11</v>
      </c>
      <c r="AD109" t="s">
        <v>44</v>
      </c>
      <c r="AE109" s="31">
        <v>45708</v>
      </c>
      <c r="AF109" s="61">
        <v>0.48841435185185178</v>
      </c>
      <c r="AH109" t="s">
        <v>818</v>
      </c>
      <c r="AI109" s="31">
        <v>45719</v>
      </c>
      <c r="AJ109" s="61">
        <v>0.48200231481481481</v>
      </c>
      <c r="AN109" t="s">
        <v>1436</v>
      </c>
      <c r="AR109" s="31"/>
      <c r="AX109">
        <v>1</v>
      </c>
    </row>
    <row r="110" spans="1:50" x14ac:dyDescent="0.25">
      <c r="A110" t="s">
        <v>44</v>
      </c>
      <c r="B110">
        <v>272</v>
      </c>
      <c r="D110">
        <v>1882</v>
      </c>
      <c r="G110" t="s">
        <v>1445</v>
      </c>
      <c r="J110" t="s">
        <v>1445</v>
      </c>
      <c r="K110" t="s">
        <v>1446</v>
      </c>
      <c r="M110" t="s">
        <v>1447</v>
      </c>
      <c r="P110" t="s">
        <v>778</v>
      </c>
      <c r="S110" t="s">
        <v>1068</v>
      </c>
      <c r="V110" t="s">
        <v>1327</v>
      </c>
      <c r="W110" t="s">
        <v>780</v>
      </c>
      <c r="X110" t="s">
        <v>897</v>
      </c>
      <c r="Y110" t="s">
        <v>817</v>
      </c>
      <c r="Z110" s="31"/>
      <c r="AC110">
        <v>50</v>
      </c>
      <c r="AD110" t="s">
        <v>44</v>
      </c>
      <c r="AE110" s="31">
        <v>45712</v>
      </c>
      <c r="AF110" s="61">
        <v>0.39177083333333329</v>
      </c>
      <c r="AH110" t="s">
        <v>795</v>
      </c>
      <c r="AI110" s="31">
        <v>45762</v>
      </c>
      <c r="AJ110" s="61">
        <v>0.69267361111111114</v>
      </c>
      <c r="AK110" t="s">
        <v>796</v>
      </c>
      <c r="AL110" t="s">
        <v>1448</v>
      </c>
      <c r="AP110" t="s">
        <v>1262</v>
      </c>
      <c r="AR110" s="31"/>
      <c r="AX110">
        <v>1</v>
      </c>
    </row>
    <row r="111" spans="1:50" x14ac:dyDescent="0.25">
      <c r="A111" t="s">
        <v>31</v>
      </c>
      <c r="B111">
        <v>273</v>
      </c>
      <c r="D111">
        <v>1883</v>
      </c>
      <c r="G111" t="s">
        <v>1449</v>
      </c>
      <c r="J111" t="s">
        <v>1450</v>
      </c>
      <c r="K111" t="s">
        <v>1451</v>
      </c>
      <c r="M111" t="s">
        <v>1452</v>
      </c>
      <c r="P111" t="s">
        <v>778</v>
      </c>
      <c r="S111" t="s">
        <v>1068</v>
      </c>
      <c r="W111" t="s">
        <v>780</v>
      </c>
      <c r="X111" t="s">
        <v>816</v>
      </c>
      <c r="Y111" t="s">
        <v>817</v>
      </c>
      <c r="Z111" s="31"/>
      <c r="AA111">
        <v>55440</v>
      </c>
      <c r="AB111">
        <v>560465</v>
      </c>
      <c r="AC111">
        <v>39</v>
      </c>
      <c r="AD111" t="s">
        <v>31</v>
      </c>
      <c r="AE111" s="31">
        <v>45712</v>
      </c>
      <c r="AF111" s="61">
        <v>0.66232638888888884</v>
      </c>
      <c r="AH111" t="s">
        <v>795</v>
      </c>
      <c r="AI111" s="31">
        <v>45751</v>
      </c>
      <c r="AJ111" s="61">
        <v>0.64483796296296292</v>
      </c>
      <c r="AK111" t="s">
        <v>867</v>
      </c>
      <c r="AN111" t="s">
        <v>1453</v>
      </c>
      <c r="AO111" t="s">
        <v>31</v>
      </c>
      <c r="AP111" t="s">
        <v>1454</v>
      </c>
      <c r="AQ111" t="s">
        <v>1455</v>
      </c>
      <c r="AR111" s="31"/>
      <c r="AX111">
        <v>1</v>
      </c>
    </row>
    <row r="112" spans="1:50" x14ac:dyDescent="0.25">
      <c r="A112" t="s">
        <v>44</v>
      </c>
      <c r="B112">
        <v>277</v>
      </c>
      <c r="D112">
        <v>1887</v>
      </c>
      <c r="G112" t="s">
        <v>1456</v>
      </c>
      <c r="J112" t="s">
        <v>1457</v>
      </c>
      <c r="K112" t="s">
        <v>1458</v>
      </c>
      <c r="M112" t="s">
        <v>1459</v>
      </c>
      <c r="P112" t="s">
        <v>778</v>
      </c>
      <c r="W112" t="s">
        <v>780</v>
      </c>
      <c r="X112" t="s">
        <v>816</v>
      </c>
      <c r="Z112" s="31"/>
      <c r="AA112">
        <v>0</v>
      </c>
      <c r="AB112">
        <v>3564</v>
      </c>
      <c r="AC112">
        <v>5</v>
      </c>
      <c r="AD112" t="s">
        <v>44</v>
      </c>
      <c r="AE112" s="31">
        <v>45714</v>
      </c>
      <c r="AF112" s="61">
        <v>0.38343749999999999</v>
      </c>
      <c r="AH112" t="s">
        <v>818</v>
      </c>
      <c r="AI112" s="31">
        <v>45719</v>
      </c>
      <c r="AJ112" s="61">
        <v>0.48221064814814812</v>
      </c>
      <c r="AN112" t="s">
        <v>1460</v>
      </c>
      <c r="AR112" s="31"/>
      <c r="AX112">
        <v>1</v>
      </c>
    </row>
    <row r="113" spans="1:50" x14ac:dyDescent="0.25">
      <c r="A113" t="s">
        <v>44</v>
      </c>
      <c r="B113">
        <v>279</v>
      </c>
      <c r="D113">
        <v>1890</v>
      </c>
      <c r="G113" t="s">
        <v>1461</v>
      </c>
      <c r="J113" t="s">
        <v>1462</v>
      </c>
      <c r="K113" t="s">
        <v>1463</v>
      </c>
      <c r="M113" t="s">
        <v>1111</v>
      </c>
      <c r="P113" t="s">
        <v>778</v>
      </c>
      <c r="W113" t="s">
        <v>780</v>
      </c>
      <c r="X113" t="s">
        <v>897</v>
      </c>
      <c r="Z113" s="31"/>
      <c r="AC113">
        <v>2</v>
      </c>
      <c r="AD113" t="s">
        <v>22</v>
      </c>
      <c r="AE113" s="31">
        <v>45714</v>
      </c>
      <c r="AF113" s="61">
        <v>0.73251157407407408</v>
      </c>
      <c r="AH113" t="s">
        <v>795</v>
      </c>
      <c r="AI113" s="31">
        <v>45716</v>
      </c>
      <c r="AJ113" s="61">
        <v>0.71136574074074077</v>
      </c>
      <c r="AK113" t="s">
        <v>1226</v>
      </c>
      <c r="AL113" t="s">
        <v>1464</v>
      </c>
      <c r="AO113" t="s">
        <v>44</v>
      </c>
      <c r="AR113" s="31"/>
      <c r="AX113">
        <v>1</v>
      </c>
    </row>
    <row r="114" spans="1:50" x14ac:dyDescent="0.25">
      <c r="A114" t="s">
        <v>44</v>
      </c>
      <c r="B114">
        <v>281</v>
      </c>
      <c r="D114">
        <v>1892</v>
      </c>
      <c r="G114" t="s">
        <v>1465</v>
      </c>
      <c r="J114" t="s">
        <v>1466</v>
      </c>
      <c r="K114" t="s">
        <v>1467</v>
      </c>
      <c r="M114" t="s">
        <v>1468</v>
      </c>
      <c r="P114" t="s">
        <v>778</v>
      </c>
      <c r="S114" t="s">
        <v>1068</v>
      </c>
      <c r="W114" t="s">
        <v>780</v>
      </c>
      <c r="X114" t="s">
        <v>816</v>
      </c>
      <c r="Y114" t="s">
        <v>817</v>
      </c>
      <c r="Z114" s="31"/>
      <c r="AA114">
        <v>0</v>
      </c>
      <c r="AB114">
        <v>449635</v>
      </c>
      <c r="AC114">
        <v>55</v>
      </c>
      <c r="AD114" t="s">
        <v>44</v>
      </c>
      <c r="AE114" s="31">
        <v>45716</v>
      </c>
      <c r="AF114" s="61">
        <v>0.42606481481481479</v>
      </c>
      <c r="AH114" t="s">
        <v>818</v>
      </c>
      <c r="AI114" s="31">
        <v>45771</v>
      </c>
      <c r="AJ114" s="61">
        <v>0.50797453703703699</v>
      </c>
      <c r="AN114" t="s">
        <v>1383</v>
      </c>
      <c r="AP114" t="s">
        <v>1460</v>
      </c>
      <c r="AR114" s="31"/>
      <c r="AX114">
        <v>1</v>
      </c>
    </row>
    <row r="115" spans="1:50" x14ac:dyDescent="0.25">
      <c r="A115" t="s">
        <v>44</v>
      </c>
      <c r="B115">
        <v>282</v>
      </c>
      <c r="D115">
        <v>1894</v>
      </c>
      <c r="G115" t="s">
        <v>1469</v>
      </c>
      <c r="J115" t="s">
        <v>1470</v>
      </c>
      <c r="K115" t="s">
        <v>1471</v>
      </c>
      <c r="M115" t="s">
        <v>1472</v>
      </c>
      <c r="P115" t="s">
        <v>778</v>
      </c>
      <c r="S115" t="s">
        <v>1068</v>
      </c>
      <c r="W115" t="s">
        <v>780</v>
      </c>
      <c r="X115" t="s">
        <v>793</v>
      </c>
      <c r="Y115" t="s">
        <v>817</v>
      </c>
      <c r="Z115" s="31"/>
      <c r="AA115">
        <v>1600</v>
      </c>
      <c r="AB115">
        <v>5</v>
      </c>
      <c r="AC115">
        <v>47</v>
      </c>
      <c r="AD115" t="s">
        <v>44</v>
      </c>
      <c r="AE115" s="31">
        <v>45716</v>
      </c>
      <c r="AF115" s="61">
        <v>0.70343750000000005</v>
      </c>
      <c r="AH115" t="s">
        <v>795</v>
      </c>
      <c r="AI115" s="31">
        <v>45763</v>
      </c>
      <c r="AJ115" s="61">
        <v>0.3946527777777778</v>
      </c>
      <c r="AK115" t="s">
        <v>796</v>
      </c>
      <c r="AL115" t="s">
        <v>1351</v>
      </c>
      <c r="AN115" t="s">
        <v>1352</v>
      </c>
      <c r="AP115" t="s">
        <v>1305</v>
      </c>
      <c r="AR115" s="31"/>
      <c r="AX115">
        <v>1</v>
      </c>
    </row>
    <row r="116" spans="1:50" x14ac:dyDescent="0.25">
      <c r="A116" t="s">
        <v>31</v>
      </c>
      <c r="B116">
        <v>283</v>
      </c>
      <c r="D116">
        <v>1895</v>
      </c>
      <c r="G116" t="s">
        <v>1473</v>
      </c>
      <c r="H116">
        <v>37075503000136</v>
      </c>
      <c r="J116" t="s">
        <v>1474</v>
      </c>
      <c r="K116" t="s">
        <v>1475</v>
      </c>
      <c r="M116" t="s">
        <v>1476</v>
      </c>
      <c r="P116" t="s">
        <v>778</v>
      </c>
      <c r="Q116" t="s">
        <v>1477</v>
      </c>
      <c r="R116" t="s">
        <v>932</v>
      </c>
      <c r="W116" t="s">
        <v>780</v>
      </c>
      <c r="X116" t="s">
        <v>816</v>
      </c>
      <c r="Z116" s="31"/>
      <c r="AA116">
        <v>63000</v>
      </c>
      <c r="AB116">
        <v>211328</v>
      </c>
      <c r="AC116">
        <v>20</v>
      </c>
      <c r="AD116" t="s">
        <v>31</v>
      </c>
      <c r="AE116" s="31">
        <v>45720</v>
      </c>
      <c r="AF116" s="61">
        <v>0.40530092592592593</v>
      </c>
      <c r="AH116" t="s">
        <v>818</v>
      </c>
      <c r="AI116" s="31">
        <v>45740</v>
      </c>
      <c r="AJ116" s="61">
        <v>0.80163194444444441</v>
      </c>
      <c r="AN116" t="s">
        <v>1478</v>
      </c>
      <c r="AO116" t="s">
        <v>31</v>
      </c>
      <c r="AR116" s="31"/>
      <c r="AX116">
        <v>1</v>
      </c>
    </row>
    <row r="117" spans="1:50" x14ac:dyDescent="0.25">
      <c r="A117" t="s">
        <v>31</v>
      </c>
      <c r="B117">
        <v>284</v>
      </c>
      <c r="D117">
        <v>1897</v>
      </c>
      <c r="G117" t="s">
        <v>1479</v>
      </c>
      <c r="H117">
        <v>37075503000136</v>
      </c>
      <c r="J117" t="s">
        <v>1474</v>
      </c>
      <c r="K117" t="s">
        <v>1475</v>
      </c>
      <c r="M117" t="s">
        <v>1476</v>
      </c>
      <c r="P117" t="s">
        <v>778</v>
      </c>
      <c r="Q117" t="s">
        <v>1477</v>
      </c>
      <c r="R117" t="s">
        <v>932</v>
      </c>
      <c r="S117" t="s">
        <v>1068</v>
      </c>
      <c r="W117" t="s">
        <v>780</v>
      </c>
      <c r="X117" t="s">
        <v>816</v>
      </c>
      <c r="Z117" s="31"/>
      <c r="AA117">
        <v>1600</v>
      </c>
      <c r="AB117">
        <v>287073</v>
      </c>
      <c r="AC117">
        <v>22</v>
      </c>
      <c r="AD117" t="s">
        <v>31</v>
      </c>
      <c r="AE117" s="31">
        <v>45720</v>
      </c>
      <c r="AF117" s="61">
        <v>0.63810185185185186</v>
      </c>
      <c r="AH117" t="s">
        <v>818</v>
      </c>
      <c r="AI117" s="31">
        <v>45742</v>
      </c>
      <c r="AJ117" s="61">
        <v>0.4453125</v>
      </c>
      <c r="AN117" t="s">
        <v>1478</v>
      </c>
      <c r="AO117" t="s">
        <v>31</v>
      </c>
      <c r="AP117" t="s">
        <v>1478</v>
      </c>
      <c r="AR117" s="31"/>
      <c r="AX117">
        <v>1</v>
      </c>
    </row>
    <row r="118" spans="1:50" x14ac:dyDescent="0.25">
      <c r="A118" t="s">
        <v>31</v>
      </c>
      <c r="B118">
        <v>286</v>
      </c>
      <c r="D118">
        <v>1900</v>
      </c>
      <c r="G118" t="s">
        <v>1480</v>
      </c>
      <c r="H118">
        <v>37075503000136</v>
      </c>
      <c r="J118" t="s">
        <v>1481</v>
      </c>
      <c r="K118" t="s">
        <v>1482</v>
      </c>
      <c r="M118" t="s">
        <v>1476</v>
      </c>
      <c r="P118" t="s">
        <v>778</v>
      </c>
      <c r="Q118" t="s">
        <v>1477</v>
      </c>
      <c r="R118" t="s">
        <v>932</v>
      </c>
      <c r="S118" t="s">
        <v>791</v>
      </c>
      <c r="W118" t="s">
        <v>780</v>
      </c>
      <c r="X118" t="s">
        <v>807</v>
      </c>
      <c r="Y118" t="s">
        <v>817</v>
      </c>
      <c r="Z118" s="31"/>
      <c r="AA118">
        <v>23580</v>
      </c>
      <c r="AB118">
        <v>1800</v>
      </c>
      <c r="AC118">
        <v>65</v>
      </c>
      <c r="AD118" t="s">
        <v>31</v>
      </c>
      <c r="AE118" s="31">
        <v>45726</v>
      </c>
      <c r="AF118" s="61">
        <v>0.63922453703703708</v>
      </c>
      <c r="AH118" t="s">
        <v>795</v>
      </c>
      <c r="AI118" s="31">
        <v>45791</v>
      </c>
      <c r="AJ118" s="61">
        <v>0.48103009259259261</v>
      </c>
      <c r="AK118" t="s">
        <v>934</v>
      </c>
      <c r="AN118" t="s">
        <v>1483</v>
      </c>
      <c r="AO118" t="s">
        <v>31</v>
      </c>
      <c r="AP118" t="s">
        <v>1483</v>
      </c>
      <c r="AR118" s="31"/>
      <c r="AX118">
        <v>1</v>
      </c>
    </row>
    <row r="119" spans="1:50" x14ac:dyDescent="0.25">
      <c r="A119" t="s">
        <v>22</v>
      </c>
      <c r="B119">
        <v>287</v>
      </c>
      <c r="D119">
        <v>1902</v>
      </c>
      <c r="G119" t="s">
        <v>1484</v>
      </c>
      <c r="H119">
        <v>7764744000202</v>
      </c>
      <c r="J119" t="s">
        <v>1485</v>
      </c>
      <c r="K119" t="s">
        <v>1486</v>
      </c>
      <c r="M119" t="s">
        <v>1487</v>
      </c>
      <c r="P119" t="s">
        <v>778</v>
      </c>
      <c r="S119" t="s">
        <v>791</v>
      </c>
      <c r="V119" t="s">
        <v>1488</v>
      </c>
      <c r="W119" t="s">
        <v>780</v>
      </c>
      <c r="X119" t="s">
        <v>807</v>
      </c>
      <c r="Y119" t="s">
        <v>817</v>
      </c>
      <c r="Z119" s="31"/>
      <c r="AA119">
        <v>16000</v>
      </c>
      <c r="AB119">
        <v>68607</v>
      </c>
      <c r="AC119">
        <v>54</v>
      </c>
      <c r="AD119" t="s">
        <v>22</v>
      </c>
      <c r="AE119" s="31">
        <v>45726</v>
      </c>
      <c r="AF119" s="61">
        <v>0.69724537037037038</v>
      </c>
      <c r="AH119" t="s">
        <v>795</v>
      </c>
      <c r="AI119" s="31">
        <v>45780</v>
      </c>
      <c r="AJ119" s="61">
        <v>0.44266203703703699</v>
      </c>
      <c r="AK119" t="s">
        <v>974</v>
      </c>
      <c r="AN119" t="s">
        <v>1489</v>
      </c>
      <c r="AO119" t="s">
        <v>22</v>
      </c>
      <c r="AP119" t="s">
        <v>1490</v>
      </c>
      <c r="AQ119" t="s">
        <v>1491</v>
      </c>
      <c r="AR119" s="31"/>
      <c r="AX119">
        <v>1</v>
      </c>
    </row>
    <row r="120" spans="1:50" x14ac:dyDescent="0.25">
      <c r="A120" t="s">
        <v>44</v>
      </c>
      <c r="B120">
        <v>291</v>
      </c>
      <c r="D120">
        <v>1904</v>
      </c>
      <c r="G120" t="s">
        <v>1492</v>
      </c>
      <c r="J120" t="s">
        <v>1493</v>
      </c>
      <c r="K120" t="s">
        <v>1494</v>
      </c>
      <c r="M120" t="s">
        <v>1495</v>
      </c>
      <c r="P120" t="s">
        <v>778</v>
      </c>
      <c r="S120" t="s">
        <v>1496</v>
      </c>
      <c r="W120" t="s">
        <v>780</v>
      </c>
      <c r="X120" t="s">
        <v>816</v>
      </c>
      <c r="Y120" t="s">
        <v>817</v>
      </c>
      <c r="Z120" s="31"/>
      <c r="AA120">
        <v>12720</v>
      </c>
      <c r="AB120">
        <v>1764</v>
      </c>
      <c r="AC120">
        <v>47</v>
      </c>
      <c r="AD120" t="s">
        <v>44</v>
      </c>
      <c r="AE120" s="31">
        <v>45729</v>
      </c>
      <c r="AF120" s="61">
        <v>0.59673611111111113</v>
      </c>
      <c r="AH120" t="s">
        <v>818</v>
      </c>
      <c r="AI120" s="31">
        <v>45776</v>
      </c>
      <c r="AJ120" s="61">
        <v>0.60798611111111112</v>
      </c>
      <c r="AN120" t="s">
        <v>1497</v>
      </c>
      <c r="AP120" t="s">
        <v>1497</v>
      </c>
      <c r="AR120" s="31"/>
      <c r="AX120">
        <v>1</v>
      </c>
    </row>
    <row r="121" spans="1:50" x14ac:dyDescent="0.25">
      <c r="A121" t="s">
        <v>22</v>
      </c>
      <c r="B121">
        <v>293</v>
      </c>
      <c r="D121">
        <v>1907</v>
      </c>
      <c r="G121" t="s">
        <v>1498</v>
      </c>
      <c r="J121" t="s">
        <v>1499</v>
      </c>
      <c r="K121" t="s">
        <v>1500</v>
      </c>
      <c r="M121" t="s">
        <v>1501</v>
      </c>
      <c r="P121" t="s">
        <v>778</v>
      </c>
      <c r="Q121" t="s">
        <v>1502</v>
      </c>
      <c r="S121" t="s">
        <v>814</v>
      </c>
      <c r="V121" t="s">
        <v>1198</v>
      </c>
      <c r="W121" t="s">
        <v>780</v>
      </c>
      <c r="X121" t="s">
        <v>857</v>
      </c>
      <c r="Y121" t="s">
        <v>817</v>
      </c>
      <c r="Z121" s="31"/>
      <c r="AC121">
        <v>21</v>
      </c>
      <c r="AD121" t="s">
        <v>22</v>
      </c>
      <c r="AE121" s="31">
        <v>45733</v>
      </c>
      <c r="AF121" s="61">
        <v>0.37027777777777782</v>
      </c>
      <c r="AH121" t="s">
        <v>795</v>
      </c>
      <c r="AI121" s="31">
        <v>45754</v>
      </c>
      <c r="AJ121" s="61">
        <v>0.58361111111111108</v>
      </c>
      <c r="AK121" t="s">
        <v>858</v>
      </c>
      <c r="AN121" t="s">
        <v>1503</v>
      </c>
      <c r="AP121" t="s">
        <v>1503</v>
      </c>
      <c r="AR121" s="31"/>
      <c r="AX121">
        <v>1</v>
      </c>
    </row>
    <row r="122" spans="1:50" x14ac:dyDescent="0.25">
      <c r="A122" t="s">
        <v>22</v>
      </c>
      <c r="B122">
        <v>294</v>
      </c>
      <c r="D122">
        <v>1908</v>
      </c>
      <c r="G122" t="s">
        <v>1504</v>
      </c>
      <c r="J122" t="s">
        <v>1505</v>
      </c>
      <c r="K122" t="s">
        <v>1506</v>
      </c>
      <c r="M122" t="s">
        <v>1111</v>
      </c>
      <c r="P122" t="s">
        <v>778</v>
      </c>
      <c r="S122" t="s">
        <v>1191</v>
      </c>
      <c r="W122" t="s">
        <v>780</v>
      </c>
      <c r="X122" t="s">
        <v>857</v>
      </c>
      <c r="Y122" t="s">
        <v>817</v>
      </c>
      <c r="Z122" s="31"/>
      <c r="AC122">
        <v>21</v>
      </c>
      <c r="AD122" t="s">
        <v>22</v>
      </c>
      <c r="AE122" s="31">
        <v>45733</v>
      </c>
      <c r="AF122" s="61">
        <v>0.37392361111111111</v>
      </c>
      <c r="AH122" t="s">
        <v>795</v>
      </c>
      <c r="AI122" s="31">
        <v>45754</v>
      </c>
      <c r="AJ122" s="61">
        <v>0.49223379629629632</v>
      </c>
      <c r="AK122" t="s">
        <v>858</v>
      </c>
      <c r="AN122" t="s">
        <v>1503</v>
      </c>
      <c r="AO122" t="s">
        <v>22</v>
      </c>
      <c r="AP122" t="s">
        <v>1503</v>
      </c>
      <c r="AR122" s="31"/>
      <c r="AX122">
        <v>1</v>
      </c>
    </row>
    <row r="123" spans="1:50" x14ac:dyDescent="0.25">
      <c r="A123" t="s">
        <v>44</v>
      </c>
      <c r="B123">
        <v>295</v>
      </c>
      <c r="D123">
        <v>1909</v>
      </c>
      <c r="G123" t="s">
        <v>1507</v>
      </c>
      <c r="J123" t="s">
        <v>1508</v>
      </c>
      <c r="K123" t="s">
        <v>1509</v>
      </c>
      <c r="M123" t="s">
        <v>1510</v>
      </c>
      <c r="P123" t="s">
        <v>778</v>
      </c>
      <c r="S123" t="s">
        <v>933</v>
      </c>
      <c r="W123" t="s">
        <v>780</v>
      </c>
      <c r="X123" t="s">
        <v>807</v>
      </c>
      <c r="Y123" t="s">
        <v>817</v>
      </c>
      <c r="Z123" s="31"/>
      <c r="AA123">
        <v>79920</v>
      </c>
      <c r="AB123">
        <v>33813</v>
      </c>
      <c r="AC123">
        <v>59</v>
      </c>
      <c r="AD123" t="s">
        <v>44</v>
      </c>
      <c r="AE123" s="31">
        <v>45733</v>
      </c>
      <c r="AF123" s="61">
        <v>0.52471064814814816</v>
      </c>
      <c r="AH123" t="s">
        <v>795</v>
      </c>
      <c r="AI123" s="31">
        <v>45792</v>
      </c>
      <c r="AJ123" s="61">
        <v>0.68163194444444442</v>
      </c>
      <c r="AK123" t="s">
        <v>796</v>
      </c>
      <c r="AL123" t="s">
        <v>797</v>
      </c>
      <c r="AN123" t="s">
        <v>1511</v>
      </c>
      <c r="AP123" t="s">
        <v>1512</v>
      </c>
      <c r="AR123" s="31"/>
      <c r="AX123">
        <v>1</v>
      </c>
    </row>
    <row r="124" spans="1:50" x14ac:dyDescent="0.25">
      <c r="A124" t="s">
        <v>44</v>
      </c>
      <c r="B124">
        <v>298</v>
      </c>
      <c r="D124">
        <v>1913</v>
      </c>
      <c r="G124" t="s">
        <v>1513</v>
      </c>
      <c r="J124" t="s">
        <v>1514</v>
      </c>
      <c r="K124" t="s">
        <v>1509</v>
      </c>
      <c r="M124" t="s">
        <v>1515</v>
      </c>
      <c r="P124" t="s">
        <v>778</v>
      </c>
      <c r="S124" t="s">
        <v>933</v>
      </c>
      <c r="W124" t="s">
        <v>780</v>
      </c>
      <c r="X124" t="s">
        <v>807</v>
      </c>
      <c r="Y124" t="s">
        <v>817</v>
      </c>
      <c r="Z124" s="31"/>
      <c r="AA124">
        <v>1600</v>
      </c>
      <c r="AB124">
        <v>3196</v>
      </c>
      <c r="AC124">
        <v>58</v>
      </c>
      <c r="AD124" t="s">
        <v>44</v>
      </c>
      <c r="AE124" s="31">
        <v>45734</v>
      </c>
      <c r="AF124" s="61">
        <v>0.62533564814814813</v>
      </c>
      <c r="AH124" t="s">
        <v>795</v>
      </c>
      <c r="AI124" s="31">
        <v>45792</v>
      </c>
      <c r="AJ124" s="61">
        <v>0.68206018518518519</v>
      </c>
      <c r="AK124" t="s">
        <v>796</v>
      </c>
      <c r="AL124" t="s">
        <v>797</v>
      </c>
      <c r="AN124" t="s">
        <v>1511</v>
      </c>
      <c r="AP124" t="s">
        <v>1512</v>
      </c>
      <c r="AR124" s="31"/>
      <c r="AX124">
        <v>1</v>
      </c>
    </row>
    <row r="125" spans="1:50" x14ac:dyDescent="0.25">
      <c r="A125" t="s">
        <v>44</v>
      </c>
      <c r="B125">
        <v>301</v>
      </c>
      <c r="D125">
        <v>1916</v>
      </c>
      <c r="G125" t="s">
        <v>1516</v>
      </c>
      <c r="J125" t="s">
        <v>1517</v>
      </c>
      <c r="K125" t="s">
        <v>1458</v>
      </c>
      <c r="M125" t="s">
        <v>1459</v>
      </c>
      <c r="P125" t="s">
        <v>778</v>
      </c>
      <c r="S125" t="s">
        <v>791</v>
      </c>
      <c r="W125" t="s">
        <v>780</v>
      </c>
      <c r="X125" t="s">
        <v>816</v>
      </c>
      <c r="Z125" s="31"/>
      <c r="AA125">
        <v>2339208</v>
      </c>
      <c r="AB125">
        <v>0</v>
      </c>
      <c r="AC125">
        <v>13</v>
      </c>
      <c r="AD125" t="s">
        <v>44</v>
      </c>
      <c r="AE125" s="31">
        <v>45736</v>
      </c>
      <c r="AF125" s="61">
        <v>0.61819444444444449</v>
      </c>
      <c r="AH125" t="s">
        <v>818</v>
      </c>
      <c r="AI125" s="31">
        <v>45749</v>
      </c>
      <c r="AJ125" s="61">
        <v>0.42002314814814817</v>
      </c>
      <c r="AN125" t="s">
        <v>1518</v>
      </c>
      <c r="AR125" s="31"/>
      <c r="AX125">
        <v>1</v>
      </c>
    </row>
    <row r="126" spans="1:50" x14ac:dyDescent="0.25">
      <c r="A126" t="s">
        <v>44</v>
      </c>
      <c r="B126">
        <v>303</v>
      </c>
      <c r="D126">
        <v>1919</v>
      </c>
      <c r="G126" t="s">
        <v>1519</v>
      </c>
      <c r="J126" t="s">
        <v>1520</v>
      </c>
      <c r="K126" t="s">
        <v>1521</v>
      </c>
      <c r="M126" t="s">
        <v>1522</v>
      </c>
      <c r="P126" t="s">
        <v>778</v>
      </c>
      <c r="Q126" t="s">
        <v>1523</v>
      </c>
      <c r="S126" t="s">
        <v>814</v>
      </c>
      <c r="V126" t="s">
        <v>1186</v>
      </c>
      <c r="W126" t="s">
        <v>780</v>
      </c>
      <c r="X126" t="s">
        <v>816</v>
      </c>
      <c r="Y126" t="s">
        <v>817</v>
      </c>
      <c r="Z126" s="31"/>
      <c r="AA126">
        <v>583848</v>
      </c>
      <c r="AB126">
        <v>229112</v>
      </c>
      <c r="AC126">
        <v>57</v>
      </c>
      <c r="AD126" t="s">
        <v>22</v>
      </c>
      <c r="AE126" s="31">
        <v>45741</v>
      </c>
      <c r="AF126" s="61">
        <v>0.38427083333333328</v>
      </c>
      <c r="AH126" t="s">
        <v>818</v>
      </c>
      <c r="AI126" s="31">
        <v>45798</v>
      </c>
      <c r="AJ126" s="61">
        <v>0.37590277777777781</v>
      </c>
      <c r="AN126" t="s">
        <v>1524</v>
      </c>
      <c r="AP126" t="s">
        <v>1525</v>
      </c>
      <c r="AQ126" t="s">
        <v>1524</v>
      </c>
      <c r="AR126" s="31"/>
      <c r="AX126">
        <v>1</v>
      </c>
    </row>
    <row r="127" spans="1:50" x14ac:dyDescent="0.25">
      <c r="A127" t="s">
        <v>44</v>
      </c>
      <c r="B127">
        <v>304</v>
      </c>
      <c r="D127">
        <v>1922</v>
      </c>
      <c r="G127" t="s">
        <v>1526</v>
      </c>
      <c r="J127" t="s">
        <v>1527</v>
      </c>
      <c r="K127" t="s">
        <v>1458</v>
      </c>
      <c r="M127" t="s">
        <v>1459</v>
      </c>
      <c r="P127" t="s">
        <v>778</v>
      </c>
      <c r="W127" t="s">
        <v>780</v>
      </c>
      <c r="X127" t="s">
        <v>816</v>
      </c>
      <c r="Z127" s="31"/>
      <c r="AA127">
        <v>0</v>
      </c>
      <c r="AB127">
        <v>14256</v>
      </c>
      <c r="AC127">
        <v>0</v>
      </c>
      <c r="AD127" t="s">
        <v>44</v>
      </c>
      <c r="AE127" s="31">
        <v>45742</v>
      </c>
      <c r="AF127" s="61">
        <v>0.51811342592592591</v>
      </c>
      <c r="AH127" t="s">
        <v>818</v>
      </c>
      <c r="AI127" s="31">
        <v>45742</v>
      </c>
      <c r="AJ127" s="61">
        <v>0.51986111111111111</v>
      </c>
      <c r="AN127" t="s">
        <v>1528</v>
      </c>
      <c r="AR127" s="31"/>
      <c r="AX127">
        <v>1</v>
      </c>
    </row>
    <row r="128" spans="1:50" x14ac:dyDescent="0.25">
      <c r="A128" t="s">
        <v>44</v>
      </c>
      <c r="B128">
        <v>305</v>
      </c>
      <c r="D128">
        <v>1923</v>
      </c>
      <c r="G128" t="s">
        <v>1529</v>
      </c>
      <c r="H128">
        <v>49695060000165</v>
      </c>
      <c r="J128" t="s">
        <v>1530</v>
      </c>
      <c r="K128" t="s">
        <v>1531</v>
      </c>
      <c r="M128" t="s">
        <v>1532</v>
      </c>
      <c r="P128" t="s">
        <v>778</v>
      </c>
      <c r="Q128" t="s">
        <v>1094</v>
      </c>
      <c r="R128" t="s">
        <v>790</v>
      </c>
      <c r="S128" t="s">
        <v>1191</v>
      </c>
      <c r="W128" t="s">
        <v>780</v>
      </c>
      <c r="X128" t="s">
        <v>793</v>
      </c>
      <c r="Y128" t="s">
        <v>817</v>
      </c>
      <c r="Z128" s="31"/>
      <c r="AA128">
        <v>64448</v>
      </c>
      <c r="AB128">
        <v>159326</v>
      </c>
      <c r="AC128">
        <v>50</v>
      </c>
      <c r="AD128" t="s">
        <v>44</v>
      </c>
      <c r="AE128" s="31">
        <v>45742</v>
      </c>
      <c r="AF128" s="61">
        <v>0.53810185185185189</v>
      </c>
      <c r="AH128" t="s">
        <v>795</v>
      </c>
      <c r="AI128" s="31">
        <v>45792</v>
      </c>
      <c r="AJ128" s="61">
        <v>0.64240740740740743</v>
      </c>
      <c r="AK128" t="s">
        <v>796</v>
      </c>
      <c r="AL128" t="s">
        <v>1533</v>
      </c>
      <c r="AN128" t="s">
        <v>1525</v>
      </c>
      <c r="AP128" t="s">
        <v>1528</v>
      </c>
      <c r="AR128" s="31"/>
      <c r="AX128">
        <v>1</v>
      </c>
    </row>
    <row r="129" spans="1:50" x14ac:dyDescent="0.25">
      <c r="A129" t="s">
        <v>44</v>
      </c>
      <c r="B129">
        <v>311</v>
      </c>
      <c r="D129">
        <v>1942</v>
      </c>
      <c r="G129" t="s">
        <v>1534</v>
      </c>
      <c r="J129" t="s">
        <v>642</v>
      </c>
      <c r="K129" t="s">
        <v>1535</v>
      </c>
      <c r="M129" t="s">
        <v>1536</v>
      </c>
      <c r="P129" t="s">
        <v>778</v>
      </c>
      <c r="W129" t="s">
        <v>780</v>
      </c>
      <c r="X129" t="s">
        <v>816</v>
      </c>
      <c r="Y129" t="s">
        <v>1537</v>
      </c>
      <c r="Z129" s="31"/>
      <c r="AA129">
        <v>16960</v>
      </c>
      <c r="AB129">
        <v>10810</v>
      </c>
      <c r="AC129">
        <v>43</v>
      </c>
      <c r="AD129" t="s">
        <v>44</v>
      </c>
      <c r="AE129" s="31">
        <v>45743</v>
      </c>
      <c r="AF129" s="61">
        <v>0.53383101851851855</v>
      </c>
      <c r="AH129" t="s">
        <v>818</v>
      </c>
      <c r="AI129" s="31">
        <v>45786</v>
      </c>
      <c r="AJ129" s="61">
        <v>0.50201388888888887</v>
      </c>
      <c r="AN129" t="s">
        <v>1524</v>
      </c>
      <c r="AP129" t="s">
        <v>1525</v>
      </c>
      <c r="AQ129" t="s">
        <v>1538</v>
      </c>
      <c r="AR129" s="31"/>
      <c r="AX129">
        <v>1</v>
      </c>
    </row>
    <row r="130" spans="1:50" x14ac:dyDescent="0.25">
      <c r="A130" t="s">
        <v>22</v>
      </c>
      <c r="B130">
        <v>313</v>
      </c>
      <c r="D130">
        <v>1944</v>
      </c>
      <c r="G130" t="s">
        <v>1539</v>
      </c>
      <c r="H130">
        <v>1787082000129</v>
      </c>
      <c r="J130" t="s">
        <v>1540</v>
      </c>
      <c r="K130" t="s">
        <v>1541</v>
      </c>
      <c r="M130" t="s">
        <v>1542</v>
      </c>
      <c r="P130" t="s">
        <v>778</v>
      </c>
      <c r="S130" t="s">
        <v>933</v>
      </c>
      <c r="V130" t="s">
        <v>1488</v>
      </c>
      <c r="W130" t="s">
        <v>780</v>
      </c>
      <c r="X130" t="s">
        <v>816</v>
      </c>
      <c r="Y130" t="s">
        <v>817</v>
      </c>
      <c r="Z130" s="31">
        <v>46904</v>
      </c>
      <c r="AA130">
        <v>51200</v>
      </c>
      <c r="AB130">
        <v>42262</v>
      </c>
      <c r="AC130">
        <v>75</v>
      </c>
      <c r="AD130" t="s">
        <v>22</v>
      </c>
      <c r="AE130" s="31">
        <v>45743</v>
      </c>
      <c r="AF130" s="61">
        <v>0.66615740740740736</v>
      </c>
      <c r="AH130" t="s">
        <v>795</v>
      </c>
      <c r="AI130" s="31">
        <v>45818</v>
      </c>
      <c r="AJ130" s="61">
        <v>0.51120370370370372</v>
      </c>
      <c r="AK130" t="s">
        <v>867</v>
      </c>
      <c r="AN130" t="s">
        <v>1374</v>
      </c>
      <c r="AO130" t="s">
        <v>22</v>
      </c>
      <c r="AP130" t="s">
        <v>1543</v>
      </c>
      <c r="AR130" s="31"/>
      <c r="AX130">
        <v>1</v>
      </c>
    </row>
    <row r="131" spans="1:50" x14ac:dyDescent="0.25">
      <c r="A131" t="s">
        <v>22</v>
      </c>
      <c r="B131">
        <v>314</v>
      </c>
      <c r="D131">
        <v>1948</v>
      </c>
      <c r="G131" t="s">
        <v>1544</v>
      </c>
      <c r="J131" t="s">
        <v>1462</v>
      </c>
      <c r="K131" t="s">
        <v>1545</v>
      </c>
      <c r="M131" t="s">
        <v>1111</v>
      </c>
      <c r="P131" t="s">
        <v>778</v>
      </c>
      <c r="W131" t="s">
        <v>780</v>
      </c>
      <c r="X131" t="s">
        <v>897</v>
      </c>
      <c r="Z131" s="31"/>
      <c r="AC131">
        <v>10</v>
      </c>
      <c r="AD131" t="s">
        <v>22</v>
      </c>
      <c r="AE131" s="31">
        <v>45744</v>
      </c>
      <c r="AF131" s="61">
        <v>0.46645833333333331</v>
      </c>
      <c r="AH131" t="s">
        <v>795</v>
      </c>
      <c r="AI131" s="31">
        <v>45754</v>
      </c>
      <c r="AJ131" s="61">
        <v>0.60836805555555551</v>
      </c>
      <c r="AK131" t="s">
        <v>1226</v>
      </c>
      <c r="AO131" t="s">
        <v>22</v>
      </c>
      <c r="AP131" t="s">
        <v>1546</v>
      </c>
      <c r="AR131" s="31"/>
      <c r="AX131">
        <v>1</v>
      </c>
    </row>
    <row r="132" spans="1:50" x14ac:dyDescent="0.25">
      <c r="A132" t="s">
        <v>44</v>
      </c>
      <c r="B132">
        <v>315</v>
      </c>
      <c r="D132">
        <v>1949</v>
      </c>
      <c r="G132" t="s">
        <v>1547</v>
      </c>
      <c r="J132" t="s">
        <v>1548</v>
      </c>
      <c r="K132" t="s">
        <v>1549</v>
      </c>
      <c r="M132" t="s">
        <v>1522</v>
      </c>
      <c r="P132" t="s">
        <v>778</v>
      </c>
      <c r="W132" t="s">
        <v>780</v>
      </c>
      <c r="X132" t="s">
        <v>816</v>
      </c>
      <c r="Y132" t="s">
        <v>995</v>
      </c>
      <c r="Z132" s="31"/>
      <c r="AA132">
        <v>1600</v>
      </c>
      <c r="AB132">
        <v>180443</v>
      </c>
      <c r="AC132">
        <v>54</v>
      </c>
      <c r="AD132" t="s">
        <v>44</v>
      </c>
      <c r="AE132" s="31">
        <v>45744</v>
      </c>
      <c r="AF132" s="61">
        <v>0.49288194444444439</v>
      </c>
      <c r="AH132" t="s">
        <v>818</v>
      </c>
      <c r="AI132" s="31">
        <v>45798</v>
      </c>
      <c r="AJ132" s="61">
        <v>0.37681712962962971</v>
      </c>
      <c r="AN132" t="s">
        <v>1524</v>
      </c>
      <c r="AP132" t="s">
        <v>1525</v>
      </c>
      <c r="AR132" s="31"/>
      <c r="AX132">
        <v>1</v>
      </c>
    </row>
    <row r="133" spans="1:50" x14ac:dyDescent="0.25">
      <c r="A133" t="s">
        <v>44</v>
      </c>
      <c r="B133">
        <v>316</v>
      </c>
      <c r="D133">
        <v>1950</v>
      </c>
      <c r="G133" t="s">
        <v>1550</v>
      </c>
      <c r="H133">
        <v>49695060000165</v>
      </c>
      <c r="J133" t="s">
        <v>1551</v>
      </c>
      <c r="K133" t="s">
        <v>1531</v>
      </c>
      <c r="M133" t="s">
        <v>1532</v>
      </c>
      <c r="P133" t="s">
        <v>778</v>
      </c>
      <c r="Q133" t="s">
        <v>1094</v>
      </c>
      <c r="R133" t="s">
        <v>790</v>
      </c>
      <c r="W133" t="s">
        <v>780</v>
      </c>
      <c r="X133" t="s">
        <v>793</v>
      </c>
      <c r="Z133" s="31"/>
      <c r="AA133">
        <v>1600</v>
      </c>
      <c r="AB133">
        <v>2178</v>
      </c>
      <c r="AC133">
        <v>48</v>
      </c>
      <c r="AD133" t="s">
        <v>44</v>
      </c>
      <c r="AE133" s="31">
        <v>45744</v>
      </c>
      <c r="AF133" s="61">
        <v>0.62916666666666665</v>
      </c>
      <c r="AH133" t="s">
        <v>795</v>
      </c>
      <c r="AI133" s="31">
        <v>45792</v>
      </c>
      <c r="AJ133" s="61">
        <v>0.64351851851851849</v>
      </c>
      <c r="AK133" t="s">
        <v>796</v>
      </c>
      <c r="AL133" t="s">
        <v>1533</v>
      </c>
      <c r="AM133" t="s">
        <v>1528</v>
      </c>
      <c r="AN133" t="s">
        <v>1528</v>
      </c>
      <c r="AP133" t="s">
        <v>1528</v>
      </c>
      <c r="AR133" s="31"/>
      <c r="AX133">
        <v>1</v>
      </c>
    </row>
    <row r="134" spans="1:50" x14ac:dyDescent="0.25">
      <c r="A134" t="s">
        <v>44</v>
      </c>
      <c r="B134">
        <v>317</v>
      </c>
      <c r="D134">
        <v>1952</v>
      </c>
      <c r="G134" t="s">
        <v>1552</v>
      </c>
      <c r="H134">
        <v>8652421000109</v>
      </c>
      <c r="J134" t="s">
        <v>1553</v>
      </c>
      <c r="K134" t="s">
        <v>1554</v>
      </c>
      <c r="M134" t="s">
        <v>1427</v>
      </c>
      <c r="P134" t="s">
        <v>778</v>
      </c>
      <c r="Q134" t="s">
        <v>1428</v>
      </c>
      <c r="R134" t="s">
        <v>1027</v>
      </c>
      <c r="W134" t="s">
        <v>780</v>
      </c>
      <c r="X134" t="s">
        <v>807</v>
      </c>
      <c r="Z134" s="31"/>
      <c r="AA134">
        <v>74860</v>
      </c>
      <c r="AB134">
        <v>641932</v>
      </c>
      <c r="AC134">
        <v>48</v>
      </c>
      <c r="AD134" t="s">
        <v>44</v>
      </c>
      <c r="AE134" s="31">
        <v>45744</v>
      </c>
      <c r="AF134" s="61">
        <v>0.65123842592592596</v>
      </c>
      <c r="AH134" t="s">
        <v>795</v>
      </c>
      <c r="AI134" s="31">
        <v>45792</v>
      </c>
      <c r="AJ134" s="61">
        <v>0.48288194444444438</v>
      </c>
      <c r="AK134" t="s">
        <v>796</v>
      </c>
      <c r="AL134" t="s">
        <v>1555</v>
      </c>
      <c r="AN134" t="s">
        <v>1524</v>
      </c>
      <c r="AP134" t="s">
        <v>1556</v>
      </c>
      <c r="AR134" s="31"/>
      <c r="AX134">
        <v>1</v>
      </c>
    </row>
    <row r="135" spans="1:50" x14ac:dyDescent="0.25">
      <c r="A135" t="s">
        <v>44</v>
      </c>
      <c r="B135">
        <v>318</v>
      </c>
      <c r="D135">
        <v>1957</v>
      </c>
      <c r="G135" t="s">
        <v>1557</v>
      </c>
      <c r="H135">
        <v>8652421000109</v>
      </c>
      <c r="J135" t="s">
        <v>1558</v>
      </c>
      <c r="K135" t="s">
        <v>1559</v>
      </c>
      <c r="M135" t="s">
        <v>1427</v>
      </c>
      <c r="P135" t="s">
        <v>778</v>
      </c>
      <c r="W135" t="s">
        <v>780</v>
      </c>
      <c r="X135" t="s">
        <v>793</v>
      </c>
      <c r="Z135" s="31"/>
      <c r="AC135">
        <v>19</v>
      </c>
      <c r="AD135" t="s">
        <v>44</v>
      </c>
      <c r="AE135" s="31">
        <v>45744</v>
      </c>
      <c r="AF135" s="61">
        <v>0.65327546296296302</v>
      </c>
      <c r="AH135" t="s">
        <v>795</v>
      </c>
      <c r="AI135" s="31">
        <v>45763</v>
      </c>
      <c r="AJ135" s="61">
        <v>0.40211805555555558</v>
      </c>
      <c r="AK135" t="s">
        <v>796</v>
      </c>
      <c r="AL135" t="s">
        <v>1560</v>
      </c>
      <c r="AN135" t="s">
        <v>1524</v>
      </c>
      <c r="AP135" t="s">
        <v>1556</v>
      </c>
      <c r="AR135" s="31"/>
      <c r="AX135">
        <v>1</v>
      </c>
    </row>
    <row r="136" spans="1:50" x14ac:dyDescent="0.25">
      <c r="A136" t="s">
        <v>44</v>
      </c>
      <c r="B136">
        <v>319</v>
      </c>
      <c r="D136">
        <v>1958</v>
      </c>
      <c r="G136" t="s">
        <v>1561</v>
      </c>
      <c r="J136" t="s">
        <v>1562</v>
      </c>
      <c r="K136" t="s">
        <v>1024</v>
      </c>
      <c r="M136" t="s">
        <v>1025</v>
      </c>
      <c r="P136" t="s">
        <v>778</v>
      </c>
      <c r="W136" t="s">
        <v>780</v>
      </c>
      <c r="X136" t="s">
        <v>816</v>
      </c>
      <c r="Z136" s="31"/>
      <c r="AA136">
        <v>1760013</v>
      </c>
      <c r="AB136">
        <v>0</v>
      </c>
      <c r="AC136">
        <v>0</v>
      </c>
      <c r="AD136" t="s">
        <v>44</v>
      </c>
      <c r="AE136" s="31">
        <v>45747</v>
      </c>
      <c r="AF136" s="61">
        <v>0.47290509259259261</v>
      </c>
      <c r="AH136" t="s">
        <v>818</v>
      </c>
      <c r="AI136" s="31">
        <v>45747</v>
      </c>
      <c r="AJ136" s="61">
        <v>0.48357638888888888</v>
      </c>
      <c r="AN136" t="s">
        <v>1497</v>
      </c>
      <c r="AR136" s="31"/>
      <c r="AX136">
        <v>1</v>
      </c>
    </row>
    <row r="137" spans="1:50" x14ac:dyDescent="0.25">
      <c r="A137" t="s">
        <v>44</v>
      </c>
      <c r="B137">
        <v>321</v>
      </c>
      <c r="D137">
        <v>1961</v>
      </c>
      <c r="G137" t="s">
        <v>1557</v>
      </c>
      <c r="J137" t="s">
        <v>1558</v>
      </c>
      <c r="K137" t="s">
        <v>1563</v>
      </c>
      <c r="M137" t="s">
        <v>1427</v>
      </c>
      <c r="P137" t="s">
        <v>778</v>
      </c>
      <c r="W137" t="s">
        <v>780</v>
      </c>
      <c r="X137" t="s">
        <v>807</v>
      </c>
      <c r="Z137" s="31"/>
      <c r="AA137">
        <v>1600</v>
      </c>
      <c r="AB137">
        <v>462522</v>
      </c>
      <c r="AC137">
        <v>45</v>
      </c>
      <c r="AD137" t="s">
        <v>44</v>
      </c>
      <c r="AE137" s="31">
        <v>45747</v>
      </c>
      <c r="AF137" s="61">
        <v>0.63219907407407405</v>
      </c>
      <c r="AH137" t="s">
        <v>795</v>
      </c>
      <c r="AI137" s="31">
        <v>45792</v>
      </c>
      <c r="AJ137" s="61">
        <v>0.48388888888888892</v>
      </c>
      <c r="AK137" t="s">
        <v>796</v>
      </c>
      <c r="AL137" t="s">
        <v>1555</v>
      </c>
      <c r="AN137" t="s">
        <v>1524</v>
      </c>
      <c r="AP137" t="s">
        <v>1556</v>
      </c>
      <c r="AR137" s="31"/>
      <c r="AX137">
        <v>1</v>
      </c>
    </row>
    <row r="138" spans="1:50" x14ac:dyDescent="0.25">
      <c r="A138" t="s">
        <v>44</v>
      </c>
      <c r="B138">
        <v>322</v>
      </c>
      <c r="D138">
        <v>1962</v>
      </c>
      <c r="G138" t="s">
        <v>1564</v>
      </c>
      <c r="J138" t="s">
        <v>1565</v>
      </c>
      <c r="K138" t="s">
        <v>991</v>
      </c>
      <c r="M138" t="s">
        <v>992</v>
      </c>
      <c r="P138" t="s">
        <v>778</v>
      </c>
      <c r="W138" t="s">
        <v>780</v>
      </c>
      <c r="X138" t="s">
        <v>816</v>
      </c>
      <c r="Z138" s="31"/>
      <c r="AA138">
        <v>0</v>
      </c>
      <c r="AB138">
        <v>30002</v>
      </c>
      <c r="AC138">
        <v>24</v>
      </c>
      <c r="AD138" t="s">
        <v>44</v>
      </c>
      <c r="AE138" s="31">
        <v>45747</v>
      </c>
      <c r="AF138" s="61">
        <v>0.69299768518518523</v>
      </c>
      <c r="AH138" t="s">
        <v>818</v>
      </c>
      <c r="AI138" s="31">
        <v>45771</v>
      </c>
      <c r="AJ138" s="61">
        <v>0.50261574074074078</v>
      </c>
      <c r="AN138" t="s">
        <v>1524</v>
      </c>
      <c r="AR138" s="31"/>
      <c r="AX138">
        <v>1</v>
      </c>
    </row>
    <row r="139" spans="1:50" x14ac:dyDescent="0.25">
      <c r="A139" t="s">
        <v>44</v>
      </c>
      <c r="B139">
        <v>323</v>
      </c>
      <c r="D139">
        <v>1963</v>
      </c>
      <c r="G139" t="s">
        <v>1566</v>
      </c>
      <c r="J139" t="s">
        <v>1567</v>
      </c>
      <c r="K139" t="s">
        <v>1568</v>
      </c>
      <c r="M139" t="s">
        <v>1569</v>
      </c>
      <c r="P139" t="s">
        <v>778</v>
      </c>
      <c r="W139" t="s">
        <v>780</v>
      </c>
      <c r="X139" t="s">
        <v>793</v>
      </c>
      <c r="Z139" s="31"/>
      <c r="AA139">
        <v>16960</v>
      </c>
      <c r="AB139">
        <v>1980</v>
      </c>
      <c r="AC139">
        <v>64</v>
      </c>
      <c r="AD139" t="s">
        <v>44</v>
      </c>
      <c r="AE139" s="31">
        <v>45747</v>
      </c>
      <c r="AF139" s="61">
        <v>0.70123842592592589</v>
      </c>
      <c r="AH139" t="s">
        <v>795</v>
      </c>
      <c r="AI139" s="31">
        <v>45811</v>
      </c>
      <c r="AJ139" s="61">
        <v>0.46266203703703701</v>
      </c>
      <c r="AK139" t="s">
        <v>858</v>
      </c>
      <c r="AL139" t="s">
        <v>1570</v>
      </c>
      <c r="AN139" t="s">
        <v>1524</v>
      </c>
      <c r="AP139" t="s">
        <v>1524</v>
      </c>
      <c r="AR139" s="31"/>
      <c r="AX139">
        <v>1</v>
      </c>
    </row>
    <row r="140" spans="1:50" x14ac:dyDescent="0.25">
      <c r="A140" t="s">
        <v>44</v>
      </c>
      <c r="B140">
        <v>328</v>
      </c>
      <c r="D140">
        <v>1970</v>
      </c>
      <c r="G140" t="s">
        <v>1571</v>
      </c>
      <c r="J140" t="s">
        <v>1572</v>
      </c>
      <c r="K140" t="s">
        <v>1573</v>
      </c>
      <c r="M140" t="s">
        <v>1574</v>
      </c>
      <c r="P140" t="s">
        <v>778</v>
      </c>
      <c r="W140" t="s">
        <v>780</v>
      </c>
      <c r="X140" t="s">
        <v>897</v>
      </c>
      <c r="Z140" s="31"/>
      <c r="AC140">
        <v>71</v>
      </c>
      <c r="AD140" t="s">
        <v>44</v>
      </c>
      <c r="AE140" s="31">
        <v>45748</v>
      </c>
      <c r="AF140" s="61">
        <v>0.6648263888888889</v>
      </c>
      <c r="AH140" t="s">
        <v>795</v>
      </c>
      <c r="AI140" s="31">
        <v>45819</v>
      </c>
      <c r="AJ140" s="61">
        <v>0.60791666666666666</v>
      </c>
      <c r="AK140" t="s">
        <v>796</v>
      </c>
      <c r="AL140" t="s">
        <v>1575</v>
      </c>
      <c r="AM140" t="s">
        <v>1576</v>
      </c>
      <c r="AR140" s="31"/>
      <c r="AX140">
        <v>1</v>
      </c>
    </row>
    <row r="141" spans="1:50" x14ac:dyDescent="0.25">
      <c r="A141" t="s">
        <v>44</v>
      </c>
      <c r="B141">
        <v>333</v>
      </c>
      <c r="D141">
        <v>1977</v>
      </c>
      <c r="G141" t="s">
        <v>1577</v>
      </c>
      <c r="H141">
        <v>32921219000110</v>
      </c>
      <c r="J141" t="s">
        <v>1578</v>
      </c>
      <c r="K141" t="s">
        <v>1579</v>
      </c>
      <c r="M141" t="s">
        <v>1580</v>
      </c>
      <c r="P141" t="s">
        <v>778</v>
      </c>
      <c r="V141" t="s">
        <v>1581</v>
      </c>
      <c r="W141" t="s">
        <v>780</v>
      </c>
      <c r="X141" t="s">
        <v>807</v>
      </c>
      <c r="Z141" s="31"/>
      <c r="AA141">
        <v>69112</v>
      </c>
      <c r="AB141">
        <v>318388</v>
      </c>
      <c r="AC141">
        <v>88</v>
      </c>
      <c r="AD141" t="s">
        <v>44</v>
      </c>
      <c r="AE141" s="31">
        <v>45750</v>
      </c>
      <c r="AF141" s="61">
        <v>0.66128472222222223</v>
      </c>
      <c r="AH141" t="s">
        <v>795</v>
      </c>
      <c r="AI141" s="31">
        <v>45838</v>
      </c>
      <c r="AJ141" s="61">
        <v>0.63310185185185186</v>
      </c>
      <c r="AK141" t="s">
        <v>934</v>
      </c>
      <c r="AL141" t="s">
        <v>1582</v>
      </c>
      <c r="AN141" t="s">
        <v>1583</v>
      </c>
      <c r="AO141" t="s">
        <v>44</v>
      </c>
      <c r="AP141" t="s">
        <v>1583</v>
      </c>
      <c r="AQ141" t="s">
        <v>1584</v>
      </c>
      <c r="AR141" s="31"/>
      <c r="AX141">
        <v>1</v>
      </c>
    </row>
    <row r="142" spans="1:50" x14ac:dyDescent="0.25">
      <c r="A142" t="s">
        <v>31</v>
      </c>
      <c r="B142">
        <v>334</v>
      </c>
      <c r="D142">
        <v>1978</v>
      </c>
      <c r="G142" t="s">
        <v>1585</v>
      </c>
      <c r="H142">
        <v>55940574000131</v>
      </c>
      <c r="J142" t="s">
        <v>1586</v>
      </c>
      <c r="K142" t="s">
        <v>1587</v>
      </c>
      <c r="M142" t="s">
        <v>1588</v>
      </c>
      <c r="P142" t="s">
        <v>778</v>
      </c>
      <c r="S142" t="s">
        <v>933</v>
      </c>
      <c r="V142" t="s">
        <v>1581</v>
      </c>
      <c r="W142" t="s">
        <v>780</v>
      </c>
      <c r="X142" t="s">
        <v>807</v>
      </c>
      <c r="Y142" t="s">
        <v>995</v>
      </c>
      <c r="Z142" s="31">
        <v>46053</v>
      </c>
      <c r="AC142">
        <v>228</v>
      </c>
      <c r="AD142" t="s">
        <v>31</v>
      </c>
      <c r="AE142" s="31">
        <v>45751</v>
      </c>
      <c r="AF142" s="61">
        <v>0.64585648148148145</v>
      </c>
      <c r="AH142" t="s">
        <v>795</v>
      </c>
      <c r="AI142" s="31">
        <v>45979</v>
      </c>
      <c r="AJ142" s="61">
        <v>0.39087962962962958</v>
      </c>
      <c r="AK142" t="s">
        <v>796</v>
      </c>
      <c r="AN142" t="s">
        <v>1589</v>
      </c>
      <c r="AO142" t="s">
        <v>31</v>
      </c>
      <c r="AP142" t="s">
        <v>1590</v>
      </c>
      <c r="AQ142" t="s">
        <v>1591</v>
      </c>
      <c r="AR142" s="31"/>
      <c r="AX142">
        <v>1</v>
      </c>
    </row>
    <row r="143" spans="1:50" x14ac:dyDescent="0.25">
      <c r="A143" t="s">
        <v>44</v>
      </c>
      <c r="B143">
        <v>336</v>
      </c>
      <c r="D143">
        <v>1980</v>
      </c>
      <c r="G143" t="s">
        <v>1592</v>
      </c>
      <c r="H143">
        <v>56262451000151</v>
      </c>
      <c r="J143" t="s">
        <v>1593</v>
      </c>
      <c r="K143" t="s">
        <v>1594</v>
      </c>
      <c r="M143" t="s">
        <v>1595</v>
      </c>
      <c r="P143" t="s">
        <v>778</v>
      </c>
      <c r="Q143" t="s">
        <v>1596</v>
      </c>
      <c r="R143" t="s">
        <v>790</v>
      </c>
      <c r="W143" t="s">
        <v>780</v>
      </c>
      <c r="X143" t="s">
        <v>807</v>
      </c>
      <c r="Z143" s="31"/>
      <c r="AA143">
        <v>110486</v>
      </c>
      <c r="AB143">
        <v>704412</v>
      </c>
      <c r="AC143">
        <v>16</v>
      </c>
      <c r="AD143" t="s">
        <v>44</v>
      </c>
      <c r="AE143" s="31">
        <v>45754</v>
      </c>
      <c r="AF143" s="61">
        <v>0.42481481481481481</v>
      </c>
      <c r="AH143" t="s">
        <v>795</v>
      </c>
      <c r="AI143" s="31">
        <v>45770</v>
      </c>
      <c r="AJ143" s="61">
        <v>0.62724537037037043</v>
      </c>
      <c r="AK143" t="s">
        <v>934</v>
      </c>
      <c r="AL143" t="s">
        <v>1597</v>
      </c>
      <c r="AM143" t="s">
        <v>1598</v>
      </c>
      <c r="AN143" t="s">
        <v>1576</v>
      </c>
      <c r="AR143" s="31"/>
      <c r="AX143">
        <v>1</v>
      </c>
    </row>
    <row r="144" spans="1:50" x14ac:dyDescent="0.25">
      <c r="A144" t="s">
        <v>22</v>
      </c>
      <c r="B144">
        <v>338</v>
      </c>
      <c r="D144">
        <v>1983</v>
      </c>
      <c r="G144" t="s">
        <v>1599</v>
      </c>
      <c r="H144">
        <v>750764000102</v>
      </c>
      <c r="J144" t="s">
        <v>1600</v>
      </c>
      <c r="K144" t="s">
        <v>1601</v>
      </c>
      <c r="M144" t="s">
        <v>1602</v>
      </c>
      <c r="P144" t="s">
        <v>778</v>
      </c>
      <c r="W144" t="s">
        <v>780</v>
      </c>
      <c r="X144" t="s">
        <v>807</v>
      </c>
      <c r="Z144" s="31"/>
      <c r="AA144">
        <v>50000</v>
      </c>
      <c r="AB144">
        <v>30502</v>
      </c>
      <c r="AC144">
        <v>26</v>
      </c>
      <c r="AD144" t="s">
        <v>22</v>
      </c>
      <c r="AE144" s="31">
        <v>45754</v>
      </c>
      <c r="AF144" s="61">
        <v>0.60024305555555557</v>
      </c>
      <c r="AH144" t="s">
        <v>795</v>
      </c>
      <c r="AI144" s="31">
        <v>45780</v>
      </c>
      <c r="AJ144" s="61">
        <v>0.44513888888888892</v>
      </c>
      <c r="AK144" t="s">
        <v>867</v>
      </c>
      <c r="AN144" t="s">
        <v>1603</v>
      </c>
      <c r="AO144" t="s">
        <v>22</v>
      </c>
      <c r="AP144" t="s">
        <v>1604</v>
      </c>
      <c r="AR144" s="31"/>
      <c r="AX144">
        <v>1</v>
      </c>
    </row>
    <row r="145" spans="1:50" x14ac:dyDescent="0.25">
      <c r="A145" t="s">
        <v>44</v>
      </c>
      <c r="B145">
        <v>343</v>
      </c>
      <c r="D145">
        <v>1988</v>
      </c>
      <c r="G145" t="s">
        <v>1605</v>
      </c>
      <c r="J145" t="s">
        <v>1606</v>
      </c>
      <c r="K145" t="s">
        <v>1607</v>
      </c>
      <c r="M145" t="s">
        <v>1608</v>
      </c>
      <c r="P145" t="s">
        <v>778</v>
      </c>
      <c r="W145" t="s">
        <v>780</v>
      </c>
      <c r="X145" t="s">
        <v>793</v>
      </c>
      <c r="Z145" s="31"/>
      <c r="AA145">
        <v>32400</v>
      </c>
      <c r="AB145">
        <v>104544</v>
      </c>
      <c r="AC145">
        <v>34</v>
      </c>
      <c r="AD145" t="s">
        <v>44</v>
      </c>
      <c r="AE145" s="31">
        <v>45758</v>
      </c>
      <c r="AF145" s="61">
        <v>0.4972685185185185</v>
      </c>
      <c r="AH145" t="s">
        <v>795</v>
      </c>
      <c r="AI145" s="31">
        <v>45792</v>
      </c>
      <c r="AJ145" s="61">
        <v>0.47031250000000002</v>
      </c>
      <c r="AK145" t="s">
        <v>796</v>
      </c>
      <c r="AL145" t="s">
        <v>1609</v>
      </c>
      <c r="AN145" t="s">
        <v>1610</v>
      </c>
      <c r="AP145" t="s">
        <v>1610</v>
      </c>
      <c r="AR145" s="31"/>
      <c r="AX145">
        <v>1</v>
      </c>
    </row>
    <row r="146" spans="1:50" x14ac:dyDescent="0.25">
      <c r="A146" t="s">
        <v>44</v>
      </c>
      <c r="B146">
        <v>346</v>
      </c>
      <c r="D146">
        <v>1991</v>
      </c>
      <c r="G146" t="s">
        <v>1611</v>
      </c>
      <c r="J146" t="s">
        <v>1612</v>
      </c>
      <c r="K146" t="s">
        <v>1613</v>
      </c>
      <c r="M146" t="s">
        <v>1614</v>
      </c>
      <c r="P146" t="s">
        <v>778</v>
      </c>
      <c r="V146" t="s">
        <v>1615</v>
      </c>
      <c r="W146" t="s">
        <v>780</v>
      </c>
      <c r="X146" t="s">
        <v>816</v>
      </c>
      <c r="Z146" s="31">
        <v>46053</v>
      </c>
      <c r="AA146">
        <v>51306</v>
      </c>
      <c r="AB146">
        <v>2700</v>
      </c>
      <c r="AC146">
        <v>296</v>
      </c>
      <c r="AD146" t="s">
        <v>44</v>
      </c>
      <c r="AE146" s="31">
        <v>45762</v>
      </c>
      <c r="AF146" s="61">
        <v>0.62379629629629629</v>
      </c>
      <c r="AH146" t="s">
        <v>818</v>
      </c>
      <c r="AI146" s="31">
        <v>45783</v>
      </c>
      <c r="AJ146" s="61">
        <v>0.48605324074074069</v>
      </c>
      <c r="AL146" t="s">
        <v>1058</v>
      </c>
      <c r="AN146" t="s">
        <v>888</v>
      </c>
      <c r="AP146" t="s">
        <v>888</v>
      </c>
      <c r="AR146" s="31">
        <v>46028</v>
      </c>
      <c r="AX146">
        <v>1</v>
      </c>
    </row>
    <row r="147" spans="1:50" x14ac:dyDescent="0.25">
      <c r="A147" t="s">
        <v>44</v>
      </c>
      <c r="B147">
        <v>347</v>
      </c>
      <c r="D147">
        <v>1992</v>
      </c>
      <c r="G147" t="s">
        <v>1616</v>
      </c>
      <c r="J147" t="s">
        <v>1617</v>
      </c>
      <c r="K147" t="s">
        <v>1613</v>
      </c>
      <c r="M147" t="s">
        <v>1614</v>
      </c>
      <c r="P147" t="s">
        <v>778</v>
      </c>
      <c r="W147" t="s">
        <v>780</v>
      </c>
      <c r="X147" t="s">
        <v>807</v>
      </c>
      <c r="Z147" s="31"/>
      <c r="AA147">
        <v>15216</v>
      </c>
      <c r="AB147">
        <v>37684</v>
      </c>
      <c r="AC147">
        <v>21</v>
      </c>
      <c r="AD147" t="s">
        <v>44</v>
      </c>
      <c r="AE147" s="31">
        <v>45762</v>
      </c>
      <c r="AF147" s="61">
        <v>0.62471064814814814</v>
      </c>
      <c r="AH147" t="s">
        <v>795</v>
      </c>
      <c r="AI147" s="31">
        <v>45783</v>
      </c>
      <c r="AJ147" s="61">
        <v>0.4869560185185185</v>
      </c>
      <c r="AK147" t="s">
        <v>867</v>
      </c>
      <c r="AL147" t="s">
        <v>1618</v>
      </c>
      <c r="AN147" t="s">
        <v>1584</v>
      </c>
      <c r="AP147" t="s">
        <v>1619</v>
      </c>
      <c r="AR147" s="31"/>
      <c r="AX147">
        <v>1</v>
      </c>
    </row>
    <row r="148" spans="1:50" x14ac:dyDescent="0.25">
      <c r="A148" t="s">
        <v>44</v>
      </c>
      <c r="B148">
        <v>348</v>
      </c>
      <c r="D148">
        <v>1993</v>
      </c>
      <c r="G148" t="s">
        <v>1620</v>
      </c>
      <c r="J148" t="s">
        <v>1621</v>
      </c>
      <c r="K148" t="s">
        <v>1622</v>
      </c>
      <c r="M148" t="s">
        <v>1623</v>
      </c>
      <c r="P148" t="s">
        <v>778</v>
      </c>
      <c r="W148" t="s">
        <v>780</v>
      </c>
      <c r="X148" t="s">
        <v>816</v>
      </c>
      <c r="Y148" t="s">
        <v>995</v>
      </c>
      <c r="Z148" s="31"/>
      <c r="AA148">
        <v>15264</v>
      </c>
      <c r="AB148">
        <v>8210</v>
      </c>
      <c r="AC148">
        <v>22</v>
      </c>
      <c r="AD148" t="s">
        <v>44</v>
      </c>
      <c r="AE148" s="31">
        <v>45762</v>
      </c>
      <c r="AF148" s="61">
        <v>0.7232291666666667</v>
      </c>
      <c r="AH148" t="s">
        <v>818</v>
      </c>
      <c r="AI148" s="31">
        <v>45784</v>
      </c>
      <c r="AJ148" s="61">
        <v>0.37145833333333328</v>
      </c>
      <c r="AN148" t="s">
        <v>1624</v>
      </c>
      <c r="AR148" s="31"/>
      <c r="AX148">
        <v>1</v>
      </c>
    </row>
    <row r="149" spans="1:50" x14ac:dyDescent="0.25">
      <c r="A149" t="s">
        <v>44</v>
      </c>
      <c r="B149">
        <v>351</v>
      </c>
      <c r="D149">
        <v>1997</v>
      </c>
      <c r="G149" t="s">
        <v>1625</v>
      </c>
      <c r="H149">
        <v>56262451000151</v>
      </c>
      <c r="J149" t="s">
        <v>1626</v>
      </c>
      <c r="K149" t="s">
        <v>1594</v>
      </c>
      <c r="M149" t="s">
        <v>1595</v>
      </c>
      <c r="P149" t="s">
        <v>778</v>
      </c>
      <c r="Q149" t="s">
        <v>1596</v>
      </c>
      <c r="R149" t="s">
        <v>790</v>
      </c>
      <c r="W149" t="s">
        <v>780</v>
      </c>
      <c r="X149" t="s">
        <v>807</v>
      </c>
      <c r="Z149" s="31"/>
      <c r="AA149">
        <v>1620001</v>
      </c>
      <c r="AB149">
        <v>3400</v>
      </c>
      <c r="AC149">
        <v>6</v>
      </c>
      <c r="AD149" t="s">
        <v>44</v>
      </c>
      <c r="AE149" s="31">
        <v>45764</v>
      </c>
      <c r="AF149" s="61">
        <v>0.43085648148148148</v>
      </c>
      <c r="AH149" t="s">
        <v>795</v>
      </c>
      <c r="AI149" s="31">
        <v>45770</v>
      </c>
      <c r="AJ149" s="61">
        <v>0.62804398148148144</v>
      </c>
      <c r="AK149" t="s">
        <v>934</v>
      </c>
      <c r="AL149" t="s">
        <v>1597</v>
      </c>
      <c r="AN149" t="s">
        <v>1598</v>
      </c>
      <c r="AP149" t="s">
        <v>1576</v>
      </c>
      <c r="AR149" s="31"/>
      <c r="AX149">
        <v>1</v>
      </c>
    </row>
    <row r="150" spans="1:50" x14ac:dyDescent="0.25">
      <c r="A150" t="s">
        <v>44</v>
      </c>
      <c r="B150">
        <v>352</v>
      </c>
      <c r="D150">
        <v>1999</v>
      </c>
      <c r="G150" t="s">
        <v>1627</v>
      </c>
      <c r="J150" t="s">
        <v>1628</v>
      </c>
      <c r="K150" t="s">
        <v>1629</v>
      </c>
      <c r="M150" t="s">
        <v>1595</v>
      </c>
      <c r="P150" t="s">
        <v>778</v>
      </c>
      <c r="W150" t="s">
        <v>780</v>
      </c>
      <c r="X150" t="s">
        <v>807</v>
      </c>
      <c r="Z150" s="31"/>
      <c r="AA150">
        <v>16200</v>
      </c>
      <c r="AB150">
        <v>2160</v>
      </c>
      <c r="AC150">
        <v>6</v>
      </c>
      <c r="AD150" t="s">
        <v>44</v>
      </c>
      <c r="AE150" s="31">
        <v>45764</v>
      </c>
      <c r="AF150" s="61">
        <v>0.46605324074074073</v>
      </c>
      <c r="AH150" t="s">
        <v>795</v>
      </c>
      <c r="AI150" s="31">
        <v>45770</v>
      </c>
      <c r="AJ150" s="61">
        <v>0.62869212962962961</v>
      </c>
      <c r="AK150" t="s">
        <v>934</v>
      </c>
      <c r="AL150" t="s">
        <v>1597</v>
      </c>
      <c r="AN150" t="s">
        <v>1598</v>
      </c>
      <c r="AP150" t="s">
        <v>1576</v>
      </c>
      <c r="AR150" s="31"/>
      <c r="AX150">
        <v>1</v>
      </c>
    </row>
    <row r="151" spans="1:50" x14ac:dyDescent="0.25">
      <c r="A151" t="s">
        <v>44</v>
      </c>
      <c r="B151">
        <v>353</v>
      </c>
      <c r="D151">
        <v>2000</v>
      </c>
      <c r="G151" t="s">
        <v>1630</v>
      </c>
      <c r="H151">
        <v>8678467000105</v>
      </c>
      <c r="J151" t="s">
        <v>1631</v>
      </c>
      <c r="K151" t="s">
        <v>1632</v>
      </c>
      <c r="P151" t="s">
        <v>778</v>
      </c>
      <c r="Q151" t="s">
        <v>1633</v>
      </c>
      <c r="R151" t="s">
        <v>848</v>
      </c>
      <c r="V151" t="s">
        <v>1419</v>
      </c>
      <c r="W151" t="s">
        <v>780</v>
      </c>
      <c r="X151" t="s">
        <v>807</v>
      </c>
      <c r="Z151" s="31"/>
      <c r="AA151">
        <v>5667184</v>
      </c>
      <c r="AB151">
        <v>539533</v>
      </c>
      <c r="AC151">
        <v>68</v>
      </c>
      <c r="AD151" t="s">
        <v>44</v>
      </c>
      <c r="AE151" s="31">
        <v>45764</v>
      </c>
      <c r="AF151" s="61">
        <v>0.51119212962962968</v>
      </c>
      <c r="AH151" t="s">
        <v>795</v>
      </c>
      <c r="AI151" s="31">
        <v>45832</v>
      </c>
      <c r="AJ151" s="61">
        <v>0.4964351851851852</v>
      </c>
      <c r="AK151" t="s">
        <v>934</v>
      </c>
      <c r="AL151" t="s">
        <v>1634</v>
      </c>
      <c r="AN151" t="s">
        <v>1583</v>
      </c>
      <c r="AP151" t="s">
        <v>1583</v>
      </c>
      <c r="AR151" s="31"/>
      <c r="AX151">
        <v>1</v>
      </c>
    </row>
    <row r="152" spans="1:50" x14ac:dyDescent="0.25">
      <c r="A152" t="s">
        <v>44</v>
      </c>
      <c r="B152">
        <v>354</v>
      </c>
      <c r="D152">
        <v>2002</v>
      </c>
      <c r="G152" t="s">
        <v>1635</v>
      </c>
      <c r="H152">
        <v>8678467000105</v>
      </c>
      <c r="J152" t="s">
        <v>1636</v>
      </c>
      <c r="K152" t="s">
        <v>1632</v>
      </c>
      <c r="P152" t="s">
        <v>778</v>
      </c>
      <c r="Q152" t="s">
        <v>1633</v>
      </c>
      <c r="R152" t="s">
        <v>848</v>
      </c>
      <c r="V152" t="s">
        <v>1419</v>
      </c>
      <c r="W152" t="s">
        <v>780</v>
      </c>
      <c r="X152" t="s">
        <v>807</v>
      </c>
      <c r="Z152" s="31"/>
      <c r="AA152">
        <v>1600</v>
      </c>
      <c r="AB152">
        <v>28747</v>
      </c>
      <c r="AC152">
        <v>68</v>
      </c>
      <c r="AD152" t="s">
        <v>44</v>
      </c>
      <c r="AE152" s="31">
        <v>45764</v>
      </c>
      <c r="AF152" s="61">
        <v>0.59777777777777774</v>
      </c>
      <c r="AH152" t="s">
        <v>795</v>
      </c>
      <c r="AI152" s="31">
        <v>45832</v>
      </c>
      <c r="AJ152" s="61">
        <v>0.49752314814814808</v>
      </c>
      <c r="AK152" t="s">
        <v>934</v>
      </c>
      <c r="AL152" t="s">
        <v>1637</v>
      </c>
      <c r="AN152" t="s">
        <v>1583</v>
      </c>
      <c r="AP152" t="s">
        <v>1583</v>
      </c>
      <c r="AR152" s="31"/>
      <c r="AX152">
        <v>1</v>
      </c>
    </row>
    <row r="153" spans="1:50" x14ac:dyDescent="0.25">
      <c r="A153" t="s">
        <v>44</v>
      </c>
      <c r="B153">
        <v>355</v>
      </c>
      <c r="D153">
        <v>2004</v>
      </c>
      <c r="G153" t="s">
        <v>1638</v>
      </c>
      <c r="J153" t="s">
        <v>1639</v>
      </c>
      <c r="K153" t="s">
        <v>1579</v>
      </c>
      <c r="M153" t="s">
        <v>1640</v>
      </c>
      <c r="P153" t="s">
        <v>778</v>
      </c>
      <c r="V153" t="s">
        <v>1581</v>
      </c>
      <c r="W153" t="s">
        <v>780</v>
      </c>
      <c r="X153" t="s">
        <v>807</v>
      </c>
      <c r="Z153" s="31"/>
      <c r="AA153">
        <v>1600</v>
      </c>
      <c r="AB153">
        <v>32107</v>
      </c>
      <c r="AC153">
        <v>74</v>
      </c>
      <c r="AD153" t="s">
        <v>44</v>
      </c>
      <c r="AE153" s="31">
        <v>45764</v>
      </c>
      <c r="AF153" s="61">
        <v>0.64312499999999995</v>
      </c>
      <c r="AH153" t="s">
        <v>795</v>
      </c>
      <c r="AI153" s="31">
        <v>45838</v>
      </c>
      <c r="AJ153" s="61">
        <v>0.63413194444444443</v>
      </c>
      <c r="AK153" t="s">
        <v>934</v>
      </c>
      <c r="AL153" t="s">
        <v>1641</v>
      </c>
      <c r="AN153" t="s">
        <v>1583</v>
      </c>
      <c r="AP153" t="s">
        <v>1583</v>
      </c>
      <c r="AQ153" t="s">
        <v>1584</v>
      </c>
      <c r="AR153" s="31"/>
      <c r="AX153">
        <v>1</v>
      </c>
    </row>
    <row r="154" spans="1:50" x14ac:dyDescent="0.25">
      <c r="A154" t="s">
        <v>44</v>
      </c>
      <c r="B154">
        <v>358</v>
      </c>
      <c r="D154">
        <v>2008</v>
      </c>
      <c r="G154" t="s">
        <v>1642</v>
      </c>
      <c r="J154" t="s">
        <v>1643</v>
      </c>
      <c r="K154" t="s">
        <v>1644</v>
      </c>
      <c r="M154" t="s">
        <v>1645</v>
      </c>
      <c r="P154" t="s">
        <v>778</v>
      </c>
      <c r="Q154" t="s">
        <v>1646</v>
      </c>
      <c r="S154" t="s">
        <v>814</v>
      </c>
      <c r="V154" t="s">
        <v>1186</v>
      </c>
      <c r="W154" t="s">
        <v>780</v>
      </c>
      <c r="X154" t="s">
        <v>793</v>
      </c>
      <c r="Z154" s="31"/>
      <c r="AA154">
        <v>58088</v>
      </c>
      <c r="AB154">
        <v>112089</v>
      </c>
      <c r="AC154">
        <v>17</v>
      </c>
      <c r="AD154" t="s">
        <v>22</v>
      </c>
      <c r="AE154" s="31">
        <v>45775</v>
      </c>
      <c r="AF154" s="61">
        <v>0.6950115740740741</v>
      </c>
      <c r="AH154" t="s">
        <v>795</v>
      </c>
      <c r="AI154" s="31">
        <v>45792</v>
      </c>
      <c r="AJ154" s="61">
        <v>0.64664351851851853</v>
      </c>
      <c r="AK154" t="s">
        <v>796</v>
      </c>
      <c r="AL154" t="s">
        <v>1647</v>
      </c>
      <c r="AN154" t="s">
        <v>1589</v>
      </c>
      <c r="AO154" t="s">
        <v>44</v>
      </c>
      <c r="AP154" t="s">
        <v>1589</v>
      </c>
      <c r="AR154" s="31"/>
      <c r="AX154">
        <v>1</v>
      </c>
    </row>
    <row r="155" spans="1:50" x14ac:dyDescent="0.25">
      <c r="A155" t="s">
        <v>22</v>
      </c>
      <c r="B155">
        <v>359</v>
      </c>
      <c r="D155">
        <v>2019</v>
      </c>
      <c r="G155" t="s">
        <v>1648</v>
      </c>
      <c r="J155" t="s">
        <v>1649</v>
      </c>
      <c r="K155" t="s">
        <v>1650</v>
      </c>
      <c r="M155" t="s">
        <v>1651</v>
      </c>
      <c r="P155" t="s">
        <v>778</v>
      </c>
      <c r="W155" t="s">
        <v>780</v>
      </c>
      <c r="X155" t="s">
        <v>816</v>
      </c>
      <c r="Z155" s="31"/>
      <c r="AA155">
        <v>40000</v>
      </c>
      <c r="AB155">
        <v>23581</v>
      </c>
      <c r="AC155">
        <v>43</v>
      </c>
      <c r="AD155" t="s">
        <v>22</v>
      </c>
      <c r="AE155" s="31">
        <v>45775</v>
      </c>
      <c r="AF155" s="61">
        <v>0.69732638888888887</v>
      </c>
      <c r="AH155" t="s">
        <v>818</v>
      </c>
      <c r="AI155" s="31">
        <v>45818</v>
      </c>
      <c r="AJ155" s="61">
        <v>0.51094907407407408</v>
      </c>
      <c r="AN155" t="s">
        <v>1652</v>
      </c>
      <c r="AO155" t="s">
        <v>22</v>
      </c>
      <c r="AP155" t="s">
        <v>1653</v>
      </c>
      <c r="AR155" s="31"/>
      <c r="AX155">
        <v>1</v>
      </c>
    </row>
    <row r="156" spans="1:50" x14ac:dyDescent="0.25">
      <c r="A156" t="s">
        <v>22</v>
      </c>
      <c r="B156">
        <v>360</v>
      </c>
      <c r="D156">
        <v>1986</v>
      </c>
      <c r="G156" t="s">
        <v>1654</v>
      </c>
      <c r="J156" t="s">
        <v>1655</v>
      </c>
      <c r="K156" t="s">
        <v>1656</v>
      </c>
      <c r="M156" t="s">
        <v>1657</v>
      </c>
      <c r="P156" t="s">
        <v>778</v>
      </c>
      <c r="Q156" t="s">
        <v>923</v>
      </c>
      <c r="S156" t="s">
        <v>814</v>
      </c>
      <c r="V156" t="s">
        <v>1186</v>
      </c>
      <c r="W156" t="s">
        <v>780</v>
      </c>
      <c r="X156" t="s">
        <v>807</v>
      </c>
      <c r="Z156" s="31"/>
      <c r="AA156">
        <v>68400</v>
      </c>
      <c r="AB156">
        <v>302046</v>
      </c>
      <c r="AC156">
        <v>43</v>
      </c>
      <c r="AD156" t="s">
        <v>22</v>
      </c>
      <c r="AE156" s="31">
        <v>45775</v>
      </c>
      <c r="AF156" s="61">
        <v>0.70218749999999996</v>
      </c>
      <c r="AH156" t="s">
        <v>795</v>
      </c>
      <c r="AI156" s="31">
        <v>45818</v>
      </c>
      <c r="AJ156" s="61">
        <v>0.61357638888888888</v>
      </c>
      <c r="AK156" t="s">
        <v>858</v>
      </c>
      <c r="AN156" t="s">
        <v>1652</v>
      </c>
      <c r="AO156" t="s">
        <v>22</v>
      </c>
      <c r="AP156" t="s">
        <v>1653</v>
      </c>
      <c r="AR156" s="31"/>
      <c r="AX156">
        <v>1</v>
      </c>
    </row>
    <row r="157" spans="1:50" x14ac:dyDescent="0.25">
      <c r="A157" t="s">
        <v>44</v>
      </c>
      <c r="B157">
        <v>361</v>
      </c>
      <c r="D157">
        <v>2010</v>
      </c>
      <c r="G157" t="s">
        <v>1658</v>
      </c>
      <c r="J157" t="s">
        <v>1659</v>
      </c>
      <c r="K157" t="s">
        <v>1660</v>
      </c>
      <c r="M157" t="s">
        <v>1645</v>
      </c>
      <c r="P157" t="s">
        <v>778</v>
      </c>
      <c r="W157" t="s">
        <v>780</v>
      </c>
      <c r="X157" t="s">
        <v>793</v>
      </c>
      <c r="Z157" s="31"/>
      <c r="AA157">
        <v>26200</v>
      </c>
      <c r="AB157">
        <v>3400</v>
      </c>
      <c r="AC157">
        <v>16</v>
      </c>
      <c r="AD157" t="s">
        <v>44</v>
      </c>
      <c r="AE157" s="31">
        <v>45776</v>
      </c>
      <c r="AF157" s="61">
        <v>0.6177893518518518</v>
      </c>
      <c r="AH157" t="s">
        <v>795</v>
      </c>
      <c r="AI157" s="31">
        <v>45792</v>
      </c>
      <c r="AJ157" s="61">
        <v>0.64693287037037039</v>
      </c>
      <c r="AK157" t="s">
        <v>796</v>
      </c>
      <c r="AL157" t="s">
        <v>1647</v>
      </c>
      <c r="AN157" t="s">
        <v>1589</v>
      </c>
      <c r="AP157" t="s">
        <v>1589</v>
      </c>
      <c r="AR157" s="31"/>
      <c r="AX157">
        <v>1</v>
      </c>
    </row>
    <row r="158" spans="1:50" x14ac:dyDescent="0.25">
      <c r="A158" t="s">
        <v>44</v>
      </c>
      <c r="B158">
        <v>362</v>
      </c>
      <c r="D158">
        <v>2011</v>
      </c>
      <c r="G158" t="s">
        <v>1661</v>
      </c>
      <c r="J158" t="s">
        <v>1662</v>
      </c>
      <c r="K158" t="s">
        <v>1613</v>
      </c>
      <c r="M158" t="s">
        <v>1614</v>
      </c>
      <c r="P158" t="s">
        <v>778</v>
      </c>
      <c r="W158" t="s">
        <v>780</v>
      </c>
      <c r="X158" t="s">
        <v>807</v>
      </c>
      <c r="Z158" s="31"/>
      <c r="AA158">
        <v>1600</v>
      </c>
      <c r="AB158">
        <v>1026</v>
      </c>
      <c r="AC158">
        <v>7</v>
      </c>
      <c r="AD158" t="s">
        <v>44</v>
      </c>
      <c r="AE158" s="31">
        <v>45776</v>
      </c>
      <c r="AF158" s="61">
        <v>0.70245370370370375</v>
      </c>
      <c r="AH158" t="s">
        <v>795</v>
      </c>
      <c r="AI158" s="31">
        <v>45783</v>
      </c>
      <c r="AJ158" s="61">
        <v>0.62656250000000002</v>
      </c>
      <c r="AK158" t="s">
        <v>867</v>
      </c>
      <c r="AN158" t="s">
        <v>1584</v>
      </c>
      <c r="AP158" t="s">
        <v>1619</v>
      </c>
      <c r="AR158" s="31"/>
      <c r="AX158">
        <v>1</v>
      </c>
    </row>
    <row r="159" spans="1:50" x14ac:dyDescent="0.25">
      <c r="A159" t="s">
        <v>31</v>
      </c>
      <c r="B159">
        <v>366</v>
      </c>
      <c r="D159">
        <v>2015</v>
      </c>
      <c r="G159" t="s">
        <v>1663</v>
      </c>
      <c r="J159" t="s">
        <v>1664</v>
      </c>
      <c r="M159" t="s">
        <v>1665</v>
      </c>
      <c r="P159" t="s">
        <v>778</v>
      </c>
      <c r="W159" t="s">
        <v>780</v>
      </c>
      <c r="X159" t="s">
        <v>816</v>
      </c>
      <c r="Z159" s="31"/>
      <c r="AA159">
        <v>3360</v>
      </c>
      <c r="AB159">
        <v>165372</v>
      </c>
      <c r="AC159">
        <v>19</v>
      </c>
      <c r="AD159" t="s">
        <v>31</v>
      </c>
      <c r="AE159" s="31">
        <v>45777</v>
      </c>
      <c r="AF159" s="61">
        <v>0.63238425925925923</v>
      </c>
      <c r="AH159" t="s">
        <v>818</v>
      </c>
      <c r="AI159" s="31">
        <v>45796</v>
      </c>
      <c r="AJ159" s="61">
        <v>0.37675925925925918</v>
      </c>
      <c r="AN159" t="s">
        <v>1666</v>
      </c>
      <c r="AP159" t="s">
        <v>1666</v>
      </c>
      <c r="AR159" s="31"/>
      <c r="AX159">
        <v>1</v>
      </c>
    </row>
    <row r="160" spans="1:50" x14ac:dyDescent="0.25">
      <c r="A160" t="s">
        <v>44</v>
      </c>
      <c r="B160">
        <v>367</v>
      </c>
      <c r="D160">
        <v>2016</v>
      </c>
      <c r="G160" t="s">
        <v>1667</v>
      </c>
      <c r="J160" t="s">
        <v>1668</v>
      </c>
      <c r="K160" t="s">
        <v>1660</v>
      </c>
      <c r="M160" t="s">
        <v>1645</v>
      </c>
      <c r="P160" t="s">
        <v>778</v>
      </c>
      <c r="W160" t="s">
        <v>780</v>
      </c>
      <c r="X160" t="s">
        <v>793</v>
      </c>
      <c r="Z160" s="31"/>
      <c r="AA160">
        <v>1600</v>
      </c>
      <c r="AB160">
        <v>210169</v>
      </c>
      <c r="AC160">
        <v>15</v>
      </c>
      <c r="AD160" t="s">
        <v>44</v>
      </c>
      <c r="AE160" s="31">
        <v>45777</v>
      </c>
      <c r="AF160" s="61">
        <v>0.64599537037037036</v>
      </c>
      <c r="AH160" t="s">
        <v>795</v>
      </c>
      <c r="AI160" s="31">
        <v>45792</v>
      </c>
      <c r="AJ160" s="61">
        <v>0.64718750000000003</v>
      </c>
      <c r="AK160" t="s">
        <v>796</v>
      </c>
      <c r="AL160" t="s">
        <v>1647</v>
      </c>
      <c r="AN160" t="s">
        <v>1589</v>
      </c>
      <c r="AP160" t="s">
        <v>1589</v>
      </c>
      <c r="AR160" s="31"/>
      <c r="AX160">
        <v>1</v>
      </c>
    </row>
    <row r="161" spans="1:50" x14ac:dyDescent="0.25">
      <c r="A161" t="s">
        <v>22</v>
      </c>
      <c r="B161">
        <v>368</v>
      </c>
      <c r="D161">
        <v>2017</v>
      </c>
      <c r="G161" t="s">
        <v>1669</v>
      </c>
      <c r="H161">
        <v>18677964000134</v>
      </c>
      <c r="J161" t="s">
        <v>640</v>
      </c>
      <c r="K161" t="s">
        <v>1670</v>
      </c>
      <c r="M161" t="s">
        <v>1671</v>
      </c>
      <c r="P161" t="s">
        <v>778</v>
      </c>
      <c r="W161" t="s">
        <v>780</v>
      </c>
      <c r="X161" t="s">
        <v>816</v>
      </c>
      <c r="Z161" s="31"/>
      <c r="AA161">
        <v>14000</v>
      </c>
      <c r="AB161">
        <v>886</v>
      </c>
      <c r="AC161">
        <v>0</v>
      </c>
      <c r="AD161" t="s">
        <v>22</v>
      </c>
      <c r="AE161" s="31">
        <v>45779</v>
      </c>
      <c r="AF161" s="61">
        <v>0.58202546296296298</v>
      </c>
      <c r="AH161" t="s">
        <v>818</v>
      </c>
      <c r="AI161" s="31">
        <v>45779</v>
      </c>
      <c r="AJ161" s="61">
        <v>0.58649305555555553</v>
      </c>
      <c r="AN161" t="s">
        <v>1672</v>
      </c>
      <c r="AO161" t="s">
        <v>22</v>
      </c>
      <c r="AP161" t="s">
        <v>1672</v>
      </c>
      <c r="AR161" s="31"/>
      <c r="AX161">
        <v>1</v>
      </c>
    </row>
    <row r="162" spans="1:50" x14ac:dyDescent="0.25">
      <c r="A162" t="s">
        <v>22</v>
      </c>
      <c r="B162">
        <v>369</v>
      </c>
      <c r="D162">
        <v>2018</v>
      </c>
      <c r="G162" t="s">
        <v>1673</v>
      </c>
      <c r="H162">
        <v>10906096000105</v>
      </c>
      <c r="J162" t="s">
        <v>641</v>
      </c>
      <c r="K162" t="s">
        <v>1674</v>
      </c>
      <c r="M162" t="s">
        <v>1675</v>
      </c>
      <c r="P162" t="s">
        <v>778</v>
      </c>
      <c r="W162" t="s">
        <v>780</v>
      </c>
      <c r="X162" t="s">
        <v>781</v>
      </c>
      <c r="Z162" s="31"/>
      <c r="AA162">
        <v>13600</v>
      </c>
      <c r="AB162">
        <v>886</v>
      </c>
      <c r="AC162">
        <v>0</v>
      </c>
      <c r="AD162" t="s">
        <v>22</v>
      </c>
      <c r="AE162" s="31">
        <v>45779</v>
      </c>
      <c r="AF162" s="61">
        <v>0.58754629629629629</v>
      </c>
      <c r="AH162" t="s">
        <v>818</v>
      </c>
      <c r="AI162" s="31">
        <v>45779</v>
      </c>
      <c r="AJ162" s="61">
        <v>0.58922453703703703</v>
      </c>
      <c r="AN162" t="s">
        <v>1672</v>
      </c>
      <c r="AO162" t="s">
        <v>22</v>
      </c>
      <c r="AP162" t="s">
        <v>1672</v>
      </c>
      <c r="AR162" s="31"/>
      <c r="AX162">
        <v>1</v>
      </c>
    </row>
    <row r="163" spans="1:50" x14ac:dyDescent="0.25">
      <c r="A163" t="s">
        <v>22</v>
      </c>
      <c r="B163">
        <v>370</v>
      </c>
      <c r="D163">
        <v>2020</v>
      </c>
      <c r="G163" t="s">
        <v>1676</v>
      </c>
      <c r="J163" t="s">
        <v>1677</v>
      </c>
      <c r="K163" t="s">
        <v>1678</v>
      </c>
      <c r="M163" t="s">
        <v>1111</v>
      </c>
      <c r="P163" t="s">
        <v>778</v>
      </c>
      <c r="V163" t="s">
        <v>1419</v>
      </c>
      <c r="W163" t="s">
        <v>780</v>
      </c>
      <c r="X163" t="s">
        <v>807</v>
      </c>
      <c r="Z163" s="31"/>
      <c r="AA163">
        <v>51250</v>
      </c>
      <c r="AB163">
        <v>33381</v>
      </c>
      <c r="AC163">
        <v>114</v>
      </c>
      <c r="AD163" t="s">
        <v>22</v>
      </c>
      <c r="AE163" s="31">
        <v>45780</v>
      </c>
      <c r="AF163" s="61">
        <v>0.46067129629629627</v>
      </c>
      <c r="AH163" t="s">
        <v>795</v>
      </c>
      <c r="AI163" s="31">
        <v>45894</v>
      </c>
      <c r="AJ163" s="61">
        <v>0.60730324074074071</v>
      </c>
      <c r="AK163" t="s">
        <v>796</v>
      </c>
      <c r="AO163" t="s">
        <v>22</v>
      </c>
      <c r="AP163" t="s">
        <v>1679</v>
      </c>
      <c r="AR163" s="31"/>
      <c r="AX163">
        <v>1</v>
      </c>
    </row>
    <row r="164" spans="1:50" x14ac:dyDescent="0.25">
      <c r="A164" t="s">
        <v>44</v>
      </c>
      <c r="B164">
        <v>375</v>
      </c>
      <c r="D164">
        <v>2024</v>
      </c>
      <c r="G164" t="s">
        <v>1680</v>
      </c>
      <c r="J164" t="s">
        <v>1681</v>
      </c>
      <c r="K164" t="s">
        <v>1682</v>
      </c>
      <c r="M164" t="s">
        <v>1683</v>
      </c>
      <c r="P164" t="s">
        <v>778</v>
      </c>
      <c r="W164" t="s">
        <v>780</v>
      </c>
      <c r="X164" t="s">
        <v>793</v>
      </c>
      <c r="Z164" s="31"/>
      <c r="AA164">
        <v>69112</v>
      </c>
      <c r="AB164">
        <v>508112</v>
      </c>
      <c r="AC164">
        <v>7</v>
      </c>
      <c r="AD164" t="s">
        <v>44</v>
      </c>
      <c r="AE164" s="31">
        <v>45785</v>
      </c>
      <c r="AF164" s="61">
        <v>0.67459490740740746</v>
      </c>
      <c r="AH164" t="s">
        <v>795</v>
      </c>
      <c r="AI164" s="31">
        <v>45792</v>
      </c>
      <c r="AJ164" s="61">
        <v>0.6825</v>
      </c>
      <c r="AK164" t="s">
        <v>934</v>
      </c>
      <c r="AN164" t="s">
        <v>1684</v>
      </c>
      <c r="AP164" t="s">
        <v>1684</v>
      </c>
      <c r="AR164" s="31"/>
      <c r="AX164">
        <v>1</v>
      </c>
    </row>
    <row r="165" spans="1:50" x14ac:dyDescent="0.25">
      <c r="A165" t="s">
        <v>44</v>
      </c>
      <c r="B165">
        <v>376</v>
      </c>
      <c r="D165">
        <v>2025</v>
      </c>
      <c r="G165" t="s">
        <v>1685</v>
      </c>
      <c r="J165" t="s">
        <v>1686</v>
      </c>
      <c r="K165" t="s">
        <v>1682</v>
      </c>
      <c r="M165" t="s">
        <v>1683</v>
      </c>
      <c r="P165" t="s">
        <v>778</v>
      </c>
      <c r="W165" t="s">
        <v>780</v>
      </c>
      <c r="X165" t="s">
        <v>793</v>
      </c>
      <c r="Z165" s="31"/>
      <c r="AA165">
        <v>1600</v>
      </c>
      <c r="AB165">
        <v>32107</v>
      </c>
      <c r="AC165">
        <v>7</v>
      </c>
      <c r="AD165" t="s">
        <v>44</v>
      </c>
      <c r="AE165" s="31">
        <v>45785</v>
      </c>
      <c r="AF165" s="61">
        <v>0.68726851851851856</v>
      </c>
      <c r="AH165" t="s">
        <v>795</v>
      </c>
      <c r="AI165" s="31">
        <v>45792</v>
      </c>
      <c r="AJ165" s="61">
        <v>0.68280092592592589</v>
      </c>
      <c r="AK165" t="s">
        <v>934</v>
      </c>
      <c r="AN165" t="s">
        <v>1684</v>
      </c>
      <c r="AP165" t="s">
        <v>1684</v>
      </c>
      <c r="AR165" s="31"/>
      <c r="AX165">
        <v>1</v>
      </c>
    </row>
    <row r="166" spans="1:50" x14ac:dyDescent="0.25">
      <c r="A166" t="s">
        <v>22</v>
      </c>
      <c r="B166">
        <v>379</v>
      </c>
      <c r="D166">
        <v>2199</v>
      </c>
      <c r="G166" t="s">
        <v>1687</v>
      </c>
      <c r="J166" t="s">
        <v>1688</v>
      </c>
      <c r="K166" t="s">
        <v>1689</v>
      </c>
      <c r="P166" t="s">
        <v>778</v>
      </c>
      <c r="S166" t="s">
        <v>933</v>
      </c>
      <c r="V166" t="s">
        <v>1419</v>
      </c>
      <c r="W166" t="s">
        <v>780</v>
      </c>
      <c r="X166" t="s">
        <v>807</v>
      </c>
      <c r="Z166" s="31"/>
      <c r="AA166">
        <v>68400</v>
      </c>
      <c r="AB166">
        <v>17345</v>
      </c>
      <c r="AC166">
        <v>108</v>
      </c>
      <c r="AD166" t="s">
        <v>22</v>
      </c>
      <c r="AE166" s="31">
        <v>45786</v>
      </c>
      <c r="AF166" s="61">
        <v>0.66736111111111107</v>
      </c>
      <c r="AH166" t="s">
        <v>795</v>
      </c>
      <c r="AI166" s="31">
        <v>45894</v>
      </c>
      <c r="AJ166" s="61">
        <v>0.6030092592592593</v>
      </c>
      <c r="AK166" t="s">
        <v>974</v>
      </c>
      <c r="AR166" s="31"/>
      <c r="AX166">
        <v>1</v>
      </c>
    </row>
    <row r="167" spans="1:50" x14ac:dyDescent="0.25">
      <c r="A167" t="s">
        <v>44</v>
      </c>
      <c r="B167">
        <v>382</v>
      </c>
      <c r="D167">
        <v>2031</v>
      </c>
      <c r="G167" t="s">
        <v>1690</v>
      </c>
      <c r="H167">
        <v>27173648000116</v>
      </c>
      <c r="J167" t="s">
        <v>1691</v>
      </c>
      <c r="K167" t="s">
        <v>1692</v>
      </c>
      <c r="M167" t="s">
        <v>1693</v>
      </c>
      <c r="P167" t="s">
        <v>778</v>
      </c>
      <c r="Q167" t="s">
        <v>1094</v>
      </c>
      <c r="R167" t="s">
        <v>790</v>
      </c>
      <c r="W167" t="s">
        <v>780</v>
      </c>
      <c r="X167" t="s">
        <v>781</v>
      </c>
      <c r="Z167" s="31"/>
      <c r="AC167">
        <v>50</v>
      </c>
      <c r="AD167" t="s">
        <v>44</v>
      </c>
      <c r="AE167" s="31">
        <v>45789</v>
      </c>
      <c r="AF167" s="61">
        <v>0.64024305555555561</v>
      </c>
      <c r="AH167" t="s">
        <v>795</v>
      </c>
      <c r="AI167" s="31">
        <v>45839</v>
      </c>
      <c r="AJ167" s="61">
        <v>0.40694444444444439</v>
      </c>
      <c r="AK167" t="s">
        <v>796</v>
      </c>
      <c r="AL167" t="s">
        <v>1694</v>
      </c>
      <c r="AP167" t="s">
        <v>1695</v>
      </c>
      <c r="AR167" s="31"/>
      <c r="AX167">
        <v>1</v>
      </c>
    </row>
    <row r="168" spans="1:50" x14ac:dyDescent="0.25">
      <c r="A168" t="s">
        <v>44</v>
      </c>
      <c r="B168">
        <v>383</v>
      </c>
      <c r="D168">
        <v>2033</v>
      </c>
      <c r="G168" t="s">
        <v>1696</v>
      </c>
      <c r="H168">
        <v>86890639000105</v>
      </c>
      <c r="J168" t="s">
        <v>1697</v>
      </c>
      <c r="P168" t="s">
        <v>778</v>
      </c>
      <c r="Q168" t="s">
        <v>1698</v>
      </c>
      <c r="R168" t="s">
        <v>1699</v>
      </c>
      <c r="W168" t="s">
        <v>780</v>
      </c>
      <c r="X168" t="s">
        <v>781</v>
      </c>
      <c r="Z168" s="31"/>
      <c r="AC168">
        <v>50</v>
      </c>
      <c r="AD168" t="s">
        <v>44</v>
      </c>
      <c r="AE168" s="31">
        <v>45789</v>
      </c>
      <c r="AF168" s="61">
        <v>0.64898148148148149</v>
      </c>
      <c r="AH168" t="s">
        <v>795</v>
      </c>
      <c r="AI168" s="31">
        <v>45839</v>
      </c>
      <c r="AJ168" s="61">
        <v>0.40733796296296299</v>
      </c>
      <c r="AK168" t="s">
        <v>796</v>
      </c>
      <c r="AL168" t="s">
        <v>1694</v>
      </c>
      <c r="AR168" s="31"/>
      <c r="AX168">
        <v>1</v>
      </c>
    </row>
    <row r="169" spans="1:50" x14ac:dyDescent="0.25">
      <c r="A169" t="s">
        <v>44</v>
      </c>
      <c r="B169">
        <v>384</v>
      </c>
      <c r="D169">
        <v>2036</v>
      </c>
      <c r="G169" t="s">
        <v>1700</v>
      </c>
      <c r="J169" t="s">
        <v>1701</v>
      </c>
      <c r="K169" t="s">
        <v>1702</v>
      </c>
      <c r="M169" t="s">
        <v>1703</v>
      </c>
      <c r="P169" t="s">
        <v>778</v>
      </c>
      <c r="V169" t="s">
        <v>1704</v>
      </c>
      <c r="W169" t="s">
        <v>780</v>
      </c>
      <c r="X169" t="s">
        <v>816</v>
      </c>
      <c r="Z169" s="31"/>
      <c r="AA169">
        <v>3230634</v>
      </c>
      <c r="AB169">
        <v>17706</v>
      </c>
      <c r="AC169">
        <v>35</v>
      </c>
      <c r="AD169" t="s">
        <v>44</v>
      </c>
      <c r="AE169" s="31">
        <v>45790</v>
      </c>
      <c r="AF169" s="61">
        <v>0.7193518518518518</v>
      </c>
      <c r="AH169" t="s">
        <v>818</v>
      </c>
      <c r="AI169" s="31">
        <v>45825</v>
      </c>
      <c r="AJ169" s="61">
        <v>0.68025462962962968</v>
      </c>
      <c r="AN169" t="s">
        <v>1695</v>
      </c>
      <c r="AP169" t="s">
        <v>1705</v>
      </c>
      <c r="AR169" s="31"/>
      <c r="AX169">
        <v>1</v>
      </c>
    </row>
    <row r="170" spans="1:50" x14ac:dyDescent="0.25">
      <c r="A170" t="s">
        <v>44</v>
      </c>
      <c r="B170">
        <v>385</v>
      </c>
      <c r="D170">
        <v>2037</v>
      </c>
      <c r="G170" t="s">
        <v>1706</v>
      </c>
      <c r="J170" t="s">
        <v>1707</v>
      </c>
      <c r="K170" t="s">
        <v>1708</v>
      </c>
      <c r="M170" t="s">
        <v>1703</v>
      </c>
      <c r="P170" t="s">
        <v>778</v>
      </c>
      <c r="V170" t="s">
        <v>1704</v>
      </c>
      <c r="W170" t="s">
        <v>780</v>
      </c>
      <c r="X170" t="s">
        <v>816</v>
      </c>
      <c r="Z170" s="31"/>
      <c r="AA170">
        <v>0</v>
      </c>
      <c r="AB170">
        <v>208313</v>
      </c>
      <c r="AC170">
        <v>35</v>
      </c>
      <c r="AD170" t="s">
        <v>44</v>
      </c>
      <c r="AE170" s="31">
        <v>45790</v>
      </c>
      <c r="AF170" s="61">
        <v>0.72012731481481485</v>
      </c>
      <c r="AH170" t="s">
        <v>818</v>
      </c>
      <c r="AI170" s="31">
        <v>45825</v>
      </c>
      <c r="AJ170" s="61">
        <v>0.68076388888888884</v>
      </c>
      <c r="AN170" t="s">
        <v>1695</v>
      </c>
      <c r="AP170" t="s">
        <v>1705</v>
      </c>
      <c r="AR170" s="31"/>
      <c r="AX170">
        <v>1</v>
      </c>
    </row>
    <row r="171" spans="1:50" x14ac:dyDescent="0.25">
      <c r="A171" t="s">
        <v>44</v>
      </c>
      <c r="B171">
        <v>405</v>
      </c>
      <c r="D171">
        <v>2061</v>
      </c>
      <c r="G171" t="s">
        <v>1709</v>
      </c>
      <c r="J171" t="s">
        <v>1710</v>
      </c>
      <c r="K171" t="s">
        <v>1711</v>
      </c>
      <c r="M171" t="s">
        <v>1712</v>
      </c>
      <c r="P171" t="s">
        <v>778</v>
      </c>
      <c r="V171" t="s">
        <v>1419</v>
      </c>
      <c r="W171" t="s">
        <v>780</v>
      </c>
      <c r="X171" t="s">
        <v>807</v>
      </c>
      <c r="Z171" s="31"/>
      <c r="AC171">
        <v>20</v>
      </c>
      <c r="AD171" t="s">
        <v>44</v>
      </c>
      <c r="AE171" s="31">
        <v>45805</v>
      </c>
      <c r="AF171" s="61">
        <v>0.3974537037037037</v>
      </c>
      <c r="AH171" t="s">
        <v>795</v>
      </c>
      <c r="AI171" s="31">
        <v>45825</v>
      </c>
      <c r="AJ171" s="61">
        <v>0.6817361111111111</v>
      </c>
      <c r="AK171" t="s">
        <v>1358</v>
      </c>
      <c r="AL171" t="s">
        <v>1713</v>
      </c>
      <c r="AN171" t="s">
        <v>1714</v>
      </c>
      <c r="AP171" t="s">
        <v>1714</v>
      </c>
      <c r="AR171" s="31"/>
      <c r="AX171">
        <v>1</v>
      </c>
    </row>
    <row r="172" spans="1:50" x14ac:dyDescent="0.25">
      <c r="A172" t="s">
        <v>44</v>
      </c>
      <c r="B172">
        <v>406</v>
      </c>
      <c r="D172">
        <v>2062</v>
      </c>
      <c r="G172" t="s">
        <v>1715</v>
      </c>
      <c r="H172">
        <v>5215210000110</v>
      </c>
      <c r="J172" t="s">
        <v>1716</v>
      </c>
      <c r="K172" t="s">
        <v>1717</v>
      </c>
      <c r="P172" t="s">
        <v>778</v>
      </c>
      <c r="Q172" t="s">
        <v>1698</v>
      </c>
      <c r="R172" t="s">
        <v>1699</v>
      </c>
      <c r="V172" t="s">
        <v>1718</v>
      </c>
      <c r="W172" t="s">
        <v>780</v>
      </c>
      <c r="X172" t="s">
        <v>857</v>
      </c>
      <c r="Z172" s="31"/>
      <c r="AA172">
        <v>622008</v>
      </c>
      <c r="AB172">
        <v>23661</v>
      </c>
      <c r="AC172">
        <v>26</v>
      </c>
      <c r="AD172" t="s">
        <v>44</v>
      </c>
      <c r="AE172" s="31">
        <v>45805</v>
      </c>
      <c r="AF172" s="61">
        <v>0.41018518518518521</v>
      </c>
      <c r="AH172" t="s">
        <v>795</v>
      </c>
      <c r="AI172" s="31">
        <v>45831</v>
      </c>
      <c r="AJ172" s="61">
        <v>0.36943287037037043</v>
      </c>
      <c r="AK172" t="s">
        <v>796</v>
      </c>
      <c r="AL172" t="s">
        <v>1719</v>
      </c>
      <c r="AN172" t="s">
        <v>1720</v>
      </c>
      <c r="AP172" t="s">
        <v>1721</v>
      </c>
      <c r="AR172" s="31"/>
      <c r="AX172">
        <v>1</v>
      </c>
    </row>
    <row r="173" spans="1:50" x14ac:dyDescent="0.25">
      <c r="A173" t="s">
        <v>44</v>
      </c>
      <c r="B173">
        <v>407</v>
      </c>
      <c r="D173">
        <v>2065</v>
      </c>
      <c r="G173" t="s">
        <v>1722</v>
      </c>
      <c r="H173">
        <v>5215210000110</v>
      </c>
      <c r="J173" t="s">
        <v>1716</v>
      </c>
      <c r="K173" t="s">
        <v>1717</v>
      </c>
      <c r="P173" t="s">
        <v>778</v>
      </c>
      <c r="Q173" t="s">
        <v>1698</v>
      </c>
      <c r="R173" t="s">
        <v>1699</v>
      </c>
      <c r="V173" t="s">
        <v>1718</v>
      </c>
      <c r="W173" t="s">
        <v>780</v>
      </c>
      <c r="X173" t="s">
        <v>857</v>
      </c>
      <c r="Z173" s="31"/>
      <c r="AA173">
        <v>1600</v>
      </c>
      <c r="AB173">
        <v>26507</v>
      </c>
      <c r="AC173">
        <v>26</v>
      </c>
      <c r="AD173" t="s">
        <v>44</v>
      </c>
      <c r="AE173" s="31">
        <v>45805</v>
      </c>
      <c r="AF173" s="61">
        <v>0.41281250000000003</v>
      </c>
      <c r="AH173" t="s">
        <v>795</v>
      </c>
      <c r="AI173" s="31">
        <v>45831</v>
      </c>
      <c r="AJ173" s="61">
        <v>0.37035879629629631</v>
      </c>
      <c r="AK173" t="s">
        <v>796</v>
      </c>
      <c r="AL173" t="s">
        <v>1723</v>
      </c>
      <c r="AN173" t="s">
        <v>1720</v>
      </c>
      <c r="AP173" t="s">
        <v>1721</v>
      </c>
      <c r="AR173" s="31"/>
      <c r="AX173">
        <v>1</v>
      </c>
    </row>
    <row r="174" spans="1:50" x14ac:dyDescent="0.25">
      <c r="A174" t="s">
        <v>44</v>
      </c>
      <c r="B174">
        <v>408</v>
      </c>
      <c r="D174">
        <v>2068</v>
      </c>
      <c r="G174" t="s">
        <v>1724</v>
      </c>
      <c r="J174" t="s">
        <v>1725</v>
      </c>
      <c r="K174" t="s">
        <v>1458</v>
      </c>
      <c r="M174" t="s">
        <v>1459</v>
      </c>
      <c r="P174" t="s">
        <v>778</v>
      </c>
      <c r="W174" t="s">
        <v>780</v>
      </c>
      <c r="X174" t="s">
        <v>816</v>
      </c>
      <c r="Y174" t="s">
        <v>995</v>
      </c>
      <c r="Z174" s="31"/>
      <c r="AA174">
        <v>123066</v>
      </c>
      <c r="AB174">
        <v>0</v>
      </c>
      <c r="AC174">
        <v>0</v>
      </c>
      <c r="AD174" t="s">
        <v>44</v>
      </c>
      <c r="AE174" s="31">
        <v>45805</v>
      </c>
      <c r="AF174" s="61">
        <v>0.42335648148148147</v>
      </c>
      <c r="AH174" t="s">
        <v>818</v>
      </c>
      <c r="AI174" s="31">
        <v>45805</v>
      </c>
      <c r="AJ174" s="61">
        <v>0.43202546296296301</v>
      </c>
      <c r="AN174" t="s">
        <v>1726</v>
      </c>
      <c r="AR174" s="31"/>
      <c r="AX174">
        <v>1</v>
      </c>
    </row>
    <row r="175" spans="1:50" x14ac:dyDescent="0.25">
      <c r="A175" t="s">
        <v>44</v>
      </c>
      <c r="B175">
        <v>409</v>
      </c>
      <c r="D175">
        <v>2069</v>
      </c>
      <c r="G175" t="s">
        <v>1727</v>
      </c>
      <c r="H175">
        <v>56262451000151</v>
      </c>
      <c r="J175" t="s">
        <v>1728</v>
      </c>
      <c r="K175" t="s">
        <v>1594</v>
      </c>
      <c r="M175" t="s">
        <v>1595</v>
      </c>
      <c r="P175" t="s">
        <v>778</v>
      </c>
      <c r="Q175" t="s">
        <v>1596</v>
      </c>
      <c r="R175" t="s">
        <v>790</v>
      </c>
      <c r="W175" t="s">
        <v>780</v>
      </c>
      <c r="X175" t="s">
        <v>807</v>
      </c>
      <c r="Z175" s="31"/>
      <c r="AA175">
        <v>52258</v>
      </c>
      <c r="AB175">
        <v>606364</v>
      </c>
      <c r="AC175">
        <v>6</v>
      </c>
      <c r="AD175" t="s">
        <v>44</v>
      </c>
      <c r="AE175" s="31">
        <v>45805</v>
      </c>
      <c r="AF175" s="61">
        <v>0.43896990740740738</v>
      </c>
      <c r="AH175" t="s">
        <v>795</v>
      </c>
      <c r="AI175" s="31">
        <v>45811</v>
      </c>
      <c r="AJ175" s="61">
        <v>0.41700231481481481</v>
      </c>
      <c r="AK175" t="s">
        <v>867</v>
      </c>
      <c r="AL175" t="s">
        <v>1729</v>
      </c>
      <c r="AN175" t="s">
        <v>1730</v>
      </c>
      <c r="AR175" s="31"/>
      <c r="AX175">
        <v>1</v>
      </c>
    </row>
    <row r="176" spans="1:50" x14ac:dyDescent="0.25">
      <c r="A176" t="s">
        <v>44</v>
      </c>
      <c r="B176">
        <v>410</v>
      </c>
      <c r="D176">
        <v>2071</v>
      </c>
      <c r="G176" t="s">
        <v>1731</v>
      </c>
      <c r="H176">
        <v>56262451000151</v>
      </c>
      <c r="J176" t="s">
        <v>1732</v>
      </c>
      <c r="K176" t="s">
        <v>1594</v>
      </c>
      <c r="M176" t="s">
        <v>1595</v>
      </c>
      <c r="P176" t="s">
        <v>778</v>
      </c>
      <c r="Q176" t="s">
        <v>1596</v>
      </c>
      <c r="R176" t="s">
        <v>790</v>
      </c>
      <c r="W176" t="s">
        <v>780</v>
      </c>
      <c r="X176" t="s">
        <v>807</v>
      </c>
      <c r="Z176" s="31"/>
      <c r="AA176">
        <v>42400</v>
      </c>
      <c r="AB176">
        <v>5560</v>
      </c>
      <c r="AC176">
        <v>6</v>
      </c>
      <c r="AD176" t="s">
        <v>44</v>
      </c>
      <c r="AE176" s="31">
        <v>45805</v>
      </c>
      <c r="AF176" s="61">
        <v>0.44361111111111112</v>
      </c>
      <c r="AH176" t="s">
        <v>795</v>
      </c>
      <c r="AI176" s="31">
        <v>45811</v>
      </c>
      <c r="AJ176" s="61">
        <v>0.41766203703703703</v>
      </c>
      <c r="AK176" t="s">
        <v>867</v>
      </c>
      <c r="AL176" t="s">
        <v>1733</v>
      </c>
      <c r="AN176" t="s">
        <v>1730</v>
      </c>
      <c r="AR176" s="31"/>
      <c r="AX176">
        <v>1</v>
      </c>
    </row>
    <row r="177" spans="1:50" x14ac:dyDescent="0.25">
      <c r="A177" t="s">
        <v>44</v>
      </c>
      <c r="B177">
        <v>412</v>
      </c>
      <c r="D177">
        <v>2075</v>
      </c>
      <c r="G177" t="s">
        <v>1734</v>
      </c>
      <c r="J177" t="s">
        <v>1735</v>
      </c>
      <c r="K177" t="s">
        <v>1736</v>
      </c>
      <c r="M177" t="s">
        <v>1737</v>
      </c>
      <c r="P177" t="s">
        <v>778</v>
      </c>
      <c r="V177" t="s">
        <v>1419</v>
      </c>
      <c r="W177" t="s">
        <v>780</v>
      </c>
      <c r="X177" t="s">
        <v>807</v>
      </c>
      <c r="Z177" s="31"/>
      <c r="AA177">
        <v>26200</v>
      </c>
      <c r="AB177">
        <v>3400</v>
      </c>
      <c r="AC177">
        <v>92</v>
      </c>
      <c r="AD177" t="s">
        <v>44</v>
      </c>
      <c r="AE177" s="31">
        <v>45805</v>
      </c>
      <c r="AF177" s="61">
        <v>0.45153935185185179</v>
      </c>
      <c r="AH177" t="s">
        <v>795</v>
      </c>
      <c r="AI177" s="31">
        <v>45897</v>
      </c>
      <c r="AJ177" s="61">
        <v>0.64814814814814814</v>
      </c>
      <c r="AK177" t="s">
        <v>934</v>
      </c>
      <c r="AN177" t="s">
        <v>1721</v>
      </c>
      <c r="AP177" t="s">
        <v>1721</v>
      </c>
      <c r="AR177" s="31"/>
      <c r="AX177">
        <v>1</v>
      </c>
    </row>
    <row r="178" spans="1:50" x14ac:dyDescent="0.25">
      <c r="A178" t="s">
        <v>44</v>
      </c>
      <c r="B178">
        <v>413</v>
      </c>
      <c r="D178">
        <v>2076</v>
      </c>
      <c r="G178" t="s">
        <v>1738</v>
      </c>
      <c r="J178" t="s">
        <v>1739</v>
      </c>
      <c r="K178" t="s">
        <v>1740</v>
      </c>
      <c r="M178" t="s">
        <v>1741</v>
      </c>
      <c r="P178" t="s">
        <v>778</v>
      </c>
      <c r="W178" t="s">
        <v>780</v>
      </c>
      <c r="X178" t="s">
        <v>857</v>
      </c>
      <c r="Z178" s="31"/>
      <c r="AC178">
        <v>12</v>
      </c>
      <c r="AD178" t="s">
        <v>44</v>
      </c>
      <c r="AE178" s="31">
        <v>45805</v>
      </c>
      <c r="AF178" s="61">
        <v>0.46685185185185191</v>
      </c>
      <c r="AH178" t="s">
        <v>795</v>
      </c>
      <c r="AI178" s="31">
        <v>45817</v>
      </c>
      <c r="AJ178" s="61">
        <v>0.66245370370370371</v>
      </c>
      <c r="AK178" t="s">
        <v>796</v>
      </c>
      <c r="AL178" t="s">
        <v>1742</v>
      </c>
      <c r="AP178" t="s">
        <v>1743</v>
      </c>
      <c r="AR178" s="31"/>
      <c r="AX178">
        <v>1</v>
      </c>
    </row>
    <row r="179" spans="1:50" x14ac:dyDescent="0.25">
      <c r="A179" t="s">
        <v>44</v>
      </c>
      <c r="B179">
        <v>415</v>
      </c>
      <c r="D179">
        <v>2127</v>
      </c>
      <c r="G179" t="s">
        <v>1744</v>
      </c>
      <c r="J179" t="s">
        <v>1745</v>
      </c>
      <c r="K179" t="s">
        <v>1746</v>
      </c>
      <c r="M179" t="s">
        <v>1747</v>
      </c>
      <c r="P179" t="s">
        <v>778</v>
      </c>
      <c r="W179" t="s">
        <v>780</v>
      </c>
      <c r="X179" t="s">
        <v>857</v>
      </c>
      <c r="Z179" s="31"/>
      <c r="AA179">
        <v>622008</v>
      </c>
      <c r="AB179">
        <v>28481</v>
      </c>
      <c r="AC179">
        <v>12</v>
      </c>
      <c r="AD179" t="s">
        <v>44</v>
      </c>
      <c r="AE179" s="31">
        <v>45807</v>
      </c>
      <c r="AF179" s="61">
        <v>0.38197916666666659</v>
      </c>
      <c r="AH179" t="s">
        <v>795</v>
      </c>
      <c r="AI179" s="31">
        <v>45819</v>
      </c>
      <c r="AJ179" s="61">
        <v>0.6005787037037037</v>
      </c>
      <c r="AK179" t="s">
        <v>934</v>
      </c>
      <c r="AL179" t="s">
        <v>1748</v>
      </c>
      <c r="AN179" t="s">
        <v>1714</v>
      </c>
      <c r="AP179" t="s">
        <v>1720</v>
      </c>
      <c r="AR179" s="31"/>
      <c r="AX179">
        <v>1</v>
      </c>
    </row>
    <row r="180" spans="1:50" x14ac:dyDescent="0.25">
      <c r="A180" t="s">
        <v>44</v>
      </c>
      <c r="B180">
        <v>416</v>
      </c>
      <c r="D180">
        <v>2132</v>
      </c>
      <c r="G180" t="s">
        <v>1749</v>
      </c>
      <c r="J180" t="s">
        <v>1750</v>
      </c>
      <c r="K180" t="s">
        <v>1746</v>
      </c>
      <c r="M180" t="s">
        <v>1747</v>
      </c>
      <c r="P180" t="s">
        <v>778</v>
      </c>
      <c r="W180" t="s">
        <v>780</v>
      </c>
      <c r="X180" t="s">
        <v>793</v>
      </c>
      <c r="Z180" s="31"/>
      <c r="AA180">
        <v>1600</v>
      </c>
      <c r="AB180">
        <v>28747</v>
      </c>
      <c r="AC180">
        <v>12</v>
      </c>
      <c r="AD180" t="s">
        <v>44</v>
      </c>
      <c r="AE180" s="31">
        <v>45807</v>
      </c>
      <c r="AF180" s="61">
        <v>0.4244560185185185</v>
      </c>
      <c r="AH180" t="s">
        <v>795</v>
      </c>
      <c r="AI180" s="31">
        <v>45819</v>
      </c>
      <c r="AJ180" s="61">
        <v>0.60103009259259255</v>
      </c>
      <c r="AK180" t="s">
        <v>934</v>
      </c>
      <c r="AL180" t="s">
        <v>1751</v>
      </c>
      <c r="AN180" t="s">
        <v>1714</v>
      </c>
      <c r="AP180" t="s">
        <v>1720</v>
      </c>
      <c r="AR180" s="31"/>
      <c r="AX180">
        <v>1</v>
      </c>
    </row>
    <row r="181" spans="1:50" x14ac:dyDescent="0.25">
      <c r="A181" t="s">
        <v>44</v>
      </c>
      <c r="B181">
        <v>417</v>
      </c>
      <c r="D181">
        <v>2133</v>
      </c>
      <c r="G181" t="s">
        <v>1752</v>
      </c>
      <c r="J181" t="s">
        <v>1753</v>
      </c>
      <c r="K181" t="s">
        <v>1754</v>
      </c>
      <c r="M181" t="s">
        <v>1755</v>
      </c>
      <c r="P181" t="s">
        <v>778</v>
      </c>
      <c r="V181" t="s">
        <v>1718</v>
      </c>
      <c r="W181" t="s">
        <v>780</v>
      </c>
      <c r="X181" t="s">
        <v>793</v>
      </c>
      <c r="Z181" s="31"/>
      <c r="AA181">
        <v>16960</v>
      </c>
      <c r="AB181">
        <v>40572</v>
      </c>
      <c r="AC181">
        <v>52</v>
      </c>
      <c r="AD181" t="s">
        <v>44</v>
      </c>
      <c r="AE181" s="31">
        <v>45807</v>
      </c>
      <c r="AF181" s="61">
        <v>0.43975694444444452</v>
      </c>
      <c r="AH181" t="s">
        <v>795</v>
      </c>
      <c r="AI181" s="31">
        <v>45859</v>
      </c>
      <c r="AJ181" s="61">
        <v>0.38516203703703711</v>
      </c>
      <c r="AK181" t="s">
        <v>796</v>
      </c>
      <c r="AL181" t="s">
        <v>1756</v>
      </c>
      <c r="AN181" t="s">
        <v>1714</v>
      </c>
      <c r="AP181" t="s">
        <v>1720</v>
      </c>
      <c r="AR181" s="31"/>
      <c r="AX181">
        <v>1</v>
      </c>
    </row>
    <row r="182" spans="1:50" x14ac:dyDescent="0.25">
      <c r="A182" t="s">
        <v>44</v>
      </c>
      <c r="B182">
        <v>419</v>
      </c>
      <c r="D182">
        <v>2144</v>
      </c>
      <c r="G182" t="s">
        <v>1757</v>
      </c>
      <c r="J182" t="s">
        <v>1758</v>
      </c>
      <c r="K182" t="s">
        <v>1759</v>
      </c>
      <c r="M182" t="s">
        <v>1760</v>
      </c>
      <c r="P182" t="s">
        <v>778</v>
      </c>
      <c r="V182" t="s">
        <v>1704</v>
      </c>
      <c r="W182" t="s">
        <v>780</v>
      </c>
      <c r="X182" t="s">
        <v>816</v>
      </c>
      <c r="Z182" s="31"/>
      <c r="AA182">
        <v>1600</v>
      </c>
      <c r="AB182">
        <v>1833334</v>
      </c>
      <c r="AC182">
        <v>52</v>
      </c>
      <c r="AD182" t="s">
        <v>44</v>
      </c>
      <c r="AE182" s="31">
        <v>45807</v>
      </c>
      <c r="AF182" s="61">
        <v>0.58697916666666672</v>
      </c>
      <c r="AH182" t="s">
        <v>795</v>
      </c>
      <c r="AI182" s="31">
        <v>45859</v>
      </c>
      <c r="AJ182" s="61">
        <v>0.40807870370370369</v>
      </c>
      <c r="AK182" t="s">
        <v>796</v>
      </c>
      <c r="AL182" t="s">
        <v>1303</v>
      </c>
      <c r="AN182" t="s">
        <v>1721</v>
      </c>
      <c r="AR182" s="31"/>
      <c r="AX182">
        <v>1</v>
      </c>
    </row>
    <row r="183" spans="1:50" x14ac:dyDescent="0.25">
      <c r="A183" t="s">
        <v>44</v>
      </c>
      <c r="B183">
        <v>422</v>
      </c>
      <c r="D183">
        <v>2141</v>
      </c>
      <c r="G183" t="s">
        <v>1761</v>
      </c>
      <c r="H183">
        <v>27898532000144</v>
      </c>
      <c r="J183" t="s">
        <v>1762</v>
      </c>
      <c r="K183" t="s">
        <v>1763</v>
      </c>
      <c r="M183" t="s">
        <v>1764</v>
      </c>
      <c r="P183" t="s">
        <v>778</v>
      </c>
      <c r="Q183" t="s">
        <v>1765</v>
      </c>
      <c r="R183" t="s">
        <v>790</v>
      </c>
      <c r="S183" t="s">
        <v>1766</v>
      </c>
      <c r="W183" t="s">
        <v>780</v>
      </c>
      <c r="X183" t="s">
        <v>857</v>
      </c>
      <c r="Z183" s="31"/>
      <c r="AA183">
        <v>69592</v>
      </c>
      <c r="AB183">
        <v>23661</v>
      </c>
      <c r="AC183">
        <v>42</v>
      </c>
      <c r="AD183" t="s">
        <v>594</v>
      </c>
      <c r="AE183" s="31">
        <v>45810</v>
      </c>
      <c r="AF183" s="61">
        <v>0.45253472222222219</v>
      </c>
      <c r="AH183" t="s">
        <v>795</v>
      </c>
      <c r="AI183" s="31">
        <v>45852</v>
      </c>
      <c r="AJ183" s="61">
        <v>0.43975694444444452</v>
      </c>
      <c r="AK183" t="s">
        <v>796</v>
      </c>
      <c r="AL183" t="s">
        <v>1767</v>
      </c>
      <c r="AM183" t="s">
        <v>1768</v>
      </c>
      <c r="AN183" t="s">
        <v>1769</v>
      </c>
      <c r="AO183" t="s">
        <v>594</v>
      </c>
      <c r="AP183" t="s">
        <v>1770</v>
      </c>
      <c r="AQ183" t="s">
        <v>1771</v>
      </c>
      <c r="AR183" s="31"/>
      <c r="AX183">
        <v>1</v>
      </c>
    </row>
    <row r="184" spans="1:50" x14ac:dyDescent="0.25">
      <c r="A184" t="s">
        <v>31</v>
      </c>
      <c r="B184">
        <v>423</v>
      </c>
      <c r="D184">
        <v>2179</v>
      </c>
      <c r="G184" t="s">
        <v>1772</v>
      </c>
      <c r="H184">
        <v>62182753000112</v>
      </c>
      <c r="J184" t="s">
        <v>1133</v>
      </c>
      <c r="K184" t="s">
        <v>1587</v>
      </c>
      <c r="M184" t="s">
        <v>1588</v>
      </c>
      <c r="P184" t="s">
        <v>778</v>
      </c>
      <c r="S184" t="s">
        <v>933</v>
      </c>
      <c r="V184" t="s">
        <v>1581</v>
      </c>
      <c r="W184" t="s">
        <v>780</v>
      </c>
      <c r="X184" t="s">
        <v>807</v>
      </c>
      <c r="Z184" s="31"/>
      <c r="AA184">
        <v>14280</v>
      </c>
      <c r="AB184">
        <v>127673</v>
      </c>
      <c r="AC184">
        <v>168</v>
      </c>
      <c r="AD184" t="s">
        <v>31</v>
      </c>
      <c r="AE184" s="31">
        <v>45811</v>
      </c>
      <c r="AF184" s="61">
        <v>0.48096064814814821</v>
      </c>
      <c r="AH184" t="s">
        <v>795</v>
      </c>
      <c r="AI184" s="31">
        <v>45979</v>
      </c>
      <c r="AJ184" s="61">
        <v>0.39922453703703698</v>
      </c>
      <c r="AK184" t="s">
        <v>796</v>
      </c>
      <c r="AN184" t="s">
        <v>1773</v>
      </c>
      <c r="AO184" t="s">
        <v>31</v>
      </c>
      <c r="AP184" t="s">
        <v>1773</v>
      </c>
      <c r="AR184" s="31"/>
      <c r="AX184">
        <v>1</v>
      </c>
    </row>
    <row r="185" spans="1:50" x14ac:dyDescent="0.25">
      <c r="A185" t="s">
        <v>44</v>
      </c>
      <c r="B185">
        <v>425</v>
      </c>
      <c r="D185">
        <v>2181</v>
      </c>
      <c r="G185" t="s">
        <v>1774</v>
      </c>
      <c r="H185">
        <v>3971592000187</v>
      </c>
      <c r="J185" t="s">
        <v>1775</v>
      </c>
      <c r="K185" t="s">
        <v>1776</v>
      </c>
      <c r="P185" t="s">
        <v>778</v>
      </c>
      <c r="Q185" t="s">
        <v>1777</v>
      </c>
      <c r="R185" t="s">
        <v>1027</v>
      </c>
      <c r="V185" t="s">
        <v>1718</v>
      </c>
      <c r="W185" t="s">
        <v>780</v>
      </c>
      <c r="X185" t="s">
        <v>857</v>
      </c>
      <c r="Z185" s="31"/>
      <c r="AC185">
        <v>26</v>
      </c>
      <c r="AD185" t="s">
        <v>44</v>
      </c>
      <c r="AE185" s="31">
        <v>45813</v>
      </c>
      <c r="AF185" s="61">
        <v>0.45299768518518518</v>
      </c>
      <c r="AH185" t="s">
        <v>795</v>
      </c>
      <c r="AI185" s="31">
        <v>45839</v>
      </c>
      <c r="AJ185" s="61">
        <v>0.41417824074074072</v>
      </c>
      <c r="AK185" t="s">
        <v>796</v>
      </c>
      <c r="AL185" t="s">
        <v>1694</v>
      </c>
      <c r="AR185" s="31"/>
      <c r="AX185">
        <v>1</v>
      </c>
    </row>
    <row r="186" spans="1:50" x14ac:dyDescent="0.25">
      <c r="A186" t="s">
        <v>44</v>
      </c>
      <c r="B186">
        <v>426</v>
      </c>
      <c r="D186">
        <v>2186</v>
      </c>
      <c r="G186" t="s">
        <v>1778</v>
      </c>
      <c r="H186">
        <v>480542000290</v>
      </c>
      <c r="J186" t="s">
        <v>1779</v>
      </c>
      <c r="K186" t="s">
        <v>1780</v>
      </c>
      <c r="M186" t="s">
        <v>1781</v>
      </c>
      <c r="P186" t="s">
        <v>778</v>
      </c>
      <c r="Q186" t="s">
        <v>1782</v>
      </c>
      <c r="R186" t="s">
        <v>790</v>
      </c>
      <c r="W186" t="s">
        <v>780</v>
      </c>
      <c r="X186" t="s">
        <v>781</v>
      </c>
      <c r="Z186" s="31"/>
      <c r="AC186">
        <v>26</v>
      </c>
      <c r="AD186" t="s">
        <v>44</v>
      </c>
      <c r="AE186" s="31">
        <v>45813</v>
      </c>
      <c r="AF186" s="61">
        <v>0.46081018518518518</v>
      </c>
      <c r="AH186" t="s">
        <v>795</v>
      </c>
      <c r="AI186" s="31">
        <v>45839</v>
      </c>
      <c r="AJ186" s="61">
        <v>0.40780092592592587</v>
      </c>
      <c r="AK186" t="s">
        <v>796</v>
      </c>
      <c r="AL186" t="s">
        <v>1694</v>
      </c>
      <c r="AR186" s="31"/>
      <c r="AX186">
        <v>1</v>
      </c>
    </row>
    <row r="187" spans="1:50" x14ac:dyDescent="0.25">
      <c r="A187" t="s">
        <v>44</v>
      </c>
      <c r="B187">
        <v>428</v>
      </c>
      <c r="D187">
        <v>2189</v>
      </c>
      <c r="G187" t="s">
        <v>1783</v>
      </c>
      <c r="H187">
        <v>10509268000107</v>
      </c>
      <c r="J187" t="s">
        <v>1784</v>
      </c>
      <c r="K187" t="s">
        <v>1785</v>
      </c>
      <c r="M187" t="s">
        <v>1786</v>
      </c>
      <c r="P187" t="s">
        <v>778</v>
      </c>
      <c r="Q187" t="s">
        <v>1787</v>
      </c>
      <c r="R187" t="s">
        <v>790</v>
      </c>
      <c r="V187" t="s">
        <v>1718</v>
      </c>
      <c r="W187" t="s">
        <v>780</v>
      </c>
      <c r="X187" t="s">
        <v>857</v>
      </c>
      <c r="Z187" s="31"/>
      <c r="AA187">
        <v>73430</v>
      </c>
      <c r="AB187">
        <v>37382</v>
      </c>
      <c r="AC187">
        <v>24</v>
      </c>
      <c r="AD187" t="s">
        <v>44</v>
      </c>
      <c r="AE187" s="31">
        <v>45814</v>
      </c>
      <c r="AF187" s="61">
        <v>0.42849537037037039</v>
      </c>
      <c r="AH187" t="s">
        <v>795</v>
      </c>
      <c r="AI187" s="31">
        <v>45838</v>
      </c>
      <c r="AJ187" s="61">
        <v>0.62945601851851851</v>
      </c>
      <c r="AK187" t="s">
        <v>796</v>
      </c>
      <c r="AL187" t="s">
        <v>1788</v>
      </c>
      <c r="AN187" t="s">
        <v>1789</v>
      </c>
      <c r="AP187" t="s">
        <v>1790</v>
      </c>
      <c r="AQ187" t="s">
        <v>1769</v>
      </c>
      <c r="AR187" s="31"/>
      <c r="AX187">
        <v>1</v>
      </c>
    </row>
    <row r="188" spans="1:50" x14ac:dyDescent="0.25">
      <c r="A188" t="s">
        <v>44</v>
      </c>
      <c r="B188">
        <v>431</v>
      </c>
      <c r="D188">
        <v>2194</v>
      </c>
      <c r="G188" t="s">
        <v>386</v>
      </c>
      <c r="H188">
        <v>28646036000166</v>
      </c>
      <c r="J188" t="s">
        <v>1791</v>
      </c>
      <c r="K188" t="s">
        <v>1792</v>
      </c>
      <c r="M188" t="s">
        <v>1793</v>
      </c>
      <c r="P188" t="s">
        <v>778</v>
      </c>
      <c r="Q188" t="s">
        <v>1794</v>
      </c>
      <c r="R188" t="s">
        <v>790</v>
      </c>
      <c r="V188" t="s">
        <v>1718</v>
      </c>
      <c r="W188" t="s">
        <v>780</v>
      </c>
      <c r="X188" t="s">
        <v>807</v>
      </c>
      <c r="Z188" s="31"/>
      <c r="AA188">
        <v>16960</v>
      </c>
      <c r="AB188">
        <v>70432</v>
      </c>
      <c r="AC188">
        <v>80</v>
      </c>
      <c r="AD188" t="s">
        <v>44</v>
      </c>
      <c r="AE188" s="31">
        <v>45817</v>
      </c>
      <c r="AF188" s="61">
        <v>0.47589120370370369</v>
      </c>
      <c r="AH188" t="s">
        <v>795</v>
      </c>
      <c r="AI188" s="31">
        <v>45897</v>
      </c>
      <c r="AJ188" s="61">
        <v>0.64936342592592589</v>
      </c>
      <c r="AK188" t="s">
        <v>796</v>
      </c>
      <c r="AL188" t="s">
        <v>797</v>
      </c>
      <c r="AN188" t="s">
        <v>1771</v>
      </c>
      <c r="AP188" t="s">
        <v>1771</v>
      </c>
      <c r="AR188" s="31"/>
      <c r="AX188">
        <v>1</v>
      </c>
    </row>
    <row r="189" spans="1:50" x14ac:dyDescent="0.25">
      <c r="A189" t="s">
        <v>44</v>
      </c>
      <c r="B189">
        <v>433</v>
      </c>
      <c r="D189">
        <v>2197</v>
      </c>
      <c r="G189" t="s">
        <v>1795</v>
      </c>
      <c r="J189" t="s">
        <v>1796</v>
      </c>
      <c r="K189" t="s">
        <v>1797</v>
      </c>
      <c r="M189" t="s">
        <v>1111</v>
      </c>
      <c r="P189" t="s">
        <v>778</v>
      </c>
      <c r="W189" t="s">
        <v>780</v>
      </c>
      <c r="X189" t="s">
        <v>857</v>
      </c>
      <c r="Z189" s="31"/>
      <c r="AA189">
        <v>16960</v>
      </c>
      <c r="AB189">
        <v>998</v>
      </c>
      <c r="AC189">
        <v>20</v>
      </c>
      <c r="AD189" t="s">
        <v>44</v>
      </c>
      <c r="AE189" s="31">
        <v>45819</v>
      </c>
      <c r="AF189" s="61">
        <v>0.3787962962962963</v>
      </c>
      <c r="AH189" t="s">
        <v>795</v>
      </c>
      <c r="AI189" s="31">
        <v>45839</v>
      </c>
      <c r="AJ189" s="61">
        <v>0.41629629629629628</v>
      </c>
      <c r="AK189" t="s">
        <v>796</v>
      </c>
      <c r="AL189" t="s">
        <v>1798</v>
      </c>
      <c r="AN189" t="s">
        <v>1799</v>
      </c>
      <c r="AP189" t="s">
        <v>1799</v>
      </c>
      <c r="AR189" s="31"/>
      <c r="AX189">
        <v>1</v>
      </c>
    </row>
    <row r="190" spans="1:50" x14ac:dyDescent="0.25">
      <c r="A190" t="s">
        <v>22</v>
      </c>
      <c r="B190">
        <v>434</v>
      </c>
      <c r="D190">
        <v>2198</v>
      </c>
      <c r="G190" t="s">
        <v>1800</v>
      </c>
      <c r="J190" t="s">
        <v>1243</v>
      </c>
      <c r="K190" t="s">
        <v>1801</v>
      </c>
      <c r="M190" t="s">
        <v>1802</v>
      </c>
      <c r="P190" t="s">
        <v>778</v>
      </c>
      <c r="S190" t="s">
        <v>933</v>
      </c>
      <c r="V190" t="s">
        <v>1718</v>
      </c>
      <c r="W190" t="s">
        <v>780</v>
      </c>
      <c r="X190" t="s">
        <v>857</v>
      </c>
      <c r="Y190" t="s">
        <v>817</v>
      </c>
      <c r="Z190" s="31"/>
      <c r="AC190">
        <v>90</v>
      </c>
      <c r="AD190" t="s">
        <v>22</v>
      </c>
      <c r="AE190" s="31">
        <v>45820</v>
      </c>
      <c r="AF190" s="61">
        <v>0.6342592592592593</v>
      </c>
      <c r="AH190" t="s">
        <v>795</v>
      </c>
      <c r="AI190" s="31">
        <v>45910</v>
      </c>
      <c r="AJ190" s="61">
        <v>0.67572916666666671</v>
      </c>
      <c r="AK190" t="s">
        <v>796</v>
      </c>
      <c r="AO190" t="s">
        <v>22</v>
      </c>
      <c r="AR190" s="31"/>
      <c r="AX190">
        <v>1</v>
      </c>
    </row>
    <row r="191" spans="1:50" x14ac:dyDescent="0.25">
      <c r="A191" t="s">
        <v>22</v>
      </c>
      <c r="B191">
        <v>435</v>
      </c>
      <c r="D191">
        <v>2200</v>
      </c>
      <c r="G191" t="s">
        <v>1803</v>
      </c>
      <c r="J191" t="s">
        <v>1804</v>
      </c>
      <c r="K191" t="s">
        <v>1805</v>
      </c>
      <c r="M191" t="s">
        <v>1111</v>
      </c>
      <c r="P191" t="s">
        <v>778</v>
      </c>
      <c r="S191" t="s">
        <v>933</v>
      </c>
      <c r="V191" t="s">
        <v>1419</v>
      </c>
      <c r="W191" t="s">
        <v>780</v>
      </c>
      <c r="X191" t="s">
        <v>816</v>
      </c>
      <c r="Z191" s="31"/>
      <c r="AA191">
        <v>28800</v>
      </c>
      <c r="AB191">
        <v>201012</v>
      </c>
      <c r="AC191">
        <v>56</v>
      </c>
      <c r="AD191" t="s">
        <v>22</v>
      </c>
      <c r="AE191" s="31">
        <v>45820</v>
      </c>
      <c r="AF191" s="61">
        <v>0.68391203703703707</v>
      </c>
      <c r="AH191" t="s">
        <v>818</v>
      </c>
      <c r="AI191" s="31">
        <v>45876</v>
      </c>
      <c r="AJ191" s="61">
        <v>0.50437500000000002</v>
      </c>
      <c r="AO191" t="s">
        <v>22</v>
      </c>
      <c r="AR191" s="31"/>
      <c r="AX191">
        <v>1</v>
      </c>
    </row>
    <row r="192" spans="1:50" x14ac:dyDescent="0.25">
      <c r="A192" t="s">
        <v>22</v>
      </c>
      <c r="B192">
        <v>441</v>
      </c>
      <c r="D192">
        <v>2206</v>
      </c>
      <c r="G192" t="s">
        <v>1806</v>
      </c>
      <c r="H192">
        <v>8505162000355</v>
      </c>
      <c r="J192" t="s">
        <v>1807</v>
      </c>
      <c r="K192" t="s">
        <v>1808</v>
      </c>
      <c r="M192" t="s">
        <v>1809</v>
      </c>
      <c r="P192" t="s">
        <v>778</v>
      </c>
      <c r="S192" t="s">
        <v>933</v>
      </c>
      <c r="V192" t="s">
        <v>1419</v>
      </c>
      <c r="W192" t="s">
        <v>780</v>
      </c>
      <c r="X192" t="s">
        <v>793</v>
      </c>
      <c r="Z192" s="31"/>
      <c r="AC192">
        <v>55</v>
      </c>
      <c r="AD192" t="s">
        <v>22</v>
      </c>
      <c r="AE192" s="31">
        <v>45821</v>
      </c>
      <c r="AF192" s="61">
        <v>0.72303240740740737</v>
      </c>
      <c r="AH192" t="s">
        <v>795</v>
      </c>
      <c r="AI192" s="31">
        <v>45876</v>
      </c>
      <c r="AJ192" s="61">
        <v>0.59842592592592592</v>
      </c>
      <c r="AK192" t="s">
        <v>1119</v>
      </c>
      <c r="AN192" t="s">
        <v>1771</v>
      </c>
      <c r="AO192" t="s">
        <v>22</v>
      </c>
      <c r="AP192" t="s">
        <v>1771</v>
      </c>
      <c r="AR192" s="31"/>
      <c r="AX192">
        <v>1</v>
      </c>
    </row>
    <row r="193" spans="1:50" x14ac:dyDescent="0.25">
      <c r="A193" t="s">
        <v>44</v>
      </c>
      <c r="B193">
        <v>447</v>
      </c>
      <c r="D193">
        <v>2213</v>
      </c>
      <c r="G193" t="s">
        <v>1810</v>
      </c>
      <c r="J193" t="s">
        <v>1811</v>
      </c>
      <c r="K193" t="s">
        <v>1812</v>
      </c>
      <c r="M193" t="s">
        <v>1813</v>
      </c>
      <c r="P193" t="s">
        <v>778</v>
      </c>
      <c r="W193" t="s">
        <v>780</v>
      </c>
      <c r="X193" t="s">
        <v>816</v>
      </c>
      <c r="Z193" s="31"/>
      <c r="AA193">
        <v>1782</v>
      </c>
      <c r="AB193">
        <v>3564</v>
      </c>
      <c r="AC193">
        <v>2</v>
      </c>
      <c r="AD193" t="s">
        <v>44</v>
      </c>
      <c r="AE193" s="31">
        <v>45824</v>
      </c>
      <c r="AF193" s="61">
        <v>0.6651273148148148</v>
      </c>
      <c r="AH193" t="s">
        <v>818</v>
      </c>
      <c r="AI193" s="31">
        <v>45826</v>
      </c>
      <c r="AJ193" s="61">
        <v>0.61760416666666662</v>
      </c>
      <c r="AN193" t="s">
        <v>1771</v>
      </c>
      <c r="AP193" t="s">
        <v>1771</v>
      </c>
      <c r="AR193" s="31"/>
      <c r="AX193">
        <v>1</v>
      </c>
    </row>
    <row r="194" spans="1:50" x14ac:dyDescent="0.25">
      <c r="A194" t="s">
        <v>44</v>
      </c>
      <c r="B194">
        <v>451</v>
      </c>
      <c r="D194">
        <v>2217</v>
      </c>
      <c r="G194" t="s">
        <v>1814</v>
      </c>
      <c r="H194">
        <v>27898532000144</v>
      </c>
      <c r="J194" t="s">
        <v>1815</v>
      </c>
      <c r="K194" t="s">
        <v>1816</v>
      </c>
      <c r="M194" t="s">
        <v>1764</v>
      </c>
      <c r="P194" t="s">
        <v>778</v>
      </c>
      <c r="Q194" t="s">
        <v>1817</v>
      </c>
      <c r="R194" t="s">
        <v>790</v>
      </c>
      <c r="W194" t="s">
        <v>780</v>
      </c>
      <c r="X194" t="s">
        <v>857</v>
      </c>
      <c r="Z194" s="31"/>
      <c r="AA194">
        <v>1600</v>
      </c>
      <c r="AB194">
        <v>26507</v>
      </c>
      <c r="AC194">
        <v>26</v>
      </c>
      <c r="AD194" t="s">
        <v>44</v>
      </c>
      <c r="AE194" s="31">
        <v>45826</v>
      </c>
      <c r="AF194" s="61">
        <v>0.60541666666666671</v>
      </c>
      <c r="AH194" t="s">
        <v>795</v>
      </c>
      <c r="AI194" s="31">
        <v>45852</v>
      </c>
      <c r="AJ194" s="61">
        <v>0.44032407407407409</v>
      </c>
      <c r="AK194" t="s">
        <v>796</v>
      </c>
      <c r="AL194" t="s">
        <v>1767</v>
      </c>
      <c r="AN194" t="s">
        <v>1769</v>
      </c>
      <c r="AP194" t="s">
        <v>1771</v>
      </c>
      <c r="AR194" s="31"/>
      <c r="AX194">
        <v>1</v>
      </c>
    </row>
    <row r="195" spans="1:50" x14ac:dyDescent="0.25">
      <c r="A195" t="s">
        <v>44</v>
      </c>
      <c r="B195">
        <v>453</v>
      </c>
      <c r="D195">
        <v>2219</v>
      </c>
      <c r="G195" t="s">
        <v>1818</v>
      </c>
      <c r="J195" t="s">
        <v>1819</v>
      </c>
      <c r="K195" t="s">
        <v>1579</v>
      </c>
      <c r="M195" t="s">
        <v>1580</v>
      </c>
      <c r="P195" t="s">
        <v>778</v>
      </c>
      <c r="V195" t="s">
        <v>1718</v>
      </c>
      <c r="W195" t="s">
        <v>780</v>
      </c>
      <c r="X195" t="s">
        <v>807</v>
      </c>
      <c r="Z195" s="31"/>
      <c r="AA195">
        <v>29680</v>
      </c>
      <c r="AB195">
        <v>0</v>
      </c>
      <c r="AC195">
        <v>7</v>
      </c>
      <c r="AD195" t="s">
        <v>44</v>
      </c>
      <c r="AE195" s="31">
        <v>45831</v>
      </c>
      <c r="AF195" s="61">
        <v>0.38500000000000001</v>
      </c>
      <c r="AH195" t="s">
        <v>795</v>
      </c>
      <c r="AI195" s="31">
        <v>45838</v>
      </c>
      <c r="AJ195" s="61">
        <v>0.63365740740740739</v>
      </c>
      <c r="AK195" t="s">
        <v>934</v>
      </c>
      <c r="AL195" t="s">
        <v>1820</v>
      </c>
      <c r="AN195" t="s">
        <v>1789</v>
      </c>
      <c r="AP195" t="s">
        <v>1789</v>
      </c>
      <c r="AR195" s="31"/>
      <c r="AX195">
        <v>1</v>
      </c>
    </row>
    <row r="196" spans="1:50" x14ac:dyDescent="0.25">
      <c r="A196" t="s">
        <v>44</v>
      </c>
      <c r="B196">
        <v>455</v>
      </c>
      <c r="D196">
        <v>2221</v>
      </c>
      <c r="G196" t="s">
        <v>1821</v>
      </c>
      <c r="H196">
        <v>1537246000160</v>
      </c>
      <c r="J196" t="s">
        <v>1822</v>
      </c>
      <c r="K196" t="s">
        <v>1823</v>
      </c>
      <c r="M196" t="s">
        <v>1824</v>
      </c>
      <c r="P196" t="s">
        <v>778</v>
      </c>
      <c r="Q196" t="s">
        <v>1825</v>
      </c>
      <c r="R196" t="s">
        <v>790</v>
      </c>
      <c r="W196" t="s">
        <v>780</v>
      </c>
      <c r="X196" t="s">
        <v>781</v>
      </c>
      <c r="Z196" s="31"/>
      <c r="AC196">
        <v>7</v>
      </c>
      <c r="AD196" t="s">
        <v>44</v>
      </c>
      <c r="AE196" s="31">
        <v>45832</v>
      </c>
      <c r="AF196" s="61">
        <v>0.46826388888888892</v>
      </c>
      <c r="AH196" t="s">
        <v>795</v>
      </c>
      <c r="AI196" s="31">
        <v>45839</v>
      </c>
      <c r="AJ196" s="61">
        <v>0.40962962962962962</v>
      </c>
      <c r="AK196" t="s">
        <v>796</v>
      </c>
      <c r="AL196" t="s">
        <v>1694</v>
      </c>
      <c r="AR196" s="31"/>
      <c r="AX196">
        <v>1</v>
      </c>
    </row>
    <row r="197" spans="1:50" x14ac:dyDescent="0.25">
      <c r="A197" t="s">
        <v>44</v>
      </c>
      <c r="B197">
        <v>456</v>
      </c>
      <c r="D197">
        <v>2226</v>
      </c>
      <c r="G197" t="s">
        <v>1826</v>
      </c>
      <c r="H197">
        <v>1684187000152</v>
      </c>
      <c r="J197" t="s">
        <v>1827</v>
      </c>
      <c r="K197" t="s">
        <v>1828</v>
      </c>
      <c r="P197" t="s">
        <v>778</v>
      </c>
      <c r="Q197" t="s">
        <v>1094</v>
      </c>
      <c r="R197" t="s">
        <v>790</v>
      </c>
      <c r="W197" t="s">
        <v>780</v>
      </c>
      <c r="X197" t="s">
        <v>781</v>
      </c>
      <c r="Z197" s="31"/>
      <c r="AC197">
        <v>7</v>
      </c>
      <c r="AD197" t="s">
        <v>44</v>
      </c>
      <c r="AE197" s="31">
        <v>45832</v>
      </c>
      <c r="AF197" s="61">
        <v>0.47282407407407412</v>
      </c>
      <c r="AH197" t="s">
        <v>795</v>
      </c>
      <c r="AI197" s="31">
        <v>45839</v>
      </c>
      <c r="AJ197" s="61">
        <v>0.4099652777777778</v>
      </c>
      <c r="AK197" t="s">
        <v>796</v>
      </c>
      <c r="AL197" t="s">
        <v>1694</v>
      </c>
      <c r="AR197" s="31"/>
      <c r="AX197">
        <v>1</v>
      </c>
    </row>
    <row r="198" spans="1:50" x14ac:dyDescent="0.25">
      <c r="A198" t="s">
        <v>44</v>
      </c>
      <c r="B198">
        <v>457</v>
      </c>
      <c r="D198">
        <v>2230</v>
      </c>
      <c r="G198" t="s">
        <v>1829</v>
      </c>
      <c r="H198">
        <v>28895260000191</v>
      </c>
      <c r="J198" t="s">
        <v>1830</v>
      </c>
      <c r="K198" t="s">
        <v>1831</v>
      </c>
      <c r="M198" t="s">
        <v>1832</v>
      </c>
      <c r="P198" t="s">
        <v>778</v>
      </c>
      <c r="Q198" t="s">
        <v>1833</v>
      </c>
      <c r="R198" t="s">
        <v>790</v>
      </c>
      <c r="W198" t="s">
        <v>780</v>
      </c>
      <c r="X198" t="s">
        <v>781</v>
      </c>
      <c r="Z198" s="31"/>
      <c r="AC198">
        <v>7</v>
      </c>
      <c r="AD198" t="s">
        <v>44</v>
      </c>
      <c r="AE198" s="31">
        <v>45832</v>
      </c>
      <c r="AF198" s="61">
        <v>0.47787037037037039</v>
      </c>
      <c r="AH198" t="s">
        <v>795</v>
      </c>
      <c r="AI198" s="31">
        <v>45839</v>
      </c>
      <c r="AJ198" s="61">
        <v>0.41031250000000002</v>
      </c>
      <c r="AK198" t="s">
        <v>796</v>
      </c>
      <c r="AL198" t="s">
        <v>1694</v>
      </c>
      <c r="AR198" s="31"/>
      <c r="AX198">
        <v>1</v>
      </c>
    </row>
    <row r="199" spans="1:50" x14ac:dyDescent="0.25">
      <c r="A199" t="s">
        <v>44</v>
      </c>
      <c r="B199">
        <v>462</v>
      </c>
      <c r="D199">
        <v>2237</v>
      </c>
      <c r="G199" t="s">
        <v>1834</v>
      </c>
      <c r="H199">
        <v>61630786000115</v>
      </c>
      <c r="J199" t="s">
        <v>1835</v>
      </c>
      <c r="K199" t="s">
        <v>1836</v>
      </c>
      <c r="P199" t="s">
        <v>778</v>
      </c>
      <c r="Q199" t="s">
        <v>1837</v>
      </c>
      <c r="R199" t="s">
        <v>790</v>
      </c>
      <c r="W199" t="s">
        <v>780</v>
      </c>
      <c r="X199" t="s">
        <v>857</v>
      </c>
      <c r="Z199" s="31"/>
      <c r="AA199">
        <v>80560</v>
      </c>
      <c r="AB199">
        <v>249008</v>
      </c>
      <c r="AC199">
        <v>1</v>
      </c>
      <c r="AD199" t="s">
        <v>44</v>
      </c>
      <c r="AE199" s="31">
        <v>45833</v>
      </c>
      <c r="AF199" s="61">
        <v>0.43809027777777781</v>
      </c>
      <c r="AH199" t="s">
        <v>795</v>
      </c>
      <c r="AI199" s="31">
        <v>45834</v>
      </c>
      <c r="AJ199" s="61">
        <v>0.44855324074074082</v>
      </c>
      <c r="AK199" t="s">
        <v>796</v>
      </c>
      <c r="AL199" t="s">
        <v>1838</v>
      </c>
      <c r="AN199" t="s">
        <v>1771</v>
      </c>
      <c r="AP199" t="s">
        <v>1839</v>
      </c>
      <c r="AR199" s="31"/>
      <c r="AX199">
        <v>1</v>
      </c>
    </row>
    <row r="200" spans="1:50" x14ac:dyDescent="0.25">
      <c r="A200" t="s">
        <v>44</v>
      </c>
      <c r="B200">
        <v>463</v>
      </c>
      <c r="D200">
        <v>2239</v>
      </c>
      <c r="G200" t="s">
        <v>1840</v>
      </c>
      <c r="H200">
        <v>61630786000115</v>
      </c>
      <c r="J200" t="s">
        <v>1841</v>
      </c>
      <c r="K200" t="s">
        <v>1836</v>
      </c>
      <c r="P200" t="s">
        <v>778</v>
      </c>
      <c r="Q200" t="s">
        <v>1837</v>
      </c>
      <c r="R200" t="s">
        <v>790</v>
      </c>
      <c r="W200" t="s">
        <v>780</v>
      </c>
      <c r="X200" t="s">
        <v>857</v>
      </c>
      <c r="Z200" s="31"/>
      <c r="AA200">
        <v>1600</v>
      </c>
      <c r="AB200">
        <v>278556</v>
      </c>
      <c r="AC200">
        <v>1</v>
      </c>
      <c r="AD200" t="s">
        <v>44</v>
      </c>
      <c r="AE200" s="31">
        <v>45833</v>
      </c>
      <c r="AF200" s="61">
        <v>0.44237268518518519</v>
      </c>
      <c r="AH200" t="s">
        <v>795</v>
      </c>
      <c r="AI200" s="31">
        <v>45834</v>
      </c>
      <c r="AJ200" s="61">
        <v>0.44890046296296299</v>
      </c>
      <c r="AK200" t="s">
        <v>796</v>
      </c>
      <c r="AL200" t="s">
        <v>1838</v>
      </c>
      <c r="AN200" t="s">
        <v>1771</v>
      </c>
      <c r="AP200" t="s">
        <v>1839</v>
      </c>
      <c r="AR200" s="31"/>
      <c r="AX200">
        <v>1</v>
      </c>
    </row>
    <row r="201" spans="1:50" x14ac:dyDescent="0.25">
      <c r="A201" t="s">
        <v>44</v>
      </c>
      <c r="B201">
        <v>466</v>
      </c>
      <c r="D201">
        <v>2243</v>
      </c>
      <c r="G201" t="s">
        <v>1842</v>
      </c>
      <c r="J201" t="s">
        <v>1843</v>
      </c>
      <c r="K201" t="s">
        <v>1844</v>
      </c>
      <c r="M201" t="s">
        <v>1845</v>
      </c>
      <c r="P201" t="s">
        <v>778</v>
      </c>
      <c r="W201" t="s">
        <v>780</v>
      </c>
      <c r="X201" t="s">
        <v>816</v>
      </c>
      <c r="Z201" s="31"/>
      <c r="AA201">
        <v>0</v>
      </c>
      <c r="AB201">
        <v>54887</v>
      </c>
      <c r="AC201">
        <v>5</v>
      </c>
      <c r="AD201" t="s">
        <v>44</v>
      </c>
      <c r="AE201" s="31">
        <v>45833</v>
      </c>
      <c r="AF201" s="61">
        <v>0.60601851851851851</v>
      </c>
      <c r="AH201" t="s">
        <v>818</v>
      </c>
      <c r="AI201" s="31">
        <v>45838</v>
      </c>
      <c r="AJ201" s="61">
        <v>0.35708333333333331</v>
      </c>
      <c r="AN201" t="s">
        <v>1846</v>
      </c>
      <c r="AP201" t="s">
        <v>1846</v>
      </c>
      <c r="AR201" s="31"/>
      <c r="AX201">
        <v>1</v>
      </c>
    </row>
    <row r="202" spans="1:50" x14ac:dyDescent="0.25">
      <c r="A202" t="s">
        <v>44</v>
      </c>
      <c r="B202">
        <v>467</v>
      </c>
      <c r="D202">
        <v>2244</v>
      </c>
      <c r="G202" t="s">
        <v>1847</v>
      </c>
      <c r="J202" t="s">
        <v>1848</v>
      </c>
      <c r="K202" t="s">
        <v>1785</v>
      </c>
      <c r="M202" t="s">
        <v>1786</v>
      </c>
      <c r="P202" t="s">
        <v>778</v>
      </c>
      <c r="W202" t="s">
        <v>780</v>
      </c>
      <c r="X202" t="s">
        <v>857</v>
      </c>
      <c r="Z202" s="31"/>
      <c r="AA202">
        <v>1600</v>
      </c>
      <c r="AB202">
        <v>309656</v>
      </c>
      <c r="AC202">
        <v>5</v>
      </c>
      <c r="AD202" t="s">
        <v>44</v>
      </c>
      <c r="AE202" s="31">
        <v>45833</v>
      </c>
      <c r="AF202" s="61">
        <v>0.66252314814814817</v>
      </c>
      <c r="AH202" t="s">
        <v>795</v>
      </c>
      <c r="AI202" s="31">
        <v>45838</v>
      </c>
      <c r="AJ202" s="61">
        <v>0.62982638888888887</v>
      </c>
      <c r="AK202" t="s">
        <v>796</v>
      </c>
      <c r="AL202" t="s">
        <v>1788</v>
      </c>
      <c r="AN202" t="s">
        <v>1789</v>
      </c>
      <c r="AP202" t="s">
        <v>1769</v>
      </c>
      <c r="AR202" s="31"/>
      <c r="AX202">
        <v>1</v>
      </c>
    </row>
    <row r="203" spans="1:50" x14ac:dyDescent="0.25">
      <c r="A203" t="s">
        <v>44</v>
      </c>
      <c r="B203">
        <v>468</v>
      </c>
      <c r="D203">
        <v>2245</v>
      </c>
      <c r="G203" t="s">
        <v>1849</v>
      </c>
      <c r="H203">
        <v>9509581000166</v>
      </c>
      <c r="J203" t="s">
        <v>1850</v>
      </c>
      <c r="K203" t="s">
        <v>1851</v>
      </c>
      <c r="M203" t="s">
        <v>1852</v>
      </c>
      <c r="P203" t="s">
        <v>778</v>
      </c>
      <c r="Q203" t="s">
        <v>1094</v>
      </c>
      <c r="R203" t="s">
        <v>790</v>
      </c>
      <c r="W203" t="s">
        <v>780</v>
      </c>
      <c r="X203" t="s">
        <v>793</v>
      </c>
      <c r="Z203" s="31"/>
      <c r="AA203">
        <v>10800</v>
      </c>
      <c r="AB203">
        <v>450</v>
      </c>
      <c r="AC203">
        <v>5</v>
      </c>
      <c r="AD203" t="s">
        <v>44</v>
      </c>
      <c r="AE203" s="31">
        <v>45833</v>
      </c>
      <c r="AF203" s="61">
        <v>0.6728587962962963</v>
      </c>
      <c r="AH203" t="s">
        <v>795</v>
      </c>
      <c r="AI203" s="31">
        <v>45838</v>
      </c>
      <c r="AJ203" s="61">
        <v>0.62880787037037034</v>
      </c>
      <c r="AK203" t="s">
        <v>796</v>
      </c>
      <c r="AL203" t="s">
        <v>1853</v>
      </c>
      <c r="AN203" t="s">
        <v>1854</v>
      </c>
      <c r="AP203" t="s">
        <v>1790</v>
      </c>
      <c r="AR203" s="31"/>
      <c r="AX203">
        <v>1</v>
      </c>
    </row>
    <row r="204" spans="1:50" x14ac:dyDescent="0.25">
      <c r="A204" t="s">
        <v>44</v>
      </c>
      <c r="B204">
        <v>469</v>
      </c>
      <c r="D204">
        <v>2250</v>
      </c>
      <c r="G204" t="s">
        <v>1855</v>
      </c>
      <c r="J204" t="s">
        <v>1856</v>
      </c>
      <c r="K204" t="s">
        <v>1857</v>
      </c>
      <c r="M204" t="s">
        <v>1858</v>
      </c>
      <c r="P204" t="s">
        <v>778</v>
      </c>
      <c r="W204" t="s">
        <v>780</v>
      </c>
      <c r="X204" t="s">
        <v>816</v>
      </c>
      <c r="Z204" s="31"/>
      <c r="AA204">
        <v>607121</v>
      </c>
      <c r="AB204">
        <v>0</v>
      </c>
      <c r="AC204">
        <v>25</v>
      </c>
      <c r="AD204" t="s">
        <v>44</v>
      </c>
      <c r="AE204" s="31">
        <v>45834</v>
      </c>
      <c r="AF204" s="61">
        <v>0.49910879629629629</v>
      </c>
      <c r="AH204" t="s">
        <v>818</v>
      </c>
      <c r="AI204" s="31">
        <v>45859</v>
      </c>
      <c r="AJ204" s="61">
        <v>0.38678240740740738</v>
      </c>
      <c r="AN204" t="s">
        <v>1859</v>
      </c>
      <c r="AP204" t="s">
        <v>1859</v>
      </c>
      <c r="AR204" s="31"/>
      <c r="AX204">
        <v>1</v>
      </c>
    </row>
    <row r="205" spans="1:50" x14ac:dyDescent="0.25">
      <c r="A205" t="s">
        <v>44</v>
      </c>
      <c r="B205">
        <v>470</v>
      </c>
      <c r="D205">
        <v>2272</v>
      </c>
      <c r="G205" t="s">
        <v>1860</v>
      </c>
      <c r="H205">
        <v>912882000161</v>
      </c>
      <c r="J205" t="s">
        <v>1861</v>
      </c>
      <c r="K205" t="s">
        <v>1862</v>
      </c>
      <c r="M205" t="s">
        <v>1863</v>
      </c>
      <c r="P205" t="s">
        <v>778</v>
      </c>
      <c r="Q205" t="s">
        <v>1864</v>
      </c>
      <c r="R205" t="s">
        <v>1027</v>
      </c>
      <c r="V205" t="s">
        <v>1718</v>
      </c>
      <c r="W205" t="s">
        <v>780</v>
      </c>
      <c r="X205" t="s">
        <v>807</v>
      </c>
      <c r="Z205" s="31"/>
      <c r="AA205">
        <v>16960</v>
      </c>
      <c r="AB205">
        <v>14034</v>
      </c>
      <c r="AC205">
        <v>84</v>
      </c>
      <c r="AD205" t="s">
        <v>44</v>
      </c>
      <c r="AE205" s="31">
        <v>45838</v>
      </c>
      <c r="AF205" s="61">
        <v>0.49502314814814807</v>
      </c>
      <c r="AH205" t="s">
        <v>795</v>
      </c>
      <c r="AI205" s="31">
        <v>45922</v>
      </c>
      <c r="AJ205" s="61">
        <v>0.4777777777777778</v>
      </c>
      <c r="AK205" t="s">
        <v>796</v>
      </c>
      <c r="AL205" t="s">
        <v>1865</v>
      </c>
      <c r="AN205" t="s">
        <v>1866</v>
      </c>
      <c r="AP205" t="s">
        <v>1866</v>
      </c>
      <c r="AR205" s="31"/>
      <c r="AX205">
        <v>1</v>
      </c>
    </row>
    <row r="206" spans="1:50" x14ac:dyDescent="0.25">
      <c r="A206" t="s">
        <v>31</v>
      </c>
      <c r="B206">
        <v>475</v>
      </c>
      <c r="D206">
        <v>2299</v>
      </c>
      <c r="G206" t="s">
        <v>1867</v>
      </c>
      <c r="H206">
        <v>3436772000169</v>
      </c>
      <c r="J206" t="s">
        <v>1868</v>
      </c>
      <c r="K206" t="s">
        <v>1869</v>
      </c>
      <c r="M206" t="s">
        <v>1870</v>
      </c>
      <c r="P206" t="s">
        <v>778</v>
      </c>
      <c r="Q206" t="s">
        <v>1094</v>
      </c>
      <c r="R206" t="s">
        <v>790</v>
      </c>
      <c r="W206" t="s">
        <v>780</v>
      </c>
      <c r="X206" t="s">
        <v>793</v>
      </c>
      <c r="Z206" s="31"/>
      <c r="AC206">
        <v>60</v>
      </c>
      <c r="AD206" t="s">
        <v>31</v>
      </c>
      <c r="AE206" s="31">
        <v>45842</v>
      </c>
      <c r="AF206" s="61">
        <v>0.39122685185185191</v>
      </c>
      <c r="AH206" t="s">
        <v>795</v>
      </c>
      <c r="AI206" s="31">
        <v>45902</v>
      </c>
      <c r="AJ206" s="61">
        <v>0.41572916666666659</v>
      </c>
      <c r="AK206" t="s">
        <v>796</v>
      </c>
      <c r="AN206" t="s">
        <v>1871</v>
      </c>
      <c r="AP206" t="s">
        <v>1872</v>
      </c>
      <c r="AR206" s="31"/>
      <c r="AX206">
        <v>1</v>
      </c>
    </row>
    <row r="207" spans="1:50" x14ac:dyDescent="0.25">
      <c r="A207" t="s">
        <v>44</v>
      </c>
      <c r="B207">
        <v>485</v>
      </c>
      <c r="D207">
        <v>2341</v>
      </c>
      <c r="G207" t="s">
        <v>1873</v>
      </c>
      <c r="H207">
        <v>20750928000109</v>
      </c>
      <c r="J207" t="s">
        <v>1874</v>
      </c>
      <c r="K207" t="s">
        <v>1875</v>
      </c>
      <c r="M207" t="s">
        <v>1876</v>
      </c>
      <c r="P207" t="s">
        <v>778</v>
      </c>
      <c r="Q207" t="s">
        <v>1877</v>
      </c>
      <c r="R207" t="s">
        <v>932</v>
      </c>
      <c r="V207" t="s">
        <v>1419</v>
      </c>
      <c r="W207" t="s">
        <v>780</v>
      </c>
      <c r="X207" t="s">
        <v>816</v>
      </c>
      <c r="Z207" s="31"/>
      <c r="AA207">
        <v>6429976</v>
      </c>
      <c r="AB207">
        <v>399322</v>
      </c>
      <c r="AC207">
        <v>73</v>
      </c>
      <c r="AD207" t="s">
        <v>44</v>
      </c>
      <c r="AE207" s="31">
        <v>45852</v>
      </c>
      <c r="AF207" s="61">
        <v>0.42383101851851851</v>
      </c>
      <c r="AH207" t="s">
        <v>818</v>
      </c>
      <c r="AI207" s="31">
        <v>45925</v>
      </c>
      <c r="AJ207" s="61">
        <v>0.63105324074074076</v>
      </c>
      <c r="AN207" t="s">
        <v>1878</v>
      </c>
      <c r="AP207" t="s">
        <v>1879</v>
      </c>
      <c r="AR207" s="31"/>
      <c r="AX207">
        <v>1</v>
      </c>
    </row>
    <row r="208" spans="1:50" x14ac:dyDescent="0.25">
      <c r="A208" t="s">
        <v>44</v>
      </c>
      <c r="B208">
        <v>486</v>
      </c>
      <c r="D208">
        <v>2343</v>
      </c>
      <c r="G208" t="s">
        <v>1880</v>
      </c>
      <c r="H208">
        <v>20750928000109</v>
      </c>
      <c r="J208" t="s">
        <v>1881</v>
      </c>
      <c r="K208" t="s">
        <v>1875</v>
      </c>
      <c r="M208" t="s">
        <v>1876</v>
      </c>
      <c r="P208" t="s">
        <v>778</v>
      </c>
      <c r="Q208" t="s">
        <v>1877</v>
      </c>
      <c r="R208" t="s">
        <v>932</v>
      </c>
      <c r="W208" t="s">
        <v>780</v>
      </c>
      <c r="X208" t="s">
        <v>816</v>
      </c>
      <c r="Z208" s="31"/>
      <c r="AA208">
        <v>1600</v>
      </c>
      <c r="AB208">
        <v>2325</v>
      </c>
      <c r="AC208">
        <v>73</v>
      </c>
      <c r="AD208" t="s">
        <v>44</v>
      </c>
      <c r="AE208" s="31">
        <v>45852</v>
      </c>
      <c r="AF208" s="61">
        <v>0.4576736111111111</v>
      </c>
      <c r="AH208" t="s">
        <v>795</v>
      </c>
      <c r="AI208" s="31">
        <v>45925</v>
      </c>
      <c r="AJ208" s="61">
        <v>0.62450231481481477</v>
      </c>
      <c r="AK208" t="s">
        <v>858</v>
      </c>
      <c r="AL208" t="s">
        <v>1882</v>
      </c>
      <c r="AN208" t="s">
        <v>1878</v>
      </c>
      <c r="AP208" t="s">
        <v>1879</v>
      </c>
      <c r="AR208" s="31"/>
      <c r="AX208">
        <v>1</v>
      </c>
    </row>
    <row r="209" spans="1:50" x14ac:dyDescent="0.25">
      <c r="A209" t="s">
        <v>44</v>
      </c>
      <c r="B209">
        <v>487</v>
      </c>
      <c r="D209">
        <v>2345</v>
      </c>
      <c r="G209" t="s">
        <v>1883</v>
      </c>
      <c r="J209" t="s">
        <v>1884</v>
      </c>
      <c r="K209" t="s">
        <v>1042</v>
      </c>
      <c r="M209" t="s">
        <v>1043</v>
      </c>
      <c r="P209" t="s">
        <v>778</v>
      </c>
      <c r="W209" t="s">
        <v>780</v>
      </c>
      <c r="X209" t="s">
        <v>816</v>
      </c>
      <c r="Z209" s="31"/>
      <c r="AA209">
        <v>0</v>
      </c>
      <c r="AB209">
        <v>14256</v>
      </c>
      <c r="AC209">
        <v>7</v>
      </c>
      <c r="AD209" t="s">
        <v>44</v>
      </c>
      <c r="AE209" s="31">
        <v>45852</v>
      </c>
      <c r="AF209" s="61">
        <v>0.61031250000000004</v>
      </c>
      <c r="AH209" t="s">
        <v>818</v>
      </c>
      <c r="AI209" s="31">
        <v>45859</v>
      </c>
      <c r="AJ209" s="61">
        <v>0.39141203703703698</v>
      </c>
      <c r="AN209" t="s">
        <v>1885</v>
      </c>
      <c r="AP209" t="s">
        <v>1885</v>
      </c>
      <c r="AR209" s="31"/>
      <c r="AX209">
        <v>1</v>
      </c>
    </row>
    <row r="210" spans="1:50" x14ac:dyDescent="0.25">
      <c r="A210" t="s">
        <v>44</v>
      </c>
      <c r="B210">
        <v>488</v>
      </c>
      <c r="D210">
        <v>2346</v>
      </c>
      <c r="E210" t="s">
        <v>1886</v>
      </c>
      <c r="G210" t="s">
        <v>1887</v>
      </c>
      <c r="H210">
        <v>20750928000109</v>
      </c>
      <c r="J210" t="s">
        <v>1888</v>
      </c>
      <c r="K210" t="s">
        <v>1889</v>
      </c>
      <c r="M210" t="s">
        <v>1876</v>
      </c>
      <c r="P210" t="s">
        <v>778</v>
      </c>
      <c r="V210" t="s">
        <v>1704</v>
      </c>
      <c r="W210" t="s">
        <v>780</v>
      </c>
      <c r="X210" t="s">
        <v>816</v>
      </c>
      <c r="Z210" s="31">
        <v>46055</v>
      </c>
      <c r="AA210">
        <v>26200</v>
      </c>
      <c r="AB210">
        <v>3400</v>
      </c>
      <c r="AC210">
        <v>206</v>
      </c>
      <c r="AD210" t="s">
        <v>44</v>
      </c>
      <c r="AE210" s="31">
        <v>45853</v>
      </c>
      <c r="AF210" s="61">
        <v>0.72690972222222228</v>
      </c>
      <c r="AH210" t="s">
        <v>818</v>
      </c>
      <c r="AI210" s="31">
        <v>46059</v>
      </c>
      <c r="AJ210" s="61">
        <v>0.50700231481481484</v>
      </c>
      <c r="AN210" t="s">
        <v>1878</v>
      </c>
      <c r="AO210" t="s">
        <v>44</v>
      </c>
      <c r="AP210" t="s">
        <v>1879</v>
      </c>
      <c r="AR210" s="31">
        <v>46001</v>
      </c>
      <c r="AX210">
        <v>1</v>
      </c>
    </row>
    <row r="211" spans="1:50" x14ac:dyDescent="0.25">
      <c r="A211" t="s">
        <v>44</v>
      </c>
      <c r="B211">
        <v>493</v>
      </c>
      <c r="D211">
        <v>2352</v>
      </c>
      <c r="G211" t="s">
        <v>1890</v>
      </c>
      <c r="H211">
        <v>39750889000160</v>
      </c>
      <c r="J211" t="s">
        <v>1891</v>
      </c>
      <c r="K211" t="s">
        <v>1892</v>
      </c>
      <c r="M211" t="s">
        <v>1580</v>
      </c>
      <c r="P211" t="s">
        <v>778</v>
      </c>
      <c r="Q211" t="s">
        <v>1794</v>
      </c>
      <c r="R211" t="s">
        <v>790</v>
      </c>
      <c r="W211" t="s">
        <v>780</v>
      </c>
      <c r="X211" t="s">
        <v>816</v>
      </c>
      <c r="Y211" t="s">
        <v>995</v>
      </c>
      <c r="Z211" s="31"/>
      <c r="AA211">
        <v>4327344</v>
      </c>
      <c r="AB211">
        <v>37442</v>
      </c>
      <c r="AC211">
        <v>42</v>
      </c>
      <c r="AD211" t="s">
        <v>44</v>
      </c>
      <c r="AE211" s="31">
        <v>45855</v>
      </c>
      <c r="AF211" s="61">
        <v>0.5997569444444445</v>
      </c>
      <c r="AH211" t="s">
        <v>818</v>
      </c>
      <c r="AI211" s="31">
        <v>45897</v>
      </c>
      <c r="AJ211" s="61">
        <v>0.63119212962962967</v>
      </c>
      <c r="AN211" t="s">
        <v>1893</v>
      </c>
      <c r="AP211" t="s">
        <v>1893</v>
      </c>
      <c r="AR211" s="31"/>
      <c r="AX211">
        <v>1</v>
      </c>
    </row>
    <row r="212" spans="1:50" x14ac:dyDescent="0.25">
      <c r="A212" t="s">
        <v>44</v>
      </c>
      <c r="B212">
        <v>494</v>
      </c>
      <c r="D212">
        <v>2354</v>
      </c>
      <c r="G212" t="s">
        <v>1894</v>
      </c>
      <c r="J212" t="s">
        <v>1895</v>
      </c>
      <c r="K212" t="s">
        <v>1579</v>
      </c>
      <c r="M212" t="s">
        <v>1580</v>
      </c>
      <c r="P212" t="s">
        <v>778</v>
      </c>
      <c r="W212" t="s">
        <v>780</v>
      </c>
      <c r="X212" t="s">
        <v>816</v>
      </c>
      <c r="Y212" t="s">
        <v>995</v>
      </c>
      <c r="Z212" s="31"/>
      <c r="AA212">
        <v>1167696</v>
      </c>
      <c r="AB212">
        <v>0</v>
      </c>
      <c r="AC212">
        <v>42</v>
      </c>
      <c r="AD212" t="s">
        <v>44</v>
      </c>
      <c r="AE212" s="31">
        <v>45855</v>
      </c>
      <c r="AF212" s="61">
        <v>0.60982638888888885</v>
      </c>
      <c r="AH212" t="s">
        <v>818</v>
      </c>
      <c r="AI212" s="31">
        <v>45897</v>
      </c>
      <c r="AJ212" s="61">
        <v>0.63295138888888891</v>
      </c>
      <c r="AN212" t="s">
        <v>1893</v>
      </c>
      <c r="AP212" t="s">
        <v>1893</v>
      </c>
      <c r="AR212" s="31"/>
      <c r="AX212">
        <v>1</v>
      </c>
    </row>
    <row r="213" spans="1:50" x14ac:dyDescent="0.25">
      <c r="A213" t="s">
        <v>44</v>
      </c>
      <c r="B213">
        <v>495</v>
      </c>
      <c r="D213">
        <v>2356</v>
      </c>
      <c r="G213" t="s">
        <v>1896</v>
      </c>
      <c r="J213" t="s">
        <v>1897</v>
      </c>
      <c r="K213" t="s">
        <v>1898</v>
      </c>
      <c r="M213" t="s">
        <v>1899</v>
      </c>
      <c r="P213" t="s">
        <v>778</v>
      </c>
      <c r="V213" t="s">
        <v>1718</v>
      </c>
      <c r="W213" t="s">
        <v>780</v>
      </c>
      <c r="X213" t="s">
        <v>807</v>
      </c>
      <c r="Z213" s="31"/>
      <c r="AA213">
        <v>16960</v>
      </c>
      <c r="AB213">
        <v>10748</v>
      </c>
      <c r="AC213">
        <v>67</v>
      </c>
      <c r="AD213" t="s">
        <v>44</v>
      </c>
      <c r="AE213" s="31">
        <v>45855</v>
      </c>
      <c r="AF213" s="61">
        <v>0.66787037037037034</v>
      </c>
      <c r="AH213" t="s">
        <v>795</v>
      </c>
      <c r="AI213" s="31">
        <v>45922</v>
      </c>
      <c r="AJ213" s="61">
        <v>0.48292824074074081</v>
      </c>
      <c r="AK213" t="s">
        <v>858</v>
      </c>
      <c r="AL213" t="s">
        <v>1900</v>
      </c>
      <c r="AN213" t="s">
        <v>1885</v>
      </c>
      <c r="AP213" t="s">
        <v>1885</v>
      </c>
      <c r="AQ213" t="s">
        <v>1901</v>
      </c>
      <c r="AR213" s="31"/>
      <c r="AX213">
        <v>1</v>
      </c>
    </row>
    <row r="214" spans="1:50" x14ac:dyDescent="0.25">
      <c r="A214" t="s">
        <v>44</v>
      </c>
      <c r="B214">
        <v>496</v>
      </c>
      <c r="D214">
        <v>2361</v>
      </c>
      <c r="E214" t="s">
        <v>1902</v>
      </c>
      <c r="F214" t="s">
        <v>1903</v>
      </c>
      <c r="G214" t="s">
        <v>1904</v>
      </c>
      <c r="H214">
        <v>60444098000521</v>
      </c>
      <c r="J214" t="s">
        <v>1903</v>
      </c>
      <c r="K214" t="s">
        <v>1905</v>
      </c>
      <c r="M214" t="s">
        <v>1906</v>
      </c>
      <c r="P214" t="s">
        <v>778</v>
      </c>
      <c r="Q214" t="s">
        <v>1907</v>
      </c>
      <c r="R214" t="s">
        <v>790</v>
      </c>
      <c r="S214" t="s">
        <v>805</v>
      </c>
      <c r="V214" t="s">
        <v>1581</v>
      </c>
      <c r="W214" t="s">
        <v>780</v>
      </c>
      <c r="X214" t="s">
        <v>816</v>
      </c>
      <c r="Y214" t="s">
        <v>1537</v>
      </c>
      <c r="Z214" s="31">
        <v>46052</v>
      </c>
      <c r="AA214">
        <v>16960</v>
      </c>
      <c r="AB214">
        <v>37395</v>
      </c>
      <c r="AC214">
        <v>166</v>
      </c>
      <c r="AD214" t="s">
        <v>44</v>
      </c>
      <c r="AE214" s="31">
        <v>45861</v>
      </c>
      <c r="AF214" s="61">
        <v>0.49577546296296299</v>
      </c>
      <c r="AH214" t="s">
        <v>818</v>
      </c>
      <c r="AI214" s="31">
        <v>46027</v>
      </c>
      <c r="AJ214" s="61">
        <v>0.61862268518518515</v>
      </c>
      <c r="AN214" t="s">
        <v>1885</v>
      </c>
      <c r="AO214" t="s">
        <v>44</v>
      </c>
      <c r="AP214" t="s">
        <v>1908</v>
      </c>
      <c r="AQ214" t="s">
        <v>1885</v>
      </c>
      <c r="AR214" s="31">
        <v>46003</v>
      </c>
      <c r="AX214">
        <v>1</v>
      </c>
    </row>
    <row r="215" spans="1:50" x14ac:dyDescent="0.25">
      <c r="A215" t="s">
        <v>44</v>
      </c>
      <c r="B215">
        <v>497</v>
      </c>
      <c r="D215">
        <v>2363</v>
      </c>
      <c r="F215" t="s">
        <v>1909</v>
      </c>
      <c r="G215" t="s">
        <v>1910</v>
      </c>
      <c r="H215">
        <v>8306975000154</v>
      </c>
      <c r="J215" t="s">
        <v>1909</v>
      </c>
      <c r="K215" t="s">
        <v>1911</v>
      </c>
      <c r="P215" t="s">
        <v>778</v>
      </c>
      <c r="Q215" t="s">
        <v>1912</v>
      </c>
      <c r="R215" t="s">
        <v>1027</v>
      </c>
      <c r="S215" t="s">
        <v>805</v>
      </c>
      <c r="W215" t="s">
        <v>780</v>
      </c>
      <c r="X215" t="s">
        <v>816</v>
      </c>
      <c r="Z215" s="31"/>
      <c r="AA215">
        <v>16960</v>
      </c>
      <c r="AB215">
        <v>2455</v>
      </c>
      <c r="AC215">
        <v>64</v>
      </c>
      <c r="AD215" t="s">
        <v>44</v>
      </c>
      <c r="AE215" s="31">
        <v>45861</v>
      </c>
      <c r="AF215" s="61">
        <v>0.50347222222222221</v>
      </c>
      <c r="AH215" t="s">
        <v>818</v>
      </c>
      <c r="AI215" s="31">
        <v>45925</v>
      </c>
      <c r="AJ215" s="61">
        <v>0.62386574074074075</v>
      </c>
      <c r="AN215" t="s">
        <v>1913</v>
      </c>
      <c r="AP215" t="s">
        <v>1908</v>
      </c>
      <c r="AQ215" t="s">
        <v>1913</v>
      </c>
      <c r="AR215" s="31"/>
      <c r="AX215">
        <v>1</v>
      </c>
    </row>
    <row r="216" spans="1:50" x14ac:dyDescent="0.25">
      <c r="A216" t="s">
        <v>44</v>
      </c>
      <c r="B216">
        <v>503</v>
      </c>
      <c r="D216">
        <v>2433</v>
      </c>
      <c r="G216" t="s">
        <v>1914</v>
      </c>
      <c r="H216">
        <v>46083438000181</v>
      </c>
      <c r="J216" t="s">
        <v>1915</v>
      </c>
      <c r="K216" t="s">
        <v>1916</v>
      </c>
      <c r="M216" t="s">
        <v>1917</v>
      </c>
      <c r="P216" t="s">
        <v>778</v>
      </c>
      <c r="S216" t="s">
        <v>805</v>
      </c>
      <c r="W216" t="s">
        <v>780</v>
      </c>
      <c r="X216" t="s">
        <v>857</v>
      </c>
      <c r="Z216" s="31"/>
      <c r="AA216">
        <v>16960</v>
      </c>
      <c r="AB216">
        <v>998</v>
      </c>
      <c r="AC216">
        <v>29</v>
      </c>
      <c r="AD216" t="s">
        <v>44</v>
      </c>
      <c r="AE216" s="31">
        <v>45868</v>
      </c>
      <c r="AF216" s="61">
        <v>0.49329861111111112</v>
      </c>
      <c r="AH216" t="s">
        <v>795</v>
      </c>
      <c r="AI216" s="31">
        <v>45897</v>
      </c>
      <c r="AJ216" s="61">
        <v>0.69715277777777773</v>
      </c>
      <c r="AK216" t="s">
        <v>796</v>
      </c>
      <c r="AL216" t="s">
        <v>1918</v>
      </c>
      <c r="AN216" t="s">
        <v>1919</v>
      </c>
      <c r="AP216" t="s">
        <v>1919</v>
      </c>
      <c r="AR216" s="31"/>
      <c r="AX216">
        <v>1</v>
      </c>
    </row>
    <row r="217" spans="1:50" x14ac:dyDescent="0.25">
      <c r="A217" t="s">
        <v>44</v>
      </c>
      <c r="B217">
        <v>504</v>
      </c>
      <c r="D217">
        <v>2434</v>
      </c>
      <c r="G217" t="s">
        <v>1920</v>
      </c>
      <c r="H217">
        <v>8306975000154</v>
      </c>
      <c r="J217" t="s">
        <v>1921</v>
      </c>
      <c r="K217" t="s">
        <v>1922</v>
      </c>
      <c r="P217" t="s">
        <v>778</v>
      </c>
      <c r="Q217" t="s">
        <v>1912</v>
      </c>
      <c r="R217" t="s">
        <v>1027</v>
      </c>
      <c r="V217" t="s">
        <v>1419</v>
      </c>
      <c r="W217" t="s">
        <v>780</v>
      </c>
      <c r="X217" t="s">
        <v>807</v>
      </c>
      <c r="Z217" s="31"/>
      <c r="AA217">
        <v>87344</v>
      </c>
      <c r="AB217">
        <v>514788</v>
      </c>
      <c r="AC217">
        <v>41</v>
      </c>
      <c r="AD217" t="s">
        <v>44</v>
      </c>
      <c r="AE217" s="31">
        <v>45868</v>
      </c>
      <c r="AF217" s="61">
        <v>0.63407407407407412</v>
      </c>
      <c r="AH217" t="s">
        <v>795</v>
      </c>
      <c r="AI217" s="31">
        <v>45909</v>
      </c>
      <c r="AJ217" s="61">
        <v>0.64981481481481485</v>
      </c>
      <c r="AK217" t="s">
        <v>858</v>
      </c>
      <c r="AL217" t="s">
        <v>1923</v>
      </c>
      <c r="AN217" t="s">
        <v>1924</v>
      </c>
      <c r="AR217" s="31"/>
      <c r="AX217">
        <v>1</v>
      </c>
    </row>
    <row r="218" spans="1:50" x14ac:dyDescent="0.25">
      <c r="A218" t="s">
        <v>44</v>
      </c>
      <c r="B218">
        <v>505</v>
      </c>
      <c r="D218">
        <v>2436</v>
      </c>
      <c r="G218" t="s">
        <v>1925</v>
      </c>
      <c r="H218">
        <v>8306975000154</v>
      </c>
      <c r="J218" t="s">
        <v>1926</v>
      </c>
      <c r="K218" t="s">
        <v>1922</v>
      </c>
      <c r="P218" t="s">
        <v>778</v>
      </c>
      <c r="Q218" t="s">
        <v>1912</v>
      </c>
      <c r="R218" t="s">
        <v>1027</v>
      </c>
      <c r="W218" t="s">
        <v>780</v>
      </c>
      <c r="X218" t="s">
        <v>857</v>
      </c>
      <c r="Z218" s="31"/>
      <c r="AA218">
        <v>1600</v>
      </c>
      <c r="AB218">
        <v>334556</v>
      </c>
      <c r="AC218">
        <v>30</v>
      </c>
      <c r="AD218" t="s">
        <v>44</v>
      </c>
      <c r="AE218" s="31">
        <v>45868</v>
      </c>
      <c r="AF218" s="61">
        <v>0.67164351851851856</v>
      </c>
      <c r="AH218" t="s">
        <v>795</v>
      </c>
      <c r="AI218" s="31">
        <v>45898</v>
      </c>
      <c r="AJ218" s="61">
        <v>0.65936342592592589</v>
      </c>
      <c r="AK218" t="s">
        <v>858</v>
      </c>
      <c r="AL218" t="s">
        <v>1927</v>
      </c>
      <c r="AN218" t="s">
        <v>1919</v>
      </c>
      <c r="AR218" s="31"/>
      <c r="AX218">
        <v>1</v>
      </c>
    </row>
    <row r="219" spans="1:50" x14ac:dyDescent="0.25">
      <c r="A219" t="s">
        <v>44</v>
      </c>
      <c r="B219">
        <v>506</v>
      </c>
      <c r="D219">
        <v>2439</v>
      </c>
      <c r="G219" t="s">
        <v>1928</v>
      </c>
      <c r="H219">
        <v>30924882000142</v>
      </c>
      <c r="J219" t="s">
        <v>1929</v>
      </c>
      <c r="M219" t="s">
        <v>1760</v>
      </c>
      <c r="P219" t="s">
        <v>778</v>
      </c>
      <c r="S219" t="s">
        <v>805</v>
      </c>
      <c r="V219" t="s">
        <v>1704</v>
      </c>
      <c r="W219" t="s">
        <v>780</v>
      </c>
      <c r="X219" t="s">
        <v>816</v>
      </c>
      <c r="Z219" s="31"/>
      <c r="AA219">
        <v>72240</v>
      </c>
      <c r="AB219">
        <v>2167539</v>
      </c>
      <c r="AC219">
        <v>56</v>
      </c>
      <c r="AD219" t="s">
        <v>44</v>
      </c>
      <c r="AE219" s="31">
        <v>45868</v>
      </c>
      <c r="AF219" s="61">
        <v>0.68521990740740746</v>
      </c>
      <c r="AH219" t="s">
        <v>795</v>
      </c>
      <c r="AI219" s="31">
        <v>45924</v>
      </c>
      <c r="AJ219" s="61">
        <v>0.3992013888888889</v>
      </c>
      <c r="AK219" t="s">
        <v>858</v>
      </c>
      <c r="AL219" t="s">
        <v>1930</v>
      </c>
      <c r="AN219" t="s">
        <v>1919</v>
      </c>
      <c r="AR219" s="31"/>
      <c r="AX219">
        <v>1</v>
      </c>
    </row>
    <row r="220" spans="1:50" x14ac:dyDescent="0.25">
      <c r="A220" t="s">
        <v>44</v>
      </c>
      <c r="B220">
        <v>507</v>
      </c>
      <c r="D220">
        <v>2440</v>
      </c>
      <c r="G220" t="s">
        <v>1931</v>
      </c>
      <c r="H220">
        <v>30924882000142</v>
      </c>
      <c r="J220" t="s">
        <v>1932</v>
      </c>
      <c r="K220" t="s">
        <v>1759</v>
      </c>
      <c r="M220" t="s">
        <v>1933</v>
      </c>
      <c r="P220" t="s">
        <v>778</v>
      </c>
      <c r="Q220" t="s">
        <v>1633</v>
      </c>
      <c r="R220" t="s">
        <v>848</v>
      </c>
      <c r="V220" t="s">
        <v>1581</v>
      </c>
      <c r="W220" t="s">
        <v>780</v>
      </c>
      <c r="X220" t="s">
        <v>816</v>
      </c>
      <c r="Z220" s="31"/>
      <c r="AA220">
        <v>1620001</v>
      </c>
      <c r="AB220">
        <v>2900</v>
      </c>
      <c r="AC220">
        <v>56</v>
      </c>
      <c r="AD220" t="s">
        <v>44</v>
      </c>
      <c r="AE220" s="31">
        <v>45868</v>
      </c>
      <c r="AF220" s="61">
        <v>0.72228009259259263</v>
      </c>
      <c r="AH220" t="s">
        <v>795</v>
      </c>
      <c r="AI220" s="31">
        <v>45924</v>
      </c>
      <c r="AJ220" s="61">
        <v>0.38725694444444442</v>
      </c>
      <c r="AK220" t="s">
        <v>858</v>
      </c>
      <c r="AL220" t="s">
        <v>1934</v>
      </c>
      <c r="AN220" t="s">
        <v>1919</v>
      </c>
      <c r="AR220" s="31"/>
      <c r="AX220">
        <v>1</v>
      </c>
    </row>
    <row r="221" spans="1:50" x14ac:dyDescent="0.25">
      <c r="A221" t="s">
        <v>44</v>
      </c>
      <c r="B221">
        <v>508</v>
      </c>
      <c r="D221">
        <v>2442</v>
      </c>
      <c r="G221" t="s">
        <v>1935</v>
      </c>
      <c r="J221" t="s">
        <v>1811</v>
      </c>
      <c r="K221" t="s">
        <v>1936</v>
      </c>
      <c r="M221" t="s">
        <v>1813</v>
      </c>
      <c r="P221" t="s">
        <v>778</v>
      </c>
      <c r="W221" t="s">
        <v>780</v>
      </c>
      <c r="X221" t="s">
        <v>816</v>
      </c>
      <c r="Z221" s="31"/>
      <c r="AA221">
        <v>62169</v>
      </c>
      <c r="AB221">
        <v>0</v>
      </c>
      <c r="AC221">
        <v>53</v>
      </c>
      <c r="AD221" t="s">
        <v>44</v>
      </c>
      <c r="AE221" s="31">
        <v>45869</v>
      </c>
      <c r="AF221" s="61">
        <v>0.38049768518518517</v>
      </c>
      <c r="AH221" t="s">
        <v>818</v>
      </c>
      <c r="AI221" s="31">
        <v>45922</v>
      </c>
      <c r="AJ221" s="61">
        <v>0.44719907407407411</v>
      </c>
      <c r="AN221" t="s">
        <v>1937</v>
      </c>
      <c r="AP221" t="s">
        <v>1937</v>
      </c>
      <c r="AR221" s="31"/>
      <c r="AX221">
        <v>1</v>
      </c>
    </row>
    <row r="222" spans="1:50" x14ac:dyDescent="0.25">
      <c r="A222" t="s">
        <v>44</v>
      </c>
      <c r="B222">
        <v>509</v>
      </c>
      <c r="D222">
        <v>2443</v>
      </c>
      <c r="F222" t="s">
        <v>1938</v>
      </c>
      <c r="G222" t="s">
        <v>1939</v>
      </c>
      <c r="H222">
        <v>6346005000157</v>
      </c>
      <c r="J222" t="s">
        <v>1938</v>
      </c>
      <c r="K222" t="s">
        <v>1940</v>
      </c>
      <c r="M222" t="s">
        <v>1941</v>
      </c>
      <c r="P222" t="s">
        <v>778</v>
      </c>
      <c r="Q222" t="s">
        <v>1942</v>
      </c>
      <c r="R222" t="s">
        <v>790</v>
      </c>
      <c r="S222" t="s">
        <v>805</v>
      </c>
      <c r="W222" t="s">
        <v>780</v>
      </c>
      <c r="X222" t="s">
        <v>857</v>
      </c>
      <c r="Z222" s="31"/>
      <c r="AA222">
        <v>16960</v>
      </c>
      <c r="AB222">
        <v>67275</v>
      </c>
      <c r="AC222">
        <v>28</v>
      </c>
      <c r="AD222" t="s">
        <v>44</v>
      </c>
      <c r="AE222" s="31">
        <v>45869</v>
      </c>
      <c r="AF222" s="61">
        <v>0.49811342592592589</v>
      </c>
      <c r="AH222" t="s">
        <v>795</v>
      </c>
      <c r="AI222" s="31">
        <v>45897</v>
      </c>
      <c r="AJ222" s="61">
        <v>0.68432870370370369</v>
      </c>
      <c r="AK222" t="s">
        <v>867</v>
      </c>
      <c r="AL222" t="s">
        <v>1943</v>
      </c>
      <c r="AN222" t="s">
        <v>1944</v>
      </c>
      <c r="AP222" t="s">
        <v>1944</v>
      </c>
      <c r="AQ222" t="s">
        <v>1945</v>
      </c>
      <c r="AR222" s="31"/>
      <c r="AX222">
        <v>1</v>
      </c>
    </row>
    <row r="223" spans="1:50" x14ac:dyDescent="0.25">
      <c r="A223" t="s">
        <v>44</v>
      </c>
      <c r="B223">
        <v>510</v>
      </c>
      <c r="D223">
        <v>2446</v>
      </c>
      <c r="F223" t="s">
        <v>1946</v>
      </c>
      <c r="G223" t="s">
        <v>1947</v>
      </c>
      <c r="H223">
        <v>60315995000101</v>
      </c>
      <c r="J223" t="s">
        <v>1946</v>
      </c>
      <c r="K223" t="s">
        <v>1948</v>
      </c>
      <c r="M223" t="s">
        <v>1949</v>
      </c>
      <c r="P223" t="s">
        <v>778</v>
      </c>
      <c r="Q223" t="s">
        <v>1950</v>
      </c>
      <c r="R223" t="s">
        <v>790</v>
      </c>
      <c r="S223" t="s">
        <v>805</v>
      </c>
      <c r="W223" t="s">
        <v>780</v>
      </c>
      <c r="X223" t="s">
        <v>857</v>
      </c>
      <c r="Z223" s="31"/>
      <c r="AA223">
        <v>94976</v>
      </c>
      <c r="AB223">
        <v>566152</v>
      </c>
      <c r="AC223">
        <v>29</v>
      </c>
      <c r="AD223" t="s">
        <v>44</v>
      </c>
      <c r="AE223" s="31">
        <v>45869</v>
      </c>
      <c r="AF223" s="61">
        <v>0.71494212962962966</v>
      </c>
      <c r="AH223" t="s">
        <v>795</v>
      </c>
      <c r="AI223" s="31">
        <v>45898</v>
      </c>
      <c r="AJ223" s="61">
        <v>0.46232638888888888</v>
      </c>
      <c r="AK223" t="s">
        <v>796</v>
      </c>
      <c r="AL223" t="s">
        <v>1951</v>
      </c>
      <c r="AN223" t="s">
        <v>1952</v>
      </c>
      <c r="AP223" t="s">
        <v>1952</v>
      </c>
      <c r="AQ223" t="s">
        <v>1953</v>
      </c>
      <c r="AR223" s="31"/>
      <c r="AX223">
        <v>1</v>
      </c>
    </row>
    <row r="224" spans="1:50" x14ac:dyDescent="0.25">
      <c r="A224" t="s">
        <v>22</v>
      </c>
      <c r="B224">
        <v>516</v>
      </c>
      <c r="D224">
        <v>2454</v>
      </c>
      <c r="G224" t="s">
        <v>1954</v>
      </c>
      <c r="H224">
        <v>72677693000162</v>
      </c>
      <c r="J224" t="s">
        <v>1955</v>
      </c>
      <c r="K224" t="s">
        <v>1956</v>
      </c>
      <c r="M224" t="s">
        <v>1957</v>
      </c>
      <c r="P224" t="s">
        <v>778</v>
      </c>
      <c r="Q224" t="s">
        <v>1958</v>
      </c>
      <c r="S224" t="s">
        <v>814</v>
      </c>
      <c r="V224" t="s">
        <v>1186</v>
      </c>
      <c r="W224" t="s">
        <v>780</v>
      </c>
      <c r="X224" t="s">
        <v>807</v>
      </c>
      <c r="Z224" s="31"/>
      <c r="AC224">
        <v>53</v>
      </c>
      <c r="AD224" t="s">
        <v>22</v>
      </c>
      <c r="AE224" s="31">
        <v>45876</v>
      </c>
      <c r="AF224" s="61">
        <v>0.50568287037037041</v>
      </c>
      <c r="AH224" t="s">
        <v>795</v>
      </c>
      <c r="AI224" s="31">
        <v>45929</v>
      </c>
      <c r="AJ224" s="61">
        <v>0.69144675925925925</v>
      </c>
      <c r="AK224" t="s">
        <v>796</v>
      </c>
      <c r="AO224" t="s">
        <v>22</v>
      </c>
      <c r="AP224" t="s">
        <v>1959</v>
      </c>
      <c r="AR224" s="31"/>
      <c r="AX224">
        <v>1</v>
      </c>
    </row>
    <row r="225" spans="1:50" x14ac:dyDescent="0.25">
      <c r="A225" t="s">
        <v>22</v>
      </c>
      <c r="B225">
        <v>517</v>
      </c>
      <c r="D225">
        <v>2453</v>
      </c>
      <c r="G225" t="s">
        <v>1960</v>
      </c>
      <c r="H225">
        <v>38470026000176</v>
      </c>
      <c r="J225" t="s">
        <v>1961</v>
      </c>
      <c r="K225" t="s">
        <v>1962</v>
      </c>
      <c r="M225" t="s">
        <v>1963</v>
      </c>
      <c r="P225" t="s">
        <v>778</v>
      </c>
      <c r="Q225" t="s">
        <v>923</v>
      </c>
      <c r="S225" t="s">
        <v>814</v>
      </c>
      <c r="W225" t="s">
        <v>780</v>
      </c>
      <c r="X225" t="s">
        <v>897</v>
      </c>
      <c r="Z225" s="31"/>
      <c r="AC225">
        <v>53</v>
      </c>
      <c r="AD225" t="s">
        <v>22</v>
      </c>
      <c r="AE225" s="31">
        <v>45876</v>
      </c>
      <c r="AF225" s="61">
        <v>0.50621527777777775</v>
      </c>
      <c r="AH225" t="s">
        <v>795</v>
      </c>
      <c r="AI225" s="31">
        <v>45929</v>
      </c>
      <c r="AJ225" s="61">
        <v>0.69302083333333331</v>
      </c>
      <c r="AK225" t="s">
        <v>796</v>
      </c>
      <c r="AO225" t="s">
        <v>22</v>
      </c>
      <c r="AR225" s="31"/>
      <c r="AX225">
        <v>1</v>
      </c>
    </row>
    <row r="226" spans="1:50" x14ac:dyDescent="0.25">
      <c r="A226" t="s">
        <v>22</v>
      </c>
      <c r="B226">
        <v>518</v>
      </c>
      <c r="D226">
        <v>2456</v>
      </c>
      <c r="E226" t="s">
        <v>1964</v>
      </c>
      <c r="G226" t="s">
        <v>1965</v>
      </c>
      <c r="H226">
        <v>30340720000167</v>
      </c>
      <c r="J226" t="s">
        <v>1966</v>
      </c>
      <c r="K226" t="s">
        <v>1967</v>
      </c>
      <c r="M226" t="s">
        <v>1968</v>
      </c>
      <c r="P226" t="s">
        <v>778</v>
      </c>
      <c r="S226" t="s">
        <v>791</v>
      </c>
      <c r="V226" t="s">
        <v>1704</v>
      </c>
      <c r="W226" t="s">
        <v>780</v>
      </c>
      <c r="X226" t="s">
        <v>816</v>
      </c>
      <c r="Z226" s="31">
        <v>46053</v>
      </c>
      <c r="AA226">
        <v>16000</v>
      </c>
      <c r="AB226">
        <v>1558</v>
      </c>
      <c r="AC226">
        <v>154</v>
      </c>
      <c r="AD226" t="s">
        <v>22</v>
      </c>
      <c r="AE226" s="31">
        <v>45876</v>
      </c>
      <c r="AF226" s="61">
        <v>0.58170138888888889</v>
      </c>
      <c r="AH226" t="s">
        <v>782</v>
      </c>
      <c r="AI226" s="31">
        <v>46030</v>
      </c>
      <c r="AJ226" s="61">
        <v>0.64719907407407407</v>
      </c>
      <c r="AL226" t="s">
        <v>1058</v>
      </c>
      <c r="AO226" t="s">
        <v>22</v>
      </c>
      <c r="AP226" t="s">
        <v>1969</v>
      </c>
      <c r="AR226" s="31">
        <v>46044</v>
      </c>
      <c r="AS226" t="s">
        <v>1970</v>
      </c>
      <c r="AT226" t="s">
        <v>1012</v>
      </c>
      <c r="AU226" t="s">
        <v>63</v>
      </c>
      <c r="AV226" t="s">
        <v>1971</v>
      </c>
      <c r="AW226" t="s">
        <v>1972</v>
      </c>
      <c r="AX226">
        <v>1</v>
      </c>
    </row>
    <row r="227" spans="1:50" x14ac:dyDescent="0.25">
      <c r="A227" t="s">
        <v>22</v>
      </c>
      <c r="B227">
        <v>519</v>
      </c>
      <c r="D227">
        <v>2457</v>
      </c>
      <c r="G227" t="s">
        <v>1973</v>
      </c>
      <c r="J227" t="s">
        <v>1974</v>
      </c>
      <c r="K227" t="s">
        <v>1975</v>
      </c>
      <c r="M227" t="s">
        <v>1976</v>
      </c>
      <c r="P227" t="s">
        <v>778</v>
      </c>
      <c r="W227" t="s">
        <v>780</v>
      </c>
      <c r="X227" t="s">
        <v>807</v>
      </c>
      <c r="Z227" s="31"/>
      <c r="AC227">
        <v>34</v>
      </c>
      <c r="AD227" t="s">
        <v>22</v>
      </c>
      <c r="AE227" s="31">
        <v>45876</v>
      </c>
      <c r="AF227" s="61">
        <v>0.58745370370370376</v>
      </c>
      <c r="AH227" t="s">
        <v>795</v>
      </c>
      <c r="AI227" s="31">
        <v>45910</v>
      </c>
      <c r="AJ227" s="61">
        <v>0.67646990740740742</v>
      </c>
      <c r="AK227" t="s">
        <v>867</v>
      </c>
      <c r="AN227" t="s">
        <v>1944</v>
      </c>
      <c r="AO227" t="s">
        <v>22</v>
      </c>
      <c r="AP227" t="s">
        <v>1959</v>
      </c>
      <c r="AR227" s="31"/>
      <c r="AX227">
        <v>1</v>
      </c>
    </row>
    <row r="228" spans="1:50" x14ac:dyDescent="0.25">
      <c r="A228" t="s">
        <v>22</v>
      </c>
      <c r="B228">
        <v>521</v>
      </c>
      <c r="D228">
        <v>2459</v>
      </c>
      <c r="G228" t="s">
        <v>1977</v>
      </c>
      <c r="H228">
        <v>7380599000428</v>
      </c>
      <c r="J228" t="s">
        <v>1978</v>
      </c>
      <c r="K228" t="s">
        <v>1979</v>
      </c>
      <c r="M228" t="s">
        <v>1980</v>
      </c>
      <c r="P228" t="s">
        <v>778</v>
      </c>
      <c r="W228" t="s">
        <v>780</v>
      </c>
      <c r="X228" t="s">
        <v>816</v>
      </c>
      <c r="Z228" s="31"/>
      <c r="AA228">
        <v>55500</v>
      </c>
      <c r="AB228">
        <v>53662</v>
      </c>
      <c r="AC228">
        <v>17</v>
      </c>
      <c r="AD228" t="s">
        <v>22</v>
      </c>
      <c r="AE228" s="31">
        <v>45877</v>
      </c>
      <c r="AF228" s="61">
        <v>0.49023148148148149</v>
      </c>
      <c r="AH228" t="s">
        <v>818</v>
      </c>
      <c r="AI228" s="31">
        <v>45894</v>
      </c>
      <c r="AJ228" s="61">
        <v>0.60188657407407409</v>
      </c>
      <c r="AN228" t="s">
        <v>1981</v>
      </c>
      <c r="AO228" t="s">
        <v>22</v>
      </c>
      <c r="AP228" t="s">
        <v>1981</v>
      </c>
      <c r="AR228" s="31"/>
      <c r="AX228">
        <v>1</v>
      </c>
    </row>
    <row r="229" spans="1:50" x14ac:dyDescent="0.25">
      <c r="A229" t="s">
        <v>31</v>
      </c>
      <c r="B229">
        <v>531</v>
      </c>
      <c r="D229">
        <v>2475</v>
      </c>
      <c r="G229" t="s">
        <v>1982</v>
      </c>
      <c r="H229">
        <v>19733550000148</v>
      </c>
      <c r="J229" t="s">
        <v>1983</v>
      </c>
      <c r="K229" t="s">
        <v>1984</v>
      </c>
      <c r="M229" t="s">
        <v>1985</v>
      </c>
      <c r="P229" t="s">
        <v>778</v>
      </c>
      <c r="Q229" t="s">
        <v>1986</v>
      </c>
      <c r="R229" t="s">
        <v>790</v>
      </c>
      <c r="W229" t="s">
        <v>780</v>
      </c>
      <c r="X229" t="s">
        <v>807</v>
      </c>
      <c r="Z229" s="31"/>
      <c r="AA229">
        <v>84420</v>
      </c>
      <c r="AB229">
        <v>4137</v>
      </c>
      <c r="AC229">
        <v>34</v>
      </c>
      <c r="AD229" t="s">
        <v>31</v>
      </c>
      <c r="AE229" s="31">
        <v>45889</v>
      </c>
      <c r="AF229" s="61">
        <v>0.38679398148148147</v>
      </c>
      <c r="AH229" t="s">
        <v>795</v>
      </c>
      <c r="AI229" s="31">
        <v>45923</v>
      </c>
      <c r="AJ229" s="61">
        <v>0.46545138888888887</v>
      </c>
      <c r="AK229" t="s">
        <v>867</v>
      </c>
      <c r="AN229" t="s">
        <v>1987</v>
      </c>
      <c r="AP229" t="s">
        <v>1913</v>
      </c>
      <c r="AR229" s="31"/>
      <c r="AX229">
        <v>1</v>
      </c>
    </row>
    <row r="230" spans="1:50" x14ac:dyDescent="0.25">
      <c r="A230" t="s">
        <v>44</v>
      </c>
      <c r="B230">
        <v>532</v>
      </c>
      <c r="D230">
        <v>2478</v>
      </c>
      <c r="F230" t="s">
        <v>1988</v>
      </c>
      <c r="G230" t="s">
        <v>1989</v>
      </c>
      <c r="H230">
        <v>12902777000120</v>
      </c>
      <c r="J230" t="s">
        <v>1988</v>
      </c>
      <c r="K230" t="s">
        <v>1990</v>
      </c>
      <c r="M230" t="s">
        <v>1991</v>
      </c>
      <c r="P230" t="s">
        <v>778</v>
      </c>
      <c r="Q230" t="s">
        <v>1950</v>
      </c>
      <c r="R230" t="s">
        <v>790</v>
      </c>
      <c r="S230" t="s">
        <v>805</v>
      </c>
      <c r="W230" t="s">
        <v>780</v>
      </c>
      <c r="X230" t="s">
        <v>857</v>
      </c>
      <c r="Z230" s="31"/>
      <c r="AA230">
        <v>16960</v>
      </c>
      <c r="AB230">
        <v>4910</v>
      </c>
      <c r="AC230">
        <v>69</v>
      </c>
      <c r="AD230" t="s">
        <v>44</v>
      </c>
      <c r="AE230" s="31">
        <v>45889</v>
      </c>
      <c r="AF230" s="61">
        <v>0.41239583333333341</v>
      </c>
      <c r="AH230" t="s">
        <v>795</v>
      </c>
      <c r="AI230" s="31">
        <v>45958</v>
      </c>
      <c r="AJ230" s="61">
        <v>0.43328703703703703</v>
      </c>
      <c r="AK230" t="s">
        <v>796</v>
      </c>
      <c r="AL230" t="s">
        <v>1992</v>
      </c>
      <c r="AN230" t="s">
        <v>1913</v>
      </c>
      <c r="AP230" t="s">
        <v>1993</v>
      </c>
      <c r="AR230" s="31"/>
      <c r="AX230">
        <v>1</v>
      </c>
    </row>
    <row r="231" spans="1:50" x14ac:dyDescent="0.25">
      <c r="A231" t="s">
        <v>44</v>
      </c>
      <c r="B231">
        <v>534</v>
      </c>
      <c r="D231">
        <v>2481</v>
      </c>
      <c r="F231" t="s">
        <v>1994</v>
      </c>
      <c r="G231" t="s">
        <v>1995</v>
      </c>
      <c r="H231">
        <v>12589391000291</v>
      </c>
      <c r="J231" t="s">
        <v>1994</v>
      </c>
      <c r="K231" t="s">
        <v>1996</v>
      </c>
      <c r="M231" t="s">
        <v>1997</v>
      </c>
      <c r="P231" t="s">
        <v>778</v>
      </c>
      <c r="Q231" t="s">
        <v>1998</v>
      </c>
      <c r="R231" t="s">
        <v>790</v>
      </c>
      <c r="S231" t="s">
        <v>805</v>
      </c>
      <c r="V231" t="s">
        <v>1999</v>
      </c>
      <c r="W231" t="s">
        <v>780</v>
      </c>
      <c r="X231" t="s">
        <v>857</v>
      </c>
      <c r="Z231" s="31"/>
      <c r="AA231">
        <v>16960</v>
      </c>
      <c r="AB231">
        <v>56568</v>
      </c>
      <c r="AC231">
        <v>20</v>
      </c>
      <c r="AD231" t="s">
        <v>44</v>
      </c>
      <c r="AE231" s="31">
        <v>45889</v>
      </c>
      <c r="AF231" s="61">
        <v>0.41663194444444451</v>
      </c>
      <c r="AH231" t="s">
        <v>795</v>
      </c>
      <c r="AI231" s="31">
        <v>45909</v>
      </c>
      <c r="AJ231" s="61">
        <v>0.6489583333333333</v>
      </c>
      <c r="AK231" t="s">
        <v>858</v>
      </c>
      <c r="AL231" t="s">
        <v>2000</v>
      </c>
      <c r="AN231" t="s">
        <v>2001</v>
      </c>
      <c r="AP231" t="s">
        <v>2002</v>
      </c>
      <c r="AR231" s="31"/>
      <c r="AX231">
        <v>1</v>
      </c>
    </row>
    <row r="232" spans="1:50" x14ac:dyDescent="0.25">
      <c r="A232" t="s">
        <v>44</v>
      </c>
      <c r="B232">
        <v>537</v>
      </c>
      <c r="D232">
        <v>2486</v>
      </c>
      <c r="E232" t="s">
        <v>2003</v>
      </c>
      <c r="G232" t="s">
        <v>2004</v>
      </c>
      <c r="H232">
        <v>4049280000183</v>
      </c>
      <c r="J232" t="s">
        <v>2005</v>
      </c>
      <c r="K232" t="s">
        <v>2006</v>
      </c>
      <c r="M232" t="s">
        <v>2007</v>
      </c>
      <c r="P232" t="s">
        <v>778</v>
      </c>
      <c r="Q232" t="s">
        <v>1596</v>
      </c>
      <c r="R232" t="s">
        <v>790</v>
      </c>
      <c r="V232" t="s">
        <v>1704</v>
      </c>
      <c r="W232" t="s">
        <v>780</v>
      </c>
      <c r="X232" t="s">
        <v>816</v>
      </c>
      <c r="Z232" s="31">
        <v>46038</v>
      </c>
      <c r="AA232">
        <v>51300</v>
      </c>
      <c r="AB232">
        <v>17345</v>
      </c>
      <c r="AC232">
        <v>160</v>
      </c>
      <c r="AD232" t="s">
        <v>44</v>
      </c>
      <c r="AE232" s="31">
        <v>45889</v>
      </c>
      <c r="AF232" s="61">
        <v>0.44634259259259262</v>
      </c>
      <c r="AH232" t="s">
        <v>818</v>
      </c>
      <c r="AI232" s="31">
        <v>46049</v>
      </c>
      <c r="AJ232" s="61">
        <v>0.70980324074074075</v>
      </c>
      <c r="AM232" t="s">
        <v>2008</v>
      </c>
      <c r="AN232" t="s">
        <v>2008</v>
      </c>
      <c r="AO232" t="s">
        <v>44</v>
      </c>
      <c r="AP232" t="s">
        <v>2009</v>
      </c>
      <c r="AR232" s="31">
        <v>46028</v>
      </c>
      <c r="AX232">
        <v>1</v>
      </c>
    </row>
    <row r="233" spans="1:50" x14ac:dyDescent="0.25">
      <c r="A233" t="s">
        <v>44</v>
      </c>
      <c r="B233">
        <v>539</v>
      </c>
      <c r="D233">
        <v>2490</v>
      </c>
      <c r="F233" t="s">
        <v>2010</v>
      </c>
      <c r="G233" t="s">
        <v>2011</v>
      </c>
      <c r="H233">
        <v>39679781000128</v>
      </c>
      <c r="J233" t="s">
        <v>2010</v>
      </c>
      <c r="K233" t="s">
        <v>2012</v>
      </c>
      <c r="M233" t="s">
        <v>2013</v>
      </c>
      <c r="P233" t="s">
        <v>778</v>
      </c>
      <c r="Q233" t="s">
        <v>1094</v>
      </c>
      <c r="R233" t="s">
        <v>790</v>
      </c>
      <c r="S233" t="s">
        <v>805</v>
      </c>
      <c r="W233" t="s">
        <v>780</v>
      </c>
      <c r="X233" t="s">
        <v>857</v>
      </c>
      <c r="Z233" s="31"/>
      <c r="AA233">
        <v>67840</v>
      </c>
      <c r="AB233">
        <v>13781</v>
      </c>
      <c r="AC233">
        <v>69</v>
      </c>
      <c r="AD233" t="s">
        <v>44</v>
      </c>
      <c r="AE233" s="31">
        <v>45889</v>
      </c>
      <c r="AF233" s="61">
        <v>0.46962962962962962</v>
      </c>
      <c r="AH233" t="s">
        <v>795</v>
      </c>
      <c r="AI233" s="31">
        <v>45958</v>
      </c>
      <c r="AJ233" s="61">
        <v>0.43357638888888889</v>
      </c>
      <c r="AK233" t="s">
        <v>858</v>
      </c>
      <c r="AL233" t="s">
        <v>967</v>
      </c>
      <c r="AN233" t="s">
        <v>2002</v>
      </c>
      <c r="AR233" s="31"/>
      <c r="AX233">
        <v>1</v>
      </c>
    </row>
    <row r="234" spans="1:50" x14ac:dyDescent="0.25">
      <c r="A234" t="s">
        <v>44</v>
      </c>
      <c r="B234">
        <v>540</v>
      </c>
      <c r="D234">
        <v>2493</v>
      </c>
      <c r="F234" t="s">
        <v>2014</v>
      </c>
      <c r="G234" t="s">
        <v>2015</v>
      </c>
      <c r="H234">
        <v>43066372000204</v>
      </c>
      <c r="J234" t="s">
        <v>2014</v>
      </c>
      <c r="K234" t="s">
        <v>2016</v>
      </c>
      <c r="M234" t="s">
        <v>2017</v>
      </c>
      <c r="P234" t="s">
        <v>778</v>
      </c>
      <c r="Q234" t="s">
        <v>2018</v>
      </c>
      <c r="R234" t="s">
        <v>790</v>
      </c>
      <c r="S234" t="s">
        <v>805</v>
      </c>
      <c r="W234" t="s">
        <v>780</v>
      </c>
      <c r="X234" t="s">
        <v>857</v>
      </c>
      <c r="Z234" s="31"/>
      <c r="AA234">
        <v>16960</v>
      </c>
      <c r="AB234">
        <v>37712</v>
      </c>
      <c r="AC234">
        <v>71</v>
      </c>
      <c r="AD234" t="s">
        <v>44</v>
      </c>
      <c r="AE234" s="31">
        <v>45889</v>
      </c>
      <c r="AF234" s="61">
        <v>0.4788310185185185</v>
      </c>
      <c r="AH234" t="s">
        <v>795</v>
      </c>
      <c r="AI234" s="31">
        <v>45960</v>
      </c>
      <c r="AJ234" s="61">
        <v>0.42280092592592589</v>
      </c>
      <c r="AK234" t="s">
        <v>796</v>
      </c>
      <c r="AL234" t="s">
        <v>2019</v>
      </c>
      <c r="AN234" t="s">
        <v>2020</v>
      </c>
      <c r="AP234" t="s">
        <v>2021</v>
      </c>
      <c r="AR234" s="31"/>
      <c r="AX234">
        <v>1</v>
      </c>
    </row>
    <row r="235" spans="1:50" x14ac:dyDescent="0.25">
      <c r="A235" t="s">
        <v>44</v>
      </c>
      <c r="B235">
        <v>542</v>
      </c>
      <c r="D235">
        <v>2496</v>
      </c>
      <c r="G235" t="s">
        <v>2022</v>
      </c>
      <c r="H235">
        <v>1715468000125</v>
      </c>
      <c r="J235" t="s">
        <v>2023</v>
      </c>
      <c r="K235" t="s">
        <v>2024</v>
      </c>
      <c r="M235" t="s">
        <v>2025</v>
      </c>
      <c r="P235" t="s">
        <v>778</v>
      </c>
      <c r="Q235" t="s">
        <v>2026</v>
      </c>
      <c r="R235" t="s">
        <v>1105</v>
      </c>
      <c r="V235" t="s">
        <v>1718</v>
      </c>
      <c r="W235" t="s">
        <v>780</v>
      </c>
      <c r="X235" t="s">
        <v>793</v>
      </c>
      <c r="Z235" s="31"/>
      <c r="AA235">
        <v>212</v>
      </c>
      <c r="AB235">
        <v>69045</v>
      </c>
      <c r="AC235">
        <v>41</v>
      </c>
      <c r="AD235" t="s">
        <v>44</v>
      </c>
      <c r="AE235" s="31">
        <v>45890</v>
      </c>
      <c r="AF235" s="61">
        <v>0.39834490740740741</v>
      </c>
      <c r="AH235" t="s">
        <v>795</v>
      </c>
      <c r="AI235" s="31">
        <v>45931</v>
      </c>
      <c r="AJ235" s="61">
        <v>0.66620370370370374</v>
      </c>
      <c r="AK235" t="s">
        <v>974</v>
      </c>
      <c r="AL235" t="s">
        <v>2027</v>
      </c>
      <c r="AN235" t="s">
        <v>2002</v>
      </c>
      <c r="AP235" t="s">
        <v>2002</v>
      </c>
      <c r="AQ235" t="s">
        <v>2028</v>
      </c>
      <c r="AR235" s="31"/>
      <c r="AX235">
        <v>1</v>
      </c>
    </row>
    <row r="236" spans="1:50" x14ac:dyDescent="0.25">
      <c r="A236" t="s">
        <v>22</v>
      </c>
      <c r="B236">
        <v>545</v>
      </c>
      <c r="D236">
        <v>2464</v>
      </c>
      <c r="G236" t="s">
        <v>2029</v>
      </c>
      <c r="J236" t="s">
        <v>914</v>
      </c>
      <c r="K236" t="s">
        <v>2030</v>
      </c>
      <c r="M236" t="s">
        <v>2031</v>
      </c>
      <c r="P236" t="s">
        <v>778</v>
      </c>
      <c r="Q236" t="s">
        <v>923</v>
      </c>
      <c r="S236" t="s">
        <v>814</v>
      </c>
      <c r="W236" t="s">
        <v>780</v>
      </c>
      <c r="X236" t="s">
        <v>793</v>
      </c>
      <c r="Z236" s="31"/>
      <c r="AA236">
        <v>47500</v>
      </c>
      <c r="AB236">
        <v>28571</v>
      </c>
      <c r="AC236">
        <v>3</v>
      </c>
      <c r="AD236" t="s">
        <v>22</v>
      </c>
      <c r="AE236" s="31">
        <v>45891</v>
      </c>
      <c r="AF236" s="61">
        <v>0.68766203703703699</v>
      </c>
      <c r="AH236" t="s">
        <v>795</v>
      </c>
      <c r="AI236" s="31">
        <v>45894</v>
      </c>
      <c r="AJ236" s="61">
        <v>0.61422453703703705</v>
      </c>
      <c r="AK236" t="s">
        <v>867</v>
      </c>
      <c r="AN236" t="s">
        <v>1944</v>
      </c>
      <c r="AO236" t="s">
        <v>22</v>
      </c>
      <c r="AP236" t="s">
        <v>1913</v>
      </c>
      <c r="AR236" s="31"/>
      <c r="AX236">
        <v>1</v>
      </c>
    </row>
    <row r="237" spans="1:50" x14ac:dyDescent="0.25">
      <c r="A237" t="s">
        <v>22</v>
      </c>
      <c r="B237">
        <v>546</v>
      </c>
      <c r="D237">
        <v>2463</v>
      </c>
      <c r="G237" t="s">
        <v>2032</v>
      </c>
      <c r="H237">
        <v>27616615000101</v>
      </c>
      <c r="J237" t="s">
        <v>2033</v>
      </c>
      <c r="K237" t="s">
        <v>2034</v>
      </c>
      <c r="M237" t="s">
        <v>2035</v>
      </c>
      <c r="P237" t="s">
        <v>778</v>
      </c>
      <c r="Q237" t="s">
        <v>2036</v>
      </c>
      <c r="S237" t="s">
        <v>814</v>
      </c>
      <c r="V237" t="s">
        <v>1198</v>
      </c>
      <c r="W237" t="s">
        <v>780</v>
      </c>
      <c r="X237" t="s">
        <v>807</v>
      </c>
      <c r="Z237" s="31"/>
      <c r="AA237">
        <v>56000</v>
      </c>
      <c r="AB237">
        <v>340834</v>
      </c>
      <c r="AC237">
        <v>38</v>
      </c>
      <c r="AD237" t="s">
        <v>22</v>
      </c>
      <c r="AE237" s="31">
        <v>45891</v>
      </c>
      <c r="AF237" s="61">
        <v>0.68803240740740745</v>
      </c>
      <c r="AH237" t="s">
        <v>795</v>
      </c>
      <c r="AI237" s="31">
        <v>45929</v>
      </c>
      <c r="AJ237" s="61">
        <v>0.69619212962962962</v>
      </c>
      <c r="AK237" t="s">
        <v>796</v>
      </c>
      <c r="AN237" t="s">
        <v>2037</v>
      </c>
      <c r="AO237" t="s">
        <v>22</v>
      </c>
      <c r="AP237" t="s">
        <v>2037</v>
      </c>
      <c r="AR237" s="31"/>
      <c r="AX237">
        <v>1</v>
      </c>
    </row>
    <row r="238" spans="1:50" x14ac:dyDescent="0.25">
      <c r="A238" t="s">
        <v>22</v>
      </c>
      <c r="B238">
        <v>550</v>
      </c>
      <c r="D238">
        <v>2506</v>
      </c>
      <c r="G238" t="s">
        <v>2038</v>
      </c>
      <c r="H238">
        <v>7225431000103</v>
      </c>
      <c r="J238" t="s">
        <v>2039</v>
      </c>
      <c r="K238" t="s">
        <v>2040</v>
      </c>
      <c r="M238" t="s">
        <v>2041</v>
      </c>
      <c r="P238" t="s">
        <v>778</v>
      </c>
      <c r="W238" t="s">
        <v>780</v>
      </c>
      <c r="X238" t="s">
        <v>807</v>
      </c>
      <c r="Z238" s="31"/>
      <c r="AA238">
        <v>519984</v>
      </c>
      <c r="AB238">
        <v>15378</v>
      </c>
      <c r="AC238">
        <v>0</v>
      </c>
      <c r="AD238" t="s">
        <v>22</v>
      </c>
      <c r="AE238" s="31">
        <v>45894</v>
      </c>
      <c r="AF238" s="61">
        <v>0.60456018518518517</v>
      </c>
      <c r="AH238" t="s">
        <v>795</v>
      </c>
      <c r="AI238" s="31">
        <v>45894</v>
      </c>
      <c r="AJ238" s="61">
        <v>0.60668981481481477</v>
      </c>
      <c r="AK238" t="s">
        <v>867</v>
      </c>
      <c r="AN238" t="s">
        <v>2042</v>
      </c>
      <c r="AO238" t="s">
        <v>22</v>
      </c>
      <c r="AP238" t="s">
        <v>2042</v>
      </c>
      <c r="AR238" s="31"/>
      <c r="AX238">
        <v>1</v>
      </c>
    </row>
    <row r="239" spans="1:50" x14ac:dyDescent="0.25">
      <c r="A239" t="s">
        <v>22</v>
      </c>
      <c r="B239">
        <v>552</v>
      </c>
      <c r="D239">
        <v>2508</v>
      </c>
      <c r="E239" t="s">
        <v>2043</v>
      </c>
      <c r="G239" t="s">
        <v>2044</v>
      </c>
      <c r="H239">
        <v>17739326000138</v>
      </c>
      <c r="J239" t="s">
        <v>2045</v>
      </c>
      <c r="K239" t="s">
        <v>2046</v>
      </c>
      <c r="M239" t="s">
        <v>2047</v>
      </c>
      <c r="P239" t="s">
        <v>778</v>
      </c>
      <c r="V239" t="s">
        <v>1718</v>
      </c>
      <c r="W239" t="s">
        <v>780</v>
      </c>
      <c r="X239" t="s">
        <v>807</v>
      </c>
      <c r="Z239" s="31">
        <v>46044</v>
      </c>
      <c r="AA239">
        <v>15359994</v>
      </c>
      <c r="AB239">
        <v>924744</v>
      </c>
      <c r="AC239">
        <v>151</v>
      </c>
      <c r="AD239" t="s">
        <v>22</v>
      </c>
      <c r="AE239" s="31">
        <v>45894</v>
      </c>
      <c r="AF239" s="61">
        <v>0.61782407407407403</v>
      </c>
      <c r="AH239" t="s">
        <v>795</v>
      </c>
      <c r="AI239" s="31">
        <v>46045</v>
      </c>
      <c r="AJ239" s="61">
        <v>0.46665509259259258</v>
      </c>
      <c r="AK239" t="s">
        <v>858</v>
      </c>
      <c r="AN239" t="s">
        <v>2048</v>
      </c>
      <c r="AO239" t="s">
        <v>22</v>
      </c>
      <c r="AP239" t="s">
        <v>2048</v>
      </c>
      <c r="AR239" s="31">
        <v>46044</v>
      </c>
      <c r="AX239">
        <v>1</v>
      </c>
    </row>
    <row r="240" spans="1:50" x14ac:dyDescent="0.25">
      <c r="A240" t="s">
        <v>22</v>
      </c>
      <c r="B240">
        <v>553</v>
      </c>
      <c r="D240">
        <v>2509</v>
      </c>
      <c r="G240" t="s">
        <v>2049</v>
      </c>
      <c r="J240" t="s">
        <v>2050</v>
      </c>
      <c r="K240" t="s">
        <v>2051</v>
      </c>
      <c r="M240" t="s">
        <v>1111</v>
      </c>
      <c r="P240" t="s">
        <v>778</v>
      </c>
      <c r="W240" t="s">
        <v>780</v>
      </c>
      <c r="X240" t="s">
        <v>816</v>
      </c>
      <c r="Z240" s="31"/>
      <c r="AA240">
        <v>9600</v>
      </c>
      <c r="AB240">
        <v>412064</v>
      </c>
      <c r="AC240">
        <v>84</v>
      </c>
      <c r="AD240" t="s">
        <v>22</v>
      </c>
      <c r="AE240" s="31">
        <v>45894</v>
      </c>
      <c r="AF240" s="61">
        <v>0.62391203703703701</v>
      </c>
      <c r="AH240" t="s">
        <v>818</v>
      </c>
      <c r="AI240" s="31">
        <v>45978</v>
      </c>
      <c r="AJ240" s="61">
        <v>0.64375000000000004</v>
      </c>
      <c r="AN240" t="s">
        <v>2048</v>
      </c>
      <c r="AO240" t="s">
        <v>22</v>
      </c>
      <c r="AP240" t="s">
        <v>2048</v>
      </c>
      <c r="AR240" s="31"/>
      <c r="AX240">
        <v>1</v>
      </c>
    </row>
    <row r="241" spans="1:50" x14ac:dyDescent="0.25">
      <c r="A241" t="s">
        <v>44</v>
      </c>
      <c r="B241">
        <v>557</v>
      </c>
      <c r="D241">
        <v>2516</v>
      </c>
      <c r="G241" t="s">
        <v>2052</v>
      </c>
      <c r="H241">
        <v>59716480000134</v>
      </c>
      <c r="J241" t="s">
        <v>2053</v>
      </c>
      <c r="K241" t="s">
        <v>2054</v>
      </c>
      <c r="M241" t="s">
        <v>2055</v>
      </c>
      <c r="P241" t="s">
        <v>778</v>
      </c>
      <c r="Q241" t="s">
        <v>2056</v>
      </c>
      <c r="R241" t="s">
        <v>790</v>
      </c>
      <c r="W241" t="s">
        <v>780</v>
      </c>
      <c r="X241" t="s">
        <v>793</v>
      </c>
      <c r="Z241" s="31"/>
      <c r="AC241">
        <v>0</v>
      </c>
      <c r="AD241" t="s">
        <v>44</v>
      </c>
      <c r="AE241" s="31">
        <v>45897</v>
      </c>
      <c r="AF241" s="61">
        <v>0.70465277777777779</v>
      </c>
      <c r="AH241" t="s">
        <v>795</v>
      </c>
      <c r="AI241" s="31">
        <v>45897</v>
      </c>
      <c r="AJ241" s="61">
        <v>0.70849537037037036</v>
      </c>
      <c r="AK241" t="s">
        <v>867</v>
      </c>
      <c r="AL241" t="s">
        <v>2057</v>
      </c>
      <c r="AN241" t="s">
        <v>2058</v>
      </c>
      <c r="AP241" t="s">
        <v>2058</v>
      </c>
      <c r="AR241" s="31"/>
      <c r="AX241">
        <v>1</v>
      </c>
    </row>
    <row r="242" spans="1:50" x14ac:dyDescent="0.25">
      <c r="A242" t="s">
        <v>44</v>
      </c>
      <c r="B242">
        <v>558</v>
      </c>
      <c r="D242">
        <v>2518</v>
      </c>
      <c r="G242" t="s">
        <v>2059</v>
      </c>
      <c r="H242">
        <v>60315995000101</v>
      </c>
      <c r="J242" t="s">
        <v>2060</v>
      </c>
      <c r="K242" t="s">
        <v>2061</v>
      </c>
      <c r="M242" t="s">
        <v>2062</v>
      </c>
      <c r="P242" t="s">
        <v>778</v>
      </c>
      <c r="Q242" t="s">
        <v>1950</v>
      </c>
      <c r="R242" t="s">
        <v>790</v>
      </c>
      <c r="W242" t="s">
        <v>780</v>
      </c>
      <c r="X242" t="s">
        <v>857</v>
      </c>
      <c r="Z242" s="31"/>
      <c r="AA242">
        <v>1600</v>
      </c>
      <c r="AB242">
        <v>323356</v>
      </c>
      <c r="AC242">
        <v>0</v>
      </c>
      <c r="AD242" t="s">
        <v>44</v>
      </c>
      <c r="AE242" s="31">
        <v>45898</v>
      </c>
      <c r="AF242" s="61">
        <v>0.44675925925925919</v>
      </c>
      <c r="AH242" t="s">
        <v>795</v>
      </c>
      <c r="AI242" s="31">
        <v>45898</v>
      </c>
      <c r="AJ242" s="61">
        <v>0.4629050925925926</v>
      </c>
      <c r="AK242" t="s">
        <v>796</v>
      </c>
      <c r="AL242" t="s">
        <v>1951</v>
      </c>
      <c r="AN242" t="s">
        <v>1953</v>
      </c>
      <c r="AP242" t="s">
        <v>1952</v>
      </c>
      <c r="AR242" s="31"/>
      <c r="AX242">
        <v>1</v>
      </c>
    </row>
    <row r="243" spans="1:50" x14ac:dyDescent="0.25">
      <c r="A243" t="s">
        <v>44</v>
      </c>
      <c r="B243">
        <v>559</v>
      </c>
      <c r="C243">
        <v>155</v>
      </c>
      <c r="G243" t="s">
        <v>2063</v>
      </c>
      <c r="H243">
        <v>13609763000186</v>
      </c>
      <c r="I243" t="s">
        <v>870</v>
      </c>
      <c r="M243" t="s">
        <v>872</v>
      </c>
      <c r="P243" t="s">
        <v>778</v>
      </c>
      <c r="Q243" t="s">
        <v>873</v>
      </c>
      <c r="R243" t="s">
        <v>874</v>
      </c>
      <c r="W243" t="s">
        <v>780</v>
      </c>
      <c r="X243" t="s">
        <v>857</v>
      </c>
      <c r="Z243" s="31"/>
      <c r="AA243">
        <v>16960</v>
      </c>
      <c r="AB243">
        <v>14256</v>
      </c>
      <c r="AC243">
        <v>32</v>
      </c>
      <c r="AD243" t="s">
        <v>44</v>
      </c>
      <c r="AE243" s="31">
        <v>45898</v>
      </c>
      <c r="AF243" s="61">
        <v>0.66320601851851857</v>
      </c>
      <c r="AH243" t="s">
        <v>795</v>
      </c>
      <c r="AI243" s="31">
        <v>45930</v>
      </c>
      <c r="AJ243" s="61">
        <v>0.68521990740740746</v>
      </c>
      <c r="AK243" t="s">
        <v>796</v>
      </c>
      <c r="AL243" t="s">
        <v>2064</v>
      </c>
      <c r="AN243" t="s">
        <v>2065</v>
      </c>
      <c r="AR243" s="31"/>
      <c r="AX243">
        <v>1</v>
      </c>
    </row>
    <row r="244" spans="1:50" x14ac:dyDescent="0.25">
      <c r="A244" t="s">
        <v>44</v>
      </c>
      <c r="B244">
        <v>561</v>
      </c>
      <c r="D244">
        <v>2523</v>
      </c>
      <c r="G244" t="s">
        <v>2066</v>
      </c>
      <c r="H244">
        <v>4049280000183</v>
      </c>
      <c r="J244" t="s">
        <v>2067</v>
      </c>
      <c r="K244" t="s">
        <v>2006</v>
      </c>
      <c r="M244" t="s">
        <v>2007</v>
      </c>
      <c r="P244" t="s">
        <v>778</v>
      </c>
      <c r="Q244" t="s">
        <v>1596</v>
      </c>
      <c r="R244" t="s">
        <v>790</v>
      </c>
      <c r="W244" t="s">
        <v>780</v>
      </c>
      <c r="X244" t="s">
        <v>816</v>
      </c>
      <c r="Z244" s="31"/>
      <c r="AA244">
        <v>1600</v>
      </c>
      <c r="AB244">
        <v>390556</v>
      </c>
      <c r="AC244">
        <v>61</v>
      </c>
      <c r="AD244" t="s">
        <v>44</v>
      </c>
      <c r="AE244" s="31">
        <v>45898</v>
      </c>
      <c r="AF244" s="61">
        <v>0.69483796296296296</v>
      </c>
      <c r="AH244" t="s">
        <v>795</v>
      </c>
      <c r="AI244" s="31">
        <v>45959</v>
      </c>
      <c r="AJ244" s="61">
        <v>0.44239583333333332</v>
      </c>
      <c r="AK244" t="s">
        <v>858</v>
      </c>
      <c r="AL244" t="s">
        <v>2068</v>
      </c>
      <c r="AM244" t="s">
        <v>2008</v>
      </c>
      <c r="AN244" t="s">
        <v>2008</v>
      </c>
      <c r="AP244" t="s">
        <v>2009</v>
      </c>
      <c r="AR244" s="31"/>
      <c r="AX244">
        <v>1</v>
      </c>
    </row>
    <row r="245" spans="1:50" x14ac:dyDescent="0.25">
      <c r="A245" t="s">
        <v>44</v>
      </c>
      <c r="B245">
        <v>562</v>
      </c>
      <c r="D245">
        <v>2526</v>
      </c>
      <c r="G245" t="s">
        <v>2069</v>
      </c>
      <c r="H245">
        <v>1715468000125</v>
      </c>
      <c r="J245" t="s">
        <v>2070</v>
      </c>
      <c r="K245" t="s">
        <v>2024</v>
      </c>
      <c r="M245" t="s">
        <v>2025</v>
      </c>
      <c r="P245" t="s">
        <v>778</v>
      </c>
      <c r="Q245" t="s">
        <v>2026</v>
      </c>
      <c r="R245" t="s">
        <v>1105</v>
      </c>
      <c r="W245" t="s">
        <v>780</v>
      </c>
      <c r="X245" t="s">
        <v>857</v>
      </c>
      <c r="Z245" s="31"/>
      <c r="AA245">
        <v>1600</v>
      </c>
      <c r="AB245">
        <v>480156</v>
      </c>
      <c r="AC245">
        <v>33</v>
      </c>
      <c r="AD245" t="s">
        <v>44</v>
      </c>
      <c r="AE245" s="31">
        <v>45898</v>
      </c>
      <c r="AF245" s="61">
        <v>0.70328703703703699</v>
      </c>
      <c r="AH245" t="s">
        <v>795</v>
      </c>
      <c r="AI245" s="31">
        <v>45931</v>
      </c>
      <c r="AJ245" s="61">
        <v>0.66589120370370369</v>
      </c>
      <c r="AK245" t="s">
        <v>974</v>
      </c>
      <c r="AL245" t="s">
        <v>2027</v>
      </c>
      <c r="AN245" t="s">
        <v>2002</v>
      </c>
      <c r="AR245" s="31"/>
      <c r="AX245">
        <v>1</v>
      </c>
    </row>
    <row r="246" spans="1:50" x14ac:dyDescent="0.25">
      <c r="A246" t="s">
        <v>44</v>
      </c>
      <c r="B246">
        <v>563</v>
      </c>
      <c r="D246">
        <v>2530</v>
      </c>
      <c r="G246" t="s">
        <v>2071</v>
      </c>
      <c r="H246">
        <v>1715468000125</v>
      </c>
      <c r="J246" t="s">
        <v>2072</v>
      </c>
      <c r="K246" t="s">
        <v>2024</v>
      </c>
      <c r="M246" t="s">
        <v>2025</v>
      </c>
      <c r="P246" t="s">
        <v>778</v>
      </c>
      <c r="Q246" t="s">
        <v>2026</v>
      </c>
      <c r="R246" t="s">
        <v>1105</v>
      </c>
      <c r="W246" t="s">
        <v>780</v>
      </c>
      <c r="X246" t="s">
        <v>857</v>
      </c>
      <c r="Z246" s="31"/>
      <c r="AA246">
        <v>93280</v>
      </c>
      <c r="AB246">
        <v>1163416</v>
      </c>
      <c r="AC246">
        <v>33</v>
      </c>
      <c r="AD246" t="s">
        <v>44</v>
      </c>
      <c r="AE246" s="31">
        <v>45898</v>
      </c>
      <c r="AF246" s="61">
        <v>0.70486111111111116</v>
      </c>
      <c r="AH246" t="s">
        <v>795</v>
      </c>
      <c r="AI246" s="31">
        <v>45931</v>
      </c>
      <c r="AJ246" s="61">
        <v>0.66553240740740738</v>
      </c>
      <c r="AK246" t="s">
        <v>974</v>
      </c>
      <c r="AL246" t="s">
        <v>2027</v>
      </c>
      <c r="AN246" t="s">
        <v>2002</v>
      </c>
      <c r="AR246" s="31"/>
      <c r="AX246">
        <v>1</v>
      </c>
    </row>
    <row r="247" spans="1:50" x14ac:dyDescent="0.25">
      <c r="A247" t="s">
        <v>44</v>
      </c>
      <c r="B247">
        <v>564</v>
      </c>
      <c r="D247">
        <v>2534</v>
      </c>
      <c r="G247" t="s">
        <v>2073</v>
      </c>
      <c r="J247" t="s">
        <v>2074</v>
      </c>
      <c r="K247" t="s">
        <v>2075</v>
      </c>
      <c r="M247" t="s">
        <v>1997</v>
      </c>
      <c r="P247" t="s">
        <v>778</v>
      </c>
      <c r="W247" t="s">
        <v>780</v>
      </c>
      <c r="X247" t="s">
        <v>857</v>
      </c>
      <c r="Z247" s="31"/>
      <c r="AA247">
        <v>16200</v>
      </c>
      <c r="AB247">
        <v>2160</v>
      </c>
      <c r="AC247">
        <v>11</v>
      </c>
      <c r="AD247" t="s">
        <v>44</v>
      </c>
      <c r="AE247" s="31">
        <v>45898</v>
      </c>
      <c r="AF247" s="61">
        <v>0.73826388888888894</v>
      </c>
      <c r="AH247" t="s">
        <v>795</v>
      </c>
      <c r="AI247" s="31">
        <v>45909</v>
      </c>
      <c r="AJ247" s="61">
        <v>0.6477546296296296</v>
      </c>
      <c r="AK247" t="s">
        <v>858</v>
      </c>
      <c r="AL247" t="s">
        <v>2000</v>
      </c>
      <c r="AN247" t="s">
        <v>2001</v>
      </c>
      <c r="AR247" s="31"/>
      <c r="AX247">
        <v>1</v>
      </c>
    </row>
    <row r="248" spans="1:50" x14ac:dyDescent="0.25">
      <c r="A248" t="s">
        <v>31</v>
      </c>
      <c r="B248">
        <v>566</v>
      </c>
      <c r="D248">
        <v>2538</v>
      </c>
      <c r="F248" t="s">
        <v>2076</v>
      </c>
      <c r="G248" t="s">
        <v>2077</v>
      </c>
      <c r="H248">
        <v>46964028000140</v>
      </c>
      <c r="J248" t="s">
        <v>2076</v>
      </c>
      <c r="K248" t="s">
        <v>2078</v>
      </c>
      <c r="M248" t="s">
        <v>2079</v>
      </c>
      <c r="P248" t="s">
        <v>778</v>
      </c>
      <c r="Q248" t="s">
        <v>2080</v>
      </c>
      <c r="R248" t="s">
        <v>956</v>
      </c>
      <c r="S248" t="s">
        <v>805</v>
      </c>
      <c r="W248" t="s">
        <v>780</v>
      </c>
      <c r="X248" t="s">
        <v>857</v>
      </c>
      <c r="Z248" s="31"/>
      <c r="AC248">
        <v>28</v>
      </c>
      <c r="AD248" t="s">
        <v>31</v>
      </c>
      <c r="AE248" s="31">
        <v>45902</v>
      </c>
      <c r="AF248" s="61">
        <v>0.39876157407407409</v>
      </c>
      <c r="AH248" t="s">
        <v>795</v>
      </c>
      <c r="AI248" s="31">
        <v>45930</v>
      </c>
      <c r="AJ248" s="61">
        <v>0.40609953703703711</v>
      </c>
      <c r="AK248" t="s">
        <v>867</v>
      </c>
      <c r="AR248" s="31"/>
      <c r="AX248">
        <v>1</v>
      </c>
    </row>
    <row r="249" spans="1:50" x14ac:dyDescent="0.25">
      <c r="A249" t="s">
        <v>31</v>
      </c>
      <c r="B249">
        <v>567</v>
      </c>
      <c r="D249">
        <v>2541</v>
      </c>
      <c r="F249" t="s">
        <v>2081</v>
      </c>
      <c r="G249" t="s">
        <v>2082</v>
      </c>
      <c r="H249">
        <v>13039863000203</v>
      </c>
      <c r="J249" t="s">
        <v>2081</v>
      </c>
      <c r="K249" t="s">
        <v>2083</v>
      </c>
      <c r="M249" t="s">
        <v>2084</v>
      </c>
      <c r="P249" t="s">
        <v>778</v>
      </c>
      <c r="Q249" t="s">
        <v>1094</v>
      </c>
      <c r="R249" t="s">
        <v>790</v>
      </c>
      <c r="S249" t="s">
        <v>805</v>
      </c>
      <c r="V249" t="s">
        <v>2085</v>
      </c>
      <c r="W249" t="s">
        <v>780</v>
      </c>
      <c r="X249" t="s">
        <v>781</v>
      </c>
      <c r="Z249" s="31"/>
      <c r="AC249">
        <v>98</v>
      </c>
      <c r="AD249" t="s">
        <v>31</v>
      </c>
      <c r="AE249" s="31">
        <v>45902</v>
      </c>
      <c r="AF249" s="61">
        <v>0.45640046296296288</v>
      </c>
      <c r="AH249" t="s">
        <v>795</v>
      </c>
      <c r="AI249" s="31">
        <v>46000</v>
      </c>
      <c r="AJ249" s="61">
        <v>0.49209490740740741</v>
      </c>
      <c r="AK249" t="s">
        <v>796</v>
      </c>
      <c r="AR249" s="31"/>
      <c r="AX249">
        <v>1</v>
      </c>
    </row>
    <row r="250" spans="1:50" x14ac:dyDescent="0.25">
      <c r="A250" t="s">
        <v>22</v>
      </c>
      <c r="B250">
        <v>575</v>
      </c>
      <c r="D250">
        <v>2547</v>
      </c>
      <c r="G250" t="s">
        <v>2086</v>
      </c>
      <c r="J250" t="s">
        <v>2087</v>
      </c>
      <c r="K250" t="s">
        <v>2088</v>
      </c>
      <c r="M250" t="s">
        <v>2089</v>
      </c>
      <c r="P250" t="s">
        <v>778</v>
      </c>
      <c r="Q250" t="s">
        <v>923</v>
      </c>
      <c r="S250" t="s">
        <v>814</v>
      </c>
      <c r="V250" t="s">
        <v>1198</v>
      </c>
      <c r="W250" t="s">
        <v>780</v>
      </c>
      <c r="X250" t="s">
        <v>793</v>
      </c>
      <c r="Z250" s="31"/>
      <c r="AC250">
        <v>19</v>
      </c>
      <c r="AD250" t="s">
        <v>22</v>
      </c>
      <c r="AE250" s="31">
        <v>45910</v>
      </c>
      <c r="AF250" s="61">
        <v>0.65240740740740744</v>
      </c>
      <c r="AH250" t="s">
        <v>795</v>
      </c>
      <c r="AI250" s="31">
        <v>45929</v>
      </c>
      <c r="AJ250" s="61">
        <v>0.69554398148148144</v>
      </c>
      <c r="AK250" t="s">
        <v>1226</v>
      </c>
      <c r="AN250" t="s">
        <v>2037</v>
      </c>
      <c r="AO250" t="s">
        <v>22</v>
      </c>
      <c r="AP250" t="s">
        <v>2037</v>
      </c>
      <c r="AR250" s="31"/>
      <c r="AX250">
        <v>1</v>
      </c>
    </row>
    <row r="251" spans="1:50" x14ac:dyDescent="0.25">
      <c r="A251" t="s">
        <v>44</v>
      </c>
      <c r="B251">
        <v>576</v>
      </c>
      <c r="D251">
        <v>2551</v>
      </c>
      <c r="F251" t="s">
        <v>2090</v>
      </c>
      <c r="G251" t="s">
        <v>2091</v>
      </c>
      <c r="H251">
        <v>36621794000158</v>
      </c>
      <c r="J251" t="s">
        <v>2090</v>
      </c>
      <c r="K251" t="s">
        <v>2092</v>
      </c>
      <c r="M251" t="s">
        <v>2093</v>
      </c>
      <c r="P251" t="s">
        <v>778</v>
      </c>
      <c r="Q251" t="s">
        <v>2094</v>
      </c>
      <c r="R251" t="s">
        <v>790</v>
      </c>
      <c r="S251" t="s">
        <v>805</v>
      </c>
      <c r="W251" t="s">
        <v>780</v>
      </c>
      <c r="X251" t="s">
        <v>857</v>
      </c>
      <c r="Z251" s="31"/>
      <c r="AA251">
        <v>10176</v>
      </c>
      <c r="AB251">
        <v>2060</v>
      </c>
      <c r="AC251">
        <v>23</v>
      </c>
      <c r="AD251" t="s">
        <v>44</v>
      </c>
      <c r="AE251" s="31">
        <v>45910</v>
      </c>
      <c r="AF251" s="61">
        <v>0.66196759259259264</v>
      </c>
      <c r="AH251" t="s">
        <v>795</v>
      </c>
      <c r="AI251" s="31">
        <v>45933</v>
      </c>
      <c r="AJ251" s="61">
        <v>0.41651620370370368</v>
      </c>
      <c r="AK251" t="s">
        <v>934</v>
      </c>
      <c r="AL251" t="s">
        <v>2095</v>
      </c>
      <c r="AN251" t="s">
        <v>2096</v>
      </c>
      <c r="AP251" t="s">
        <v>2097</v>
      </c>
      <c r="AR251" s="31"/>
      <c r="AX251">
        <v>1</v>
      </c>
    </row>
    <row r="252" spans="1:50" x14ac:dyDescent="0.25">
      <c r="A252" t="s">
        <v>22</v>
      </c>
      <c r="B252">
        <v>577</v>
      </c>
      <c r="D252">
        <v>2502</v>
      </c>
      <c r="G252" t="s">
        <v>2098</v>
      </c>
      <c r="J252" t="s">
        <v>2099</v>
      </c>
      <c r="K252" t="s">
        <v>2100</v>
      </c>
      <c r="M252" t="s">
        <v>2101</v>
      </c>
      <c r="P252" t="s">
        <v>778</v>
      </c>
      <c r="Q252" t="s">
        <v>943</v>
      </c>
      <c r="S252" t="s">
        <v>814</v>
      </c>
      <c r="V252" t="s">
        <v>1198</v>
      </c>
      <c r="W252" t="s">
        <v>780</v>
      </c>
      <c r="X252" t="s">
        <v>807</v>
      </c>
      <c r="Z252" s="31"/>
      <c r="AC252">
        <v>0</v>
      </c>
      <c r="AD252" t="s">
        <v>22</v>
      </c>
      <c r="AE252" s="31">
        <v>45910</v>
      </c>
      <c r="AF252" s="61">
        <v>0.66309027777777774</v>
      </c>
      <c r="AH252" t="s">
        <v>795</v>
      </c>
      <c r="AI252" s="31">
        <v>45910</v>
      </c>
      <c r="AJ252" s="61">
        <v>0.66420138888888891</v>
      </c>
      <c r="AK252" t="s">
        <v>867</v>
      </c>
      <c r="AN252" t="s">
        <v>2102</v>
      </c>
      <c r="AO252" t="s">
        <v>22</v>
      </c>
      <c r="AP252" t="s">
        <v>2102</v>
      </c>
      <c r="AR252" s="31"/>
      <c r="AX252">
        <v>1</v>
      </c>
    </row>
    <row r="253" spans="1:50" x14ac:dyDescent="0.25">
      <c r="A253" t="s">
        <v>22</v>
      </c>
      <c r="B253">
        <v>578</v>
      </c>
      <c r="D253">
        <v>2515</v>
      </c>
      <c r="G253" t="s">
        <v>2103</v>
      </c>
      <c r="J253" t="s">
        <v>2104</v>
      </c>
      <c r="K253" t="s">
        <v>2105</v>
      </c>
      <c r="M253" t="s">
        <v>2106</v>
      </c>
      <c r="P253" t="s">
        <v>778</v>
      </c>
      <c r="Q253" t="s">
        <v>923</v>
      </c>
      <c r="S253" t="s">
        <v>814</v>
      </c>
      <c r="V253" t="s">
        <v>1186</v>
      </c>
      <c r="W253" t="s">
        <v>780</v>
      </c>
      <c r="X253" t="s">
        <v>793</v>
      </c>
      <c r="Z253" s="31"/>
      <c r="AC253">
        <v>0</v>
      </c>
      <c r="AD253" t="s">
        <v>22</v>
      </c>
      <c r="AE253" s="31">
        <v>45911</v>
      </c>
      <c r="AF253" s="61">
        <v>0.35787037037037039</v>
      </c>
      <c r="AH253" t="s">
        <v>795</v>
      </c>
      <c r="AI253" s="31">
        <v>45911</v>
      </c>
      <c r="AJ253" s="61">
        <v>0.35978009259259258</v>
      </c>
      <c r="AK253" t="s">
        <v>867</v>
      </c>
      <c r="AN253" t="s">
        <v>2107</v>
      </c>
      <c r="AP253" t="s">
        <v>2107</v>
      </c>
      <c r="AR253" s="31"/>
      <c r="AX253">
        <v>1</v>
      </c>
    </row>
    <row r="254" spans="1:50" x14ac:dyDescent="0.25">
      <c r="A254" t="s">
        <v>44</v>
      </c>
      <c r="B254">
        <v>582</v>
      </c>
      <c r="D254">
        <v>2555</v>
      </c>
      <c r="E254" t="s">
        <v>2108</v>
      </c>
      <c r="G254" t="s">
        <v>2109</v>
      </c>
      <c r="H254">
        <v>32921219000110</v>
      </c>
      <c r="J254" t="s">
        <v>2110</v>
      </c>
      <c r="K254" t="s">
        <v>2111</v>
      </c>
      <c r="M254" t="s">
        <v>1580</v>
      </c>
      <c r="P254" t="s">
        <v>778</v>
      </c>
      <c r="V254" t="s">
        <v>1581</v>
      </c>
      <c r="W254" t="s">
        <v>780</v>
      </c>
      <c r="X254" t="s">
        <v>816</v>
      </c>
      <c r="Z254" s="31">
        <v>46055</v>
      </c>
      <c r="AA254">
        <v>1600</v>
      </c>
      <c r="AB254">
        <v>256856</v>
      </c>
      <c r="AC254">
        <v>161</v>
      </c>
      <c r="AD254" t="s">
        <v>44</v>
      </c>
      <c r="AE254" s="31">
        <v>45911</v>
      </c>
      <c r="AF254" s="61">
        <v>0.54175925925925927</v>
      </c>
      <c r="AH254" t="s">
        <v>782</v>
      </c>
      <c r="AI254" s="31"/>
      <c r="AJ254" s="61"/>
      <c r="AN254" t="s">
        <v>2112</v>
      </c>
      <c r="AO254" t="s">
        <v>44</v>
      </c>
      <c r="AP254" t="s">
        <v>2112</v>
      </c>
      <c r="AR254" s="31">
        <v>46003</v>
      </c>
      <c r="AS254" t="s">
        <v>1012</v>
      </c>
      <c r="AX254">
        <v>1</v>
      </c>
    </row>
    <row r="255" spans="1:50" x14ac:dyDescent="0.25">
      <c r="A255" t="s">
        <v>22</v>
      </c>
      <c r="B255">
        <v>583</v>
      </c>
      <c r="D255">
        <v>578</v>
      </c>
      <c r="E255" t="s">
        <v>2113</v>
      </c>
      <c r="F255" t="s">
        <v>2114</v>
      </c>
      <c r="G255" t="s">
        <v>383</v>
      </c>
      <c r="H255">
        <v>7664689000289</v>
      </c>
      <c r="J255" t="s">
        <v>2114</v>
      </c>
      <c r="K255" t="s">
        <v>2115</v>
      </c>
      <c r="M255" t="s">
        <v>2116</v>
      </c>
      <c r="P255" t="s">
        <v>778</v>
      </c>
      <c r="Q255" t="s">
        <v>2117</v>
      </c>
      <c r="R255" t="s">
        <v>1105</v>
      </c>
      <c r="S255" t="s">
        <v>805</v>
      </c>
      <c r="V255" t="s">
        <v>2118</v>
      </c>
      <c r="W255" t="s">
        <v>780</v>
      </c>
      <c r="X255" t="s">
        <v>807</v>
      </c>
      <c r="Z255" s="31">
        <v>46081</v>
      </c>
      <c r="AA255">
        <v>100800</v>
      </c>
      <c r="AB255">
        <v>5484</v>
      </c>
      <c r="AC255">
        <v>119</v>
      </c>
      <c r="AD255" t="s">
        <v>22</v>
      </c>
      <c r="AE255" s="31">
        <v>45911</v>
      </c>
      <c r="AF255" s="61">
        <v>0.66440972222222228</v>
      </c>
      <c r="AH255" t="s">
        <v>782</v>
      </c>
      <c r="AI255" s="31">
        <v>46030</v>
      </c>
      <c r="AJ255" s="61">
        <v>0.64569444444444446</v>
      </c>
      <c r="AL255" t="s">
        <v>1058</v>
      </c>
      <c r="AN255" t="s">
        <v>384</v>
      </c>
      <c r="AO255" t="s">
        <v>22</v>
      </c>
      <c r="AP255" t="s">
        <v>384</v>
      </c>
      <c r="AR255" s="31">
        <v>46059</v>
      </c>
      <c r="AS255" t="s">
        <v>2119</v>
      </c>
      <c r="AT255" t="s">
        <v>2120</v>
      </c>
      <c r="AU255" t="s">
        <v>2121</v>
      </c>
      <c r="AV255" t="s">
        <v>2122</v>
      </c>
      <c r="AW255" t="s">
        <v>2123</v>
      </c>
      <c r="AX255">
        <v>1</v>
      </c>
    </row>
    <row r="256" spans="1:50" x14ac:dyDescent="0.25">
      <c r="A256" t="s">
        <v>44</v>
      </c>
      <c r="B256">
        <v>585</v>
      </c>
      <c r="D256">
        <v>2557</v>
      </c>
      <c r="G256" t="s">
        <v>2124</v>
      </c>
      <c r="J256" t="s">
        <v>2125</v>
      </c>
      <c r="K256" t="s">
        <v>2126</v>
      </c>
      <c r="M256" t="s">
        <v>2127</v>
      </c>
      <c r="P256" t="s">
        <v>778</v>
      </c>
      <c r="W256" t="s">
        <v>780</v>
      </c>
      <c r="X256" t="s">
        <v>793</v>
      </c>
      <c r="Z256" s="31"/>
      <c r="AA256">
        <v>58088</v>
      </c>
      <c r="AB256">
        <v>645602</v>
      </c>
      <c r="AC256">
        <v>13</v>
      </c>
      <c r="AD256" t="s">
        <v>44</v>
      </c>
      <c r="AE256" s="31">
        <v>45912</v>
      </c>
      <c r="AF256" s="61">
        <v>0.61721064814814819</v>
      </c>
      <c r="AH256" t="s">
        <v>795</v>
      </c>
      <c r="AI256" s="31">
        <v>45925</v>
      </c>
      <c r="AJ256" s="61">
        <v>0.67640046296296297</v>
      </c>
      <c r="AK256" t="s">
        <v>934</v>
      </c>
      <c r="AL256" t="s">
        <v>2128</v>
      </c>
      <c r="AN256" t="s">
        <v>2129</v>
      </c>
      <c r="AP256" t="s">
        <v>2129</v>
      </c>
      <c r="AR256" s="31"/>
      <c r="AX256">
        <v>1</v>
      </c>
    </row>
    <row r="257" spans="1:50" x14ac:dyDescent="0.25">
      <c r="A257" t="s">
        <v>31</v>
      </c>
      <c r="B257">
        <v>587</v>
      </c>
      <c r="D257">
        <v>2559</v>
      </c>
      <c r="G257" t="s">
        <v>2130</v>
      </c>
      <c r="J257" t="s">
        <v>2131</v>
      </c>
      <c r="K257" t="s">
        <v>2132</v>
      </c>
      <c r="M257" t="s">
        <v>1111</v>
      </c>
      <c r="P257" t="s">
        <v>778</v>
      </c>
      <c r="W257" t="s">
        <v>780</v>
      </c>
      <c r="X257" t="s">
        <v>816</v>
      </c>
      <c r="Z257" s="31"/>
      <c r="AA257">
        <v>64200</v>
      </c>
      <c r="AB257">
        <v>254344</v>
      </c>
      <c r="AC257">
        <v>78</v>
      </c>
      <c r="AD257" t="s">
        <v>31</v>
      </c>
      <c r="AE257" s="31">
        <v>45915</v>
      </c>
      <c r="AF257" s="61">
        <v>0.4500925925925926</v>
      </c>
      <c r="AH257" t="s">
        <v>818</v>
      </c>
      <c r="AI257" s="31">
        <v>45993</v>
      </c>
      <c r="AJ257" s="61">
        <v>0.47207175925925932</v>
      </c>
      <c r="AN257" t="s">
        <v>2133</v>
      </c>
      <c r="AP257" t="s">
        <v>2134</v>
      </c>
      <c r="AQ257" t="s">
        <v>2135</v>
      </c>
      <c r="AR257" s="31"/>
      <c r="AX257">
        <v>1</v>
      </c>
    </row>
    <row r="258" spans="1:50" x14ac:dyDescent="0.25">
      <c r="A258" t="s">
        <v>44</v>
      </c>
      <c r="B258">
        <v>589</v>
      </c>
      <c r="D258">
        <v>2561</v>
      </c>
      <c r="G258" t="s">
        <v>2136</v>
      </c>
      <c r="H258">
        <v>7548592000120</v>
      </c>
      <c r="J258" t="s">
        <v>2137</v>
      </c>
      <c r="K258" t="s">
        <v>2138</v>
      </c>
      <c r="M258" t="s">
        <v>2139</v>
      </c>
      <c r="P258" t="s">
        <v>778</v>
      </c>
      <c r="Q258" t="s">
        <v>2080</v>
      </c>
      <c r="R258" t="s">
        <v>956</v>
      </c>
      <c r="S258" t="s">
        <v>814</v>
      </c>
      <c r="V258" t="s">
        <v>1186</v>
      </c>
      <c r="W258" t="s">
        <v>780</v>
      </c>
      <c r="X258" t="s">
        <v>793</v>
      </c>
      <c r="Z258" s="31"/>
      <c r="AA258">
        <v>103032</v>
      </c>
      <c r="AB258">
        <v>696032</v>
      </c>
      <c r="AC258">
        <v>30</v>
      </c>
      <c r="AD258" t="s">
        <v>22</v>
      </c>
      <c r="AE258" s="31">
        <v>45916</v>
      </c>
      <c r="AF258" s="61">
        <v>0.40375</v>
      </c>
      <c r="AH258" t="s">
        <v>795</v>
      </c>
      <c r="AI258" s="31">
        <v>45946</v>
      </c>
      <c r="AJ258" s="61">
        <v>0.5009837962962963</v>
      </c>
      <c r="AK258" t="s">
        <v>796</v>
      </c>
      <c r="AL258" t="s">
        <v>2140</v>
      </c>
      <c r="AN258" t="s">
        <v>2141</v>
      </c>
      <c r="AO258" t="s">
        <v>44</v>
      </c>
      <c r="AP258" t="s">
        <v>2142</v>
      </c>
      <c r="AQ258" t="s">
        <v>2141</v>
      </c>
      <c r="AR258" s="31"/>
      <c r="AX258">
        <v>1</v>
      </c>
    </row>
    <row r="259" spans="1:50" x14ac:dyDescent="0.25">
      <c r="A259" t="s">
        <v>44</v>
      </c>
      <c r="B259">
        <v>590</v>
      </c>
      <c r="D259">
        <v>2561</v>
      </c>
      <c r="G259" t="s">
        <v>2143</v>
      </c>
      <c r="H259">
        <v>7548592000120</v>
      </c>
      <c r="J259" t="s">
        <v>2137</v>
      </c>
      <c r="K259" t="s">
        <v>2138</v>
      </c>
      <c r="M259" t="s">
        <v>2139</v>
      </c>
      <c r="P259" t="s">
        <v>778</v>
      </c>
      <c r="Q259" t="s">
        <v>2080</v>
      </c>
      <c r="R259" t="s">
        <v>956</v>
      </c>
      <c r="S259" t="s">
        <v>814</v>
      </c>
      <c r="V259" t="s">
        <v>1186</v>
      </c>
      <c r="W259" t="s">
        <v>780</v>
      </c>
      <c r="X259" t="s">
        <v>781</v>
      </c>
      <c r="Z259" s="31"/>
      <c r="AC259">
        <v>0</v>
      </c>
      <c r="AD259" t="s">
        <v>44</v>
      </c>
      <c r="AE259" s="31">
        <v>45916</v>
      </c>
      <c r="AF259" s="61">
        <v>0.4065509259259259</v>
      </c>
      <c r="AH259" t="s">
        <v>795</v>
      </c>
      <c r="AI259" s="31">
        <v>45916</v>
      </c>
      <c r="AJ259" s="61">
        <v>0.41540509259259262</v>
      </c>
      <c r="AK259" t="s">
        <v>1226</v>
      </c>
      <c r="AL259" t="s">
        <v>2144</v>
      </c>
      <c r="AR259" s="31"/>
      <c r="AX259">
        <v>1</v>
      </c>
    </row>
    <row r="260" spans="1:50" x14ac:dyDescent="0.25">
      <c r="A260" t="s">
        <v>44</v>
      </c>
      <c r="B260">
        <v>597</v>
      </c>
      <c r="D260">
        <v>2571</v>
      </c>
      <c r="F260" t="s">
        <v>2145</v>
      </c>
      <c r="G260" t="s">
        <v>2146</v>
      </c>
      <c r="H260">
        <v>49872306000127</v>
      </c>
      <c r="J260" t="s">
        <v>2145</v>
      </c>
      <c r="K260" t="s">
        <v>2147</v>
      </c>
      <c r="M260" t="s">
        <v>2148</v>
      </c>
      <c r="P260" t="s">
        <v>778</v>
      </c>
      <c r="Q260" t="s">
        <v>2149</v>
      </c>
      <c r="R260" t="s">
        <v>790</v>
      </c>
      <c r="S260" t="s">
        <v>805</v>
      </c>
      <c r="W260" t="s">
        <v>780</v>
      </c>
      <c r="X260" t="s">
        <v>793</v>
      </c>
      <c r="Z260" s="31"/>
      <c r="AA260">
        <v>7021439</v>
      </c>
      <c r="AB260">
        <v>37362</v>
      </c>
      <c r="AC260">
        <v>14</v>
      </c>
      <c r="AD260" t="s">
        <v>44</v>
      </c>
      <c r="AE260" s="31">
        <v>45919</v>
      </c>
      <c r="AF260" s="61">
        <v>0.65909722222222222</v>
      </c>
      <c r="AH260" t="s">
        <v>795</v>
      </c>
      <c r="AI260" s="31">
        <v>45933</v>
      </c>
      <c r="AJ260" s="61">
        <v>0.40391203703703699</v>
      </c>
      <c r="AK260" t="s">
        <v>858</v>
      </c>
      <c r="AL260" t="s">
        <v>2150</v>
      </c>
      <c r="AN260" t="s">
        <v>2096</v>
      </c>
      <c r="AP260" t="s">
        <v>2096</v>
      </c>
      <c r="AR260" s="31"/>
      <c r="AX260">
        <v>1</v>
      </c>
    </row>
    <row r="261" spans="1:50" x14ac:dyDescent="0.25">
      <c r="A261" t="s">
        <v>22</v>
      </c>
      <c r="B261">
        <v>600</v>
      </c>
      <c r="D261">
        <v>2477</v>
      </c>
      <c r="G261" t="s">
        <v>2151</v>
      </c>
      <c r="J261" t="s">
        <v>802</v>
      </c>
      <c r="K261" t="s">
        <v>2152</v>
      </c>
      <c r="M261" t="s">
        <v>2153</v>
      </c>
      <c r="P261" t="s">
        <v>778</v>
      </c>
      <c r="Q261" t="s">
        <v>923</v>
      </c>
      <c r="S261" t="s">
        <v>814</v>
      </c>
      <c r="V261" t="s">
        <v>1186</v>
      </c>
      <c r="W261" t="s">
        <v>780</v>
      </c>
      <c r="X261" t="s">
        <v>807</v>
      </c>
      <c r="Z261" s="31"/>
      <c r="AC261">
        <v>43</v>
      </c>
      <c r="AD261" t="s">
        <v>22</v>
      </c>
      <c r="AE261" s="31">
        <v>45923</v>
      </c>
      <c r="AF261" s="61">
        <v>0.7016782407407407</v>
      </c>
      <c r="AH261" t="s">
        <v>795</v>
      </c>
      <c r="AI261" s="31">
        <v>45966</v>
      </c>
      <c r="AJ261" s="61">
        <v>0.41437499999999999</v>
      </c>
      <c r="AK261" t="s">
        <v>1226</v>
      </c>
      <c r="AN261" t="s">
        <v>2037</v>
      </c>
      <c r="AO261" t="s">
        <v>22</v>
      </c>
      <c r="AP261" t="s">
        <v>2154</v>
      </c>
      <c r="AR261" s="31"/>
      <c r="AX261">
        <v>1</v>
      </c>
    </row>
    <row r="262" spans="1:50" x14ac:dyDescent="0.25">
      <c r="A262" t="s">
        <v>44</v>
      </c>
      <c r="B262">
        <v>601</v>
      </c>
      <c r="D262">
        <v>2579</v>
      </c>
      <c r="G262" t="s">
        <v>2155</v>
      </c>
      <c r="J262" t="s">
        <v>2156</v>
      </c>
      <c r="K262" t="s">
        <v>2126</v>
      </c>
      <c r="M262" t="s">
        <v>2127</v>
      </c>
      <c r="P262" t="s">
        <v>778</v>
      </c>
      <c r="W262" t="s">
        <v>780</v>
      </c>
      <c r="X262" t="s">
        <v>793</v>
      </c>
      <c r="Z262" s="31"/>
      <c r="AA262">
        <v>1600</v>
      </c>
      <c r="AB262">
        <v>2396</v>
      </c>
      <c r="AC262">
        <v>1</v>
      </c>
      <c r="AD262" t="s">
        <v>44</v>
      </c>
      <c r="AE262" s="31">
        <v>45924</v>
      </c>
      <c r="AF262" s="61">
        <v>0.40835648148148151</v>
      </c>
      <c r="AH262" t="s">
        <v>795</v>
      </c>
      <c r="AI262" s="31">
        <v>45925</v>
      </c>
      <c r="AJ262" s="61">
        <v>0.67701388888888892</v>
      </c>
      <c r="AK262" t="s">
        <v>934</v>
      </c>
      <c r="AL262" t="s">
        <v>2157</v>
      </c>
      <c r="AN262" t="s">
        <v>2129</v>
      </c>
      <c r="AP262" t="s">
        <v>2129</v>
      </c>
      <c r="AR262" s="31"/>
      <c r="AX262">
        <v>1</v>
      </c>
    </row>
    <row r="263" spans="1:50" x14ac:dyDescent="0.25">
      <c r="A263" t="s">
        <v>44</v>
      </c>
      <c r="B263">
        <v>602</v>
      </c>
      <c r="D263">
        <v>2582</v>
      </c>
      <c r="F263" t="s">
        <v>2158</v>
      </c>
      <c r="G263" t="s">
        <v>2159</v>
      </c>
      <c r="H263">
        <v>11392803000155</v>
      </c>
      <c r="J263" t="s">
        <v>2158</v>
      </c>
      <c r="K263" t="s">
        <v>2160</v>
      </c>
      <c r="M263" t="s">
        <v>2161</v>
      </c>
      <c r="P263" t="s">
        <v>778</v>
      </c>
      <c r="Q263" t="s">
        <v>2162</v>
      </c>
      <c r="R263" t="s">
        <v>932</v>
      </c>
      <c r="S263" t="s">
        <v>805</v>
      </c>
      <c r="W263" t="s">
        <v>780</v>
      </c>
      <c r="X263" t="s">
        <v>793</v>
      </c>
      <c r="Z263" s="31"/>
      <c r="AC263">
        <v>42</v>
      </c>
      <c r="AD263" t="s">
        <v>44</v>
      </c>
      <c r="AE263" s="31">
        <v>45924</v>
      </c>
      <c r="AF263" s="61">
        <v>0.59084490740740736</v>
      </c>
      <c r="AH263" t="s">
        <v>795</v>
      </c>
      <c r="AI263" s="31">
        <v>45966</v>
      </c>
      <c r="AJ263" s="61">
        <v>0.39526620370370369</v>
      </c>
      <c r="AK263" t="s">
        <v>796</v>
      </c>
      <c r="AL263" t="s">
        <v>2163</v>
      </c>
      <c r="AP263" t="s">
        <v>2037</v>
      </c>
      <c r="AR263" s="31"/>
      <c r="AX263">
        <v>1</v>
      </c>
    </row>
    <row r="264" spans="1:50" x14ac:dyDescent="0.25">
      <c r="A264" t="s">
        <v>44</v>
      </c>
      <c r="B264">
        <v>603</v>
      </c>
      <c r="D264">
        <v>2581</v>
      </c>
      <c r="G264" t="s">
        <v>2164</v>
      </c>
      <c r="H264">
        <v>8019257000105</v>
      </c>
      <c r="J264" t="s">
        <v>2165</v>
      </c>
      <c r="M264" t="s">
        <v>2166</v>
      </c>
      <c r="P264" t="s">
        <v>778</v>
      </c>
      <c r="Q264" t="s">
        <v>2167</v>
      </c>
      <c r="S264" t="s">
        <v>933</v>
      </c>
      <c r="W264" t="s">
        <v>780</v>
      </c>
      <c r="X264" t="s">
        <v>781</v>
      </c>
      <c r="Z264" s="31"/>
      <c r="AC264">
        <v>13</v>
      </c>
      <c r="AD264" t="s">
        <v>22</v>
      </c>
      <c r="AE264" s="31">
        <v>45924</v>
      </c>
      <c r="AF264" s="61">
        <v>0.66754629629629625</v>
      </c>
      <c r="AH264" t="s">
        <v>795</v>
      </c>
      <c r="AI264" s="31">
        <v>45937</v>
      </c>
      <c r="AJ264" s="61">
        <v>0.61364583333333333</v>
      </c>
      <c r="AK264" t="s">
        <v>858</v>
      </c>
      <c r="AL264" t="s">
        <v>2168</v>
      </c>
      <c r="AO264" t="s">
        <v>44</v>
      </c>
      <c r="AP264" t="s">
        <v>2169</v>
      </c>
      <c r="AR264" s="31"/>
      <c r="AX264">
        <v>1</v>
      </c>
    </row>
    <row r="265" spans="1:50" x14ac:dyDescent="0.25">
      <c r="A265" t="s">
        <v>44</v>
      </c>
      <c r="B265">
        <v>604</v>
      </c>
      <c r="D265">
        <v>2580</v>
      </c>
      <c r="E265" t="s">
        <v>2170</v>
      </c>
      <c r="G265" t="s">
        <v>2171</v>
      </c>
      <c r="J265" t="s">
        <v>2165</v>
      </c>
      <c r="K265" t="s">
        <v>2172</v>
      </c>
      <c r="M265" t="s">
        <v>2173</v>
      </c>
      <c r="P265" t="s">
        <v>778</v>
      </c>
      <c r="S265" t="s">
        <v>933</v>
      </c>
      <c r="W265" t="s">
        <v>780</v>
      </c>
      <c r="X265" t="s">
        <v>781</v>
      </c>
      <c r="Z265" s="31"/>
      <c r="AC265">
        <v>13</v>
      </c>
      <c r="AD265" t="s">
        <v>22</v>
      </c>
      <c r="AE265" s="31">
        <v>45924</v>
      </c>
      <c r="AF265" s="61">
        <v>0.66814814814814816</v>
      </c>
      <c r="AH265" t="s">
        <v>795</v>
      </c>
      <c r="AI265" s="31">
        <v>45937</v>
      </c>
      <c r="AJ265" s="61">
        <v>0.40031250000000002</v>
      </c>
      <c r="AK265" t="s">
        <v>858</v>
      </c>
      <c r="AL265" t="s">
        <v>2174</v>
      </c>
      <c r="AO265" t="s">
        <v>44</v>
      </c>
      <c r="AP265" t="s">
        <v>2169</v>
      </c>
      <c r="AR265" s="31"/>
      <c r="AX265">
        <v>1</v>
      </c>
    </row>
    <row r="266" spans="1:50" x14ac:dyDescent="0.25">
      <c r="A266" t="s">
        <v>44</v>
      </c>
      <c r="B266">
        <v>607</v>
      </c>
      <c r="D266">
        <v>2590</v>
      </c>
      <c r="G266" t="s">
        <v>2175</v>
      </c>
      <c r="H266">
        <v>1099426000107</v>
      </c>
      <c r="J266" t="s">
        <v>2176</v>
      </c>
      <c r="K266" t="s">
        <v>2177</v>
      </c>
      <c r="M266" t="s">
        <v>2178</v>
      </c>
      <c r="P266" t="s">
        <v>778</v>
      </c>
      <c r="W266" t="s">
        <v>780</v>
      </c>
      <c r="X266" t="s">
        <v>807</v>
      </c>
      <c r="Z266" s="31"/>
      <c r="AA266">
        <v>1600</v>
      </c>
      <c r="AB266">
        <v>3360</v>
      </c>
      <c r="AC266">
        <v>62</v>
      </c>
      <c r="AD266" t="s">
        <v>44</v>
      </c>
      <c r="AE266" s="31">
        <v>45925</v>
      </c>
      <c r="AF266" s="61">
        <v>0.66249999999999998</v>
      </c>
      <c r="AH266" t="s">
        <v>795</v>
      </c>
      <c r="AI266" s="31">
        <v>45987</v>
      </c>
      <c r="AJ266" s="61">
        <v>0.59446759259259263</v>
      </c>
      <c r="AK266" t="s">
        <v>796</v>
      </c>
      <c r="AL266" t="s">
        <v>2179</v>
      </c>
      <c r="AN266" t="s">
        <v>2180</v>
      </c>
      <c r="AP266" t="s">
        <v>2180</v>
      </c>
      <c r="AR266" s="31"/>
      <c r="AX266">
        <v>1</v>
      </c>
    </row>
    <row r="267" spans="1:50" x14ac:dyDescent="0.25">
      <c r="A267" t="s">
        <v>44</v>
      </c>
      <c r="B267">
        <v>608</v>
      </c>
      <c r="D267">
        <v>2591</v>
      </c>
      <c r="G267" t="s">
        <v>2181</v>
      </c>
      <c r="H267">
        <v>6302372000159</v>
      </c>
      <c r="J267" t="s">
        <v>2182</v>
      </c>
      <c r="K267" t="s">
        <v>2183</v>
      </c>
      <c r="M267" t="s">
        <v>2184</v>
      </c>
      <c r="P267" t="s">
        <v>778</v>
      </c>
      <c r="W267" t="s">
        <v>780</v>
      </c>
      <c r="X267" t="s">
        <v>816</v>
      </c>
      <c r="Z267" s="31"/>
      <c r="AA267">
        <v>260148</v>
      </c>
      <c r="AB267">
        <v>0</v>
      </c>
      <c r="AC267">
        <v>0</v>
      </c>
      <c r="AD267" t="s">
        <v>44</v>
      </c>
      <c r="AE267" s="31">
        <v>45925</v>
      </c>
      <c r="AF267" s="61">
        <v>0.66907407407407404</v>
      </c>
      <c r="AH267" t="s">
        <v>818</v>
      </c>
      <c r="AI267" s="31">
        <v>45925</v>
      </c>
      <c r="AJ267" s="61">
        <v>0.67554398148148154</v>
      </c>
      <c r="AN267" t="s">
        <v>2102</v>
      </c>
      <c r="AP267" t="s">
        <v>2102</v>
      </c>
      <c r="AR267" s="31"/>
      <c r="AX267">
        <v>1</v>
      </c>
    </row>
    <row r="268" spans="1:50" x14ac:dyDescent="0.25">
      <c r="A268" t="s">
        <v>44</v>
      </c>
      <c r="B268">
        <v>609</v>
      </c>
      <c r="D268">
        <v>2592</v>
      </c>
      <c r="G268" t="s">
        <v>2185</v>
      </c>
      <c r="H268">
        <v>7548592000120</v>
      </c>
      <c r="J268" t="s">
        <v>2186</v>
      </c>
      <c r="K268" t="s">
        <v>2187</v>
      </c>
      <c r="M268" t="s">
        <v>2139</v>
      </c>
      <c r="P268" t="s">
        <v>778</v>
      </c>
      <c r="Q268" t="s">
        <v>2080</v>
      </c>
      <c r="R268" t="s">
        <v>956</v>
      </c>
      <c r="W268" t="s">
        <v>780</v>
      </c>
      <c r="X268" t="s">
        <v>793</v>
      </c>
      <c r="Z268" s="31"/>
      <c r="AA268">
        <v>16200</v>
      </c>
      <c r="AB268">
        <v>2160</v>
      </c>
      <c r="AC268">
        <v>21</v>
      </c>
      <c r="AD268" t="s">
        <v>44</v>
      </c>
      <c r="AE268" s="31">
        <v>45925</v>
      </c>
      <c r="AF268" s="61">
        <v>0.6938657407407407</v>
      </c>
      <c r="AH268" t="s">
        <v>795</v>
      </c>
      <c r="AI268" s="31">
        <v>45946</v>
      </c>
      <c r="AJ268" s="61">
        <v>0.5020486111111111</v>
      </c>
      <c r="AK268" t="s">
        <v>796</v>
      </c>
      <c r="AL268" t="s">
        <v>2188</v>
      </c>
      <c r="AN268" t="s">
        <v>2141</v>
      </c>
      <c r="AP268" t="s">
        <v>2141</v>
      </c>
      <c r="AR268" s="31"/>
      <c r="AX268">
        <v>1</v>
      </c>
    </row>
    <row r="269" spans="1:50" x14ac:dyDescent="0.25">
      <c r="A269" t="s">
        <v>44</v>
      </c>
      <c r="B269">
        <v>610</v>
      </c>
      <c r="D269">
        <v>2595</v>
      </c>
      <c r="G269" t="s">
        <v>2189</v>
      </c>
      <c r="H269">
        <v>7548592000120</v>
      </c>
      <c r="J269" t="s">
        <v>2190</v>
      </c>
      <c r="K269" t="s">
        <v>2187</v>
      </c>
      <c r="M269" t="s">
        <v>2139</v>
      </c>
      <c r="P269" t="s">
        <v>778</v>
      </c>
      <c r="Q269" t="s">
        <v>2080</v>
      </c>
      <c r="R269" t="s">
        <v>956</v>
      </c>
      <c r="W269" t="s">
        <v>780</v>
      </c>
      <c r="X269" t="s">
        <v>793</v>
      </c>
      <c r="Z269" s="31"/>
      <c r="AA269">
        <v>1600</v>
      </c>
      <c r="AB269">
        <v>405552</v>
      </c>
      <c r="AC269">
        <v>21</v>
      </c>
      <c r="AD269" t="s">
        <v>44</v>
      </c>
      <c r="AE269" s="31">
        <v>45925</v>
      </c>
      <c r="AF269" s="61">
        <v>0.69575231481481481</v>
      </c>
      <c r="AH269" t="s">
        <v>795</v>
      </c>
      <c r="AI269" s="31">
        <v>45946</v>
      </c>
      <c r="AJ269" s="61">
        <v>0.50145833333333334</v>
      </c>
      <c r="AK269" t="s">
        <v>796</v>
      </c>
      <c r="AL269" t="s">
        <v>2188</v>
      </c>
      <c r="AN269" t="s">
        <v>2141</v>
      </c>
      <c r="AP269" t="s">
        <v>2141</v>
      </c>
      <c r="AR269" s="31"/>
      <c r="AX269">
        <v>1</v>
      </c>
    </row>
    <row r="270" spans="1:50" x14ac:dyDescent="0.25">
      <c r="A270" t="s">
        <v>31</v>
      </c>
      <c r="B270">
        <v>611</v>
      </c>
      <c r="D270">
        <v>2598</v>
      </c>
      <c r="G270" t="s">
        <v>2191</v>
      </c>
      <c r="H270">
        <v>11861121000306</v>
      </c>
      <c r="J270" t="s">
        <v>2192</v>
      </c>
      <c r="K270" t="s">
        <v>2193</v>
      </c>
      <c r="M270" t="s">
        <v>2194</v>
      </c>
      <c r="P270" t="s">
        <v>778</v>
      </c>
      <c r="Q270" t="s">
        <v>923</v>
      </c>
      <c r="S270" t="s">
        <v>814</v>
      </c>
      <c r="V270" t="s">
        <v>1186</v>
      </c>
      <c r="W270" t="s">
        <v>780</v>
      </c>
      <c r="X270" t="s">
        <v>793</v>
      </c>
      <c r="Z270" s="31"/>
      <c r="AC270">
        <v>28</v>
      </c>
      <c r="AD270" t="s">
        <v>22</v>
      </c>
      <c r="AE270" s="31">
        <v>45926</v>
      </c>
      <c r="AF270" s="61">
        <v>0.42531249999999998</v>
      </c>
      <c r="AH270" t="s">
        <v>795</v>
      </c>
      <c r="AI270" s="31">
        <v>45954</v>
      </c>
      <c r="AJ270" s="61">
        <v>0.50206018518518514</v>
      </c>
      <c r="AK270" t="s">
        <v>867</v>
      </c>
      <c r="AO270" t="s">
        <v>31</v>
      </c>
      <c r="AP270" t="s">
        <v>2195</v>
      </c>
      <c r="AR270" s="31"/>
      <c r="AX270">
        <v>1</v>
      </c>
    </row>
    <row r="271" spans="1:50" x14ac:dyDescent="0.25">
      <c r="A271" t="s">
        <v>44</v>
      </c>
      <c r="B271">
        <v>613</v>
      </c>
      <c r="D271">
        <v>2600</v>
      </c>
      <c r="E271" t="s">
        <v>2196</v>
      </c>
      <c r="G271" t="s">
        <v>2197</v>
      </c>
      <c r="H271">
        <v>221294000181</v>
      </c>
      <c r="J271" t="s">
        <v>2198</v>
      </c>
      <c r="K271" t="s">
        <v>2199</v>
      </c>
      <c r="M271" t="s">
        <v>2200</v>
      </c>
      <c r="P271" t="s">
        <v>778</v>
      </c>
      <c r="Q271" t="s">
        <v>2201</v>
      </c>
      <c r="R271" t="s">
        <v>790</v>
      </c>
      <c r="V271" t="s">
        <v>1419</v>
      </c>
      <c r="W271" t="s">
        <v>780</v>
      </c>
      <c r="X271" t="s">
        <v>807</v>
      </c>
      <c r="Z271" s="31">
        <v>46081</v>
      </c>
      <c r="AA271">
        <v>81786</v>
      </c>
      <c r="AB271">
        <v>79654</v>
      </c>
      <c r="AC271">
        <v>143</v>
      </c>
      <c r="AD271" t="s">
        <v>44</v>
      </c>
      <c r="AE271" s="31">
        <v>45929</v>
      </c>
      <c r="AF271" s="61">
        <v>0.48745370370370372</v>
      </c>
      <c r="AH271" t="s">
        <v>782</v>
      </c>
      <c r="AI271" s="31"/>
      <c r="AJ271" s="61"/>
      <c r="AM271" t="s">
        <v>2202</v>
      </c>
      <c r="AN271" t="s">
        <v>2203</v>
      </c>
      <c r="AO271" t="s">
        <v>44</v>
      </c>
      <c r="AP271" t="s">
        <v>2037</v>
      </c>
      <c r="AR271" s="31">
        <v>46049</v>
      </c>
      <c r="AS271" t="s">
        <v>1423</v>
      </c>
      <c r="AX271">
        <v>1</v>
      </c>
    </row>
    <row r="272" spans="1:50" x14ac:dyDescent="0.25">
      <c r="A272" t="s">
        <v>22</v>
      </c>
      <c r="B272">
        <v>614</v>
      </c>
      <c r="D272">
        <v>2603</v>
      </c>
      <c r="E272" t="s">
        <v>2204</v>
      </c>
      <c r="G272" t="s">
        <v>2205</v>
      </c>
      <c r="H272">
        <v>9517464000144</v>
      </c>
      <c r="J272" t="s">
        <v>2206</v>
      </c>
      <c r="M272" t="s">
        <v>2207</v>
      </c>
      <c r="P272" t="s">
        <v>778</v>
      </c>
      <c r="V272" t="s">
        <v>2118</v>
      </c>
      <c r="W272" t="s">
        <v>780</v>
      </c>
      <c r="X272" t="s">
        <v>807</v>
      </c>
      <c r="Z272" s="31">
        <v>46112</v>
      </c>
      <c r="AA272">
        <v>254760</v>
      </c>
      <c r="AB272">
        <v>1578632</v>
      </c>
      <c r="AC272">
        <v>131</v>
      </c>
      <c r="AD272" t="s">
        <v>22</v>
      </c>
      <c r="AE272" s="31">
        <v>45929</v>
      </c>
      <c r="AF272" s="61">
        <v>0.72163194444444445</v>
      </c>
      <c r="AH272" t="s">
        <v>795</v>
      </c>
      <c r="AI272" s="31">
        <v>46060</v>
      </c>
      <c r="AJ272" s="61">
        <v>0.36658564814814809</v>
      </c>
      <c r="AK272" t="s">
        <v>858</v>
      </c>
      <c r="AL272" t="s">
        <v>2208</v>
      </c>
      <c r="AN272" t="s">
        <v>2209</v>
      </c>
      <c r="AO272" t="s">
        <v>22</v>
      </c>
      <c r="AP272" t="s">
        <v>2209</v>
      </c>
      <c r="AR272" s="31">
        <v>46060</v>
      </c>
      <c r="AS272" t="s">
        <v>2119</v>
      </c>
      <c r="AX272">
        <v>1</v>
      </c>
    </row>
    <row r="273" spans="1:50" x14ac:dyDescent="0.25">
      <c r="A273" t="s">
        <v>22</v>
      </c>
      <c r="B273">
        <v>615</v>
      </c>
      <c r="D273">
        <v>2604</v>
      </c>
      <c r="G273" t="s">
        <v>2210</v>
      </c>
      <c r="H273">
        <v>73114894000114</v>
      </c>
      <c r="J273" t="s">
        <v>2211</v>
      </c>
      <c r="M273" t="s">
        <v>2212</v>
      </c>
      <c r="P273" t="s">
        <v>778</v>
      </c>
      <c r="W273" t="s">
        <v>780</v>
      </c>
      <c r="X273" t="s">
        <v>807</v>
      </c>
      <c r="Z273" s="31"/>
      <c r="AC273">
        <v>0</v>
      </c>
      <c r="AD273" t="s">
        <v>22</v>
      </c>
      <c r="AE273" s="31">
        <v>45929</v>
      </c>
      <c r="AF273" s="61">
        <v>0.72408564814814813</v>
      </c>
      <c r="AH273" t="s">
        <v>795</v>
      </c>
      <c r="AI273" s="31">
        <v>45929</v>
      </c>
      <c r="AJ273" s="61">
        <v>0.72424768518518523</v>
      </c>
      <c r="AK273" t="s">
        <v>867</v>
      </c>
      <c r="AN273" t="s">
        <v>2213</v>
      </c>
      <c r="AO273" t="s">
        <v>22</v>
      </c>
      <c r="AP273" t="s">
        <v>2213</v>
      </c>
      <c r="AR273" s="31"/>
      <c r="AX273">
        <v>1</v>
      </c>
    </row>
    <row r="274" spans="1:50" x14ac:dyDescent="0.25">
      <c r="A274" t="s">
        <v>22</v>
      </c>
      <c r="B274">
        <v>616</v>
      </c>
      <c r="D274">
        <v>2605</v>
      </c>
      <c r="G274" t="s">
        <v>2214</v>
      </c>
      <c r="H274">
        <v>18628799000120</v>
      </c>
      <c r="J274" t="s">
        <v>2215</v>
      </c>
      <c r="K274" t="s">
        <v>2216</v>
      </c>
      <c r="M274" t="s">
        <v>2217</v>
      </c>
      <c r="P274" t="s">
        <v>778</v>
      </c>
      <c r="Q274" t="s">
        <v>1094</v>
      </c>
      <c r="R274" t="s">
        <v>790</v>
      </c>
      <c r="W274" t="s">
        <v>780</v>
      </c>
      <c r="X274" t="s">
        <v>807</v>
      </c>
      <c r="Z274" s="31"/>
      <c r="AC274">
        <v>37</v>
      </c>
      <c r="AD274" t="s">
        <v>22</v>
      </c>
      <c r="AE274" s="31">
        <v>45929</v>
      </c>
      <c r="AF274" s="61">
        <v>0.72835648148148147</v>
      </c>
      <c r="AH274" t="s">
        <v>795</v>
      </c>
      <c r="AI274" s="31">
        <v>45966</v>
      </c>
      <c r="AJ274" s="61">
        <v>0.41305555555555562</v>
      </c>
      <c r="AK274" t="s">
        <v>1226</v>
      </c>
      <c r="AN274" t="s">
        <v>2142</v>
      </c>
      <c r="AO274" t="s">
        <v>22</v>
      </c>
      <c r="AP274" t="s">
        <v>2209</v>
      </c>
      <c r="AR274" s="31"/>
      <c r="AX274">
        <v>1</v>
      </c>
    </row>
    <row r="275" spans="1:50" x14ac:dyDescent="0.25">
      <c r="A275" t="s">
        <v>44</v>
      </c>
      <c r="B275">
        <v>618</v>
      </c>
      <c r="D275">
        <v>2609</v>
      </c>
      <c r="G275" t="s">
        <v>2218</v>
      </c>
      <c r="H275">
        <v>49872306000127</v>
      </c>
      <c r="J275" t="s">
        <v>2219</v>
      </c>
      <c r="K275" t="s">
        <v>2220</v>
      </c>
      <c r="M275" t="s">
        <v>2148</v>
      </c>
      <c r="P275" t="s">
        <v>778</v>
      </c>
      <c r="Q275" t="s">
        <v>2149</v>
      </c>
      <c r="R275" t="s">
        <v>790</v>
      </c>
      <c r="W275" t="s">
        <v>780</v>
      </c>
      <c r="X275" t="s">
        <v>793</v>
      </c>
      <c r="Z275" s="31"/>
      <c r="AA275">
        <v>1600</v>
      </c>
      <c r="AB275">
        <v>2468</v>
      </c>
      <c r="AC275">
        <v>3</v>
      </c>
      <c r="AD275" t="s">
        <v>44</v>
      </c>
      <c r="AE275" s="31">
        <v>45930</v>
      </c>
      <c r="AF275" s="61">
        <v>0.60990740740740745</v>
      </c>
      <c r="AH275" t="s">
        <v>795</v>
      </c>
      <c r="AI275" s="31">
        <v>45933</v>
      </c>
      <c r="AJ275" s="61">
        <v>0.40452546296296299</v>
      </c>
      <c r="AK275" t="s">
        <v>858</v>
      </c>
      <c r="AL275" t="s">
        <v>2150</v>
      </c>
      <c r="AN275" t="s">
        <v>2096</v>
      </c>
      <c r="AP275" t="s">
        <v>2096</v>
      </c>
      <c r="AR275" s="31"/>
      <c r="AX275">
        <v>1</v>
      </c>
    </row>
    <row r="276" spans="1:50" x14ac:dyDescent="0.25">
      <c r="A276" t="s">
        <v>44</v>
      </c>
      <c r="B276">
        <v>619</v>
      </c>
      <c r="D276">
        <v>2614</v>
      </c>
      <c r="G276" t="s">
        <v>2221</v>
      </c>
      <c r="H276">
        <v>1099426000107</v>
      </c>
      <c r="J276" t="s">
        <v>2222</v>
      </c>
      <c r="K276" t="s">
        <v>2177</v>
      </c>
      <c r="M276" t="s">
        <v>2178</v>
      </c>
      <c r="P276" t="s">
        <v>778</v>
      </c>
      <c r="W276" t="s">
        <v>780</v>
      </c>
      <c r="X276" t="s">
        <v>816</v>
      </c>
      <c r="Z276" s="31"/>
      <c r="AA276">
        <v>2527318</v>
      </c>
      <c r="AB276">
        <v>0</v>
      </c>
      <c r="AC276">
        <v>29</v>
      </c>
      <c r="AD276" t="s">
        <v>44</v>
      </c>
      <c r="AE276" s="31">
        <v>45930</v>
      </c>
      <c r="AF276" s="61">
        <v>0.66567129629629629</v>
      </c>
      <c r="AH276" t="s">
        <v>818</v>
      </c>
      <c r="AI276" s="31">
        <v>45959</v>
      </c>
      <c r="AJ276" s="61">
        <v>0.45207175925925919</v>
      </c>
      <c r="AN276" t="s">
        <v>2223</v>
      </c>
      <c r="AR276" s="31"/>
      <c r="AX276">
        <v>1</v>
      </c>
    </row>
    <row r="277" spans="1:50" x14ac:dyDescent="0.25">
      <c r="A277" t="s">
        <v>22</v>
      </c>
      <c r="B277">
        <v>620</v>
      </c>
      <c r="D277">
        <v>2615</v>
      </c>
      <c r="G277" t="s">
        <v>2224</v>
      </c>
      <c r="H277">
        <v>5856090000130</v>
      </c>
      <c r="J277" t="s">
        <v>2225</v>
      </c>
      <c r="M277" t="s">
        <v>2226</v>
      </c>
      <c r="P277" t="s">
        <v>778</v>
      </c>
      <c r="W277" t="s">
        <v>780</v>
      </c>
      <c r="X277" t="s">
        <v>807</v>
      </c>
      <c r="Z277" s="31"/>
      <c r="AC277">
        <v>36</v>
      </c>
      <c r="AD277" t="s">
        <v>22</v>
      </c>
      <c r="AE277" s="31">
        <v>45930</v>
      </c>
      <c r="AF277" s="61">
        <v>0.6699074074074074</v>
      </c>
      <c r="AH277" t="s">
        <v>795</v>
      </c>
      <c r="AI277" s="31">
        <v>45966</v>
      </c>
      <c r="AJ277" s="61">
        <v>0.41229166666666672</v>
      </c>
      <c r="AK277" t="s">
        <v>867</v>
      </c>
      <c r="AN277" t="s">
        <v>2227</v>
      </c>
      <c r="AO277" t="s">
        <v>22</v>
      </c>
      <c r="AP277" t="s">
        <v>2227</v>
      </c>
      <c r="AR277" s="31"/>
      <c r="AX277">
        <v>1</v>
      </c>
    </row>
    <row r="278" spans="1:50" x14ac:dyDescent="0.25">
      <c r="A278" t="s">
        <v>44</v>
      </c>
      <c r="B278">
        <v>621</v>
      </c>
      <c r="D278">
        <v>2616</v>
      </c>
      <c r="G278" t="s">
        <v>2228</v>
      </c>
      <c r="J278" t="s">
        <v>2229</v>
      </c>
      <c r="K278" t="s">
        <v>2230</v>
      </c>
      <c r="M278" t="s">
        <v>2231</v>
      </c>
      <c r="P278" t="s">
        <v>778</v>
      </c>
      <c r="W278" t="s">
        <v>780</v>
      </c>
      <c r="X278" t="s">
        <v>816</v>
      </c>
      <c r="Z278" s="31"/>
      <c r="AA278">
        <v>5406</v>
      </c>
      <c r="AB278">
        <v>0</v>
      </c>
      <c r="AC278">
        <v>0</v>
      </c>
      <c r="AD278" t="s">
        <v>44</v>
      </c>
      <c r="AE278" s="31">
        <v>45930</v>
      </c>
      <c r="AF278" s="61">
        <v>0.68820601851851848</v>
      </c>
      <c r="AH278" t="s">
        <v>818</v>
      </c>
      <c r="AI278" s="31">
        <v>45930</v>
      </c>
      <c r="AJ278" s="61">
        <v>0.68903935185185183</v>
      </c>
      <c r="AN278" t="s">
        <v>2141</v>
      </c>
      <c r="AR278" s="31"/>
      <c r="AX278">
        <v>1</v>
      </c>
    </row>
    <row r="279" spans="1:50" x14ac:dyDescent="0.25">
      <c r="A279" t="s">
        <v>44</v>
      </c>
      <c r="B279">
        <v>622</v>
      </c>
      <c r="D279">
        <v>2617</v>
      </c>
      <c r="G279" t="s">
        <v>2232</v>
      </c>
      <c r="J279" t="s">
        <v>2233</v>
      </c>
      <c r="K279" t="s">
        <v>2234</v>
      </c>
      <c r="M279" t="s">
        <v>2093</v>
      </c>
      <c r="P279" t="s">
        <v>778</v>
      </c>
      <c r="W279" t="s">
        <v>780</v>
      </c>
      <c r="X279" t="s">
        <v>857</v>
      </c>
      <c r="Z279" s="31"/>
      <c r="AA279">
        <v>1600</v>
      </c>
      <c r="AB279">
        <v>2468</v>
      </c>
      <c r="AC279">
        <v>3</v>
      </c>
      <c r="AD279" t="s">
        <v>44</v>
      </c>
      <c r="AE279" s="31">
        <v>45930</v>
      </c>
      <c r="AF279" s="61">
        <v>0.69144675925925925</v>
      </c>
      <c r="AH279" t="s">
        <v>795</v>
      </c>
      <c r="AI279" s="31">
        <v>45933</v>
      </c>
      <c r="AJ279" s="61">
        <v>0.41620370370370369</v>
      </c>
      <c r="AK279" t="s">
        <v>934</v>
      </c>
      <c r="AL279" t="s">
        <v>2095</v>
      </c>
      <c r="AN279" t="s">
        <v>2096</v>
      </c>
      <c r="AP279" t="s">
        <v>2097</v>
      </c>
      <c r="AR279" s="31"/>
      <c r="AX279">
        <v>1</v>
      </c>
    </row>
    <row r="280" spans="1:50" x14ac:dyDescent="0.25">
      <c r="A280" t="s">
        <v>44</v>
      </c>
      <c r="B280">
        <v>623</v>
      </c>
      <c r="D280">
        <v>2618</v>
      </c>
      <c r="G280" t="s">
        <v>2235</v>
      </c>
      <c r="J280" t="s">
        <v>2236</v>
      </c>
      <c r="K280" t="s">
        <v>2234</v>
      </c>
      <c r="M280" t="s">
        <v>2093</v>
      </c>
      <c r="P280" t="s">
        <v>778</v>
      </c>
      <c r="W280" t="s">
        <v>780</v>
      </c>
      <c r="X280" t="s">
        <v>857</v>
      </c>
      <c r="Z280" s="31"/>
      <c r="AA280">
        <v>59360</v>
      </c>
      <c r="AB280">
        <v>27562</v>
      </c>
      <c r="AC280">
        <v>3</v>
      </c>
      <c r="AD280" t="s">
        <v>44</v>
      </c>
      <c r="AE280" s="31">
        <v>45930</v>
      </c>
      <c r="AF280" s="61">
        <v>0.69359953703703703</v>
      </c>
      <c r="AH280" t="s">
        <v>795</v>
      </c>
      <c r="AI280" s="31">
        <v>45933</v>
      </c>
      <c r="AJ280" s="61">
        <v>0.41586805555555562</v>
      </c>
      <c r="AK280" t="s">
        <v>934</v>
      </c>
      <c r="AL280" t="s">
        <v>2095</v>
      </c>
      <c r="AN280" t="s">
        <v>2096</v>
      </c>
      <c r="AP280" t="s">
        <v>2097</v>
      </c>
      <c r="AR280" s="31"/>
      <c r="AX280">
        <v>1</v>
      </c>
    </row>
    <row r="281" spans="1:50" x14ac:dyDescent="0.25">
      <c r="A281" t="s">
        <v>22</v>
      </c>
      <c r="B281">
        <v>624</v>
      </c>
      <c r="D281">
        <v>2619</v>
      </c>
      <c r="G281" t="s">
        <v>2237</v>
      </c>
      <c r="J281" t="s">
        <v>2238</v>
      </c>
      <c r="K281" t="s">
        <v>2239</v>
      </c>
      <c r="M281" t="s">
        <v>1111</v>
      </c>
      <c r="P281" t="s">
        <v>778</v>
      </c>
      <c r="W281" t="s">
        <v>780</v>
      </c>
      <c r="X281" t="s">
        <v>807</v>
      </c>
      <c r="Z281" s="31"/>
      <c r="AC281">
        <v>36</v>
      </c>
      <c r="AD281" t="s">
        <v>22</v>
      </c>
      <c r="AE281" s="31">
        <v>45930</v>
      </c>
      <c r="AF281" s="61">
        <v>0.7330902777777778</v>
      </c>
      <c r="AH281" t="s">
        <v>795</v>
      </c>
      <c r="AI281" s="31">
        <v>45966</v>
      </c>
      <c r="AJ281" s="61">
        <v>0.41091435185185188</v>
      </c>
      <c r="AK281" t="s">
        <v>796</v>
      </c>
      <c r="AN281" t="s">
        <v>2227</v>
      </c>
      <c r="AO281" t="s">
        <v>22</v>
      </c>
      <c r="AP281" t="s">
        <v>2227</v>
      </c>
      <c r="AR281" s="31"/>
      <c r="AX281">
        <v>1</v>
      </c>
    </row>
    <row r="282" spans="1:50" x14ac:dyDescent="0.25">
      <c r="A282" t="s">
        <v>44</v>
      </c>
      <c r="B282">
        <v>628</v>
      </c>
      <c r="D282">
        <v>2622</v>
      </c>
      <c r="G282" t="s">
        <v>2240</v>
      </c>
      <c r="J282" t="s">
        <v>2241</v>
      </c>
      <c r="K282" t="s">
        <v>2242</v>
      </c>
      <c r="M282" t="s">
        <v>2243</v>
      </c>
      <c r="P282" t="s">
        <v>778</v>
      </c>
      <c r="Q282" t="s">
        <v>2244</v>
      </c>
      <c r="S282" t="s">
        <v>814</v>
      </c>
      <c r="V282" t="s">
        <v>1186</v>
      </c>
      <c r="W282" t="s">
        <v>780</v>
      </c>
      <c r="X282" t="s">
        <v>897</v>
      </c>
      <c r="Z282" s="31"/>
      <c r="AC282">
        <v>4</v>
      </c>
      <c r="AD282" t="s">
        <v>22</v>
      </c>
      <c r="AE282" s="31">
        <v>45933</v>
      </c>
      <c r="AF282" s="61">
        <v>0.46578703703703711</v>
      </c>
      <c r="AH282" t="s">
        <v>795</v>
      </c>
      <c r="AI282" s="31">
        <v>45937</v>
      </c>
      <c r="AJ282" s="61">
        <v>0.39880787037037041</v>
      </c>
      <c r="AK282" t="s">
        <v>1358</v>
      </c>
      <c r="AL282" t="s">
        <v>2245</v>
      </c>
      <c r="AO282" t="s">
        <v>44</v>
      </c>
      <c r="AR282" s="31"/>
      <c r="AX282">
        <v>1</v>
      </c>
    </row>
    <row r="283" spans="1:50" x14ac:dyDescent="0.25">
      <c r="A283" t="s">
        <v>44</v>
      </c>
      <c r="B283">
        <v>634</v>
      </c>
      <c r="D283">
        <v>2631</v>
      </c>
      <c r="F283" t="s">
        <v>2246</v>
      </c>
      <c r="G283" t="s">
        <v>2247</v>
      </c>
      <c r="H283">
        <v>43400571000126</v>
      </c>
      <c r="J283" t="s">
        <v>2246</v>
      </c>
      <c r="K283" t="s">
        <v>2248</v>
      </c>
      <c r="M283" t="s">
        <v>2249</v>
      </c>
      <c r="P283" t="s">
        <v>778</v>
      </c>
      <c r="Q283" t="s">
        <v>2250</v>
      </c>
      <c r="R283" t="s">
        <v>790</v>
      </c>
      <c r="S283" t="s">
        <v>805</v>
      </c>
      <c r="W283" t="s">
        <v>780</v>
      </c>
      <c r="X283" t="s">
        <v>793</v>
      </c>
      <c r="Z283" s="31"/>
      <c r="AA283">
        <v>7021439</v>
      </c>
      <c r="AB283">
        <v>417338</v>
      </c>
      <c r="AC283">
        <v>20</v>
      </c>
      <c r="AD283" t="s">
        <v>44</v>
      </c>
      <c r="AE283" s="31">
        <v>45939</v>
      </c>
      <c r="AF283" s="61">
        <v>0.65773148148148153</v>
      </c>
      <c r="AH283" t="s">
        <v>795</v>
      </c>
      <c r="AI283" s="31">
        <v>45959</v>
      </c>
      <c r="AJ283" s="61">
        <v>0.4332523148148148</v>
      </c>
      <c r="AK283" t="s">
        <v>796</v>
      </c>
      <c r="AL283" t="s">
        <v>797</v>
      </c>
      <c r="AN283" t="s">
        <v>2251</v>
      </c>
      <c r="AP283" t="s">
        <v>2251</v>
      </c>
      <c r="AR283" s="31"/>
      <c r="AX283">
        <v>1</v>
      </c>
    </row>
    <row r="284" spans="1:50" x14ac:dyDescent="0.25">
      <c r="A284" t="s">
        <v>44</v>
      </c>
      <c r="B284">
        <v>638</v>
      </c>
      <c r="D284">
        <v>2640</v>
      </c>
      <c r="G284" t="s">
        <v>2252</v>
      </c>
      <c r="J284" t="s">
        <v>2253</v>
      </c>
      <c r="K284" t="s">
        <v>2254</v>
      </c>
      <c r="M284" t="s">
        <v>1111</v>
      </c>
      <c r="P284" t="s">
        <v>778</v>
      </c>
      <c r="W284" t="s">
        <v>780</v>
      </c>
      <c r="X284" t="s">
        <v>807</v>
      </c>
      <c r="Z284" s="31"/>
      <c r="AC284">
        <v>62</v>
      </c>
      <c r="AD284" t="s">
        <v>44</v>
      </c>
      <c r="AE284" s="31">
        <v>45940</v>
      </c>
      <c r="AF284" s="61">
        <v>0.64271990740740736</v>
      </c>
      <c r="AH284" t="s">
        <v>795</v>
      </c>
      <c r="AI284" s="31">
        <v>46002</v>
      </c>
      <c r="AJ284" s="61">
        <v>0.64072916666666668</v>
      </c>
      <c r="AK284" t="s">
        <v>796</v>
      </c>
      <c r="AP284" t="s">
        <v>2251</v>
      </c>
      <c r="AR284" s="31"/>
      <c r="AX284">
        <v>1</v>
      </c>
    </row>
    <row r="285" spans="1:50" x14ac:dyDescent="0.25">
      <c r="A285" t="s">
        <v>22</v>
      </c>
      <c r="B285">
        <v>639</v>
      </c>
      <c r="D285">
        <v>2644</v>
      </c>
      <c r="G285" t="s">
        <v>2255</v>
      </c>
      <c r="J285" t="s">
        <v>2256</v>
      </c>
      <c r="K285" t="s">
        <v>2257</v>
      </c>
      <c r="M285" t="s">
        <v>1111</v>
      </c>
      <c r="P285" t="s">
        <v>778</v>
      </c>
      <c r="W285" t="s">
        <v>780</v>
      </c>
      <c r="X285" t="s">
        <v>807</v>
      </c>
      <c r="Z285" s="31"/>
      <c r="AC285">
        <v>33</v>
      </c>
      <c r="AD285" t="s">
        <v>22</v>
      </c>
      <c r="AE285" s="31">
        <v>45945</v>
      </c>
      <c r="AF285" s="61">
        <v>0.73146990740740736</v>
      </c>
      <c r="AH285" t="s">
        <v>795</v>
      </c>
      <c r="AI285" s="31">
        <v>45978</v>
      </c>
      <c r="AJ285" s="61">
        <v>0.64398148148148149</v>
      </c>
      <c r="AK285" t="s">
        <v>934</v>
      </c>
      <c r="AN285" t="s">
        <v>2258</v>
      </c>
      <c r="AO285" t="s">
        <v>22</v>
      </c>
      <c r="AP285" t="s">
        <v>2258</v>
      </c>
      <c r="AR285" s="31"/>
      <c r="AX285">
        <v>1</v>
      </c>
    </row>
    <row r="286" spans="1:50" x14ac:dyDescent="0.25">
      <c r="A286" t="s">
        <v>44</v>
      </c>
      <c r="B286">
        <v>640</v>
      </c>
      <c r="D286">
        <v>2646</v>
      </c>
      <c r="G286" t="s">
        <v>2259</v>
      </c>
      <c r="J286" t="s">
        <v>2260</v>
      </c>
      <c r="K286" t="s">
        <v>2261</v>
      </c>
      <c r="M286" t="s">
        <v>2262</v>
      </c>
      <c r="P286" t="s">
        <v>778</v>
      </c>
      <c r="W286" t="s">
        <v>780</v>
      </c>
      <c r="X286" t="s">
        <v>816</v>
      </c>
      <c r="Z286" s="31"/>
      <c r="AA286">
        <v>1380825</v>
      </c>
      <c r="AB286">
        <v>0</v>
      </c>
      <c r="AC286">
        <v>0</v>
      </c>
      <c r="AD286" t="s">
        <v>44</v>
      </c>
      <c r="AE286" s="31">
        <v>45946</v>
      </c>
      <c r="AF286" s="61">
        <v>0.61724537037037042</v>
      </c>
      <c r="AH286" t="s">
        <v>818</v>
      </c>
      <c r="AI286" s="31">
        <v>45946</v>
      </c>
      <c r="AJ286" s="61">
        <v>0.61929398148148151</v>
      </c>
      <c r="AN286" t="s">
        <v>2263</v>
      </c>
      <c r="AR286" s="31"/>
      <c r="AX286">
        <v>1</v>
      </c>
    </row>
    <row r="287" spans="1:50" x14ac:dyDescent="0.25">
      <c r="A287" t="s">
        <v>44</v>
      </c>
      <c r="B287">
        <v>641</v>
      </c>
      <c r="D287">
        <v>2647</v>
      </c>
      <c r="G287" t="s">
        <v>2264</v>
      </c>
      <c r="J287" t="s">
        <v>2265</v>
      </c>
      <c r="K287" t="s">
        <v>2266</v>
      </c>
      <c r="M287" t="s">
        <v>2249</v>
      </c>
      <c r="P287" t="s">
        <v>778</v>
      </c>
      <c r="W287" t="s">
        <v>780</v>
      </c>
      <c r="X287" t="s">
        <v>793</v>
      </c>
      <c r="Z287" s="31"/>
      <c r="AA287">
        <v>1600</v>
      </c>
      <c r="AB287">
        <v>3695</v>
      </c>
      <c r="AC287">
        <v>13</v>
      </c>
      <c r="AD287" t="s">
        <v>44</v>
      </c>
      <c r="AE287" s="31">
        <v>45946</v>
      </c>
      <c r="AF287" s="61">
        <v>0.69593749999999999</v>
      </c>
      <c r="AH287" t="s">
        <v>795</v>
      </c>
      <c r="AI287" s="31">
        <v>45959</v>
      </c>
      <c r="AJ287" s="61">
        <v>0.43424768518518519</v>
      </c>
      <c r="AK287" t="s">
        <v>796</v>
      </c>
      <c r="AL287" t="s">
        <v>2267</v>
      </c>
      <c r="AN287" t="s">
        <v>2251</v>
      </c>
      <c r="AP287" t="s">
        <v>2251</v>
      </c>
      <c r="AR287" s="31"/>
      <c r="AX287">
        <v>1</v>
      </c>
    </row>
    <row r="288" spans="1:50" x14ac:dyDescent="0.25">
      <c r="A288" t="s">
        <v>44</v>
      </c>
      <c r="B288">
        <v>642</v>
      </c>
      <c r="D288">
        <v>2648</v>
      </c>
      <c r="E288" t="s">
        <v>2196</v>
      </c>
      <c r="G288" t="s">
        <v>2268</v>
      </c>
      <c r="J288" t="s">
        <v>2269</v>
      </c>
      <c r="K288" t="s">
        <v>2199</v>
      </c>
      <c r="M288" t="s">
        <v>2200</v>
      </c>
      <c r="P288" t="s">
        <v>778</v>
      </c>
      <c r="V288" t="s">
        <v>1419</v>
      </c>
      <c r="W288" t="s">
        <v>780</v>
      </c>
      <c r="X288" t="s">
        <v>807</v>
      </c>
      <c r="Z288" s="31">
        <v>46081</v>
      </c>
      <c r="AA288">
        <v>1600</v>
      </c>
      <c r="AB288">
        <v>335607</v>
      </c>
      <c r="AC288">
        <v>125</v>
      </c>
      <c r="AD288" t="s">
        <v>44</v>
      </c>
      <c r="AE288" s="31">
        <v>45947</v>
      </c>
      <c r="AF288" s="61">
        <v>0.40686342592592589</v>
      </c>
      <c r="AH288" t="s">
        <v>782</v>
      </c>
      <c r="AI288" s="31"/>
      <c r="AJ288" s="61"/>
      <c r="AN288" t="s">
        <v>2203</v>
      </c>
      <c r="AO288" t="s">
        <v>44</v>
      </c>
      <c r="AP288" t="s">
        <v>2202</v>
      </c>
      <c r="AR288" s="31">
        <v>46049</v>
      </c>
      <c r="AS288" t="s">
        <v>1423</v>
      </c>
      <c r="AX288">
        <v>1</v>
      </c>
    </row>
    <row r="289" spans="1:50" x14ac:dyDescent="0.25">
      <c r="A289" t="s">
        <v>44</v>
      </c>
      <c r="B289">
        <v>643</v>
      </c>
      <c r="D289">
        <v>2649</v>
      </c>
      <c r="E289" t="s">
        <v>2270</v>
      </c>
      <c r="G289" t="s">
        <v>2271</v>
      </c>
      <c r="H289">
        <v>43028557000143</v>
      </c>
      <c r="J289" t="s">
        <v>2272</v>
      </c>
      <c r="K289" t="s">
        <v>2261</v>
      </c>
      <c r="M289" t="s">
        <v>2262</v>
      </c>
      <c r="P289" t="s">
        <v>778</v>
      </c>
      <c r="V289" t="s">
        <v>1581</v>
      </c>
      <c r="W289" t="s">
        <v>780</v>
      </c>
      <c r="X289" t="s">
        <v>816</v>
      </c>
      <c r="Z289" s="31">
        <v>45989</v>
      </c>
      <c r="AA289">
        <v>0</v>
      </c>
      <c r="AB289">
        <v>3564</v>
      </c>
      <c r="AC289">
        <v>39</v>
      </c>
      <c r="AD289" t="s">
        <v>44</v>
      </c>
      <c r="AE289" s="31">
        <v>45947</v>
      </c>
      <c r="AF289" s="61">
        <v>0.4088310185185185</v>
      </c>
      <c r="AH289" t="s">
        <v>782</v>
      </c>
      <c r="AI289" s="31">
        <v>45986</v>
      </c>
      <c r="AJ289" s="61">
        <v>0.64263888888888887</v>
      </c>
      <c r="AL289" t="s">
        <v>1058</v>
      </c>
      <c r="AN289" t="s">
        <v>2273</v>
      </c>
      <c r="AO289" t="s">
        <v>44</v>
      </c>
      <c r="AP289" t="s">
        <v>2274</v>
      </c>
      <c r="AR289" s="31">
        <v>46003</v>
      </c>
      <c r="AS289" t="s">
        <v>1012</v>
      </c>
      <c r="AX289">
        <v>1</v>
      </c>
    </row>
    <row r="290" spans="1:50" x14ac:dyDescent="0.25">
      <c r="A290" t="s">
        <v>44</v>
      </c>
      <c r="B290">
        <v>644</v>
      </c>
      <c r="D290">
        <v>2650</v>
      </c>
      <c r="E290" t="s">
        <v>2275</v>
      </c>
      <c r="G290" t="s">
        <v>2276</v>
      </c>
      <c r="H290">
        <v>62499934000177</v>
      </c>
      <c r="J290" t="s">
        <v>2277</v>
      </c>
      <c r="K290" t="s">
        <v>2278</v>
      </c>
      <c r="M290" t="s">
        <v>2279</v>
      </c>
      <c r="P290" t="s">
        <v>778</v>
      </c>
      <c r="Q290" t="s">
        <v>2280</v>
      </c>
      <c r="R290" t="s">
        <v>790</v>
      </c>
      <c r="V290" t="s">
        <v>1581</v>
      </c>
      <c r="W290" t="s">
        <v>780</v>
      </c>
      <c r="X290" t="s">
        <v>807</v>
      </c>
      <c r="Z290" s="31">
        <v>46081</v>
      </c>
      <c r="AA290">
        <v>118908</v>
      </c>
      <c r="AB290">
        <v>1304844</v>
      </c>
      <c r="AC290">
        <v>117</v>
      </c>
      <c r="AD290" t="s">
        <v>44</v>
      </c>
      <c r="AE290" s="31">
        <v>45947</v>
      </c>
      <c r="AF290" s="61">
        <v>0.42344907407407412</v>
      </c>
      <c r="AH290" t="s">
        <v>795</v>
      </c>
      <c r="AI290" s="31">
        <v>46064</v>
      </c>
      <c r="AJ290" s="61">
        <v>0.7311805555555555</v>
      </c>
      <c r="AK290" t="s">
        <v>974</v>
      </c>
      <c r="AL290" t="s">
        <v>2281</v>
      </c>
      <c r="AN290" t="s">
        <v>2282</v>
      </c>
      <c r="AO290" t="s">
        <v>44</v>
      </c>
      <c r="AP290" t="s">
        <v>2274</v>
      </c>
      <c r="AQ290" t="s">
        <v>2283</v>
      </c>
      <c r="AR290" s="31">
        <v>46056</v>
      </c>
      <c r="AS290" t="s">
        <v>1012</v>
      </c>
      <c r="AX290">
        <v>1</v>
      </c>
    </row>
    <row r="291" spans="1:50" x14ac:dyDescent="0.25">
      <c r="A291" t="s">
        <v>44</v>
      </c>
      <c r="B291">
        <v>645</v>
      </c>
      <c r="D291">
        <v>2654</v>
      </c>
      <c r="E291" t="s">
        <v>2275</v>
      </c>
      <c r="G291" t="s">
        <v>2284</v>
      </c>
      <c r="H291">
        <v>62499934000177</v>
      </c>
      <c r="J291" t="s">
        <v>2285</v>
      </c>
      <c r="K291" t="s">
        <v>2278</v>
      </c>
      <c r="M291" t="s">
        <v>2279</v>
      </c>
      <c r="P291" t="s">
        <v>778</v>
      </c>
      <c r="Q291" t="s">
        <v>2280</v>
      </c>
      <c r="R291" t="s">
        <v>790</v>
      </c>
      <c r="V291" t="s">
        <v>1581</v>
      </c>
      <c r="W291" t="s">
        <v>780</v>
      </c>
      <c r="X291" t="s">
        <v>807</v>
      </c>
      <c r="Z291" s="31">
        <v>46081</v>
      </c>
      <c r="AA291">
        <v>1600</v>
      </c>
      <c r="AB291">
        <v>68466</v>
      </c>
      <c r="AC291">
        <v>117</v>
      </c>
      <c r="AD291" t="s">
        <v>44</v>
      </c>
      <c r="AE291" s="31">
        <v>45947</v>
      </c>
      <c r="AF291" s="61">
        <v>0.42556712962962961</v>
      </c>
      <c r="AH291" t="s">
        <v>795</v>
      </c>
      <c r="AI291" s="31">
        <v>46064</v>
      </c>
      <c r="AJ291" s="61">
        <v>0.73228009259259264</v>
      </c>
      <c r="AK291" t="s">
        <v>974</v>
      </c>
      <c r="AL291" t="s">
        <v>2281</v>
      </c>
      <c r="AN291" t="s">
        <v>2286</v>
      </c>
      <c r="AO291" t="s">
        <v>44</v>
      </c>
      <c r="AP291" t="s">
        <v>2286</v>
      </c>
      <c r="AR291" s="31">
        <v>46056</v>
      </c>
      <c r="AS291" t="s">
        <v>1012</v>
      </c>
      <c r="AX291">
        <v>1</v>
      </c>
    </row>
    <row r="292" spans="1:50" x14ac:dyDescent="0.25">
      <c r="A292" t="s">
        <v>44</v>
      </c>
      <c r="B292">
        <v>656</v>
      </c>
      <c r="D292">
        <v>2261</v>
      </c>
      <c r="F292" t="s">
        <v>2287</v>
      </c>
      <c r="G292" t="s">
        <v>2288</v>
      </c>
      <c r="H292">
        <v>37905383000157</v>
      </c>
      <c r="J292" t="s">
        <v>2287</v>
      </c>
      <c r="K292" t="s">
        <v>2289</v>
      </c>
      <c r="M292" t="s">
        <v>2290</v>
      </c>
      <c r="P292" t="s">
        <v>778</v>
      </c>
      <c r="Q292" t="s">
        <v>1094</v>
      </c>
      <c r="R292" t="s">
        <v>790</v>
      </c>
      <c r="S292" t="s">
        <v>805</v>
      </c>
      <c r="W292" t="s">
        <v>780</v>
      </c>
      <c r="X292" t="s">
        <v>857</v>
      </c>
      <c r="Z292" s="31"/>
      <c r="AC292">
        <v>34</v>
      </c>
      <c r="AD292" t="s">
        <v>44</v>
      </c>
      <c r="AE292" s="31">
        <v>45952</v>
      </c>
      <c r="AF292" s="61">
        <v>0.71155092592592595</v>
      </c>
      <c r="AH292" t="s">
        <v>795</v>
      </c>
      <c r="AI292" s="31">
        <v>45986</v>
      </c>
      <c r="AJ292" s="61">
        <v>0.70568287037037036</v>
      </c>
      <c r="AK292" t="s">
        <v>858</v>
      </c>
      <c r="AR292" s="31"/>
      <c r="AX292">
        <v>1</v>
      </c>
    </row>
    <row r="293" spans="1:50" x14ac:dyDescent="0.25">
      <c r="A293" t="s">
        <v>44</v>
      </c>
      <c r="B293">
        <v>657</v>
      </c>
      <c r="D293">
        <v>2659</v>
      </c>
      <c r="G293" t="s">
        <v>2291</v>
      </c>
      <c r="J293" t="s">
        <v>2292</v>
      </c>
      <c r="K293" t="s">
        <v>2293</v>
      </c>
      <c r="M293" t="s">
        <v>2294</v>
      </c>
      <c r="P293" t="s">
        <v>778</v>
      </c>
      <c r="Q293" t="s">
        <v>2295</v>
      </c>
      <c r="S293" t="s">
        <v>814</v>
      </c>
      <c r="V293" t="s">
        <v>1186</v>
      </c>
      <c r="W293" t="s">
        <v>780</v>
      </c>
      <c r="X293" t="s">
        <v>857</v>
      </c>
      <c r="Z293" s="31"/>
      <c r="AA293">
        <v>38380</v>
      </c>
      <c r="AB293">
        <v>107526</v>
      </c>
      <c r="AC293">
        <v>32</v>
      </c>
      <c r="AD293" t="s">
        <v>22</v>
      </c>
      <c r="AE293" s="31">
        <v>45953</v>
      </c>
      <c r="AF293" s="61">
        <v>0.63064814814814818</v>
      </c>
      <c r="AH293" t="s">
        <v>795</v>
      </c>
      <c r="AI293" s="31">
        <v>45985</v>
      </c>
      <c r="AJ293" s="61">
        <v>0.70120370370370366</v>
      </c>
      <c r="AK293" t="s">
        <v>867</v>
      </c>
      <c r="AL293" t="s">
        <v>2296</v>
      </c>
      <c r="AN293" t="s">
        <v>2203</v>
      </c>
      <c r="AO293" t="s">
        <v>44</v>
      </c>
      <c r="AP293" t="s">
        <v>2297</v>
      </c>
      <c r="AR293" s="31"/>
      <c r="AX293">
        <v>1</v>
      </c>
    </row>
    <row r="294" spans="1:50" x14ac:dyDescent="0.25">
      <c r="A294" t="s">
        <v>44</v>
      </c>
      <c r="B294">
        <v>659</v>
      </c>
      <c r="D294">
        <v>2680</v>
      </c>
      <c r="G294" t="s">
        <v>2298</v>
      </c>
      <c r="J294" t="s">
        <v>2299</v>
      </c>
      <c r="K294" t="s">
        <v>2300</v>
      </c>
      <c r="M294" t="s">
        <v>2301</v>
      </c>
      <c r="P294" t="s">
        <v>778</v>
      </c>
      <c r="Q294" t="s">
        <v>923</v>
      </c>
      <c r="S294" t="s">
        <v>814</v>
      </c>
      <c r="V294" t="s">
        <v>1186</v>
      </c>
      <c r="W294" t="s">
        <v>780</v>
      </c>
      <c r="X294" t="s">
        <v>897</v>
      </c>
      <c r="Z294" s="31"/>
      <c r="AC294">
        <v>9</v>
      </c>
      <c r="AD294" t="s">
        <v>22</v>
      </c>
      <c r="AE294" s="31">
        <v>45957</v>
      </c>
      <c r="AF294" s="61">
        <v>0.65108796296296301</v>
      </c>
      <c r="AH294" t="s">
        <v>795</v>
      </c>
      <c r="AI294" s="31">
        <v>45966</v>
      </c>
      <c r="AJ294" s="61">
        <v>0.38394675925925931</v>
      </c>
      <c r="AK294" t="s">
        <v>1358</v>
      </c>
      <c r="AL294" t="s">
        <v>2302</v>
      </c>
      <c r="AO294" t="s">
        <v>44</v>
      </c>
      <c r="AR294" s="31"/>
      <c r="AX294">
        <v>1</v>
      </c>
    </row>
    <row r="295" spans="1:50" x14ac:dyDescent="0.25">
      <c r="A295" t="s">
        <v>44</v>
      </c>
      <c r="B295">
        <v>662</v>
      </c>
      <c r="D295">
        <v>2684</v>
      </c>
      <c r="E295" t="s">
        <v>2303</v>
      </c>
      <c r="F295" t="s">
        <v>2304</v>
      </c>
      <c r="G295" t="s">
        <v>2305</v>
      </c>
      <c r="H295">
        <v>44628219000105</v>
      </c>
      <c r="J295" t="s">
        <v>2304</v>
      </c>
      <c r="K295" t="s">
        <v>2306</v>
      </c>
      <c r="M295" t="s">
        <v>2307</v>
      </c>
      <c r="P295" t="s">
        <v>778</v>
      </c>
      <c r="Q295" t="s">
        <v>2308</v>
      </c>
      <c r="R295" t="s">
        <v>932</v>
      </c>
      <c r="S295" t="s">
        <v>805</v>
      </c>
      <c r="V295" t="s">
        <v>1718</v>
      </c>
      <c r="W295" t="s">
        <v>780</v>
      </c>
      <c r="X295" t="s">
        <v>807</v>
      </c>
      <c r="Z295" s="31">
        <v>46052</v>
      </c>
      <c r="AA295">
        <v>38380</v>
      </c>
      <c r="AB295">
        <v>107526</v>
      </c>
      <c r="AC295">
        <v>80</v>
      </c>
      <c r="AD295" t="s">
        <v>44</v>
      </c>
      <c r="AE295" s="31">
        <v>45958</v>
      </c>
      <c r="AF295" s="61">
        <v>0.42758101851851849</v>
      </c>
      <c r="AH295" t="s">
        <v>795</v>
      </c>
      <c r="AI295" s="31">
        <v>46038</v>
      </c>
      <c r="AJ295" s="61">
        <v>0.66612268518518514</v>
      </c>
      <c r="AK295" t="s">
        <v>934</v>
      </c>
      <c r="AL295" t="s">
        <v>2303</v>
      </c>
      <c r="AN295" t="s">
        <v>2309</v>
      </c>
      <c r="AP295" t="s">
        <v>2203</v>
      </c>
      <c r="AR295" s="31">
        <v>46038</v>
      </c>
      <c r="AX295">
        <v>1</v>
      </c>
    </row>
    <row r="296" spans="1:50" x14ac:dyDescent="0.25">
      <c r="A296" t="s">
        <v>44</v>
      </c>
      <c r="B296">
        <v>665</v>
      </c>
      <c r="D296">
        <v>2692</v>
      </c>
      <c r="E296" t="s">
        <v>2303</v>
      </c>
      <c r="G296" t="s">
        <v>2310</v>
      </c>
      <c r="J296" t="s">
        <v>2311</v>
      </c>
      <c r="K296" t="s">
        <v>2312</v>
      </c>
      <c r="M296" t="s">
        <v>2307</v>
      </c>
      <c r="P296" t="s">
        <v>778</v>
      </c>
      <c r="V296" t="s">
        <v>1718</v>
      </c>
      <c r="W296" t="s">
        <v>780</v>
      </c>
      <c r="X296" t="s">
        <v>807</v>
      </c>
      <c r="Z296" s="31">
        <v>46052</v>
      </c>
      <c r="AA296">
        <v>1600</v>
      </c>
      <c r="AB296">
        <v>2174</v>
      </c>
      <c r="AC296">
        <v>79</v>
      </c>
      <c r="AD296" t="s">
        <v>44</v>
      </c>
      <c r="AE296" s="31">
        <v>45959</v>
      </c>
      <c r="AF296" s="61">
        <v>0.70923611111111107</v>
      </c>
      <c r="AH296" t="s">
        <v>795</v>
      </c>
      <c r="AI296" s="31">
        <v>46038</v>
      </c>
      <c r="AJ296" s="61">
        <v>0.66703703703703698</v>
      </c>
      <c r="AK296" t="s">
        <v>934</v>
      </c>
      <c r="AL296" t="s">
        <v>2303</v>
      </c>
      <c r="AN296" t="s">
        <v>2309</v>
      </c>
      <c r="AP296" t="s">
        <v>2203</v>
      </c>
      <c r="AR296" s="31">
        <v>46038</v>
      </c>
      <c r="AX296">
        <v>1</v>
      </c>
    </row>
    <row r="297" spans="1:50" x14ac:dyDescent="0.25">
      <c r="A297" t="s">
        <v>44</v>
      </c>
      <c r="B297">
        <v>667</v>
      </c>
      <c r="D297">
        <v>2698</v>
      </c>
      <c r="G297" t="s">
        <v>2313</v>
      </c>
      <c r="J297" t="s">
        <v>2314</v>
      </c>
      <c r="K297" t="s">
        <v>2315</v>
      </c>
      <c r="M297" t="s">
        <v>2294</v>
      </c>
      <c r="P297" t="s">
        <v>778</v>
      </c>
      <c r="W297" t="s">
        <v>780</v>
      </c>
      <c r="X297" t="s">
        <v>857</v>
      </c>
      <c r="Z297" s="31"/>
      <c r="AA297">
        <v>1600</v>
      </c>
      <c r="AB297">
        <v>21746</v>
      </c>
      <c r="AC297">
        <v>25</v>
      </c>
      <c r="AD297" t="s">
        <v>44</v>
      </c>
      <c r="AE297" s="31">
        <v>45960</v>
      </c>
      <c r="AF297" s="61">
        <v>0.45494212962962971</v>
      </c>
      <c r="AH297" t="s">
        <v>795</v>
      </c>
      <c r="AI297" s="31">
        <v>45985</v>
      </c>
      <c r="AJ297" s="61">
        <v>0.70178240740740738</v>
      </c>
      <c r="AK297" t="s">
        <v>867</v>
      </c>
      <c r="AL297" t="s">
        <v>2296</v>
      </c>
      <c r="AN297" t="s">
        <v>2203</v>
      </c>
      <c r="AP297" t="s">
        <v>2297</v>
      </c>
      <c r="AR297" s="31"/>
      <c r="AX297">
        <v>1</v>
      </c>
    </row>
    <row r="298" spans="1:50" x14ac:dyDescent="0.25">
      <c r="A298" t="s">
        <v>44</v>
      </c>
      <c r="B298">
        <v>669</v>
      </c>
      <c r="D298">
        <v>2718</v>
      </c>
      <c r="G298" t="s">
        <v>2316</v>
      </c>
      <c r="J298" t="s">
        <v>2317</v>
      </c>
      <c r="K298" t="s">
        <v>2318</v>
      </c>
      <c r="M298" t="s">
        <v>1111</v>
      </c>
      <c r="P298" t="s">
        <v>778</v>
      </c>
      <c r="W298" t="s">
        <v>780</v>
      </c>
      <c r="X298" t="s">
        <v>793</v>
      </c>
      <c r="Z298" s="31"/>
      <c r="AA298">
        <v>0</v>
      </c>
      <c r="AB298">
        <v>2185</v>
      </c>
      <c r="AC298">
        <v>26</v>
      </c>
      <c r="AD298" t="s">
        <v>44</v>
      </c>
      <c r="AE298" s="31">
        <v>45961</v>
      </c>
      <c r="AF298" s="61">
        <v>0.4906712962962963</v>
      </c>
      <c r="AH298" t="s">
        <v>795</v>
      </c>
      <c r="AI298" s="31">
        <v>45987</v>
      </c>
      <c r="AJ298" s="61">
        <v>0.5857175925925926</v>
      </c>
      <c r="AK298" t="s">
        <v>796</v>
      </c>
      <c r="AL298" t="s">
        <v>2319</v>
      </c>
      <c r="AN298" t="s">
        <v>2282</v>
      </c>
      <c r="AP298" t="s">
        <v>2282</v>
      </c>
      <c r="AR298" s="31"/>
      <c r="AX298">
        <v>1</v>
      </c>
    </row>
    <row r="299" spans="1:50" x14ac:dyDescent="0.25">
      <c r="A299" t="s">
        <v>31</v>
      </c>
      <c r="B299">
        <v>672</v>
      </c>
      <c r="D299">
        <v>2729</v>
      </c>
      <c r="E299" t="s">
        <v>2320</v>
      </c>
      <c r="G299" t="s">
        <v>2321</v>
      </c>
      <c r="J299" t="s">
        <v>2322</v>
      </c>
      <c r="K299" t="s">
        <v>2323</v>
      </c>
      <c r="M299" t="s">
        <v>1111</v>
      </c>
      <c r="P299" t="s">
        <v>778</v>
      </c>
      <c r="S299" t="s">
        <v>933</v>
      </c>
      <c r="V299" t="s">
        <v>1419</v>
      </c>
      <c r="W299" t="s">
        <v>780</v>
      </c>
      <c r="X299" t="s">
        <v>807</v>
      </c>
      <c r="Z299" s="31">
        <v>46112</v>
      </c>
      <c r="AA299">
        <v>46200</v>
      </c>
      <c r="AB299">
        <v>146047</v>
      </c>
      <c r="AC299">
        <v>108</v>
      </c>
      <c r="AD299" t="s">
        <v>31</v>
      </c>
      <c r="AE299" s="31">
        <v>45964</v>
      </c>
      <c r="AF299" s="61">
        <v>0.65491898148148153</v>
      </c>
      <c r="AH299" t="s">
        <v>782</v>
      </c>
      <c r="AI299" s="31"/>
      <c r="AJ299" s="61"/>
      <c r="AN299" t="s">
        <v>2324</v>
      </c>
      <c r="AO299" t="s">
        <v>31</v>
      </c>
      <c r="AP299" t="s">
        <v>2325</v>
      </c>
      <c r="AQ299" t="s">
        <v>2326</v>
      </c>
      <c r="AR299" s="31">
        <v>46058</v>
      </c>
      <c r="AS299" t="s">
        <v>1423</v>
      </c>
      <c r="AX299">
        <v>1</v>
      </c>
    </row>
    <row r="300" spans="1:50" x14ac:dyDescent="0.25">
      <c r="A300" t="s">
        <v>22</v>
      </c>
      <c r="B300">
        <v>673</v>
      </c>
      <c r="D300">
        <v>2730</v>
      </c>
      <c r="E300" t="s">
        <v>2327</v>
      </c>
      <c r="G300" t="s">
        <v>2328</v>
      </c>
      <c r="H300">
        <v>22949063000121</v>
      </c>
      <c r="J300" t="s">
        <v>2329</v>
      </c>
      <c r="K300" t="s">
        <v>2330</v>
      </c>
      <c r="M300" t="s">
        <v>2331</v>
      </c>
      <c r="P300" t="s">
        <v>778</v>
      </c>
      <c r="Q300" t="s">
        <v>1094</v>
      </c>
      <c r="R300" t="s">
        <v>790</v>
      </c>
      <c r="S300" t="s">
        <v>791</v>
      </c>
      <c r="V300" t="s">
        <v>1718</v>
      </c>
      <c r="W300" t="s">
        <v>780</v>
      </c>
      <c r="X300" t="s">
        <v>807</v>
      </c>
      <c r="Z300" s="31">
        <v>46053</v>
      </c>
      <c r="AA300">
        <v>20000</v>
      </c>
      <c r="AB300">
        <v>5880</v>
      </c>
      <c r="AC300">
        <v>94</v>
      </c>
      <c r="AD300" t="s">
        <v>22</v>
      </c>
      <c r="AE300" s="31">
        <v>45966</v>
      </c>
      <c r="AF300" s="61">
        <v>0.45071759259259259</v>
      </c>
      <c r="AH300" t="s">
        <v>795</v>
      </c>
      <c r="AI300" s="31">
        <v>46060</v>
      </c>
      <c r="AJ300" s="61">
        <v>0.36284722222222221</v>
      </c>
      <c r="AK300" t="s">
        <v>974</v>
      </c>
      <c r="AL300" t="s">
        <v>2332</v>
      </c>
      <c r="AN300" t="s">
        <v>2333</v>
      </c>
      <c r="AO300" t="s">
        <v>22</v>
      </c>
      <c r="AP300" t="s">
        <v>2334</v>
      </c>
      <c r="AR300" s="31">
        <v>46045</v>
      </c>
      <c r="AS300" t="s">
        <v>2119</v>
      </c>
      <c r="AX300">
        <v>1</v>
      </c>
    </row>
    <row r="301" spans="1:50" x14ac:dyDescent="0.25">
      <c r="A301" t="s">
        <v>44</v>
      </c>
      <c r="B301">
        <v>674</v>
      </c>
      <c r="D301">
        <v>2733</v>
      </c>
      <c r="F301" t="s">
        <v>2335</v>
      </c>
      <c r="G301" t="s">
        <v>2336</v>
      </c>
      <c r="H301">
        <v>4911908000370</v>
      </c>
      <c r="J301" t="s">
        <v>2335</v>
      </c>
      <c r="K301" t="s">
        <v>2337</v>
      </c>
      <c r="M301" t="s">
        <v>2338</v>
      </c>
      <c r="P301" t="s">
        <v>778</v>
      </c>
      <c r="Q301" t="s">
        <v>2339</v>
      </c>
      <c r="R301" t="s">
        <v>790</v>
      </c>
      <c r="S301" t="s">
        <v>805</v>
      </c>
      <c r="W301" t="s">
        <v>780</v>
      </c>
      <c r="X301" t="s">
        <v>793</v>
      </c>
      <c r="Z301" s="31"/>
      <c r="AA301">
        <v>81786</v>
      </c>
      <c r="AB301">
        <v>914979</v>
      </c>
      <c r="AC301">
        <v>21</v>
      </c>
      <c r="AD301" t="s">
        <v>44</v>
      </c>
      <c r="AE301" s="31">
        <v>45966</v>
      </c>
      <c r="AF301" s="61">
        <v>0.64677083333333329</v>
      </c>
      <c r="AH301" t="s">
        <v>795</v>
      </c>
      <c r="AI301" s="31">
        <v>45987</v>
      </c>
      <c r="AJ301" s="61">
        <v>0.5209259259259259</v>
      </c>
      <c r="AK301" t="s">
        <v>858</v>
      </c>
      <c r="AL301" t="s">
        <v>2340</v>
      </c>
      <c r="AN301" t="s">
        <v>2286</v>
      </c>
      <c r="AP301" t="s">
        <v>2341</v>
      </c>
      <c r="AR301" s="31"/>
      <c r="AX301">
        <v>1</v>
      </c>
    </row>
    <row r="302" spans="1:50" x14ac:dyDescent="0.25">
      <c r="A302" t="s">
        <v>44</v>
      </c>
      <c r="B302">
        <v>680</v>
      </c>
      <c r="D302">
        <v>2755</v>
      </c>
      <c r="G302" t="s">
        <v>2342</v>
      </c>
      <c r="J302" t="s">
        <v>2343</v>
      </c>
      <c r="K302" t="s">
        <v>1549</v>
      </c>
      <c r="M302" t="s">
        <v>1522</v>
      </c>
      <c r="P302" t="s">
        <v>778</v>
      </c>
      <c r="W302" t="s">
        <v>780</v>
      </c>
      <c r="X302" t="s">
        <v>816</v>
      </c>
      <c r="Z302" s="31"/>
      <c r="AA302">
        <v>0</v>
      </c>
      <c r="AB302">
        <v>3564</v>
      </c>
      <c r="AC302">
        <v>13</v>
      </c>
      <c r="AD302" t="s">
        <v>44</v>
      </c>
      <c r="AE302" s="31">
        <v>45973</v>
      </c>
      <c r="AF302" s="61">
        <v>0.43079861111111112</v>
      </c>
      <c r="AH302" t="s">
        <v>818</v>
      </c>
      <c r="AI302" s="31">
        <v>45986</v>
      </c>
      <c r="AJ302" s="61">
        <v>0.64148148148148143</v>
      </c>
      <c r="AN302" t="s">
        <v>2341</v>
      </c>
      <c r="AP302" t="s">
        <v>2341</v>
      </c>
      <c r="AR302" s="31"/>
      <c r="AX302">
        <v>1</v>
      </c>
    </row>
    <row r="303" spans="1:50" x14ac:dyDescent="0.25">
      <c r="A303" t="s">
        <v>44</v>
      </c>
      <c r="B303">
        <v>681</v>
      </c>
      <c r="D303">
        <v>2756</v>
      </c>
      <c r="E303" t="s">
        <v>2344</v>
      </c>
      <c r="G303" t="s">
        <v>2345</v>
      </c>
      <c r="H303">
        <v>43252675000130</v>
      </c>
      <c r="J303" t="s">
        <v>2346</v>
      </c>
      <c r="K303" t="s">
        <v>2347</v>
      </c>
      <c r="M303" t="s">
        <v>2348</v>
      </c>
      <c r="P303" t="s">
        <v>778</v>
      </c>
      <c r="Q303" t="s">
        <v>1787</v>
      </c>
      <c r="R303" t="s">
        <v>790</v>
      </c>
      <c r="V303" t="s">
        <v>1581</v>
      </c>
      <c r="W303" t="s">
        <v>780</v>
      </c>
      <c r="X303" t="s">
        <v>816</v>
      </c>
      <c r="Z303" s="31">
        <v>46022</v>
      </c>
      <c r="AA303">
        <v>22000</v>
      </c>
      <c r="AB303">
        <v>1800</v>
      </c>
      <c r="AC303">
        <v>54</v>
      </c>
      <c r="AD303" t="s">
        <v>44</v>
      </c>
      <c r="AE303" s="31">
        <v>45973</v>
      </c>
      <c r="AF303" s="61">
        <v>0.6058217592592593</v>
      </c>
      <c r="AH303" t="s">
        <v>818</v>
      </c>
      <c r="AI303" s="31">
        <v>46027</v>
      </c>
      <c r="AJ303" s="61">
        <v>0.61912037037037038</v>
      </c>
      <c r="AN303" t="s">
        <v>2341</v>
      </c>
      <c r="AO303" t="s">
        <v>44</v>
      </c>
      <c r="AP303" t="s">
        <v>2341</v>
      </c>
      <c r="AQ303" t="s">
        <v>2349</v>
      </c>
      <c r="AR303" s="31">
        <v>46003</v>
      </c>
      <c r="AX303">
        <v>1</v>
      </c>
    </row>
    <row r="304" spans="1:50" x14ac:dyDescent="0.25">
      <c r="A304" t="s">
        <v>44</v>
      </c>
      <c r="B304">
        <v>684</v>
      </c>
      <c r="D304">
        <v>2760</v>
      </c>
      <c r="G304" t="s">
        <v>2350</v>
      </c>
      <c r="J304" t="s">
        <v>2351</v>
      </c>
      <c r="K304" t="s">
        <v>2352</v>
      </c>
      <c r="M304" t="s">
        <v>2353</v>
      </c>
      <c r="P304" t="s">
        <v>778</v>
      </c>
      <c r="V304" t="s">
        <v>1718</v>
      </c>
      <c r="W304" t="s">
        <v>780</v>
      </c>
      <c r="X304" t="s">
        <v>793</v>
      </c>
      <c r="Z304" s="31"/>
      <c r="AA304">
        <v>106400</v>
      </c>
      <c r="AB304">
        <v>1419164</v>
      </c>
      <c r="AC304">
        <v>13</v>
      </c>
      <c r="AD304" t="s">
        <v>44</v>
      </c>
      <c r="AE304" s="31">
        <v>45974</v>
      </c>
      <c r="AF304" s="61">
        <v>0.5064467592592593</v>
      </c>
      <c r="AH304" t="s">
        <v>795</v>
      </c>
      <c r="AI304" s="31">
        <v>45987</v>
      </c>
      <c r="AJ304" s="61">
        <v>0.53358796296296296</v>
      </c>
      <c r="AK304" t="s">
        <v>796</v>
      </c>
      <c r="AL304" t="s">
        <v>2354</v>
      </c>
      <c r="AN304" t="s">
        <v>2355</v>
      </c>
      <c r="AP304" t="s">
        <v>2355</v>
      </c>
      <c r="AR304" s="31"/>
      <c r="AX304">
        <v>1</v>
      </c>
    </row>
    <row r="305" spans="1:50" x14ac:dyDescent="0.25">
      <c r="A305" t="s">
        <v>31</v>
      </c>
      <c r="B305">
        <v>685</v>
      </c>
      <c r="D305">
        <v>2761</v>
      </c>
      <c r="F305" t="s">
        <v>2356</v>
      </c>
      <c r="G305" t="s">
        <v>2357</v>
      </c>
      <c r="H305">
        <v>42517186000109</v>
      </c>
      <c r="J305" t="s">
        <v>2356</v>
      </c>
      <c r="K305" t="s">
        <v>2358</v>
      </c>
      <c r="M305" t="s">
        <v>2359</v>
      </c>
      <c r="P305" t="s">
        <v>778</v>
      </c>
      <c r="Q305" t="s">
        <v>2360</v>
      </c>
      <c r="R305" t="s">
        <v>790</v>
      </c>
      <c r="S305" t="s">
        <v>805</v>
      </c>
      <c r="W305" t="s">
        <v>780</v>
      </c>
      <c r="X305" t="s">
        <v>781</v>
      </c>
      <c r="Z305" s="31"/>
      <c r="AC305">
        <v>0</v>
      </c>
      <c r="AD305" t="s">
        <v>31</v>
      </c>
      <c r="AE305" s="31">
        <v>45974</v>
      </c>
      <c r="AF305" s="61">
        <v>0.67355324074074074</v>
      </c>
      <c r="AH305" t="s">
        <v>795</v>
      </c>
      <c r="AI305" s="31">
        <v>45974</v>
      </c>
      <c r="AJ305" s="61">
        <v>0.6752893518518519</v>
      </c>
      <c r="AK305" t="s">
        <v>867</v>
      </c>
      <c r="AO305" t="s">
        <v>31</v>
      </c>
      <c r="AR305" s="31"/>
      <c r="AX305">
        <v>1</v>
      </c>
    </row>
    <row r="306" spans="1:50" x14ac:dyDescent="0.25">
      <c r="A306" t="s">
        <v>44</v>
      </c>
      <c r="B306">
        <v>690</v>
      </c>
      <c r="D306">
        <v>2872</v>
      </c>
      <c r="G306" t="s">
        <v>2361</v>
      </c>
      <c r="J306" t="s">
        <v>2362</v>
      </c>
      <c r="K306" t="s">
        <v>1579</v>
      </c>
      <c r="M306" t="s">
        <v>1111</v>
      </c>
      <c r="P306" t="s">
        <v>778</v>
      </c>
      <c r="V306" t="s">
        <v>1704</v>
      </c>
      <c r="W306" t="s">
        <v>780</v>
      </c>
      <c r="X306" t="s">
        <v>816</v>
      </c>
      <c r="Z306" s="31">
        <v>45987</v>
      </c>
      <c r="AA306">
        <v>0</v>
      </c>
      <c r="AB306">
        <v>114048</v>
      </c>
      <c r="AC306">
        <v>16</v>
      </c>
      <c r="AD306" t="s">
        <v>44</v>
      </c>
      <c r="AE306" s="31">
        <v>45985</v>
      </c>
      <c r="AF306" s="61">
        <v>0.70365740740740745</v>
      </c>
      <c r="AH306" t="s">
        <v>818</v>
      </c>
      <c r="AI306" s="31">
        <v>46001</v>
      </c>
      <c r="AJ306" s="61">
        <v>0.42643518518518519</v>
      </c>
      <c r="AN306" t="s">
        <v>2363</v>
      </c>
      <c r="AP306" t="s">
        <v>2363</v>
      </c>
      <c r="AR306" s="31"/>
      <c r="AX306">
        <v>1</v>
      </c>
    </row>
    <row r="307" spans="1:50" x14ac:dyDescent="0.25">
      <c r="A307" t="s">
        <v>44</v>
      </c>
      <c r="B307">
        <v>692</v>
      </c>
      <c r="D307">
        <v>2880</v>
      </c>
      <c r="G307" t="s">
        <v>2364</v>
      </c>
      <c r="J307" t="s">
        <v>2365</v>
      </c>
      <c r="K307" t="s">
        <v>2352</v>
      </c>
      <c r="M307" t="s">
        <v>2353</v>
      </c>
      <c r="P307" t="s">
        <v>778</v>
      </c>
      <c r="V307" t="s">
        <v>1718</v>
      </c>
      <c r="W307" t="s">
        <v>780</v>
      </c>
      <c r="X307" t="s">
        <v>793</v>
      </c>
      <c r="Z307" s="31"/>
      <c r="AA307">
        <v>1600</v>
      </c>
      <c r="AB307">
        <v>860304</v>
      </c>
      <c r="AC307">
        <v>1</v>
      </c>
      <c r="AD307" t="s">
        <v>44</v>
      </c>
      <c r="AE307" s="31">
        <v>45986</v>
      </c>
      <c r="AF307" s="61">
        <v>0.62754629629629632</v>
      </c>
      <c r="AH307" t="s">
        <v>795</v>
      </c>
      <c r="AI307" s="31">
        <v>45987</v>
      </c>
      <c r="AJ307" s="61">
        <v>0.53437500000000004</v>
      </c>
      <c r="AK307" t="s">
        <v>796</v>
      </c>
      <c r="AL307" t="s">
        <v>2366</v>
      </c>
      <c r="AN307" t="s">
        <v>2355</v>
      </c>
      <c r="AP307" t="s">
        <v>2355</v>
      </c>
      <c r="AR307" s="31"/>
      <c r="AX307">
        <v>1</v>
      </c>
    </row>
    <row r="308" spans="1:50" x14ac:dyDescent="0.25">
      <c r="A308" t="s">
        <v>44</v>
      </c>
      <c r="B308">
        <v>693</v>
      </c>
      <c r="D308">
        <v>2881</v>
      </c>
      <c r="G308" t="s">
        <v>2367</v>
      </c>
      <c r="J308" t="s">
        <v>2368</v>
      </c>
      <c r="K308" t="s">
        <v>2369</v>
      </c>
      <c r="M308" t="s">
        <v>1111</v>
      </c>
      <c r="P308" t="s">
        <v>778</v>
      </c>
      <c r="W308" t="s">
        <v>780</v>
      </c>
      <c r="X308" t="s">
        <v>781</v>
      </c>
      <c r="Z308" s="31"/>
      <c r="AA308">
        <v>330714</v>
      </c>
      <c r="AB308">
        <v>0</v>
      </c>
      <c r="AC308">
        <v>0</v>
      </c>
      <c r="AD308" t="s">
        <v>44</v>
      </c>
      <c r="AE308" s="31">
        <v>45986</v>
      </c>
      <c r="AF308" s="61">
        <v>0.65606481481481482</v>
      </c>
      <c r="AH308" t="s">
        <v>818</v>
      </c>
      <c r="AI308" s="31">
        <v>45986</v>
      </c>
      <c r="AJ308" s="61">
        <v>0.65793981481481478</v>
      </c>
      <c r="AN308" t="s">
        <v>2283</v>
      </c>
      <c r="AP308" t="s">
        <v>2283</v>
      </c>
      <c r="AR308" s="31"/>
      <c r="AX308">
        <v>1</v>
      </c>
    </row>
    <row r="309" spans="1:50" x14ac:dyDescent="0.25">
      <c r="A309" t="s">
        <v>44</v>
      </c>
      <c r="B309">
        <v>694</v>
      </c>
      <c r="D309">
        <v>2882</v>
      </c>
      <c r="G309" t="s">
        <v>2370</v>
      </c>
      <c r="J309" t="s">
        <v>2371</v>
      </c>
      <c r="K309" t="s">
        <v>2372</v>
      </c>
      <c r="M309" t="s">
        <v>1111</v>
      </c>
      <c r="P309" t="s">
        <v>778</v>
      </c>
      <c r="V309" t="s">
        <v>1718</v>
      </c>
      <c r="W309" t="s">
        <v>780</v>
      </c>
      <c r="X309" t="s">
        <v>793</v>
      </c>
      <c r="Z309" s="31">
        <v>46023</v>
      </c>
      <c r="AA309">
        <v>16960</v>
      </c>
      <c r="AB309">
        <v>450</v>
      </c>
      <c r="AC309">
        <v>15</v>
      </c>
      <c r="AD309" t="s">
        <v>44</v>
      </c>
      <c r="AE309" s="31">
        <v>45986</v>
      </c>
      <c r="AF309" s="61">
        <v>0.66625000000000001</v>
      </c>
      <c r="AH309" t="s">
        <v>795</v>
      </c>
      <c r="AI309" s="31">
        <v>46001</v>
      </c>
      <c r="AJ309" s="61">
        <v>0.39305555555555549</v>
      </c>
      <c r="AK309" t="s">
        <v>796</v>
      </c>
      <c r="AL309" t="s">
        <v>2373</v>
      </c>
      <c r="AN309" t="s">
        <v>2286</v>
      </c>
      <c r="AP309" t="s">
        <v>2286</v>
      </c>
      <c r="AR309" s="31"/>
      <c r="AX309">
        <v>1</v>
      </c>
    </row>
    <row r="310" spans="1:50" x14ac:dyDescent="0.25">
      <c r="A310" t="s">
        <v>44</v>
      </c>
      <c r="B310">
        <v>695</v>
      </c>
      <c r="D310">
        <v>2883</v>
      </c>
      <c r="G310" t="s">
        <v>2374</v>
      </c>
      <c r="H310">
        <v>57524096000104</v>
      </c>
      <c r="J310" t="s">
        <v>2375</v>
      </c>
      <c r="K310" t="s">
        <v>2376</v>
      </c>
      <c r="M310" t="s">
        <v>2377</v>
      </c>
      <c r="P310" t="s">
        <v>778</v>
      </c>
      <c r="Q310" t="s">
        <v>2378</v>
      </c>
      <c r="R310" t="s">
        <v>2379</v>
      </c>
      <c r="V310" t="s">
        <v>1718</v>
      </c>
      <c r="W310" t="s">
        <v>780</v>
      </c>
      <c r="X310" t="s">
        <v>857</v>
      </c>
      <c r="Z310" s="31"/>
      <c r="AC310">
        <v>8</v>
      </c>
      <c r="AD310" t="s">
        <v>44</v>
      </c>
      <c r="AE310" s="31">
        <v>45986</v>
      </c>
      <c r="AF310" s="61">
        <v>0.68422453703703701</v>
      </c>
      <c r="AH310" t="s">
        <v>795</v>
      </c>
      <c r="AI310" s="31">
        <v>45994</v>
      </c>
      <c r="AJ310" s="61">
        <v>0.66239583333333329</v>
      </c>
      <c r="AK310" t="s">
        <v>796</v>
      </c>
      <c r="AL310" t="s">
        <v>2380</v>
      </c>
      <c r="AN310" t="s">
        <v>2349</v>
      </c>
      <c r="AP310" t="s">
        <v>2273</v>
      </c>
      <c r="AR310" s="31"/>
      <c r="AX310">
        <v>1</v>
      </c>
    </row>
    <row r="311" spans="1:50" x14ac:dyDescent="0.25">
      <c r="A311" t="s">
        <v>44</v>
      </c>
      <c r="B311">
        <v>696</v>
      </c>
      <c r="D311">
        <v>2885</v>
      </c>
      <c r="G311" t="s">
        <v>2381</v>
      </c>
      <c r="H311">
        <v>57524096000104</v>
      </c>
      <c r="J311" t="s">
        <v>2382</v>
      </c>
      <c r="K311" t="s">
        <v>2376</v>
      </c>
      <c r="M311" t="s">
        <v>2377</v>
      </c>
      <c r="P311" t="s">
        <v>778</v>
      </c>
      <c r="V311" t="s">
        <v>1718</v>
      </c>
      <c r="W311" t="s">
        <v>780</v>
      </c>
      <c r="X311" t="s">
        <v>857</v>
      </c>
      <c r="Z311" s="31"/>
      <c r="AC311">
        <v>8</v>
      </c>
      <c r="AD311" t="s">
        <v>44</v>
      </c>
      <c r="AE311" s="31">
        <v>45986</v>
      </c>
      <c r="AF311" s="61">
        <v>0.70030092592592597</v>
      </c>
      <c r="AH311" t="s">
        <v>795</v>
      </c>
      <c r="AI311" s="31">
        <v>45994</v>
      </c>
      <c r="AJ311" s="61">
        <v>0.66202546296296294</v>
      </c>
      <c r="AK311" t="s">
        <v>796</v>
      </c>
      <c r="AL311" t="s">
        <v>2380</v>
      </c>
      <c r="AN311" t="s">
        <v>2349</v>
      </c>
      <c r="AP311" t="s">
        <v>2273</v>
      </c>
      <c r="AR311" s="31"/>
      <c r="AX311">
        <v>1</v>
      </c>
    </row>
    <row r="312" spans="1:50" x14ac:dyDescent="0.25">
      <c r="A312" t="s">
        <v>44</v>
      </c>
      <c r="B312">
        <v>697</v>
      </c>
      <c r="D312">
        <v>2887</v>
      </c>
      <c r="G312" t="s">
        <v>2383</v>
      </c>
      <c r="J312" t="s">
        <v>2384</v>
      </c>
      <c r="K312" t="s">
        <v>2385</v>
      </c>
      <c r="M312" t="s">
        <v>2338</v>
      </c>
      <c r="P312" t="s">
        <v>778</v>
      </c>
      <c r="W312" t="s">
        <v>780</v>
      </c>
      <c r="X312" t="s">
        <v>857</v>
      </c>
      <c r="Z312" s="31"/>
      <c r="AA312">
        <v>1600</v>
      </c>
      <c r="AB312">
        <v>335607</v>
      </c>
      <c r="AC312">
        <v>1</v>
      </c>
      <c r="AD312" t="s">
        <v>44</v>
      </c>
      <c r="AE312" s="31">
        <v>45986</v>
      </c>
      <c r="AF312" s="61">
        <v>0.71326388888888892</v>
      </c>
      <c r="AH312" t="s">
        <v>795</v>
      </c>
      <c r="AI312" s="31">
        <v>45987</v>
      </c>
      <c r="AJ312" s="61">
        <v>0.52252314814814815</v>
      </c>
      <c r="AK312" t="s">
        <v>858</v>
      </c>
      <c r="AL312" t="s">
        <v>2340</v>
      </c>
      <c r="AN312" t="s">
        <v>2286</v>
      </c>
      <c r="AP312" t="s">
        <v>2341</v>
      </c>
      <c r="AR312" s="31"/>
      <c r="AX312">
        <v>1</v>
      </c>
    </row>
    <row r="313" spans="1:50" x14ac:dyDescent="0.25">
      <c r="A313" t="s">
        <v>22</v>
      </c>
      <c r="B313">
        <v>700</v>
      </c>
      <c r="D313">
        <v>2874</v>
      </c>
      <c r="G313" t="s">
        <v>2386</v>
      </c>
      <c r="J313" t="s">
        <v>2387</v>
      </c>
      <c r="K313" t="s">
        <v>2388</v>
      </c>
      <c r="M313" t="s">
        <v>2389</v>
      </c>
      <c r="P313" t="s">
        <v>778</v>
      </c>
      <c r="Q313" t="s">
        <v>2390</v>
      </c>
      <c r="S313" t="s">
        <v>814</v>
      </c>
      <c r="V313" t="s">
        <v>2391</v>
      </c>
      <c r="W313" t="s">
        <v>780</v>
      </c>
      <c r="X313" t="s">
        <v>793</v>
      </c>
      <c r="Z313" s="31">
        <v>46053</v>
      </c>
      <c r="AC313">
        <v>14</v>
      </c>
      <c r="AD313" t="s">
        <v>22</v>
      </c>
      <c r="AE313" s="31">
        <v>45987</v>
      </c>
      <c r="AF313" s="61">
        <v>0.47543981481481479</v>
      </c>
      <c r="AH313" t="s">
        <v>795</v>
      </c>
      <c r="AI313" s="31">
        <v>46001</v>
      </c>
      <c r="AJ313" s="61">
        <v>0.96790509259259261</v>
      </c>
      <c r="AK313" t="s">
        <v>934</v>
      </c>
      <c r="AN313" t="s">
        <v>2392</v>
      </c>
      <c r="AO313" t="s">
        <v>22</v>
      </c>
      <c r="AP313" t="s">
        <v>2392</v>
      </c>
      <c r="AR313" s="31"/>
      <c r="AX313">
        <v>1</v>
      </c>
    </row>
    <row r="314" spans="1:50" x14ac:dyDescent="0.25">
      <c r="A314" t="s">
        <v>22</v>
      </c>
      <c r="B314">
        <v>701</v>
      </c>
      <c r="D314">
        <v>2829</v>
      </c>
      <c r="E314" t="s">
        <v>2393</v>
      </c>
      <c r="G314" t="s">
        <v>2394</v>
      </c>
      <c r="H314">
        <v>5825017000100</v>
      </c>
      <c r="J314" t="s">
        <v>2395</v>
      </c>
      <c r="K314" t="s">
        <v>2396</v>
      </c>
      <c r="M314" t="s">
        <v>2397</v>
      </c>
      <c r="P314" t="s">
        <v>778</v>
      </c>
      <c r="Q314" t="s">
        <v>2398</v>
      </c>
      <c r="S314" t="s">
        <v>814</v>
      </c>
      <c r="V314" t="s">
        <v>2399</v>
      </c>
      <c r="W314" t="s">
        <v>780</v>
      </c>
      <c r="X314" t="s">
        <v>807</v>
      </c>
      <c r="Z314" s="31">
        <v>46053</v>
      </c>
      <c r="AA314">
        <v>130600</v>
      </c>
      <c r="AB314">
        <v>1680982</v>
      </c>
      <c r="AC314">
        <v>85</v>
      </c>
      <c r="AD314" t="s">
        <v>22</v>
      </c>
      <c r="AE314" s="31">
        <v>45987</v>
      </c>
      <c r="AF314" s="61">
        <v>0.47600694444444452</v>
      </c>
      <c r="AH314" t="s">
        <v>782</v>
      </c>
      <c r="AI314" s="31"/>
      <c r="AJ314" s="61"/>
      <c r="AN314" t="s">
        <v>2392</v>
      </c>
      <c r="AO314" t="s">
        <v>22</v>
      </c>
      <c r="AP314" t="s">
        <v>2392</v>
      </c>
      <c r="AR314" s="31">
        <v>46045</v>
      </c>
      <c r="AS314" t="s">
        <v>2119</v>
      </c>
      <c r="AT314" t="s">
        <v>2400</v>
      </c>
      <c r="AU314" t="s">
        <v>2401</v>
      </c>
      <c r="AV314" t="s">
        <v>2402</v>
      </c>
      <c r="AW314" t="s">
        <v>2403</v>
      </c>
      <c r="AX314">
        <v>1</v>
      </c>
    </row>
    <row r="315" spans="1:50" x14ac:dyDescent="0.25">
      <c r="A315" t="s">
        <v>22</v>
      </c>
      <c r="B315">
        <v>702</v>
      </c>
      <c r="D315">
        <v>2890</v>
      </c>
      <c r="E315" t="s">
        <v>2404</v>
      </c>
      <c r="G315" t="s">
        <v>2405</v>
      </c>
      <c r="J315" t="s">
        <v>2206</v>
      </c>
      <c r="K315" t="s">
        <v>2406</v>
      </c>
      <c r="M315" t="s">
        <v>1111</v>
      </c>
      <c r="P315" t="s">
        <v>778</v>
      </c>
      <c r="V315" t="s">
        <v>2407</v>
      </c>
      <c r="W315" t="s">
        <v>780</v>
      </c>
      <c r="X315" t="s">
        <v>816</v>
      </c>
      <c r="Z315" s="31">
        <v>46053</v>
      </c>
      <c r="AA315">
        <v>16000</v>
      </c>
      <c r="AB315">
        <v>5880</v>
      </c>
      <c r="AC315">
        <v>57</v>
      </c>
      <c r="AD315" t="s">
        <v>22</v>
      </c>
      <c r="AE315" s="31">
        <v>45987</v>
      </c>
      <c r="AF315" s="61">
        <v>0.47789351851851852</v>
      </c>
      <c r="AH315" t="s">
        <v>795</v>
      </c>
      <c r="AI315" s="31">
        <v>46044</v>
      </c>
      <c r="AJ315" s="61">
        <v>0.6855324074074074</v>
      </c>
      <c r="AK315" t="s">
        <v>934</v>
      </c>
      <c r="AL315" t="s">
        <v>2408</v>
      </c>
      <c r="AN315" t="s">
        <v>2409</v>
      </c>
      <c r="AO315" t="s">
        <v>22</v>
      </c>
      <c r="AP315" t="s">
        <v>2409</v>
      </c>
      <c r="AR315" s="31">
        <v>46031</v>
      </c>
      <c r="AX315">
        <v>1</v>
      </c>
    </row>
    <row r="316" spans="1:50" x14ac:dyDescent="0.25">
      <c r="A316" t="s">
        <v>22</v>
      </c>
      <c r="B316">
        <v>703</v>
      </c>
      <c r="D316">
        <v>2891</v>
      </c>
      <c r="E316" t="s">
        <v>2410</v>
      </c>
      <c r="G316" t="s">
        <v>2411</v>
      </c>
      <c r="H316">
        <v>7728812000105</v>
      </c>
      <c r="J316" t="s">
        <v>2412</v>
      </c>
      <c r="K316" t="s">
        <v>2413</v>
      </c>
      <c r="M316" t="s">
        <v>2414</v>
      </c>
      <c r="P316" t="s">
        <v>778</v>
      </c>
      <c r="Q316" t="s">
        <v>1094</v>
      </c>
      <c r="R316" t="s">
        <v>790</v>
      </c>
      <c r="V316" t="s">
        <v>1718</v>
      </c>
      <c r="W316" t="s">
        <v>780</v>
      </c>
      <c r="X316" t="s">
        <v>807</v>
      </c>
      <c r="Z316" s="31">
        <v>46045</v>
      </c>
      <c r="AA316">
        <v>72000</v>
      </c>
      <c r="AB316">
        <v>8045</v>
      </c>
      <c r="AC316">
        <v>58</v>
      </c>
      <c r="AD316" t="s">
        <v>22</v>
      </c>
      <c r="AE316" s="31">
        <v>45987</v>
      </c>
      <c r="AF316" s="61">
        <v>0.47932870370370367</v>
      </c>
      <c r="AH316" t="s">
        <v>795</v>
      </c>
      <c r="AI316" s="31">
        <v>46045</v>
      </c>
      <c r="AJ316" s="61">
        <v>0.48511574074074082</v>
      </c>
      <c r="AK316" t="s">
        <v>796</v>
      </c>
      <c r="AN316" t="s">
        <v>1421</v>
      </c>
      <c r="AO316" t="s">
        <v>22</v>
      </c>
      <c r="AP316" t="s">
        <v>1421</v>
      </c>
      <c r="AR316" s="31">
        <v>46045</v>
      </c>
      <c r="AX316">
        <v>1</v>
      </c>
    </row>
    <row r="317" spans="1:50" x14ac:dyDescent="0.25">
      <c r="A317" t="s">
        <v>22</v>
      </c>
      <c r="B317">
        <v>704</v>
      </c>
      <c r="D317">
        <v>2894</v>
      </c>
      <c r="E317" t="s">
        <v>2415</v>
      </c>
      <c r="G317" t="s">
        <v>2416</v>
      </c>
      <c r="H317">
        <v>3761404000196</v>
      </c>
      <c r="J317" t="s">
        <v>2417</v>
      </c>
      <c r="K317" t="s">
        <v>2418</v>
      </c>
      <c r="M317" t="s">
        <v>2419</v>
      </c>
      <c r="P317" t="s">
        <v>778</v>
      </c>
      <c r="Q317" t="s">
        <v>2420</v>
      </c>
      <c r="R317" t="s">
        <v>790</v>
      </c>
      <c r="V317" t="s">
        <v>1704</v>
      </c>
      <c r="W317" t="s">
        <v>780</v>
      </c>
      <c r="X317" t="s">
        <v>816</v>
      </c>
      <c r="Z317" s="31">
        <v>46037</v>
      </c>
      <c r="AA317">
        <v>17829</v>
      </c>
      <c r="AB317">
        <v>83997</v>
      </c>
      <c r="AC317">
        <v>44</v>
      </c>
      <c r="AD317" t="s">
        <v>22</v>
      </c>
      <c r="AE317" s="31">
        <v>45987</v>
      </c>
      <c r="AF317" s="61">
        <v>0.48346064814814821</v>
      </c>
      <c r="AH317" t="s">
        <v>818</v>
      </c>
      <c r="AI317" s="31">
        <v>46031</v>
      </c>
      <c r="AJ317" s="61">
        <v>0.58515046296296291</v>
      </c>
      <c r="AN317" t="s">
        <v>2421</v>
      </c>
      <c r="AO317" t="s">
        <v>22</v>
      </c>
      <c r="AP317" t="s">
        <v>2392</v>
      </c>
      <c r="AR317" s="31">
        <v>46003</v>
      </c>
      <c r="AX317">
        <v>1</v>
      </c>
    </row>
    <row r="318" spans="1:50" x14ac:dyDescent="0.25">
      <c r="A318" t="s">
        <v>22</v>
      </c>
      <c r="B318">
        <v>705</v>
      </c>
      <c r="D318">
        <v>2896</v>
      </c>
      <c r="E318" t="s">
        <v>2422</v>
      </c>
      <c r="G318" t="s">
        <v>2423</v>
      </c>
      <c r="H318">
        <v>3761404000196</v>
      </c>
      <c r="J318" t="s">
        <v>2424</v>
      </c>
      <c r="K318" t="s">
        <v>2418</v>
      </c>
      <c r="M318" t="s">
        <v>2419</v>
      </c>
      <c r="P318" t="s">
        <v>778</v>
      </c>
      <c r="Q318" t="s">
        <v>2420</v>
      </c>
      <c r="R318" t="s">
        <v>790</v>
      </c>
      <c r="V318" t="s">
        <v>1718</v>
      </c>
      <c r="W318" t="s">
        <v>780</v>
      </c>
      <c r="X318" t="s">
        <v>807</v>
      </c>
      <c r="Z318" s="31">
        <v>46022</v>
      </c>
      <c r="AA318">
        <v>1600</v>
      </c>
      <c r="AB318">
        <v>384454</v>
      </c>
      <c r="AC318">
        <v>44</v>
      </c>
      <c r="AD318" t="s">
        <v>22</v>
      </c>
      <c r="AE318" s="31">
        <v>45987</v>
      </c>
      <c r="AF318" s="61">
        <v>0.49594907407407413</v>
      </c>
      <c r="AH318" t="s">
        <v>795</v>
      </c>
      <c r="AI318" s="31">
        <v>46031</v>
      </c>
      <c r="AJ318" s="61">
        <v>0.59928240740740746</v>
      </c>
      <c r="AK318" t="s">
        <v>796</v>
      </c>
      <c r="AN318" t="s">
        <v>2392</v>
      </c>
      <c r="AO318" t="s">
        <v>22</v>
      </c>
      <c r="AP318" t="s">
        <v>2392</v>
      </c>
      <c r="AR318" s="31">
        <v>46031</v>
      </c>
      <c r="AX318">
        <v>1</v>
      </c>
    </row>
    <row r="319" spans="1:50" x14ac:dyDescent="0.25">
      <c r="A319" t="s">
        <v>22</v>
      </c>
      <c r="B319">
        <v>706</v>
      </c>
      <c r="D319">
        <v>2897</v>
      </c>
      <c r="G319" t="s">
        <v>2425</v>
      </c>
      <c r="J319" t="s">
        <v>2426</v>
      </c>
      <c r="K319" t="s">
        <v>2427</v>
      </c>
      <c r="M319" t="s">
        <v>1111</v>
      </c>
      <c r="P319" t="s">
        <v>778</v>
      </c>
      <c r="W319" t="s">
        <v>780</v>
      </c>
      <c r="X319" t="s">
        <v>807</v>
      </c>
      <c r="Z319" s="31">
        <v>46037</v>
      </c>
      <c r="AA319">
        <v>50000</v>
      </c>
      <c r="AB319">
        <v>2355</v>
      </c>
      <c r="AC319">
        <v>14</v>
      </c>
      <c r="AD319" t="s">
        <v>22</v>
      </c>
      <c r="AE319" s="31">
        <v>45987</v>
      </c>
      <c r="AF319" s="61">
        <v>0.49806712962962962</v>
      </c>
      <c r="AH319" t="s">
        <v>795</v>
      </c>
      <c r="AI319" s="31">
        <v>46001</v>
      </c>
      <c r="AJ319" s="61">
        <v>0.72103009259259254</v>
      </c>
      <c r="AK319" t="s">
        <v>934</v>
      </c>
      <c r="AN319" t="s">
        <v>2428</v>
      </c>
      <c r="AO319" t="s">
        <v>22</v>
      </c>
      <c r="AP319" t="s">
        <v>2428</v>
      </c>
      <c r="AR319" s="31"/>
      <c r="AX319">
        <v>1</v>
      </c>
    </row>
    <row r="320" spans="1:50" x14ac:dyDescent="0.25">
      <c r="A320" t="s">
        <v>22</v>
      </c>
      <c r="B320">
        <v>707</v>
      </c>
      <c r="D320">
        <v>2898</v>
      </c>
      <c r="E320" t="s">
        <v>2429</v>
      </c>
      <c r="G320" t="s">
        <v>2430</v>
      </c>
      <c r="J320" t="s">
        <v>2431</v>
      </c>
      <c r="K320" t="s">
        <v>2432</v>
      </c>
      <c r="M320" t="s">
        <v>1111</v>
      </c>
      <c r="P320" t="s">
        <v>778</v>
      </c>
      <c r="S320" t="s">
        <v>791</v>
      </c>
      <c r="V320" t="s">
        <v>1704</v>
      </c>
      <c r="W320" t="s">
        <v>780</v>
      </c>
      <c r="X320" t="s">
        <v>807</v>
      </c>
      <c r="Z320" s="31">
        <v>46053</v>
      </c>
      <c r="AA320">
        <v>14400</v>
      </c>
      <c r="AB320">
        <v>185328</v>
      </c>
      <c r="AC320">
        <v>47</v>
      </c>
      <c r="AD320" t="s">
        <v>22</v>
      </c>
      <c r="AE320" s="31">
        <v>45987</v>
      </c>
      <c r="AF320" s="61">
        <v>0.49944444444444452</v>
      </c>
      <c r="AH320" t="s">
        <v>795</v>
      </c>
      <c r="AI320" s="31">
        <v>46034</v>
      </c>
      <c r="AJ320" s="61">
        <v>0.93351851851851853</v>
      </c>
      <c r="AK320" t="s">
        <v>796</v>
      </c>
      <c r="AN320" t="s">
        <v>2433</v>
      </c>
      <c r="AO320" t="s">
        <v>22</v>
      </c>
      <c r="AP320" t="s">
        <v>2433</v>
      </c>
      <c r="AR320" s="31">
        <v>46034</v>
      </c>
      <c r="AX320">
        <v>1</v>
      </c>
    </row>
    <row r="321" spans="1:50" x14ac:dyDescent="0.25">
      <c r="A321" t="s">
        <v>22</v>
      </c>
      <c r="B321">
        <v>708</v>
      </c>
      <c r="D321">
        <v>2899</v>
      </c>
      <c r="G321" t="s">
        <v>2049</v>
      </c>
      <c r="J321" t="s">
        <v>2434</v>
      </c>
      <c r="K321" t="s">
        <v>1805</v>
      </c>
      <c r="M321" t="s">
        <v>1111</v>
      </c>
      <c r="P321" t="s">
        <v>778</v>
      </c>
      <c r="W321" t="s">
        <v>780</v>
      </c>
      <c r="X321" t="s">
        <v>816</v>
      </c>
      <c r="Z321" s="31"/>
      <c r="AC321">
        <v>12</v>
      </c>
      <c r="AD321" t="s">
        <v>22</v>
      </c>
      <c r="AE321" s="31">
        <v>45987</v>
      </c>
      <c r="AF321" s="61">
        <v>0.50092592592592589</v>
      </c>
      <c r="AH321" t="s">
        <v>818</v>
      </c>
      <c r="AI321" s="31">
        <v>45999</v>
      </c>
      <c r="AJ321" s="61">
        <v>0.57885416666666667</v>
      </c>
      <c r="AN321" t="s">
        <v>2435</v>
      </c>
      <c r="AO321" t="s">
        <v>22</v>
      </c>
      <c r="AP321" t="s">
        <v>2435</v>
      </c>
      <c r="AR321" s="31"/>
      <c r="AX321">
        <v>1</v>
      </c>
    </row>
    <row r="322" spans="1:50" x14ac:dyDescent="0.25">
      <c r="A322" t="s">
        <v>22</v>
      </c>
      <c r="B322">
        <v>709</v>
      </c>
      <c r="D322">
        <v>2900</v>
      </c>
      <c r="G322" t="s">
        <v>2436</v>
      </c>
      <c r="J322" t="s">
        <v>1804</v>
      </c>
      <c r="K322" t="s">
        <v>1805</v>
      </c>
      <c r="M322" t="s">
        <v>1111</v>
      </c>
      <c r="P322" t="s">
        <v>778</v>
      </c>
      <c r="W322" t="s">
        <v>780</v>
      </c>
      <c r="X322" t="s">
        <v>816</v>
      </c>
      <c r="Z322" s="31"/>
      <c r="AC322">
        <v>12</v>
      </c>
      <c r="AD322" t="s">
        <v>22</v>
      </c>
      <c r="AE322" s="31">
        <v>45987</v>
      </c>
      <c r="AF322" s="61">
        <v>0.50186342592592592</v>
      </c>
      <c r="AH322" t="s">
        <v>818</v>
      </c>
      <c r="AI322" s="31">
        <v>45999</v>
      </c>
      <c r="AJ322" s="61">
        <v>0.59797453703703707</v>
      </c>
      <c r="AN322" t="s">
        <v>2437</v>
      </c>
      <c r="AO322" t="s">
        <v>22</v>
      </c>
      <c r="AP322" t="s">
        <v>2437</v>
      </c>
      <c r="AR322" s="31"/>
      <c r="AX322">
        <v>1</v>
      </c>
    </row>
    <row r="323" spans="1:50" x14ac:dyDescent="0.25">
      <c r="A323" t="s">
        <v>44</v>
      </c>
      <c r="B323">
        <v>711</v>
      </c>
      <c r="D323">
        <v>2902</v>
      </c>
      <c r="E323" t="s">
        <v>2438</v>
      </c>
      <c r="G323" t="s">
        <v>2439</v>
      </c>
      <c r="J323" t="s">
        <v>2440</v>
      </c>
      <c r="K323" t="s">
        <v>2441</v>
      </c>
      <c r="M323" t="s">
        <v>1111</v>
      </c>
      <c r="P323" t="s">
        <v>778</v>
      </c>
      <c r="V323" t="s">
        <v>1419</v>
      </c>
      <c r="W323" t="s">
        <v>780</v>
      </c>
      <c r="X323" t="s">
        <v>816</v>
      </c>
      <c r="Z323" s="31">
        <v>46062</v>
      </c>
      <c r="AA323">
        <v>235848</v>
      </c>
      <c r="AB323">
        <v>14256</v>
      </c>
      <c r="AC323">
        <v>65</v>
      </c>
      <c r="AD323" t="s">
        <v>44</v>
      </c>
      <c r="AE323" s="31">
        <v>45987</v>
      </c>
      <c r="AF323" s="61">
        <v>0.62859953703703708</v>
      </c>
      <c r="AH323" t="s">
        <v>795</v>
      </c>
      <c r="AI323" s="31">
        <v>46052</v>
      </c>
      <c r="AJ323" s="61">
        <v>0.65068287037037043</v>
      </c>
      <c r="AK323" t="s">
        <v>796</v>
      </c>
      <c r="AL323" t="s">
        <v>967</v>
      </c>
      <c r="AN323" t="s">
        <v>2273</v>
      </c>
      <c r="AO323" t="s">
        <v>44</v>
      </c>
      <c r="AP323" t="s">
        <v>2273</v>
      </c>
      <c r="AR323" s="31">
        <v>46003</v>
      </c>
      <c r="AX323">
        <v>1</v>
      </c>
    </row>
    <row r="324" spans="1:50" x14ac:dyDescent="0.25">
      <c r="A324" t="s">
        <v>44</v>
      </c>
      <c r="B324">
        <v>714</v>
      </c>
      <c r="D324">
        <v>2910</v>
      </c>
      <c r="G324" t="s">
        <v>2442</v>
      </c>
      <c r="J324" t="s">
        <v>2443</v>
      </c>
      <c r="K324" t="s">
        <v>2444</v>
      </c>
      <c r="M324" t="s">
        <v>1111</v>
      </c>
      <c r="P324" t="s">
        <v>778</v>
      </c>
      <c r="W324" t="s">
        <v>780</v>
      </c>
      <c r="X324" t="s">
        <v>807</v>
      </c>
      <c r="Z324" s="31"/>
      <c r="AA324">
        <v>0</v>
      </c>
      <c r="AB324">
        <v>209</v>
      </c>
      <c r="AC324">
        <v>12</v>
      </c>
      <c r="AD324" t="s">
        <v>44</v>
      </c>
      <c r="AE324" s="31">
        <v>45989</v>
      </c>
      <c r="AF324" s="61">
        <v>0.60240740740740739</v>
      </c>
      <c r="AH324" t="s">
        <v>795</v>
      </c>
      <c r="AI324" s="31">
        <v>46001</v>
      </c>
      <c r="AJ324" s="61">
        <v>0.41670138888888891</v>
      </c>
      <c r="AK324" t="s">
        <v>858</v>
      </c>
      <c r="AL324" t="s">
        <v>2445</v>
      </c>
      <c r="AN324" t="s">
        <v>2349</v>
      </c>
      <c r="AP324" t="s">
        <v>2349</v>
      </c>
      <c r="AR324" s="31"/>
      <c r="AX324">
        <v>1</v>
      </c>
    </row>
    <row r="325" spans="1:50" x14ac:dyDescent="0.25">
      <c r="A325" t="s">
        <v>22</v>
      </c>
      <c r="B325">
        <v>717</v>
      </c>
      <c r="D325">
        <v>2945</v>
      </c>
      <c r="E325" t="s">
        <v>2446</v>
      </c>
      <c r="G325" t="s">
        <v>2447</v>
      </c>
      <c r="J325" t="s">
        <v>2448</v>
      </c>
      <c r="K325" t="s">
        <v>2449</v>
      </c>
      <c r="M325" t="s">
        <v>2450</v>
      </c>
      <c r="P325" t="s">
        <v>778</v>
      </c>
      <c r="Q325" t="s">
        <v>923</v>
      </c>
      <c r="S325" t="s">
        <v>814</v>
      </c>
      <c r="V325" t="s">
        <v>1718</v>
      </c>
      <c r="W325" t="s">
        <v>780</v>
      </c>
      <c r="X325" t="s">
        <v>793</v>
      </c>
      <c r="Z325" s="31">
        <v>46053</v>
      </c>
      <c r="AC325">
        <v>68</v>
      </c>
      <c r="AD325" t="s">
        <v>22</v>
      </c>
      <c r="AE325" s="31">
        <v>45992</v>
      </c>
      <c r="AF325" s="61">
        <v>0.65984953703703708</v>
      </c>
      <c r="AH325" t="s">
        <v>795</v>
      </c>
      <c r="AI325" s="31">
        <v>46060</v>
      </c>
      <c r="AJ325" s="61">
        <v>0.34912037037037041</v>
      </c>
      <c r="AK325" t="s">
        <v>858</v>
      </c>
      <c r="AN325" t="s">
        <v>2451</v>
      </c>
      <c r="AO325" t="s">
        <v>22</v>
      </c>
      <c r="AP325" t="s">
        <v>2452</v>
      </c>
      <c r="AR325" s="31">
        <v>46045</v>
      </c>
      <c r="AS325" t="s">
        <v>2119</v>
      </c>
      <c r="AX325">
        <v>1</v>
      </c>
    </row>
    <row r="326" spans="1:50" x14ac:dyDescent="0.25">
      <c r="A326" t="s">
        <v>22</v>
      </c>
      <c r="B326">
        <v>718</v>
      </c>
      <c r="D326">
        <v>2913</v>
      </c>
      <c r="E326" t="s">
        <v>2453</v>
      </c>
      <c r="G326" t="s">
        <v>2454</v>
      </c>
      <c r="J326" t="s">
        <v>2455</v>
      </c>
      <c r="K326" t="s">
        <v>2456</v>
      </c>
      <c r="M326" t="s">
        <v>2457</v>
      </c>
      <c r="P326" t="s">
        <v>778</v>
      </c>
      <c r="Q326" t="s">
        <v>2458</v>
      </c>
      <c r="S326" t="s">
        <v>814</v>
      </c>
      <c r="V326" t="s">
        <v>2391</v>
      </c>
      <c r="W326" t="s">
        <v>780</v>
      </c>
      <c r="X326" t="s">
        <v>897</v>
      </c>
      <c r="Z326" s="31">
        <v>46418</v>
      </c>
      <c r="AC326">
        <v>80</v>
      </c>
      <c r="AD326" t="s">
        <v>22</v>
      </c>
      <c r="AE326" s="31">
        <v>45992</v>
      </c>
      <c r="AF326" s="61">
        <v>0.68266203703703698</v>
      </c>
      <c r="AH326" t="s">
        <v>782</v>
      </c>
      <c r="AI326" s="31"/>
      <c r="AJ326" s="61"/>
      <c r="AN326" t="s">
        <v>2459</v>
      </c>
      <c r="AO326" t="s">
        <v>22</v>
      </c>
      <c r="AP326" t="s">
        <v>2452</v>
      </c>
      <c r="AR326" s="31">
        <v>46031</v>
      </c>
      <c r="AS326" t="s">
        <v>2119</v>
      </c>
      <c r="AX326">
        <v>1</v>
      </c>
    </row>
    <row r="327" spans="1:50" x14ac:dyDescent="0.25">
      <c r="A327" t="s">
        <v>22</v>
      </c>
      <c r="B327">
        <v>719</v>
      </c>
      <c r="D327">
        <v>2904</v>
      </c>
      <c r="E327" t="s">
        <v>2460</v>
      </c>
      <c r="G327" t="s">
        <v>2461</v>
      </c>
      <c r="H327">
        <v>3674537000125</v>
      </c>
      <c r="J327" t="s">
        <v>2462</v>
      </c>
      <c r="K327" t="s">
        <v>2463</v>
      </c>
      <c r="M327" t="s">
        <v>2464</v>
      </c>
      <c r="P327" t="s">
        <v>778</v>
      </c>
      <c r="Q327" t="s">
        <v>923</v>
      </c>
      <c r="S327" t="s">
        <v>814</v>
      </c>
      <c r="V327" t="s">
        <v>2391</v>
      </c>
      <c r="W327" t="s">
        <v>780</v>
      </c>
      <c r="X327" t="s">
        <v>807</v>
      </c>
      <c r="Z327" s="31">
        <v>46053</v>
      </c>
      <c r="AA327">
        <v>104490</v>
      </c>
      <c r="AB327">
        <v>111957</v>
      </c>
      <c r="AC327">
        <v>80</v>
      </c>
      <c r="AD327" t="s">
        <v>22</v>
      </c>
      <c r="AE327" s="31">
        <v>45992</v>
      </c>
      <c r="AF327" s="61">
        <v>0.69298611111111108</v>
      </c>
      <c r="AH327" t="s">
        <v>782</v>
      </c>
      <c r="AI327" s="31"/>
      <c r="AJ327" s="61"/>
      <c r="AN327" t="s">
        <v>2459</v>
      </c>
      <c r="AO327" t="s">
        <v>22</v>
      </c>
      <c r="AP327" t="s">
        <v>2465</v>
      </c>
      <c r="AR327" s="31">
        <v>46060</v>
      </c>
      <c r="AS327" t="s">
        <v>2119</v>
      </c>
      <c r="AT327" t="s">
        <v>2466</v>
      </c>
      <c r="AU327" t="s">
        <v>2467</v>
      </c>
      <c r="AV327" t="s">
        <v>2468</v>
      </c>
      <c r="AW327" t="s">
        <v>2469</v>
      </c>
      <c r="AX327">
        <v>1</v>
      </c>
    </row>
    <row r="328" spans="1:50" x14ac:dyDescent="0.25">
      <c r="A328" t="s">
        <v>22</v>
      </c>
      <c r="B328">
        <v>725</v>
      </c>
      <c r="D328">
        <v>2970</v>
      </c>
      <c r="E328" t="s">
        <v>2470</v>
      </c>
      <c r="G328" t="s">
        <v>2471</v>
      </c>
      <c r="J328" t="s">
        <v>2472</v>
      </c>
      <c r="K328" t="s">
        <v>2473</v>
      </c>
      <c r="M328" t="s">
        <v>1111</v>
      </c>
      <c r="P328" t="s">
        <v>778</v>
      </c>
      <c r="V328" t="s">
        <v>2118</v>
      </c>
      <c r="W328" t="s">
        <v>780</v>
      </c>
      <c r="X328" t="s">
        <v>807</v>
      </c>
      <c r="Z328" s="31">
        <v>46112</v>
      </c>
      <c r="AA328">
        <v>315000</v>
      </c>
      <c r="AB328">
        <v>32575</v>
      </c>
      <c r="AC328">
        <v>37</v>
      </c>
      <c r="AD328" t="s">
        <v>22</v>
      </c>
      <c r="AE328" s="31">
        <v>45999</v>
      </c>
      <c r="AF328" s="61">
        <v>0.5826041666666667</v>
      </c>
      <c r="AH328" t="s">
        <v>795</v>
      </c>
      <c r="AI328" s="31">
        <v>46036</v>
      </c>
      <c r="AJ328" s="61">
        <v>0.7865509259259259</v>
      </c>
      <c r="AK328" t="s">
        <v>974</v>
      </c>
      <c r="AL328" t="s">
        <v>2474</v>
      </c>
      <c r="AN328" t="s">
        <v>2459</v>
      </c>
      <c r="AO328" t="s">
        <v>22</v>
      </c>
      <c r="AP328" t="s">
        <v>2459</v>
      </c>
      <c r="AR328" s="31">
        <v>46031</v>
      </c>
      <c r="AX328">
        <v>1</v>
      </c>
    </row>
    <row r="329" spans="1:50" x14ac:dyDescent="0.25">
      <c r="A329" t="s">
        <v>22</v>
      </c>
      <c r="B329">
        <v>726</v>
      </c>
      <c r="D329">
        <v>2971</v>
      </c>
      <c r="G329" t="s">
        <v>2475</v>
      </c>
      <c r="J329" t="s">
        <v>1978</v>
      </c>
      <c r="K329" t="s">
        <v>1979</v>
      </c>
      <c r="M329" t="s">
        <v>1111</v>
      </c>
      <c r="P329" t="s">
        <v>778</v>
      </c>
      <c r="W329" t="s">
        <v>780</v>
      </c>
      <c r="X329" t="s">
        <v>816</v>
      </c>
      <c r="Z329" s="31"/>
      <c r="AA329">
        <v>0</v>
      </c>
      <c r="AB329">
        <v>57024</v>
      </c>
      <c r="AC329">
        <v>0</v>
      </c>
      <c r="AD329" t="s">
        <v>22</v>
      </c>
      <c r="AE329" s="31">
        <v>45999</v>
      </c>
      <c r="AF329" s="61">
        <v>0.58803240740740736</v>
      </c>
      <c r="AH329" t="s">
        <v>818</v>
      </c>
      <c r="AI329" s="31">
        <v>45999</v>
      </c>
      <c r="AJ329" s="61">
        <v>0.58959490740740739</v>
      </c>
      <c r="AN329" t="s">
        <v>2452</v>
      </c>
      <c r="AO329" t="s">
        <v>22</v>
      </c>
      <c r="AP329" t="s">
        <v>2452</v>
      </c>
      <c r="AR329" s="31"/>
      <c r="AX329">
        <v>1</v>
      </c>
    </row>
    <row r="330" spans="1:50" x14ac:dyDescent="0.25">
      <c r="A330" t="s">
        <v>22</v>
      </c>
      <c r="B330">
        <v>727</v>
      </c>
      <c r="D330">
        <v>2969</v>
      </c>
      <c r="E330" t="s">
        <v>2476</v>
      </c>
      <c r="G330" t="s">
        <v>2477</v>
      </c>
      <c r="J330" t="s">
        <v>2478</v>
      </c>
      <c r="K330" t="s">
        <v>2479</v>
      </c>
      <c r="M330" t="s">
        <v>2480</v>
      </c>
      <c r="P330" t="s">
        <v>778</v>
      </c>
      <c r="Q330" t="s">
        <v>2481</v>
      </c>
      <c r="S330" t="s">
        <v>814</v>
      </c>
      <c r="V330" t="s">
        <v>2391</v>
      </c>
      <c r="W330" t="s">
        <v>780</v>
      </c>
      <c r="X330" t="s">
        <v>807</v>
      </c>
      <c r="Z330" s="31">
        <v>46053</v>
      </c>
      <c r="AA330">
        <v>47200</v>
      </c>
      <c r="AB330">
        <v>22981</v>
      </c>
      <c r="AC330">
        <v>60</v>
      </c>
      <c r="AD330" t="s">
        <v>22</v>
      </c>
      <c r="AE330" s="31">
        <v>46000</v>
      </c>
      <c r="AF330" s="61">
        <v>0.59325231481481477</v>
      </c>
      <c r="AH330" t="s">
        <v>795</v>
      </c>
      <c r="AI330" s="31">
        <v>46060</v>
      </c>
      <c r="AJ330" s="61">
        <v>0.37217592592592591</v>
      </c>
      <c r="AK330" t="s">
        <v>858</v>
      </c>
      <c r="AL330" t="s">
        <v>2482</v>
      </c>
      <c r="AN330" t="s">
        <v>2483</v>
      </c>
      <c r="AO330" t="s">
        <v>22</v>
      </c>
      <c r="AP330" t="s">
        <v>2483</v>
      </c>
      <c r="AR330" s="31">
        <v>46060</v>
      </c>
      <c r="AS330" t="s">
        <v>2119</v>
      </c>
      <c r="AX330">
        <v>1</v>
      </c>
    </row>
    <row r="331" spans="1:50" x14ac:dyDescent="0.25">
      <c r="A331" t="s">
        <v>22</v>
      </c>
      <c r="B331">
        <v>728</v>
      </c>
      <c r="D331">
        <v>2973</v>
      </c>
      <c r="E331" t="s">
        <v>2484</v>
      </c>
      <c r="G331" t="s">
        <v>2485</v>
      </c>
      <c r="H331">
        <v>3674537000125</v>
      </c>
      <c r="J331" t="s">
        <v>2486</v>
      </c>
      <c r="K331" t="s">
        <v>2487</v>
      </c>
      <c r="M331" t="s">
        <v>2488</v>
      </c>
      <c r="P331" t="s">
        <v>778</v>
      </c>
      <c r="Q331" t="s">
        <v>2489</v>
      </c>
      <c r="R331" t="s">
        <v>790</v>
      </c>
      <c r="S331" t="s">
        <v>791</v>
      </c>
      <c r="V331" t="s">
        <v>1718</v>
      </c>
      <c r="W331" t="s">
        <v>780</v>
      </c>
      <c r="X331" t="s">
        <v>807</v>
      </c>
      <c r="Z331" s="31">
        <v>46053</v>
      </c>
      <c r="AA331">
        <v>1700</v>
      </c>
      <c r="AB331">
        <v>13100</v>
      </c>
      <c r="AC331">
        <v>71</v>
      </c>
      <c r="AD331" t="s">
        <v>22</v>
      </c>
      <c r="AE331" s="31">
        <v>46001</v>
      </c>
      <c r="AF331" s="61">
        <v>0.73172453703703699</v>
      </c>
      <c r="AH331" t="s">
        <v>782</v>
      </c>
      <c r="AI331" s="31"/>
      <c r="AJ331" s="61"/>
      <c r="AN331" t="s">
        <v>2483</v>
      </c>
      <c r="AO331" t="s">
        <v>22</v>
      </c>
      <c r="AP331" t="s">
        <v>2483</v>
      </c>
      <c r="AR331" s="31">
        <v>46060</v>
      </c>
      <c r="AS331" t="s">
        <v>2119</v>
      </c>
      <c r="AT331" t="s">
        <v>1012</v>
      </c>
      <c r="AU331" t="s">
        <v>69</v>
      </c>
      <c r="AV331" t="s">
        <v>2490</v>
      </c>
      <c r="AW331" t="s">
        <v>2491</v>
      </c>
      <c r="AX331">
        <v>1</v>
      </c>
    </row>
    <row r="332" spans="1:50" x14ac:dyDescent="0.25">
      <c r="A332" t="s">
        <v>22</v>
      </c>
      <c r="B332">
        <v>729</v>
      </c>
      <c r="D332">
        <v>2972</v>
      </c>
      <c r="E332" t="s">
        <v>2492</v>
      </c>
      <c r="G332" t="s">
        <v>2493</v>
      </c>
      <c r="J332" t="s">
        <v>2494</v>
      </c>
      <c r="K332" t="s">
        <v>2495</v>
      </c>
      <c r="M332" t="s">
        <v>2496</v>
      </c>
      <c r="P332" t="s">
        <v>778</v>
      </c>
      <c r="Q332" t="s">
        <v>2497</v>
      </c>
      <c r="S332" t="s">
        <v>814</v>
      </c>
      <c r="V332" t="s">
        <v>2391</v>
      </c>
      <c r="W332" t="s">
        <v>780</v>
      </c>
      <c r="X332" t="s">
        <v>793</v>
      </c>
      <c r="Z332" s="31">
        <v>46053</v>
      </c>
      <c r="AC332">
        <v>59</v>
      </c>
      <c r="AD332" t="s">
        <v>22</v>
      </c>
      <c r="AE332" s="31">
        <v>46001</v>
      </c>
      <c r="AF332" s="61">
        <v>0.95519675925925929</v>
      </c>
      <c r="AH332" t="s">
        <v>795</v>
      </c>
      <c r="AI332" s="31">
        <v>46060</v>
      </c>
      <c r="AJ332" s="61">
        <v>0.3478472222222222</v>
      </c>
      <c r="AK332" t="s">
        <v>796</v>
      </c>
      <c r="AL332" t="s">
        <v>2498</v>
      </c>
      <c r="AN332" t="s">
        <v>2499</v>
      </c>
      <c r="AO332" t="s">
        <v>22</v>
      </c>
      <c r="AP332" t="s">
        <v>2499</v>
      </c>
      <c r="AR332" s="31">
        <v>46059</v>
      </c>
      <c r="AS332" t="s">
        <v>2119</v>
      </c>
      <c r="AX332">
        <v>1</v>
      </c>
    </row>
    <row r="333" spans="1:50" x14ac:dyDescent="0.25">
      <c r="A333" t="s">
        <v>44</v>
      </c>
      <c r="B333">
        <v>730</v>
      </c>
      <c r="D333">
        <v>2977</v>
      </c>
      <c r="E333" t="s">
        <v>2500</v>
      </c>
      <c r="F333" t="s">
        <v>2501</v>
      </c>
      <c r="G333" t="s">
        <v>2502</v>
      </c>
      <c r="H333">
        <v>50828915000168</v>
      </c>
      <c r="J333" t="s">
        <v>2501</v>
      </c>
      <c r="K333" t="s">
        <v>1531</v>
      </c>
      <c r="M333" t="s">
        <v>1532</v>
      </c>
      <c r="P333" t="s">
        <v>778</v>
      </c>
      <c r="Q333" t="s">
        <v>1094</v>
      </c>
      <c r="R333" t="s">
        <v>790</v>
      </c>
      <c r="S333" t="s">
        <v>805</v>
      </c>
      <c r="V333" t="s">
        <v>2503</v>
      </c>
      <c r="W333" t="s">
        <v>780</v>
      </c>
      <c r="X333" t="s">
        <v>807</v>
      </c>
      <c r="Z333" s="31">
        <v>46081</v>
      </c>
      <c r="AA333">
        <v>44000</v>
      </c>
      <c r="AB333">
        <v>13781</v>
      </c>
      <c r="AC333">
        <v>70</v>
      </c>
      <c r="AD333" t="s">
        <v>44</v>
      </c>
      <c r="AE333" s="31">
        <v>46002</v>
      </c>
      <c r="AF333" s="61">
        <v>0.42090277777777779</v>
      </c>
      <c r="AH333" t="s">
        <v>782</v>
      </c>
      <c r="AI333" s="31"/>
      <c r="AJ333" s="61"/>
      <c r="AN333" t="s">
        <v>2504</v>
      </c>
      <c r="AO333" t="s">
        <v>44</v>
      </c>
      <c r="AP333" t="s">
        <v>2505</v>
      </c>
      <c r="AQ333" t="s">
        <v>2504</v>
      </c>
      <c r="AR333" s="31">
        <v>46051</v>
      </c>
      <c r="AS333" t="s">
        <v>1423</v>
      </c>
      <c r="AX333">
        <v>1</v>
      </c>
    </row>
    <row r="334" spans="1:50" x14ac:dyDescent="0.25">
      <c r="A334" t="s">
        <v>44</v>
      </c>
      <c r="B334">
        <v>731</v>
      </c>
      <c r="D334">
        <v>2980</v>
      </c>
      <c r="G334" t="s">
        <v>2506</v>
      </c>
      <c r="J334" t="s">
        <v>2507</v>
      </c>
      <c r="K334" t="s">
        <v>2508</v>
      </c>
      <c r="M334" t="s">
        <v>1532</v>
      </c>
      <c r="P334" t="s">
        <v>778</v>
      </c>
      <c r="V334" t="s">
        <v>1419</v>
      </c>
      <c r="W334" t="s">
        <v>780</v>
      </c>
      <c r="X334" t="s">
        <v>807</v>
      </c>
      <c r="Z334" s="31">
        <v>46053</v>
      </c>
      <c r="AA334">
        <v>8000</v>
      </c>
      <c r="AB334">
        <v>19642</v>
      </c>
      <c r="AC334">
        <v>49</v>
      </c>
      <c r="AD334" t="s">
        <v>44</v>
      </c>
      <c r="AE334" s="31">
        <v>46002</v>
      </c>
      <c r="AF334" s="61">
        <v>0.43156250000000002</v>
      </c>
      <c r="AH334" t="s">
        <v>795</v>
      </c>
      <c r="AI334" s="31">
        <v>46051</v>
      </c>
      <c r="AJ334" s="61">
        <v>0.6605092592592593</v>
      </c>
      <c r="AK334" t="s">
        <v>858</v>
      </c>
      <c r="AL334" t="s">
        <v>2509</v>
      </c>
      <c r="AN334" t="s">
        <v>2510</v>
      </c>
      <c r="AP334" t="s">
        <v>2511</v>
      </c>
      <c r="AR334" s="31">
        <v>46031</v>
      </c>
      <c r="AX334">
        <v>1</v>
      </c>
    </row>
    <row r="335" spans="1:50" x14ac:dyDescent="0.25">
      <c r="A335" t="s">
        <v>44</v>
      </c>
      <c r="B335">
        <v>732</v>
      </c>
      <c r="D335">
        <v>2981</v>
      </c>
      <c r="E335" t="s">
        <v>2500</v>
      </c>
      <c r="G335" t="s">
        <v>2512</v>
      </c>
      <c r="J335" t="s">
        <v>2513</v>
      </c>
      <c r="K335" t="s">
        <v>2508</v>
      </c>
      <c r="M335" t="s">
        <v>1532</v>
      </c>
      <c r="P335" t="s">
        <v>778</v>
      </c>
      <c r="V335" t="s">
        <v>1419</v>
      </c>
      <c r="W335" t="s">
        <v>780</v>
      </c>
      <c r="X335" t="s">
        <v>807</v>
      </c>
      <c r="Z335" s="31">
        <v>46081</v>
      </c>
      <c r="AA335">
        <v>1600</v>
      </c>
      <c r="AB335">
        <v>34428</v>
      </c>
      <c r="AC335">
        <v>70</v>
      </c>
      <c r="AD335" t="s">
        <v>44</v>
      </c>
      <c r="AE335" s="31">
        <v>46002</v>
      </c>
      <c r="AF335" s="61">
        <v>0.43273148148148149</v>
      </c>
      <c r="AH335" t="s">
        <v>782</v>
      </c>
      <c r="AI335" s="31"/>
      <c r="AJ335" s="61"/>
      <c r="AN335" t="s">
        <v>2504</v>
      </c>
      <c r="AO335" t="s">
        <v>44</v>
      </c>
      <c r="AP335" t="s">
        <v>2505</v>
      </c>
      <c r="AQ335" t="s">
        <v>2504</v>
      </c>
      <c r="AR335" s="31">
        <v>46031</v>
      </c>
      <c r="AS335" t="s">
        <v>1423</v>
      </c>
      <c r="AX335">
        <v>1</v>
      </c>
    </row>
    <row r="336" spans="1:50" x14ac:dyDescent="0.25">
      <c r="A336" t="s">
        <v>44</v>
      </c>
      <c r="B336">
        <v>733</v>
      </c>
      <c r="D336">
        <v>2982</v>
      </c>
      <c r="F336" t="s">
        <v>2514</v>
      </c>
      <c r="G336" t="s">
        <v>2515</v>
      </c>
      <c r="H336">
        <v>96280292000809</v>
      </c>
      <c r="J336" t="s">
        <v>2514</v>
      </c>
      <c r="K336" t="s">
        <v>2516</v>
      </c>
      <c r="M336" t="s">
        <v>2517</v>
      </c>
      <c r="P336" t="s">
        <v>778</v>
      </c>
      <c r="Q336" t="s">
        <v>2518</v>
      </c>
      <c r="R336" t="s">
        <v>932</v>
      </c>
      <c r="S336" t="s">
        <v>805</v>
      </c>
      <c r="V336" t="s">
        <v>2407</v>
      </c>
      <c r="W336" t="s">
        <v>780</v>
      </c>
      <c r="X336" t="s">
        <v>816</v>
      </c>
      <c r="Z336" s="31">
        <v>46081</v>
      </c>
      <c r="AA336">
        <v>580005</v>
      </c>
      <c r="AB336">
        <v>7230</v>
      </c>
      <c r="AC336">
        <v>62</v>
      </c>
      <c r="AD336" t="s">
        <v>44</v>
      </c>
      <c r="AE336" s="31">
        <v>46002</v>
      </c>
      <c r="AF336" s="61">
        <v>0.47339120370370369</v>
      </c>
      <c r="AH336" t="s">
        <v>818</v>
      </c>
      <c r="AI336" s="31">
        <v>46064</v>
      </c>
      <c r="AJ336" s="61">
        <v>0.74250000000000005</v>
      </c>
      <c r="AN336" t="s">
        <v>2519</v>
      </c>
      <c r="AO336" t="s">
        <v>44</v>
      </c>
      <c r="AP336" t="s">
        <v>2520</v>
      </c>
      <c r="AR336" s="31">
        <v>46038</v>
      </c>
      <c r="AS336" t="s">
        <v>1970</v>
      </c>
      <c r="AX336">
        <v>1</v>
      </c>
    </row>
    <row r="337" spans="1:50" x14ac:dyDescent="0.25">
      <c r="A337" t="s">
        <v>44</v>
      </c>
      <c r="B337">
        <v>734</v>
      </c>
      <c r="D337">
        <v>2985</v>
      </c>
      <c r="E337" t="s">
        <v>2521</v>
      </c>
      <c r="G337" t="s">
        <v>2522</v>
      </c>
      <c r="J337" t="s">
        <v>2523</v>
      </c>
      <c r="K337" t="s">
        <v>2524</v>
      </c>
      <c r="M337" t="s">
        <v>2517</v>
      </c>
      <c r="P337" t="s">
        <v>778</v>
      </c>
      <c r="V337" t="s">
        <v>1419</v>
      </c>
      <c r="W337" t="s">
        <v>780</v>
      </c>
      <c r="X337" t="s">
        <v>807</v>
      </c>
      <c r="Z337" s="31">
        <v>46038</v>
      </c>
      <c r="AA337">
        <v>0</v>
      </c>
      <c r="AB337">
        <v>19642</v>
      </c>
      <c r="AC337">
        <v>47</v>
      </c>
      <c r="AD337" t="s">
        <v>44</v>
      </c>
      <c r="AE337" s="31">
        <v>46002</v>
      </c>
      <c r="AF337" s="61">
        <v>0.47990740740740739</v>
      </c>
      <c r="AH337" t="s">
        <v>795</v>
      </c>
      <c r="AI337" s="31">
        <v>46049</v>
      </c>
      <c r="AJ337" s="61">
        <v>0.6889467592592593</v>
      </c>
      <c r="AK337" t="s">
        <v>808</v>
      </c>
      <c r="AL337" t="s">
        <v>2521</v>
      </c>
      <c r="AN337" t="s">
        <v>2519</v>
      </c>
      <c r="AP337" t="s">
        <v>2520</v>
      </c>
      <c r="AR337" s="31">
        <v>46049</v>
      </c>
      <c r="AX337">
        <v>1</v>
      </c>
    </row>
    <row r="338" spans="1:50" x14ac:dyDescent="0.25">
      <c r="A338" t="s">
        <v>44</v>
      </c>
      <c r="B338">
        <v>735</v>
      </c>
      <c r="D338">
        <v>2986</v>
      </c>
      <c r="G338" t="s">
        <v>2525</v>
      </c>
      <c r="J338" t="s">
        <v>2526</v>
      </c>
      <c r="K338" t="s">
        <v>2524</v>
      </c>
      <c r="M338" t="s">
        <v>2517</v>
      </c>
      <c r="P338" t="s">
        <v>778</v>
      </c>
      <c r="V338" t="s">
        <v>1581</v>
      </c>
      <c r="W338" t="s">
        <v>780</v>
      </c>
      <c r="X338" t="s">
        <v>816</v>
      </c>
      <c r="Z338" s="31">
        <v>46038</v>
      </c>
      <c r="AA338">
        <v>1600</v>
      </c>
      <c r="AB338">
        <v>524246</v>
      </c>
      <c r="AC338">
        <v>70</v>
      </c>
      <c r="AD338" t="s">
        <v>44</v>
      </c>
      <c r="AE338" s="31">
        <v>46002</v>
      </c>
      <c r="AF338" s="61">
        <v>0.4813425925925926</v>
      </c>
      <c r="AH338" t="s">
        <v>782</v>
      </c>
      <c r="AI338" s="31"/>
      <c r="AJ338" s="61"/>
      <c r="AN338" t="s">
        <v>2519</v>
      </c>
      <c r="AO338" t="s">
        <v>44</v>
      </c>
      <c r="AP338" t="s">
        <v>2520</v>
      </c>
      <c r="AR338" s="31">
        <v>46027</v>
      </c>
      <c r="AS338" t="s">
        <v>1012</v>
      </c>
      <c r="AX338">
        <v>1</v>
      </c>
    </row>
    <row r="339" spans="1:50" x14ac:dyDescent="0.25">
      <c r="A339" t="s">
        <v>44</v>
      </c>
      <c r="B339">
        <v>736</v>
      </c>
      <c r="D339">
        <v>2988</v>
      </c>
      <c r="G339" t="s">
        <v>2527</v>
      </c>
      <c r="J339" t="s">
        <v>2528</v>
      </c>
      <c r="K339" t="s">
        <v>1042</v>
      </c>
      <c r="M339" t="s">
        <v>1043</v>
      </c>
      <c r="P339" t="s">
        <v>778</v>
      </c>
      <c r="V339" t="s">
        <v>1718</v>
      </c>
      <c r="W339" t="s">
        <v>780</v>
      </c>
      <c r="X339" t="s">
        <v>807</v>
      </c>
      <c r="Z339" s="31">
        <v>46008</v>
      </c>
      <c r="AA339">
        <v>26200</v>
      </c>
      <c r="AB339">
        <v>3400</v>
      </c>
      <c r="AC339">
        <v>50</v>
      </c>
      <c r="AD339" t="s">
        <v>44</v>
      </c>
      <c r="AE339" s="31">
        <v>46002</v>
      </c>
      <c r="AF339" s="61">
        <v>0.6433564814814815</v>
      </c>
      <c r="AH339" t="s">
        <v>795</v>
      </c>
      <c r="AI339" s="31">
        <v>46052</v>
      </c>
      <c r="AJ339" s="61">
        <v>0.65020833333333339</v>
      </c>
      <c r="AK339" t="s">
        <v>796</v>
      </c>
      <c r="AL339" t="s">
        <v>967</v>
      </c>
      <c r="AN339" t="s">
        <v>2529</v>
      </c>
      <c r="AP339" t="s">
        <v>2529</v>
      </c>
      <c r="AQ339" t="s">
        <v>2511</v>
      </c>
      <c r="AR339" s="31">
        <v>46031</v>
      </c>
      <c r="AX339">
        <v>1</v>
      </c>
    </row>
    <row r="340" spans="1:50" x14ac:dyDescent="0.25">
      <c r="A340" t="s">
        <v>44</v>
      </c>
      <c r="B340">
        <v>737</v>
      </c>
      <c r="D340">
        <v>2989</v>
      </c>
      <c r="G340" t="s">
        <v>2530</v>
      </c>
      <c r="J340" t="s">
        <v>2531</v>
      </c>
      <c r="K340" t="s">
        <v>1549</v>
      </c>
      <c r="M340" t="s">
        <v>1111</v>
      </c>
      <c r="P340" t="s">
        <v>778</v>
      </c>
      <c r="V340" t="s">
        <v>1718</v>
      </c>
      <c r="W340" t="s">
        <v>780</v>
      </c>
      <c r="X340" t="s">
        <v>807</v>
      </c>
      <c r="Z340" s="31">
        <v>46008</v>
      </c>
      <c r="AA340">
        <v>22824</v>
      </c>
      <c r="AB340">
        <v>68904</v>
      </c>
      <c r="AC340">
        <v>1</v>
      </c>
      <c r="AD340" t="s">
        <v>44</v>
      </c>
      <c r="AE340" s="31">
        <v>46002</v>
      </c>
      <c r="AF340" s="61">
        <v>0.66396990740740736</v>
      </c>
      <c r="AH340" t="s">
        <v>795</v>
      </c>
      <c r="AI340" s="31">
        <v>46003</v>
      </c>
      <c r="AJ340" s="61">
        <v>0.69563657407407409</v>
      </c>
      <c r="AK340" t="s">
        <v>796</v>
      </c>
      <c r="AL340" t="s">
        <v>2532</v>
      </c>
      <c r="AN340" t="s">
        <v>2519</v>
      </c>
      <c r="AP340" t="s">
        <v>2519</v>
      </c>
      <c r="AR340" s="31">
        <v>46003</v>
      </c>
      <c r="AX340">
        <v>1</v>
      </c>
    </row>
    <row r="341" spans="1:50" x14ac:dyDescent="0.25">
      <c r="A341" t="s">
        <v>44</v>
      </c>
      <c r="B341">
        <v>739</v>
      </c>
      <c r="D341">
        <v>2991</v>
      </c>
      <c r="G341" t="s">
        <v>2533</v>
      </c>
      <c r="J341" t="s">
        <v>2534</v>
      </c>
      <c r="K341" t="s">
        <v>2535</v>
      </c>
      <c r="M341" t="s">
        <v>1111</v>
      </c>
      <c r="P341" t="s">
        <v>778</v>
      </c>
      <c r="V341" t="s">
        <v>1718</v>
      </c>
      <c r="W341" t="s">
        <v>780</v>
      </c>
      <c r="X341" t="s">
        <v>793</v>
      </c>
      <c r="Z341" s="31">
        <v>46022</v>
      </c>
      <c r="AA341">
        <v>3392</v>
      </c>
      <c r="AB341">
        <v>3564</v>
      </c>
      <c r="AC341">
        <v>69</v>
      </c>
      <c r="AD341" t="s">
        <v>44</v>
      </c>
      <c r="AE341" s="31">
        <v>46003</v>
      </c>
      <c r="AF341" s="61">
        <v>0.51504629629629628</v>
      </c>
      <c r="AH341" t="s">
        <v>782</v>
      </c>
      <c r="AI341" s="31"/>
      <c r="AJ341" s="61"/>
      <c r="AN341" t="s">
        <v>2326</v>
      </c>
      <c r="AO341" t="s">
        <v>44</v>
      </c>
      <c r="AP341" t="s">
        <v>2326</v>
      </c>
      <c r="AR341" s="31">
        <v>46003</v>
      </c>
      <c r="AS341" t="s">
        <v>2119</v>
      </c>
      <c r="AX341">
        <v>1</v>
      </c>
    </row>
    <row r="342" spans="1:50" x14ac:dyDescent="0.25">
      <c r="A342" t="s">
        <v>22</v>
      </c>
      <c r="B342">
        <v>740</v>
      </c>
      <c r="D342">
        <v>2994</v>
      </c>
      <c r="E342" t="s">
        <v>2536</v>
      </c>
      <c r="G342" t="s">
        <v>2537</v>
      </c>
      <c r="J342" t="s">
        <v>2538</v>
      </c>
      <c r="K342" t="s">
        <v>2539</v>
      </c>
      <c r="M342" t="s">
        <v>2540</v>
      </c>
      <c r="P342" t="s">
        <v>778</v>
      </c>
      <c r="S342" t="s">
        <v>2541</v>
      </c>
      <c r="V342" t="s">
        <v>2542</v>
      </c>
      <c r="W342" t="s">
        <v>780</v>
      </c>
      <c r="X342" t="s">
        <v>897</v>
      </c>
      <c r="Z342" s="31">
        <v>46053</v>
      </c>
      <c r="AC342">
        <v>65</v>
      </c>
      <c r="AD342" t="s">
        <v>22</v>
      </c>
      <c r="AE342" s="31">
        <v>46007</v>
      </c>
      <c r="AF342" s="61">
        <v>0.50936342592592587</v>
      </c>
      <c r="AH342" t="s">
        <v>782</v>
      </c>
      <c r="AI342" s="31"/>
      <c r="AJ342" s="61"/>
      <c r="AO342" t="s">
        <v>22</v>
      </c>
      <c r="AR342" s="31">
        <v>46045</v>
      </c>
      <c r="AS342" t="s">
        <v>2119</v>
      </c>
      <c r="AX342">
        <v>1</v>
      </c>
    </row>
    <row r="343" spans="1:50" x14ac:dyDescent="0.25">
      <c r="A343" t="s">
        <v>44</v>
      </c>
      <c r="B343">
        <v>741</v>
      </c>
      <c r="D343">
        <v>2995</v>
      </c>
      <c r="E343" t="s">
        <v>2543</v>
      </c>
      <c r="G343" t="s">
        <v>2544</v>
      </c>
      <c r="J343" t="s">
        <v>2545</v>
      </c>
      <c r="K343" t="s">
        <v>2546</v>
      </c>
      <c r="M343" t="s">
        <v>2547</v>
      </c>
      <c r="P343" t="s">
        <v>778</v>
      </c>
      <c r="Q343" t="s">
        <v>2548</v>
      </c>
      <c r="S343" t="s">
        <v>814</v>
      </c>
      <c r="V343" t="s">
        <v>2391</v>
      </c>
      <c r="W343" t="s">
        <v>780</v>
      </c>
      <c r="X343" t="s">
        <v>807</v>
      </c>
      <c r="Z343" s="31">
        <v>46053</v>
      </c>
      <c r="AA343">
        <v>44000</v>
      </c>
      <c r="AB343">
        <v>110248</v>
      </c>
      <c r="AC343">
        <v>31</v>
      </c>
      <c r="AD343" t="s">
        <v>44</v>
      </c>
      <c r="AE343" s="31">
        <v>46007</v>
      </c>
      <c r="AF343" s="61">
        <v>0.72878472222222224</v>
      </c>
      <c r="AH343" t="s">
        <v>795</v>
      </c>
      <c r="AI343" s="31">
        <v>46038</v>
      </c>
      <c r="AJ343" s="61">
        <v>0.66372685185185187</v>
      </c>
      <c r="AK343" t="s">
        <v>934</v>
      </c>
      <c r="AL343" t="s">
        <v>2549</v>
      </c>
      <c r="AN343" t="s">
        <v>2550</v>
      </c>
      <c r="AP343" t="s">
        <v>2510</v>
      </c>
      <c r="AQ343" t="s">
        <v>2551</v>
      </c>
      <c r="AR343" s="31">
        <v>46038</v>
      </c>
      <c r="AX343">
        <v>1</v>
      </c>
    </row>
    <row r="344" spans="1:50" x14ac:dyDescent="0.25">
      <c r="A344" t="s">
        <v>44</v>
      </c>
      <c r="B344">
        <v>742</v>
      </c>
      <c r="D344">
        <v>2996</v>
      </c>
      <c r="E344" t="s">
        <v>2543</v>
      </c>
      <c r="G344" t="s">
        <v>2552</v>
      </c>
      <c r="J344" t="s">
        <v>2553</v>
      </c>
      <c r="K344" t="s">
        <v>2554</v>
      </c>
      <c r="M344" t="s">
        <v>2547</v>
      </c>
      <c r="P344" t="s">
        <v>778</v>
      </c>
      <c r="V344" t="s">
        <v>1718</v>
      </c>
      <c r="W344" t="s">
        <v>780</v>
      </c>
      <c r="X344" t="s">
        <v>807</v>
      </c>
      <c r="Z344" s="31">
        <v>46053</v>
      </c>
      <c r="AA344">
        <v>8000</v>
      </c>
      <c r="AB344">
        <v>186599</v>
      </c>
      <c r="AC344">
        <v>31</v>
      </c>
      <c r="AD344" t="s">
        <v>44</v>
      </c>
      <c r="AE344" s="31">
        <v>46007</v>
      </c>
      <c r="AF344" s="61">
        <v>0.7303587962962963</v>
      </c>
      <c r="AH344" t="s">
        <v>795</v>
      </c>
      <c r="AI344" s="31">
        <v>46038</v>
      </c>
      <c r="AJ344" s="61">
        <v>0.66439814814814813</v>
      </c>
      <c r="AK344" t="s">
        <v>934</v>
      </c>
      <c r="AL344" t="s">
        <v>2549</v>
      </c>
      <c r="AN344" t="s">
        <v>2550</v>
      </c>
      <c r="AP344" t="s">
        <v>2510</v>
      </c>
      <c r="AQ344" t="s">
        <v>2551</v>
      </c>
      <c r="AR344" s="31">
        <v>46038</v>
      </c>
      <c r="AX344">
        <v>1</v>
      </c>
    </row>
    <row r="345" spans="1:50" x14ac:dyDescent="0.25">
      <c r="A345" t="s">
        <v>44</v>
      </c>
      <c r="B345">
        <v>746</v>
      </c>
      <c r="D345">
        <v>3004</v>
      </c>
      <c r="G345" t="s">
        <v>2555</v>
      </c>
      <c r="J345" t="s">
        <v>2556</v>
      </c>
      <c r="K345" t="s">
        <v>2557</v>
      </c>
      <c r="M345" t="s">
        <v>2558</v>
      </c>
      <c r="P345" t="s">
        <v>778</v>
      </c>
      <c r="S345" t="s">
        <v>2541</v>
      </c>
      <c r="V345" t="s">
        <v>2559</v>
      </c>
      <c r="W345" t="s">
        <v>780</v>
      </c>
      <c r="X345" t="s">
        <v>781</v>
      </c>
      <c r="Z345" s="31"/>
      <c r="AC345">
        <v>21</v>
      </c>
      <c r="AD345" t="s">
        <v>44</v>
      </c>
      <c r="AE345" s="31">
        <v>46013</v>
      </c>
      <c r="AF345" s="61">
        <v>0.35472222222222222</v>
      </c>
      <c r="AH345" t="s">
        <v>795</v>
      </c>
      <c r="AI345" s="31">
        <v>46034</v>
      </c>
      <c r="AJ345" s="61">
        <v>0.93934027777777773</v>
      </c>
      <c r="AK345" t="s">
        <v>1226</v>
      </c>
      <c r="AR345" s="31"/>
      <c r="AX345">
        <v>1</v>
      </c>
    </row>
    <row r="346" spans="1:50" x14ac:dyDescent="0.25">
      <c r="A346" t="s">
        <v>44</v>
      </c>
      <c r="B346">
        <v>747</v>
      </c>
      <c r="D346">
        <v>3003</v>
      </c>
      <c r="G346" t="s">
        <v>2560</v>
      </c>
      <c r="J346" t="s">
        <v>2561</v>
      </c>
      <c r="K346" t="s">
        <v>2562</v>
      </c>
      <c r="M346" t="s">
        <v>2563</v>
      </c>
      <c r="P346" t="s">
        <v>778</v>
      </c>
      <c r="S346" t="s">
        <v>2541</v>
      </c>
      <c r="V346" t="s">
        <v>2559</v>
      </c>
      <c r="W346" t="s">
        <v>780</v>
      </c>
      <c r="X346" t="s">
        <v>781</v>
      </c>
      <c r="Z346" s="31"/>
      <c r="AC346">
        <v>45</v>
      </c>
      <c r="AD346" t="s">
        <v>44</v>
      </c>
      <c r="AE346" s="31">
        <v>46013</v>
      </c>
      <c r="AF346" s="61">
        <v>0.35800925925925919</v>
      </c>
      <c r="AH346" t="s">
        <v>795</v>
      </c>
      <c r="AI346" s="31">
        <v>46058</v>
      </c>
      <c r="AJ346" s="61">
        <v>0.52331018518518524</v>
      </c>
      <c r="AK346" t="s">
        <v>796</v>
      </c>
      <c r="AL346" t="s">
        <v>2564</v>
      </c>
      <c r="AR346" s="31"/>
      <c r="AX346">
        <v>1</v>
      </c>
    </row>
    <row r="347" spans="1:50" x14ac:dyDescent="0.25">
      <c r="A347" t="s">
        <v>44</v>
      </c>
      <c r="B347">
        <v>748</v>
      </c>
      <c r="D347">
        <v>3011</v>
      </c>
      <c r="E347" t="s">
        <v>2565</v>
      </c>
      <c r="G347" t="s">
        <v>2566</v>
      </c>
      <c r="H347">
        <v>9260618000165</v>
      </c>
      <c r="J347" t="s">
        <v>2567</v>
      </c>
      <c r="K347" t="s">
        <v>2568</v>
      </c>
      <c r="M347" t="s">
        <v>2569</v>
      </c>
      <c r="P347" t="s">
        <v>778</v>
      </c>
      <c r="S347" t="s">
        <v>2541</v>
      </c>
      <c r="V347" t="s">
        <v>2542</v>
      </c>
      <c r="W347" t="s">
        <v>780</v>
      </c>
      <c r="X347" t="s">
        <v>857</v>
      </c>
      <c r="Z347" s="31">
        <v>46053</v>
      </c>
      <c r="AC347">
        <v>51</v>
      </c>
      <c r="AD347" t="s">
        <v>44</v>
      </c>
      <c r="AE347" s="31">
        <v>46021</v>
      </c>
      <c r="AF347" s="61">
        <v>0.46439814814814823</v>
      </c>
      <c r="AH347" t="s">
        <v>782</v>
      </c>
      <c r="AI347" s="31"/>
      <c r="AJ347" s="61"/>
      <c r="AO347" t="s">
        <v>44</v>
      </c>
      <c r="AP347" t="s">
        <v>2505</v>
      </c>
      <c r="AR347" s="31">
        <v>46051</v>
      </c>
      <c r="AS347" t="s">
        <v>2119</v>
      </c>
      <c r="AX347">
        <v>1</v>
      </c>
    </row>
    <row r="348" spans="1:50" x14ac:dyDescent="0.25">
      <c r="A348" t="s">
        <v>44</v>
      </c>
      <c r="B348">
        <v>749</v>
      </c>
      <c r="D348">
        <v>3006</v>
      </c>
      <c r="E348" t="s">
        <v>2570</v>
      </c>
      <c r="G348" t="s">
        <v>381</v>
      </c>
      <c r="H348">
        <v>34667612000154</v>
      </c>
      <c r="J348" t="s">
        <v>2571</v>
      </c>
      <c r="K348" t="s">
        <v>2572</v>
      </c>
      <c r="M348" t="s">
        <v>2573</v>
      </c>
      <c r="P348" t="s">
        <v>778</v>
      </c>
      <c r="Q348" t="s">
        <v>2574</v>
      </c>
      <c r="R348" t="s">
        <v>1699</v>
      </c>
      <c r="S348" t="s">
        <v>2541</v>
      </c>
      <c r="V348" t="s">
        <v>2542</v>
      </c>
      <c r="W348" t="s">
        <v>780</v>
      </c>
      <c r="X348" t="s">
        <v>793</v>
      </c>
      <c r="Z348" s="31">
        <v>46081</v>
      </c>
      <c r="AA348">
        <v>1117015</v>
      </c>
      <c r="AB348">
        <v>468739</v>
      </c>
      <c r="AC348">
        <v>50</v>
      </c>
      <c r="AD348" t="s">
        <v>44</v>
      </c>
      <c r="AE348" s="31">
        <v>46021</v>
      </c>
      <c r="AF348" s="61">
        <v>0.47844907407407411</v>
      </c>
      <c r="AH348" t="s">
        <v>795</v>
      </c>
      <c r="AI348" s="31">
        <v>46071</v>
      </c>
      <c r="AJ348" s="61">
        <v>0.36982638888888891</v>
      </c>
      <c r="AK348" t="s">
        <v>934</v>
      </c>
      <c r="AL348" t="s">
        <v>2575</v>
      </c>
      <c r="AN348" t="s">
        <v>382</v>
      </c>
      <c r="AO348" t="s">
        <v>44</v>
      </c>
      <c r="AP348" t="s">
        <v>2576</v>
      </c>
      <c r="AQ348" t="s">
        <v>382</v>
      </c>
      <c r="AR348" s="31">
        <v>46071</v>
      </c>
      <c r="AS348" t="s">
        <v>2119</v>
      </c>
      <c r="AX348">
        <v>1</v>
      </c>
    </row>
    <row r="349" spans="1:50" x14ac:dyDescent="0.25">
      <c r="A349" t="s">
        <v>31</v>
      </c>
      <c r="B349">
        <v>750</v>
      </c>
      <c r="D349">
        <v>3016</v>
      </c>
      <c r="E349" t="s">
        <v>2577</v>
      </c>
      <c r="G349" t="s">
        <v>2578</v>
      </c>
      <c r="H349">
        <v>1574467000108</v>
      </c>
      <c r="J349" t="s">
        <v>2579</v>
      </c>
      <c r="K349" t="s">
        <v>2580</v>
      </c>
      <c r="M349" t="s">
        <v>2581</v>
      </c>
      <c r="P349" t="s">
        <v>778</v>
      </c>
      <c r="S349" t="s">
        <v>2541</v>
      </c>
      <c r="V349" t="s">
        <v>2582</v>
      </c>
      <c r="W349" t="s">
        <v>780</v>
      </c>
      <c r="X349" t="s">
        <v>807</v>
      </c>
      <c r="Z349" s="31">
        <v>46112</v>
      </c>
      <c r="AA349">
        <v>12996348</v>
      </c>
      <c r="AB349">
        <v>860884</v>
      </c>
      <c r="AC349">
        <v>43</v>
      </c>
      <c r="AD349" t="s">
        <v>31</v>
      </c>
      <c r="AE349" s="31">
        <v>46027</v>
      </c>
      <c r="AF349" s="61">
        <v>0.49306712962962962</v>
      </c>
      <c r="AH349" t="s">
        <v>795</v>
      </c>
      <c r="AI349" s="31">
        <v>46070</v>
      </c>
      <c r="AJ349" s="61">
        <v>0.68046296296296294</v>
      </c>
      <c r="AK349" t="s">
        <v>867</v>
      </c>
      <c r="AO349" t="s">
        <v>31</v>
      </c>
      <c r="AP349" t="s">
        <v>2505</v>
      </c>
      <c r="AQ349" t="s">
        <v>382</v>
      </c>
      <c r="AR349" s="31">
        <v>46058</v>
      </c>
      <c r="AS349" t="s">
        <v>1423</v>
      </c>
      <c r="AX349">
        <v>1</v>
      </c>
    </row>
    <row r="350" spans="1:50" x14ac:dyDescent="0.25">
      <c r="A350" t="s">
        <v>31</v>
      </c>
      <c r="B350">
        <v>754</v>
      </c>
      <c r="D350">
        <v>3017</v>
      </c>
      <c r="E350" t="s">
        <v>2583</v>
      </c>
      <c r="F350" t="s">
        <v>2584</v>
      </c>
      <c r="G350" t="s">
        <v>2585</v>
      </c>
      <c r="H350">
        <v>61516270000144</v>
      </c>
      <c r="J350" t="s">
        <v>2586</v>
      </c>
      <c r="K350" t="s">
        <v>2587</v>
      </c>
      <c r="M350" t="s">
        <v>2588</v>
      </c>
      <c r="P350" t="s">
        <v>778</v>
      </c>
      <c r="Q350" t="s">
        <v>2589</v>
      </c>
      <c r="R350" t="s">
        <v>790</v>
      </c>
      <c r="S350" t="s">
        <v>2541</v>
      </c>
      <c r="V350" t="s">
        <v>2542</v>
      </c>
      <c r="W350" t="s">
        <v>780</v>
      </c>
      <c r="X350" t="s">
        <v>793</v>
      </c>
      <c r="Z350" s="31">
        <v>46142</v>
      </c>
      <c r="AC350">
        <v>13</v>
      </c>
      <c r="AD350" t="s">
        <v>31</v>
      </c>
      <c r="AE350" s="31">
        <v>46029</v>
      </c>
      <c r="AF350" s="61">
        <v>0.42782407407407408</v>
      </c>
      <c r="AH350" t="s">
        <v>795</v>
      </c>
      <c r="AI350" s="31">
        <v>46042</v>
      </c>
      <c r="AJ350" s="61">
        <v>0.71923611111111108</v>
      </c>
      <c r="AK350" t="s">
        <v>858</v>
      </c>
      <c r="AN350" t="s">
        <v>2590</v>
      </c>
      <c r="AO350" t="s">
        <v>31</v>
      </c>
      <c r="AP350" t="s">
        <v>2591</v>
      </c>
      <c r="AR350" s="31">
        <v>46041</v>
      </c>
      <c r="AX350">
        <v>1</v>
      </c>
    </row>
    <row r="351" spans="1:50" x14ac:dyDescent="0.25">
      <c r="A351" t="s">
        <v>22</v>
      </c>
      <c r="B351">
        <v>757</v>
      </c>
      <c r="D351">
        <v>3046</v>
      </c>
      <c r="E351" t="s">
        <v>2592</v>
      </c>
      <c r="G351" t="s">
        <v>2593</v>
      </c>
      <c r="J351" t="s">
        <v>2594</v>
      </c>
      <c r="K351" t="s">
        <v>2595</v>
      </c>
      <c r="M351" t="s">
        <v>2596</v>
      </c>
      <c r="P351" t="s">
        <v>778</v>
      </c>
      <c r="S351" t="s">
        <v>2541</v>
      </c>
      <c r="V351" t="s">
        <v>2542</v>
      </c>
      <c r="W351" t="s">
        <v>780</v>
      </c>
      <c r="X351" t="s">
        <v>897</v>
      </c>
      <c r="Z351" s="31">
        <v>46034</v>
      </c>
      <c r="AC351">
        <v>15</v>
      </c>
      <c r="AD351" t="s">
        <v>22</v>
      </c>
      <c r="AE351" s="31">
        <v>46030</v>
      </c>
      <c r="AF351" s="61">
        <v>0.66454861111111108</v>
      </c>
      <c r="AH351" t="s">
        <v>795</v>
      </c>
      <c r="AI351" s="31">
        <v>46045</v>
      </c>
      <c r="AJ351" s="61">
        <v>0.74555555555555553</v>
      </c>
      <c r="AK351" t="s">
        <v>974</v>
      </c>
      <c r="AL351" t="s">
        <v>2597</v>
      </c>
      <c r="AO351" t="s">
        <v>22</v>
      </c>
      <c r="AR351" s="31">
        <v>46034</v>
      </c>
      <c r="AX351">
        <v>1</v>
      </c>
    </row>
    <row r="352" spans="1:50" x14ac:dyDescent="0.25">
      <c r="A352" t="s">
        <v>22</v>
      </c>
      <c r="B352">
        <v>758</v>
      </c>
      <c r="D352">
        <v>3048</v>
      </c>
      <c r="E352" t="s">
        <v>2598</v>
      </c>
      <c r="G352" t="s">
        <v>2599</v>
      </c>
      <c r="J352" t="s">
        <v>2600</v>
      </c>
      <c r="K352" t="s">
        <v>2601</v>
      </c>
      <c r="M352" t="s">
        <v>2602</v>
      </c>
      <c r="P352" t="s">
        <v>778</v>
      </c>
      <c r="V352" t="s">
        <v>1419</v>
      </c>
      <c r="W352" t="s">
        <v>780</v>
      </c>
      <c r="X352" t="s">
        <v>807</v>
      </c>
      <c r="Z352" s="31">
        <v>46053</v>
      </c>
      <c r="AA352">
        <v>0</v>
      </c>
      <c r="AB352">
        <v>66</v>
      </c>
      <c r="AC352">
        <v>42</v>
      </c>
      <c r="AD352" t="s">
        <v>22</v>
      </c>
      <c r="AE352" s="31">
        <v>46030</v>
      </c>
      <c r="AF352" s="61">
        <v>0.7044907407407407</v>
      </c>
      <c r="AH352" t="s">
        <v>782</v>
      </c>
      <c r="AI352" s="31"/>
      <c r="AJ352" s="61"/>
      <c r="AN352" t="s">
        <v>2603</v>
      </c>
      <c r="AO352" t="s">
        <v>22</v>
      </c>
      <c r="AP352" t="s">
        <v>2603</v>
      </c>
      <c r="AR352" s="31">
        <v>46044</v>
      </c>
      <c r="AS352" t="s">
        <v>1423</v>
      </c>
      <c r="AT352" t="s">
        <v>2604</v>
      </c>
      <c r="AU352" t="s">
        <v>2605</v>
      </c>
      <c r="AV352" t="s">
        <v>2606</v>
      </c>
      <c r="AW352" t="s">
        <v>2607</v>
      </c>
      <c r="AX352">
        <v>1</v>
      </c>
    </row>
    <row r="353" spans="1:50" x14ac:dyDescent="0.25">
      <c r="A353" t="s">
        <v>22</v>
      </c>
      <c r="B353">
        <v>759</v>
      </c>
      <c r="D353">
        <v>3049</v>
      </c>
      <c r="E353" t="s">
        <v>2608</v>
      </c>
      <c r="G353" t="s">
        <v>2609</v>
      </c>
      <c r="H353">
        <v>10345472000130</v>
      </c>
      <c r="J353" t="s">
        <v>2610</v>
      </c>
      <c r="K353" t="s">
        <v>2611</v>
      </c>
      <c r="M353" t="s">
        <v>2612</v>
      </c>
      <c r="P353" t="s">
        <v>778</v>
      </c>
      <c r="V353" t="s">
        <v>1704</v>
      </c>
      <c r="W353" t="s">
        <v>780</v>
      </c>
      <c r="X353" t="s">
        <v>816</v>
      </c>
      <c r="Z353" s="31">
        <v>46053</v>
      </c>
      <c r="AA353">
        <v>1505387</v>
      </c>
      <c r="AB353">
        <v>27562</v>
      </c>
      <c r="AC353">
        <v>4</v>
      </c>
      <c r="AD353" t="s">
        <v>22</v>
      </c>
      <c r="AE353" s="31">
        <v>46030</v>
      </c>
      <c r="AF353" s="61">
        <v>0.71855324074074078</v>
      </c>
      <c r="AH353" t="s">
        <v>818</v>
      </c>
      <c r="AI353" s="31">
        <v>46034</v>
      </c>
      <c r="AJ353" s="61">
        <v>0.6088541666666667</v>
      </c>
      <c r="AN353" t="s">
        <v>2603</v>
      </c>
      <c r="AO353" t="s">
        <v>22</v>
      </c>
      <c r="AP353" t="s">
        <v>2603</v>
      </c>
      <c r="AR353" s="31"/>
      <c r="AX353">
        <v>1</v>
      </c>
    </row>
    <row r="354" spans="1:50" x14ac:dyDescent="0.25">
      <c r="A354" t="s">
        <v>22</v>
      </c>
      <c r="B354">
        <v>760</v>
      </c>
      <c r="D354">
        <v>3050</v>
      </c>
      <c r="E354" t="s">
        <v>2613</v>
      </c>
      <c r="G354" t="s">
        <v>2614</v>
      </c>
      <c r="H354">
        <v>3204281000192</v>
      </c>
      <c r="J354" t="s">
        <v>2615</v>
      </c>
      <c r="K354" t="s">
        <v>2616</v>
      </c>
      <c r="M354" t="s">
        <v>2617</v>
      </c>
      <c r="P354" t="s">
        <v>778</v>
      </c>
      <c r="Q354" t="s">
        <v>2618</v>
      </c>
      <c r="R354" t="s">
        <v>790</v>
      </c>
      <c r="V354" t="s">
        <v>1704</v>
      </c>
      <c r="W354" t="s">
        <v>780</v>
      </c>
      <c r="X354" t="s">
        <v>816</v>
      </c>
      <c r="Z354" s="31">
        <v>46053</v>
      </c>
      <c r="AA354">
        <v>58000</v>
      </c>
      <c r="AB354">
        <v>0</v>
      </c>
      <c r="AC354">
        <v>42</v>
      </c>
      <c r="AD354" t="s">
        <v>22</v>
      </c>
      <c r="AE354" s="31">
        <v>46030</v>
      </c>
      <c r="AF354" s="61">
        <v>0.72366898148148151</v>
      </c>
      <c r="AH354" t="s">
        <v>782</v>
      </c>
      <c r="AI354" s="31"/>
      <c r="AJ354" s="61"/>
      <c r="AN354" t="s">
        <v>2619</v>
      </c>
      <c r="AO354" t="s">
        <v>22</v>
      </c>
      <c r="AP354" t="s">
        <v>2619</v>
      </c>
      <c r="AR354" s="31">
        <v>46045</v>
      </c>
      <c r="AS354" t="s">
        <v>1970</v>
      </c>
      <c r="AT354" t="s">
        <v>2620</v>
      </c>
      <c r="AU354" t="s">
        <v>318</v>
      </c>
      <c r="AV354" t="s">
        <v>2621</v>
      </c>
      <c r="AW354" t="s">
        <v>2606</v>
      </c>
      <c r="AX354">
        <v>1</v>
      </c>
    </row>
    <row r="355" spans="1:50" x14ac:dyDescent="0.25">
      <c r="A355" t="s">
        <v>22</v>
      </c>
      <c r="B355">
        <v>761</v>
      </c>
      <c r="D355">
        <v>3053</v>
      </c>
      <c r="E355" t="s">
        <v>2622</v>
      </c>
      <c r="G355" t="s">
        <v>2623</v>
      </c>
      <c r="H355">
        <v>12585697000199</v>
      </c>
      <c r="J355" t="s">
        <v>2624</v>
      </c>
      <c r="K355" t="s">
        <v>2625</v>
      </c>
      <c r="M355" t="s">
        <v>2626</v>
      </c>
      <c r="P355" t="s">
        <v>778</v>
      </c>
      <c r="Q355" t="s">
        <v>1837</v>
      </c>
      <c r="R355" t="s">
        <v>790</v>
      </c>
      <c r="W355" t="s">
        <v>780</v>
      </c>
      <c r="X355" t="s">
        <v>807</v>
      </c>
      <c r="Z355" s="31">
        <v>46053</v>
      </c>
      <c r="AA355">
        <v>8100</v>
      </c>
      <c r="AB355">
        <v>1080</v>
      </c>
      <c r="AC355">
        <v>4</v>
      </c>
      <c r="AD355" t="s">
        <v>22</v>
      </c>
      <c r="AE355" s="31">
        <v>46030</v>
      </c>
      <c r="AF355" s="61">
        <v>0.72824074074074074</v>
      </c>
      <c r="AH355" t="s">
        <v>795</v>
      </c>
      <c r="AI355" s="31">
        <v>46034</v>
      </c>
      <c r="AJ355" s="61">
        <v>0.60534722222222226</v>
      </c>
      <c r="AK355" t="s">
        <v>858</v>
      </c>
      <c r="AN355" t="s">
        <v>2603</v>
      </c>
      <c r="AO355" t="s">
        <v>22</v>
      </c>
      <c r="AP355" t="s">
        <v>2603</v>
      </c>
      <c r="AR355" s="31">
        <v>46031</v>
      </c>
      <c r="AX355">
        <v>1</v>
      </c>
    </row>
    <row r="356" spans="1:50" x14ac:dyDescent="0.25">
      <c r="A356" t="s">
        <v>22</v>
      </c>
      <c r="B356">
        <v>762</v>
      </c>
      <c r="D356">
        <v>3040</v>
      </c>
      <c r="E356" t="s">
        <v>2627</v>
      </c>
      <c r="G356" t="s">
        <v>2628</v>
      </c>
      <c r="J356" t="s">
        <v>2629</v>
      </c>
      <c r="K356" t="s">
        <v>2630</v>
      </c>
      <c r="M356" t="s">
        <v>2631</v>
      </c>
      <c r="P356" t="s">
        <v>778</v>
      </c>
      <c r="S356" t="s">
        <v>2541</v>
      </c>
      <c r="V356" t="s">
        <v>2632</v>
      </c>
      <c r="W356" t="s">
        <v>780</v>
      </c>
      <c r="X356" t="s">
        <v>897</v>
      </c>
      <c r="Z356" s="31">
        <v>46045</v>
      </c>
      <c r="AC356">
        <v>15</v>
      </c>
      <c r="AD356" t="s">
        <v>22</v>
      </c>
      <c r="AE356" s="31">
        <v>46030</v>
      </c>
      <c r="AF356" s="61">
        <v>0.7323263888888889</v>
      </c>
      <c r="AH356" t="s">
        <v>795</v>
      </c>
      <c r="AI356" s="31">
        <v>46045</v>
      </c>
      <c r="AJ356" s="61">
        <v>0.74736111111111114</v>
      </c>
      <c r="AK356" t="s">
        <v>1226</v>
      </c>
      <c r="AO356" t="s">
        <v>22</v>
      </c>
      <c r="AR356" s="31">
        <v>46045</v>
      </c>
      <c r="AX356">
        <v>1</v>
      </c>
    </row>
    <row r="357" spans="1:50" x14ac:dyDescent="0.25">
      <c r="A357" t="s">
        <v>44</v>
      </c>
      <c r="B357">
        <v>763</v>
      </c>
      <c r="D357">
        <v>3058</v>
      </c>
      <c r="E357" t="s">
        <v>2633</v>
      </c>
      <c r="G357" t="s">
        <v>2634</v>
      </c>
      <c r="H357">
        <v>55042933000133</v>
      </c>
      <c r="J357" t="s">
        <v>291</v>
      </c>
      <c r="K357" t="s">
        <v>2635</v>
      </c>
      <c r="M357" t="s">
        <v>2636</v>
      </c>
      <c r="P357" t="s">
        <v>778</v>
      </c>
      <c r="Q357" t="s">
        <v>2637</v>
      </c>
      <c r="R357" t="s">
        <v>1105</v>
      </c>
      <c r="S357" t="s">
        <v>2541</v>
      </c>
      <c r="V357" t="s">
        <v>2542</v>
      </c>
      <c r="W357" t="s">
        <v>780</v>
      </c>
      <c r="X357" t="s">
        <v>857</v>
      </c>
      <c r="Z357" s="31">
        <v>46053</v>
      </c>
      <c r="AA357">
        <v>61904</v>
      </c>
      <c r="AB357">
        <v>13156</v>
      </c>
      <c r="AC357">
        <v>20</v>
      </c>
      <c r="AD357" t="s">
        <v>44</v>
      </c>
      <c r="AE357" s="31">
        <v>46031</v>
      </c>
      <c r="AF357" s="61">
        <v>0.46917824074074072</v>
      </c>
      <c r="AH357" t="s">
        <v>795</v>
      </c>
      <c r="AI357" s="31">
        <v>46051</v>
      </c>
      <c r="AJ357" s="61">
        <v>0.60484953703703703</v>
      </c>
      <c r="AK357" t="s">
        <v>796</v>
      </c>
      <c r="AL357" t="s">
        <v>2638</v>
      </c>
      <c r="AN357" t="s">
        <v>2591</v>
      </c>
      <c r="AP357" t="s">
        <v>2639</v>
      </c>
      <c r="AR357" s="31">
        <v>46051</v>
      </c>
      <c r="AX357">
        <v>1</v>
      </c>
    </row>
    <row r="358" spans="1:50" x14ac:dyDescent="0.25">
      <c r="A358" t="s">
        <v>31</v>
      </c>
      <c r="B358">
        <v>764</v>
      </c>
      <c r="D358">
        <v>3007</v>
      </c>
      <c r="E358" t="s">
        <v>2640</v>
      </c>
      <c r="G358" t="s">
        <v>2641</v>
      </c>
      <c r="H358">
        <v>51776465000170</v>
      </c>
      <c r="J358" t="s">
        <v>2642</v>
      </c>
      <c r="K358" t="s">
        <v>2643</v>
      </c>
      <c r="M358" t="s">
        <v>2644</v>
      </c>
      <c r="P358" t="s">
        <v>778</v>
      </c>
      <c r="S358" t="s">
        <v>2541</v>
      </c>
      <c r="V358" t="s">
        <v>2542</v>
      </c>
      <c r="W358" t="s">
        <v>780</v>
      </c>
      <c r="X358" t="s">
        <v>793</v>
      </c>
      <c r="Z358" s="31">
        <v>46112</v>
      </c>
      <c r="AC358">
        <v>27</v>
      </c>
      <c r="AD358" t="s">
        <v>31</v>
      </c>
      <c r="AE358" s="31">
        <v>46031</v>
      </c>
      <c r="AF358" s="61">
        <v>0.48917824074074068</v>
      </c>
      <c r="AH358" t="s">
        <v>795</v>
      </c>
      <c r="AI358" s="31">
        <v>46058</v>
      </c>
      <c r="AJ358" s="61">
        <v>0.62587962962962962</v>
      </c>
      <c r="AK358" t="s">
        <v>796</v>
      </c>
      <c r="AO358" t="s">
        <v>31</v>
      </c>
      <c r="AP358" t="s">
        <v>2645</v>
      </c>
      <c r="AR358" s="31">
        <v>46050</v>
      </c>
      <c r="AX358">
        <v>1</v>
      </c>
    </row>
    <row r="359" spans="1:50" x14ac:dyDescent="0.25">
      <c r="A359" t="s">
        <v>22</v>
      </c>
      <c r="B359">
        <v>766</v>
      </c>
      <c r="D359">
        <v>3063</v>
      </c>
      <c r="E359" t="s">
        <v>2646</v>
      </c>
      <c r="G359" t="s">
        <v>2647</v>
      </c>
      <c r="J359" t="s">
        <v>2648</v>
      </c>
      <c r="K359" t="s">
        <v>2649</v>
      </c>
      <c r="M359" t="s">
        <v>1111</v>
      </c>
      <c r="P359" t="s">
        <v>778</v>
      </c>
      <c r="V359" t="s">
        <v>2407</v>
      </c>
      <c r="W359" t="s">
        <v>780</v>
      </c>
      <c r="X359" t="s">
        <v>816</v>
      </c>
      <c r="Z359" s="31">
        <v>46037</v>
      </c>
      <c r="AA359">
        <v>56100</v>
      </c>
      <c r="AB359">
        <v>67334</v>
      </c>
      <c r="AC359">
        <v>14</v>
      </c>
      <c r="AD359" t="s">
        <v>22</v>
      </c>
      <c r="AE359" s="31">
        <v>46031</v>
      </c>
      <c r="AF359" s="61">
        <v>0.64468749999999997</v>
      </c>
      <c r="AH359" t="s">
        <v>818</v>
      </c>
      <c r="AI359" s="31">
        <v>46045</v>
      </c>
      <c r="AJ359" s="61">
        <v>0.46248842592592587</v>
      </c>
      <c r="AN359" t="s">
        <v>2603</v>
      </c>
      <c r="AO359" t="s">
        <v>22</v>
      </c>
      <c r="AP359" t="s">
        <v>2650</v>
      </c>
      <c r="AR359" s="31">
        <v>46037</v>
      </c>
      <c r="AX359">
        <v>1</v>
      </c>
    </row>
    <row r="360" spans="1:50" x14ac:dyDescent="0.25">
      <c r="A360" t="s">
        <v>22</v>
      </c>
      <c r="B360">
        <v>767</v>
      </c>
      <c r="D360">
        <v>3064</v>
      </c>
      <c r="E360" t="s">
        <v>2651</v>
      </c>
      <c r="G360" t="s">
        <v>2652</v>
      </c>
      <c r="J360" t="s">
        <v>2653</v>
      </c>
      <c r="K360" t="s">
        <v>2654</v>
      </c>
      <c r="M360" t="s">
        <v>2655</v>
      </c>
      <c r="P360" t="s">
        <v>778</v>
      </c>
      <c r="V360" t="s">
        <v>2656</v>
      </c>
      <c r="W360" t="s">
        <v>780</v>
      </c>
      <c r="X360" t="s">
        <v>807</v>
      </c>
      <c r="Z360" s="31">
        <v>46053</v>
      </c>
      <c r="AA360">
        <v>16000</v>
      </c>
      <c r="AB360">
        <v>18330</v>
      </c>
      <c r="AC360">
        <v>41</v>
      </c>
      <c r="AD360" t="s">
        <v>22</v>
      </c>
      <c r="AE360" s="31">
        <v>46031</v>
      </c>
      <c r="AF360" s="61">
        <v>0.65190972222222221</v>
      </c>
      <c r="AH360" t="s">
        <v>782</v>
      </c>
      <c r="AI360" s="31"/>
      <c r="AJ360" s="61"/>
      <c r="AN360" t="s">
        <v>2650</v>
      </c>
      <c r="AO360" t="s">
        <v>22</v>
      </c>
      <c r="AP360" t="s">
        <v>2619</v>
      </c>
      <c r="AR360" s="31">
        <v>46041</v>
      </c>
      <c r="AS360" t="s">
        <v>2119</v>
      </c>
      <c r="AT360" t="s">
        <v>1012</v>
      </c>
      <c r="AU360" t="s">
        <v>63</v>
      </c>
      <c r="AV360" t="s">
        <v>1971</v>
      </c>
      <c r="AW360" t="s">
        <v>2657</v>
      </c>
      <c r="AX360">
        <v>1</v>
      </c>
    </row>
    <row r="361" spans="1:50" x14ac:dyDescent="0.25">
      <c r="A361" t="s">
        <v>31</v>
      </c>
      <c r="B361">
        <v>768</v>
      </c>
      <c r="D361">
        <v>2107</v>
      </c>
      <c r="E361" t="s">
        <v>2658</v>
      </c>
      <c r="F361" t="s">
        <v>2659</v>
      </c>
      <c r="G361" t="s">
        <v>2660</v>
      </c>
      <c r="H361">
        <v>10469551000152</v>
      </c>
      <c r="J361" t="s">
        <v>2661</v>
      </c>
      <c r="K361" t="s">
        <v>2662</v>
      </c>
      <c r="M361" t="s">
        <v>2663</v>
      </c>
      <c r="P361" t="s">
        <v>778</v>
      </c>
      <c r="Q361" t="s">
        <v>2664</v>
      </c>
      <c r="R361" t="s">
        <v>932</v>
      </c>
      <c r="S361" t="s">
        <v>805</v>
      </c>
      <c r="V361" t="s">
        <v>2665</v>
      </c>
      <c r="W361" t="s">
        <v>780</v>
      </c>
      <c r="X361" t="s">
        <v>897</v>
      </c>
      <c r="Z361" s="31">
        <v>46142</v>
      </c>
      <c r="AC361">
        <v>11</v>
      </c>
      <c r="AD361" t="s">
        <v>31</v>
      </c>
      <c r="AE361" s="31">
        <v>46031</v>
      </c>
      <c r="AF361" s="61">
        <v>0.70384259259259263</v>
      </c>
      <c r="AH361" t="s">
        <v>795</v>
      </c>
      <c r="AI361" s="31">
        <v>46042</v>
      </c>
      <c r="AJ361" s="61">
        <v>0.71552083333333338</v>
      </c>
      <c r="AK361" t="s">
        <v>974</v>
      </c>
      <c r="AR361" s="31">
        <v>46035</v>
      </c>
      <c r="AX361">
        <v>1</v>
      </c>
    </row>
    <row r="362" spans="1:50" x14ac:dyDescent="0.25">
      <c r="A362" t="s">
        <v>22</v>
      </c>
      <c r="B362">
        <v>769</v>
      </c>
      <c r="D362">
        <v>2997</v>
      </c>
      <c r="E362" t="s">
        <v>2666</v>
      </c>
      <c r="G362" t="s">
        <v>2667</v>
      </c>
      <c r="J362" t="s">
        <v>2668</v>
      </c>
      <c r="K362" t="s">
        <v>2669</v>
      </c>
      <c r="M362" t="s">
        <v>2670</v>
      </c>
      <c r="P362" t="s">
        <v>778</v>
      </c>
      <c r="S362" t="s">
        <v>2541</v>
      </c>
      <c r="V362" t="s">
        <v>2542</v>
      </c>
      <c r="W362" t="s">
        <v>780</v>
      </c>
      <c r="X362" t="s">
        <v>897</v>
      </c>
      <c r="Z362" s="31">
        <v>46053</v>
      </c>
      <c r="AC362">
        <v>1</v>
      </c>
      <c r="AD362" t="s">
        <v>22</v>
      </c>
      <c r="AE362" s="31">
        <v>46034</v>
      </c>
      <c r="AF362" s="61">
        <v>0.72917824074074078</v>
      </c>
      <c r="AH362" t="s">
        <v>795</v>
      </c>
      <c r="AI362" s="31">
        <v>46035</v>
      </c>
      <c r="AJ362" s="61">
        <v>0.7297569444444445</v>
      </c>
      <c r="AK362" t="s">
        <v>858</v>
      </c>
      <c r="AO362" t="s">
        <v>22</v>
      </c>
      <c r="AR362" s="31"/>
      <c r="AX362">
        <v>1</v>
      </c>
    </row>
    <row r="363" spans="1:50" x14ac:dyDescent="0.25">
      <c r="A363" t="s">
        <v>22</v>
      </c>
      <c r="B363">
        <v>770</v>
      </c>
      <c r="D363">
        <v>3005</v>
      </c>
      <c r="E363" t="s">
        <v>2671</v>
      </c>
      <c r="G363" t="s">
        <v>2672</v>
      </c>
      <c r="H363">
        <v>18190972000151</v>
      </c>
      <c r="J363" t="s">
        <v>2673</v>
      </c>
      <c r="K363" t="s">
        <v>2674</v>
      </c>
      <c r="M363" t="s">
        <v>2675</v>
      </c>
      <c r="P363" t="s">
        <v>778</v>
      </c>
      <c r="S363" t="s">
        <v>2541</v>
      </c>
      <c r="V363" t="s">
        <v>2542</v>
      </c>
      <c r="W363" t="s">
        <v>780</v>
      </c>
      <c r="X363" t="s">
        <v>897</v>
      </c>
      <c r="Z363" s="31">
        <v>46053</v>
      </c>
      <c r="AC363">
        <v>38</v>
      </c>
      <c r="AD363" t="s">
        <v>22</v>
      </c>
      <c r="AE363" s="31">
        <v>46034</v>
      </c>
      <c r="AF363" s="61">
        <v>0.73178240740740741</v>
      </c>
      <c r="AH363" t="s">
        <v>782</v>
      </c>
      <c r="AI363" s="31"/>
      <c r="AJ363" s="61"/>
      <c r="AO363" t="s">
        <v>22</v>
      </c>
      <c r="AR363" s="31">
        <v>46045</v>
      </c>
      <c r="AS363" t="s">
        <v>2119</v>
      </c>
      <c r="AX363">
        <v>1</v>
      </c>
    </row>
    <row r="364" spans="1:50" x14ac:dyDescent="0.25">
      <c r="A364" t="s">
        <v>22</v>
      </c>
      <c r="B364">
        <v>771</v>
      </c>
      <c r="D364">
        <v>3001</v>
      </c>
      <c r="E364" t="s">
        <v>2676</v>
      </c>
      <c r="G364" t="s">
        <v>394</v>
      </c>
      <c r="J364" t="s">
        <v>2677</v>
      </c>
      <c r="K364" t="s">
        <v>2678</v>
      </c>
      <c r="M364" t="s">
        <v>2679</v>
      </c>
      <c r="P364" t="s">
        <v>778</v>
      </c>
      <c r="S364" t="s">
        <v>2541</v>
      </c>
      <c r="V364" t="s">
        <v>2542</v>
      </c>
      <c r="W364" t="s">
        <v>780</v>
      </c>
      <c r="X364" t="s">
        <v>793</v>
      </c>
      <c r="Z364" s="31">
        <v>46081</v>
      </c>
      <c r="AC364">
        <v>38</v>
      </c>
      <c r="AD364" t="s">
        <v>22</v>
      </c>
      <c r="AE364" s="31">
        <v>46034</v>
      </c>
      <c r="AF364" s="61">
        <v>0.7350578703703704</v>
      </c>
      <c r="AH364" t="s">
        <v>782</v>
      </c>
      <c r="AI364" s="31"/>
      <c r="AJ364" s="61"/>
      <c r="AO364" t="s">
        <v>22</v>
      </c>
      <c r="AR364" s="31">
        <v>46058</v>
      </c>
      <c r="AS364" t="s">
        <v>2119</v>
      </c>
      <c r="AX364">
        <v>1</v>
      </c>
    </row>
    <row r="365" spans="1:50" x14ac:dyDescent="0.25">
      <c r="A365" t="s">
        <v>22</v>
      </c>
      <c r="B365">
        <v>772</v>
      </c>
      <c r="D365">
        <v>3008</v>
      </c>
      <c r="E365" t="s">
        <v>2680</v>
      </c>
      <c r="G365" t="s">
        <v>2681</v>
      </c>
      <c r="J365" t="s">
        <v>2682</v>
      </c>
      <c r="K365" t="s">
        <v>2683</v>
      </c>
      <c r="M365" t="s">
        <v>2684</v>
      </c>
      <c r="P365" t="s">
        <v>778</v>
      </c>
      <c r="Q365" t="s">
        <v>2685</v>
      </c>
      <c r="S365" t="s">
        <v>814</v>
      </c>
      <c r="V365" t="s">
        <v>1718</v>
      </c>
      <c r="W365" t="s">
        <v>780</v>
      </c>
      <c r="X365" t="s">
        <v>897</v>
      </c>
      <c r="Z365" s="31">
        <v>46053</v>
      </c>
      <c r="AC365">
        <v>0</v>
      </c>
      <c r="AD365" t="s">
        <v>22</v>
      </c>
      <c r="AE365" s="31">
        <v>46034</v>
      </c>
      <c r="AF365" s="61">
        <v>0.73835648148148147</v>
      </c>
      <c r="AH365" t="s">
        <v>795</v>
      </c>
      <c r="AI365" s="31">
        <v>46034</v>
      </c>
      <c r="AJ365" s="61">
        <v>0.93637731481481479</v>
      </c>
      <c r="AK365" t="s">
        <v>1226</v>
      </c>
      <c r="AO365" t="s">
        <v>22</v>
      </c>
      <c r="AR365" s="31"/>
      <c r="AX365">
        <v>1</v>
      </c>
    </row>
    <row r="366" spans="1:50" x14ac:dyDescent="0.25">
      <c r="A366" t="s">
        <v>22</v>
      </c>
      <c r="B366">
        <v>773</v>
      </c>
      <c r="D366">
        <v>3000</v>
      </c>
      <c r="E366" t="s">
        <v>2686</v>
      </c>
      <c r="G366" t="s">
        <v>2687</v>
      </c>
      <c r="J366" t="s">
        <v>2688</v>
      </c>
      <c r="K366" t="s">
        <v>2689</v>
      </c>
      <c r="M366" t="s">
        <v>2690</v>
      </c>
      <c r="P366" t="s">
        <v>778</v>
      </c>
      <c r="Q366" t="s">
        <v>2398</v>
      </c>
      <c r="S366" t="s">
        <v>814</v>
      </c>
      <c r="V366" t="s">
        <v>2691</v>
      </c>
      <c r="W366" t="s">
        <v>1191</v>
      </c>
      <c r="X366" t="s">
        <v>2692</v>
      </c>
      <c r="Z366" s="31">
        <v>46053</v>
      </c>
      <c r="AC366">
        <v>38</v>
      </c>
      <c r="AD366" t="s">
        <v>22</v>
      </c>
      <c r="AE366" s="31">
        <v>46034</v>
      </c>
      <c r="AF366" s="61">
        <v>0.74041666666666661</v>
      </c>
      <c r="AH366" t="s">
        <v>782</v>
      </c>
      <c r="AI366" s="31"/>
      <c r="AJ366" s="61"/>
      <c r="AO366" t="s">
        <v>22</v>
      </c>
      <c r="AR366" s="31">
        <v>46045</v>
      </c>
      <c r="AS366" t="s">
        <v>2119</v>
      </c>
      <c r="AX366">
        <v>1</v>
      </c>
    </row>
    <row r="367" spans="1:50" x14ac:dyDescent="0.25">
      <c r="A367" t="s">
        <v>44</v>
      </c>
      <c r="B367">
        <v>774</v>
      </c>
      <c r="D367">
        <v>3067</v>
      </c>
      <c r="E367" t="s">
        <v>2693</v>
      </c>
      <c r="G367" t="s">
        <v>2694</v>
      </c>
      <c r="J367" t="s">
        <v>2695</v>
      </c>
      <c r="K367" t="s">
        <v>2696</v>
      </c>
      <c r="M367" t="s">
        <v>2697</v>
      </c>
      <c r="P367" t="s">
        <v>778</v>
      </c>
      <c r="S367" t="s">
        <v>2541</v>
      </c>
      <c r="V367" t="s">
        <v>2632</v>
      </c>
      <c r="W367" t="s">
        <v>780</v>
      </c>
      <c r="X367" t="s">
        <v>897</v>
      </c>
      <c r="Z367" s="31">
        <v>46053</v>
      </c>
      <c r="AC367">
        <v>26</v>
      </c>
      <c r="AD367" t="s">
        <v>22</v>
      </c>
      <c r="AE367" s="31">
        <v>46034</v>
      </c>
      <c r="AF367" s="61">
        <v>0.91182870370370372</v>
      </c>
      <c r="AH367" t="s">
        <v>795</v>
      </c>
      <c r="AI367" s="31">
        <v>46060</v>
      </c>
      <c r="AJ367" s="61">
        <v>0.32128472222222221</v>
      </c>
      <c r="AK367" t="s">
        <v>1226</v>
      </c>
      <c r="AO367" t="s">
        <v>44</v>
      </c>
      <c r="AR367" s="31">
        <v>46042</v>
      </c>
      <c r="AX367">
        <v>1</v>
      </c>
    </row>
    <row r="368" spans="1:50" x14ac:dyDescent="0.25">
      <c r="A368" t="s">
        <v>44</v>
      </c>
      <c r="B368">
        <v>775</v>
      </c>
      <c r="D368">
        <v>3069</v>
      </c>
      <c r="E368" t="s">
        <v>2698</v>
      </c>
      <c r="G368" t="s">
        <v>2699</v>
      </c>
      <c r="J368" t="s">
        <v>2700</v>
      </c>
      <c r="K368" t="s">
        <v>2701</v>
      </c>
      <c r="M368" t="s">
        <v>2702</v>
      </c>
      <c r="P368" t="s">
        <v>778</v>
      </c>
      <c r="S368" t="s">
        <v>2541</v>
      </c>
      <c r="V368" t="s">
        <v>2632</v>
      </c>
      <c r="W368" t="s">
        <v>780</v>
      </c>
      <c r="X368" t="s">
        <v>897</v>
      </c>
      <c r="Z368" s="31">
        <v>46053</v>
      </c>
      <c r="AC368">
        <v>26</v>
      </c>
      <c r="AD368" t="s">
        <v>22</v>
      </c>
      <c r="AE368" s="31">
        <v>46034</v>
      </c>
      <c r="AF368" s="61">
        <v>0.91238425925925926</v>
      </c>
      <c r="AH368" t="s">
        <v>795</v>
      </c>
      <c r="AI368" s="31">
        <v>46060</v>
      </c>
      <c r="AJ368" s="61">
        <v>0.32656249999999998</v>
      </c>
      <c r="AK368" t="s">
        <v>1226</v>
      </c>
      <c r="AO368" t="s">
        <v>44</v>
      </c>
      <c r="AR368" s="31">
        <v>46038</v>
      </c>
      <c r="AX368">
        <v>1</v>
      </c>
    </row>
    <row r="369" spans="1:50" x14ac:dyDescent="0.25">
      <c r="A369" t="s">
        <v>31</v>
      </c>
      <c r="B369">
        <v>776</v>
      </c>
      <c r="D369">
        <v>3041</v>
      </c>
      <c r="E369" t="s">
        <v>2703</v>
      </c>
      <c r="G369" t="s">
        <v>2704</v>
      </c>
      <c r="J369" t="s">
        <v>334</v>
      </c>
      <c r="K369" t="s">
        <v>2705</v>
      </c>
      <c r="M369" t="s">
        <v>2706</v>
      </c>
      <c r="P369" t="s">
        <v>778</v>
      </c>
      <c r="S369" t="s">
        <v>2541</v>
      </c>
      <c r="V369" t="s">
        <v>2632</v>
      </c>
      <c r="W369" t="s">
        <v>780</v>
      </c>
      <c r="X369" t="s">
        <v>897</v>
      </c>
      <c r="Z369" s="31">
        <v>46053</v>
      </c>
      <c r="AC369">
        <v>26</v>
      </c>
      <c r="AD369" t="s">
        <v>22</v>
      </c>
      <c r="AE369" s="31">
        <v>46034</v>
      </c>
      <c r="AF369" s="61">
        <v>0.91520833333333329</v>
      </c>
      <c r="AH369" t="s">
        <v>795</v>
      </c>
      <c r="AI369" s="31">
        <v>46060</v>
      </c>
      <c r="AJ369" s="61">
        <v>0.32400462962962961</v>
      </c>
      <c r="AK369" t="s">
        <v>1226</v>
      </c>
      <c r="AO369" t="s">
        <v>31</v>
      </c>
      <c r="AR369" s="31">
        <v>46038</v>
      </c>
      <c r="AX369">
        <v>1</v>
      </c>
    </row>
    <row r="370" spans="1:50" x14ac:dyDescent="0.25">
      <c r="A370" t="s">
        <v>31</v>
      </c>
      <c r="B370">
        <v>777</v>
      </c>
      <c r="D370">
        <v>3047</v>
      </c>
      <c r="E370" t="s">
        <v>2707</v>
      </c>
      <c r="G370" t="s">
        <v>2708</v>
      </c>
      <c r="J370" t="s">
        <v>335</v>
      </c>
      <c r="K370" t="s">
        <v>2709</v>
      </c>
      <c r="M370" t="s">
        <v>2710</v>
      </c>
      <c r="P370" t="s">
        <v>778</v>
      </c>
      <c r="S370" t="s">
        <v>2541</v>
      </c>
      <c r="V370" t="s">
        <v>2632</v>
      </c>
      <c r="W370" t="s">
        <v>780</v>
      </c>
      <c r="X370" t="s">
        <v>897</v>
      </c>
      <c r="Z370" s="31">
        <v>46053</v>
      </c>
      <c r="AC370">
        <v>26</v>
      </c>
      <c r="AD370" t="s">
        <v>22</v>
      </c>
      <c r="AE370" s="31">
        <v>46034</v>
      </c>
      <c r="AF370" s="61">
        <v>0.91591435185185188</v>
      </c>
      <c r="AH370" t="s">
        <v>795</v>
      </c>
      <c r="AI370" s="31">
        <v>46060</v>
      </c>
      <c r="AJ370" s="61">
        <v>0.32482638888888887</v>
      </c>
      <c r="AK370" t="s">
        <v>1226</v>
      </c>
      <c r="AO370" t="s">
        <v>31</v>
      </c>
      <c r="AR370" s="31">
        <v>46038</v>
      </c>
      <c r="AX370">
        <v>1</v>
      </c>
    </row>
    <row r="371" spans="1:50" x14ac:dyDescent="0.25">
      <c r="A371" t="s">
        <v>31</v>
      </c>
      <c r="B371">
        <v>778</v>
      </c>
      <c r="D371">
        <v>3059</v>
      </c>
      <c r="E371" t="s">
        <v>2711</v>
      </c>
      <c r="G371" t="s">
        <v>2712</v>
      </c>
      <c r="H371">
        <v>30250062000112</v>
      </c>
      <c r="J371" t="s">
        <v>2713</v>
      </c>
      <c r="K371" t="s">
        <v>2714</v>
      </c>
      <c r="M371" t="s">
        <v>2715</v>
      </c>
      <c r="P371" t="s">
        <v>778</v>
      </c>
      <c r="Q371" t="s">
        <v>847</v>
      </c>
      <c r="R371" t="s">
        <v>848</v>
      </c>
      <c r="S371" t="s">
        <v>2541</v>
      </c>
      <c r="V371" t="s">
        <v>2632</v>
      </c>
      <c r="W371" t="s">
        <v>780</v>
      </c>
      <c r="X371" t="s">
        <v>897</v>
      </c>
      <c r="Z371" s="31">
        <v>46053</v>
      </c>
      <c r="AC371">
        <v>2</v>
      </c>
      <c r="AD371" t="s">
        <v>22</v>
      </c>
      <c r="AE371" s="31">
        <v>46034</v>
      </c>
      <c r="AF371" s="61">
        <v>0.91721064814814812</v>
      </c>
      <c r="AH371" t="s">
        <v>795</v>
      </c>
      <c r="AI371" s="31">
        <v>46036</v>
      </c>
      <c r="AJ371" s="61">
        <v>0.49593749999999998</v>
      </c>
      <c r="AK371" t="s">
        <v>1226</v>
      </c>
      <c r="AO371" t="s">
        <v>31</v>
      </c>
      <c r="AR371" s="31">
        <v>46035</v>
      </c>
      <c r="AX371">
        <v>1</v>
      </c>
    </row>
    <row r="372" spans="1:50" x14ac:dyDescent="0.25">
      <c r="A372" t="s">
        <v>31</v>
      </c>
      <c r="B372">
        <v>779</v>
      </c>
      <c r="D372">
        <v>3066</v>
      </c>
      <c r="E372" t="s">
        <v>2716</v>
      </c>
      <c r="G372" t="s">
        <v>2717</v>
      </c>
      <c r="H372">
        <v>22422233000115</v>
      </c>
      <c r="J372" t="s">
        <v>337</v>
      </c>
      <c r="K372" t="s">
        <v>2718</v>
      </c>
      <c r="M372" t="s">
        <v>2719</v>
      </c>
      <c r="P372" t="s">
        <v>778</v>
      </c>
      <c r="Q372" t="s">
        <v>2720</v>
      </c>
      <c r="R372" t="s">
        <v>1699</v>
      </c>
      <c r="S372" t="s">
        <v>2541</v>
      </c>
      <c r="V372" t="s">
        <v>2632</v>
      </c>
      <c r="W372" t="s">
        <v>780</v>
      </c>
      <c r="X372" t="s">
        <v>897</v>
      </c>
      <c r="Z372" s="31">
        <v>46053</v>
      </c>
      <c r="AC372">
        <v>4</v>
      </c>
      <c r="AD372" t="s">
        <v>22</v>
      </c>
      <c r="AE372" s="31">
        <v>46034</v>
      </c>
      <c r="AF372" s="61">
        <v>0.91776620370370365</v>
      </c>
      <c r="AH372" t="s">
        <v>795</v>
      </c>
      <c r="AI372" s="31">
        <v>46038</v>
      </c>
      <c r="AJ372" s="61">
        <v>0.39912037037037029</v>
      </c>
      <c r="AK372" t="s">
        <v>1226</v>
      </c>
      <c r="AO372" t="s">
        <v>31</v>
      </c>
      <c r="AR372" s="31">
        <v>46038</v>
      </c>
      <c r="AX372">
        <v>1</v>
      </c>
    </row>
    <row r="373" spans="1:50" x14ac:dyDescent="0.25">
      <c r="A373" t="s">
        <v>22</v>
      </c>
      <c r="B373">
        <v>780</v>
      </c>
      <c r="D373">
        <v>3068</v>
      </c>
      <c r="E373" t="s">
        <v>2721</v>
      </c>
      <c r="G373" t="s">
        <v>2722</v>
      </c>
      <c r="J373" t="s">
        <v>2723</v>
      </c>
      <c r="K373" t="s">
        <v>2724</v>
      </c>
      <c r="M373" t="s">
        <v>2725</v>
      </c>
      <c r="P373" t="s">
        <v>778</v>
      </c>
      <c r="S373" t="s">
        <v>2541</v>
      </c>
      <c r="V373" t="s">
        <v>2632</v>
      </c>
      <c r="W373" t="s">
        <v>780</v>
      </c>
      <c r="X373" t="s">
        <v>897</v>
      </c>
      <c r="Z373" s="31">
        <v>46053</v>
      </c>
      <c r="AC373">
        <v>26</v>
      </c>
      <c r="AD373" t="s">
        <v>22</v>
      </c>
      <c r="AE373" s="31">
        <v>46034</v>
      </c>
      <c r="AF373" s="61">
        <v>0.9183796296296296</v>
      </c>
      <c r="AH373" t="s">
        <v>795</v>
      </c>
      <c r="AI373" s="31">
        <v>46060</v>
      </c>
      <c r="AJ373" s="61">
        <v>0.31077546296296299</v>
      </c>
      <c r="AK373" t="s">
        <v>1226</v>
      </c>
      <c r="AL373" t="s">
        <v>2726</v>
      </c>
      <c r="AO373" t="s">
        <v>22</v>
      </c>
      <c r="AR373" s="31">
        <v>46045</v>
      </c>
      <c r="AS373" t="s">
        <v>2119</v>
      </c>
      <c r="AX373">
        <v>1</v>
      </c>
    </row>
    <row r="374" spans="1:50" x14ac:dyDescent="0.25">
      <c r="A374" t="s">
        <v>31</v>
      </c>
      <c r="B374">
        <v>781</v>
      </c>
      <c r="D374">
        <v>3070</v>
      </c>
      <c r="E374" t="s">
        <v>2727</v>
      </c>
      <c r="G374" t="s">
        <v>2728</v>
      </c>
      <c r="H374">
        <v>29495831000163</v>
      </c>
      <c r="J374" t="s">
        <v>338</v>
      </c>
      <c r="K374" t="s">
        <v>2729</v>
      </c>
      <c r="M374" t="s">
        <v>2730</v>
      </c>
      <c r="P374" t="s">
        <v>778</v>
      </c>
      <c r="Q374" t="s">
        <v>2731</v>
      </c>
      <c r="R374" t="s">
        <v>1105</v>
      </c>
      <c r="S374" t="s">
        <v>2541</v>
      </c>
      <c r="V374" t="s">
        <v>2632</v>
      </c>
      <c r="W374" t="s">
        <v>780</v>
      </c>
      <c r="X374" t="s">
        <v>897</v>
      </c>
      <c r="Z374" s="31">
        <v>46053</v>
      </c>
      <c r="AC374">
        <v>4</v>
      </c>
      <c r="AD374" t="s">
        <v>22</v>
      </c>
      <c r="AE374" s="31">
        <v>46034</v>
      </c>
      <c r="AF374" s="61">
        <v>0.91886574074074079</v>
      </c>
      <c r="AH374" t="s">
        <v>795</v>
      </c>
      <c r="AI374" s="31">
        <v>46038</v>
      </c>
      <c r="AJ374" s="61">
        <v>0.39780092592592592</v>
      </c>
      <c r="AK374" t="s">
        <v>1226</v>
      </c>
      <c r="AO374" t="s">
        <v>31</v>
      </c>
      <c r="AR374" s="31">
        <v>46038</v>
      </c>
      <c r="AX374">
        <v>1</v>
      </c>
    </row>
    <row r="375" spans="1:50" x14ac:dyDescent="0.25">
      <c r="A375" t="s">
        <v>31</v>
      </c>
      <c r="B375">
        <v>782</v>
      </c>
      <c r="D375">
        <v>3009</v>
      </c>
      <c r="G375" t="s">
        <v>2732</v>
      </c>
      <c r="H375">
        <v>10942276000142</v>
      </c>
      <c r="J375" t="s">
        <v>2733</v>
      </c>
      <c r="K375" t="s">
        <v>2734</v>
      </c>
      <c r="M375" t="s">
        <v>2735</v>
      </c>
      <c r="P375" t="s">
        <v>778</v>
      </c>
      <c r="S375" t="s">
        <v>2541</v>
      </c>
      <c r="V375" t="s">
        <v>2559</v>
      </c>
      <c r="W375" t="s">
        <v>780</v>
      </c>
      <c r="X375" t="s">
        <v>781</v>
      </c>
      <c r="Z375" s="31"/>
      <c r="AC375">
        <v>0</v>
      </c>
      <c r="AD375" t="s">
        <v>22</v>
      </c>
      <c r="AE375" s="31">
        <v>46034</v>
      </c>
      <c r="AF375" s="61">
        <v>0.94203703703703701</v>
      </c>
      <c r="AH375" t="s">
        <v>795</v>
      </c>
      <c r="AI375" s="31">
        <v>46034</v>
      </c>
      <c r="AJ375" s="61">
        <v>0.94229166666666664</v>
      </c>
      <c r="AK375" t="s">
        <v>1226</v>
      </c>
      <c r="AO375" t="s">
        <v>31</v>
      </c>
      <c r="AR375" s="31"/>
      <c r="AX375">
        <v>1</v>
      </c>
    </row>
    <row r="376" spans="1:50" x14ac:dyDescent="0.25">
      <c r="A376" t="s">
        <v>22</v>
      </c>
      <c r="B376">
        <v>783</v>
      </c>
      <c r="D376">
        <v>3010</v>
      </c>
      <c r="G376" t="s">
        <v>2736</v>
      </c>
      <c r="J376" t="s">
        <v>2737</v>
      </c>
      <c r="K376" t="s">
        <v>2738</v>
      </c>
      <c r="M376" t="s">
        <v>2739</v>
      </c>
      <c r="P376" t="s">
        <v>778</v>
      </c>
      <c r="S376" t="s">
        <v>2541</v>
      </c>
      <c r="V376" t="s">
        <v>2559</v>
      </c>
      <c r="W376" t="s">
        <v>780</v>
      </c>
      <c r="X376" t="s">
        <v>781</v>
      </c>
      <c r="Z376" s="31"/>
      <c r="AC376">
        <v>0</v>
      </c>
      <c r="AD376" t="s">
        <v>22</v>
      </c>
      <c r="AE376" s="31">
        <v>46034</v>
      </c>
      <c r="AF376" s="61">
        <v>0.94284722222222217</v>
      </c>
      <c r="AH376" t="s">
        <v>795</v>
      </c>
      <c r="AI376" s="31">
        <v>46034</v>
      </c>
      <c r="AJ376" s="61">
        <v>0.94303240740740746</v>
      </c>
      <c r="AK376" t="s">
        <v>1226</v>
      </c>
      <c r="AO376" t="s">
        <v>31</v>
      </c>
      <c r="AR376" s="31"/>
      <c r="AX376">
        <v>1</v>
      </c>
    </row>
    <row r="377" spans="1:50" x14ac:dyDescent="0.25">
      <c r="A377" t="s">
        <v>22</v>
      </c>
      <c r="B377">
        <v>784</v>
      </c>
      <c r="D377">
        <v>3015</v>
      </c>
      <c r="G377" t="s">
        <v>2740</v>
      </c>
      <c r="J377" t="s">
        <v>2741</v>
      </c>
      <c r="K377" t="s">
        <v>2742</v>
      </c>
      <c r="M377" t="s">
        <v>2743</v>
      </c>
      <c r="P377" t="s">
        <v>778</v>
      </c>
      <c r="S377" t="s">
        <v>2541</v>
      </c>
      <c r="V377" t="s">
        <v>2559</v>
      </c>
      <c r="W377" t="s">
        <v>780</v>
      </c>
      <c r="X377" t="s">
        <v>781</v>
      </c>
      <c r="Z377" s="31"/>
      <c r="AC377">
        <v>0</v>
      </c>
      <c r="AD377" t="s">
        <v>22</v>
      </c>
      <c r="AE377" s="31">
        <v>46034</v>
      </c>
      <c r="AF377" s="61">
        <v>0.94368055555555552</v>
      </c>
      <c r="AH377" t="s">
        <v>795</v>
      </c>
      <c r="AI377" s="31">
        <v>46034</v>
      </c>
      <c r="AJ377" s="61">
        <v>0.94380787037037039</v>
      </c>
      <c r="AK377" t="s">
        <v>1226</v>
      </c>
      <c r="AO377" t="s">
        <v>44</v>
      </c>
      <c r="AR377" s="31"/>
      <c r="AX377">
        <v>1</v>
      </c>
    </row>
    <row r="378" spans="1:50" x14ac:dyDescent="0.25">
      <c r="A378" t="s">
        <v>22</v>
      </c>
      <c r="B378">
        <v>785</v>
      </c>
      <c r="D378">
        <v>2669</v>
      </c>
      <c r="G378" t="s">
        <v>2744</v>
      </c>
      <c r="J378" t="s">
        <v>2745</v>
      </c>
      <c r="K378" t="s">
        <v>2746</v>
      </c>
      <c r="M378" t="s">
        <v>2747</v>
      </c>
      <c r="P378" t="s">
        <v>778</v>
      </c>
      <c r="Q378" t="s">
        <v>2748</v>
      </c>
      <c r="S378" t="s">
        <v>814</v>
      </c>
      <c r="V378" t="s">
        <v>2749</v>
      </c>
      <c r="W378" t="s">
        <v>780</v>
      </c>
      <c r="X378" t="s">
        <v>781</v>
      </c>
      <c r="Z378" s="31"/>
      <c r="AC378">
        <v>0</v>
      </c>
      <c r="AD378" t="s">
        <v>22</v>
      </c>
      <c r="AE378" s="31">
        <v>46034</v>
      </c>
      <c r="AF378" s="61">
        <v>0.94418981481481479</v>
      </c>
      <c r="AH378" t="s">
        <v>795</v>
      </c>
      <c r="AI378" s="31">
        <v>46034</v>
      </c>
      <c r="AJ378" s="61">
        <v>0.9443287037037037</v>
      </c>
      <c r="AK378" t="s">
        <v>1226</v>
      </c>
      <c r="AO378" t="s">
        <v>44</v>
      </c>
      <c r="AR378" s="31"/>
      <c r="AX378">
        <v>1</v>
      </c>
    </row>
    <row r="379" spans="1:50" x14ac:dyDescent="0.25">
      <c r="A379" t="s">
        <v>22</v>
      </c>
      <c r="B379">
        <v>786</v>
      </c>
      <c r="D379">
        <v>3045</v>
      </c>
      <c r="G379" t="s">
        <v>2750</v>
      </c>
      <c r="J379" t="s">
        <v>2751</v>
      </c>
      <c r="K379" t="s">
        <v>2752</v>
      </c>
      <c r="M379" t="s">
        <v>2753</v>
      </c>
      <c r="P379" t="s">
        <v>778</v>
      </c>
      <c r="S379" t="s">
        <v>2541</v>
      </c>
      <c r="V379" t="s">
        <v>2559</v>
      </c>
      <c r="W379" t="s">
        <v>780</v>
      </c>
      <c r="X379" t="s">
        <v>781</v>
      </c>
      <c r="Z379" s="31"/>
      <c r="AC379">
        <v>0</v>
      </c>
      <c r="AD379" t="s">
        <v>22</v>
      </c>
      <c r="AE379" s="31">
        <v>46034</v>
      </c>
      <c r="AF379" s="61">
        <v>0.94474537037037032</v>
      </c>
      <c r="AH379" t="s">
        <v>795</v>
      </c>
      <c r="AI379" s="31">
        <v>46034</v>
      </c>
      <c r="AJ379" s="61">
        <v>0.94488425925925923</v>
      </c>
      <c r="AK379" t="s">
        <v>1226</v>
      </c>
      <c r="AO379" t="s">
        <v>44</v>
      </c>
      <c r="AR379" s="31"/>
      <c r="AX379">
        <v>1</v>
      </c>
    </row>
    <row r="380" spans="1:50" x14ac:dyDescent="0.25">
      <c r="A380" t="s">
        <v>44</v>
      </c>
      <c r="B380">
        <v>787</v>
      </c>
      <c r="D380">
        <v>3057</v>
      </c>
      <c r="G380" t="s">
        <v>2754</v>
      </c>
      <c r="H380">
        <v>10269690000132</v>
      </c>
      <c r="J380" t="s">
        <v>2755</v>
      </c>
      <c r="K380" t="s">
        <v>2756</v>
      </c>
      <c r="M380" t="s">
        <v>2757</v>
      </c>
      <c r="P380" t="s">
        <v>778</v>
      </c>
      <c r="S380" t="s">
        <v>2541</v>
      </c>
      <c r="V380" t="s">
        <v>2559</v>
      </c>
      <c r="W380" t="s">
        <v>780</v>
      </c>
      <c r="X380" t="s">
        <v>781</v>
      </c>
      <c r="Z380" s="31"/>
      <c r="AC380">
        <v>24</v>
      </c>
      <c r="AD380" t="s">
        <v>22</v>
      </c>
      <c r="AE380" s="31">
        <v>46034</v>
      </c>
      <c r="AF380" s="61">
        <v>0.94528935185185181</v>
      </c>
      <c r="AH380" t="s">
        <v>795</v>
      </c>
      <c r="AI380" s="31">
        <v>46058</v>
      </c>
      <c r="AJ380" s="61">
        <v>0.52218750000000003</v>
      </c>
      <c r="AK380" t="s">
        <v>796</v>
      </c>
      <c r="AL380" t="s">
        <v>2758</v>
      </c>
      <c r="AO380" t="s">
        <v>44</v>
      </c>
      <c r="AR380" s="31"/>
      <c r="AX380">
        <v>1</v>
      </c>
    </row>
    <row r="381" spans="1:50" x14ac:dyDescent="0.25">
      <c r="A381" t="s">
        <v>31</v>
      </c>
      <c r="B381">
        <v>788</v>
      </c>
      <c r="D381">
        <v>3083</v>
      </c>
      <c r="E381" t="s">
        <v>2759</v>
      </c>
      <c r="F381" t="s">
        <v>2760</v>
      </c>
      <c r="G381" t="s">
        <v>2761</v>
      </c>
      <c r="H381">
        <v>14078994000254</v>
      </c>
      <c r="J381" t="s">
        <v>2760</v>
      </c>
      <c r="K381" t="s">
        <v>2762</v>
      </c>
      <c r="M381" t="s">
        <v>2763</v>
      </c>
      <c r="P381" t="s">
        <v>778</v>
      </c>
      <c r="Q381" t="s">
        <v>2117</v>
      </c>
      <c r="R381" t="s">
        <v>1105</v>
      </c>
      <c r="S381" t="s">
        <v>805</v>
      </c>
      <c r="V381" t="s">
        <v>2764</v>
      </c>
      <c r="W381" t="s">
        <v>780</v>
      </c>
      <c r="X381" t="s">
        <v>807</v>
      </c>
      <c r="Z381" s="31">
        <v>46112</v>
      </c>
      <c r="AA381">
        <v>16800</v>
      </c>
      <c r="AB381">
        <v>73717</v>
      </c>
      <c r="AC381">
        <v>13</v>
      </c>
      <c r="AD381" t="s">
        <v>31</v>
      </c>
      <c r="AE381" s="31">
        <v>46035</v>
      </c>
      <c r="AF381" s="61">
        <v>0.67313657407407412</v>
      </c>
      <c r="AH381" t="s">
        <v>782</v>
      </c>
      <c r="AI381" s="31">
        <v>46048</v>
      </c>
      <c r="AJ381" s="61">
        <v>0.39111111111111108</v>
      </c>
      <c r="AL381" t="s">
        <v>1058</v>
      </c>
      <c r="AN381" t="s">
        <v>2590</v>
      </c>
      <c r="AO381" t="s">
        <v>31</v>
      </c>
      <c r="AP381" t="s">
        <v>2590</v>
      </c>
      <c r="AR381" s="31">
        <v>46066</v>
      </c>
      <c r="AS381" t="s">
        <v>1423</v>
      </c>
      <c r="AU381" t="s">
        <v>63</v>
      </c>
      <c r="AX381">
        <v>1</v>
      </c>
    </row>
    <row r="382" spans="1:50" x14ac:dyDescent="0.25">
      <c r="A382" t="s">
        <v>22</v>
      </c>
      <c r="B382">
        <v>789</v>
      </c>
      <c r="D382">
        <v>3084</v>
      </c>
      <c r="E382" t="s">
        <v>2765</v>
      </c>
      <c r="G382" t="s">
        <v>2766</v>
      </c>
      <c r="H382">
        <v>31507103000176</v>
      </c>
      <c r="J382" t="s">
        <v>2767</v>
      </c>
      <c r="K382" t="s">
        <v>2768</v>
      </c>
      <c r="M382" t="s">
        <v>2769</v>
      </c>
      <c r="P382" t="s">
        <v>778</v>
      </c>
      <c r="V382" t="s">
        <v>1419</v>
      </c>
      <c r="W382" t="s">
        <v>780</v>
      </c>
      <c r="X382" t="s">
        <v>807</v>
      </c>
      <c r="Z382" s="31">
        <v>46053</v>
      </c>
      <c r="AA382">
        <v>13100</v>
      </c>
      <c r="AB382">
        <v>1700</v>
      </c>
      <c r="AC382">
        <v>37</v>
      </c>
      <c r="AD382" t="s">
        <v>22</v>
      </c>
      <c r="AE382" s="31">
        <v>46035</v>
      </c>
      <c r="AF382" s="61">
        <v>0.67557870370370365</v>
      </c>
      <c r="AH382" t="s">
        <v>782</v>
      </c>
      <c r="AI382" s="31"/>
      <c r="AJ382" s="61"/>
      <c r="AN382" t="s">
        <v>2770</v>
      </c>
      <c r="AO382" t="s">
        <v>22</v>
      </c>
      <c r="AP382" t="s">
        <v>2770</v>
      </c>
      <c r="AR382" s="31">
        <v>46045</v>
      </c>
      <c r="AS382" t="s">
        <v>1423</v>
      </c>
      <c r="AT382" t="s">
        <v>1012</v>
      </c>
      <c r="AU382" t="s">
        <v>69</v>
      </c>
      <c r="AV382" t="s">
        <v>2490</v>
      </c>
      <c r="AW382" t="s">
        <v>2491</v>
      </c>
      <c r="AX382">
        <v>1</v>
      </c>
    </row>
    <row r="383" spans="1:50" x14ac:dyDescent="0.25">
      <c r="A383" t="s">
        <v>44</v>
      </c>
      <c r="B383">
        <v>790</v>
      </c>
      <c r="D383">
        <v>3071</v>
      </c>
      <c r="E383" t="s">
        <v>2771</v>
      </c>
      <c r="G383" t="s">
        <v>2772</v>
      </c>
      <c r="J383" t="s">
        <v>2773</v>
      </c>
      <c r="K383" t="s">
        <v>2774</v>
      </c>
      <c r="M383" t="s">
        <v>2775</v>
      </c>
      <c r="P383" t="s">
        <v>778</v>
      </c>
      <c r="S383" t="s">
        <v>2541</v>
      </c>
      <c r="V383" t="s">
        <v>2559</v>
      </c>
      <c r="W383" t="s">
        <v>780</v>
      </c>
      <c r="X383" t="s">
        <v>897</v>
      </c>
      <c r="Z383" s="31">
        <v>46053</v>
      </c>
      <c r="AC383">
        <v>23</v>
      </c>
      <c r="AD383" t="s">
        <v>22</v>
      </c>
      <c r="AE383" s="31">
        <v>46035</v>
      </c>
      <c r="AF383" s="61">
        <v>0.70442129629629635</v>
      </c>
      <c r="AH383" t="s">
        <v>795</v>
      </c>
      <c r="AI383" s="31">
        <v>46058</v>
      </c>
      <c r="AJ383" s="61">
        <v>0.59414351851851854</v>
      </c>
      <c r="AK383" t="s">
        <v>1226</v>
      </c>
      <c r="AO383" t="s">
        <v>44</v>
      </c>
      <c r="AR383" s="31">
        <v>46038</v>
      </c>
      <c r="AX383">
        <v>1</v>
      </c>
    </row>
    <row r="384" spans="1:50" x14ac:dyDescent="0.25">
      <c r="A384" t="s">
        <v>31</v>
      </c>
      <c r="B384">
        <v>792</v>
      </c>
      <c r="D384">
        <v>3072</v>
      </c>
      <c r="E384" t="s">
        <v>2776</v>
      </c>
      <c r="G384" t="s">
        <v>2777</v>
      </c>
      <c r="H384">
        <v>6037707000230</v>
      </c>
      <c r="J384" t="s">
        <v>2778</v>
      </c>
      <c r="K384" t="s">
        <v>2779</v>
      </c>
      <c r="M384" t="s">
        <v>2780</v>
      </c>
      <c r="P384" t="s">
        <v>778</v>
      </c>
      <c r="S384" t="s">
        <v>2541</v>
      </c>
      <c r="V384" t="s">
        <v>2559</v>
      </c>
      <c r="W384" t="s">
        <v>780</v>
      </c>
      <c r="X384" t="s">
        <v>897</v>
      </c>
      <c r="Z384" s="31">
        <v>46053</v>
      </c>
      <c r="AC384">
        <v>31</v>
      </c>
      <c r="AD384" t="s">
        <v>22</v>
      </c>
      <c r="AE384" s="31">
        <v>46035</v>
      </c>
      <c r="AF384" s="61">
        <v>0.70565972222222217</v>
      </c>
      <c r="AH384" t="s">
        <v>795</v>
      </c>
      <c r="AI384" s="31">
        <v>46066</v>
      </c>
      <c r="AJ384" s="61">
        <v>0.49041666666666672</v>
      </c>
      <c r="AK384" t="s">
        <v>1226</v>
      </c>
      <c r="AO384" t="s">
        <v>31</v>
      </c>
      <c r="AR384" s="31">
        <v>46065</v>
      </c>
      <c r="AS384" t="s">
        <v>2119</v>
      </c>
      <c r="AX384">
        <v>1</v>
      </c>
    </row>
    <row r="385" spans="1:50" x14ac:dyDescent="0.25">
      <c r="A385" t="s">
        <v>22</v>
      </c>
      <c r="B385">
        <v>793</v>
      </c>
      <c r="D385">
        <v>3082</v>
      </c>
      <c r="E385" t="s">
        <v>2781</v>
      </c>
      <c r="G385" t="s">
        <v>2782</v>
      </c>
      <c r="J385" t="s">
        <v>2783</v>
      </c>
      <c r="K385" t="s">
        <v>2784</v>
      </c>
      <c r="M385" t="s">
        <v>2785</v>
      </c>
      <c r="P385" t="s">
        <v>778</v>
      </c>
      <c r="Q385" t="s">
        <v>923</v>
      </c>
      <c r="S385" t="s">
        <v>814</v>
      </c>
      <c r="V385" t="s">
        <v>2391</v>
      </c>
      <c r="W385" t="s">
        <v>780</v>
      </c>
      <c r="X385" t="s">
        <v>897</v>
      </c>
      <c r="Z385" s="31">
        <v>46053</v>
      </c>
      <c r="AC385">
        <v>37</v>
      </c>
      <c r="AD385" t="s">
        <v>22</v>
      </c>
      <c r="AE385" s="31">
        <v>46035</v>
      </c>
      <c r="AF385" s="61">
        <v>0.7079050925925926</v>
      </c>
      <c r="AH385" t="s">
        <v>782</v>
      </c>
      <c r="AI385" s="31"/>
      <c r="AJ385" s="61"/>
      <c r="AO385" t="s">
        <v>22</v>
      </c>
      <c r="AR385" s="31">
        <v>46045</v>
      </c>
      <c r="AS385" t="s">
        <v>2119</v>
      </c>
      <c r="AX385">
        <v>1</v>
      </c>
    </row>
    <row r="386" spans="1:50" x14ac:dyDescent="0.25">
      <c r="A386" t="s">
        <v>31</v>
      </c>
      <c r="B386">
        <v>794</v>
      </c>
      <c r="D386">
        <v>3086</v>
      </c>
      <c r="E386" t="s">
        <v>2786</v>
      </c>
      <c r="G386" t="s">
        <v>2787</v>
      </c>
      <c r="J386" t="s">
        <v>2788</v>
      </c>
      <c r="K386" t="s">
        <v>2789</v>
      </c>
      <c r="M386" t="s">
        <v>2790</v>
      </c>
      <c r="P386" t="s">
        <v>778</v>
      </c>
      <c r="S386" t="s">
        <v>2541</v>
      </c>
      <c r="V386" t="s">
        <v>2791</v>
      </c>
      <c r="W386" t="s">
        <v>780</v>
      </c>
      <c r="X386" t="s">
        <v>793</v>
      </c>
      <c r="Z386" s="31">
        <v>46053</v>
      </c>
      <c r="AA386">
        <v>6168744</v>
      </c>
      <c r="AB386">
        <v>149828</v>
      </c>
      <c r="AC386">
        <v>13</v>
      </c>
      <c r="AD386" t="s">
        <v>22</v>
      </c>
      <c r="AE386" s="31">
        <v>46035</v>
      </c>
      <c r="AF386" s="61">
        <v>0.73750000000000004</v>
      </c>
      <c r="AH386" t="s">
        <v>795</v>
      </c>
      <c r="AI386" s="31">
        <v>46048</v>
      </c>
      <c r="AJ386" s="61">
        <v>0.39319444444444451</v>
      </c>
      <c r="AK386" t="s">
        <v>867</v>
      </c>
      <c r="AN386" t="s">
        <v>2792</v>
      </c>
      <c r="AO386" t="s">
        <v>31</v>
      </c>
      <c r="AP386" t="s">
        <v>2645</v>
      </c>
      <c r="AR386" s="31">
        <v>46048</v>
      </c>
      <c r="AX386">
        <v>1</v>
      </c>
    </row>
    <row r="387" spans="1:50" x14ac:dyDescent="0.25">
      <c r="A387" t="s">
        <v>22</v>
      </c>
      <c r="B387">
        <v>795</v>
      </c>
      <c r="D387">
        <v>3088</v>
      </c>
      <c r="E387" t="s">
        <v>2460</v>
      </c>
      <c r="G387" t="s">
        <v>2793</v>
      </c>
      <c r="H387">
        <v>3674537000125</v>
      </c>
      <c r="J387" t="s">
        <v>2794</v>
      </c>
      <c r="K387" t="s">
        <v>2795</v>
      </c>
      <c r="M387" t="s">
        <v>2796</v>
      </c>
      <c r="P387" t="s">
        <v>778</v>
      </c>
      <c r="V387" t="s">
        <v>1718</v>
      </c>
      <c r="W387" t="s">
        <v>780</v>
      </c>
      <c r="X387" t="s">
        <v>807</v>
      </c>
      <c r="Z387" s="31">
        <v>46035</v>
      </c>
      <c r="AA387">
        <v>1600</v>
      </c>
      <c r="AB387">
        <v>384454</v>
      </c>
      <c r="AC387">
        <v>37</v>
      </c>
      <c r="AD387" t="s">
        <v>22</v>
      </c>
      <c r="AE387" s="31">
        <v>46035</v>
      </c>
      <c r="AF387" s="61">
        <v>0.9553356481481482</v>
      </c>
      <c r="AH387" t="s">
        <v>782</v>
      </c>
      <c r="AI387" s="31"/>
      <c r="AJ387" s="61"/>
      <c r="AO387" t="s">
        <v>22</v>
      </c>
      <c r="AR387" s="31">
        <v>46060</v>
      </c>
      <c r="AS387" t="s">
        <v>2119</v>
      </c>
      <c r="AT387" t="s">
        <v>2797</v>
      </c>
      <c r="AU387" t="s">
        <v>53</v>
      </c>
      <c r="AV387" t="s">
        <v>2798</v>
      </c>
      <c r="AW387" t="s">
        <v>2799</v>
      </c>
      <c r="AX387">
        <v>1</v>
      </c>
    </row>
    <row r="388" spans="1:50" x14ac:dyDescent="0.25">
      <c r="A388" t="s">
        <v>22</v>
      </c>
      <c r="B388">
        <v>796</v>
      </c>
      <c r="D388">
        <v>3087</v>
      </c>
      <c r="E388" t="s">
        <v>2800</v>
      </c>
      <c r="G388" t="s">
        <v>2801</v>
      </c>
      <c r="J388" t="s">
        <v>2802</v>
      </c>
      <c r="K388" t="s">
        <v>2803</v>
      </c>
      <c r="M388" t="s">
        <v>2804</v>
      </c>
      <c r="P388" t="s">
        <v>778</v>
      </c>
      <c r="S388" t="s">
        <v>2541</v>
      </c>
      <c r="V388" t="s">
        <v>2791</v>
      </c>
      <c r="W388" t="s">
        <v>780</v>
      </c>
      <c r="X388" t="s">
        <v>897</v>
      </c>
      <c r="Z388" s="31">
        <v>46053</v>
      </c>
      <c r="AC388">
        <v>24</v>
      </c>
      <c r="AD388" t="s">
        <v>22</v>
      </c>
      <c r="AE388" s="31">
        <v>46036</v>
      </c>
      <c r="AF388" s="61">
        <v>0.42770833333333341</v>
      </c>
      <c r="AH388" t="s">
        <v>795</v>
      </c>
      <c r="AI388" s="31">
        <v>46060</v>
      </c>
      <c r="AJ388" s="61">
        <v>0.31616898148148148</v>
      </c>
      <c r="AK388" t="s">
        <v>1226</v>
      </c>
      <c r="AL388" t="s">
        <v>2805</v>
      </c>
      <c r="AO388" t="s">
        <v>22</v>
      </c>
      <c r="AR388" s="31">
        <v>46060</v>
      </c>
      <c r="AS388" t="s">
        <v>2119</v>
      </c>
      <c r="AX388">
        <v>1</v>
      </c>
    </row>
    <row r="389" spans="1:50" x14ac:dyDescent="0.25">
      <c r="A389" t="s">
        <v>22</v>
      </c>
      <c r="B389">
        <v>799</v>
      </c>
      <c r="D389">
        <v>3091</v>
      </c>
      <c r="E389" t="s">
        <v>2806</v>
      </c>
      <c r="G389" t="s">
        <v>2807</v>
      </c>
      <c r="J389" t="s">
        <v>2648</v>
      </c>
      <c r="K389" t="s">
        <v>2649</v>
      </c>
      <c r="M389" t="s">
        <v>1111</v>
      </c>
      <c r="P389" t="s">
        <v>778</v>
      </c>
      <c r="V389" t="s">
        <v>2407</v>
      </c>
      <c r="W389" t="s">
        <v>780</v>
      </c>
      <c r="X389" t="s">
        <v>816</v>
      </c>
      <c r="Z389" s="31">
        <v>46037</v>
      </c>
      <c r="AA389">
        <v>1600</v>
      </c>
      <c r="AB389">
        <v>252471</v>
      </c>
      <c r="AC389">
        <v>9</v>
      </c>
      <c r="AD389" t="s">
        <v>22</v>
      </c>
      <c r="AE389" s="31">
        <v>46036</v>
      </c>
      <c r="AF389" s="61">
        <v>0.78824074074074069</v>
      </c>
      <c r="AH389" t="s">
        <v>818</v>
      </c>
      <c r="AI389" s="31">
        <v>46045</v>
      </c>
      <c r="AJ389" s="61">
        <v>0.46164351851851848</v>
      </c>
      <c r="AM389" t="s">
        <v>2808</v>
      </c>
      <c r="AN389" t="s">
        <v>2808</v>
      </c>
      <c r="AO389" t="s">
        <v>22</v>
      </c>
      <c r="AP389" t="s">
        <v>2808</v>
      </c>
      <c r="AR389" s="31">
        <v>46037</v>
      </c>
      <c r="AX389">
        <v>1</v>
      </c>
    </row>
    <row r="390" spans="1:50" x14ac:dyDescent="0.25">
      <c r="A390" t="s">
        <v>31</v>
      </c>
      <c r="B390">
        <v>800</v>
      </c>
      <c r="D390">
        <v>3092</v>
      </c>
      <c r="G390" t="s">
        <v>2809</v>
      </c>
      <c r="H390">
        <v>9205460000120</v>
      </c>
      <c r="J390" t="s">
        <v>2810</v>
      </c>
      <c r="K390" t="s">
        <v>2811</v>
      </c>
      <c r="M390" t="s">
        <v>1111</v>
      </c>
      <c r="P390" t="s">
        <v>778</v>
      </c>
      <c r="Q390" t="s">
        <v>2812</v>
      </c>
      <c r="R390" t="s">
        <v>1067</v>
      </c>
      <c r="S390" t="s">
        <v>2541</v>
      </c>
      <c r="V390" t="s">
        <v>2559</v>
      </c>
      <c r="W390" t="s">
        <v>780</v>
      </c>
      <c r="X390" t="s">
        <v>781</v>
      </c>
      <c r="Z390" s="31">
        <v>46053</v>
      </c>
      <c r="AC390">
        <v>7</v>
      </c>
      <c r="AD390" t="s">
        <v>22</v>
      </c>
      <c r="AE390" s="31">
        <v>46038</v>
      </c>
      <c r="AF390" s="61">
        <v>0.39675925925925931</v>
      </c>
      <c r="AH390" t="s">
        <v>795</v>
      </c>
      <c r="AI390" s="31">
        <v>46045</v>
      </c>
      <c r="AJ390" s="61">
        <v>0.71688657407407408</v>
      </c>
      <c r="AK390" t="s">
        <v>1226</v>
      </c>
      <c r="AO390" t="s">
        <v>31</v>
      </c>
      <c r="AR390" s="31">
        <v>46045</v>
      </c>
      <c r="AX390">
        <v>1</v>
      </c>
    </row>
    <row r="391" spans="1:50" x14ac:dyDescent="0.25">
      <c r="A391" t="s">
        <v>44</v>
      </c>
      <c r="B391">
        <v>803</v>
      </c>
      <c r="D391">
        <v>3094</v>
      </c>
      <c r="E391" t="s">
        <v>2813</v>
      </c>
      <c r="G391" t="s">
        <v>2814</v>
      </c>
      <c r="J391" t="s">
        <v>2815</v>
      </c>
      <c r="K391" t="s">
        <v>2816</v>
      </c>
      <c r="M391" t="s">
        <v>2817</v>
      </c>
      <c r="P391" t="s">
        <v>778</v>
      </c>
      <c r="S391" t="s">
        <v>2541</v>
      </c>
      <c r="V391" t="s">
        <v>2559</v>
      </c>
      <c r="W391" t="s">
        <v>780</v>
      </c>
      <c r="X391" t="s">
        <v>897</v>
      </c>
      <c r="Z391" s="31">
        <v>46053</v>
      </c>
      <c r="AC391">
        <v>20</v>
      </c>
      <c r="AD391" t="s">
        <v>22</v>
      </c>
      <c r="AE391" s="31">
        <v>46038</v>
      </c>
      <c r="AF391" s="61">
        <v>0.67024305555555552</v>
      </c>
      <c r="AH391" t="s">
        <v>795</v>
      </c>
      <c r="AI391" s="31">
        <v>46058</v>
      </c>
      <c r="AJ391" s="61">
        <v>0.52137731481481486</v>
      </c>
      <c r="AK391" t="s">
        <v>796</v>
      </c>
      <c r="AL391" t="s">
        <v>2818</v>
      </c>
      <c r="AO391" t="s">
        <v>44</v>
      </c>
      <c r="AR391" s="31">
        <v>46042</v>
      </c>
      <c r="AX391">
        <v>1</v>
      </c>
    </row>
    <row r="392" spans="1:50" x14ac:dyDescent="0.25">
      <c r="A392" t="s">
        <v>31</v>
      </c>
      <c r="B392">
        <v>804</v>
      </c>
      <c r="D392">
        <v>3099</v>
      </c>
      <c r="G392" t="s">
        <v>2819</v>
      </c>
      <c r="H392">
        <v>33036815000180</v>
      </c>
      <c r="J392" t="s">
        <v>2820</v>
      </c>
      <c r="K392" t="s">
        <v>2821</v>
      </c>
      <c r="M392" t="s">
        <v>2822</v>
      </c>
      <c r="P392" t="s">
        <v>778</v>
      </c>
      <c r="S392" t="s">
        <v>2541</v>
      </c>
      <c r="V392" t="s">
        <v>2559</v>
      </c>
      <c r="W392" t="s">
        <v>780</v>
      </c>
      <c r="X392" t="s">
        <v>781</v>
      </c>
      <c r="Z392" s="31">
        <v>46053</v>
      </c>
      <c r="AC392">
        <v>5</v>
      </c>
      <c r="AD392" t="s">
        <v>22</v>
      </c>
      <c r="AE392" s="31">
        <v>46038</v>
      </c>
      <c r="AF392" s="61">
        <v>0.67128472222222224</v>
      </c>
      <c r="AH392" t="s">
        <v>795</v>
      </c>
      <c r="AI392" s="31">
        <v>46043</v>
      </c>
      <c r="AJ392" s="61">
        <v>0.48775462962962962</v>
      </c>
      <c r="AK392" t="s">
        <v>1226</v>
      </c>
      <c r="AO392" t="s">
        <v>31</v>
      </c>
      <c r="AR392" s="31">
        <v>46043</v>
      </c>
      <c r="AX392">
        <v>1</v>
      </c>
    </row>
    <row r="393" spans="1:50" x14ac:dyDescent="0.25">
      <c r="A393" t="s">
        <v>44</v>
      </c>
      <c r="B393">
        <v>805</v>
      </c>
      <c r="D393">
        <v>3093</v>
      </c>
      <c r="E393" t="s">
        <v>2823</v>
      </c>
      <c r="G393" t="s">
        <v>2824</v>
      </c>
      <c r="H393">
        <v>53629067000156</v>
      </c>
      <c r="J393" t="s">
        <v>2825</v>
      </c>
      <c r="K393" t="s">
        <v>2826</v>
      </c>
      <c r="M393" t="s">
        <v>2827</v>
      </c>
      <c r="P393" t="s">
        <v>778</v>
      </c>
      <c r="Q393" t="s">
        <v>2828</v>
      </c>
      <c r="R393" t="s">
        <v>1699</v>
      </c>
      <c r="S393" t="s">
        <v>814</v>
      </c>
      <c r="V393" t="s">
        <v>1186</v>
      </c>
      <c r="W393" t="s">
        <v>780</v>
      </c>
      <c r="X393" t="s">
        <v>793</v>
      </c>
      <c r="Z393" s="31">
        <v>46053</v>
      </c>
      <c r="AA393">
        <v>72080</v>
      </c>
      <c r="AB393">
        <v>18676</v>
      </c>
      <c r="AC393">
        <v>34</v>
      </c>
      <c r="AD393" t="s">
        <v>22</v>
      </c>
      <c r="AE393" s="31">
        <v>46038</v>
      </c>
      <c r="AF393" s="61">
        <v>0.67234953703703704</v>
      </c>
      <c r="AH393" t="s">
        <v>782</v>
      </c>
      <c r="AI393" s="31"/>
      <c r="AJ393" s="61"/>
      <c r="AN393" t="s">
        <v>2829</v>
      </c>
      <c r="AO393" t="s">
        <v>44</v>
      </c>
      <c r="AP393" t="s">
        <v>2829</v>
      </c>
      <c r="AR393" s="31">
        <v>46049</v>
      </c>
      <c r="AX393">
        <v>1</v>
      </c>
    </row>
    <row r="394" spans="1:50" x14ac:dyDescent="0.25">
      <c r="A394" t="s">
        <v>31</v>
      </c>
      <c r="B394">
        <v>818</v>
      </c>
      <c r="D394">
        <v>3101</v>
      </c>
      <c r="E394" t="s">
        <v>2830</v>
      </c>
      <c r="G394" t="s">
        <v>2831</v>
      </c>
      <c r="J394" t="s">
        <v>2832</v>
      </c>
      <c r="K394" t="s">
        <v>2833</v>
      </c>
      <c r="M394" t="s">
        <v>2834</v>
      </c>
      <c r="P394" t="s">
        <v>778</v>
      </c>
      <c r="S394" t="s">
        <v>2541</v>
      </c>
      <c r="V394" t="s">
        <v>2791</v>
      </c>
      <c r="W394" t="s">
        <v>780</v>
      </c>
      <c r="X394" t="s">
        <v>857</v>
      </c>
      <c r="Z394" s="31">
        <v>46112</v>
      </c>
      <c r="AC394">
        <v>9</v>
      </c>
      <c r="AD394" t="s">
        <v>22</v>
      </c>
      <c r="AE394" s="31">
        <v>46041</v>
      </c>
      <c r="AF394" s="61">
        <v>0.4798263888888889</v>
      </c>
      <c r="AH394" t="s">
        <v>795</v>
      </c>
      <c r="AI394" s="31">
        <v>46050</v>
      </c>
      <c r="AJ394" s="61">
        <v>0.68680555555555556</v>
      </c>
      <c r="AK394" t="s">
        <v>858</v>
      </c>
      <c r="AO394" t="s">
        <v>31</v>
      </c>
      <c r="AR394" s="31">
        <v>46050</v>
      </c>
      <c r="AX394">
        <v>1</v>
      </c>
    </row>
    <row r="395" spans="1:50" x14ac:dyDescent="0.25">
      <c r="A395" t="s">
        <v>44</v>
      </c>
      <c r="B395">
        <v>819</v>
      </c>
      <c r="D395">
        <v>3102</v>
      </c>
      <c r="E395" t="s">
        <v>2835</v>
      </c>
      <c r="G395" t="s">
        <v>2836</v>
      </c>
      <c r="H395">
        <v>49827202000109</v>
      </c>
      <c r="J395" t="s">
        <v>2837</v>
      </c>
      <c r="K395" t="s">
        <v>2838</v>
      </c>
      <c r="M395" t="s">
        <v>2839</v>
      </c>
      <c r="P395" t="s">
        <v>778</v>
      </c>
      <c r="Q395" t="s">
        <v>2840</v>
      </c>
      <c r="R395" t="s">
        <v>2841</v>
      </c>
      <c r="S395" t="s">
        <v>814</v>
      </c>
      <c r="V395" t="s">
        <v>2842</v>
      </c>
      <c r="W395" t="s">
        <v>780</v>
      </c>
      <c r="X395" t="s">
        <v>857</v>
      </c>
      <c r="Z395" s="31">
        <v>46053</v>
      </c>
      <c r="AA395">
        <v>72080</v>
      </c>
      <c r="AB395">
        <v>881079</v>
      </c>
      <c r="AC395">
        <v>17</v>
      </c>
      <c r="AD395" t="s">
        <v>22</v>
      </c>
      <c r="AE395" s="31">
        <v>46041</v>
      </c>
      <c r="AF395" s="61">
        <v>0.4817939814814815</v>
      </c>
      <c r="AH395" t="s">
        <v>795</v>
      </c>
      <c r="AI395" s="31">
        <v>46058</v>
      </c>
      <c r="AJ395" s="61">
        <v>0.59219907407407413</v>
      </c>
      <c r="AK395" t="s">
        <v>867</v>
      </c>
      <c r="AL395" t="s">
        <v>2843</v>
      </c>
      <c r="AN395" t="s">
        <v>2829</v>
      </c>
      <c r="AO395" t="s">
        <v>44</v>
      </c>
      <c r="AP395" t="s">
        <v>2590</v>
      </c>
      <c r="AR395" s="31">
        <v>46048</v>
      </c>
      <c r="AX395">
        <v>1</v>
      </c>
    </row>
    <row r="396" spans="1:50" x14ac:dyDescent="0.25">
      <c r="A396" t="s">
        <v>31</v>
      </c>
      <c r="B396">
        <v>820</v>
      </c>
      <c r="D396">
        <v>3103</v>
      </c>
      <c r="G396" t="s">
        <v>2844</v>
      </c>
      <c r="J396" t="s">
        <v>2845</v>
      </c>
      <c r="K396" t="s">
        <v>2846</v>
      </c>
      <c r="M396" t="s">
        <v>2847</v>
      </c>
      <c r="P396" t="s">
        <v>778</v>
      </c>
      <c r="S396" t="s">
        <v>2541</v>
      </c>
      <c r="V396" t="s">
        <v>2559</v>
      </c>
      <c r="W396" t="s">
        <v>780</v>
      </c>
      <c r="X396" t="s">
        <v>781</v>
      </c>
      <c r="Z396" s="31">
        <v>46053</v>
      </c>
      <c r="AC396">
        <v>19</v>
      </c>
      <c r="AD396" t="s">
        <v>22</v>
      </c>
      <c r="AE396" s="31">
        <v>46041</v>
      </c>
      <c r="AF396" s="61">
        <v>0.48258101851851848</v>
      </c>
      <c r="AH396" t="s">
        <v>795</v>
      </c>
      <c r="AI396" s="31">
        <v>46060</v>
      </c>
      <c r="AJ396" s="61">
        <v>0.32299768518518518</v>
      </c>
      <c r="AK396" t="s">
        <v>1226</v>
      </c>
      <c r="AO396" t="s">
        <v>31</v>
      </c>
      <c r="AR396" s="31">
        <v>46049</v>
      </c>
      <c r="AX396">
        <v>1</v>
      </c>
    </row>
    <row r="397" spans="1:50" x14ac:dyDescent="0.25">
      <c r="A397" t="s">
        <v>22</v>
      </c>
      <c r="B397">
        <v>821</v>
      </c>
      <c r="D397">
        <v>3119</v>
      </c>
      <c r="E397" t="s">
        <v>2848</v>
      </c>
      <c r="G397" t="s">
        <v>2849</v>
      </c>
      <c r="H397">
        <v>7658378000126</v>
      </c>
      <c r="J397" t="s">
        <v>2850</v>
      </c>
      <c r="K397" t="s">
        <v>2851</v>
      </c>
      <c r="M397" t="s">
        <v>2852</v>
      </c>
      <c r="P397" t="s">
        <v>778</v>
      </c>
      <c r="Q397" t="s">
        <v>2853</v>
      </c>
      <c r="S397" t="s">
        <v>814</v>
      </c>
      <c r="V397" t="s">
        <v>2391</v>
      </c>
      <c r="W397" t="s">
        <v>780</v>
      </c>
      <c r="X397" t="s">
        <v>857</v>
      </c>
      <c r="Z397" s="31">
        <v>46053</v>
      </c>
      <c r="AC397">
        <v>24</v>
      </c>
      <c r="AD397" t="s">
        <v>22</v>
      </c>
      <c r="AE397" s="31">
        <v>46042</v>
      </c>
      <c r="AF397" s="61">
        <v>0.36244212962962957</v>
      </c>
      <c r="AH397" t="s">
        <v>795</v>
      </c>
      <c r="AI397" s="31">
        <v>46066</v>
      </c>
      <c r="AJ397" s="61">
        <v>0.73247685185185185</v>
      </c>
      <c r="AK397" t="s">
        <v>796</v>
      </c>
      <c r="AN397" t="s">
        <v>405</v>
      </c>
      <c r="AO397" t="s">
        <v>22</v>
      </c>
      <c r="AP397" t="s">
        <v>405</v>
      </c>
      <c r="AR397" s="31">
        <v>46045</v>
      </c>
      <c r="AS397" t="s">
        <v>2119</v>
      </c>
      <c r="AU397" t="s">
        <v>2854</v>
      </c>
      <c r="AX397">
        <v>1</v>
      </c>
    </row>
    <row r="398" spans="1:50" x14ac:dyDescent="0.25">
      <c r="A398" t="s">
        <v>31</v>
      </c>
      <c r="B398">
        <v>823</v>
      </c>
      <c r="D398">
        <v>3118</v>
      </c>
      <c r="E398" t="s">
        <v>2855</v>
      </c>
      <c r="G398" t="s">
        <v>385</v>
      </c>
      <c r="H398">
        <v>44530589000105</v>
      </c>
      <c r="J398" t="s">
        <v>2856</v>
      </c>
      <c r="K398" t="s">
        <v>2857</v>
      </c>
      <c r="M398" t="s">
        <v>2858</v>
      </c>
      <c r="P398" t="s">
        <v>778</v>
      </c>
      <c r="Q398" t="s">
        <v>993</v>
      </c>
      <c r="R398" t="s">
        <v>932</v>
      </c>
      <c r="S398" t="s">
        <v>814</v>
      </c>
      <c r="V398" t="s">
        <v>2859</v>
      </c>
      <c r="W398" t="s">
        <v>780</v>
      </c>
      <c r="X398" t="s">
        <v>897</v>
      </c>
      <c r="Z398" s="31">
        <v>46173</v>
      </c>
      <c r="AC398">
        <v>30</v>
      </c>
      <c r="AD398" t="s">
        <v>22</v>
      </c>
      <c r="AE398" s="31">
        <v>46042</v>
      </c>
      <c r="AF398" s="61">
        <v>0.36586805555555563</v>
      </c>
      <c r="AH398" t="s">
        <v>782</v>
      </c>
      <c r="AI398" s="31"/>
      <c r="AJ398" s="61"/>
      <c r="AO398" t="s">
        <v>31</v>
      </c>
      <c r="AR398" s="31">
        <v>46071</v>
      </c>
      <c r="AS398" t="s">
        <v>2119</v>
      </c>
      <c r="AX398">
        <v>1</v>
      </c>
    </row>
    <row r="399" spans="1:50" x14ac:dyDescent="0.25">
      <c r="A399" t="s">
        <v>31</v>
      </c>
      <c r="B399">
        <v>847</v>
      </c>
      <c r="D399">
        <v>3129</v>
      </c>
      <c r="E399" t="s">
        <v>2860</v>
      </c>
      <c r="G399" t="s">
        <v>2861</v>
      </c>
      <c r="J399" t="s">
        <v>2862</v>
      </c>
      <c r="K399" t="s">
        <v>2863</v>
      </c>
      <c r="M399" t="s">
        <v>2864</v>
      </c>
      <c r="P399" t="s">
        <v>778</v>
      </c>
      <c r="S399" t="s">
        <v>2541</v>
      </c>
      <c r="V399" t="s">
        <v>2559</v>
      </c>
      <c r="W399" t="s">
        <v>780</v>
      </c>
      <c r="X399" t="s">
        <v>781</v>
      </c>
      <c r="Z399" s="31">
        <v>46053</v>
      </c>
      <c r="AC399">
        <v>0</v>
      </c>
      <c r="AD399" t="s">
        <v>22</v>
      </c>
      <c r="AE399" s="31">
        <v>46043</v>
      </c>
      <c r="AF399" s="61">
        <v>0.45225694444444442</v>
      </c>
      <c r="AH399" t="s">
        <v>795</v>
      </c>
      <c r="AI399" s="31">
        <v>46043</v>
      </c>
      <c r="AJ399" s="61">
        <v>0.46807870370370369</v>
      </c>
      <c r="AK399" t="s">
        <v>1226</v>
      </c>
      <c r="AO399" t="s">
        <v>31</v>
      </c>
      <c r="AR399" s="31"/>
      <c r="AX399">
        <v>1</v>
      </c>
    </row>
    <row r="400" spans="1:50" x14ac:dyDescent="0.25">
      <c r="A400" t="s">
        <v>44</v>
      </c>
      <c r="B400">
        <v>848</v>
      </c>
      <c r="D400">
        <v>3148</v>
      </c>
      <c r="E400" t="s">
        <v>2865</v>
      </c>
      <c r="G400" t="s">
        <v>2866</v>
      </c>
      <c r="J400" t="s">
        <v>2867</v>
      </c>
      <c r="K400" t="s">
        <v>2868</v>
      </c>
      <c r="M400" t="s">
        <v>2869</v>
      </c>
      <c r="P400" t="s">
        <v>778</v>
      </c>
      <c r="S400" t="s">
        <v>2541</v>
      </c>
      <c r="V400" t="s">
        <v>2559</v>
      </c>
      <c r="W400" t="s">
        <v>780</v>
      </c>
      <c r="X400" t="s">
        <v>781</v>
      </c>
      <c r="Z400" s="31">
        <v>46053</v>
      </c>
      <c r="AC400">
        <v>15</v>
      </c>
      <c r="AD400" t="s">
        <v>22</v>
      </c>
      <c r="AE400" s="31">
        <v>46043</v>
      </c>
      <c r="AF400" s="61">
        <v>0.45456018518518521</v>
      </c>
      <c r="AH400" t="s">
        <v>795</v>
      </c>
      <c r="AI400" s="31">
        <v>46058</v>
      </c>
      <c r="AJ400" s="61">
        <v>0.51791666666666669</v>
      </c>
      <c r="AK400" t="s">
        <v>1358</v>
      </c>
      <c r="AL400" t="s">
        <v>2870</v>
      </c>
      <c r="AO400" t="s">
        <v>44</v>
      </c>
      <c r="AR400" s="31">
        <v>46045</v>
      </c>
      <c r="AX400">
        <v>1</v>
      </c>
    </row>
    <row r="401" spans="1:50" x14ac:dyDescent="0.25">
      <c r="A401" t="s">
        <v>31</v>
      </c>
      <c r="B401">
        <v>849</v>
      </c>
      <c r="D401">
        <v>3149</v>
      </c>
      <c r="G401" t="s">
        <v>2871</v>
      </c>
      <c r="H401">
        <v>27343071000143</v>
      </c>
      <c r="J401" t="s">
        <v>2872</v>
      </c>
      <c r="K401" t="s">
        <v>2873</v>
      </c>
      <c r="M401" t="s">
        <v>2874</v>
      </c>
      <c r="P401" t="s">
        <v>778</v>
      </c>
      <c r="S401" t="s">
        <v>2541</v>
      </c>
      <c r="V401" t="s">
        <v>2559</v>
      </c>
      <c r="W401" t="s">
        <v>780</v>
      </c>
      <c r="X401" t="s">
        <v>781</v>
      </c>
      <c r="Z401" s="31">
        <v>46053</v>
      </c>
      <c r="AC401">
        <v>17</v>
      </c>
      <c r="AD401" t="s">
        <v>22</v>
      </c>
      <c r="AE401" s="31">
        <v>46043</v>
      </c>
      <c r="AF401" s="61">
        <v>0.51600694444444439</v>
      </c>
      <c r="AH401" t="s">
        <v>795</v>
      </c>
      <c r="AI401" s="31">
        <v>46060</v>
      </c>
      <c r="AJ401" s="61">
        <v>0.32187500000000002</v>
      </c>
      <c r="AK401" t="s">
        <v>1226</v>
      </c>
      <c r="AO401" t="s">
        <v>31</v>
      </c>
      <c r="AR401" s="31"/>
      <c r="AX401">
        <v>1</v>
      </c>
    </row>
    <row r="402" spans="1:50" x14ac:dyDescent="0.25">
      <c r="A402" t="s">
        <v>31</v>
      </c>
      <c r="B402">
        <v>850</v>
      </c>
      <c r="D402">
        <v>3150</v>
      </c>
      <c r="G402" t="s">
        <v>2871</v>
      </c>
      <c r="H402">
        <v>27343071000143</v>
      </c>
      <c r="J402" t="s">
        <v>2875</v>
      </c>
      <c r="K402" t="s">
        <v>2876</v>
      </c>
      <c r="M402" t="s">
        <v>2877</v>
      </c>
      <c r="P402" t="s">
        <v>778</v>
      </c>
      <c r="Q402" t="s">
        <v>923</v>
      </c>
      <c r="S402" t="s">
        <v>814</v>
      </c>
      <c r="V402" t="s">
        <v>2878</v>
      </c>
      <c r="W402" t="s">
        <v>780</v>
      </c>
      <c r="X402" t="s">
        <v>897</v>
      </c>
      <c r="Z402" s="31">
        <v>46053</v>
      </c>
      <c r="AC402">
        <v>1</v>
      </c>
      <c r="AD402" t="s">
        <v>22</v>
      </c>
      <c r="AE402" s="31">
        <v>46043</v>
      </c>
      <c r="AF402" s="61">
        <v>0.5166898148148148</v>
      </c>
      <c r="AH402" t="s">
        <v>795</v>
      </c>
      <c r="AI402" s="31">
        <v>46044</v>
      </c>
      <c r="AJ402" s="61">
        <v>0.41939814814814808</v>
      </c>
      <c r="AK402" t="s">
        <v>867</v>
      </c>
      <c r="AO402" t="s">
        <v>31</v>
      </c>
      <c r="AR402" s="31"/>
      <c r="AX402">
        <v>1</v>
      </c>
    </row>
    <row r="403" spans="1:50" x14ac:dyDescent="0.25">
      <c r="A403" t="s">
        <v>44</v>
      </c>
      <c r="B403">
        <v>851</v>
      </c>
      <c r="D403">
        <v>3151</v>
      </c>
      <c r="E403" t="s">
        <v>2879</v>
      </c>
      <c r="G403" t="s">
        <v>2880</v>
      </c>
      <c r="J403" t="s">
        <v>2881</v>
      </c>
      <c r="K403" t="s">
        <v>2882</v>
      </c>
      <c r="M403" t="s">
        <v>2883</v>
      </c>
      <c r="P403" t="s">
        <v>778</v>
      </c>
      <c r="S403" t="s">
        <v>2541</v>
      </c>
      <c r="V403" t="s">
        <v>2791</v>
      </c>
      <c r="W403" t="s">
        <v>780</v>
      </c>
      <c r="X403" t="s">
        <v>897</v>
      </c>
      <c r="Z403" s="31">
        <v>46053</v>
      </c>
      <c r="AC403">
        <v>15</v>
      </c>
      <c r="AD403" t="s">
        <v>22</v>
      </c>
      <c r="AE403" s="31">
        <v>46043</v>
      </c>
      <c r="AF403" s="61">
        <v>0.52098379629629632</v>
      </c>
      <c r="AH403" t="s">
        <v>795</v>
      </c>
      <c r="AI403" s="31">
        <v>46058</v>
      </c>
      <c r="AJ403" s="61">
        <v>0.59001157407407412</v>
      </c>
      <c r="AK403" t="s">
        <v>796</v>
      </c>
      <c r="AL403" t="s">
        <v>796</v>
      </c>
      <c r="AO403" t="s">
        <v>44</v>
      </c>
      <c r="AR403" s="31">
        <v>46049</v>
      </c>
      <c r="AX403">
        <v>1</v>
      </c>
    </row>
    <row r="404" spans="1:50" x14ac:dyDescent="0.25">
      <c r="A404" t="s">
        <v>31</v>
      </c>
      <c r="B404">
        <v>853</v>
      </c>
      <c r="D404">
        <v>3154</v>
      </c>
      <c r="E404" t="s">
        <v>2884</v>
      </c>
      <c r="G404" t="s">
        <v>2885</v>
      </c>
      <c r="H404">
        <v>8439142000161</v>
      </c>
      <c r="J404" t="s">
        <v>2886</v>
      </c>
      <c r="K404" t="s">
        <v>2887</v>
      </c>
      <c r="M404" t="s">
        <v>2888</v>
      </c>
      <c r="P404" t="s">
        <v>778</v>
      </c>
      <c r="S404" t="s">
        <v>2541</v>
      </c>
      <c r="V404" t="s">
        <v>2791</v>
      </c>
      <c r="W404" t="s">
        <v>780</v>
      </c>
      <c r="X404" t="s">
        <v>793</v>
      </c>
      <c r="Z404" s="31">
        <v>46112</v>
      </c>
      <c r="AA404">
        <v>58800</v>
      </c>
      <c r="AB404">
        <v>873144</v>
      </c>
      <c r="AC404">
        <v>8</v>
      </c>
      <c r="AD404" t="s">
        <v>22</v>
      </c>
      <c r="AE404" s="31">
        <v>46043</v>
      </c>
      <c r="AF404" s="61">
        <v>0.91557870370370376</v>
      </c>
      <c r="AH404" t="s">
        <v>795</v>
      </c>
      <c r="AI404" s="31">
        <v>46051</v>
      </c>
      <c r="AJ404" s="61">
        <v>0.67262731481481486</v>
      </c>
      <c r="AK404" t="s">
        <v>867</v>
      </c>
      <c r="AN404" t="s">
        <v>2889</v>
      </c>
      <c r="AO404" t="s">
        <v>31</v>
      </c>
      <c r="AP404" t="s">
        <v>2890</v>
      </c>
      <c r="AQ404" t="s">
        <v>2891</v>
      </c>
      <c r="AR404" s="31">
        <v>46050</v>
      </c>
      <c r="AX404">
        <v>1</v>
      </c>
    </row>
    <row r="405" spans="1:50" x14ac:dyDescent="0.25">
      <c r="A405" t="s">
        <v>31</v>
      </c>
      <c r="B405">
        <v>854</v>
      </c>
      <c r="D405">
        <v>3155</v>
      </c>
      <c r="G405" t="s">
        <v>2892</v>
      </c>
      <c r="J405" t="s">
        <v>2893</v>
      </c>
      <c r="K405" t="s">
        <v>2894</v>
      </c>
      <c r="M405" t="s">
        <v>2895</v>
      </c>
      <c r="P405" t="s">
        <v>778</v>
      </c>
      <c r="S405" t="s">
        <v>2541</v>
      </c>
      <c r="V405" t="s">
        <v>2559</v>
      </c>
      <c r="W405" t="s">
        <v>780</v>
      </c>
      <c r="X405" t="s">
        <v>781</v>
      </c>
      <c r="Z405" s="31">
        <v>46044</v>
      </c>
      <c r="AC405">
        <v>0</v>
      </c>
      <c r="AD405" t="s">
        <v>22</v>
      </c>
      <c r="AE405" s="31">
        <v>46044</v>
      </c>
      <c r="AF405" s="61">
        <v>0.62604166666666672</v>
      </c>
      <c r="AH405" t="s">
        <v>795</v>
      </c>
      <c r="AI405" s="31">
        <v>46044</v>
      </c>
      <c r="AJ405" s="61">
        <v>0.65458333333333329</v>
      </c>
      <c r="AK405" t="s">
        <v>1226</v>
      </c>
      <c r="AO405" t="s">
        <v>31</v>
      </c>
      <c r="AR405" s="31"/>
      <c r="AX405">
        <v>1</v>
      </c>
    </row>
    <row r="406" spans="1:50" x14ac:dyDescent="0.25">
      <c r="A406" t="s">
        <v>44</v>
      </c>
      <c r="B406">
        <v>860</v>
      </c>
      <c r="D406">
        <v>3164</v>
      </c>
      <c r="E406" t="s">
        <v>2896</v>
      </c>
      <c r="G406" t="s">
        <v>2897</v>
      </c>
      <c r="H406">
        <v>1399482000167</v>
      </c>
      <c r="J406" t="s">
        <v>2898</v>
      </c>
      <c r="K406" t="s">
        <v>2899</v>
      </c>
      <c r="M406" t="s">
        <v>2900</v>
      </c>
      <c r="P406" t="s">
        <v>778</v>
      </c>
      <c r="S406" t="s">
        <v>2541</v>
      </c>
      <c r="V406" t="s">
        <v>2791</v>
      </c>
      <c r="W406" t="s">
        <v>780</v>
      </c>
      <c r="X406" t="s">
        <v>897</v>
      </c>
      <c r="Z406" s="31">
        <v>46053</v>
      </c>
      <c r="AC406">
        <v>13</v>
      </c>
      <c r="AD406" t="s">
        <v>22</v>
      </c>
      <c r="AE406" s="31">
        <v>46045</v>
      </c>
      <c r="AF406" s="61">
        <v>0.4199074074074074</v>
      </c>
      <c r="AH406" t="s">
        <v>795</v>
      </c>
      <c r="AI406" s="31">
        <v>46058</v>
      </c>
      <c r="AJ406" s="61">
        <v>0.58894675925925921</v>
      </c>
      <c r="AK406" t="s">
        <v>796</v>
      </c>
      <c r="AL406" t="s">
        <v>2901</v>
      </c>
      <c r="AO406" t="s">
        <v>44</v>
      </c>
      <c r="AR406" s="31">
        <v>46051</v>
      </c>
      <c r="AX406">
        <v>1</v>
      </c>
    </row>
    <row r="407" spans="1:50" x14ac:dyDescent="0.25">
      <c r="A407" t="s">
        <v>31</v>
      </c>
      <c r="B407">
        <v>861</v>
      </c>
      <c r="D407">
        <v>3165</v>
      </c>
      <c r="E407" t="s">
        <v>2902</v>
      </c>
      <c r="G407" t="s">
        <v>2903</v>
      </c>
      <c r="J407" t="s">
        <v>2904</v>
      </c>
      <c r="K407" t="s">
        <v>2905</v>
      </c>
      <c r="M407" t="s">
        <v>2906</v>
      </c>
      <c r="P407" t="s">
        <v>778</v>
      </c>
      <c r="S407" t="s">
        <v>2541</v>
      </c>
      <c r="V407" t="s">
        <v>2559</v>
      </c>
      <c r="W407" t="s">
        <v>780</v>
      </c>
      <c r="X407" t="s">
        <v>781</v>
      </c>
      <c r="Z407" s="31">
        <v>46053</v>
      </c>
      <c r="AC407">
        <v>21</v>
      </c>
      <c r="AD407" t="s">
        <v>22</v>
      </c>
      <c r="AE407" s="31">
        <v>46045</v>
      </c>
      <c r="AF407" s="61">
        <v>0.44262731481481482</v>
      </c>
      <c r="AH407" t="s">
        <v>795</v>
      </c>
      <c r="AI407" s="31">
        <v>46066</v>
      </c>
      <c r="AJ407" s="61">
        <v>0.7257986111111111</v>
      </c>
      <c r="AK407" t="s">
        <v>1226</v>
      </c>
      <c r="AO407" t="s">
        <v>31</v>
      </c>
      <c r="AR407" s="31">
        <v>46066</v>
      </c>
      <c r="AX407">
        <v>1</v>
      </c>
    </row>
    <row r="408" spans="1:50" x14ac:dyDescent="0.25">
      <c r="A408" t="s">
        <v>22</v>
      </c>
      <c r="B408">
        <v>862</v>
      </c>
      <c r="D408">
        <v>3166</v>
      </c>
      <c r="E408" t="s">
        <v>2907</v>
      </c>
      <c r="G408" t="s">
        <v>413</v>
      </c>
      <c r="H408">
        <v>82808122000173</v>
      </c>
      <c r="J408" t="s">
        <v>2908</v>
      </c>
      <c r="K408" t="s">
        <v>2909</v>
      </c>
      <c r="M408" t="s">
        <v>2910</v>
      </c>
      <c r="P408" t="s">
        <v>778</v>
      </c>
      <c r="Q408" t="s">
        <v>2911</v>
      </c>
      <c r="R408" t="s">
        <v>932</v>
      </c>
      <c r="V408" t="s">
        <v>1419</v>
      </c>
      <c r="W408" t="s">
        <v>780</v>
      </c>
      <c r="X408" t="s">
        <v>807</v>
      </c>
      <c r="Z408" s="31">
        <v>46081</v>
      </c>
      <c r="AA408">
        <v>655029</v>
      </c>
      <c r="AB408">
        <v>170178</v>
      </c>
      <c r="AC408">
        <v>27</v>
      </c>
      <c r="AD408" t="s">
        <v>22</v>
      </c>
      <c r="AE408" s="31">
        <v>46045</v>
      </c>
      <c r="AF408" s="61">
        <v>0.47480324074074082</v>
      </c>
      <c r="AH408" t="s">
        <v>782</v>
      </c>
      <c r="AI408" s="31"/>
      <c r="AJ408" s="61"/>
      <c r="AN408" t="s">
        <v>384</v>
      </c>
      <c r="AO408" t="s">
        <v>22</v>
      </c>
      <c r="AP408" t="s">
        <v>384</v>
      </c>
      <c r="AR408" s="31">
        <v>46060</v>
      </c>
      <c r="AS408" t="s">
        <v>1423</v>
      </c>
      <c r="AT408" t="s">
        <v>2912</v>
      </c>
      <c r="AU408" t="s">
        <v>2913</v>
      </c>
      <c r="AV408" t="s">
        <v>2914</v>
      </c>
      <c r="AW408" t="s">
        <v>2915</v>
      </c>
      <c r="AX408">
        <v>1</v>
      </c>
    </row>
    <row r="409" spans="1:50" x14ac:dyDescent="0.25">
      <c r="A409" t="s">
        <v>22</v>
      </c>
      <c r="B409">
        <v>864</v>
      </c>
      <c r="D409">
        <v>3169</v>
      </c>
      <c r="E409" t="s">
        <v>2916</v>
      </c>
      <c r="G409" t="s">
        <v>2917</v>
      </c>
      <c r="J409" t="s">
        <v>704</v>
      </c>
      <c r="K409" t="s">
        <v>2132</v>
      </c>
      <c r="M409" t="s">
        <v>2918</v>
      </c>
      <c r="P409" t="s">
        <v>778</v>
      </c>
      <c r="S409" t="s">
        <v>2919</v>
      </c>
      <c r="V409" t="s">
        <v>1718</v>
      </c>
      <c r="W409" t="s">
        <v>780</v>
      </c>
      <c r="X409" t="s">
        <v>807</v>
      </c>
      <c r="Z409" s="31">
        <v>46053</v>
      </c>
      <c r="AA409">
        <v>10000</v>
      </c>
      <c r="AB409">
        <v>2000</v>
      </c>
      <c r="AC409">
        <v>27</v>
      </c>
      <c r="AD409" t="s">
        <v>22</v>
      </c>
      <c r="AE409" s="31">
        <v>46045</v>
      </c>
      <c r="AF409" s="61">
        <v>0.68347222222222226</v>
      </c>
      <c r="AH409" t="s">
        <v>782</v>
      </c>
      <c r="AI409" s="31"/>
      <c r="AJ409" s="61"/>
      <c r="AN409" t="s">
        <v>2920</v>
      </c>
      <c r="AO409" t="s">
        <v>22</v>
      </c>
      <c r="AP409" t="s">
        <v>2920</v>
      </c>
      <c r="AR409" s="31"/>
      <c r="AS409" t="s">
        <v>2119</v>
      </c>
      <c r="AT409" t="s">
        <v>2921</v>
      </c>
      <c r="AU409" t="s">
        <v>2922</v>
      </c>
      <c r="AV409" t="s">
        <v>2923</v>
      </c>
      <c r="AW409" t="s">
        <v>2924</v>
      </c>
      <c r="AX409">
        <v>1</v>
      </c>
    </row>
    <row r="410" spans="1:50" x14ac:dyDescent="0.25">
      <c r="A410" t="s">
        <v>22</v>
      </c>
      <c r="B410">
        <v>865</v>
      </c>
      <c r="D410">
        <v>3170</v>
      </c>
      <c r="E410" t="s">
        <v>2925</v>
      </c>
      <c r="G410" t="s">
        <v>2926</v>
      </c>
      <c r="H410">
        <v>13303103000172</v>
      </c>
      <c r="J410" t="s">
        <v>2927</v>
      </c>
      <c r="K410" t="s">
        <v>2928</v>
      </c>
      <c r="M410" t="s">
        <v>2929</v>
      </c>
      <c r="P410" t="s">
        <v>778</v>
      </c>
      <c r="Q410" t="s">
        <v>2930</v>
      </c>
      <c r="R410" t="s">
        <v>932</v>
      </c>
      <c r="S410" t="s">
        <v>1191</v>
      </c>
      <c r="V410" t="s">
        <v>1419</v>
      </c>
      <c r="W410" t="s">
        <v>780</v>
      </c>
      <c r="X410" t="s">
        <v>807</v>
      </c>
      <c r="Z410" s="31">
        <v>46081</v>
      </c>
      <c r="AA410">
        <v>7931116</v>
      </c>
      <c r="AB410">
        <v>614544</v>
      </c>
      <c r="AC410">
        <v>27</v>
      </c>
      <c r="AD410" t="s">
        <v>22</v>
      </c>
      <c r="AE410" s="31">
        <v>46045</v>
      </c>
      <c r="AF410" s="61">
        <v>0.70285879629629633</v>
      </c>
      <c r="AH410" t="s">
        <v>782</v>
      </c>
      <c r="AI410" s="31"/>
      <c r="AJ410" s="61"/>
      <c r="AN410" t="s">
        <v>2920</v>
      </c>
      <c r="AO410" t="s">
        <v>22</v>
      </c>
      <c r="AP410" t="s">
        <v>2920</v>
      </c>
      <c r="AR410" s="31"/>
      <c r="AS410" t="s">
        <v>1423</v>
      </c>
      <c r="AT410" t="s">
        <v>2931</v>
      </c>
      <c r="AU410" t="s">
        <v>2932</v>
      </c>
      <c r="AV410" t="s">
        <v>2933</v>
      </c>
      <c r="AW410" t="s">
        <v>2934</v>
      </c>
      <c r="AX410">
        <v>1</v>
      </c>
    </row>
    <row r="411" spans="1:50" x14ac:dyDescent="0.25">
      <c r="A411" t="s">
        <v>31</v>
      </c>
      <c r="B411">
        <v>866</v>
      </c>
      <c r="D411">
        <v>3177</v>
      </c>
      <c r="E411" t="s">
        <v>2935</v>
      </c>
      <c r="G411" t="s">
        <v>2936</v>
      </c>
      <c r="J411" t="s">
        <v>2937</v>
      </c>
      <c r="K411" t="s">
        <v>2938</v>
      </c>
      <c r="M411" t="s">
        <v>2939</v>
      </c>
      <c r="P411" t="s">
        <v>778</v>
      </c>
      <c r="S411" t="s">
        <v>2541</v>
      </c>
      <c r="V411" t="s">
        <v>2791</v>
      </c>
      <c r="W411" t="s">
        <v>780</v>
      </c>
      <c r="X411" t="s">
        <v>781</v>
      </c>
      <c r="Z411" s="31">
        <v>46053</v>
      </c>
      <c r="AC411">
        <v>3</v>
      </c>
      <c r="AD411" t="s">
        <v>22</v>
      </c>
      <c r="AE411" s="31">
        <v>46048</v>
      </c>
      <c r="AF411" s="61">
        <v>0.55048611111111112</v>
      </c>
      <c r="AH411" t="s">
        <v>795</v>
      </c>
      <c r="AI411" s="31">
        <v>46051</v>
      </c>
      <c r="AJ411" s="61">
        <v>0.66991898148148143</v>
      </c>
      <c r="AK411" t="s">
        <v>934</v>
      </c>
      <c r="AO411" t="s">
        <v>31</v>
      </c>
      <c r="AR411" s="31">
        <v>46049</v>
      </c>
      <c r="AX411">
        <v>1</v>
      </c>
    </row>
    <row r="412" spans="1:50" x14ac:dyDescent="0.25">
      <c r="A412" t="s">
        <v>44</v>
      </c>
      <c r="B412">
        <v>867</v>
      </c>
      <c r="D412">
        <v>3176</v>
      </c>
      <c r="E412" t="s">
        <v>2940</v>
      </c>
      <c r="G412" t="s">
        <v>2941</v>
      </c>
      <c r="H412">
        <v>16743404000105</v>
      </c>
      <c r="J412" t="s">
        <v>2942</v>
      </c>
      <c r="K412" t="s">
        <v>2943</v>
      </c>
      <c r="M412" t="s">
        <v>2944</v>
      </c>
      <c r="P412" t="s">
        <v>778</v>
      </c>
      <c r="Q412" t="s">
        <v>2945</v>
      </c>
      <c r="R412" t="s">
        <v>1105</v>
      </c>
      <c r="S412" t="s">
        <v>2541</v>
      </c>
      <c r="V412" t="s">
        <v>2542</v>
      </c>
      <c r="W412" t="s">
        <v>780</v>
      </c>
      <c r="X412" t="s">
        <v>793</v>
      </c>
      <c r="Z412" s="31">
        <v>46081</v>
      </c>
      <c r="AA412">
        <v>61904</v>
      </c>
      <c r="AB412">
        <v>10192</v>
      </c>
      <c r="AC412">
        <v>24</v>
      </c>
      <c r="AD412" t="s">
        <v>22</v>
      </c>
      <c r="AE412" s="31">
        <v>46048</v>
      </c>
      <c r="AF412" s="61">
        <v>0.55230324074074078</v>
      </c>
      <c r="AH412" t="s">
        <v>782</v>
      </c>
      <c r="AI412" s="31"/>
      <c r="AJ412" s="61"/>
      <c r="AN412" t="s">
        <v>2889</v>
      </c>
      <c r="AO412" t="s">
        <v>44</v>
      </c>
      <c r="AP412" t="s">
        <v>2889</v>
      </c>
      <c r="AR412" s="31">
        <v>46050</v>
      </c>
      <c r="AS412" t="s">
        <v>2119</v>
      </c>
      <c r="AX412">
        <v>1</v>
      </c>
    </row>
    <row r="413" spans="1:50" x14ac:dyDescent="0.25">
      <c r="A413" t="s">
        <v>31</v>
      </c>
      <c r="B413">
        <v>868</v>
      </c>
      <c r="D413">
        <v>3174</v>
      </c>
      <c r="E413" t="s">
        <v>2946</v>
      </c>
      <c r="G413" t="s">
        <v>2947</v>
      </c>
      <c r="J413" t="s">
        <v>2948</v>
      </c>
      <c r="K413" t="s">
        <v>2949</v>
      </c>
      <c r="M413" t="s">
        <v>2950</v>
      </c>
      <c r="P413" t="s">
        <v>778</v>
      </c>
      <c r="S413" t="s">
        <v>2541</v>
      </c>
      <c r="V413" t="s">
        <v>2559</v>
      </c>
      <c r="W413" t="s">
        <v>780</v>
      </c>
      <c r="X413" t="s">
        <v>781</v>
      </c>
      <c r="Z413" s="31">
        <v>46053</v>
      </c>
      <c r="AC413">
        <v>0</v>
      </c>
      <c r="AD413" t="s">
        <v>22</v>
      </c>
      <c r="AE413" s="31">
        <v>46048</v>
      </c>
      <c r="AF413" s="61">
        <v>0.55403935185185182</v>
      </c>
      <c r="AH413" t="s">
        <v>795</v>
      </c>
      <c r="AI413" s="31">
        <v>46048</v>
      </c>
      <c r="AJ413" s="61">
        <v>0.60412037037037036</v>
      </c>
      <c r="AK413" t="s">
        <v>1226</v>
      </c>
      <c r="AO413" t="s">
        <v>31</v>
      </c>
      <c r="AR413" s="31"/>
      <c r="AX413">
        <v>1</v>
      </c>
    </row>
    <row r="414" spans="1:50" x14ac:dyDescent="0.25">
      <c r="A414" t="s">
        <v>44</v>
      </c>
      <c r="B414">
        <v>869</v>
      </c>
      <c r="D414">
        <v>3175</v>
      </c>
      <c r="E414" t="s">
        <v>2951</v>
      </c>
      <c r="G414" t="s">
        <v>2952</v>
      </c>
      <c r="J414" t="s">
        <v>2953</v>
      </c>
      <c r="K414" t="s">
        <v>2954</v>
      </c>
      <c r="M414" t="s">
        <v>2955</v>
      </c>
      <c r="P414" t="s">
        <v>778</v>
      </c>
      <c r="S414" t="s">
        <v>2541</v>
      </c>
      <c r="V414" t="s">
        <v>2791</v>
      </c>
      <c r="W414" t="s">
        <v>780</v>
      </c>
      <c r="X414" t="s">
        <v>781</v>
      </c>
      <c r="Z414" s="31">
        <v>46053</v>
      </c>
      <c r="AC414">
        <v>10</v>
      </c>
      <c r="AD414" t="s">
        <v>22</v>
      </c>
      <c r="AE414" s="31">
        <v>46048</v>
      </c>
      <c r="AF414" s="61">
        <v>0.5553703703703704</v>
      </c>
      <c r="AH414" t="s">
        <v>795</v>
      </c>
      <c r="AI414" s="31">
        <v>46058</v>
      </c>
      <c r="AJ414" s="61">
        <v>0.51664351851851853</v>
      </c>
      <c r="AK414" t="s">
        <v>796</v>
      </c>
      <c r="AL414" t="s">
        <v>967</v>
      </c>
      <c r="AO414" t="s">
        <v>44</v>
      </c>
      <c r="AR414" s="31">
        <v>46049</v>
      </c>
      <c r="AX414">
        <v>1</v>
      </c>
    </row>
    <row r="415" spans="1:50" x14ac:dyDescent="0.25">
      <c r="A415" t="s">
        <v>31</v>
      </c>
      <c r="B415">
        <v>870</v>
      </c>
      <c r="D415">
        <v>3173</v>
      </c>
      <c r="E415" t="s">
        <v>2956</v>
      </c>
      <c r="G415" t="s">
        <v>2957</v>
      </c>
      <c r="J415" t="s">
        <v>2958</v>
      </c>
      <c r="K415" t="s">
        <v>2959</v>
      </c>
      <c r="M415" t="s">
        <v>2960</v>
      </c>
      <c r="P415" t="s">
        <v>778</v>
      </c>
      <c r="S415" t="s">
        <v>2541</v>
      </c>
      <c r="V415" t="s">
        <v>2542</v>
      </c>
      <c r="W415" t="s">
        <v>780</v>
      </c>
      <c r="X415" t="s">
        <v>897</v>
      </c>
      <c r="Z415" s="31">
        <v>46053</v>
      </c>
      <c r="AC415">
        <v>22</v>
      </c>
      <c r="AD415" t="s">
        <v>22</v>
      </c>
      <c r="AE415" s="31">
        <v>46048</v>
      </c>
      <c r="AF415" s="61">
        <v>0.55634259259259256</v>
      </c>
      <c r="AH415" t="s">
        <v>795</v>
      </c>
      <c r="AI415" s="31">
        <v>46070</v>
      </c>
      <c r="AJ415" s="61">
        <v>0.67465277777777777</v>
      </c>
      <c r="AK415" t="s">
        <v>867</v>
      </c>
      <c r="AO415" t="s">
        <v>31</v>
      </c>
      <c r="AR415" s="31">
        <v>46070</v>
      </c>
      <c r="AS415" t="s">
        <v>2119</v>
      </c>
      <c r="AX415">
        <v>1</v>
      </c>
    </row>
    <row r="416" spans="1:50" x14ac:dyDescent="0.25">
      <c r="A416" t="s">
        <v>22</v>
      </c>
      <c r="B416">
        <v>871</v>
      </c>
      <c r="D416">
        <v>3172</v>
      </c>
      <c r="E416" t="s">
        <v>2961</v>
      </c>
      <c r="G416" t="s">
        <v>2962</v>
      </c>
      <c r="H416">
        <v>19933187000104</v>
      </c>
      <c r="J416" t="s">
        <v>2963</v>
      </c>
      <c r="K416" t="s">
        <v>2964</v>
      </c>
      <c r="M416" t="s">
        <v>2965</v>
      </c>
      <c r="P416" t="s">
        <v>778</v>
      </c>
      <c r="S416" t="s">
        <v>2541</v>
      </c>
      <c r="V416" t="s">
        <v>2542</v>
      </c>
      <c r="W416" t="s">
        <v>780</v>
      </c>
      <c r="X416" t="s">
        <v>897</v>
      </c>
      <c r="Z416" s="31">
        <v>46053</v>
      </c>
      <c r="AC416">
        <v>24</v>
      </c>
      <c r="AD416" t="s">
        <v>22</v>
      </c>
      <c r="AE416" s="31">
        <v>46048</v>
      </c>
      <c r="AF416" s="61">
        <v>0.55686342592592597</v>
      </c>
      <c r="AH416" t="s">
        <v>782</v>
      </c>
      <c r="AI416" s="31"/>
      <c r="AJ416" s="61"/>
      <c r="AO416" t="s">
        <v>22</v>
      </c>
      <c r="AR416" s="31">
        <v>46050</v>
      </c>
      <c r="AS416" t="s">
        <v>2119</v>
      </c>
      <c r="AX416">
        <v>1</v>
      </c>
    </row>
    <row r="417" spans="1:50" x14ac:dyDescent="0.25">
      <c r="A417" t="s">
        <v>22</v>
      </c>
      <c r="B417">
        <v>872</v>
      </c>
      <c r="D417">
        <v>3178</v>
      </c>
      <c r="E417" t="s">
        <v>2966</v>
      </c>
      <c r="G417" t="s">
        <v>422</v>
      </c>
      <c r="J417" t="s">
        <v>2967</v>
      </c>
      <c r="K417" t="s">
        <v>2968</v>
      </c>
      <c r="M417" t="s">
        <v>2969</v>
      </c>
      <c r="P417" t="s">
        <v>778</v>
      </c>
      <c r="Q417" t="s">
        <v>923</v>
      </c>
      <c r="S417" t="s">
        <v>814</v>
      </c>
      <c r="V417" t="s">
        <v>2970</v>
      </c>
      <c r="W417" t="s">
        <v>780</v>
      </c>
      <c r="X417" t="s">
        <v>807</v>
      </c>
      <c r="Z417" s="31">
        <v>46081</v>
      </c>
      <c r="AA417">
        <v>66000</v>
      </c>
      <c r="AB417">
        <v>58688</v>
      </c>
      <c r="AC417">
        <v>24</v>
      </c>
      <c r="AD417" t="s">
        <v>22</v>
      </c>
      <c r="AE417" s="31">
        <v>46048</v>
      </c>
      <c r="AF417" s="61">
        <v>0.71504629629629635</v>
      </c>
      <c r="AH417" t="s">
        <v>782</v>
      </c>
      <c r="AI417" s="31"/>
      <c r="AJ417" s="61"/>
      <c r="AN417" t="s">
        <v>423</v>
      </c>
      <c r="AO417" t="s">
        <v>22</v>
      </c>
      <c r="AP417" t="s">
        <v>423</v>
      </c>
      <c r="AR417" s="31">
        <v>46059</v>
      </c>
      <c r="AS417" t="s">
        <v>1423</v>
      </c>
      <c r="AT417" t="s">
        <v>2971</v>
      </c>
      <c r="AU417" t="s">
        <v>2972</v>
      </c>
      <c r="AV417" t="s">
        <v>2973</v>
      </c>
      <c r="AW417" t="s">
        <v>2974</v>
      </c>
      <c r="AX417">
        <v>1</v>
      </c>
    </row>
    <row r="418" spans="1:50" x14ac:dyDescent="0.25">
      <c r="A418" t="s">
        <v>44</v>
      </c>
      <c r="B418">
        <v>873</v>
      </c>
      <c r="D418">
        <v>3179</v>
      </c>
      <c r="E418" t="s">
        <v>2975</v>
      </c>
      <c r="G418" t="s">
        <v>2976</v>
      </c>
      <c r="J418" t="s">
        <v>2977</v>
      </c>
      <c r="K418" t="s">
        <v>2978</v>
      </c>
      <c r="M418" t="s">
        <v>2979</v>
      </c>
      <c r="P418" t="s">
        <v>778</v>
      </c>
      <c r="S418" t="s">
        <v>2541</v>
      </c>
      <c r="V418" t="s">
        <v>2791</v>
      </c>
      <c r="W418" t="s">
        <v>780</v>
      </c>
      <c r="X418" t="s">
        <v>781</v>
      </c>
      <c r="Z418" s="31"/>
      <c r="AC418">
        <v>9</v>
      </c>
      <c r="AD418" t="s">
        <v>22</v>
      </c>
      <c r="AE418" s="31">
        <v>46049</v>
      </c>
      <c r="AF418" s="61">
        <v>0.36055555555555557</v>
      </c>
      <c r="AH418" t="s">
        <v>795</v>
      </c>
      <c r="AI418" s="31">
        <v>46058</v>
      </c>
      <c r="AJ418" s="61">
        <v>0.5122916666666667</v>
      </c>
      <c r="AK418" t="s">
        <v>796</v>
      </c>
      <c r="AL418" t="s">
        <v>2980</v>
      </c>
      <c r="AO418" t="s">
        <v>44</v>
      </c>
      <c r="AR418" s="31">
        <v>46051</v>
      </c>
      <c r="AX418">
        <v>1</v>
      </c>
    </row>
    <row r="419" spans="1:50" x14ac:dyDescent="0.25">
      <c r="A419" t="s">
        <v>31</v>
      </c>
      <c r="B419">
        <v>874</v>
      </c>
      <c r="D419">
        <v>3180</v>
      </c>
      <c r="G419" t="s">
        <v>2981</v>
      </c>
      <c r="J419" t="s">
        <v>2982</v>
      </c>
      <c r="K419" t="s">
        <v>2983</v>
      </c>
      <c r="M419" t="s">
        <v>2984</v>
      </c>
      <c r="P419" t="s">
        <v>778</v>
      </c>
      <c r="S419" t="s">
        <v>2541</v>
      </c>
      <c r="V419" t="s">
        <v>2559</v>
      </c>
      <c r="W419" t="s">
        <v>780</v>
      </c>
      <c r="X419" t="s">
        <v>781</v>
      </c>
      <c r="Z419" s="31">
        <v>46053</v>
      </c>
      <c r="AC419">
        <v>2</v>
      </c>
      <c r="AD419" t="s">
        <v>22</v>
      </c>
      <c r="AE419" s="31">
        <v>46049</v>
      </c>
      <c r="AF419" s="61">
        <v>0.36130787037037038</v>
      </c>
      <c r="AH419" t="s">
        <v>795</v>
      </c>
      <c r="AI419" s="31">
        <v>46051</v>
      </c>
      <c r="AJ419" s="61">
        <v>0.66635416666666669</v>
      </c>
      <c r="AK419" t="s">
        <v>1226</v>
      </c>
      <c r="AO419" t="s">
        <v>31</v>
      </c>
      <c r="AR419" s="31"/>
      <c r="AX419">
        <v>1</v>
      </c>
    </row>
    <row r="420" spans="1:50" x14ac:dyDescent="0.25">
      <c r="A420" t="s">
        <v>44</v>
      </c>
      <c r="B420">
        <v>876</v>
      </c>
      <c r="D420">
        <v>3182</v>
      </c>
      <c r="F420" t="s">
        <v>2985</v>
      </c>
      <c r="G420" t="s">
        <v>2986</v>
      </c>
      <c r="H420">
        <v>5937946000100</v>
      </c>
      <c r="J420" t="s">
        <v>2985</v>
      </c>
      <c r="K420" t="s">
        <v>2987</v>
      </c>
      <c r="M420" t="s">
        <v>2988</v>
      </c>
      <c r="P420" t="s">
        <v>778</v>
      </c>
      <c r="Q420" t="s">
        <v>2989</v>
      </c>
      <c r="R420" t="s">
        <v>932</v>
      </c>
      <c r="S420" t="s">
        <v>805</v>
      </c>
      <c r="V420" t="s">
        <v>1581</v>
      </c>
      <c r="W420" t="s">
        <v>780</v>
      </c>
      <c r="X420" t="s">
        <v>816</v>
      </c>
      <c r="Z420" s="31">
        <v>46081</v>
      </c>
      <c r="AA420">
        <v>16960</v>
      </c>
      <c r="AB420">
        <v>32775</v>
      </c>
      <c r="AC420">
        <v>16</v>
      </c>
      <c r="AD420" t="s">
        <v>44</v>
      </c>
      <c r="AE420" s="31">
        <v>46050</v>
      </c>
      <c r="AF420" s="61">
        <v>0.37962962962962971</v>
      </c>
      <c r="AH420" t="s">
        <v>818</v>
      </c>
      <c r="AI420" s="31">
        <v>46066</v>
      </c>
      <c r="AJ420" s="61">
        <v>0.51166666666666671</v>
      </c>
      <c r="AN420" t="s">
        <v>2990</v>
      </c>
      <c r="AO420" t="s">
        <v>44</v>
      </c>
      <c r="AP420" t="s">
        <v>2991</v>
      </c>
      <c r="AR420" s="31"/>
      <c r="AS420" t="s">
        <v>1012</v>
      </c>
      <c r="AX420">
        <v>1</v>
      </c>
    </row>
    <row r="421" spans="1:50" x14ac:dyDescent="0.25">
      <c r="A421" t="s">
        <v>22</v>
      </c>
      <c r="B421">
        <v>877</v>
      </c>
      <c r="D421">
        <v>3187</v>
      </c>
      <c r="E421" t="s">
        <v>2992</v>
      </c>
      <c r="G421" t="s">
        <v>430</v>
      </c>
      <c r="J421" t="s">
        <v>2993</v>
      </c>
      <c r="K421" t="s">
        <v>2994</v>
      </c>
      <c r="M421" t="s">
        <v>1111</v>
      </c>
      <c r="P421" t="s">
        <v>778</v>
      </c>
      <c r="S421" t="s">
        <v>2919</v>
      </c>
      <c r="V421" t="s">
        <v>1581</v>
      </c>
      <c r="W421" t="s">
        <v>780</v>
      </c>
      <c r="X421" t="s">
        <v>816</v>
      </c>
      <c r="Z421" s="31">
        <v>46081</v>
      </c>
      <c r="AA421">
        <v>13100</v>
      </c>
      <c r="AB421">
        <v>1700</v>
      </c>
      <c r="AC421">
        <v>22</v>
      </c>
      <c r="AD421" t="s">
        <v>22</v>
      </c>
      <c r="AE421" s="31">
        <v>46050</v>
      </c>
      <c r="AF421" s="61">
        <v>0.66311342592592593</v>
      </c>
      <c r="AH421" t="s">
        <v>782</v>
      </c>
      <c r="AI421" s="31"/>
      <c r="AJ421" s="61"/>
      <c r="AN421" t="s">
        <v>384</v>
      </c>
      <c r="AO421" t="s">
        <v>22</v>
      </c>
      <c r="AP421" t="s">
        <v>449</v>
      </c>
      <c r="AR421" s="31">
        <v>46029</v>
      </c>
      <c r="AS421" t="s">
        <v>1012</v>
      </c>
      <c r="AT421" t="s">
        <v>2995</v>
      </c>
      <c r="AU421" t="s">
        <v>69</v>
      </c>
      <c r="AV421" t="s">
        <v>2490</v>
      </c>
      <c r="AW421" t="s">
        <v>2491</v>
      </c>
      <c r="AX421">
        <v>1</v>
      </c>
    </row>
    <row r="422" spans="1:50" x14ac:dyDescent="0.25">
      <c r="A422" t="s">
        <v>44</v>
      </c>
      <c r="B422">
        <v>879</v>
      </c>
      <c r="D422">
        <v>3192</v>
      </c>
      <c r="E422" t="s">
        <v>2996</v>
      </c>
      <c r="F422" t="s">
        <v>2997</v>
      </c>
      <c r="G422" t="s">
        <v>2998</v>
      </c>
      <c r="H422">
        <v>42371959000183</v>
      </c>
      <c r="J422" t="s">
        <v>2997</v>
      </c>
      <c r="K422" t="s">
        <v>2999</v>
      </c>
      <c r="M422" t="s">
        <v>3000</v>
      </c>
      <c r="P422" t="s">
        <v>778</v>
      </c>
      <c r="Q422" t="s">
        <v>1596</v>
      </c>
      <c r="R422" t="s">
        <v>790</v>
      </c>
      <c r="S422" t="s">
        <v>805</v>
      </c>
      <c r="V422" t="s">
        <v>1718</v>
      </c>
      <c r="W422" t="s">
        <v>780</v>
      </c>
      <c r="X422" t="s">
        <v>793</v>
      </c>
      <c r="Z422" s="31">
        <v>46081</v>
      </c>
      <c r="AA422">
        <v>69536</v>
      </c>
      <c r="AB422">
        <v>149652</v>
      </c>
      <c r="AC422">
        <v>21</v>
      </c>
      <c r="AD422" t="s">
        <v>44</v>
      </c>
      <c r="AE422" s="31">
        <v>46051</v>
      </c>
      <c r="AF422" s="61">
        <v>0.41417824074074072</v>
      </c>
      <c r="AH422" t="s">
        <v>782</v>
      </c>
      <c r="AI422" s="31"/>
      <c r="AJ422" s="61"/>
      <c r="AN422" t="s">
        <v>2889</v>
      </c>
      <c r="AO422" t="s">
        <v>44</v>
      </c>
      <c r="AP422" t="s">
        <v>2890</v>
      </c>
      <c r="AR422" s="31"/>
      <c r="AS422" t="s">
        <v>2119</v>
      </c>
      <c r="AX422">
        <v>1</v>
      </c>
    </row>
    <row r="423" spans="1:50" x14ac:dyDescent="0.25">
      <c r="A423" t="s">
        <v>44</v>
      </c>
      <c r="B423">
        <v>882</v>
      </c>
      <c r="D423">
        <v>3199</v>
      </c>
      <c r="E423" t="s">
        <v>3001</v>
      </c>
      <c r="G423" t="s">
        <v>3002</v>
      </c>
      <c r="J423" t="s">
        <v>3003</v>
      </c>
      <c r="K423" t="s">
        <v>1471</v>
      </c>
      <c r="M423" t="s">
        <v>1111</v>
      </c>
      <c r="P423" t="s">
        <v>778</v>
      </c>
      <c r="V423" t="s">
        <v>1419</v>
      </c>
      <c r="W423" t="s">
        <v>780</v>
      </c>
      <c r="X423" t="s">
        <v>807</v>
      </c>
      <c r="Z423" s="31">
        <v>46081</v>
      </c>
      <c r="AA423">
        <v>90000</v>
      </c>
      <c r="AB423">
        <v>921279</v>
      </c>
      <c r="AC423">
        <v>15</v>
      </c>
      <c r="AD423" t="s">
        <v>44</v>
      </c>
      <c r="AE423" s="31">
        <v>46051</v>
      </c>
      <c r="AF423" s="61">
        <v>0.67391203703703706</v>
      </c>
      <c r="AH423" t="s">
        <v>795</v>
      </c>
      <c r="AI423" s="31">
        <v>46066</v>
      </c>
      <c r="AJ423" s="61">
        <v>0.51680555555555552</v>
      </c>
      <c r="AK423" t="s">
        <v>858</v>
      </c>
      <c r="AL423" t="s">
        <v>3001</v>
      </c>
      <c r="AN423" t="s">
        <v>2576</v>
      </c>
      <c r="AO423" t="s">
        <v>44</v>
      </c>
      <c r="AP423" t="s">
        <v>2576</v>
      </c>
      <c r="AR423" s="31">
        <v>46066</v>
      </c>
      <c r="AS423" t="s">
        <v>1423</v>
      </c>
      <c r="AX423">
        <v>1</v>
      </c>
    </row>
    <row r="424" spans="1:50" x14ac:dyDescent="0.25">
      <c r="A424" t="s">
        <v>44</v>
      </c>
      <c r="B424">
        <v>883</v>
      </c>
      <c r="D424">
        <v>3200</v>
      </c>
      <c r="E424" t="s">
        <v>3001</v>
      </c>
      <c r="G424" t="s">
        <v>1469</v>
      </c>
      <c r="J424" t="s">
        <v>3004</v>
      </c>
      <c r="K424" t="s">
        <v>1471</v>
      </c>
      <c r="M424" t="s">
        <v>1111</v>
      </c>
      <c r="P424" t="s">
        <v>778</v>
      </c>
      <c r="V424" t="s">
        <v>1419</v>
      </c>
      <c r="W424" t="s">
        <v>780</v>
      </c>
      <c r="X424" t="s">
        <v>807</v>
      </c>
      <c r="Z424" s="31">
        <v>46081</v>
      </c>
      <c r="AA424">
        <v>1600</v>
      </c>
      <c r="AB424">
        <v>599515</v>
      </c>
      <c r="AC424">
        <v>15</v>
      </c>
      <c r="AD424" t="s">
        <v>44</v>
      </c>
      <c r="AE424" s="31">
        <v>46051</v>
      </c>
      <c r="AF424" s="61">
        <v>0.6811342592592593</v>
      </c>
      <c r="AH424" t="s">
        <v>795</v>
      </c>
      <c r="AI424" s="31">
        <v>46066</v>
      </c>
      <c r="AJ424" s="61">
        <v>0.51790509259259254</v>
      </c>
      <c r="AK424" t="s">
        <v>858</v>
      </c>
      <c r="AL424" t="s">
        <v>3001</v>
      </c>
      <c r="AN424" t="s">
        <v>2576</v>
      </c>
      <c r="AO424" t="s">
        <v>44</v>
      </c>
      <c r="AP424" t="s">
        <v>2576</v>
      </c>
      <c r="AR424" s="31">
        <v>46066</v>
      </c>
      <c r="AS424" t="s">
        <v>1423</v>
      </c>
      <c r="AX424">
        <v>1</v>
      </c>
    </row>
    <row r="425" spans="1:50" x14ac:dyDescent="0.25">
      <c r="A425" t="s">
        <v>44</v>
      </c>
      <c r="B425">
        <v>884</v>
      </c>
      <c r="D425">
        <v>3202</v>
      </c>
      <c r="G425" t="s">
        <v>3005</v>
      </c>
      <c r="J425" t="s">
        <v>3004</v>
      </c>
      <c r="K425" t="s">
        <v>1471</v>
      </c>
      <c r="M425" t="s">
        <v>1111</v>
      </c>
      <c r="P425" t="s">
        <v>778</v>
      </c>
      <c r="V425" t="s">
        <v>1419</v>
      </c>
      <c r="W425" t="s">
        <v>780</v>
      </c>
      <c r="X425" t="s">
        <v>807</v>
      </c>
      <c r="Z425" s="31">
        <v>46081</v>
      </c>
      <c r="AA425">
        <v>16960</v>
      </c>
      <c r="AB425">
        <v>32775</v>
      </c>
      <c r="AC425">
        <v>21</v>
      </c>
      <c r="AD425" t="s">
        <v>44</v>
      </c>
      <c r="AE425" s="31">
        <v>46051</v>
      </c>
      <c r="AF425" s="61">
        <v>0.69284722222222217</v>
      </c>
      <c r="AH425" t="s">
        <v>782</v>
      </c>
      <c r="AI425" s="31"/>
      <c r="AJ425" s="61"/>
      <c r="AN425" t="s">
        <v>2889</v>
      </c>
      <c r="AO425" t="s">
        <v>44</v>
      </c>
      <c r="AP425" t="s">
        <v>2576</v>
      </c>
      <c r="AR425" s="31">
        <v>46050</v>
      </c>
      <c r="AS425" t="s">
        <v>1423</v>
      </c>
      <c r="AX425">
        <v>1</v>
      </c>
    </row>
    <row r="426" spans="1:50" x14ac:dyDescent="0.25">
      <c r="A426" t="s">
        <v>44</v>
      </c>
      <c r="B426">
        <v>885</v>
      </c>
      <c r="D426">
        <v>3205</v>
      </c>
      <c r="E426" t="s">
        <v>3006</v>
      </c>
      <c r="G426" t="s">
        <v>3007</v>
      </c>
      <c r="H426">
        <v>4312818000109</v>
      </c>
      <c r="J426" t="s">
        <v>3008</v>
      </c>
      <c r="P426" t="s">
        <v>778</v>
      </c>
      <c r="Q426" t="s">
        <v>1094</v>
      </c>
      <c r="R426" t="s">
        <v>790</v>
      </c>
      <c r="V426" t="s">
        <v>1718</v>
      </c>
      <c r="W426" t="s">
        <v>780</v>
      </c>
      <c r="X426" t="s">
        <v>807</v>
      </c>
      <c r="Z426" s="31">
        <v>46081</v>
      </c>
      <c r="AA426">
        <v>1600</v>
      </c>
      <c r="AB426">
        <v>384454</v>
      </c>
      <c r="AC426">
        <v>20</v>
      </c>
      <c r="AD426" t="s">
        <v>44</v>
      </c>
      <c r="AE426" s="31">
        <v>46052</v>
      </c>
      <c r="AF426" s="61">
        <v>0.61850694444444443</v>
      </c>
      <c r="AH426" t="s">
        <v>782</v>
      </c>
      <c r="AI426" s="31"/>
      <c r="AJ426" s="61"/>
      <c r="AN426" t="s">
        <v>2829</v>
      </c>
      <c r="AO426" t="s">
        <v>44</v>
      </c>
      <c r="AR426" s="31">
        <v>46051</v>
      </c>
      <c r="AS426" t="s">
        <v>2119</v>
      </c>
      <c r="AX426">
        <v>1</v>
      </c>
    </row>
    <row r="427" spans="1:50" x14ac:dyDescent="0.25">
      <c r="A427" t="s">
        <v>44</v>
      </c>
      <c r="B427">
        <v>886</v>
      </c>
      <c r="D427">
        <v>3207</v>
      </c>
      <c r="G427" t="s">
        <v>3009</v>
      </c>
      <c r="J427" t="s">
        <v>3010</v>
      </c>
      <c r="K427" t="s">
        <v>3011</v>
      </c>
      <c r="M427" t="s">
        <v>2827</v>
      </c>
      <c r="P427" t="s">
        <v>778</v>
      </c>
      <c r="V427" t="s">
        <v>2791</v>
      </c>
      <c r="W427" t="s">
        <v>780</v>
      </c>
      <c r="X427" t="s">
        <v>793</v>
      </c>
      <c r="Z427" s="31"/>
      <c r="AA427">
        <v>1600</v>
      </c>
      <c r="AB427">
        <v>252471</v>
      </c>
      <c r="AC427">
        <v>20</v>
      </c>
      <c r="AD427" t="s">
        <v>44</v>
      </c>
      <c r="AE427" s="31">
        <v>46052</v>
      </c>
      <c r="AF427" s="61">
        <v>0.64193287037037039</v>
      </c>
      <c r="AH427" t="s">
        <v>782</v>
      </c>
      <c r="AI427" s="31"/>
      <c r="AJ427" s="61"/>
      <c r="AN427" t="s">
        <v>2829</v>
      </c>
      <c r="AR427" s="31"/>
      <c r="AX427">
        <v>1</v>
      </c>
    </row>
    <row r="428" spans="1:50" x14ac:dyDescent="0.25">
      <c r="A428" t="s">
        <v>44</v>
      </c>
      <c r="B428">
        <v>887</v>
      </c>
      <c r="D428">
        <v>3208</v>
      </c>
      <c r="G428" t="s">
        <v>3012</v>
      </c>
      <c r="J428" t="s">
        <v>3013</v>
      </c>
      <c r="K428" t="s">
        <v>3014</v>
      </c>
      <c r="M428" t="s">
        <v>2839</v>
      </c>
      <c r="P428" t="s">
        <v>778</v>
      </c>
      <c r="V428" t="s">
        <v>3015</v>
      </c>
      <c r="W428" t="s">
        <v>780</v>
      </c>
      <c r="X428" t="s">
        <v>857</v>
      </c>
      <c r="Z428" s="31"/>
      <c r="AA428">
        <v>1600</v>
      </c>
      <c r="AB428">
        <v>254271</v>
      </c>
      <c r="AC428">
        <v>6</v>
      </c>
      <c r="AD428" t="s">
        <v>44</v>
      </c>
      <c r="AE428" s="31">
        <v>46052</v>
      </c>
      <c r="AF428" s="61">
        <v>0.66526620370370371</v>
      </c>
      <c r="AH428" t="s">
        <v>795</v>
      </c>
      <c r="AI428" s="31">
        <v>46058</v>
      </c>
      <c r="AJ428" s="61">
        <v>0.59289351851851857</v>
      </c>
      <c r="AK428" t="s">
        <v>867</v>
      </c>
      <c r="AL428" t="s">
        <v>2843</v>
      </c>
      <c r="AN428" t="s">
        <v>2829</v>
      </c>
      <c r="AP428" t="s">
        <v>2590</v>
      </c>
      <c r="AR428" s="31">
        <v>46048</v>
      </c>
      <c r="AX428">
        <v>1</v>
      </c>
    </row>
    <row r="429" spans="1:50" x14ac:dyDescent="0.25">
      <c r="A429" t="s">
        <v>44</v>
      </c>
      <c r="B429">
        <v>888</v>
      </c>
      <c r="D429">
        <v>3209</v>
      </c>
      <c r="G429" t="s">
        <v>3016</v>
      </c>
      <c r="J429" t="s">
        <v>3017</v>
      </c>
      <c r="K429" t="s">
        <v>3018</v>
      </c>
      <c r="M429" t="s">
        <v>2636</v>
      </c>
      <c r="P429" t="s">
        <v>778</v>
      </c>
      <c r="V429" t="s">
        <v>2791</v>
      </c>
      <c r="W429" t="s">
        <v>780</v>
      </c>
      <c r="X429" t="s">
        <v>857</v>
      </c>
      <c r="Z429" s="31"/>
      <c r="AA429">
        <v>1600</v>
      </c>
      <c r="AB429">
        <v>252471</v>
      </c>
      <c r="AC429">
        <v>6</v>
      </c>
      <c r="AD429" t="s">
        <v>44</v>
      </c>
      <c r="AE429" s="31">
        <v>46052</v>
      </c>
      <c r="AF429" s="61">
        <v>0.67311342592592593</v>
      </c>
      <c r="AH429" t="s">
        <v>795</v>
      </c>
      <c r="AI429" s="31">
        <v>46058</v>
      </c>
      <c r="AJ429" s="61">
        <v>0.51517361111111115</v>
      </c>
      <c r="AK429" t="s">
        <v>934</v>
      </c>
      <c r="AL429" t="s">
        <v>3019</v>
      </c>
      <c r="AN429" t="s">
        <v>2591</v>
      </c>
      <c r="AP429" t="s">
        <v>2591</v>
      </c>
      <c r="AR429" s="31">
        <v>46051</v>
      </c>
      <c r="AX429">
        <v>1</v>
      </c>
    </row>
    <row r="430" spans="1:50" x14ac:dyDescent="0.25">
      <c r="A430" t="s">
        <v>44</v>
      </c>
      <c r="B430">
        <v>889</v>
      </c>
      <c r="D430">
        <v>3210</v>
      </c>
      <c r="G430" t="s">
        <v>3020</v>
      </c>
      <c r="J430" t="s">
        <v>3021</v>
      </c>
      <c r="K430" t="s">
        <v>2943</v>
      </c>
      <c r="M430" t="s">
        <v>2944</v>
      </c>
      <c r="P430" t="s">
        <v>778</v>
      </c>
      <c r="V430" t="s">
        <v>2542</v>
      </c>
      <c r="W430" t="s">
        <v>780</v>
      </c>
      <c r="X430" t="s">
        <v>793</v>
      </c>
      <c r="Z430" s="31"/>
      <c r="AA430">
        <v>1600</v>
      </c>
      <c r="AB430">
        <v>252471</v>
      </c>
      <c r="AC430">
        <v>20</v>
      </c>
      <c r="AD430" t="s">
        <v>44</v>
      </c>
      <c r="AE430" s="31">
        <v>46052</v>
      </c>
      <c r="AF430" s="61">
        <v>0.69487268518518519</v>
      </c>
      <c r="AH430" t="s">
        <v>782</v>
      </c>
      <c r="AI430" s="31"/>
      <c r="AJ430" s="61"/>
      <c r="AN430" t="s">
        <v>2889</v>
      </c>
      <c r="AO430" t="s">
        <v>44</v>
      </c>
      <c r="AP430" t="s">
        <v>2889</v>
      </c>
      <c r="AR430" s="31"/>
      <c r="AS430" t="s">
        <v>2119</v>
      </c>
      <c r="AX430">
        <v>1</v>
      </c>
    </row>
    <row r="431" spans="1:50" x14ac:dyDescent="0.25">
      <c r="A431" t="s">
        <v>44</v>
      </c>
      <c r="B431">
        <v>890</v>
      </c>
      <c r="D431">
        <v>3190</v>
      </c>
      <c r="E431" t="s">
        <v>3022</v>
      </c>
      <c r="G431" t="s">
        <v>3023</v>
      </c>
      <c r="H431">
        <v>747901000222</v>
      </c>
      <c r="J431" t="s">
        <v>3024</v>
      </c>
      <c r="K431" t="s">
        <v>3025</v>
      </c>
      <c r="M431" t="s">
        <v>3026</v>
      </c>
      <c r="P431" t="s">
        <v>778</v>
      </c>
      <c r="S431" t="s">
        <v>2541</v>
      </c>
      <c r="V431" t="s">
        <v>2542</v>
      </c>
      <c r="W431" t="s">
        <v>780</v>
      </c>
      <c r="X431" t="s">
        <v>857</v>
      </c>
      <c r="Z431" s="31">
        <v>46081</v>
      </c>
      <c r="AC431">
        <v>20</v>
      </c>
      <c r="AD431" t="s">
        <v>22</v>
      </c>
      <c r="AE431" s="31">
        <v>46052</v>
      </c>
      <c r="AF431" s="61">
        <v>0.70134259259259257</v>
      </c>
      <c r="AH431" t="s">
        <v>782</v>
      </c>
      <c r="AI431" s="31"/>
      <c r="AJ431" s="61"/>
      <c r="AO431" t="s">
        <v>44</v>
      </c>
      <c r="AR431" s="31">
        <v>46055</v>
      </c>
      <c r="AS431" t="s">
        <v>2119</v>
      </c>
      <c r="AX431">
        <v>1</v>
      </c>
    </row>
    <row r="432" spans="1:50" x14ac:dyDescent="0.25">
      <c r="A432" t="s">
        <v>31</v>
      </c>
      <c r="B432">
        <v>891</v>
      </c>
      <c r="D432">
        <v>3191</v>
      </c>
      <c r="E432" t="s">
        <v>3027</v>
      </c>
      <c r="G432" t="s">
        <v>3028</v>
      </c>
      <c r="J432" t="s">
        <v>3029</v>
      </c>
      <c r="K432" t="s">
        <v>3030</v>
      </c>
      <c r="M432" t="s">
        <v>3031</v>
      </c>
      <c r="P432" t="s">
        <v>778</v>
      </c>
      <c r="S432" t="s">
        <v>2541</v>
      </c>
      <c r="V432" t="s">
        <v>2542</v>
      </c>
      <c r="W432" t="s">
        <v>780</v>
      </c>
      <c r="X432" t="s">
        <v>897</v>
      </c>
      <c r="Z432" s="31">
        <v>46081</v>
      </c>
      <c r="AC432">
        <v>20</v>
      </c>
      <c r="AD432" t="s">
        <v>22</v>
      </c>
      <c r="AE432" s="31">
        <v>46052</v>
      </c>
      <c r="AF432" s="61">
        <v>0.70265046296296296</v>
      </c>
      <c r="AH432" t="s">
        <v>782</v>
      </c>
      <c r="AI432" s="31"/>
      <c r="AJ432" s="61"/>
      <c r="AO432" t="s">
        <v>31</v>
      </c>
      <c r="AR432" s="31">
        <v>46071</v>
      </c>
      <c r="AS432" t="s">
        <v>2119</v>
      </c>
      <c r="AX432">
        <v>1</v>
      </c>
    </row>
    <row r="433" spans="1:50" x14ac:dyDescent="0.25">
      <c r="A433" t="s">
        <v>44</v>
      </c>
      <c r="B433">
        <v>892</v>
      </c>
      <c r="D433">
        <v>3196</v>
      </c>
      <c r="E433" t="s">
        <v>3032</v>
      </c>
      <c r="G433" t="s">
        <v>397</v>
      </c>
      <c r="H433">
        <v>54888350000165</v>
      </c>
      <c r="J433" t="s">
        <v>3033</v>
      </c>
      <c r="K433" t="s">
        <v>3034</v>
      </c>
      <c r="M433" t="s">
        <v>3035</v>
      </c>
      <c r="P433" t="s">
        <v>778</v>
      </c>
      <c r="S433" t="s">
        <v>2541</v>
      </c>
      <c r="V433" t="s">
        <v>2542</v>
      </c>
      <c r="W433" t="s">
        <v>780</v>
      </c>
      <c r="X433" t="s">
        <v>897</v>
      </c>
      <c r="Z433" s="31">
        <v>46081</v>
      </c>
      <c r="AC433">
        <v>20</v>
      </c>
      <c r="AD433" t="s">
        <v>22</v>
      </c>
      <c r="AE433" s="31">
        <v>46052</v>
      </c>
      <c r="AF433" s="61">
        <v>0.70391203703703709</v>
      </c>
      <c r="AH433" t="s">
        <v>782</v>
      </c>
      <c r="AI433" s="31"/>
      <c r="AJ433" s="61"/>
      <c r="AO433" t="s">
        <v>44</v>
      </c>
      <c r="AR433" s="31">
        <v>46064</v>
      </c>
      <c r="AS433" t="s">
        <v>2119</v>
      </c>
      <c r="AX433">
        <v>1</v>
      </c>
    </row>
    <row r="434" spans="1:50" x14ac:dyDescent="0.25">
      <c r="A434" t="s">
        <v>22</v>
      </c>
      <c r="B434">
        <v>893</v>
      </c>
      <c r="D434">
        <v>3203</v>
      </c>
      <c r="E434" t="s">
        <v>3036</v>
      </c>
      <c r="G434" t="s">
        <v>3037</v>
      </c>
      <c r="H434">
        <v>10258712000169</v>
      </c>
      <c r="J434" t="s">
        <v>3038</v>
      </c>
      <c r="K434" t="s">
        <v>3039</v>
      </c>
      <c r="M434" t="s">
        <v>3040</v>
      </c>
      <c r="P434" t="s">
        <v>778</v>
      </c>
      <c r="Q434" t="s">
        <v>923</v>
      </c>
      <c r="S434" t="s">
        <v>814</v>
      </c>
      <c r="V434" t="s">
        <v>3041</v>
      </c>
      <c r="W434" t="s">
        <v>780</v>
      </c>
      <c r="X434" t="s">
        <v>793</v>
      </c>
      <c r="Z434" s="31">
        <v>46081</v>
      </c>
      <c r="AC434">
        <v>20</v>
      </c>
      <c r="AD434" t="s">
        <v>22</v>
      </c>
      <c r="AE434" s="31">
        <v>46052</v>
      </c>
      <c r="AF434" s="61">
        <v>0.7107175925925926</v>
      </c>
      <c r="AH434" t="s">
        <v>782</v>
      </c>
      <c r="AI434" s="31"/>
      <c r="AJ434" s="61"/>
      <c r="AO434" t="s">
        <v>22</v>
      </c>
      <c r="AR434" s="31"/>
      <c r="AS434" t="s">
        <v>2119</v>
      </c>
      <c r="AX434">
        <v>1</v>
      </c>
    </row>
    <row r="435" spans="1:50" x14ac:dyDescent="0.25">
      <c r="A435" t="s">
        <v>22</v>
      </c>
      <c r="B435">
        <v>894</v>
      </c>
      <c r="D435">
        <v>3204</v>
      </c>
      <c r="G435" t="s">
        <v>3042</v>
      </c>
      <c r="J435" t="s">
        <v>3043</v>
      </c>
      <c r="K435" t="s">
        <v>3044</v>
      </c>
      <c r="M435" t="s">
        <v>3045</v>
      </c>
      <c r="P435" t="s">
        <v>778</v>
      </c>
      <c r="S435" t="s">
        <v>2541</v>
      </c>
      <c r="V435" t="s">
        <v>2542</v>
      </c>
      <c r="W435" t="s">
        <v>780</v>
      </c>
      <c r="X435" t="s">
        <v>781</v>
      </c>
      <c r="Z435" s="31">
        <v>46081</v>
      </c>
      <c r="AC435">
        <v>20</v>
      </c>
      <c r="AD435" t="s">
        <v>22</v>
      </c>
      <c r="AE435" s="31">
        <v>46052</v>
      </c>
      <c r="AF435" s="61">
        <v>0.71299768518518514</v>
      </c>
      <c r="AH435" t="s">
        <v>782</v>
      </c>
      <c r="AI435" s="31"/>
      <c r="AJ435" s="61"/>
      <c r="AO435" t="s">
        <v>22</v>
      </c>
      <c r="AR435" s="31"/>
      <c r="AS435" t="s">
        <v>2119</v>
      </c>
      <c r="AX435">
        <v>1</v>
      </c>
    </row>
    <row r="436" spans="1:50" x14ac:dyDescent="0.25">
      <c r="A436" t="s">
        <v>31</v>
      </c>
      <c r="B436">
        <v>895</v>
      </c>
      <c r="D436">
        <v>3201</v>
      </c>
      <c r="F436" t="s">
        <v>3046</v>
      </c>
      <c r="G436" t="s">
        <v>3047</v>
      </c>
      <c r="H436">
        <v>28229707000193</v>
      </c>
      <c r="J436" t="s">
        <v>3046</v>
      </c>
      <c r="K436" t="s">
        <v>3048</v>
      </c>
      <c r="M436" t="s">
        <v>3049</v>
      </c>
      <c r="P436" t="s">
        <v>778</v>
      </c>
      <c r="Q436" t="s">
        <v>1837</v>
      </c>
      <c r="R436" t="s">
        <v>790</v>
      </c>
      <c r="S436" t="s">
        <v>805</v>
      </c>
      <c r="V436" t="s">
        <v>2859</v>
      </c>
      <c r="W436" t="s">
        <v>780</v>
      </c>
      <c r="X436" t="s">
        <v>857</v>
      </c>
      <c r="Z436" s="31"/>
      <c r="AC436">
        <v>17</v>
      </c>
      <c r="AD436" t="s">
        <v>31</v>
      </c>
      <c r="AE436" s="31">
        <v>46055</v>
      </c>
      <c r="AF436" s="61">
        <v>0.40783564814814821</v>
      </c>
      <c r="AH436" t="s">
        <v>782</v>
      </c>
      <c r="AI436" s="31"/>
      <c r="AJ436" s="61"/>
      <c r="AO436" t="s">
        <v>31</v>
      </c>
      <c r="AP436" t="s">
        <v>403</v>
      </c>
      <c r="AR436" s="31">
        <v>46070</v>
      </c>
      <c r="AS436" t="s">
        <v>2119</v>
      </c>
      <c r="AU436" t="s">
        <v>3050</v>
      </c>
      <c r="AX436">
        <v>1</v>
      </c>
    </row>
    <row r="437" spans="1:50" x14ac:dyDescent="0.25">
      <c r="A437" t="s">
        <v>31</v>
      </c>
      <c r="B437">
        <v>901</v>
      </c>
      <c r="D437">
        <v>3218</v>
      </c>
      <c r="E437" t="s">
        <v>3051</v>
      </c>
      <c r="G437" t="s">
        <v>3052</v>
      </c>
      <c r="J437" t="s">
        <v>3053</v>
      </c>
      <c r="K437" t="s">
        <v>3054</v>
      </c>
      <c r="M437" t="s">
        <v>3055</v>
      </c>
      <c r="P437" t="s">
        <v>778</v>
      </c>
      <c r="S437" t="s">
        <v>2541</v>
      </c>
      <c r="V437" t="s">
        <v>2632</v>
      </c>
      <c r="W437" t="s">
        <v>780</v>
      </c>
      <c r="X437" t="s">
        <v>897</v>
      </c>
      <c r="Z437" s="31">
        <v>46081</v>
      </c>
      <c r="AC437">
        <v>2</v>
      </c>
      <c r="AD437" t="s">
        <v>22</v>
      </c>
      <c r="AE437" s="31">
        <v>46058</v>
      </c>
      <c r="AF437" s="61">
        <v>0.35667824074074073</v>
      </c>
      <c r="AH437" t="s">
        <v>795</v>
      </c>
      <c r="AI437" s="31">
        <v>46060</v>
      </c>
      <c r="AJ437" s="61">
        <v>0.89652777777777781</v>
      </c>
      <c r="AK437" t="s">
        <v>1226</v>
      </c>
      <c r="AO437" t="s">
        <v>31</v>
      </c>
      <c r="AR437" s="31"/>
      <c r="AS437" t="s">
        <v>2119</v>
      </c>
      <c r="AX437">
        <v>1</v>
      </c>
    </row>
    <row r="438" spans="1:50" x14ac:dyDescent="0.25">
      <c r="A438" t="s">
        <v>44</v>
      </c>
      <c r="B438">
        <v>902</v>
      </c>
      <c r="D438">
        <v>3211</v>
      </c>
      <c r="G438" t="s">
        <v>3056</v>
      </c>
      <c r="H438">
        <v>7324070000144</v>
      </c>
      <c r="J438" t="s">
        <v>3057</v>
      </c>
      <c r="K438" t="s">
        <v>3058</v>
      </c>
      <c r="M438" t="s">
        <v>3059</v>
      </c>
      <c r="P438" t="s">
        <v>778</v>
      </c>
      <c r="Q438" t="s">
        <v>2812</v>
      </c>
      <c r="R438" t="s">
        <v>1067</v>
      </c>
      <c r="S438" t="s">
        <v>2541</v>
      </c>
      <c r="V438" t="s">
        <v>2542</v>
      </c>
      <c r="W438" t="s">
        <v>780</v>
      </c>
      <c r="X438" t="s">
        <v>897</v>
      </c>
      <c r="Z438" s="31">
        <v>46081</v>
      </c>
      <c r="AC438">
        <v>14</v>
      </c>
      <c r="AD438" t="s">
        <v>22</v>
      </c>
      <c r="AE438" s="31">
        <v>46058</v>
      </c>
      <c r="AF438" s="61">
        <v>0.35793981481481479</v>
      </c>
      <c r="AH438" t="s">
        <v>782</v>
      </c>
      <c r="AI438" s="31"/>
      <c r="AJ438" s="61"/>
      <c r="AO438" t="s">
        <v>44</v>
      </c>
      <c r="AR438" s="31">
        <v>46058</v>
      </c>
      <c r="AS438" t="s">
        <v>2119</v>
      </c>
      <c r="AX438">
        <v>1</v>
      </c>
    </row>
    <row r="439" spans="1:50" x14ac:dyDescent="0.25">
      <c r="A439" t="s">
        <v>22</v>
      </c>
      <c r="B439">
        <v>903</v>
      </c>
      <c r="D439">
        <v>3217</v>
      </c>
      <c r="E439" t="s">
        <v>3060</v>
      </c>
      <c r="G439" t="s">
        <v>3061</v>
      </c>
      <c r="J439" t="s">
        <v>3062</v>
      </c>
      <c r="K439" t="s">
        <v>3063</v>
      </c>
      <c r="M439" t="s">
        <v>3064</v>
      </c>
      <c r="P439" t="s">
        <v>778</v>
      </c>
      <c r="S439" t="s">
        <v>2541</v>
      </c>
      <c r="V439" t="s">
        <v>2542</v>
      </c>
      <c r="W439" t="s">
        <v>780</v>
      </c>
      <c r="X439" t="s">
        <v>897</v>
      </c>
      <c r="Z439" s="31">
        <v>46081</v>
      </c>
      <c r="AC439">
        <v>12</v>
      </c>
      <c r="AD439" t="s">
        <v>22</v>
      </c>
      <c r="AE439" s="31">
        <v>46058</v>
      </c>
      <c r="AF439" s="61">
        <v>0.36140046296296302</v>
      </c>
      <c r="AH439" t="s">
        <v>795</v>
      </c>
      <c r="AI439" s="31">
        <v>46070</v>
      </c>
      <c r="AJ439" s="61">
        <v>0.49578703703703703</v>
      </c>
      <c r="AK439" t="s">
        <v>796</v>
      </c>
      <c r="AO439" t="s">
        <v>22</v>
      </c>
      <c r="AR439" s="31"/>
      <c r="AS439" t="s">
        <v>2119</v>
      </c>
      <c r="AX439">
        <v>1</v>
      </c>
    </row>
    <row r="440" spans="1:50" x14ac:dyDescent="0.25">
      <c r="A440" t="s">
        <v>22</v>
      </c>
      <c r="B440">
        <v>906</v>
      </c>
      <c r="D440">
        <v>3226</v>
      </c>
      <c r="G440" t="s">
        <v>3065</v>
      </c>
      <c r="J440" t="s">
        <v>3066</v>
      </c>
      <c r="K440" t="s">
        <v>3067</v>
      </c>
      <c r="M440" t="s">
        <v>3068</v>
      </c>
      <c r="P440" t="s">
        <v>778</v>
      </c>
      <c r="S440" t="s">
        <v>2541</v>
      </c>
      <c r="V440" t="s">
        <v>2542</v>
      </c>
      <c r="W440" t="s">
        <v>780</v>
      </c>
      <c r="X440" t="s">
        <v>857</v>
      </c>
      <c r="Z440" s="31">
        <v>46081</v>
      </c>
      <c r="AC440">
        <v>12</v>
      </c>
      <c r="AD440" t="s">
        <v>22</v>
      </c>
      <c r="AE440" s="31">
        <v>46060</v>
      </c>
      <c r="AF440" s="61">
        <v>0.29451388888888891</v>
      </c>
      <c r="AH440" t="s">
        <v>782</v>
      </c>
      <c r="AI440" s="31"/>
      <c r="AJ440" s="61"/>
      <c r="AO440" t="s">
        <v>22</v>
      </c>
      <c r="AR440" s="31"/>
      <c r="AS440" t="s">
        <v>2119</v>
      </c>
      <c r="AU440" t="s">
        <v>321</v>
      </c>
      <c r="AX440">
        <v>1</v>
      </c>
    </row>
    <row r="441" spans="1:50" x14ac:dyDescent="0.25">
      <c r="A441" t="s">
        <v>22</v>
      </c>
      <c r="B441">
        <v>907</v>
      </c>
      <c r="D441">
        <v>3222</v>
      </c>
      <c r="E441" t="s">
        <v>3069</v>
      </c>
      <c r="G441" t="s">
        <v>3070</v>
      </c>
      <c r="J441" t="s">
        <v>3071</v>
      </c>
      <c r="K441" t="s">
        <v>3072</v>
      </c>
      <c r="M441" t="s">
        <v>3073</v>
      </c>
      <c r="P441" t="s">
        <v>778</v>
      </c>
      <c r="Q441" t="s">
        <v>923</v>
      </c>
      <c r="S441" t="s">
        <v>814</v>
      </c>
      <c r="V441" t="s">
        <v>2391</v>
      </c>
      <c r="W441" t="s">
        <v>780</v>
      </c>
      <c r="X441" t="s">
        <v>857</v>
      </c>
      <c r="Z441" s="31">
        <v>46081</v>
      </c>
      <c r="AC441">
        <v>6</v>
      </c>
      <c r="AD441" t="s">
        <v>22</v>
      </c>
      <c r="AE441" s="31">
        <v>46060</v>
      </c>
      <c r="AF441" s="61">
        <v>0.30134259259259261</v>
      </c>
      <c r="AH441" t="s">
        <v>782</v>
      </c>
      <c r="AI441" s="31">
        <v>46066</v>
      </c>
      <c r="AJ441" s="61">
        <v>0.72048611111111116</v>
      </c>
      <c r="AL441" t="s">
        <v>1058</v>
      </c>
      <c r="AO441" t="s">
        <v>22</v>
      </c>
      <c r="AP441" t="s">
        <v>405</v>
      </c>
      <c r="AR441" s="31"/>
      <c r="AS441" t="s">
        <v>2119</v>
      </c>
      <c r="AX441">
        <v>1</v>
      </c>
    </row>
    <row r="442" spans="1:50" x14ac:dyDescent="0.25">
      <c r="A442" t="s">
        <v>22</v>
      </c>
      <c r="B442">
        <v>908</v>
      </c>
      <c r="D442">
        <v>3228</v>
      </c>
      <c r="E442" t="s">
        <v>3074</v>
      </c>
      <c r="G442" t="s">
        <v>445</v>
      </c>
      <c r="J442" t="s">
        <v>3075</v>
      </c>
      <c r="K442" t="s">
        <v>3076</v>
      </c>
      <c r="M442" t="s">
        <v>1111</v>
      </c>
      <c r="P442" t="s">
        <v>778</v>
      </c>
      <c r="S442" t="s">
        <v>933</v>
      </c>
      <c r="V442" t="s">
        <v>1419</v>
      </c>
      <c r="W442" t="s">
        <v>780</v>
      </c>
      <c r="X442" t="s">
        <v>807</v>
      </c>
      <c r="Z442" s="31">
        <v>46081</v>
      </c>
      <c r="AA442">
        <v>895029</v>
      </c>
      <c r="AB442">
        <v>128835</v>
      </c>
      <c r="AC442">
        <v>12</v>
      </c>
      <c r="AD442" t="s">
        <v>22</v>
      </c>
      <c r="AE442" s="31">
        <v>46060</v>
      </c>
      <c r="AF442" s="61">
        <v>0.41621527777777778</v>
      </c>
      <c r="AH442" t="s">
        <v>782</v>
      </c>
      <c r="AI442" s="31"/>
      <c r="AJ442" s="61"/>
      <c r="AN442" t="s">
        <v>384</v>
      </c>
      <c r="AO442" t="s">
        <v>22</v>
      </c>
      <c r="AP442" t="s">
        <v>384</v>
      </c>
      <c r="AR442" s="31"/>
      <c r="AS442" t="s">
        <v>1423</v>
      </c>
      <c r="AT442" t="s">
        <v>2912</v>
      </c>
      <c r="AU442" t="s">
        <v>2913</v>
      </c>
      <c r="AV442" t="s">
        <v>3077</v>
      </c>
      <c r="AW442" t="s">
        <v>3078</v>
      </c>
      <c r="AX442">
        <v>1</v>
      </c>
    </row>
    <row r="443" spans="1:50" x14ac:dyDescent="0.25">
      <c r="A443" t="s">
        <v>22</v>
      </c>
      <c r="B443">
        <v>909</v>
      </c>
      <c r="D443">
        <v>3229</v>
      </c>
      <c r="E443" t="s">
        <v>3079</v>
      </c>
      <c r="G443" t="s">
        <v>451</v>
      </c>
      <c r="J443" t="s">
        <v>3080</v>
      </c>
      <c r="K443" t="s">
        <v>3081</v>
      </c>
      <c r="M443" t="s">
        <v>1111</v>
      </c>
      <c r="P443" t="s">
        <v>778</v>
      </c>
      <c r="V443" t="s">
        <v>1419</v>
      </c>
      <c r="W443" t="s">
        <v>780</v>
      </c>
      <c r="X443" t="s">
        <v>807</v>
      </c>
      <c r="Z443" s="31">
        <v>46081</v>
      </c>
      <c r="AA443">
        <v>655029</v>
      </c>
      <c r="AB443">
        <v>1134384</v>
      </c>
      <c r="AC443">
        <v>12</v>
      </c>
      <c r="AD443" t="s">
        <v>22</v>
      </c>
      <c r="AE443" s="31">
        <v>46060</v>
      </c>
      <c r="AF443" s="61">
        <v>0.41700231481481481</v>
      </c>
      <c r="AH443" t="s">
        <v>782</v>
      </c>
      <c r="AI443" s="31"/>
      <c r="AJ443" s="61"/>
      <c r="AN443" t="s">
        <v>452</v>
      </c>
      <c r="AO443" t="s">
        <v>22</v>
      </c>
      <c r="AP443" t="s">
        <v>452</v>
      </c>
      <c r="AR443" s="31"/>
      <c r="AS443" t="s">
        <v>1423</v>
      </c>
      <c r="AT443" t="s">
        <v>3082</v>
      </c>
      <c r="AU443" t="s">
        <v>2913</v>
      </c>
      <c r="AV443" t="s">
        <v>2914</v>
      </c>
      <c r="AW443" t="s">
        <v>3083</v>
      </c>
      <c r="AX443">
        <v>1</v>
      </c>
    </row>
    <row r="444" spans="1:50" x14ac:dyDescent="0.25">
      <c r="A444" t="s">
        <v>44</v>
      </c>
      <c r="B444">
        <v>912</v>
      </c>
      <c r="D444">
        <v>3248</v>
      </c>
      <c r="E444" t="s">
        <v>3084</v>
      </c>
      <c r="F444" t="s">
        <v>3085</v>
      </c>
      <c r="G444" t="s">
        <v>3086</v>
      </c>
      <c r="H444">
        <v>12391174000101</v>
      </c>
      <c r="J444" t="s">
        <v>3085</v>
      </c>
      <c r="K444" t="s">
        <v>3087</v>
      </c>
      <c r="M444" t="s">
        <v>3088</v>
      </c>
      <c r="P444" t="s">
        <v>778</v>
      </c>
      <c r="Q444" t="s">
        <v>3089</v>
      </c>
      <c r="R444" t="s">
        <v>932</v>
      </c>
      <c r="S444" t="s">
        <v>805</v>
      </c>
      <c r="W444" t="s">
        <v>780</v>
      </c>
      <c r="X444" t="s">
        <v>857</v>
      </c>
      <c r="Z444" s="31"/>
      <c r="AC444">
        <v>8</v>
      </c>
      <c r="AD444" t="s">
        <v>44</v>
      </c>
      <c r="AE444" s="31">
        <v>46064</v>
      </c>
      <c r="AF444" s="61">
        <v>0.41652777777777777</v>
      </c>
      <c r="AH444" t="s">
        <v>782</v>
      </c>
      <c r="AI444" s="31"/>
      <c r="AJ444" s="61"/>
      <c r="AP444" t="s">
        <v>393</v>
      </c>
      <c r="AR444" s="31"/>
      <c r="AS444" t="s">
        <v>1423</v>
      </c>
      <c r="AX444">
        <v>1</v>
      </c>
    </row>
    <row r="445" spans="1:50" x14ac:dyDescent="0.25">
      <c r="A445" t="s">
        <v>44</v>
      </c>
      <c r="B445">
        <v>915</v>
      </c>
      <c r="D445">
        <v>3253</v>
      </c>
      <c r="E445" t="s">
        <v>3090</v>
      </c>
      <c r="G445" t="s">
        <v>402</v>
      </c>
      <c r="J445" t="s">
        <v>3091</v>
      </c>
      <c r="K445" t="s">
        <v>1325</v>
      </c>
      <c r="M445" t="s">
        <v>1326</v>
      </c>
      <c r="P445" t="s">
        <v>778</v>
      </c>
      <c r="V445" t="s">
        <v>1718</v>
      </c>
      <c r="W445" t="s">
        <v>780</v>
      </c>
      <c r="X445" t="s">
        <v>793</v>
      </c>
      <c r="Z445" s="31">
        <v>46142</v>
      </c>
      <c r="AA445">
        <v>10240</v>
      </c>
      <c r="AB445">
        <v>2000</v>
      </c>
      <c r="AC445">
        <v>8</v>
      </c>
      <c r="AD445" t="s">
        <v>44</v>
      </c>
      <c r="AE445" s="31">
        <v>46064</v>
      </c>
      <c r="AF445" s="61">
        <v>0.43546296296296289</v>
      </c>
      <c r="AH445" t="s">
        <v>782</v>
      </c>
      <c r="AI445" s="31"/>
      <c r="AJ445" s="61"/>
      <c r="AN445" t="s">
        <v>403</v>
      </c>
      <c r="AP445" t="s">
        <v>403</v>
      </c>
      <c r="AR445" s="31"/>
      <c r="AS445" t="s">
        <v>2119</v>
      </c>
      <c r="AX445">
        <v>1</v>
      </c>
    </row>
    <row r="446" spans="1:50" x14ac:dyDescent="0.25">
      <c r="A446" t="s">
        <v>22</v>
      </c>
      <c r="B446">
        <v>919</v>
      </c>
      <c r="D446">
        <v>3227</v>
      </c>
      <c r="G446" t="s">
        <v>459</v>
      </c>
      <c r="J446" t="s">
        <v>3092</v>
      </c>
      <c r="K446" t="s">
        <v>3093</v>
      </c>
      <c r="M446" t="s">
        <v>3094</v>
      </c>
      <c r="P446" t="s">
        <v>778</v>
      </c>
      <c r="S446" t="s">
        <v>2541</v>
      </c>
      <c r="V446" t="s">
        <v>2791</v>
      </c>
      <c r="W446" t="s">
        <v>780</v>
      </c>
      <c r="X446" t="s">
        <v>781</v>
      </c>
      <c r="Z446" s="31"/>
      <c r="AC446">
        <v>8</v>
      </c>
      <c r="AD446" t="s">
        <v>22</v>
      </c>
      <c r="AE446" s="31">
        <v>46064</v>
      </c>
      <c r="AF446" s="61">
        <v>0.4732986111111111</v>
      </c>
      <c r="AH446" t="s">
        <v>782</v>
      </c>
      <c r="AI446" s="31"/>
      <c r="AJ446" s="61"/>
      <c r="AR446" s="31"/>
      <c r="AS446" t="s">
        <v>2119</v>
      </c>
      <c r="AX446">
        <v>1</v>
      </c>
    </row>
    <row r="447" spans="1:50" x14ac:dyDescent="0.25">
      <c r="A447" t="s">
        <v>31</v>
      </c>
      <c r="B447">
        <v>920</v>
      </c>
      <c r="D447">
        <v>3230</v>
      </c>
      <c r="E447" t="s">
        <v>3095</v>
      </c>
      <c r="G447" t="s">
        <v>379</v>
      </c>
      <c r="J447" t="s">
        <v>3096</v>
      </c>
      <c r="K447" t="s">
        <v>3097</v>
      </c>
      <c r="M447" t="s">
        <v>3098</v>
      </c>
      <c r="P447" t="s">
        <v>778</v>
      </c>
      <c r="S447" t="s">
        <v>2541</v>
      </c>
      <c r="V447" t="s">
        <v>2791</v>
      </c>
      <c r="W447" t="s">
        <v>780</v>
      </c>
      <c r="X447" t="s">
        <v>897</v>
      </c>
      <c r="Z447" s="31"/>
      <c r="AC447">
        <v>8</v>
      </c>
      <c r="AD447" t="s">
        <v>22</v>
      </c>
      <c r="AE447" s="31">
        <v>46064</v>
      </c>
      <c r="AF447" s="61">
        <v>0.47391203703703699</v>
      </c>
      <c r="AH447" t="s">
        <v>782</v>
      </c>
      <c r="AI447" s="31"/>
      <c r="AJ447" s="61"/>
      <c r="AO447" t="s">
        <v>31</v>
      </c>
      <c r="AR447" s="31">
        <v>46071</v>
      </c>
      <c r="AS447" t="s">
        <v>2119</v>
      </c>
      <c r="AX447">
        <v>1</v>
      </c>
    </row>
    <row r="448" spans="1:50" x14ac:dyDescent="0.25">
      <c r="A448" t="s">
        <v>22</v>
      </c>
      <c r="B448">
        <v>921</v>
      </c>
      <c r="D448">
        <v>3231</v>
      </c>
      <c r="G448" t="s">
        <v>3099</v>
      </c>
      <c r="J448" t="s">
        <v>3100</v>
      </c>
      <c r="K448" t="s">
        <v>3101</v>
      </c>
      <c r="M448" t="s">
        <v>3102</v>
      </c>
      <c r="P448" t="s">
        <v>778</v>
      </c>
      <c r="S448" t="s">
        <v>2541</v>
      </c>
      <c r="V448" t="s">
        <v>2559</v>
      </c>
      <c r="W448" t="s">
        <v>780</v>
      </c>
      <c r="X448" t="s">
        <v>781</v>
      </c>
      <c r="Z448" s="31"/>
      <c r="AC448">
        <v>8</v>
      </c>
      <c r="AD448" t="s">
        <v>22</v>
      </c>
      <c r="AE448" s="31">
        <v>46064</v>
      </c>
      <c r="AF448" s="61">
        <v>0.47487268518518522</v>
      </c>
      <c r="AH448" t="s">
        <v>782</v>
      </c>
      <c r="AI448" s="31"/>
      <c r="AJ448" s="61"/>
      <c r="AO448" t="s">
        <v>22</v>
      </c>
      <c r="AR448" s="31"/>
      <c r="AS448" t="s">
        <v>2119</v>
      </c>
      <c r="AX448">
        <v>1</v>
      </c>
    </row>
    <row r="449" spans="1:50" x14ac:dyDescent="0.25">
      <c r="A449" t="s">
        <v>22</v>
      </c>
      <c r="B449">
        <v>922</v>
      </c>
      <c r="D449">
        <v>3232</v>
      </c>
      <c r="G449" t="s">
        <v>3103</v>
      </c>
      <c r="J449" t="s">
        <v>3104</v>
      </c>
      <c r="K449" t="s">
        <v>3105</v>
      </c>
      <c r="M449" t="s">
        <v>3106</v>
      </c>
      <c r="P449" t="s">
        <v>778</v>
      </c>
      <c r="S449" t="s">
        <v>2541</v>
      </c>
      <c r="V449" t="s">
        <v>2791</v>
      </c>
      <c r="W449" t="s">
        <v>780</v>
      </c>
      <c r="X449" t="s">
        <v>857</v>
      </c>
      <c r="Z449" s="31"/>
      <c r="AC449">
        <v>8</v>
      </c>
      <c r="AD449" t="s">
        <v>22</v>
      </c>
      <c r="AE449" s="31">
        <v>46064</v>
      </c>
      <c r="AF449" s="61">
        <v>0.47547453703703701</v>
      </c>
      <c r="AH449" t="s">
        <v>782</v>
      </c>
      <c r="AI449" s="31"/>
      <c r="AJ449" s="61"/>
      <c r="AO449" t="s">
        <v>22</v>
      </c>
      <c r="AR449" s="31"/>
      <c r="AS449" t="s">
        <v>2119</v>
      </c>
      <c r="AX449">
        <v>1</v>
      </c>
    </row>
    <row r="450" spans="1:50" x14ac:dyDescent="0.25">
      <c r="A450" t="s">
        <v>31</v>
      </c>
      <c r="B450">
        <v>923</v>
      </c>
      <c r="D450">
        <v>3236</v>
      </c>
      <c r="G450" t="s">
        <v>3107</v>
      </c>
      <c r="J450" t="s">
        <v>3108</v>
      </c>
      <c r="K450" t="s">
        <v>3109</v>
      </c>
      <c r="M450" t="s">
        <v>3110</v>
      </c>
      <c r="P450" t="s">
        <v>778</v>
      </c>
      <c r="S450" t="s">
        <v>2541</v>
      </c>
      <c r="V450" t="s">
        <v>2791</v>
      </c>
      <c r="W450" t="s">
        <v>780</v>
      </c>
      <c r="X450" t="s">
        <v>781</v>
      </c>
      <c r="Z450" s="31"/>
      <c r="AC450">
        <v>8</v>
      </c>
      <c r="AD450" t="s">
        <v>22</v>
      </c>
      <c r="AE450" s="31">
        <v>46064</v>
      </c>
      <c r="AF450" s="61">
        <v>0.47722222222222221</v>
      </c>
      <c r="AH450" t="s">
        <v>782</v>
      </c>
      <c r="AI450" s="31"/>
      <c r="AJ450" s="61"/>
      <c r="AO450" t="s">
        <v>31</v>
      </c>
      <c r="AR450" s="31">
        <v>46070</v>
      </c>
      <c r="AS450" t="s">
        <v>2119</v>
      </c>
      <c r="AX450">
        <v>1</v>
      </c>
    </row>
    <row r="451" spans="1:50" x14ac:dyDescent="0.25">
      <c r="A451" t="s">
        <v>44</v>
      </c>
      <c r="B451">
        <v>924</v>
      </c>
      <c r="D451">
        <v>3238</v>
      </c>
      <c r="E451" t="s">
        <v>3111</v>
      </c>
      <c r="G451" t="s">
        <v>3112</v>
      </c>
      <c r="J451" t="s">
        <v>3112</v>
      </c>
      <c r="K451" t="s">
        <v>3113</v>
      </c>
      <c r="M451" t="s">
        <v>3114</v>
      </c>
      <c r="P451" t="s">
        <v>778</v>
      </c>
      <c r="S451" t="s">
        <v>2541</v>
      </c>
      <c r="V451" t="s">
        <v>3115</v>
      </c>
      <c r="W451" t="s">
        <v>780</v>
      </c>
      <c r="X451" t="s">
        <v>897</v>
      </c>
      <c r="Z451" s="31"/>
      <c r="AC451">
        <v>8</v>
      </c>
      <c r="AD451" t="s">
        <v>22</v>
      </c>
      <c r="AE451" s="31">
        <v>46064</v>
      </c>
      <c r="AF451" s="61">
        <v>0.47901620370370368</v>
      </c>
      <c r="AH451" t="s">
        <v>782</v>
      </c>
      <c r="AI451" s="31"/>
      <c r="AJ451" s="61"/>
      <c r="AR451" s="31"/>
      <c r="AS451" t="s">
        <v>2119</v>
      </c>
      <c r="AX451">
        <v>1</v>
      </c>
    </row>
    <row r="452" spans="1:50" x14ac:dyDescent="0.25">
      <c r="A452" t="s">
        <v>44</v>
      </c>
      <c r="B452">
        <v>925</v>
      </c>
      <c r="D452">
        <v>3244</v>
      </c>
      <c r="E452" t="s">
        <v>3116</v>
      </c>
      <c r="G452" t="s">
        <v>412</v>
      </c>
      <c r="H452">
        <v>32534969000139</v>
      </c>
      <c r="J452" t="s">
        <v>3117</v>
      </c>
      <c r="K452" t="s">
        <v>3118</v>
      </c>
      <c r="M452" t="s">
        <v>3119</v>
      </c>
      <c r="P452" t="s">
        <v>778</v>
      </c>
      <c r="R452" t="s">
        <v>3120</v>
      </c>
      <c r="S452" t="s">
        <v>1191</v>
      </c>
      <c r="V452" t="s">
        <v>3115</v>
      </c>
      <c r="W452" t="s">
        <v>780</v>
      </c>
      <c r="X452" t="s">
        <v>897</v>
      </c>
      <c r="Z452" s="31"/>
      <c r="AC452">
        <v>8</v>
      </c>
      <c r="AD452" t="s">
        <v>22</v>
      </c>
      <c r="AE452" s="31">
        <v>46064</v>
      </c>
      <c r="AF452" s="61">
        <v>0.47952546296296289</v>
      </c>
      <c r="AH452" t="s">
        <v>782</v>
      </c>
      <c r="AI452" s="31"/>
      <c r="AJ452" s="61"/>
      <c r="AR452" s="31"/>
      <c r="AS452" t="s">
        <v>2119</v>
      </c>
      <c r="AX452">
        <v>1</v>
      </c>
    </row>
    <row r="453" spans="1:50" x14ac:dyDescent="0.25">
      <c r="A453" t="s">
        <v>44</v>
      </c>
      <c r="B453">
        <v>926</v>
      </c>
      <c r="D453">
        <v>3237</v>
      </c>
      <c r="E453" t="s">
        <v>3121</v>
      </c>
      <c r="G453" t="s">
        <v>3122</v>
      </c>
      <c r="J453" t="s">
        <v>3123</v>
      </c>
      <c r="K453" t="s">
        <v>3124</v>
      </c>
      <c r="M453" t="s">
        <v>3125</v>
      </c>
      <c r="P453" t="s">
        <v>778</v>
      </c>
      <c r="S453" t="s">
        <v>2541</v>
      </c>
      <c r="V453" t="s">
        <v>3115</v>
      </c>
      <c r="W453" t="s">
        <v>780</v>
      </c>
      <c r="X453" t="s">
        <v>897</v>
      </c>
      <c r="Z453" s="31"/>
      <c r="AC453">
        <v>8</v>
      </c>
      <c r="AD453" t="s">
        <v>22</v>
      </c>
      <c r="AE453" s="31">
        <v>46064</v>
      </c>
      <c r="AF453" s="61">
        <v>0.48769675925925932</v>
      </c>
      <c r="AH453" t="s">
        <v>782</v>
      </c>
      <c r="AI453" s="31"/>
      <c r="AJ453" s="61"/>
      <c r="AR453" s="31"/>
      <c r="AS453" t="s">
        <v>2119</v>
      </c>
      <c r="AX453">
        <v>1</v>
      </c>
    </row>
    <row r="454" spans="1:50" x14ac:dyDescent="0.25">
      <c r="A454" t="s">
        <v>31</v>
      </c>
      <c r="B454">
        <v>927</v>
      </c>
      <c r="D454">
        <v>3239</v>
      </c>
      <c r="E454" t="s">
        <v>3126</v>
      </c>
      <c r="G454" t="s">
        <v>3127</v>
      </c>
      <c r="J454" t="s">
        <v>3128</v>
      </c>
      <c r="K454" t="s">
        <v>3129</v>
      </c>
      <c r="M454" t="s">
        <v>3130</v>
      </c>
      <c r="P454" t="s">
        <v>778</v>
      </c>
      <c r="S454" t="s">
        <v>2541</v>
      </c>
      <c r="V454" t="s">
        <v>2559</v>
      </c>
      <c r="W454" t="s">
        <v>780</v>
      </c>
      <c r="X454" t="s">
        <v>781</v>
      </c>
      <c r="Z454" s="31"/>
      <c r="AC454">
        <v>2</v>
      </c>
      <c r="AD454" t="s">
        <v>22</v>
      </c>
      <c r="AE454" s="31">
        <v>46064</v>
      </c>
      <c r="AF454" s="61">
        <v>0.48925925925925928</v>
      </c>
      <c r="AH454" t="s">
        <v>795</v>
      </c>
      <c r="AI454" s="31">
        <v>46066</v>
      </c>
      <c r="AJ454" s="61">
        <v>0.72755787037037034</v>
      </c>
      <c r="AK454" t="s">
        <v>1226</v>
      </c>
      <c r="AO454" t="s">
        <v>31</v>
      </c>
      <c r="AR454" s="31">
        <v>46066</v>
      </c>
      <c r="AS454" t="s">
        <v>2119</v>
      </c>
      <c r="AX454">
        <v>1</v>
      </c>
    </row>
    <row r="455" spans="1:50" x14ac:dyDescent="0.25">
      <c r="A455" t="s">
        <v>44</v>
      </c>
      <c r="B455">
        <v>928</v>
      </c>
      <c r="D455">
        <v>3242</v>
      </c>
      <c r="E455" t="s">
        <v>3131</v>
      </c>
      <c r="G455" t="s">
        <v>2809</v>
      </c>
      <c r="H455">
        <v>9205460000120</v>
      </c>
      <c r="J455" t="s">
        <v>2810</v>
      </c>
      <c r="K455" t="s">
        <v>2811</v>
      </c>
      <c r="P455" t="s">
        <v>778</v>
      </c>
      <c r="Q455" t="s">
        <v>2812</v>
      </c>
      <c r="R455" t="s">
        <v>1067</v>
      </c>
      <c r="S455" t="s">
        <v>1191</v>
      </c>
      <c r="V455" t="s">
        <v>2791</v>
      </c>
      <c r="W455" t="s">
        <v>780</v>
      </c>
      <c r="X455" t="s">
        <v>897</v>
      </c>
      <c r="Z455" s="31"/>
      <c r="AC455">
        <v>8</v>
      </c>
      <c r="AD455" t="s">
        <v>22</v>
      </c>
      <c r="AE455" s="31">
        <v>46064</v>
      </c>
      <c r="AF455" s="61">
        <v>0.49402777777777779</v>
      </c>
      <c r="AH455" t="s">
        <v>782</v>
      </c>
      <c r="AI455" s="31"/>
      <c r="AJ455" s="61"/>
      <c r="AR455" s="31">
        <v>46071</v>
      </c>
      <c r="AS455" t="s">
        <v>2119</v>
      </c>
      <c r="AX455">
        <v>1</v>
      </c>
    </row>
    <row r="456" spans="1:50" x14ac:dyDescent="0.25">
      <c r="A456" t="s">
        <v>44</v>
      </c>
      <c r="B456">
        <v>929</v>
      </c>
      <c r="D456">
        <v>3235</v>
      </c>
      <c r="G456" t="s">
        <v>3132</v>
      </c>
      <c r="J456" t="s">
        <v>3133</v>
      </c>
      <c r="K456" t="s">
        <v>3134</v>
      </c>
      <c r="M456" t="s">
        <v>3135</v>
      </c>
      <c r="P456" t="s">
        <v>778</v>
      </c>
      <c r="Q456" t="s">
        <v>1765</v>
      </c>
      <c r="S456" t="s">
        <v>814</v>
      </c>
      <c r="V456" t="s">
        <v>1186</v>
      </c>
      <c r="W456" t="s">
        <v>780</v>
      </c>
      <c r="X456" t="s">
        <v>857</v>
      </c>
      <c r="Z456" s="31"/>
      <c r="AC456">
        <v>8</v>
      </c>
      <c r="AD456" t="s">
        <v>22</v>
      </c>
      <c r="AE456" s="31">
        <v>46064</v>
      </c>
      <c r="AF456" s="61">
        <v>0.49530092592592601</v>
      </c>
      <c r="AH456" t="s">
        <v>782</v>
      </c>
      <c r="AI456" s="31"/>
      <c r="AJ456" s="61"/>
      <c r="AP456" t="s">
        <v>420</v>
      </c>
      <c r="AR456" s="31"/>
      <c r="AS456" t="s">
        <v>2119</v>
      </c>
      <c r="AX456">
        <v>1</v>
      </c>
    </row>
    <row r="457" spans="1:50" x14ac:dyDescent="0.25">
      <c r="A457" t="s">
        <v>31</v>
      </c>
      <c r="B457">
        <v>930</v>
      </c>
      <c r="D457">
        <v>3243</v>
      </c>
      <c r="E457" t="s">
        <v>3136</v>
      </c>
      <c r="G457" t="s">
        <v>3137</v>
      </c>
      <c r="H457">
        <v>14590342000113</v>
      </c>
      <c r="J457" t="s">
        <v>3138</v>
      </c>
      <c r="K457" t="s">
        <v>3139</v>
      </c>
      <c r="M457" t="s">
        <v>3140</v>
      </c>
      <c r="P457" t="s">
        <v>778</v>
      </c>
      <c r="Q457" t="s">
        <v>3141</v>
      </c>
      <c r="S457" t="s">
        <v>814</v>
      </c>
      <c r="V457" t="s">
        <v>2842</v>
      </c>
      <c r="W457" t="s">
        <v>780</v>
      </c>
      <c r="X457" t="s">
        <v>793</v>
      </c>
      <c r="Z457" s="31"/>
      <c r="AC457">
        <v>8</v>
      </c>
      <c r="AD457" t="s">
        <v>22</v>
      </c>
      <c r="AE457" s="31">
        <v>46064</v>
      </c>
      <c r="AF457" s="61">
        <v>0.49583333333333329</v>
      </c>
      <c r="AH457" t="s">
        <v>782</v>
      </c>
      <c r="AI457" s="31"/>
      <c r="AJ457" s="61"/>
      <c r="AO457" t="s">
        <v>31</v>
      </c>
      <c r="AR457" s="31">
        <v>46065</v>
      </c>
      <c r="AS457" t="s">
        <v>2119</v>
      </c>
      <c r="AU457" t="s">
        <v>3142</v>
      </c>
      <c r="AX457">
        <v>1</v>
      </c>
    </row>
    <row r="458" spans="1:50" x14ac:dyDescent="0.25">
      <c r="A458" t="s">
        <v>44</v>
      </c>
      <c r="B458">
        <v>931</v>
      </c>
      <c r="D458">
        <v>3233</v>
      </c>
      <c r="E458" t="s">
        <v>3143</v>
      </c>
      <c r="G458" t="s">
        <v>3144</v>
      </c>
      <c r="H458">
        <v>36096287000142</v>
      </c>
      <c r="J458" t="s">
        <v>3145</v>
      </c>
      <c r="K458" t="s">
        <v>3146</v>
      </c>
      <c r="M458" t="s">
        <v>3147</v>
      </c>
      <c r="P458" t="s">
        <v>778</v>
      </c>
      <c r="Q458" t="s">
        <v>3148</v>
      </c>
      <c r="S458" t="s">
        <v>814</v>
      </c>
      <c r="V458" t="s">
        <v>3149</v>
      </c>
      <c r="W458" t="s">
        <v>780</v>
      </c>
      <c r="X458" t="s">
        <v>897</v>
      </c>
      <c r="Z458" s="31"/>
      <c r="AC458">
        <v>0</v>
      </c>
      <c r="AD458" t="s">
        <v>22</v>
      </c>
      <c r="AE458" s="31">
        <v>46064</v>
      </c>
      <c r="AF458" s="61">
        <v>0.49716435185185193</v>
      </c>
      <c r="AH458" t="s">
        <v>795</v>
      </c>
      <c r="AI458" s="31">
        <v>46064</v>
      </c>
      <c r="AJ458" s="61">
        <v>0.64505787037037032</v>
      </c>
      <c r="AK458" t="s">
        <v>1226</v>
      </c>
      <c r="AL458" t="s">
        <v>2245</v>
      </c>
      <c r="AR458" s="31"/>
      <c r="AS458" t="s">
        <v>2119</v>
      </c>
      <c r="AX458">
        <v>1</v>
      </c>
    </row>
    <row r="459" spans="1:50" x14ac:dyDescent="0.25">
      <c r="A459" t="s">
        <v>31</v>
      </c>
      <c r="B459">
        <v>932</v>
      </c>
      <c r="D459">
        <v>3234</v>
      </c>
      <c r="E459" t="s">
        <v>3150</v>
      </c>
      <c r="G459" t="s">
        <v>391</v>
      </c>
      <c r="H459">
        <v>1498495000193</v>
      </c>
      <c r="J459" t="s">
        <v>3151</v>
      </c>
      <c r="K459" t="s">
        <v>3152</v>
      </c>
      <c r="M459" t="s">
        <v>3153</v>
      </c>
      <c r="P459" t="s">
        <v>778</v>
      </c>
      <c r="Q459" t="s">
        <v>3154</v>
      </c>
      <c r="S459" t="s">
        <v>814</v>
      </c>
      <c r="V459" t="s">
        <v>2878</v>
      </c>
      <c r="W459" t="s">
        <v>780</v>
      </c>
      <c r="X459" t="s">
        <v>857</v>
      </c>
      <c r="Z459" s="31">
        <v>46142</v>
      </c>
      <c r="AC459">
        <v>8</v>
      </c>
      <c r="AD459" t="s">
        <v>22</v>
      </c>
      <c r="AE459" s="31">
        <v>46064</v>
      </c>
      <c r="AF459" s="61">
        <v>0.49763888888888891</v>
      </c>
      <c r="AH459" t="s">
        <v>782</v>
      </c>
      <c r="AI459" s="31"/>
      <c r="AJ459" s="61"/>
      <c r="AO459" t="s">
        <v>31</v>
      </c>
      <c r="AR459" s="31">
        <v>46071</v>
      </c>
      <c r="AS459" t="s">
        <v>2119</v>
      </c>
      <c r="AU459" t="s">
        <v>63</v>
      </c>
      <c r="AX459">
        <v>1</v>
      </c>
    </row>
    <row r="460" spans="1:50" x14ac:dyDescent="0.25">
      <c r="A460" t="s">
        <v>44</v>
      </c>
      <c r="B460">
        <v>933</v>
      </c>
      <c r="D460">
        <v>3262</v>
      </c>
      <c r="F460" t="s">
        <v>3155</v>
      </c>
      <c r="G460" t="s">
        <v>222</v>
      </c>
      <c r="H460">
        <v>35754976000215</v>
      </c>
      <c r="J460" t="s">
        <v>3155</v>
      </c>
      <c r="K460" t="s">
        <v>3156</v>
      </c>
      <c r="M460" t="s">
        <v>3157</v>
      </c>
      <c r="P460" t="s">
        <v>778</v>
      </c>
      <c r="Q460" t="s">
        <v>3158</v>
      </c>
      <c r="R460" t="s">
        <v>932</v>
      </c>
      <c r="S460" t="s">
        <v>805</v>
      </c>
      <c r="W460" t="s">
        <v>780</v>
      </c>
      <c r="X460" t="s">
        <v>857</v>
      </c>
      <c r="Z460" s="31"/>
      <c r="AC460">
        <v>8</v>
      </c>
      <c r="AD460" t="s">
        <v>44</v>
      </c>
      <c r="AE460" s="31">
        <v>46064</v>
      </c>
      <c r="AF460" s="61">
        <v>0.75549768518518523</v>
      </c>
      <c r="AH460" t="s">
        <v>782</v>
      </c>
      <c r="AI460" s="31"/>
      <c r="AJ460" s="61"/>
      <c r="AR460" s="31"/>
      <c r="AS460" t="s">
        <v>1423</v>
      </c>
      <c r="AX460">
        <v>1</v>
      </c>
    </row>
    <row r="461" spans="1:50" x14ac:dyDescent="0.25">
      <c r="A461" t="s">
        <v>44</v>
      </c>
      <c r="B461">
        <v>934</v>
      </c>
      <c r="D461">
        <v>3263</v>
      </c>
      <c r="F461" t="s">
        <v>3159</v>
      </c>
      <c r="G461" t="s">
        <v>3160</v>
      </c>
      <c r="H461">
        <v>51540058000169</v>
      </c>
      <c r="J461" t="s">
        <v>3159</v>
      </c>
      <c r="K461" t="s">
        <v>3161</v>
      </c>
      <c r="M461" t="s">
        <v>3162</v>
      </c>
      <c r="P461" t="s">
        <v>778</v>
      </c>
      <c r="Q461" t="s">
        <v>1094</v>
      </c>
      <c r="R461" t="s">
        <v>790</v>
      </c>
      <c r="S461" t="s">
        <v>805</v>
      </c>
      <c r="W461" t="s">
        <v>780</v>
      </c>
      <c r="X461" t="s">
        <v>857</v>
      </c>
      <c r="Z461" s="31"/>
      <c r="AC461">
        <v>8</v>
      </c>
      <c r="AD461" t="s">
        <v>44</v>
      </c>
      <c r="AE461" s="31">
        <v>46064</v>
      </c>
      <c r="AF461" s="61">
        <v>0.76371527777777781</v>
      </c>
      <c r="AH461" t="s">
        <v>782</v>
      </c>
      <c r="AI461" s="31"/>
      <c r="AJ461" s="61"/>
      <c r="AR461" s="31"/>
      <c r="AS461" t="s">
        <v>3163</v>
      </c>
      <c r="AX461">
        <v>1</v>
      </c>
    </row>
    <row r="462" spans="1:50" x14ac:dyDescent="0.25">
      <c r="A462" t="s">
        <v>22</v>
      </c>
      <c r="B462">
        <v>935</v>
      </c>
      <c r="D462">
        <v>3259</v>
      </c>
      <c r="E462" t="s">
        <v>3164</v>
      </c>
      <c r="G462" t="s">
        <v>3165</v>
      </c>
      <c r="J462" t="s">
        <v>3166</v>
      </c>
      <c r="K462" t="s">
        <v>3167</v>
      </c>
      <c r="M462" t="s">
        <v>3168</v>
      </c>
      <c r="P462" t="s">
        <v>778</v>
      </c>
      <c r="Q462" t="s">
        <v>3169</v>
      </c>
      <c r="S462" t="s">
        <v>814</v>
      </c>
      <c r="V462" t="s">
        <v>1186</v>
      </c>
      <c r="W462" t="s">
        <v>780</v>
      </c>
      <c r="X462" t="s">
        <v>897</v>
      </c>
      <c r="Z462" s="31">
        <v>46081</v>
      </c>
      <c r="AC462">
        <v>1</v>
      </c>
      <c r="AD462" t="s">
        <v>22</v>
      </c>
      <c r="AE462" s="31">
        <v>46065</v>
      </c>
      <c r="AF462" s="61">
        <v>0.1035185185185185</v>
      </c>
      <c r="AH462" t="s">
        <v>795</v>
      </c>
      <c r="AI462" s="31">
        <v>46066</v>
      </c>
      <c r="AJ462" s="61">
        <v>0.72414351851851855</v>
      </c>
      <c r="AK462" t="s">
        <v>867</v>
      </c>
      <c r="AO462" t="s">
        <v>22</v>
      </c>
      <c r="AP462" t="s">
        <v>405</v>
      </c>
      <c r="AR462" s="31"/>
      <c r="AS462" t="s">
        <v>2119</v>
      </c>
      <c r="AU462" t="s">
        <v>321</v>
      </c>
      <c r="AX462">
        <v>1</v>
      </c>
    </row>
    <row r="463" spans="1:50" x14ac:dyDescent="0.25">
      <c r="A463" t="s">
        <v>44</v>
      </c>
      <c r="B463">
        <v>936</v>
      </c>
      <c r="D463">
        <v>3268</v>
      </c>
      <c r="G463" t="s">
        <v>3170</v>
      </c>
      <c r="J463" t="s">
        <v>3171</v>
      </c>
      <c r="K463" t="s">
        <v>3172</v>
      </c>
      <c r="M463" t="s">
        <v>3135</v>
      </c>
      <c r="P463" t="s">
        <v>778</v>
      </c>
      <c r="W463" t="s">
        <v>780</v>
      </c>
      <c r="X463" t="s">
        <v>857</v>
      </c>
      <c r="Z463" s="31"/>
      <c r="AC463">
        <v>6</v>
      </c>
      <c r="AD463" t="s">
        <v>44</v>
      </c>
      <c r="AE463" s="31">
        <v>46066</v>
      </c>
      <c r="AF463" s="61">
        <v>0.61993055555555554</v>
      </c>
      <c r="AH463" t="s">
        <v>782</v>
      </c>
      <c r="AI463" s="31"/>
      <c r="AJ463" s="61"/>
      <c r="AP463" t="s">
        <v>405</v>
      </c>
      <c r="AR463" s="31"/>
      <c r="AS463" t="s">
        <v>1423</v>
      </c>
      <c r="AX463">
        <v>1</v>
      </c>
    </row>
    <row r="464" spans="1:50" x14ac:dyDescent="0.25">
      <c r="A464" t="s">
        <v>44</v>
      </c>
      <c r="B464">
        <v>937</v>
      </c>
      <c r="D464">
        <v>3267</v>
      </c>
      <c r="G464" t="s">
        <v>3173</v>
      </c>
      <c r="H464">
        <v>3318893000106</v>
      </c>
      <c r="J464" t="s">
        <v>3174</v>
      </c>
      <c r="K464" t="s">
        <v>3175</v>
      </c>
      <c r="M464" t="s">
        <v>3176</v>
      </c>
      <c r="P464" t="s">
        <v>778</v>
      </c>
      <c r="S464" t="s">
        <v>2541</v>
      </c>
      <c r="V464" t="s">
        <v>3177</v>
      </c>
      <c r="W464" t="s">
        <v>780</v>
      </c>
      <c r="X464" t="s">
        <v>897</v>
      </c>
      <c r="Z464" s="31">
        <v>46081</v>
      </c>
      <c r="AC464">
        <v>6</v>
      </c>
      <c r="AD464" t="s">
        <v>22</v>
      </c>
      <c r="AE464" s="31">
        <v>46066</v>
      </c>
      <c r="AF464" s="61">
        <v>0.91548611111111111</v>
      </c>
      <c r="AH464" t="s">
        <v>782</v>
      </c>
      <c r="AI464" s="31"/>
      <c r="AJ464" s="61"/>
      <c r="AO464" t="s">
        <v>44</v>
      </c>
      <c r="AR464" s="31"/>
      <c r="AS464" t="s">
        <v>2119</v>
      </c>
      <c r="AX464">
        <v>1</v>
      </c>
    </row>
    <row r="465" spans="1:50" x14ac:dyDescent="0.25">
      <c r="A465" t="s">
        <v>22</v>
      </c>
      <c r="B465">
        <v>938</v>
      </c>
      <c r="D465">
        <v>3266</v>
      </c>
      <c r="G465" t="s">
        <v>3178</v>
      </c>
      <c r="H465">
        <v>11994847000155</v>
      </c>
      <c r="J465" t="s">
        <v>3179</v>
      </c>
      <c r="K465" t="s">
        <v>3180</v>
      </c>
      <c r="M465" t="s">
        <v>3181</v>
      </c>
      <c r="P465" t="s">
        <v>778</v>
      </c>
      <c r="Q465" t="s">
        <v>3182</v>
      </c>
      <c r="S465" t="s">
        <v>814</v>
      </c>
      <c r="V465" t="s">
        <v>1198</v>
      </c>
      <c r="W465" t="s">
        <v>780</v>
      </c>
      <c r="X465" t="s">
        <v>857</v>
      </c>
      <c r="Z465" s="31">
        <v>46081</v>
      </c>
      <c r="AC465">
        <v>6</v>
      </c>
      <c r="AD465" t="s">
        <v>22</v>
      </c>
      <c r="AE465" s="31">
        <v>46066</v>
      </c>
      <c r="AF465" s="61">
        <v>0.91730324074074077</v>
      </c>
      <c r="AH465" t="s">
        <v>782</v>
      </c>
      <c r="AI465" s="31"/>
      <c r="AJ465" s="61"/>
      <c r="AO465" t="s">
        <v>22</v>
      </c>
      <c r="AR465" s="31"/>
      <c r="AS465" t="s">
        <v>2119</v>
      </c>
      <c r="AX465">
        <v>1</v>
      </c>
    </row>
    <row r="466" spans="1:50" x14ac:dyDescent="0.25">
      <c r="A466" t="s">
        <v>31</v>
      </c>
      <c r="B466">
        <v>945</v>
      </c>
      <c r="D466">
        <v>3271</v>
      </c>
      <c r="G466" t="s">
        <v>3183</v>
      </c>
      <c r="J466" t="s">
        <v>3184</v>
      </c>
      <c r="K466" t="s">
        <v>3185</v>
      </c>
      <c r="M466" t="s">
        <v>3186</v>
      </c>
      <c r="P466" t="s">
        <v>778</v>
      </c>
      <c r="Q466" t="s">
        <v>3187</v>
      </c>
      <c r="S466" t="s">
        <v>814</v>
      </c>
      <c r="V466" t="s">
        <v>1186</v>
      </c>
      <c r="W466" t="s">
        <v>780</v>
      </c>
      <c r="X466" t="s">
        <v>781</v>
      </c>
      <c r="Z466" s="31"/>
      <c r="AC466">
        <v>2</v>
      </c>
      <c r="AD466" t="s">
        <v>22</v>
      </c>
      <c r="AE466" s="31">
        <v>46070</v>
      </c>
      <c r="AF466" s="61">
        <v>0.74156250000000001</v>
      </c>
      <c r="AH466" t="s">
        <v>782</v>
      </c>
      <c r="AI466" s="31"/>
      <c r="AJ466" s="61"/>
      <c r="AO466" t="s">
        <v>31</v>
      </c>
      <c r="AR466" s="31">
        <v>46071</v>
      </c>
      <c r="AS466" t="s">
        <v>2119</v>
      </c>
      <c r="AU466" t="s">
        <v>47</v>
      </c>
      <c r="AX466">
        <v>1</v>
      </c>
    </row>
    <row r="467" spans="1:50" x14ac:dyDescent="0.25">
      <c r="A467" t="s">
        <v>22</v>
      </c>
      <c r="B467">
        <v>946</v>
      </c>
      <c r="D467">
        <v>3270</v>
      </c>
      <c r="G467" t="s">
        <v>3188</v>
      </c>
      <c r="J467" t="s">
        <v>3189</v>
      </c>
      <c r="K467" t="s">
        <v>3190</v>
      </c>
      <c r="M467" t="s">
        <v>3191</v>
      </c>
      <c r="P467" t="s">
        <v>778</v>
      </c>
      <c r="S467" t="s">
        <v>2541</v>
      </c>
      <c r="V467" t="s">
        <v>2791</v>
      </c>
      <c r="W467" t="s">
        <v>780</v>
      </c>
      <c r="X467" t="s">
        <v>781</v>
      </c>
      <c r="Z467" s="31"/>
      <c r="AC467">
        <v>1</v>
      </c>
      <c r="AD467" t="s">
        <v>22</v>
      </c>
      <c r="AE467" s="31">
        <v>46071</v>
      </c>
      <c r="AF467" s="61">
        <v>0.36913194444444453</v>
      </c>
      <c r="AH467" t="s">
        <v>782</v>
      </c>
      <c r="AI467" s="31"/>
      <c r="AJ467" s="61"/>
      <c r="AO467" t="s">
        <v>22</v>
      </c>
      <c r="AR467" s="31"/>
      <c r="AS467" t="s">
        <v>2119</v>
      </c>
      <c r="AU467" t="s">
        <v>321</v>
      </c>
      <c r="AX467">
        <v>1</v>
      </c>
    </row>
    <row r="468" spans="1:50" x14ac:dyDescent="0.25">
      <c r="A468" t="s">
        <v>44</v>
      </c>
      <c r="B468">
        <v>948</v>
      </c>
      <c r="D468">
        <v>3278</v>
      </c>
      <c r="G468" t="s">
        <v>444</v>
      </c>
      <c r="J468" t="s">
        <v>3192</v>
      </c>
      <c r="K468" t="s">
        <v>3193</v>
      </c>
      <c r="M468" t="s">
        <v>3194</v>
      </c>
      <c r="P468" t="s">
        <v>778</v>
      </c>
      <c r="S468" t="s">
        <v>2541</v>
      </c>
      <c r="V468" t="s">
        <v>3115</v>
      </c>
      <c r="W468" t="s">
        <v>780</v>
      </c>
      <c r="X468" t="s">
        <v>781</v>
      </c>
      <c r="Z468" s="31">
        <v>46081</v>
      </c>
      <c r="AC468">
        <v>0</v>
      </c>
      <c r="AD468" t="s">
        <v>22</v>
      </c>
      <c r="AE468" s="31">
        <v>46072</v>
      </c>
      <c r="AF468" s="61">
        <v>0.34339120370370368</v>
      </c>
      <c r="AH468" t="s">
        <v>782</v>
      </c>
      <c r="AI468" s="31"/>
      <c r="AJ468" s="61"/>
      <c r="AO468" t="s">
        <v>44</v>
      </c>
      <c r="AR468" s="31"/>
      <c r="AS468" t="s">
        <v>3195</v>
      </c>
      <c r="AX468">
        <v>1</v>
      </c>
    </row>
    <row r="469" spans="1:50" x14ac:dyDescent="0.25">
      <c r="A469" t="s">
        <v>31</v>
      </c>
      <c r="B469">
        <v>949</v>
      </c>
      <c r="D469">
        <v>3279</v>
      </c>
      <c r="G469" t="s">
        <v>2704</v>
      </c>
      <c r="J469" t="s">
        <v>334</v>
      </c>
      <c r="K469" t="s">
        <v>2705</v>
      </c>
      <c r="M469" t="s">
        <v>3196</v>
      </c>
      <c r="P469" t="s">
        <v>778</v>
      </c>
      <c r="R469" t="s">
        <v>3197</v>
      </c>
      <c r="S469" t="s">
        <v>1191</v>
      </c>
      <c r="V469" t="s">
        <v>3115</v>
      </c>
      <c r="W469" t="s">
        <v>780</v>
      </c>
      <c r="X469" t="s">
        <v>781</v>
      </c>
      <c r="Z469" s="31">
        <v>46081</v>
      </c>
      <c r="AC469">
        <v>0</v>
      </c>
      <c r="AD469" t="s">
        <v>22</v>
      </c>
      <c r="AE469" s="31">
        <v>46072</v>
      </c>
      <c r="AF469" s="61">
        <v>0.3442013888888889</v>
      </c>
      <c r="AH469" t="s">
        <v>782</v>
      </c>
      <c r="AI469" s="31"/>
      <c r="AJ469" s="61"/>
      <c r="AO469" t="s">
        <v>31</v>
      </c>
      <c r="AR469" s="31"/>
      <c r="AS469" t="s">
        <v>2119</v>
      </c>
      <c r="AX469">
        <v>1</v>
      </c>
    </row>
    <row r="470" spans="1:50" x14ac:dyDescent="0.25">
      <c r="A470" t="s">
        <v>31</v>
      </c>
      <c r="B470">
        <v>950</v>
      </c>
      <c r="D470">
        <v>3280</v>
      </c>
      <c r="G470" t="s">
        <v>3198</v>
      </c>
      <c r="H470">
        <v>3459449000100</v>
      </c>
      <c r="J470" t="s">
        <v>3199</v>
      </c>
      <c r="K470" t="s">
        <v>3200</v>
      </c>
      <c r="M470" t="s">
        <v>3201</v>
      </c>
      <c r="P470" t="s">
        <v>778</v>
      </c>
      <c r="S470" t="s">
        <v>2541</v>
      </c>
      <c r="V470" t="s">
        <v>3115</v>
      </c>
      <c r="W470" t="s">
        <v>780</v>
      </c>
      <c r="X470" t="s">
        <v>781</v>
      </c>
      <c r="Z470" s="31">
        <v>46081</v>
      </c>
      <c r="AC470">
        <v>0</v>
      </c>
      <c r="AD470" t="s">
        <v>22</v>
      </c>
      <c r="AE470" s="31">
        <v>46072</v>
      </c>
      <c r="AF470" s="61">
        <v>0.34534722222222219</v>
      </c>
      <c r="AH470" t="s">
        <v>782</v>
      </c>
      <c r="AI470" s="31"/>
      <c r="AJ470" s="61"/>
      <c r="AO470" t="s">
        <v>31</v>
      </c>
      <c r="AR470" s="31"/>
      <c r="AS470" t="s">
        <v>3195</v>
      </c>
      <c r="AX470">
        <v>1</v>
      </c>
    </row>
    <row r="471" spans="1:50" x14ac:dyDescent="0.25">
      <c r="A471" t="s">
        <v>44</v>
      </c>
      <c r="B471">
        <v>951</v>
      </c>
      <c r="D471">
        <v>3282</v>
      </c>
      <c r="G471" t="s">
        <v>3202</v>
      </c>
      <c r="J471" t="s">
        <v>3203</v>
      </c>
      <c r="K471" t="s">
        <v>3204</v>
      </c>
      <c r="M471" t="s">
        <v>3205</v>
      </c>
      <c r="P471" t="s">
        <v>778</v>
      </c>
      <c r="S471" t="s">
        <v>2541</v>
      </c>
      <c r="V471" t="s">
        <v>3115</v>
      </c>
      <c r="W471" t="s">
        <v>780</v>
      </c>
      <c r="X471" t="s">
        <v>781</v>
      </c>
      <c r="Z471" s="31">
        <v>46072</v>
      </c>
      <c r="AC471">
        <v>0</v>
      </c>
      <c r="AD471" t="s">
        <v>22</v>
      </c>
      <c r="AE471" s="31">
        <v>46072</v>
      </c>
      <c r="AF471" s="61">
        <v>0.3463310185185185</v>
      </c>
      <c r="AH471" t="s">
        <v>782</v>
      </c>
      <c r="AI471" s="31"/>
      <c r="AJ471" s="61"/>
      <c r="AO471" t="s">
        <v>44</v>
      </c>
      <c r="AR471" s="31"/>
      <c r="AS471" t="s">
        <v>2119</v>
      </c>
      <c r="AX471">
        <v>1</v>
      </c>
    </row>
    <row r="472" spans="1:50" x14ac:dyDescent="0.25">
      <c r="A472" t="s">
        <v>22</v>
      </c>
      <c r="B472">
        <v>952</v>
      </c>
      <c r="D472">
        <v>3283</v>
      </c>
      <c r="G472" t="s">
        <v>387</v>
      </c>
      <c r="J472" t="s">
        <v>3206</v>
      </c>
      <c r="K472" t="s">
        <v>3207</v>
      </c>
      <c r="M472" t="s">
        <v>3208</v>
      </c>
      <c r="P472" t="s">
        <v>778</v>
      </c>
      <c r="S472" t="s">
        <v>2541</v>
      </c>
      <c r="V472" t="s">
        <v>3115</v>
      </c>
      <c r="W472" t="s">
        <v>780</v>
      </c>
      <c r="X472" t="s">
        <v>781</v>
      </c>
      <c r="Z472" s="31">
        <v>46072</v>
      </c>
      <c r="AC472">
        <v>0</v>
      </c>
      <c r="AD472" t="s">
        <v>22</v>
      </c>
      <c r="AE472" s="31">
        <v>46072</v>
      </c>
      <c r="AF472" s="61">
        <v>0.34706018518518522</v>
      </c>
      <c r="AH472" t="s">
        <v>782</v>
      </c>
      <c r="AI472" s="31"/>
      <c r="AJ472" s="61"/>
      <c r="AO472" t="s">
        <v>22</v>
      </c>
      <c r="AR472" s="31"/>
      <c r="AS472" t="s">
        <v>2119</v>
      </c>
      <c r="AX472">
        <v>1</v>
      </c>
    </row>
    <row r="473" spans="1:50" x14ac:dyDescent="0.25">
      <c r="A473" t="s">
        <v>22</v>
      </c>
      <c r="B473">
        <v>953</v>
      </c>
      <c r="D473">
        <v>3284</v>
      </c>
      <c r="G473" t="s">
        <v>3209</v>
      </c>
      <c r="J473" t="s">
        <v>3210</v>
      </c>
      <c r="K473" t="s">
        <v>3211</v>
      </c>
      <c r="M473" t="s">
        <v>3212</v>
      </c>
      <c r="P473" t="s">
        <v>778</v>
      </c>
      <c r="S473" t="s">
        <v>2541</v>
      </c>
      <c r="V473" t="s">
        <v>3115</v>
      </c>
      <c r="W473" t="s">
        <v>780</v>
      </c>
      <c r="X473" t="s">
        <v>781</v>
      </c>
      <c r="Z473" s="31">
        <v>46081</v>
      </c>
      <c r="AC473">
        <v>0</v>
      </c>
      <c r="AD473" t="s">
        <v>22</v>
      </c>
      <c r="AE473" s="31">
        <v>46072</v>
      </c>
      <c r="AF473" s="61">
        <v>0.34765046296296298</v>
      </c>
      <c r="AH473" t="s">
        <v>782</v>
      </c>
      <c r="AI473" s="31"/>
      <c r="AJ473" s="61"/>
      <c r="AO473" t="s">
        <v>22</v>
      </c>
      <c r="AR473" s="31"/>
      <c r="AS473" t="s">
        <v>3213</v>
      </c>
      <c r="AX473">
        <v>1</v>
      </c>
    </row>
  </sheetData>
  <pageMargins left="0.511811024" right="0.511811024" top="0.78740157499999996" bottom="0.78740157499999996" header="0.31496062000000002" footer="0.3149606200000000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AQ594"/>
  <sheetViews>
    <sheetView topLeftCell="A2" workbookViewId="0">
      <selection activeCell="AQ21" sqref="AQ21"/>
    </sheetView>
  </sheetViews>
  <sheetFormatPr defaultRowHeight="15" x14ac:dyDescent="0.25"/>
  <cols>
    <col min="1" max="1" width="80.85546875" bestFit="1" customWidth="1"/>
    <col min="2" max="2" width="14.85546875" bestFit="1" customWidth="1"/>
    <col min="3" max="3" width="11.28515625" bestFit="1" customWidth="1"/>
    <col min="4" max="4" width="12" bestFit="1" customWidth="1"/>
    <col min="5" max="5" width="80.85546875" bestFit="1" customWidth="1"/>
    <col min="6" max="6" width="51" bestFit="1" customWidth="1"/>
    <col min="7" max="7" width="64.7109375" bestFit="1" customWidth="1"/>
    <col min="8" max="8" width="12" bestFit="1" customWidth="1"/>
    <col min="9" max="9" width="80" bestFit="1" customWidth="1"/>
    <col min="10" max="10" width="60.28515625" bestFit="1" customWidth="1"/>
    <col min="11" max="11" width="43" bestFit="1" customWidth="1"/>
    <col min="12" max="12" width="18.7109375" bestFit="1" customWidth="1"/>
    <col min="13" max="13" width="39.85546875" bestFit="1" customWidth="1"/>
    <col min="14" max="14" width="13.140625" bestFit="1" customWidth="1"/>
    <col min="15" max="15" width="62.28515625" bestFit="1" customWidth="1"/>
    <col min="16" max="16" width="23" bestFit="1" customWidth="1"/>
    <col min="17" max="19" width="22.140625" bestFit="1" customWidth="1"/>
    <col min="20" max="20" width="19.140625" bestFit="1" customWidth="1"/>
    <col min="21" max="21" width="23.28515625" bestFit="1" customWidth="1"/>
    <col min="22" max="22" width="30.85546875" bestFit="1" customWidth="1"/>
    <col min="23" max="23" width="12" bestFit="1" customWidth="1"/>
    <col min="24" max="24" width="14" bestFit="1" customWidth="1"/>
    <col min="25" max="25" width="12.7109375" bestFit="1" customWidth="1"/>
    <col min="26" max="26" width="22.7109375" bestFit="1" customWidth="1"/>
    <col min="27" max="27" width="16.42578125" bestFit="1" customWidth="1"/>
    <col min="28" max="28" width="16.5703125" bestFit="1" customWidth="1"/>
    <col min="29" max="29" width="22.28515625" bestFit="1" customWidth="1"/>
    <col min="30" max="30" width="21" bestFit="1" customWidth="1"/>
    <col min="31" max="31" width="21.140625" bestFit="1" customWidth="1"/>
    <col min="32" max="32" width="27.140625" bestFit="1" customWidth="1"/>
    <col min="33" max="33" width="16" bestFit="1" customWidth="1"/>
    <col min="34" max="34" width="15.28515625" bestFit="1" customWidth="1"/>
    <col min="35" max="36" width="19.7109375" bestFit="1" customWidth="1"/>
    <col min="37" max="37" width="16.5703125" bestFit="1" customWidth="1"/>
    <col min="38" max="38" width="13.85546875" bestFit="1" customWidth="1"/>
    <col min="39" max="39" width="8.140625" bestFit="1" customWidth="1"/>
    <col min="40" max="40" width="23.7109375" bestFit="1" customWidth="1"/>
    <col min="41" max="41" width="16.7109375" bestFit="1" customWidth="1"/>
    <col min="42" max="42" width="12.85546875" bestFit="1" customWidth="1"/>
    <col min="43" max="43" width="7.28515625" bestFit="1" customWidth="1"/>
  </cols>
  <sheetData>
    <row r="1" spans="1:43" x14ac:dyDescent="0.25">
      <c r="A1" t="s">
        <v>212</v>
      </c>
      <c r="B1" t="s">
        <v>3214</v>
      </c>
      <c r="C1" t="s">
        <v>732</v>
      </c>
      <c r="D1" t="s">
        <v>733</v>
      </c>
      <c r="E1" t="s">
        <v>734</v>
      </c>
      <c r="F1" t="s">
        <v>735</v>
      </c>
      <c r="G1" t="s">
        <v>736</v>
      </c>
      <c r="H1" t="s">
        <v>40</v>
      </c>
      <c r="I1" t="s">
        <v>737</v>
      </c>
      <c r="J1" t="s">
        <v>738</v>
      </c>
      <c r="K1" t="s">
        <v>739</v>
      </c>
      <c r="L1" t="s">
        <v>740</v>
      </c>
      <c r="M1" t="s">
        <v>3215</v>
      </c>
      <c r="N1" t="s">
        <v>743</v>
      </c>
      <c r="O1" t="s">
        <v>744</v>
      </c>
      <c r="P1" t="s">
        <v>745</v>
      </c>
      <c r="Q1" t="s">
        <v>746</v>
      </c>
      <c r="R1" t="s">
        <v>747</v>
      </c>
      <c r="S1" t="s">
        <v>750</v>
      </c>
      <c r="T1" t="s">
        <v>751</v>
      </c>
      <c r="U1" t="s">
        <v>752</v>
      </c>
      <c r="V1" t="s">
        <v>753</v>
      </c>
      <c r="W1" t="s">
        <v>755</v>
      </c>
      <c r="X1" t="s">
        <v>756</v>
      </c>
      <c r="Y1" t="s">
        <v>758</v>
      </c>
      <c r="Z1" t="s">
        <v>3216</v>
      </c>
      <c r="AA1" t="s">
        <v>759</v>
      </c>
      <c r="AB1" t="s">
        <v>760</v>
      </c>
      <c r="AC1" t="s">
        <v>762</v>
      </c>
      <c r="AD1" t="s">
        <v>763</v>
      </c>
      <c r="AE1" t="s">
        <v>764</v>
      </c>
      <c r="AF1" t="s">
        <v>765</v>
      </c>
      <c r="AG1" t="s">
        <v>766</v>
      </c>
      <c r="AH1" t="s">
        <v>249</v>
      </c>
      <c r="AI1" t="s">
        <v>214</v>
      </c>
      <c r="AJ1" t="s">
        <v>769</v>
      </c>
      <c r="AK1" t="s">
        <v>770</v>
      </c>
      <c r="AL1" t="s">
        <v>260</v>
      </c>
      <c r="AM1" t="s">
        <v>258</v>
      </c>
      <c r="AN1" t="s">
        <v>257</v>
      </c>
      <c r="AO1" t="s">
        <v>772</v>
      </c>
      <c r="AP1" t="s">
        <v>771</v>
      </c>
      <c r="AQ1" t="s">
        <v>6</v>
      </c>
    </row>
    <row r="2" spans="1:43" x14ac:dyDescent="0.25">
      <c r="A2" t="s">
        <v>3217</v>
      </c>
      <c r="B2">
        <v>1</v>
      </c>
      <c r="C2">
        <v>73</v>
      </c>
      <c r="D2">
        <v>39</v>
      </c>
      <c r="G2" t="s">
        <v>3218</v>
      </c>
      <c r="I2" t="s">
        <v>3218</v>
      </c>
      <c r="J2" t="s">
        <v>3218</v>
      </c>
      <c r="K2" t="s">
        <v>3219</v>
      </c>
      <c r="M2" t="s">
        <v>3220</v>
      </c>
      <c r="O2" t="s">
        <v>778</v>
      </c>
      <c r="R2" t="s">
        <v>3221</v>
      </c>
      <c r="S2" t="s">
        <v>3222</v>
      </c>
      <c r="T2" t="s">
        <v>3223</v>
      </c>
      <c r="U2" t="s">
        <v>2692</v>
      </c>
      <c r="Y2" t="s">
        <v>3217</v>
      </c>
      <c r="Z2">
        <v>325</v>
      </c>
      <c r="AA2" s="31">
        <v>45604</v>
      </c>
      <c r="AB2" s="61">
        <v>0.72946759259259264</v>
      </c>
      <c r="AC2" t="s">
        <v>795</v>
      </c>
      <c r="AD2" s="31">
        <v>45929</v>
      </c>
      <c r="AE2" s="61">
        <v>0.70248842592592597</v>
      </c>
      <c r="AF2" t="s">
        <v>796</v>
      </c>
      <c r="AQ2">
        <v>1</v>
      </c>
    </row>
    <row r="3" spans="1:43" x14ac:dyDescent="0.25">
      <c r="A3" t="s">
        <v>3217</v>
      </c>
      <c r="B3">
        <v>2</v>
      </c>
      <c r="C3">
        <v>74</v>
      </c>
      <c r="D3">
        <v>41</v>
      </c>
      <c r="G3" t="s">
        <v>3224</v>
      </c>
      <c r="I3" t="s">
        <v>3225</v>
      </c>
      <c r="J3" t="s">
        <v>3225</v>
      </c>
      <c r="K3" t="s">
        <v>3226</v>
      </c>
      <c r="M3" t="s">
        <v>3227</v>
      </c>
      <c r="O3" t="s">
        <v>778</v>
      </c>
      <c r="P3" t="s">
        <v>3228</v>
      </c>
      <c r="R3" t="s">
        <v>3221</v>
      </c>
      <c r="S3" t="s">
        <v>3222</v>
      </c>
      <c r="T3" t="s">
        <v>3223</v>
      </c>
      <c r="U3" t="s">
        <v>2692</v>
      </c>
      <c r="Y3" t="s">
        <v>3217</v>
      </c>
      <c r="Z3">
        <v>325</v>
      </c>
      <c r="AA3" s="31">
        <v>45604</v>
      </c>
      <c r="AB3" s="61">
        <v>0.72946759259259264</v>
      </c>
      <c r="AC3" t="s">
        <v>795</v>
      </c>
      <c r="AD3" s="31">
        <v>45929</v>
      </c>
      <c r="AE3" s="61">
        <v>0.70251157407407405</v>
      </c>
      <c r="AF3" t="s">
        <v>796</v>
      </c>
      <c r="AQ3">
        <v>1</v>
      </c>
    </row>
    <row r="4" spans="1:43" x14ac:dyDescent="0.25">
      <c r="A4" t="s">
        <v>3217</v>
      </c>
      <c r="B4">
        <v>3</v>
      </c>
      <c r="C4">
        <v>75</v>
      </c>
      <c r="D4">
        <v>43</v>
      </c>
      <c r="G4" t="s">
        <v>3229</v>
      </c>
      <c r="I4" t="s">
        <v>3229</v>
      </c>
      <c r="J4" t="s">
        <v>3229</v>
      </c>
      <c r="K4" t="s">
        <v>3230</v>
      </c>
      <c r="M4" t="s">
        <v>3231</v>
      </c>
      <c r="O4" t="s">
        <v>778</v>
      </c>
      <c r="R4" t="s">
        <v>3221</v>
      </c>
      <c r="S4" t="s">
        <v>3222</v>
      </c>
      <c r="T4" t="s">
        <v>3223</v>
      </c>
      <c r="U4" t="s">
        <v>2692</v>
      </c>
      <c r="Y4" t="s">
        <v>3217</v>
      </c>
      <c r="Z4">
        <v>325</v>
      </c>
      <c r="AA4" s="31">
        <v>45604</v>
      </c>
      <c r="AB4" s="61">
        <v>0.72946759259259264</v>
      </c>
      <c r="AC4" t="s">
        <v>795</v>
      </c>
      <c r="AD4" s="31">
        <v>45929</v>
      </c>
      <c r="AE4" s="61">
        <v>0.70253472222222224</v>
      </c>
      <c r="AF4" t="s">
        <v>796</v>
      </c>
      <c r="AQ4">
        <v>1</v>
      </c>
    </row>
    <row r="5" spans="1:43" x14ac:dyDescent="0.25">
      <c r="A5" t="s">
        <v>3217</v>
      </c>
      <c r="B5">
        <v>4</v>
      </c>
      <c r="C5">
        <v>76</v>
      </c>
      <c r="D5">
        <v>45</v>
      </c>
      <c r="G5" t="s">
        <v>225</v>
      </c>
      <c r="I5" t="s">
        <v>225</v>
      </c>
      <c r="J5" t="s">
        <v>225</v>
      </c>
      <c r="K5" t="s">
        <v>3232</v>
      </c>
      <c r="M5" t="s">
        <v>3233</v>
      </c>
      <c r="O5" t="s">
        <v>778</v>
      </c>
      <c r="P5" t="s">
        <v>3234</v>
      </c>
      <c r="Q5" t="s">
        <v>1699</v>
      </c>
      <c r="R5" t="s">
        <v>3221</v>
      </c>
      <c r="S5" t="s">
        <v>3222</v>
      </c>
      <c r="T5" t="s">
        <v>3223</v>
      </c>
      <c r="U5" t="s">
        <v>2692</v>
      </c>
      <c r="Y5" t="s">
        <v>3217</v>
      </c>
      <c r="Z5">
        <v>325</v>
      </c>
      <c r="AA5" s="31">
        <v>45604</v>
      </c>
      <c r="AB5" s="61">
        <v>0.72946759259259264</v>
      </c>
      <c r="AC5" t="s">
        <v>795</v>
      </c>
      <c r="AD5" s="31">
        <v>45929</v>
      </c>
      <c r="AE5" s="61">
        <v>0.70255787037037032</v>
      </c>
      <c r="AF5" t="s">
        <v>796</v>
      </c>
      <c r="AQ5">
        <v>1</v>
      </c>
    </row>
    <row r="6" spans="1:43" x14ac:dyDescent="0.25">
      <c r="A6" t="s">
        <v>3217</v>
      </c>
      <c r="B6">
        <v>5</v>
      </c>
      <c r="C6">
        <v>77</v>
      </c>
      <c r="D6">
        <v>47</v>
      </c>
      <c r="G6" t="s">
        <v>3235</v>
      </c>
      <c r="I6" t="s">
        <v>3235</v>
      </c>
      <c r="J6" t="s">
        <v>3235</v>
      </c>
      <c r="K6" t="s">
        <v>3236</v>
      </c>
      <c r="M6" t="s">
        <v>3237</v>
      </c>
      <c r="O6" t="s">
        <v>778</v>
      </c>
      <c r="R6" t="s">
        <v>3221</v>
      </c>
      <c r="S6" t="s">
        <v>3222</v>
      </c>
      <c r="T6" t="s">
        <v>3223</v>
      </c>
      <c r="U6" t="s">
        <v>2692</v>
      </c>
      <c r="Y6" t="s">
        <v>3217</v>
      </c>
      <c r="Z6">
        <v>325</v>
      </c>
      <c r="AA6" s="31">
        <v>45604</v>
      </c>
      <c r="AB6" s="61">
        <v>0.72946759259259264</v>
      </c>
      <c r="AC6" t="s">
        <v>795</v>
      </c>
      <c r="AD6" s="31">
        <v>45929</v>
      </c>
      <c r="AE6" s="61">
        <v>0.70258101851851851</v>
      </c>
      <c r="AF6" t="s">
        <v>796</v>
      </c>
      <c r="AQ6">
        <v>1</v>
      </c>
    </row>
    <row r="7" spans="1:43" x14ac:dyDescent="0.25">
      <c r="A7" t="s">
        <v>3217</v>
      </c>
      <c r="B7">
        <v>6</v>
      </c>
      <c r="C7">
        <v>78</v>
      </c>
      <c r="D7">
        <v>49</v>
      </c>
      <c r="G7" t="s">
        <v>3238</v>
      </c>
      <c r="I7" t="s">
        <v>3239</v>
      </c>
      <c r="J7" t="s">
        <v>3239</v>
      </c>
      <c r="K7" t="s">
        <v>3240</v>
      </c>
      <c r="M7" t="s">
        <v>3241</v>
      </c>
      <c r="O7" t="s">
        <v>778</v>
      </c>
      <c r="R7" t="s">
        <v>3221</v>
      </c>
      <c r="S7" t="s">
        <v>3222</v>
      </c>
      <c r="T7" t="s">
        <v>3223</v>
      </c>
      <c r="U7" t="s">
        <v>2692</v>
      </c>
      <c r="Y7" t="s">
        <v>3217</v>
      </c>
      <c r="Z7">
        <v>325</v>
      </c>
      <c r="AA7" s="31">
        <v>45604</v>
      </c>
      <c r="AB7" s="61">
        <v>0.72946759259259264</v>
      </c>
      <c r="AC7" t="s">
        <v>795</v>
      </c>
      <c r="AD7" s="31">
        <v>45929</v>
      </c>
      <c r="AE7" s="61">
        <v>0.70261574074074074</v>
      </c>
      <c r="AF7" t="s">
        <v>796</v>
      </c>
      <c r="AQ7">
        <v>1</v>
      </c>
    </row>
    <row r="8" spans="1:43" x14ac:dyDescent="0.25">
      <c r="A8" t="s">
        <v>3217</v>
      </c>
      <c r="B8">
        <v>7</v>
      </c>
      <c r="C8">
        <v>79</v>
      </c>
      <c r="D8">
        <v>51</v>
      </c>
      <c r="G8" t="s">
        <v>3242</v>
      </c>
      <c r="I8" t="s">
        <v>3243</v>
      </c>
      <c r="J8" t="s">
        <v>3243</v>
      </c>
      <c r="K8" t="s">
        <v>2601</v>
      </c>
      <c r="M8" t="s">
        <v>2602</v>
      </c>
      <c r="O8" t="s">
        <v>778</v>
      </c>
      <c r="P8" t="s">
        <v>3244</v>
      </c>
      <c r="R8" t="s">
        <v>3221</v>
      </c>
      <c r="S8" t="s">
        <v>3222</v>
      </c>
      <c r="T8" t="s">
        <v>3223</v>
      </c>
      <c r="U8" t="s">
        <v>2692</v>
      </c>
      <c r="Y8" t="s">
        <v>3217</v>
      </c>
      <c r="Z8">
        <v>325</v>
      </c>
      <c r="AA8" s="31">
        <v>45604</v>
      </c>
      <c r="AB8" s="61">
        <v>0.72946759259259264</v>
      </c>
      <c r="AC8" t="s">
        <v>795</v>
      </c>
      <c r="AD8" s="31">
        <v>45929</v>
      </c>
      <c r="AE8" s="61">
        <v>0.70262731481481477</v>
      </c>
      <c r="AF8" t="s">
        <v>796</v>
      </c>
      <c r="AQ8">
        <v>1</v>
      </c>
    </row>
    <row r="9" spans="1:43" x14ac:dyDescent="0.25">
      <c r="A9" t="s">
        <v>3217</v>
      </c>
      <c r="B9">
        <v>8</v>
      </c>
      <c r="C9">
        <v>80</v>
      </c>
      <c r="D9">
        <v>53</v>
      </c>
      <c r="G9" t="s">
        <v>3245</v>
      </c>
      <c r="I9" t="s">
        <v>3245</v>
      </c>
      <c r="J9" t="s">
        <v>3245</v>
      </c>
      <c r="K9" t="s">
        <v>3246</v>
      </c>
      <c r="M9" t="s">
        <v>3247</v>
      </c>
      <c r="O9" t="s">
        <v>778</v>
      </c>
      <c r="R9" t="s">
        <v>3221</v>
      </c>
      <c r="S9" t="s">
        <v>3222</v>
      </c>
      <c r="T9" t="s">
        <v>3223</v>
      </c>
      <c r="U9" t="s">
        <v>2692</v>
      </c>
      <c r="Y9" t="s">
        <v>3217</v>
      </c>
      <c r="Z9">
        <v>325</v>
      </c>
      <c r="AA9" s="31">
        <v>45604</v>
      </c>
      <c r="AB9" s="61">
        <v>0.72946759259259264</v>
      </c>
      <c r="AC9" t="s">
        <v>795</v>
      </c>
      <c r="AD9" s="31">
        <v>45929</v>
      </c>
      <c r="AE9" s="61">
        <v>0.70267361111111115</v>
      </c>
      <c r="AF9" t="s">
        <v>796</v>
      </c>
      <c r="AQ9">
        <v>1</v>
      </c>
    </row>
    <row r="10" spans="1:43" x14ac:dyDescent="0.25">
      <c r="A10" t="s">
        <v>3217</v>
      </c>
      <c r="B10">
        <v>9</v>
      </c>
      <c r="C10">
        <v>81</v>
      </c>
      <c r="D10">
        <v>55</v>
      </c>
      <c r="G10" t="s">
        <v>3248</v>
      </c>
      <c r="I10" t="s">
        <v>3248</v>
      </c>
      <c r="J10" t="s">
        <v>3248</v>
      </c>
      <c r="K10" t="s">
        <v>3249</v>
      </c>
      <c r="M10" t="s">
        <v>3250</v>
      </c>
      <c r="O10" t="s">
        <v>778</v>
      </c>
      <c r="R10" t="s">
        <v>3221</v>
      </c>
      <c r="S10" t="s">
        <v>3222</v>
      </c>
      <c r="T10" t="s">
        <v>3223</v>
      </c>
      <c r="U10" t="s">
        <v>2692</v>
      </c>
      <c r="Y10" t="s">
        <v>3217</v>
      </c>
      <c r="Z10">
        <v>325</v>
      </c>
      <c r="AA10" s="31">
        <v>45604</v>
      </c>
      <c r="AB10" s="61">
        <v>0.72947916666666668</v>
      </c>
      <c r="AC10" t="s">
        <v>795</v>
      </c>
      <c r="AD10" s="31">
        <v>45929</v>
      </c>
      <c r="AE10" s="61">
        <v>0.70270833333333338</v>
      </c>
      <c r="AF10" t="s">
        <v>796</v>
      </c>
      <c r="AQ10">
        <v>1</v>
      </c>
    </row>
    <row r="11" spans="1:43" x14ac:dyDescent="0.25">
      <c r="A11" t="s">
        <v>3217</v>
      </c>
      <c r="B11">
        <v>10</v>
      </c>
      <c r="C11">
        <v>82</v>
      </c>
      <c r="D11">
        <v>57</v>
      </c>
      <c r="G11" t="s">
        <v>3251</v>
      </c>
      <c r="I11" t="s">
        <v>3251</v>
      </c>
      <c r="J11" t="s">
        <v>3251</v>
      </c>
      <c r="K11" t="s">
        <v>3252</v>
      </c>
      <c r="M11" t="s">
        <v>3253</v>
      </c>
      <c r="O11" t="s">
        <v>778</v>
      </c>
      <c r="P11" t="s">
        <v>923</v>
      </c>
      <c r="R11" t="s">
        <v>3221</v>
      </c>
      <c r="S11" t="s">
        <v>3222</v>
      </c>
      <c r="T11" t="s">
        <v>3223</v>
      </c>
      <c r="U11" t="s">
        <v>2692</v>
      </c>
      <c r="Y11" t="s">
        <v>3217</v>
      </c>
      <c r="Z11">
        <v>325</v>
      </c>
      <c r="AA11" s="31">
        <v>45604</v>
      </c>
      <c r="AB11" s="61">
        <v>0.72947916666666668</v>
      </c>
      <c r="AC11" t="s">
        <v>795</v>
      </c>
      <c r="AD11" s="31">
        <v>45929</v>
      </c>
      <c r="AE11" s="61">
        <v>0.70271990740740742</v>
      </c>
      <c r="AF11" t="s">
        <v>796</v>
      </c>
      <c r="AQ11">
        <v>1</v>
      </c>
    </row>
    <row r="12" spans="1:43" x14ac:dyDescent="0.25">
      <c r="A12" t="s">
        <v>3217</v>
      </c>
      <c r="B12">
        <v>11</v>
      </c>
      <c r="C12">
        <v>83</v>
      </c>
      <c r="D12">
        <v>59</v>
      </c>
      <c r="G12" t="s">
        <v>3254</v>
      </c>
      <c r="I12" t="s">
        <v>3255</v>
      </c>
      <c r="J12" t="s">
        <v>3255</v>
      </c>
      <c r="M12" t="s">
        <v>3256</v>
      </c>
      <c r="O12" t="s">
        <v>778</v>
      </c>
      <c r="P12" t="s">
        <v>3257</v>
      </c>
      <c r="R12" t="s">
        <v>3221</v>
      </c>
      <c r="S12" t="s">
        <v>3222</v>
      </c>
      <c r="T12" t="s">
        <v>3223</v>
      </c>
      <c r="U12" t="s">
        <v>2692</v>
      </c>
      <c r="Y12" t="s">
        <v>3217</v>
      </c>
      <c r="Z12">
        <v>325</v>
      </c>
      <c r="AA12" s="31">
        <v>45604</v>
      </c>
      <c r="AB12" s="61">
        <v>0.72947916666666668</v>
      </c>
      <c r="AC12" t="s">
        <v>795</v>
      </c>
      <c r="AD12" s="31">
        <v>45929</v>
      </c>
      <c r="AE12" s="61">
        <v>0.70274305555555561</v>
      </c>
      <c r="AF12" t="s">
        <v>796</v>
      </c>
      <c r="AQ12">
        <v>1</v>
      </c>
    </row>
    <row r="13" spans="1:43" x14ac:dyDescent="0.25">
      <c r="A13" t="s">
        <v>3217</v>
      </c>
      <c r="B13">
        <v>12</v>
      </c>
      <c r="C13">
        <v>84</v>
      </c>
      <c r="D13">
        <v>61</v>
      </c>
      <c r="G13" t="s">
        <v>3258</v>
      </c>
      <c r="I13" t="s">
        <v>3258</v>
      </c>
      <c r="J13" t="s">
        <v>3258</v>
      </c>
      <c r="K13" t="s">
        <v>3259</v>
      </c>
      <c r="M13" t="s">
        <v>3260</v>
      </c>
      <c r="O13" t="s">
        <v>778</v>
      </c>
      <c r="R13" t="s">
        <v>3221</v>
      </c>
      <c r="S13" t="s">
        <v>3222</v>
      </c>
      <c r="T13" t="s">
        <v>3223</v>
      </c>
      <c r="U13" t="s">
        <v>2692</v>
      </c>
      <c r="Y13" t="s">
        <v>3217</v>
      </c>
      <c r="Z13">
        <v>325</v>
      </c>
      <c r="AA13" s="31">
        <v>45604</v>
      </c>
      <c r="AB13" s="61">
        <v>0.72947916666666668</v>
      </c>
      <c r="AC13" t="s">
        <v>795</v>
      </c>
      <c r="AD13" s="31">
        <v>45929</v>
      </c>
      <c r="AE13" s="61">
        <v>0.70277777777777772</v>
      </c>
      <c r="AF13" t="s">
        <v>796</v>
      </c>
      <c r="AQ13">
        <v>1</v>
      </c>
    </row>
    <row r="14" spans="1:43" x14ac:dyDescent="0.25">
      <c r="A14" t="s">
        <v>3217</v>
      </c>
      <c r="B14">
        <v>13</v>
      </c>
      <c r="C14">
        <v>85</v>
      </c>
      <c r="D14">
        <v>63</v>
      </c>
      <c r="G14" t="s">
        <v>605</v>
      </c>
      <c r="I14" t="s">
        <v>3261</v>
      </c>
      <c r="J14" t="s">
        <v>3261</v>
      </c>
      <c r="K14" t="s">
        <v>3262</v>
      </c>
      <c r="M14" t="s">
        <v>3263</v>
      </c>
      <c r="O14" t="s">
        <v>778</v>
      </c>
      <c r="P14" t="s">
        <v>3264</v>
      </c>
      <c r="R14" t="s">
        <v>3221</v>
      </c>
      <c r="S14" t="s">
        <v>3222</v>
      </c>
      <c r="T14" t="s">
        <v>3223</v>
      </c>
      <c r="U14" t="s">
        <v>2692</v>
      </c>
      <c r="Y14" t="s">
        <v>3217</v>
      </c>
      <c r="Z14">
        <v>325</v>
      </c>
      <c r="AA14" s="31">
        <v>45604</v>
      </c>
      <c r="AB14" s="61">
        <v>0.72947916666666668</v>
      </c>
      <c r="AC14" t="s">
        <v>795</v>
      </c>
      <c r="AD14" s="31">
        <v>45929</v>
      </c>
      <c r="AE14" s="61">
        <v>0.70281249999999995</v>
      </c>
      <c r="AF14" t="s">
        <v>796</v>
      </c>
      <c r="AQ14">
        <v>1</v>
      </c>
    </row>
    <row r="15" spans="1:43" x14ac:dyDescent="0.25">
      <c r="A15" t="s">
        <v>3217</v>
      </c>
      <c r="B15">
        <v>14</v>
      </c>
      <c r="C15">
        <v>86</v>
      </c>
      <c r="D15">
        <v>65</v>
      </c>
      <c r="G15" t="s">
        <v>3265</v>
      </c>
      <c r="I15" t="s">
        <v>3265</v>
      </c>
      <c r="J15" t="s">
        <v>3265</v>
      </c>
      <c r="K15" t="s">
        <v>3266</v>
      </c>
      <c r="M15" t="s">
        <v>3267</v>
      </c>
      <c r="O15" t="s">
        <v>778</v>
      </c>
      <c r="P15" t="s">
        <v>3268</v>
      </c>
      <c r="R15" t="s">
        <v>3221</v>
      </c>
      <c r="S15" t="s">
        <v>3222</v>
      </c>
      <c r="T15" t="s">
        <v>3223</v>
      </c>
      <c r="U15" t="s">
        <v>2692</v>
      </c>
      <c r="Y15" t="s">
        <v>3217</v>
      </c>
      <c r="Z15">
        <v>325</v>
      </c>
      <c r="AA15" s="31">
        <v>45604</v>
      </c>
      <c r="AB15" s="61">
        <v>0.72947916666666668</v>
      </c>
      <c r="AC15" t="s">
        <v>795</v>
      </c>
      <c r="AD15" s="31">
        <v>45929</v>
      </c>
      <c r="AE15" s="61">
        <v>0.70285879629629633</v>
      </c>
      <c r="AF15" t="s">
        <v>796</v>
      </c>
      <c r="AQ15">
        <v>1</v>
      </c>
    </row>
    <row r="16" spans="1:43" x14ac:dyDescent="0.25">
      <c r="A16" t="s">
        <v>3217</v>
      </c>
      <c r="B16">
        <v>15</v>
      </c>
      <c r="C16">
        <v>87</v>
      </c>
      <c r="D16">
        <v>67</v>
      </c>
      <c r="G16" t="s">
        <v>3269</v>
      </c>
      <c r="I16" t="s">
        <v>3269</v>
      </c>
      <c r="J16" t="s">
        <v>3269</v>
      </c>
      <c r="K16" t="s">
        <v>3270</v>
      </c>
      <c r="M16" t="s">
        <v>3271</v>
      </c>
      <c r="O16" t="s">
        <v>778</v>
      </c>
      <c r="R16" t="s">
        <v>3221</v>
      </c>
      <c r="S16" t="s">
        <v>3222</v>
      </c>
      <c r="T16" t="s">
        <v>3223</v>
      </c>
      <c r="U16" t="s">
        <v>2692</v>
      </c>
      <c r="Y16" t="s">
        <v>3217</v>
      </c>
      <c r="Z16">
        <v>325</v>
      </c>
      <c r="AA16" s="31">
        <v>45604</v>
      </c>
      <c r="AB16" s="61">
        <v>0.72947916666666668</v>
      </c>
      <c r="AC16" t="s">
        <v>795</v>
      </c>
      <c r="AD16" s="31">
        <v>45929</v>
      </c>
      <c r="AE16" s="61">
        <v>0.70288194444444441</v>
      </c>
      <c r="AF16" t="s">
        <v>796</v>
      </c>
      <c r="AQ16">
        <v>1</v>
      </c>
    </row>
    <row r="17" spans="1:43" x14ac:dyDescent="0.25">
      <c r="A17" t="s">
        <v>3217</v>
      </c>
      <c r="B17">
        <v>16</v>
      </c>
      <c r="C17">
        <v>88</v>
      </c>
      <c r="D17">
        <v>69</v>
      </c>
      <c r="G17" t="s">
        <v>660</v>
      </c>
      <c r="I17" t="s">
        <v>660</v>
      </c>
      <c r="J17" t="s">
        <v>660</v>
      </c>
      <c r="K17" t="s">
        <v>3272</v>
      </c>
      <c r="M17" t="s">
        <v>3273</v>
      </c>
      <c r="O17" t="s">
        <v>778</v>
      </c>
      <c r="P17" t="s">
        <v>3274</v>
      </c>
      <c r="Q17" t="s">
        <v>932</v>
      </c>
      <c r="R17" t="s">
        <v>3221</v>
      </c>
      <c r="S17" t="s">
        <v>3222</v>
      </c>
      <c r="T17" t="s">
        <v>3223</v>
      </c>
      <c r="U17" t="s">
        <v>2692</v>
      </c>
      <c r="W17">
        <v>0</v>
      </c>
      <c r="X17">
        <v>0</v>
      </c>
      <c r="Y17" t="s">
        <v>3217</v>
      </c>
      <c r="Z17">
        <v>325</v>
      </c>
      <c r="AA17" s="31">
        <v>45604</v>
      </c>
      <c r="AB17" s="61">
        <v>0.72947916666666668</v>
      </c>
      <c r="AC17" t="s">
        <v>795</v>
      </c>
      <c r="AD17" s="31">
        <v>45929</v>
      </c>
      <c r="AE17" s="61">
        <v>0.70248842592592597</v>
      </c>
      <c r="AF17" t="s">
        <v>796</v>
      </c>
      <c r="AQ17">
        <v>1</v>
      </c>
    </row>
    <row r="18" spans="1:43" x14ac:dyDescent="0.25">
      <c r="A18" t="s">
        <v>3217</v>
      </c>
      <c r="B18">
        <v>17</v>
      </c>
      <c r="C18">
        <v>89</v>
      </c>
      <c r="D18">
        <v>71</v>
      </c>
      <c r="G18" t="s">
        <v>3275</v>
      </c>
      <c r="I18" t="s">
        <v>3275</v>
      </c>
      <c r="J18" t="s">
        <v>3275</v>
      </c>
      <c r="K18" t="s">
        <v>3276</v>
      </c>
      <c r="M18" t="s">
        <v>3277</v>
      </c>
      <c r="O18" t="s">
        <v>778</v>
      </c>
      <c r="R18" t="s">
        <v>3221</v>
      </c>
      <c r="S18" t="s">
        <v>3222</v>
      </c>
      <c r="T18" t="s">
        <v>3223</v>
      </c>
      <c r="U18" t="s">
        <v>2692</v>
      </c>
      <c r="Y18" t="s">
        <v>3217</v>
      </c>
      <c r="Z18">
        <v>325</v>
      </c>
      <c r="AA18" s="31">
        <v>45604</v>
      </c>
      <c r="AB18" s="61">
        <v>0.72947916666666668</v>
      </c>
      <c r="AC18" t="s">
        <v>795</v>
      </c>
      <c r="AD18" s="31">
        <v>45929</v>
      </c>
      <c r="AE18" s="61">
        <v>0.70251157407407405</v>
      </c>
      <c r="AF18" t="s">
        <v>796</v>
      </c>
      <c r="AQ18">
        <v>1</v>
      </c>
    </row>
    <row r="19" spans="1:43" x14ac:dyDescent="0.25">
      <c r="A19" t="s">
        <v>3217</v>
      </c>
      <c r="B19">
        <v>18</v>
      </c>
      <c r="C19">
        <v>90</v>
      </c>
      <c r="D19">
        <v>73</v>
      </c>
      <c r="G19" t="s">
        <v>3278</v>
      </c>
      <c r="I19" t="s">
        <v>3278</v>
      </c>
      <c r="J19" t="s">
        <v>3278</v>
      </c>
      <c r="M19" t="s">
        <v>3279</v>
      </c>
      <c r="O19" t="s">
        <v>778</v>
      </c>
      <c r="R19" t="s">
        <v>3221</v>
      </c>
      <c r="S19" t="s">
        <v>3222</v>
      </c>
      <c r="T19" t="s">
        <v>3223</v>
      </c>
      <c r="U19" t="s">
        <v>2692</v>
      </c>
      <c r="Y19" t="s">
        <v>3217</v>
      </c>
      <c r="Z19">
        <v>325</v>
      </c>
      <c r="AA19" s="31">
        <v>45604</v>
      </c>
      <c r="AB19" s="61">
        <v>0.72947916666666668</v>
      </c>
      <c r="AC19" t="s">
        <v>795</v>
      </c>
      <c r="AD19" s="31">
        <v>45929</v>
      </c>
      <c r="AE19" s="61">
        <v>0.70254629629629628</v>
      </c>
      <c r="AF19" t="s">
        <v>796</v>
      </c>
      <c r="AQ19">
        <v>1</v>
      </c>
    </row>
    <row r="20" spans="1:43" x14ac:dyDescent="0.25">
      <c r="A20" t="s">
        <v>3217</v>
      </c>
      <c r="B20">
        <v>19</v>
      </c>
      <c r="C20">
        <v>91</v>
      </c>
      <c r="D20">
        <v>75</v>
      </c>
      <c r="G20" t="s">
        <v>3280</v>
      </c>
      <c r="I20" t="s">
        <v>3280</v>
      </c>
      <c r="J20" t="s">
        <v>3280</v>
      </c>
      <c r="M20" t="s">
        <v>3281</v>
      </c>
      <c r="O20" t="s">
        <v>778</v>
      </c>
      <c r="R20" t="s">
        <v>3221</v>
      </c>
      <c r="S20" t="s">
        <v>3222</v>
      </c>
      <c r="T20" t="s">
        <v>3223</v>
      </c>
      <c r="U20" t="s">
        <v>2692</v>
      </c>
      <c r="Y20" t="s">
        <v>3217</v>
      </c>
      <c r="Z20">
        <v>325</v>
      </c>
      <c r="AA20" s="31">
        <v>45604</v>
      </c>
      <c r="AB20" s="61">
        <v>0.72947916666666668</v>
      </c>
      <c r="AC20" t="s">
        <v>795</v>
      </c>
      <c r="AD20" s="31">
        <v>45929</v>
      </c>
      <c r="AE20" s="61">
        <v>0.70256944444444447</v>
      </c>
      <c r="AF20" t="s">
        <v>796</v>
      </c>
      <c r="AQ20">
        <v>1</v>
      </c>
    </row>
    <row r="21" spans="1:43" x14ac:dyDescent="0.25">
      <c r="A21" t="s">
        <v>3217</v>
      </c>
      <c r="B21">
        <v>20</v>
      </c>
      <c r="C21">
        <v>92</v>
      </c>
      <c r="D21">
        <v>77</v>
      </c>
      <c r="G21" t="s">
        <v>3282</v>
      </c>
      <c r="I21" t="s">
        <v>3282</v>
      </c>
      <c r="J21" t="s">
        <v>3282</v>
      </c>
      <c r="K21" t="s">
        <v>3283</v>
      </c>
      <c r="M21" t="s">
        <v>3284</v>
      </c>
      <c r="O21" t="s">
        <v>778</v>
      </c>
      <c r="R21" t="s">
        <v>3221</v>
      </c>
      <c r="S21" t="s">
        <v>3222</v>
      </c>
      <c r="T21" t="s">
        <v>3223</v>
      </c>
      <c r="U21" t="s">
        <v>2692</v>
      </c>
      <c r="Y21" t="s">
        <v>3217</v>
      </c>
      <c r="Z21">
        <v>325</v>
      </c>
      <c r="AA21" s="31">
        <v>45604</v>
      </c>
      <c r="AB21" s="61">
        <v>0.72947916666666668</v>
      </c>
      <c r="AC21" t="s">
        <v>795</v>
      </c>
      <c r="AD21" s="31">
        <v>45929</v>
      </c>
      <c r="AE21" s="61">
        <v>0.70259259259259255</v>
      </c>
      <c r="AF21" t="s">
        <v>796</v>
      </c>
      <c r="AQ21">
        <v>1</v>
      </c>
    </row>
    <row r="22" spans="1:43" x14ac:dyDescent="0.25">
      <c r="A22" t="s">
        <v>3217</v>
      </c>
      <c r="B22">
        <v>21</v>
      </c>
      <c r="C22">
        <v>93</v>
      </c>
      <c r="D22">
        <v>79</v>
      </c>
      <c r="G22" t="s">
        <v>3285</v>
      </c>
      <c r="I22" t="s">
        <v>3285</v>
      </c>
      <c r="J22" t="s">
        <v>3285</v>
      </c>
      <c r="M22" t="s">
        <v>3286</v>
      </c>
      <c r="O22" t="s">
        <v>778</v>
      </c>
      <c r="R22" t="s">
        <v>3221</v>
      </c>
      <c r="S22" t="s">
        <v>3222</v>
      </c>
      <c r="T22" t="s">
        <v>3223</v>
      </c>
      <c r="U22" t="s">
        <v>2692</v>
      </c>
      <c r="Y22" t="s">
        <v>3217</v>
      </c>
      <c r="Z22">
        <v>325</v>
      </c>
      <c r="AA22" s="31">
        <v>45604</v>
      </c>
      <c r="AB22" s="61">
        <v>0.72947916666666668</v>
      </c>
      <c r="AC22" t="s">
        <v>795</v>
      </c>
      <c r="AD22" s="31">
        <v>45929</v>
      </c>
      <c r="AE22" s="61">
        <v>0.70261574074074074</v>
      </c>
      <c r="AF22" t="s">
        <v>796</v>
      </c>
      <c r="AQ22">
        <v>1</v>
      </c>
    </row>
    <row r="23" spans="1:43" x14ac:dyDescent="0.25">
      <c r="A23" t="s">
        <v>3217</v>
      </c>
      <c r="B23">
        <v>22</v>
      </c>
      <c r="C23">
        <v>94</v>
      </c>
      <c r="D23">
        <v>81</v>
      </c>
      <c r="G23" t="s">
        <v>1233</v>
      </c>
      <c r="I23" t="s">
        <v>1233</v>
      </c>
      <c r="J23" t="s">
        <v>1233</v>
      </c>
      <c r="K23" t="s">
        <v>3287</v>
      </c>
      <c r="M23" t="s">
        <v>3288</v>
      </c>
      <c r="O23" t="s">
        <v>778</v>
      </c>
      <c r="R23" t="s">
        <v>3221</v>
      </c>
      <c r="S23" t="s">
        <v>3222</v>
      </c>
      <c r="T23" t="s">
        <v>3223</v>
      </c>
      <c r="U23" t="s">
        <v>2692</v>
      </c>
      <c r="Y23" t="s">
        <v>3217</v>
      </c>
      <c r="Z23">
        <v>325</v>
      </c>
      <c r="AA23" s="31">
        <v>45604</v>
      </c>
      <c r="AB23" s="61">
        <v>0.72947916666666668</v>
      </c>
      <c r="AC23" t="s">
        <v>795</v>
      </c>
      <c r="AD23" s="31">
        <v>45929</v>
      </c>
      <c r="AE23" s="61">
        <v>0.70265046296296296</v>
      </c>
      <c r="AF23" t="s">
        <v>796</v>
      </c>
      <c r="AQ23">
        <v>1</v>
      </c>
    </row>
    <row r="24" spans="1:43" x14ac:dyDescent="0.25">
      <c r="A24" t="s">
        <v>3217</v>
      </c>
      <c r="B24">
        <v>23</v>
      </c>
      <c r="C24">
        <v>95</v>
      </c>
      <c r="D24">
        <v>83</v>
      </c>
      <c r="G24" t="s">
        <v>3289</v>
      </c>
      <c r="I24" t="s">
        <v>3289</v>
      </c>
      <c r="J24" t="s">
        <v>3289</v>
      </c>
      <c r="M24" t="s">
        <v>3290</v>
      </c>
      <c r="O24" t="s">
        <v>778</v>
      </c>
      <c r="R24" t="s">
        <v>3221</v>
      </c>
      <c r="S24" t="s">
        <v>3222</v>
      </c>
      <c r="T24" t="s">
        <v>3223</v>
      </c>
      <c r="U24" t="s">
        <v>2692</v>
      </c>
      <c r="Y24" t="s">
        <v>3217</v>
      </c>
      <c r="Z24">
        <v>325</v>
      </c>
      <c r="AA24" s="31">
        <v>45604</v>
      </c>
      <c r="AB24" s="61">
        <v>0.72947916666666668</v>
      </c>
      <c r="AC24" t="s">
        <v>795</v>
      </c>
      <c r="AD24" s="31">
        <v>45929</v>
      </c>
      <c r="AE24" s="61">
        <v>0.702662037037037</v>
      </c>
      <c r="AF24" t="s">
        <v>796</v>
      </c>
      <c r="AQ24">
        <v>1</v>
      </c>
    </row>
    <row r="25" spans="1:43" x14ac:dyDescent="0.25">
      <c r="A25" t="s">
        <v>3217</v>
      </c>
      <c r="B25">
        <v>24</v>
      </c>
      <c r="C25">
        <v>96</v>
      </c>
      <c r="D25">
        <v>85</v>
      </c>
      <c r="G25" t="s">
        <v>3291</v>
      </c>
      <c r="I25" t="s">
        <v>3291</v>
      </c>
      <c r="J25" t="s">
        <v>3291</v>
      </c>
      <c r="K25" t="s">
        <v>3292</v>
      </c>
      <c r="M25" t="s">
        <v>3293</v>
      </c>
      <c r="O25" t="s">
        <v>778</v>
      </c>
      <c r="R25" t="s">
        <v>3221</v>
      </c>
      <c r="S25" t="s">
        <v>3222</v>
      </c>
      <c r="T25" t="s">
        <v>3223</v>
      </c>
      <c r="U25" t="s">
        <v>2692</v>
      </c>
      <c r="Y25" t="s">
        <v>3217</v>
      </c>
      <c r="Z25">
        <v>325</v>
      </c>
      <c r="AA25" s="31">
        <v>45604</v>
      </c>
      <c r="AB25" s="61">
        <v>0.72947916666666668</v>
      </c>
      <c r="AC25" t="s">
        <v>795</v>
      </c>
      <c r="AD25" s="31">
        <v>45929</v>
      </c>
      <c r="AE25" s="61">
        <v>0.70269675925925923</v>
      </c>
      <c r="AF25" t="s">
        <v>796</v>
      </c>
      <c r="AQ25">
        <v>1</v>
      </c>
    </row>
    <row r="26" spans="1:43" x14ac:dyDescent="0.25">
      <c r="A26" t="s">
        <v>3217</v>
      </c>
      <c r="B26">
        <v>25</v>
      </c>
      <c r="C26">
        <v>97</v>
      </c>
      <c r="D26">
        <v>87</v>
      </c>
      <c r="G26" t="s">
        <v>669</v>
      </c>
      <c r="H26">
        <v>22500484000170</v>
      </c>
      <c r="I26" t="s">
        <v>669</v>
      </c>
      <c r="J26" t="s">
        <v>669</v>
      </c>
      <c r="M26" t="s">
        <v>3294</v>
      </c>
      <c r="O26" t="s">
        <v>778</v>
      </c>
      <c r="R26" t="s">
        <v>3221</v>
      </c>
      <c r="S26" t="s">
        <v>3222</v>
      </c>
      <c r="T26" t="s">
        <v>3223</v>
      </c>
      <c r="U26" t="s">
        <v>2692</v>
      </c>
      <c r="Y26" t="s">
        <v>3217</v>
      </c>
      <c r="Z26">
        <v>325</v>
      </c>
      <c r="AA26" s="31">
        <v>45604</v>
      </c>
      <c r="AB26" s="61">
        <v>0.72947916666666668</v>
      </c>
      <c r="AC26" t="s">
        <v>795</v>
      </c>
      <c r="AD26" s="31">
        <v>45929</v>
      </c>
      <c r="AE26" s="61">
        <v>0.70271990740740742</v>
      </c>
      <c r="AF26" t="s">
        <v>796</v>
      </c>
      <c r="AQ26">
        <v>1</v>
      </c>
    </row>
    <row r="27" spans="1:43" x14ac:dyDescent="0.25">
      <c r="A27" t="s">
        <v>3217</v>
      </c>
      <c r="B27">
        <v>26</v>
      </c>
      <c r="C27">
        <v>98</v>
      </c>
      <c r="D27">
        <v>89</v>
      </c>
      <c r="G27" t="s">
        <v>604</v>
      </c>
      <c r="I27" t="s">
        <v>604</v>
      </c>
      <c r="J27" t="s">
        <v>604</v>
      </c>
      <c r="M27" t="s">
        <v>3295</v>
      </c>
      <c r="O27" t="s">
        <v>778</v>
      </c>
      <c r="R27" t="s">
        <v>3221</v>
      </c>
      <c r="S27" t="s">
        <v>3222</v>
      </c>
      <c r="T27" t="s">
        <v>3223</v>
      </c>
      <c r="U27" t="s">
        <v>2692</v>
      </c>
      <c r="Y27" t="s">
        <v>3217</v>
      </c>
      <c r="Z27">
        <v>325</v>
      </c>
      <c r="AA27" s="31">
        <v>45604</v>
      </c>
      <c r="AB27" s="61">
        <v>0.72949074074074072</v>
      </c>
      <c r="AC27" t="s">
        <v>795</v>
      </c>
      <c r="AD27" s="31">
        <v>45929</v>
      </c>
      <c r="AE27" s="61">
        <v>0.70274305555555561</v>
      </c>
      <c r="AF27" t="s">
        <v>796</v>
      </c>
      <c r="AQ27">
        <v>1</v>
      </c>
    </row>
    <row r="28" spans="1:43" x14ac:dyDescent="0.25">
      <c r="A28" t="s">
        <v>3217</v>
      </c>
      <c r="B28">
        <v>27</v>
      </c>
      <c r="C28">
        <v>99</v>
      </c>
      <c r="D28">
        <v>91</v>
      </c>
      <c r="G28" t="s">
        <v>3296</v>
      </c>
      <c r="I28" t="s">
        <v>3296</v>
      </c>
      <c r="J28" t="s">
        <v>3296</v>
      </c>
      <c r="K28" t="s">
        <v>3297</v>
      </c>
      <c r="M28" t="s">
        <v>3298</v>
      </c>
      <c r="O28" t="s">
        <v>778</v>
      </c>
      <c r="P28" t="s">
        <v>3299</v>
      </c>
      <c r="Q28" t="s">
        <v>1699</v>
      </c>
      <c r="R28" t="s">
        <v>3221</v>
      </c>
      <c r="S28" t="s">
        <v>3222</v>
      </c>
      <c r="T28" t="s">
        <v>3223</v>
      </c>
      <c r="U28" t="s">
        <v>2692</v>
      </c>
      <c r="Y28" t="s">
        <v>3217</v>
      </c>
      <c r="Z28">
        <v>325</v>
      </c>
      <c r="AA28" s="31">
        <v>45604</v>
      </c>
      <c r="AB28" s="61">
        <v>0.72949074074074072</v>
      </c>
      <c r="AC28" t="s">
        <v>795</v>
      </c>
      <c r="AD28" s="31">
        <v>45929</v>
      </c>
      <c r="AE28" s="61">
        <v>0.70277777777777772</v>
      </c>
      <c r="AF28" t="s">
        <v>796</v>
      </c>
      <c r="AQ28">
        <v>1</v>
      </c>
    </row>
    <row r="29" spans="1:43" x14ac:dyDescent="0.25">
      <c r="A29" t="s">
        <v>3217</v>
      </c>
      <c r="B29">
        <v>28</v>
      </c>
      <c r="C29">
        <v>100</v>
      </c>
      <c r="D29">
        <v>93</v>
      </c>
      <c r="G29" t="s">
        <v>3300</v>
      </c>
      <c r="I29" t="s">
        <v>3300</v>
      </c>
      <c r="J29" t="s">
        <v>3300</v>
      </c>
      <c r="K29" t="s">
        <v>3301</v>
      </c>
      <c r="M29" t="s">
        <v>3302</v>
      </c>
      <c r="O29" t="s">
        <v>778</v>
      </c>
      <c r="P29" t="s">
        <v>923</v>
      </c>
      <c r="Q29" t="s">
        <v>790</v>
      </c>
      <c r="R29" t="s">
        <v>3221</v>
      </c>
      <c r="S29" t="s">
        <v>3222</v>
      </c>
      <c r="T29" t="s">
        <v>3223</v>
      </c>
      <c r="U29" t="s">
        <v>2692</v>
      </c>
      <c r="Y29" t="s">
        <v>3217</v>
      </c>
      <c r="Z29">
        <v>325</v>
      </c>
      <c r="AA29" s="31">
        <v>45604</v>
      </c>
      <c r="AB29" s="61">
        <v>0.72949074074074072</v>
      </c>
      <c r="AC29" t="s">
        <v>795</v>
      </c>
      <c r="AD29" s="31">
        <v>45929</v>
      </c>
      <c r="AE29" s="61">
        <v>0.70280092592592591</v>
      </c>
      <c r="AF29" t="s">
        <v>796</v>
      </c>
      <c r="AQ29">
        <v>1</v>
      </c>
    </row>
    <row r="30" spans="1:43" x14ac:dyDescent="0.25">
      <c r="A30" t="s">
        <v>3217</v>
      </c>
      <c r="B30">
        <v>29</v>
      </c>
      <c r="C30">
        <v>101</v>
      </c>
      <c r="D30">
        <v>95</v>
      </c>
      <c r="G30" t="s">
        <v>3303</v>
      </c>
      <c r="I30" t="s">
        <v>3303</v>
      </c>
      <c r="J30" t="s">
        <v>3303</v>
      </c>
      <c r="K30" t="s">
        <v>3304</v>
      </c>
      <c r="M30" t="s">
        <v>3305</v>
      </c>
      <c r="O30" t="s">
        <v>778</v>
      </c>
      <c r="R30" t="s">
        <v>3221</v>
      </c>
      <c r="S30" t="s">
        <v>3222</v>
      </c>
      <c r="T30" t="s">
        <v>3223</v>
      </c>
      <c r="U30" t="s">
        <v>2692</v>
      </c>
      <c r="Y30" t="s">
        <v>3217</v>
      </c>
      <c r="Z30">
        <v>325</v>
      </c>
      <c r="AA30" s="31">
        <v>45604</v>
      </c>
      <c r="AB30" s="61">
        <v>0.72949074074074072</v>
      </c>
      <c r="AC30" t="s">
        <v>795</v>
      </c>
      <c r="AD30" s="31">
        <v>45929</v>
      </c>
      <c r="AE30" s="61">
        <v>0.7028240740740741</v>
      </c>
      <c r="AF30" t="s">
        <v>796</v>
      </c>
      <c r="AQ30">
        <v>1</v>
      </c>
    </row>
    <row r="31" spans="1:43" x14ac:dyDescent="0.25">
      <c r="A31" t="s">
        <v>3217</v>
      </c>
      <c r="B31">
        <v>30</v>
      </c>
      <c r="C31">
        <v>102</v>
      </c>
      <c r="D31">
        <v>97</v>
      </c>
      <c r="G31" t="s">
        <v>3306</v>
      </c>
      <c r="I31" t="s">
        <v>3306</v>
      </c>
      <c r="J31" t="s">
        <v>3306</v>
      </c>
      <c r="K31" t="s">
        <v>3307</v>
      </c>
      <c r="M31" t="s">
        <v>3308</v>
      </c>
      <c r="O31" t="s">
        <v>778</v>
      </c>
      <c r="R31" t="s">
        <v>3221</v>
      </c>
      <c r="S31" t="s">
        <v>3222</v>
      </c>
      <c r="T31" t="s">
        <v>3223</v>
      </c>
      <c r="U31" t="s">
        <v>2692</v>
      </c>
      <c r="Y31" t="s">
        <v>3217</v>
      </c>
      <c r="Z31">
        <v>325</v>
      </c>
      <c r="AA31" s="31">
        <v>45604</v>
      </c>
      <c r="AB31" s="61">
        <v>0.72949074074074072</v>
      </c>
      <c r="AC31" t="s">
        <v>795</v>
      </c>
      <c r="AD31" s="31">
        <v>45929</v>
      </c>
      <c r="AE31" s="61">
        <v>0.70284722222222218</v>
      </c>
      <c r="AF31" t="s">
        <v>796</v>
      </c>
      <c r="AQ31">
        <v>1</v>
      </c>
    </row>
    <row r="32" spans="1:43" x14ac:dyDescent="0.25">
      <c r="A32" t="s">
        <v>3217</v>
      </c>
      <c r="B32">
        <v>31</v>
      </c>
      <c r="C32">
        <v>103</v>
      </c>
      <c r="D32">
        <v>99</v>
      </c>
      <c r="G32" t="s">
        <v>77</v>
      </c>
      <c r="H32">
        <v>12549273000179</v>
      </c>
      <c r="I32" t="s">
        <v>3309</v>
      </c>
      <c r="J32" t="s">
        <v>3310</v>
      </c>
      <c r="K32" t="s">
        <v>3311</v>
      </c>
      <c r="M32" t="s">
        <v>3312</v>
      </c>
      <c r="O32" t="s">
        <v>3313</v>
      </c>
      <c r="P32" t="s">
        <v>1596</v>
      </c>
      <c r="Q32" t="s">
        <v>790</v>
      </c>
      <c r="R32" t="s">
        <v>3221</v>
      </c>
      <c r="S32" t="s">
        <v>3222</v>
      </c>
      <c r="T32" t="s">
        <v>3223</v>
      </c>
      <c r="U32" t="s">
        <v>2692</v>
      </c>
      <c r="Y32" t="s">
        <v>3217</v>
      </c>
      <c r="Z32">
        <v>325</v>
      </c>
      <c r="AA32" s="31">
        <v>45604</v>
      </c>
      <c r="AB32" s="61">
        <v>0.72949074074074072</v>
      </c>
      <c r="AC32" t="s">
        <v>795</v>
      </c>
      <c r="AD32" s="31">
        <v>45929</v>
      </c>
      <c r="AE32" s="61">
        <v>0.70248842592592597</v>
      </c>
      <c r="AF32" t="s">
        <v>796</v>
      </c>
      <c r="AQ32">
        <v>1</v>
      </c>
    </row>
    <row r="33" spans="1:43" x14ac:dyDescent="0.25">
      <c r="A33" t="s">
        <v>3217</v>
      </c>
      <c r="B33">
        <v>32</v>
      </c>
      <c r="C33">
        <v>104</v>
      </c>
      <c r="D33">
        <v>101</v>
      </c>
      <c r="G33" t="s">
        <v>3314</v>
      </c>
      <c r="I33" t="s">
        <v>3314</v>
      </c>
      <c r="J33" t="s">
        <v>3314</v>
      </c>
      <c r="M33" t="s">
        <v>3315</v>
      </c>
      <c r="O33" t="s">
        <v>778</v>
      </c>
      <c r="R33" t="s">
        <v>3221</v>
      </c>
      <c r="S33" t="s">
        <v>3222</v>
      </c>
      <c r="T33" t="s">
        <v>3223</v>
      </c>
      <c r="U33" t="s">
        <v>2692</v>
      </c>
      <c r="Y33" t="s">
        <v>3217</v>
      </c>
      <c r="Z33">
        <v>325</v>
      </c>
      <c r="AA33" s="31">
        <v>45604</v>
      </c>
      <c r="AB33" s="61">
        <v>0.72949074074074072</v>
      </c>
      <c r="AC33" t="s">
        <v>795</v>
      </c>
      <c r="AD33" s="31">
        <v>45929</v>
      </c>
      <c r="AE33" s="61">
        <v>0.7025231481481482</v>
      </c>
      <c r="AF33" t="s">
        <v>796</v>
      </c>
      <c r="AQ33">
        <v>1</v>
      </c>
    </row>
    <row r="34" spans="1:43" x14ac:dyDescent="0.25">
      <c r="A34" t="s">
        <v>3217</v>
      </c>
      <c r="B34">
        <v>33</v>
      </c>
      <c r="C34">
        <v>105</v>
      </c>
      <c r="D34">
        <v>103</v>
      </c>
      <c r="G34" t="s">
        <v>3316</v>
      </c>
      <c r="I34" t="s">
        <v>3316</v>
      </c>
      <c r="J34" t="s">
        <v>3316</v>
      </c>
      <c r="M34" t="s">
        <v>3317</v>
      </c>
      <c r="O34" t="s">
        <v>778</v>
      </c>
      <c r="R34" t="s">
        <v>3221</v>
      </c>
      <c r="S34" t="s">
        <v>3222</v>
      </c>
      <c r="T34" t="s">
        <v>3223</v>
      </c>
      <c r="U34" t="s">
        <v>2692</v>
      </c>
      <c r="Y34" t="s">
        <v>3217</v>
      </c>
      <c r="Z34">
        <v>325</v>
      </c>
      <c r="AA34" s="31">
        <v>45604</v>
      </c>
      <c r="AB34" s="61">
        <v>0.72949074074074072</v>
      </c>
      <c r="AC34" t="s">
        <v>795</v>
      </c>
      <c r="AD34" s="31">
        <v>45929</v>
      </c>
      <c r="AE34" s="61">
        <v>0.70254629629629628</v>
      </c>
      <c r="AF34" t="s">
        <v>796</v>
      </c>
      <c r="AQ34">
        <v>1</v>
      </c>
    </row>
    <row r="35" spans="1:43" x14ac:dyDescent="0.25">
      <c r="A35" t="s">
        <v>3217</v>
      </c>
      <c r="B35">
        <v>34</v>
      </c>
      <c r="C35">
        <v>106</v>
      </c>
      <c r="D35">
        <v>105</v>
      </c>
      <c r="G35" t="s">
        <v>3318</v>
      </c>
      <c r="I35" t="s">
        <v>3318</v>
      </c>
      <c r="J35" t="s">
        <v>3318</v>
      </c>
      <c r="M35" t="s">
        <v>3319</v>
      </c>
      <c r="O35" t="s">
        <v>778</v>
      </c>
      <c r="R35" t="s">
        <v>3221</v>
      </c>
      <c r="S35" t="s">
        <v>3222</v>
      </c>
      <c r="T35" t="s">
        <v>3223</v>
      </c>
      <c r="U35" t="s">
        <v>2692</v>
      </c>
      <c r="Y35" t="s">
        <v>3217</v>
      </c>
      <c r="Z35">
        <v>325</v>
      </c>
      <c r="AA35" s="31">
        <v>45604</v>
      </c>
      <c r="AB35" s="61">
        <v>0.72949074074074072</v>
      </c>
      <c r="AC35" t="s">
        <v>795</v>
      </c>
      <c r="AD35" s="31">
        <v>45929</v>
      </c>
      <c r="AE35" s="61">
        <v>0.70258101851851851</v>
      </c>
      <c r="AF35" t="s">
        <v>796</v>
      </c>
      <c r="AQ35">
        <v>1</v>
      </c>
    </row>
    <row r="36" spans="1:43" x14ac:dyDescent="0.25">
      <c r="A36" t="s">
        <v>3217</v>
      </c>
      <c r="B36">
        <v>35</v>
      </c>
      <c r="C36">
        <v>107</v>
      </c>
      <c r="D36">
        <v>107</v>
      </c>
      <c r="G36" t="s">
        <v>427</v>
      </c>
      <c r="H36">
        <v>7527737000297</v>
      </c>
      <c r="I36" t="s">
        <v>427</v>
      </c>
      <c r="J36" t="s">
        <v>427</v>
      </c>
      <c r="M36" t="s">
        <v>3320</v>
      </c>
      <c r="O36" t="s">
        <v>778</v>
      </c>
      <c r="R36" t="s">
        <v>3221</v>
      </c>
      <c r="S36" t="s">
        <v>3222</v>
      </c>
      <c r="T36" t="s">
        <v>3223</v>
      </c>
      <c r="U36" t="s">
        <v>2692</v>
      </c>
      <c r="Y36" t="s">
        <v>3217</v>
      </c>
      <c r="Z36">
        <v>325</v>
      </c>
      <c r="AA36" s="31">
        <v>45604</v>
      </c>
      <c r="AB36" s="61">
        <v>0.72949074074074072</v>
      </c>
      <c r="AC36" t="s">
        <v>795</v>
      </c>
      <c r="AD36" s="31">
        <v>45929</v>
      </c>
      <c r="AE36" s="61">
        <v>0.7026041666666667</v>
      </c>
      <c r="AF36" t="s">
        <v>796</v>
      </c>
      <c r="AQ36">
        <v>1</v>
      </c>
    </row>
    <row r="37" spans="1:43" x14ac:dyDescent="0.25">
      <c r="A37" t="s">
        <v>3217</v>
      </c>
      <c r="B37">
        <v>36</v>
      </c>
      <c r="C37">
        <v>108</v>
      </c>
      <c r="D37">
        <v>109</v>
      </c>
      <c r="G37" t="s">
        <v>3321</v>
      </c>
      <c r="I37" t="s">
        <v>3321</v>
      </c>
      <c r="J37" t="s">
        <v>3321</v>
      </c>
      <c r="M37" t="s">
        <v>3322</v>
      </c>
      <c r="O37" t="s">
        <v>778</v>
      </c>
      <c r="R37" t="s">
        <v>3221</v>
      </c>
      <c r="S37" t="s">
        <v>3222</v>
      </c>
      <c r="T37" t="s">
        <v>3223</v>
      </c>
      <c r="U37" t="s">
        <v>2692</v>
      </c>
      <c r="Y37" t="s">
        <v>3217</v>
      </c>
      <c r="Z37">
        <v>325</v>
      </c>
      <c r="AA37" s="31">
        <v>45604</v>
      </c>
      <c r="AB37" s="61">
        <v>0.72949074074074072</v>
      </c>
      <c r="AC37" t="s">
        <v>795</v>
      </c>
      <c r="AD37" s="31">
        <v>45929</v>
      </c>
      <c r="AE37" s="61">
        <v>0.70263888888888892</v>
      </c>
      <c r="AF37" t="s">
        <v>796</v>
      </c>
      <c r="AQ37">
        <v>1</v>
      </c>
    </row>
    <row r="38" spans="1:43" x14ac:dyDescent="0.25">
      <c r="A38" t="s">
        <v>3217</v>
      </c>
      <c r="B38">
        <v>37</v>
      </c>
      <c r="C38">
        <v>109</v>
      </c>
      <c r="D38">
        <v>111</v>
      </c>
      <c r="G38" t="s">
        <v>3323</v>
      </c>
      <c r="I38" t="s">
        <v>3323</v>
      </c>
      <c r="J38" t="s">
        <v>3323</v>
      </c>
      <c r="M38" t="s">
        <v>3324</v>
      </c>
      <c r="O38" t="s">
        <v>778</v>
      </c>
      <c r="R38" t="s">
        <v>3221</v>
      </c>
      <c r="S38" t="s">
        <v>3222</v>
      </c>
      <c r="T38" t="s">
        <v>3223</v>
      </c>
      <c r="U38" t="s">
        <v>2692</v>
      </c>
      <c r="Y38" t="s">
        <v>3217</v>
      </c>
      <c r="Z38">
        <v>325</v>
      </c>
      <c r="AA38" s="31">
        <v>45604</v>
      </c>
      <c r="AB38" s="61">
        <v>0.72949074074074072</v>
      </c>
      <c r="AC38" t="s">
        <v>795</v>
      </c>
      <c r="AD38" s="31">
        <v>45929</v>
      </c>
      <c r="AE38" s="61">
        <v>0.70267361111111115</v>
      </c>
      <c r="AF38" t="s">
        <v>796</v>
      </c>
      <c r="AQ38">
        <v>1</v>
      </c>
    </row>
    <row r="39" spans="1:43" x14ac:dyDescent="0.25">
      <c r="A39" t="s">
        <v>3217</v>
      </c>
      <c r="B39">
        <v>38</v>
      </c>
      <c r="C39">
        <v>110</v>
      </c>
      <c r="D39">
        <v>113</v>
      </c>
      <c r="G39" t="s">
        <v>629</v>
      </c>
      <c r="I39" t="s">
        <v>629</v>
      </c>
      <c r="J39" t="s">
        <v>629</v>
      </c>
      <c r="M39" t="s">
        <v>3325</v>
      </c>
      <c r="O39" t="s">
        <v>778</v>
      </c>
      <c r="R39" t="s">
        <v>3221</v>
      </c>
      <c r="S39" t="s">
        <v>3222</v>
      </c>
      <c r="T39" t="s">
        <v>3223</v>
      </c>
      <c r="U39" t="s">
        <v>2692</v>
      </c>
      <c r="Y39" t="s">
        <v>3217</v>
      </c>
      <c r="Z39">
        <v>325</v>
      </c>
      <c r="AA39" s="31">
        <v>45604</v>
      </c>
      <c r="AB39" s="61">
        <v>0.72949074074074072</v>
      </c>
      <c r="AC39" t="s">
        <v>795</v>
      </c>
      <c r="AD39" s="31">
        <v>45929</v>
      </c>
      <c r="AE39" s="61">
        <v>0.70269675925925923</v>
      </c>
      <c r="AF39" t="s">
        <v>796</v>
      </c>
      <c r="AQ39">
        <v>1</v>
      </c>
    </row>
    <row r="40" spans="1:43" x14ac:dyDescent="0.25">
      <c r="A40" t="s">
        <v>3217</v>
      </c>
      <c r="B40">
        <v>39</v>
      </c>
      <c r="C40">
        <v>111</v>
      </c>
      <c r="D40">
        <v>115</v>
      </c>
      <c r="G40" t="s">
        <v>603</v>
      </c>
      <c r="I40" t="s">
        <v>603</v>
      </c>
      <c r="J40" t="s">
        <v>603</v>
      </c>
      <c r="M40" t="s">
        <v>3326</v>
      </c>
      <c r="O40" t="s">
        <v>778</v>
      </c>
      <c r="R40" t="s">
        <v>3221</v>
      </c>
      <c r="S40" t="s">
        <v>3222</v>
      </c>
      <c r="T40" t="s">
        <v>3223</v>
      </c>
      <c r="U40" t="s">
        <v>2692</v>
      </c>
      <c r="Y40" t="s">
        <v>3217</v>
      </c>
      <c r="Z40">
        <v>325</v>
      </c>
      <c r="AA40" s="31">
        <v>45604</v>
      </c>
      <c r="AB40" s="61">
        <v>0.72949074074074072</v>
      </c>
      <c r="AC40" t="s">
        <v>795</v>
      </c>
      <c r="AD40" s="31">
        <v>45929</v>
      </c>
      <c r="AE40" s="61">
        <v>0.70274305555555561</v>
      </c>
      <c r="AF40" t="s">
        <v>796</v>
      </c>
      <c r="AQ40">
        <v>1</v>
      </c>
    </row>
    <row r="41" spans="1:43" x14ac:dyDescent="0.25">
      <c r="A41" t="s">
        <v>3217</v>
      </c>
      <c r="B41">
        <v>40</v>
      </c>
      <c r="C41">
        <v>112</v>
      </c>
      <c r="D41">
        <v>117</v>
      </c>
      <c r="G41" t="s">
        <v>3327</v>
      </c>
      <c r="I41" t="s">
        <v>3327</v>
      </c>
      <c r="J41" t="s">
        <v>3327</v>
      </c>
      <c r="M41" t="s">
        <v>3328</v>
      </c>
      <c r="O41" t="s">
        <v>778</v>
      </c>
      <c r="R41" t="s">
        <v>3221</v>
      </c>
      <c r="S41" t="s">
        <v>3222</v>
      </c>
      <c r="T41" t="s">
        <v>3223</v>
      </c>
      <c r="U41" t="s">
        <v>2692</v>
      </c>
      <c r="Y41" t="s">
        <v>3217</v>
      </c>
      <c r="Z41">
        <v>325</v>
      </c>
      <c r="AA41" s="31">
        <v>45604</v>
      </c>
      <c r="AB41" s="61">
        <v>0.72949074074074072</v>
      </c>
      <c r="AC41" t="s">
        <v>795</v>
      </c>
      <c r="AD41" s="31">
        <v>45929</v>
      </c>
      <c r="AE41" s="61">
        <v>0.70276620370370368</v>
      </c>
      <c r="AF41" t="s">
        <v>796</v>
      </c>
      <c r="AQ41">
        <v>1</v>
      </c>
    </row>
    <row r="42" spans="1:43" x14ac:dyDescent="0.25">
      <c r="A42" t="s">
        <v>3217</v>
      </c>
      <c r="B42">
        <v>41</v>
      </c>
      <c r="C42">
        <v>113</v>
      </c>
      <c r="D42">
        <v>119</v>
      </c>
      <c r="G42" t="s">
        <v>65</v>
      </c>
      <c r="I42" t="s">
        <v>65</v>
      </c>
      <c r="J42" t="s">
        <v>65</v>
      </c>
      <c r="M42" t="s">
        <v>3329</v>
      </c>
      <c r="O42" t="s">
        <v>778</v>
      </c>
      <c r="R42" t="s">
        <v>3221</v>
      </c>
      <c r="S42" t="s">
        <v>3222</v>
      </c>
      <c r="T42" t="s">
        <v>3223</v>
      </c>
      <c r="U42" t="s">
        <v>2692</v>
      </c>
      <c r="Y42" t="s">
        <v>3217</v>
      </c>
      <c r="Z42">
        <v>325</v>
      </c>
      <c r="AA42" s="31">
        <v>45604</v>
      </c>
      <c r="AB42" s="61">
        <v>0.72949074074074072</v>
      </c>
      <c r="AC42" t="s">
        <v>795</v>
      </c>
      <c r="AD42" s="31">
        <v>45929</v>
      </c>
      <c r="AE42" s="61">
        <v>0.70278935185185187</v>
      </c>
      <c r="AF42" t="s">
        <v>796</v>
      </c>
      <c r="AQ42">
        <v>1</v>
      </c>
    </row>
    <row r="43" spans="1:43" x14ac:dyDescent="0.25">
      <c r="A43" t="s">
        <v>3217</v>
      </c>
      <c r="B43">
        <v>42</v>
      </c>
      <c r="C43">
        <v>114</v>
      </c>
      <c r="D43">
        <v>121</v>
      </c>
      <c r="G43" t="s">
        <v>3330</v>
      </c>
      <c r="I43" t="s">
        <v>3330</v>
      </c>
      <c r="J43" t="s">
        <v>3330</v>
      </c>
      <c r="K43" t="s">
        <v>3331</v>
      </c>
      <c r="M43" t="s">
        <v>3332</v>
      </c>
      <c r="O43" t="s">
        <v>778</v>
      </c>
      <c r="R43" t="s">
        <v>3221</v>
      </c>
      <c r="S43" t="s">
        <v>3222</v>
      </c>
      <c r="T43" t="s">
        <v>3223</v>
      </c>
      <c r="U43" t="s">
        <v>2692</v>
      </c>
      <c r="Y43" t="s">
        <v>3217</v>
      </c>
      <c r="Z43">
        <v>325</v>
      </c>
      <c r="AA43" s="31">
        <v>45604</v>
      </c>
      <c r="AB43" s="61">
        <v>0.72949074074074072</v>
      </c>
      <c r="AC43" t="s">
        <v>795</v>
      </c>
      <c r="AD43" s="31">
        <v>45929</v>
      </c>
      <c r="AE43" s="61">
        <v>0.70285879629629633</v>
      </c>
      <c r="AF43" t="s">
        <v>796</v>
      </c>
      <c r="AQ43">
        <v>1</v>
      </c>
    </row>
    <row r="44" spans="1:43" x14ac:dyDescent="0.25">
      <c r="A44" t="s">
        <v>3217</v>
      </c>
      <c r="B44">
        <v>43</v>
      </c>
      <c r="C44">
        <v>115</v>
      </c>
      <c r="D44">
        <v>123</v>
      </c>
      <c r="G44" t="s">
        <v>3333</v>
      </c>
      <c r="I44" t="s">
        <v>3333</v>
      </c>
      <c r="J44" t="s">
        <v>3333</v>
      </c>
      <c r="M44" t="s">
        <v>3334</v>
      </c>
      <c r="O44" t="s">
        <v>778</v>
      </c>
      <c r="R44" t="s">
        <v>3221</v>
      </c>
      <c r="S44" t="s">
        <v>3222</v>
      </c>
      <c r="T44" t="s">
        <v>3223</v>
      </c>
      <c r="U44" t="s">
        <v>2692</v>
      </c>
      <c r="Y44" t="s">
        <v>3217</v>
      </c>
      <c r="Z44">
        <v>325</v>
      </c>
      <c r="AA44" s="31">
        <v>45604</v>
      </c>
      <c r="AB44" s="61">
        <v>0.72949074074074072</v>
      </c>
      <c r="AC44" t="s">
        <v>795</v>
      </c>
      <c r="AD44" s="31">
        <v>45929</v>
      </c>
      <c r="AE44" s="61">
        <v>0.70288194444444441</v>
      </c>
      <c r="AF44" t="s">
        <v>796</v>
      </c>
      <c r="AQ44">
        <v>1</v>
      </c>
    </row>
    <row r="45" spans="1:43" x14ac:dyDescent="0.25">
      <c r="A45" t="s">
        <v>3217</v>
      </c>
      <c r="B45">
        <v>44</v>
      </c>
      <c r="C45">
        <v>116</v>
      </c>
      <c r="D45">
        <v>125</v>
      </c>
      <c r="G45" t="s">
        <v>3335</v>
      </c>
      <c r="I45" t="s">
        <v>3335</v>
      </c>
      <c r="J45" t="s">
        <v>3335</v>
      </c>
      <c r="K45" t="s">
        <v>3336</v>
      </c>
      <c r="M45" t="s">
        <v>3337</v>
      </c>
      <c r="O45" t="s">
        <v>778</v>
      </c>
      <c r="P45" t="s">
        <v>3338</v>
      </c>
      <c r="Q45" t="s">
        <v>3339</v>
      </c>
      <c r="R45" t="s">
        <v>3221</v>
      </c>
      <c r="S45" t="s">
        <v>3222</v>
      </c>
      <c r="T45" t="s">
        <v>3223</v>
      </c>
      <c r="U45" t="s">
        <v>2692</v>
      </c>
      <c r="Y45" t="s">
        <v>3217</v>
      </c>
      <c r="Z45">
        <v>325</v>
      </c>
      <c r="AA45" s="31">
        <v>45604</v>
      </c>
      <c r="AB45" s="61">
        <v>0.72950231481481487</v>
      </c>
      <c r="AC45" t="s">
        <v>795</v>
      </c>
      <c r="AD45" s="31">
        <v>45929</v>
      </c>
      <c r="AE45" s="61">
        <v>0.70289351851851856</v>
      </c>
      <c r="AF45" t="s">
        <v>796</v>
      </c>
      <c r="AQ45">
        <v>1</v>
      </c>
    </row>
    <row r="46" spans="1:43" x14ac:dyDescent="0.25">
      <c r="A46" t="s">
        <v>3217</v>
      </c>
      <c r="B46">
        <v>45</v>
      </c>
      <c r="C46">
        <v>117</v>
      </c>
      <c r="D46">
        <v>127</v>
      </c>
      <c r="G46" t="s">
        <v>3340</v>
      </c>
      <c r="I46" t="s">
        <v>3340</v>
      </c>
      <c r="J46" t="s">
        <v>3340</v>
      </c>
      <c r="M46" t="s">
        <v>3341</v>
      </c>
      <c r="O46" t="s">
        <v>778</v>
      </c>
      <c r="R46" t="s">
        <v>3221</v>
      </c>
      <c r="S46" t="s">
        <v>3222</v>
      </c>
      <c r="T46" t="s">
        <v>3223</v>
      </c>
      <c r="U46" t="s">
        <v>2692</v>
      </c>
      <c r="Y46" t="s">
        <v>3217</v>
      </c>
      <c r="Z46">
        <v>325</v>
      </c>
      <c r="AA46" s="31">
        <v>45604</v>
      </c>
      <c r="AB46" s="61">
        <v>0.72950231481481487</v>
      </c>
      <c r="AC46" t="s">
        <v>795</v>
      </c>
      <c r="AD46" s="31">
        <v>45929</v>
      </c>
      <c r="AE46" s="61">
        <v>0.70292824074074078</v>
      </c>
      <c r="AF46" t="s">
        <v>796</v>
      </c>
      <c r="AQ46">
        <v>1</v>
      </c>
    </row>
    <row r="47" spans="1:43" x14ac:dyDescent="0.25">
      <c r="A47" t="s">
        <v>3217</v>
      </c>
      <c r="B47">
        <v>46</v>
      </c>
      <c r="C47">
        <v>118</v>
      </c>
      <c r="D47">
        <v>129</v>
      </c>
      <c r="G47" t="s">
        <v>686</v>
      </c>
      <c r="I47" t="s">
        <v>686</v>
      </c>
      <c r="J47" t="s">
        <v>686</v>
      </c>
      <c r="K47" t="s">
        <v>3342</v>
      </c>
      <c r="M47" t="s">
        <v>3343</v>
      </c>
      <c r="O47" t="s">
        <v>778</v>
      </c>
      <c r="R47" t="s">
        <v>3221</v>
      </c>
      <c r="S47" t="s">
        <v>3222</v>
      </c>
      <c r="T47" t="s">
        <v>3223</v>
      </c>
      <c r="U47" t="s">
        <v>2692</v>
      </c>
      <c r="Y47" t="s">
        <v>3217</v>
      </c>
      <c r="Z47">
        <v>325</v>
      </c>
      <c r="AA47" s="31">
        <v>45604</v>
      </c>
      <c r="AB47" s="61">
        <v>0.72950231481481487</v>
      </c>
      <c r="AC47" t="s">
        <v>795</v>
      </c>
      <c r="AD47" s="31">
        <v>45929</v>
      </c>
      <c r="AE47" s="61">
        <v>0.70248842592592597</v>
      </c>
      <c r="AF47" t="s">
        <v>796</v>
      </c>
      <c r="AQ47">
        <v>1</v>
      </c>
    </row>
    <row r="48" spans="1:43" x14ac:dyDescent="0.25">
      <c r="A48" t="s">
        <v>3217</v>
      </c>
      <c r="B48">
        <v>47</v>
      </c>
      <c r="C48">
        <v>119</v>
      </c>
      <c r="D48">
        <v>131</v>
      </c>
      <c r="G48" t="s">
        <v>608</v>
      </c>
      <c r="I48" t="s">
        <v>608</v>
      </c>
      <c r="J48" t="s">
        <v>608</v>
      </c>
      <c r="K48" t="s">
        <v>3344</v>
      </c>
      <c r="M48" t="s">
        <v>3345</v>
      </c>
      <c r="O48" t="s">
        <v>778</v>
      </c>
      <c r="R48" t="s">
        <v>3221</v>
      </c>
      <c r="S48" t="s">
        <v>3222</v>
      </c>
      <c r="T48" t="s">
        <v>3223</v>
      </c>
      <c r="U48" t="s">
        <v>2692</v>
      </c>
      <c r="Y48" t="s">
        <v>3217</v>
      </c>
      <c r="Z48">
        <v>325</v>
      </c>
      <c r="AA48" s="31">
        <v>45604</v>
      </c>
      <c r="AB48" s="61">
        <v>0.72950231481481487</v>
      </c>
      <c r="AC48" t="s">
        <v>795</v>
      </c>
      <c r="AD48" s="31">
        <v>45929</v>
      </c>
      <c r="AE48" s="61">
        <v>0.70251157407407405</v>
      </c>
      <c r="AF48" t="s">
        <v>796</v>
      </c>
      <c r="AQ48">
        <v>1</v>
      </c>
    </row>
    <row r="49" spans="1:43" x14ac:dyDescent="0.25">
      <c r="A49" t="s">
        <v>3217</v>
      </c>
      <c r="B49">
        <v>48</v>
      </c>
      <c r="C49">
        <v>120</v>
      </c>
      <c r="D49">
        <v>133</v>
      </c>
      <c r="G49" t="s">
        <v>3346</v>
      </c>
      <c r="I49" t="s">
        <v>3346</v>
      </c>
      <c r="J49" t="s">
        <v>3346</v>
      </c>
      <c r="M49" t="s">
        <v>3347</v>
      </c>
      <c r="O49" t="s">
        <v>778</v>
      </c>
      <c r="R49" t="s">
        <v>3221</v>
      </c>
      <c r="S49" t="s">
        <v>3222</v>
      </c>
      <c r="T49" t="s">
        <v>3223</v>
      </c>
      <c r="U49" t="s">
        <v>2692</v>
      </c>
      <c r="Y49" t="s">
        <v>3217</v>
      </c>
      <c r="Z49">
        <v>325</v>
      </c>
      <c r="AA49" s="31">
        <v>45604</v>
      </c>
      <c r="AB49" s="61">
        <v>0.72950231481481487</v>
      </c>
      <c r="AC49" t="s">
        <v>795</v>
      </c>
      <c r="AD49" s="31">
        <v>45929</v>
      </c>
      <c r="AE49" s="61">
        <v>0.70253472222222224</v>
      </c>
      <c r="AF49" t="s">
        <v>796</v>
      </c>
      <c r="AQ49">
        <v>1</v>
      </c>
    </row>
    <row r="50" spans="1:43" x14ac:dyDescent="0.25">
      <c r="A50" t="s">
        <v>3217</v>
      </c>
      <c r="B50">
        <v>49</v>
      </c>
      <c r="C50">
        <v>121</v>
      </c>
      <c r="D50">
        <v>135</v>
      </c>
      <c r="G50" t="s">
        <v>3348</v>
      </c>
      <c r="I50" t="s">
        <v>3348</v>
      </c>
      <c r="J50" t="s">
        <v>3348</v>
      </c>
      <c r="M50" t="s">
        <v>3349</v>
      </c>
      <c r="O50" t="s">
        <v>778</v>
      </c>
      <c r="R50" t="s">
        <v>3221</v>
      </c>
      <c r="S50" t="s">
        <v>3222</v>
      </c>
      <c r="T50" t="s">
        <v>3223</v>
      </c>
      <c r="U50" t="s">
        <v>2692</v>
      </c>
      <c r="Y50" t="s">
        <v>3217</v>
      </c>
      <c r="Z50">
        <v>325</v>
      </c>
      <c r="AA50" s="31">
        <v>45604</v>
      </c>
      <c r="AB50" s="61">
        <v>0.72950231481481487</v>
      </c>
      <c r="AC50" t="s">
        <v>795</v>
      </c>
      <c r="AD50" s="31">
        <v>45929</v>
      </c>
      <c r="AE50" s="61">
        <v>0.70255787037037032</v>
      </c>
      <c r="AF50" t="s">
        <v>796</v>
      </c>
      <c r="AQ50">
        <v>1</v>
      </c>
    </row>
    <row r="51" spans="1:43" x14ac:dyDescent="0.25">
      <c r="A51" t="s">
        <v>3217</v>
      </c>
      <c r="B51">
        <v>50</v>
      </c>
      <c r="C51">
        <v>122</v>
      </c>
      <c r="D51">
        <v>137</v>
      </c>
      <c r="G51" t="s">
        <v>680</v>
      </c>
      <c r="I51" t="s">
        <v>680</v>
      </c>
      <c r="J51" t="s">
        <v>680</v>
      </c>
      <c r="K51" t="s">
        <v>3350</v>
      </c>
      <c r="M51" t="s">
        <v>3351</v>
      </c>
      <c r="O51" t="s">
        <v>778</v>
      </c>
      <c r="R51" t="s">
        <v>3221</v>
      </c>
      <c r="S51" t="s">
        <v>3222</v>
      </c>
      <c r="T51" t="s">
        <v>3223</v>
      </c>
      <c r="U51" t="s">
        <v>2692</v>
      </c>
      <c r="Y51" t="s">
        <v>3217</v>
      </c>
      <c r="Z51">
        <v>325</v>
      </c>
      <c r="AA51" s="31">
        <v>45604</v>
      </c>
      <c r="AB51" s="61">
        <v>0.72950231481481487</v>
      </c>
      <c r="AC51" t="s">
        <v>795</v>
      </c>
      <c r="AD51" s="31">
        <v>45929</v>
      </c>
      <c r="AE51" s="61">
        <v>0.70258101851851851</v>
      </c>
      <c r="AF51" t="s">
        <v>796</v>
      </c>
      <c r="AQ51">
        <v>1</v>
      </c>
    </row>
    <row r="52" spans="1:43" x14ac:dyDescent="0.25">
      <c r="A52" t="s">
        <v>3217</v>
      </c>
      <c r="B52">
        <v>51</v>
      </c>
      <c r="C52">
        <v>123</v>
      </c>
      <c r="D52">
        <v>139</v>
      </c>
      <c r="G52" t="s">
        <v>647</v>
      </c>
      <c r="I52" t="s">
        <v>647</v>
      </c>
      <c r="J52" t="s">
        <v>647</v>
      </c>
      <c r="K52" t="s">
        <v>3352</v>
      </c>
      <c r="M52" t="s">
        <v>3353</v>
      </c>
      <c r="O52" t="s">
        <v>778</v>
      </c>
      <c r="R52" t="s">
        <v>3221</v>
      </c>
      <c r="S52" t="s">
        <v>3222</v>
      </c>
      <c r="T52" t="s">
        <v>3223</v>
      </c>
      <c r="U52" t="s">
        <v>2692</v>
      </c>
      <c r="Y52" t="s">
        <v>3217</v>
      </c>
      <c r="Z52">
        <v>325</v>
      </c>
      <c r="AA52" s="31">
        <v>45604</v>
      </c>
      <c r="AB52" s="61">
        <v>0.72950231481481487</v>
      </c>
      <c r="AC52" t="s">
        <v>795</v>
      </c>
      <c r="AD52" s="31">
        <v>45929</v>
      </c>
      <c r="AE52" s="61">
        <v>0.7026041666666667</v>
      </c>
      <c r="AF52" t="s">
        <v>796</v>
      </c>
      <c r="AQ52">
        <v>1</v>
      </c>
    </row>
    <row r="53" spans="1:43" x14ac:dyDescent="0.25">
      <c r="A53" t="s">
        <v>3217</v>
      </c>
      <c r="B53">
        <v>52</v>
      </c>
      <c r="C53">
        <v>124</v>
      </c>
      <c r="D53">
        <v>141</v>
      </c>
      <c r="G53" t="s">
        <v>3354</v>
      </c>
      <c r="I53" t="s">
        <v>3354</v>
      </c>
      <c r="J53" t="s">
        <v>3354</v>
      </c>
      <c r="M53" t="s">
        <v>3355</v>
      </c>
      <c r="O53" t="s">
        <v>778</v>
      </c>
      <c r="R53" t="s">
        <v>3221</v>
      </c>
      <c r="S53" t="s">
        <v>3222</v>
      </c>
      <c r="T53" t="s">
        <v>3223</v>
      </c>
      <c r="U53" t="s">
        <v>2692</v>
      </c>
      <c r="Y53" t="s">
        <v>3217</v>
      </c>
      <c r="Z53">
        <v>325</v>
      </c>
      <c r="AA53" s="31">
        <v>45604</v>
      </c>
      <c r="AB53" s="61">
        <v>0.72950231481481487</v>
      </c>
      <c r="AC53" t="s">
        <v>795</v>
      </c>
      <c r="AD53" s="31">
        <v>45929</v>
      </c>
      <c r="AE53" s="61">
        <v>0.70262731481481477</v>
      </c>
      <c r="AF53" t="s">
        <v>796</v>
      </c>
      <c r="AQ53">
        <v>1</v>
      </c>
    </row>
    <row r="54" spans="1:43" x14ac:dyDescent="0.25">
      <c r="A54" t="s">
        <v>3217</v>
      </c>
      <c r="B54">
        <v>53</v>
      </c>
      <c r="C54">
        <v>125</v>
      </c>
      <c r="D54">
        <v>143</v>
      </c>
      <c r="G54" t="s">
        <v>3356</v>
      </c>
      <c r="I54" t="s">
        <v>3356</v>
      </c>
      <c r="J54" t="s">
        <v>3356</v>
      </c>
      <c r="M54" t="s">
        <v>3357</v>
      </c>
      <c r="O54" t="s">
        <v>778</v>
      </c>
      <c r="R54" t="s">
        <v>3221</v>
      </c>
      <c r="S54" t="s">
        <v>3222</v>
      </c>
      <c r="T54" t="s">
        <v>3223</v>
      </c>
      <c r="U54" t="s">
        <v>2692</v>
      </c>
      <c r="Y54" t="s">
        <v>3217</v>
      </c>
      <c r="Z54">
        <v>325</v>
      </c>
      <c r="AA54" s="31">
        <v>45604</v>
      </c>
      <c r="AB54" s="61">
        <v>0.72950231481481487</v>
      </c>
      <c r="AC54" t="s">
        <v>795</v>
      </c>
      <c r="AD54" s="31">
        <v>45929</v>
      </c>
      <c r="AE54" s="61">
        <v>0.702662037037037</v>
      </c>
      <c r="AF54" t="s">
        <v>796</v>
      </c>
      <c r="AQ54">
        <v>1</v>
      </c>
    </row>
    <row r="55" spans="1:43" x14ac:dyDescent="0.25">
      <c r="A55" t="s">
        <v>3217</v>
      </c>
      <c r="B55">
        <v>54</v>
      </c>
      <c r="C55">
        <v>126</v>
      </c>
      <c r="D55">
        <v>145</v>
      </c>
      <c r="G55" t="s">
        <v>3358</v>
      </c>
      <c r="I55" t="s">
        <v>3358</v>
      </c>
      <c r="J55" t="s">
        <v>3358</v>
      </c>
      <c r="M55" t="s">
        <v>3359</v>
      </c>
      <c r="O55" t="s">
        <v>778</v>
      </c>
      <c r="R55" t="s">
        <v>3221</v>
      </c>
      <c r="S55" t="s">
        <v>3222</v>
      </c>
      <c r="T55" t="s">
        <v>3223</v>
      </c>
      <c r="U55" t="s">
        <v>2692</v>
      </c>
      <c r="Y55" t="s">
        <v>3217</v>
      </c>
      <c r="Z55">
        <v>325</v>
      </c>
      <c r="AA55" s="31">
        <v>45604</v>
      </c>
      <c r="AB55" s="61">
        <v>0.72950231481481487</v>
      </c>
      <c r="AC55" t="s">
        <v>795</v>
      </c>
      <c r="AD55" s="31">
        <v>45929</v>
      </c>
      <c r="AE55" s="61">
        <v>0.70270833333333338</v>
      </c>
      <c r="AF55" t="s">
        <v>796</v>
      </c>
      <c r="AQ55">
        <v>1</v>
      </c>
    </row>
    <row r="56" spans="1:43" x14ac:dyDescent="0.25">
      <c r="A56" t="s">
        <v>3217</v>
      </c>
      <c r="B56">
        <v>55</v>
      </c>
      <c r="C56">
        <v>127</v>
      </c>
      <c r="D56">
        <v>147</v>
      </c>
      <c r="G56" t="s">
        <v>3360</v>
      </c>
      <c r="I56" t="s">
        <v>3360</v>
      </c>
      <c r="J56" t="s">
        <v>3360</v>
      </c>
      <c r="K56" t="s">
        <v>3361</v>
      </c>
      <c r="M56" t="s">
        <v>3362</v>
      </c>
      <c r="O56" t="s">
        <v>778</v>
      </c>
      <c r="R56" t="s">
        <v>3221</v>
      </c>
      <c r="S56" t="s">
        <v>3222</v>
      </c>
      <c r="T56" t="s">
        <v>3223</v>
      </c>
      <c r="U56" t="s">
        <v>2692</v>
      </c>
      <c r="Y56" t="s">
        <v>3217</v>
      </c>
      <c r="Z56">
        <v>325</v>
      </c>
      <c r="AA56" s="31">
        <v>45604</v>
      </c>
      <c r="AB56" s="61">
        <v>0.72950231481481487</v>
      </c>
      <c r="AC56" t="s">
        <v>795</v>
      </c>
      <c r="AD56" s="31">
        <v>45929</v>
      </c>
      <c r="AE56" s="61">
        <v>0.70274305555555561</v>
      </c>
      <c r="AF56" t="s">
        <v>796</v>
      </c>
      <c r="AQ56">
        <v>1</v>
      </c>
    </row>
    <row r="57" spans="1:43" x14ac:dyDescent="0.25">
      <c r="A57" t="s">
        <v>3217</v>
      </c>
      <c r="B57">
        <v>56</v>
      </c>
      <c r="C57">
        <v>128</v>
      </c>
      <c r="D57">
        <v>149</v>
      </c>
      <c r="G57" t="s">
        <v>3363</v>
      </c>
      <c r="I57" t="s">
        <v>3363</v>
      </c>
      <c r="J57" t="s">
        <v>3363</v>
      </c>
      <c r="M57" t="s">
        <v>3364</v>
      </c>
      <c r="O57" t="s">
        <v>778</v>
      </c>
      <c r="R57" t="s">
        <v>3221</v>
      </c>
      <c r="S57" t="s">
        <v>3222</v>
      </c>
      <c r="T57" t="s">
        <v>3223</v>
      </c>
      <c r="U57" t="s">
        <v>2692</v>
      </c>
      <c r="Y57" t="s">
        <v>3217</v>
      </c>
      <c r="Z57">
        <v>325</v>
      </c>
      <c r="AA57" s="31">
        <v>45604</v>
      </c>
      <c r="AB57" s="61">
        <v>0.72950231481481487</v>
      </c>
      <c r="AC57" t="s">
        <v>795</v>
      </c>
      <c r="AD57" s="31">
        <v>45929</v>
      </c>
      <c r="AE57" s="61">
        <v>0.70277777777777772</v>
      </c>
      <c r="AF57" t="s">
        <v>796</v>
      </c>
      <c r="AQ57">
        <v>1</v>
      </c>
    </row>
    <row r="58" spans="1:43" x14ac:dyDescent="0.25">
      <c r="A58" t="s">
        <v>3217</v>
      </c>
      <c r="B58">
        <v>57</v>
      </c>
      <c r="C58">
        <v>129</v>
      </c>
      <c r="D58">
        <v>151</v>
      </c>
      <c r="G58" t="s">
        <v>679</v>
      </c>
      <c r="I58" t="s">
        <v>679</v>
      </c>
      <c r="J58" t="s">
        <v>679</v>
      </c>
      <c r="K58" t="s">
        <v>3365</v>
      </c>
      <c r="M58" t="s">
        <v>3366</v>
      </c>
      <c r="O58" t="s">
        <v>778</v>
      </c>
      <c r="R58" t="s">
        <v>3221</v>
      </c>
      <c r="S58" t="s">
        <v>3222</v>
      </c>
      <c r="T58" t="s">
        <v>3223</v>
      </c>
      <c r="U58" t="s">
        <v>2692</v>
      </c>
      <c r="Y58" t="s">
        <v>3217</v>
      </c>
      <c r="Z58">
        <v>325</v>
      </c>
      <c r="AA58" s="31">
        <v>45604</v>
      </c>
      <c r="AB58" s="61">
        <v>0.72950231481481487</v>
      </c>
      <c r="AC58" t="s">
        <v>795</v>
      </c>
      <c r="AD58" s="31">
        <v>45929</v>
      </c>
      <c r="AE58" s="61">
        <v>0.70280092592592591</v>
      </c>
      <c r="AF58" t="s">
        <v>796</v>
      </c>
      <c r="AQ58">
        <v>1</v>
      </c>
    </row>
    <row r="59" spans="1:43" x14ac:dyDescent="0.25">
      <c r="A59" t="s">
        <v>3217</v>
      </c>
      <c r="B59">
        <v>58</v>
      </c>
      <c r="C59">
        <v>130</v>
      </c>
      <c r="D59">
        <v>153</v>
      </c>
      <c r="G59" t="s">
        <v>141</v>
      </c>
      <c r="I59" t="s">
        <v>141</v>
      </c>
      <c r="J59" t="s">
        <v>141</v>
      </c>
      <c r="K59" t="s">
        <v>3367</v>
      </c>
      <c r="M59" t="s">
        <v>3368</v>
      </c>
      <c r="O59" t="s">
        <v>778</v>
      </c>
      <c r="P59" t="s">
        <v>923</v>
      </c>
      <c r="Q59" t="s">
        <v>790</v>
      </c>
      <c r="R59" t="s">
        <v>3221</v>
      </c>
      <c r="S59" t="s">
        <v>3222</v>
      </c>
      <c r="T59" t="s">
        <v>3223</v>
      </c>
      <c r="U59" t="s">
        <v>2692</v>
      </c>
      <c r="Y59" t="s">
        <v>3217</v>
      </c>
      <c r="Z59">
        <v>325</v>
      </c>
      <c r="AA59" s="31">
        <v>45604</v>
      </c>
      <c r="AB59" s="61">
        <v>0.72950231481481487</v>
      </c>
      <c r="AC59" t="s">
        <v>795</v>
      </c>
      <c r="AD59" s="31">
        <v>45929</v>
      </c>
      <c r="AE59" s="61">
        <v>0.7028240740740741</v>
      </c>
      <c r="AF59" t="s">
        <v>796</v>
      </c>
      <c r="AQ59">
        <v>1</v>
      </c>
    </row>
    <row r="60" spans="1:43" x14ac:dyDescent="0.25">
      <c r="A60" t="s">
        <v>3217</v>
      </c>
      <c r="B60">
        <v>59</v>
      </c>
      <c r="C60">
        <v>131</v>
      </c>
      <c r="D60">
        <v>155</v>
      </c>
      <c r="G60" t="s">
        <v>3369</v>
      </c>
      <c r="I60" t="s">
        <v>3369</v>
      </c>
      <c r="J60" t="s">
        <v>3369</v>
      </c>
      <c r="K60" t="s">
        <v>3370</v>
      </c>
      <c r="M60" t="s">
        <v>3371</v>
      </c>
      <c r="O60" t="s">
        <v>778</v>
      </c>
      <c r="P60" t="s">
        <v>3372</v>
      </c>
      <c r="Q60" t="s">
        <v>1027</v>
      </c>
      <c r="R60" t="s">
        <v>3221</v>
      </c>
      <c r="S60" t="s">
        <v>3222</v>
      </c>
      <c r="T60" t="s">
        <v>3223</v>
      </c>
      <c r="U60" t="s">
        <v>2692</v>
      </c>
      <c r="Y60" t="s">
        <v>3217</v>
      </c>
      <c r="Z60">
        <v>325</v>
      </c>
      <c r="AA60" s="31">
        <v>45604</v>
      </c>
      <c r="AB60" s="61">
        <v>0.72950231481481487</v>
      </c>
      <c r="AC60" t="s">
        <v>795</v>
      </c>
      <c r="AD60" s="31">
        <v>45929</v>
      </c>
      <c r="AE60" s="61">
        <v>0.70284722222222218</v>
      </c>
      <c r="AF60" t="s">
        <v>796</v>
      </c>
      <c r="AQ60">
        <v>1</v>
      </c>
    </row>
    <row r="61" spans="1:43" x14ac:dyDescent="0.25">
      <c r="A61" t="s">
        <v>3217</v>
      </c>
      <c r="B61">
        <v>60</v>
      </c>
      <c r="C61">
        <v>132</v>
      </c>
      <c r="D61">
        <v>157</v>
      </c>
      <c r="G61" t="s">
        <v>3373</v>
      </c>
      <c r="I61" t="s">
        <v>3373</v>
      </c>
      <c r="J61" t="s">
        <v>3373</v>
      </c>
      <c r="K61" t="s">
        <v>3374</v>
      </c>
      <c r="M61" t="s">
        <v>3375</v>
      </c>
      <c r="O61" t="s">
        <v>778</v>
      </c>
      <c r="R61" t="s">
        <v>3221</v>
      </c>
      <c r="S61" t="s">
        <v>3222</v>
      </c>
      <c r="T61" t="s">
        <v>3223</v>
      </c>
      <c r="U61" t="s">
        <v>2692</v>
      </c>
      <c r="Y61" t="s">
        <v>3217</v>
      </c>
      <c r="Z61">
        <v>325</v>
      </c>
      <c r="AA61" s="31">
        <v>45604</v>
      </c>
      <c r="AB61" s="61">
        <v>0.72950231481481487</v>
      </c>
      <c r="AC61" t="s">
        <v>795</v>
      </c>
      <c r="AD61" s="31">
        <v>45929</v>
      </c>
      <c r="AE61" s="61">
        <v>0.70288194444444441</v>
      </c>
      <c r="AF61" t="s">
        <v>796</v>
      </c>
      <c r="AQ61">
        <v>1</v>
      </c>
    </row>
    <row r="62" spans="1:43" x14ac:dyDescent="0.25">
      <c r="A62" t="s">
        <v>3217</v>
      </c>
      <c r="B62">
        <v>61</v>
      </c>
      <c r="C62">
        <v>133</v>
      </c>
      <c r="D62">
        <v>159</v>
      </c>
      <c r="G62" t="s">
        <v>625</v>
      </c>
      <c r="I62" t="s">
        <v>625</v>
      </c>
      <c r="J62" t="s">
        <v>625</v>
      </c>
      <c r="K62" t="s">
        <v>3376</v>
      </c>
      <c r="M62" t="s">
        <v>2207</v>
      </c>
      <c r="O62" t="s">
        <v>778</v>
      </c>
      <c r="R62" t="s">
        <v>3221</v>
      </c>
      <c r="S62" t="s">
        <v>3222</v>
      </c>
      <c r="T62" t="s">
        <v>3223</v>
      </c>
      <c r="U62" t="s">
        <v>2692</v>
      </c>
      <c r="Y62" t="s">
        <v>3217</v>
      </c>
      <c r="Z62">
        <v>325</v>
      </c>
      <c r="AA62" s="31">
        <v>45604</v>
      </c>
      <c r="AB62" s="61">
        <v>0.72951388888888891</v>
      </c>
      <c r="AC62" t="s">
        <v>795</v>
      </c>
      <c r="AD62" s="31">
        <v>45929</v>
      </c>
      <c r="AE62" s="61">
        <v>0.70248842592592597</v>
      </c>
      <c r="AF62" t="s">
        <v>796</v>
      </c>
      <c r="AQ62">
        <v>1</v>
      </c>
    </row>
    <row r="63" spans="1:43" x14ac:dyDescent="0.25">
      <c r="A63" t="s">
        <v>3217</v>
      </c>
      <c r="B63">
        <v>62</v>
      </c>
      <c r="C63">
        <v>134</v>
      </c>
      <c r="D63">
        <v>161</v>
      </c>
      <c r="G63" t="s">
        <v>3377</v>
      </c>
      <c r="I63" t="s">
        <v>3377</v>
      </c>
      <c r="J63" t="s">
        <v>3377</v>
      </c>
      <c r="K63" t="s">
        <v>3378</v>
      </c>
      <c r="M63" t="s">
        <v>3379</v>
      </c>
      <c r="O63" t="s">
        <v>778</v>
      </c>
      <c r="R63" t="s">
        <v>3221</v>
      </c>
      <c r="S63" t="s">
        <v>3222</v>
      </c>
      <c r="T63" t="s">
        <v>3223</v>
      </c>
      <c r="U63" t="s">
        <v>2692</v>
      </c>
      <c r="Y63" t="s">
        <v>3217</v>
      </c>
      <c r="Z63">
        <v>325</v>
      </c>
      <c r="AA63" s="31">
        <v>45604</v>
      </c>
      <c r="AB63" s="61">
        <v>0.72951388888888891</v>
      </c>
      <c r="AC63" t="s">
        <v>795</v>
      </c>
      <c r="AD63" s="31">
        <v>45929</v>
      </c>
      <c r="AE63" s="61">
        <v>0.7025231481481482</v>
      </c>
      <c r="AF63" t="s">
        <v>796</v>
      </c>
      <c r="AQ63">
        <v>1</v>
      </c>
    </row>
    <row r="64" spans="1:43" x14ac:dyDescent="0.25">
      <c r="A64" t="s">
        <v>3217</v>
      </c>
      <c r="B64">
        <v>63</v>
      </c>
      <c r="C64">
        <v>135</v>
      </c>
      <c r="D64">
        <v>163</v>
      </c>
      <c r="G64" t="s">
        <v>229</v>
      </c>
      <c r="I64" t="s">
        <v>229</v>
      </c>
      <c r="J64" t="s">
        <v>229</v>
      </c>
      <c r="K64" t="s">
        <v>3380</v>
      </c>
      <c r="M64" t="s">
        <v>3381</v>
      </c>
      <c r="O64" t="s">
        <v>778</v>
      </c>
      <c r="R64" t="s">
        <v>3221</v>
      </c>
      <c r="S64" t="s">
        <v>3222</v>
      </c>
      <c r="T64" t="s">
        <v>3223</v>
      </c>
      <c r="U64" t="s">
        <v>2692</v>
      </c>
      <c r="Y64" t="s">
        <v>3217</v>
      </c>
      <c r="Z64">
        <v>325</v>
      </c>
      <c r="AA64" s="31">
        <v>45604</v>
      </c>
      <c r="AB64" s="61">
        <v>0.72951388888888891</v>
      </c>
      <c r="AC64" t="s">
        <v>795</v>
      </c>
      <c r="AD64" s="31">
        <v>45929</v>
      </c>
      <c r="AE64" s="61">
        <v>0.70254629629629628</v>
      </c>
      <c r="AF64" t="s">
        <v>796</v>
      </c>
      <c r="AQ64">
        <v>1</v>
      </c>
    </row>
    <row r="65" spans="1:43" x14ac:dyDescent="0.25">
      <c r="A65" t="s">
        <v>3217</v>
      </c>
      <c r="B65">
        <v>64</v>
      </c>
      <c r="C65">
        <v>136</v>
      </c>
      <c r="D65">
        <v>165</v>
      </c>
      <c r="G65" t="s">
        <v>3382</v>
      </c>
      <c r="I65" t="s">
        <v>3382</v>
      </c>
      <c r="J65" t="s">
        <v>3382</v>
      </c>
      <c r="K65" t="s">
        <v>3383</v>
      </c>
      <c r="M65" t="s">
        <v>3384</v>
      </c>
      <c r="O65" t="s">
        <v>778</v>
      </c>
      <c r="R65" t="s">
        <v>3221</v>
      </c>
      <c r="S65" t="s">
        <v>3222</v>
      </c>
      <c r="T65" t="s">
        <v>3223</v>
      </c>
      <c r="U65" t="s">
        <v>2692</v>
      </c>
      <c r="Y65" t="s">
        <v>3217</v>
      </c>
      <c r="Z65">
        <v>325</v>
      </c>
      <c r="AA65" s="31">
        <v>45604</v>
      </c>
      <c r="AB65" s="61">
        <v>0.72951388888888891</v>
      </c>
      <c r="AC65" t="s">
        <v>795</v>
      </c>
      <c r="AD65" s="31">
        <v>45929</v>
      </c>
      <c r="AE65" s="61">
        <v>0.70256944444444447</v>
      </c>
      <c r="AF65" t="s">
        <v>796</v>
      </c>
      <c r="AQ65">
        <v>1</v>
      </c>
    </row>
    <row r="66" spans="1:43" x14ac:dyDescent="0.25">
      <c r="A66" t="s">
        <v>3217</v>
      </c>
      <c r="B66">
        <v>65</v>
      </c>
      <c r="C66">
        <v>137</v>
      </c>
      <c r="D66">
        <v>167</v>
      </c>
      <c r="G66" t="s">
        <v>116</v>
      </c>
      <c r="I66" t="s">
        <v>116</v>
      </c>
      <c r="J66" t="s">
        <v>116</v>
      </c>
      <c r="K66" t="s">
        <v>3385</v>
      </c>
      <c r="M66" t="s">
        <v>3386</v>
      </c>
      <c r="O66" t="s">
        <v>778</v>
      </c>
      <c r="R66" t="s">
        <v>3221</v>
      </c>
      <c r="S66" t="s">
        <v>3222</v>
      </c>
      <c r="T66" t="s">
        <v>3223</v>
      </c>
      <c r="U66" t="s">
        <v>2692</v>
      </c>
      <c r="Y66" t="s">
        <v>3217</v>
      </c>
      <c r="Z66">
        <v>325</v>
      </c>
      <c r="AA66" s="31">
        <v>45604</v>
      </c>
      <c r="AB66" s="61">
        <v>0.72951388888888891</v>
      </c>
      <c r="AC66" t="s">
        <v>795</v>
      </c>
      <c r="AD66" s="31">
        <v>45929</v>
      </c>
      <c r="AE66" s="61">
        <v>0.70259259259259255</v>
      </c>
      <c r="AF66" t="s">
        <v>796</v>
      </c>
      <c r="AQ66">
        <v>1</v>
      </c>
    </row>
    <row r="67" spans="1:43" x14ac:dyDescent="0.25">
      <c r="A67" t="s">
        <v>3217</v>
      </c>
      <c r="B67">
        <v>66</v>
      </c>
      <c r="C67">
        <v>138</v>
      </c>
      <c r="D67">
        <v>169</v>
      </c>
      <c r="G67" t="s">
        <v>3387</v>
      </c>
      <c r="I67" t="s">
        <v>3387</v>
      </c>
      <c r="J67" t="s">
        <v>3387</v>
      </c>
      <c r="K67" t="s">
        <v>3388</v>
      </c>
      <c r="M67" t="s">
        <v>3389</v>
      </c>
      <c r="O67" t="s">
        <v>778</v>
      </c>
      <c r="R67" t="s">
        <v>3221</v>
      </c>
      <c r="S67" t="s">
        <v>3222</v>
      </c>
      <c r="T67" t="s">
        <v>3223</v>
      </c>
      <c r="U67" t="s">
        <v>2692</v>
      </c>
      <c r="Y67" t="s">
        <v>3217</v>
      </c>
      <c r="Z67">
        <v>325</v>
      </c>
      <c r="AA67" s="31">
        <v>45604</v>
      </c>
      <c r="AB67" s="61">
        <v>0.72951388888888891</v>
      </c>
      <c r="AC67" t="s">
        <v>795</v>
      </c>
      <c r="AD67" s="31">
        <v>45929</v>
      </c>
      <c r="AE67" s="61">
        <v>0.70262731481481477</v>
      </c>
      <c r="AF67" t="s">
        <v>796</v>
      </c>
      <c r="AQ67">
        <v>1</v>
      </c>
    </row>
    <row r="68" spans="1:43" x14ac:dyDescent="0.25">
      <c r="A68" t="s">
        <v>3217</v>
      </c>
      <c r="B68">
        <v>67</v>
      </c>
      <c r="C68">
        <v>139</v>
      </c>
      <c r="D68">
        <v>171</v>
      </c>
      <c r="G68" t="s">
        <v>3390</v>
      </c>
      <c r="I68" t="s">
        <v>3390</v>
      </c>
      <c r="J68" t="s">
        <v>3390</v>
      </c>
      <c r="K68" t="s">
        <v>2046</v>
      </c>
      <c r="M68" t="s">
        <v>2047</v>
      </c>
      <c r="O68" t="s">
        <v>778</v>
      </c>
      <c r="P68" t="s">
        <v>3391</v>
      </c>
      <c r="R68" t="s">
        <v>3221</v>
      </c>
      <c r="S68" t="s">
        <v>3222</v>
      </c>
      <c r="T68" t="s">
        <v>3223</v>
      </c>
      <c r="U68" t="s">
        <v>2692</v>
      </c>
      <c r="Y68" t="s">
        <v>3217</v>
      </c>
      <c r="Z68">
        <v>325</v>
      </c>
      <c r="AA68" s="31">
        <v>45604</v>
      </c>
      <c r="AB68" s="61">
        <v>0.72951388888888891</v>
      </c>
      <c r="AC68" t="s">
        <v>795</v>
      </c>
      <c r="AD68" s="31">
        <v>45929</v>
      </c>
      <c r="AE68" s="61">
        <v>0.70265046296296296</v>
      </c>
      <c r="AF68" t="s">
        <v>796</v>
      </c>
      <c r="AQ68">
        <v>1</v>
      </c>
    </row>
    <row r="69" spans="1:43" x14ac:dyDescent="0.25">
      <c r="A69" t="s">
        <v>3217</v>
      </c>
      <c r="B69">
        <v>68</v>
      </c>
      <c r="C69">
        <v>140</v>
      </c>
      <c r="D69">
        <v>173</v>
      </c>
      <c r="G69" t="s">
        <v>3392</v>
      </c>
      <c r="I69" t="s">
        <v>3392</v>
      </c>
      <c r="J69" t="s">
        <v>3392</v>
      </c>
      <c r="K69" t="s">
        <v>3393</v>
      </c>
      <c r="M69" t="s">
        <v>3394</v>
      </c>
      <c r="O69" t="s">
        <v>778</v>
      </c>
      <c r="R69" t="s">
        <v>3221</v>
      </c>
      <c r="S69" t="s">
        <v>3222</v>
      </c>
      <c r="T69" t="s">
        <v>3223</v>
      </c>
      <c r="U69" t="s">
        <v>2692</v>
      </c>
      <c r="Y69" t="s">
        <v>3217</v>
      </c>
      <c r="Z69">
        <v>325</v>
      </c>
      <c r="AA69" s="31">
        <v>45604</v>
      </c>
      <c r="AB69" s="61">
        <v>0.72951388888888891</v>
      </c>
      <c r="AC69" t="s">
        <v>795</v>
      </c>
      <c r="AD69" s="31">
        <v>45929</v>
      </c>
      <c r="AE69" s="61">
        <v>0.70267361111111115</v>
      </c>
      <c r="AF69" t="s">
        <v>796</v>
      </c>
      <c r="AQ69">
        <v>1</v>
      </c>
    </row>
    <row r="70" spans="1:43" x14ac:dyDescent="0.25">
      <c r="A70" t="s">
        <v>3217</v>
      </c>
      <c r="B70">
        <v>69</v>
      </c>
      <c r="C70">
        <v>141</v>
      </c>
      <c r="D70">
        <v>175</v>
      </c>
      <c r="G70" t="s">
        <v>434</v>
      </c>
      <c r="I70" t="s">
        <v>434</v>
      </c>
      <c r="J70" t="s">
        <v>434</v>
      </c>
      <c r="K70" t="s">
        <v>3395</v>
      </c>
      <c r="M70" t="s">
        <v>3396</v>
      </c>
      <c r="O70" t="s">
        <v>778</v>
      </c>
      <c r="R70" t="s">
        <v>3221</v>
      </c>
      <c r="S70" t="s">
        <v>3222</v>
      </c>
      <c r="T70" t="s">
        <v>3223</v>
      </c>
      <c r="U70" t="s">
        <v>2692</v>
      </c>
      <c r="Y70" t="s">
        <v>3217</v>
      </c>
      <c r="Z70">
        <v>325</v>
      </c>
      <c r="AA70" s="31">
        <v>45604</v>
      </c>
      <c r="AB70" s="61">
        <v>0.72951388888888891</v>
      </c>
      <c r="AC70" t="s">
        <v>795</v>
      </c>
      <c r="AD70" s="31">
        <v>45929</v>
      </c>
      <c r="AE70" s="61">
        <v>0.70270833333333338</v>
      </c>
      <c r="AF70" t="s">
        <v>796</v>
      </c>
      <c r="AQ70">
        <v>1</v>
      </c>
    </row>
    <row r="71" spans="1:43" x14ac:dyDescent="0.25">
      <c r="A71" t="s">
        <v>3217</v>
      </c>
      <c r="B71">
        <v>70</v>
      </c>
      <c r="C71">
        <v>142</v>
      </c>
      <c r="D71">
        <v>177</v>
      </c>
      <c r="G71" t="s">
        <v>3397</v>
      </c>
      <c r="I71" t="s">
        <v>3397</v>
      </c>
      <c r="J71" t="s">
        <v>3397</v>
      </c>
      <c r="K71" t="s">
        <v>3398</v>
      </c>
      <c r="M71" t="s">
        <v>3399</v>
      </c>
      <c r="O71" t="s">
        <v>778</v>
      </c>
      <c r="P71" t="s">
        <v>3400</v>
      </c>
      <c r="Q71" t="s">
        <v>1699</v>
      </c>
      <c r="R71" t="s">
        <v>3221</v>
      </c>
      <c r="S71" t="s">
        <v>3222</v>
      </c>
      <c r="T71" t="s">
        <v>3223</v>
      </c>
      <c r="U71" t="s">
        <v>2692</v>
      </c>
      <c r="Y71" t="s">
        <v>3217</v>
      </c>
      <c r="Z71">
        <v>325</v>
      </c>
      <c r="AA71" s="31">
        <v>45604</v>
      </c>
      <c r="AB71" s="61">
        <v>0.72951388888888891</v>
      </c>
      <c r="AC71" t="s">
        <v>795</v>
      </c>
      <c r="AD71" s="31">
        <v>45929</v>
      </c>
      <c r="AE71" s="61">
        <v>0.70271990740740742</v>
      </c>
      <c r="AF71" t="s">
        <v>796</v>
      </c>
      <c r="AQ71">
        <v>1</v>
      </c>
    </row>
    <row r="72" spans="1:43" x14ac:dyDescent="0.25">
      <c r="A72" t="s">
        <v>3217</v>
      </c>
      <c r="B72">
        <v>71</v>
      </c>
      <c r="C72">
        <v>143</v>
      </c>
      <c r="D72">
        <v>179</v>
      </c>
      <c r="G72" t="s">
        <v>689</v>
      </c>
      <c r="I72" t="s">
        <v>689</v>
      </c>
      <c r="J72" t="s">
        <v>689</v>
      </c>
      <c r="K72" t="s">
        <v>3401</v>
      </c>
      <c r="M72" t="s">
        <v>3402</v>
      </c>
      <c r="O72" t="s">
        <v>778</v>
      </c>
      <c r="R72" t="s">
        <v>3221</v>
      </c>
      <c r="S72" t="s">
        <v>3222</v>
      </c>
      <c r="T72" t="s">
        <v>3223</v>
      </c>
      <c r="U72" t="s">
        <v>2692</v>
      </c>
      <c r="Y72" t="s">
        <v>3217</v>
      </c>
      <c r="Z72">
        <v>325</v>
      </c>
      <c r="AA72" s="31">
        <v>45604</v>
      </c>
      <c r="AB72" s="61">
        <v>0.72951388888888891</v>
      </c>
      <c r="AC72" t="s">
        <v>795</v>
      </c>
      <c r="AD72" s="31">
        <v>45929</v>
      </c>
      <c r="AE72" s="61">
        <v>0.70274305555555561</v>
      </c>
      <c r="AF72" t="s">
        <v>796</v>
      </c>
      <c r="AQ72">
        <v>1</v>
      </c>
    </row>
    <row r="73" spans="1:43" x14ac:dyDescent="0.25">
      <c r="A73" t="s">
        <v>31</v>
      </c>
      <c r="B73">
        <v>72</v>
      </c>
      <c r="C73">
        <v>144</v>
      </c>
      <c r="D73">
        <v>521</v>
      </c>
      <c r="G73" t="s">
        <v>3403</v>
      </c>
      <c r="I73" t="s">
        <v>3404</v>
      </c>
      <c r="J73" t="s">
        <v>3405</v>
      </c>
      <c r="K73" t="s">
        <v>3406</v>
      </c>
      <c r="M73" t="s">
        <v>3407</v>
      </c>
      <c r="O73" t="s">
        <v>778</v>
      </c>
      <c r="S73" t="s">
        <v>3408</v>
      </c>
      <c r="T73" t="s">
        <v>319</v>
      </c>
      <c r="U73" t="s">
        <v>3409</v>
      </c>
      <c r="Y73" t="s">
        <v>22</v>
      </c>
      <c r="Z73">
        <v>142</v>
      </c>
      <c r="AA73" s="31">
        <v>45622</v>
      </c>
      <c r="AB73" s="61">
        <v>0.68312499999999998</v>
      </c>
      <c r="AC73" t="s">
        <v>795</v>
      </c>
      <c r="AD73" s="31">
        <v>45764</v>
      </c>
      <c r="AE73" s="61">
        <v>0.50594907407407408</v>
      </c>
      <c r="AF73" t="s">
        <v>934</v>
      </c>
      <c r="AH73" t="s">
        <v>3410</v>
      </c>
      <c r="AQ73">
        <v>1</v>
      </c>
    </row>
    <row r="74" spans="1:43" x14ac:dyDescent="0.25">
      <c r="A74" t="s">
        <v>31</v>
      </c>
      <c r="B74">
        <v>73</v>
      </c>
      <c r="C74">
        <v>144</v>
      </c>
      <c r="D74">
        <v>521</v>
      </c>
      <c r="G74" t="s">
        <v>3411</v>
      </c>
      <c r="I74" t="s">
        <v>3404</v>
      </c>
      <c r="J74" t="s">
        <v>3405</v>
      </c>
      <c r="K74" t="s">
        <v>3406</v>
      </c>
      <c r="M74" t="s">
        <v>3407</v>
      </c>
      <c r="O74" t="s">
        <v>778</v>
      </c>
      <c r="S74" t="s">
        <v>3412</v>
      </c>
      <c r="T74" t="s">
        <v>319</v>
      </c>
      <c r="U74" t="s">
        <v>3409</v>
      </c>
      <c r="Y74" t="s">
        <v>22</v>
      </c>
      <c r="Z74">
        <v>142</v>
      </c>
      <c r="AA74" s="31">
        <v>45622</v>
      </c>
      <c r="AB74" s="61">
        <v>0.68312499999999998</v>
      </c>
      <c r="AC74" t="s">
        <v>795</v>
      </c>
      <c r="AD74" s="31">
        <v>45764</v>
      </c>
      <c r="AE74" s="61">
        <v>0.50575231481481486</v>
      </c>
      <c r="AF74" t="s">
        <v>934</v>
      </c>
      <c r="AH74" t="s">
        <v>945</v>
      </c>
      <c r="AQ74">
        <v>1</v>
      </c>
    </row>
    <row r="75" spans="1:43" x14ac:dyDescent="0.25">
      <c r="A75" t="s">
        <v>31</v>
      </c>
      <c r="B75">
        <v>74</v>
      </c>
      <c r="C75">
        <v>97</v>
      </c>
      <c r="D75">
        <v>88</v>
      </c>
      <c r="G75" t="s">
        <v>3413</v>
      </c>
      <c r="H75">
        <v>22500484000170</v>
      </c>
      <c r="I75" t="s">
        <v>669</v>
      </c>
      <c r="J75" t="s">
        <v>3414</v>
      </c>
      <c r="K75" t="s">
        <v>3415</v>
      </c>
      <c r="M75" t="s">
        <v>3294</v>
      </c>
      <c r="O75" t="s">
        <v>778</v>
      </c>
      <c r="S75" t="s">
        <v>3416</v>
      </c>
      <c r="T75" t="s">
        <v>319</v>
      </c>
      <c r="U75" t="s">
        <v>3417</v>
      </c>
      <c r="Y75" t="s">
        <v>22</v>
      </c>
      <c r="Z75">
        <v>84</v>
      </c>
      <c r="AA75" s="31">
        <v>45622</v>
      </c>
      <c r="AB75" s="61">
        <v>0.68312499999999998</v>
      </c>
      <c r="AC75" t="s">
        <v>795</v>
      </c>
      <c r="AD75" s="31">
        <v>45706</v>
      </c>
      <c r="AE75" s="61">
        <v>0.72165509259259264</v>
      </c>
      <c r="AF75" t="s">
        <v>796</v>
      </c>
      <c r="AH75" t="s">
        <v>3418</v>
      </c>
      <c r="AQ75">
        <v>1</v>
      </c>
    </row>
    <row r="76" spans="1:43" x14ac:dyDescent="0.25">
      <c r="A76" t="s">
        <v>31</v>
      </c>
      <c r="B76">
        <v>75</v>
      </c>
      <c r="C76">
        <v>145</v>
      </c>
      <c r="D76">
        <v>525</v>
      </c>
      <c r="G76" t="s">
        <v>3419</v>
      </c>
      <c r="H76">
        <v>774215000160</v>
      </c>
      <c r="I76" t="s">
        <v>3420</v>
      </c>
      <c r="J76" t="s">
        <v>2927</v>
      </c>
      <c r="K76" t="s">
        <v>3421</v>
      </c>
      <c r="M76" t="s">
        <v>3422</v>
      </c>
      <c r="O76" t="s">
        <v>778</v>
      </c>
      <c r="S76" t="s">
        <v>3423</v>
      </c>
      <c r="T76" t="s">
        <v>319</v>
      </c>
      <c r="U76" t="s">
        <v>3417</v>
      </c>
      <c r="Y76" t="s">
        <v>22</v>
      </c>
      <c r="Z76">
        <v>15</v>
      </c>
      <c r="AA76" s="31">
        <v>45622</v>
      </c>
      <c r="AB76" s="61">
        <v>0.68312499999999998</v>
      </c>
      <c r="AC76" t="s">
        <v>795</v>
      </c>
      <c r="AD76" s="31">
        <v>45637</v>
      </c>
      <c r="AE76" s="61">
        <v>0.41211805555555547</v>
      </c>
      <c r="AF76" t="s">
        <v>974</v>
      </c>
      <c r="AH76" t="s">
        <v>947</v>
      </c>
      <c r="AQ76">
        <v>1</v>
      </c>
    </row>
    <row r="77" spans="1:43" x14ac:dyDescent="0.25">
      <c r="A77" t="s">
        <v>31</v>
      </c>
      <c r="B77">
        <v>76</v>
      </c>
      <c r="C77">
        <v>146</v>
      </c>
      <c r="D77">
        <v>527</v>
      </c>
      <c r="G77" t="s">
        <v>3424</v>
      </c>
      <c r="I77" t="s">
        <v>3425</v>
      </c>
      <c r="J77" t="s">
        <v>3426</v>
      </c>
      <c r="K77" t="s">
        <v>3427</v>
      </c>
      <c r="M77" t="s">
        <v>3428</v>
      </c>
      <c r="O77" t="s">
        <v>778</v>
      </c>
      <c r="S77" t="s">
        <v>3408</v>
      </c>
      <c r="T77" t="s">
        <v>319</v>
      </c>
      <c r="U77" t="s">
        <v>3409</v>
      </c>
      <c r="Y77" t="s">
        <v>22</v>
      </c>
      <c r="Z77">
        <v>182</v>
      </c>
      <c r="AA77" s="31">
        <v>45622</v>
      </c>
      <c r="AB77" s="61">
        <v>0.68312499999999998</v>
      </c>
      <c r="AC77" t="s">
        <v>795</v>
      </c>
      <c r="AD77" s="31">
        <v>45804</v>
      </c>
      <c r="AE77" s="61">
        <v>0.79173611111111108</v>
      </c>
      <c r="AF77" t="s">
        <v>796</v>
      </c>
      <c r="AH77" t="s">
        <v>946</v>
      </c>
      <c r="AQ77">
        <v>1</v>
      </c>
    </row>
    <row r="78" spans="1:43" x14ac:dyDescent="0.25">
      <c r="A78" t="s">
        <v>31</v>
      </c>
      <c r="B78">
        <v>77</v>
      </c>
      <c r="C78">
        <v>147</v>
      </c>
      <c r="D78">
        <v>848</v>
      </c>
      <c r="G78" t="s">
        <v>3429</v>
      </c>
      <c r="H78">
        <v>7964558000136</v>
      </c>
      <c r="I78" t="s">
        <v>3430</v>
      </c>
      <c r="J78" t="s">
        <v>3431</v>
      </c>
      <c r="K78" t="s">
        <v>3432</v>
      </c>
      <c r="M78" t="s">
        <v>3433</v>
      </c>
      <c r="O78" t="s">
        <v>778</v>
      </c>
      <c r="S78" t="s">
        <v>984</v>
      </c>
      <c r="T78" t="s">
        <v>319</v>
      </c>
      <c r="U78" t="s">
        <v>816</v>
      </c>
      <c r="W78">
        <v>4240</v>
      </c>
      <c r="Y78" t="s">
        <v>22</v>
      </c>
      <c r="Z78">
        <v>41</v>
      </c>
      <c r="AA78" s="31">
        <v>45622</v>
      </c>
      <c r="AB78" s="61">
        <v>0.68313657407407402</v>
      </c>
      <c r="AC78" t="s">
        <v>818</v>
      </c>
      <c r="AD78" s="31">
        <v>45663</v>
      </c>
      <c r="AE78" s="61">
        <v>0.61962962962962964</v>
      </c>
      <c r="AH78" t="s">
        <v>888</v>
      </c>
      <c r="AQ78">
        <v>1</v>
      </c>
    </row>
    <row r="79" spans="1:43" x14ac:dyDescent="0.25">
      <c r="A79" t="s">
        <v>31</v>
      </c>
      <c r="B79">
        <v>80</v>
      </c>
      <c r="C79">
        <v>150</v>
      </c>
      <c r="D79">
        <v>535</v>
      </c>
      <c r="G79" t="s">
        <v>3434</v>
      </c>
      <c r="H79">
        <v>32258848000101</v>
      </c>
      <c r="I79" t="s">
        <v>3435</v>
      </c>
      <c r="J79" t="s">
        <v>1540</v>
      </c>
      <c r="K79" t="s">
        <v>3436</v>
      </c>
      <c r="M79" t="s">
        <v>3437</v>
      </c>
      <c r="O79" t="s">
        <v>778</v>
      </c>
      <c r="S79" t="s">
        <v>3408</v>
      </c>
      <c r="T79" t="s">
        <v>319</v>
      </c>
      <c r="U79" t="s">
        <v>3417</v>
      </c>
      <c r="Y79" t="s">
        <v>22</v>
      </c>
      <c r="Z79">
        <v>121</v>
      </c>
      <c r="AA79" s="31">
        <v>45622</v>
      </c>
      <c r="AB79" s="61">
        <v>0.68313657407407402</v>
      </c>
      <c r="AC79" t="s">
        <v>795</v>
      </c>
      <c r="AD79" s="31">
        <v>45743</v>
      </c>
      <c r="AE79" s="61">
        <v>0.35857638888888888</v>
      </c>
      <c r="AF79" t="s">
        <v>796</v>
      </c>
      <c r="AH79" t="s">
        <v>957</v>
      </c>
      <c r="AI79" t="s">
        <v>1364</v>
      </c>
      <c r="AQ79">
        <v>1</v>
      </c>
    </row>
    <row r="80" spans="1:43" x14ac:dyDescent="0.25">
      <c r="A80" t="s">
        <v>31</v>
      </c>
      <c r="B80">
        <v>81</v>
      </c>
      <c r="C80">
        <v>151</v>
      </c>
      <c r="D80">
        <v>537</v>
      </c>
      <c r="G80" t="s">
        <v>3438</v>
      </c>
      <c r="I80" t="s">
        <v>3439</v>
      </c>
      <c r="J80" t="s">
        <v>3440</v>
      </c>
      <c r="K80" t="s">
        <v>3395</v>
      </c>
      <c r="M80" t="s">
        <v>3441</v>
      </c>
      <c r="O80" t="s">
        <v>778</v>
      </c>
      <c r="S80" t="s">
        <v>3442</v>
      </c>
      <c r="T80" t="s">
        <v>319</v>
      </c>
      <c r="U80" t="s">
        <v>816</v>
      </c>
      <c r="Y80" t="s">
        <v>22</v>
      </c>
      <c r="Z80">
        <v>73</v>
      </c>
      <c r="AA80" s="31">
        <v>45622</v>
      </c>
      <c r="AB80" s="61">
        <v>0.68313657407407402</v>
      </c>
      <c r="AC80" t="s">
        <v>795</v>
      </c>
      <c r="AD80" s="31">
        <v>45695</v>
      </c>
      <c r="AE80" s="61">
        <v>0.65645833333333337</v>
      </c>
      <c r="AF80" t="s">
        <v>796</v>
      </c>
      <c r="AH80" t="s">
        <v>3443</v>
      </c>
      <c r="AQ80">
        <v>1</v>
      </c>
    </row>
    <row r="81" spans="1:43" x14ac:dyDescent="0.25">
      <c r="A81" t="s">
        <v>31</v>
      </c>
      <c r="B81">
        <v>82</v>
      </c>
      <c r="C81">
        <v>152</v>
      </c>
      <c r="D81">
        <v>539</v>
      </c>
      <c r="G81" t="s">
        <v>3444</v>
      </c>
      <c r="I81" t="s">
        <v>3445</v>
      </c>
      <c r="J81" t="s">
        <v>3446</v>
      </c>
      <c r="K81" t="s">
        <v>3447</v>
      </c>
      <c r="M81" t="s">
        <v>3448</v>
      </c>
      <c r="O81" t="s">
        <v>778</v>
      </c>
      <c r="S81" t="s">
        <v>3408</v>
      </c>
      <c r="T81" t="s">
        <v>319</v>
      </c>
      <c r="U81" t="s">
        <v>3417</v>
      </c>
      <c r="Y81" t="s">
        <v>22</v>
      </c>
      <c r="Z81">
        <v>121</v>
      </c>
      <c r="AA81" s="31">
        <v>45622</v>
      </c>
      <c r="AB81" s="61">
        <v>0.68313657407407402</v>
      </c>
      <c r="AC81" t="s">
        <v>795</v>
      </c>
      <c r="AD81" s="31">
        <v>45743</v>
      </c>
      <c r="AE81" s="61">
        <v>0.35847222222222219</v>
      </c>
      <c r="AF81" t="s">
        <v>796</v>
      </c>
      <c r="AH81" t="s">
        <v>3449</v>
      </c>
      <c r="AQ81">
        <v>1</v>
      </c>
    </row>
    <row r="82" spans="1:43" x14ac:dyDescent="0.25">
      <c r="A82" t="s">
        <v>31</v>
      </c>
      <c r="B82">
        <v>83</v>
      </c>
      <c r="C82">
        <v>153</v>
      </c>
      <c r="D82">
        <v>541</v>
      </c>
      <c r="G82" t="s">
        <v>3450</v>
      </c>
      <c r="I82" t="s">
        <v>3451</v>
      </c>
      <c r="J82" t="s">
        <v>3452</v>
      </c>
      <c r="K82" t="s">
        <v>3453</v>
      </c>
      <c r="M82" t="s">
        <v>3454</v>
      </c>
      <c r="O82" t="s">
        <v>778</v>
      </c>
      <c r="S82" t="s">
        <v>984</v>
      </c>
      <c r="T82" t="s">
        <v>319</v>
      </c>
      <c r="U82" t="s">
        <v>3409</v>
      </c>
      <c r="Y82" t="s">
        <v>22</v>
      </c>
      <c r="Z82">
        <v>45</v>
      </c>
      <c r="AA82" s="31">
        <v>45622</v>
      </c>
      <c r="AB82" s="61">
        <v>0.68313657407407402</v>
      </c>
      <c r="AC82" t="s">
        <v>795</v>
      </c>
      <c r="AD82" s="31">
        <v>45667</v>
      </c>
      <c r="AE82" s="61">
        <v>0.63896990740740744</v>
      </c>
      <c r="AF82" t="s">
        <v>934</v>
      </c>
      <c r="AH82" t="s">
        <v>1021</v>
      </c>
      <c r="AQ82">
        <v>1</v>
      </c>
    </row>
    <row r="83" spans="1:43" x14ac:dyDescent="0.25">
      <c r="A83" t="s">
        <v>31</v>
      </c>
      <c r="B83">
        <v>84</v>
      </c>
      <c r="C83">
        <v>154</v>
      </c>
      <c r="D83">
        <v>543</v>
      </c>
      <c r="G83" t="s">
        <v>3455</v>
      </c>
      <c r="H83">
        <v>790751000159</v>
      </c>
      <c r="I83" t="s">
        <v>3456</v>
      </c>
      <c r="J83" t="s">
        <v>3457</v>
      </c>
      <c r="K83" t="s">
        <v>3458</v>
      </c>
      <c r="M83" t="s">
        <v>3459</v>
      </c>
      <c r="O83" t="s">
        <v>778</v>
      </c>
      <c r="S83" t="s">
        <v>3460</v>
      </c>
      <c r="T83" t="s">
        <v>319</v>
      </c>
      <c r="U83" t="s">
        <v>3417</v>
      </c>
      <c r="V83" t="s">
        <v>817</v>
      </c>
      <c r="W83">
        <v>169128</v>
      </c>
      <c r="X83">
        <v>7128</v>
      </c>
      <c r="Y83" t="s">
        <v>22</v>
      </c>
      <c r="Z83">
        <v>104</v>
      </c>
      <c r="AA83" s="31">
        <v>45622</v>
      </c>
      <c r="AB83" s="61">
        <v>0.68313657407407402</v>
      </c>
      <c r="AC83" t="s">
        <v>795</v>
      </c>
      <c r="AD83" s="31">
        <v>45726</v>
      </c>
      <c r="AE83" s="61">
        <v>0.42429398148148151</v>
      </c>
      <c r="AF83" t="s">
        <v>796</v>
      </c>
      <c r="AH83" t="s">
        <v>829</v>
      </c>
      <c r="AI83" t="s">
        <v>3461</v>
      </c>
      <c r="AQ83">
        <v>1</v>
      </c>
    </row>
    <row r="84" spans="1:43" x14ac:dyDescent="0.25">
      <c r="A84" t="s">
        <v>31</v>
      </c>
      <c r="B84">
        <v>117</v>
      </c>
      <c r="C84">
        <v>147</v>
      </c>
      <c r="D84">
        <v>848</v>
      </c>
      <c r="G84" t="s">
        <v>3462</v>
      </c>
      <c r="H84">
        <v>7964558000136</v>
      </c>
      <c r="I84" t="s">
        <v>3430</v>
      </c>
      <c r="J84" t="s">
        <v>3431</v>
      </c>
      <c r="K84" t="s">
        <v>3432</v>
      </c>
      <c r="M84" t="s">
        <v>3433</v>
      </c>
      <c r="O84" t="s">
        <v>778</v>
      </c>
      <c r="T84" t="s">
        <v>319</v>
      </c>
      <c r="U84" t="s">
        <v>3417</v>
      </c>
      <c r="Z84">
        <v>8</v>
      </c>
      <c r="AA84" s="31">
        <v>45629</v>
      </c>
      <c r="AB84" s="61">
        <v>0.68774305555555559</v>
      </c>
      <c r="AC84" t="s">
        <v>795</v>
      </c>
      <c r="AD84" s="31">
        <v>45637</v>
      </c>
      <c r="AE84" s="61">
        <v>0.41108796296296302</v>
      </c>
      <c r="AF84" t="s">
        <v>3463</v>
      </c>
      <c r="AH84" t="s">
        <v>829</v>
      </c>
      <c r="AI84" t="s">
        <v>829</v>
      </c>
      <c r="AQ84">
        <v>1</v>
      </c>
    </row>
    <row r="85" spans="1:43" x14ac:dyDescent="0.25">
      <c r="A85" t="s">
        <v>31</v>
      </c>
      <c r="B85">
        <v>120</v>
      </c>
      <c r="C85">
        <v>169</v>
      </c>
      <c r="D85">
        <v>853</v>
      </c>
      <c r="G85" t="s">
        <v>3464</v>
      </c>
      <c r="H85">
        <v>11458315000101</v>
      </c>
      <c r="I85" t="s">
        <v>3465</v>
      </c>
      <c r="J85" t="s">
        <v>3466</v>
      </c>
      <c r="K85" t="s">
        <v>3467</v>
      </c>
      <c r="M85" t="s">
        <v>3468</v>
      </c>
      <c r="O85" t="s">
        <v>3469</v>
      </c>
      <c r="P85" t="s">
        <v>3470</v>
      </c>
      <c r="Q85" t="s">
        <v>790</v>
      </c>
      <c r="S85" t="s">
        <v>3460</v>
      </c>
      <c r="T85" t="s">
        <v>319</v>
      </c>
      <c r="U85" t="s">
        <v>816</v>
      </c>
      <c r="W85">
        <v>66375</v>
      </c>
      <c r="X85">
        <v>0</v>
      </c>
      <c r="Z85">
        <v>147</v>
      </c>
      <c r="AA85" s="31">
        <v>45630</v>
      </c>
      <c r="AB85" s="61">
        <v>0.50695601851851857</v>
      </c>
      <c r="AC85" t="s">
        <v>818</v>
      </c>
      <c r="AD85" s="31">
        <v>45777</v>
      </c>
      <c r="AE85" s="61">
        <v>0.66732638888888884</v>
      </c>
      <c r="AH85" t="s">
        <v>1584</v>
      </c>
      <c r="AQ85">
        <v>1</v>
      </c>
    </row>
    <row r="86" spans="1:43" x14ac:dyDescent="0.25">
      <c r="A86" t="s">
        <v>31</v>
      </c>
      <c r="B86">
        <v>121</v>
      </c>
      <c r="C86">
        <v>113</v>
      </c>
      <c r="D86">
        <v>854</v>
      </c>
      <c r="G86" t="s">
        <v>3471</v>
      </c>
      <c r="I86" t="s">
        <v>65</v>
      </c>
      <c r="J86" t="s">
        <v>1252</v>
      </c>
      <c r="K86" t="s">
        <v>3472</v>
      </c>
      <c r="M86" t="s">
        <v>3329</v>
      </c>
      <c r="O86" t="s">
        <v>778</v>
      </c>
      <c r="T86" t="s">
        <v>319</v>
      </c>
      <c r="U86" t="s">
        <v>816</v>
      </c>
      <c r="W86">
        <v>3564</v>
      </c>
      <c r="Z86">
        <v>0</v>
      </c>
      <c r="AA86" s="31">
        <v>45630</v>
      </c>
      <c r="AB86" s="61">
        <v>0.51474537037037038</v>
      </c>
      <c r="AC86" t="s">
        <v>818</v>
      </c>
      <c r="AD86" s="31">
        <v>45630</v>
      </c>
      <c r="AE86" s="61">
        <v>0.65880787037037036</v>
      </c>
      <c r="AH86" t="s">
        <v>821</v>
      </c>
      <c r="AI86" t="s">
        <v>829</v>
      </c>
      <c r="AQ86">
        <v>1</v>
      </c>
    </row>
    <row r="87" spans="1:43" x14ac:dyDescent="0.25">
      <c r="A87" t="s">
        <v>31</v>
      </c>
      <c r="B87">
        <v>123</v>
      </c>
      <c r="C87">
        <v>169</v>
      </c>
      <c r="D87">
        <v>852</v>
      </c>
      <c r="G87" t="s">
        <v>3473</v>
      </c>
      <c r="H87">
        <v>11458315000101</v>
      </c>
      <c r="I87" t="s">
        <v>3465</v>
      </c>
      <c r="J87" t="s">
        <v>3474</v>
      </c>
      <c r="K87" t="s">
        <v>3475</v>
      </c>
      <c r="M87" t="s">
        <v>3468</v>
      </c>
      <c r="O87" t="s">
        <v>3469</v>
      </c>
      <c r="P87" t="s">
        <v>3470</v>
      </c>
      <c r="Q87" t="s">
        <v>790</v>
      </c>
      <c r="T87" t="s">
        <v>319</v>
      </c>
      <c r="U87" t="s">
        <v>3417</v>
      </c>
      <c r="Z87">
        <v>6</v>
      </c>
      <c r="AA87" s="31">
        <v>45631</v>
      </c>
      <c r="AB87" s="61">
        <v>0.45709490740740738</v>
      </c>
      <c r="AC87" t="s">
        <v>795</v>
      </c>
      <c r="AD87" s="31">
        <v>45637</v>
      </c>
      <c r="AE87" s="61">
        <v>0.61721064814814819</v>
      </c>
      <c r="AF87" t="s">
        <v>3463</v>
      </c>
      <c r="AH87" t="s">
        <v>1019</v>
      </c>
      <c r="AI87" t="s">
        <v>1019</v>
      </c>
      <c r="AQ87">
        <v>1</v>
      </c>
    </row>
    <row r="88" spans="1:43" x14ac:dyDescent="0.25">
      <c r="A88" t="s">
        <v>31</v>
      </c>
      <c r="B88">
        <v>124</v>
      </c>
      <c r="C88">
        <v>108</v>
      </c>
      <c r="D88">
        <v>109</v>
      </c>
      <c r="G88" t="s">
        <v>3476</v>
      </c>
      <c r="I88" t="s">
        <v>3321</v>
      </c>
      <c r="J88" t="s">
        <v>3321</v>
      </c>
      <c r="M88" t="s">
        <v>3322</v>
      </c>
      <c r="O88" t="s">
        <v>778</v>
      </c>
      <c r="T88" t="s">
        <v>319</v>
      </c>
      <c r="U88" t="s">
        <v>3417</v>
      </c>
      <c r="W88">
        <v>7140</v>
      </c>
      <c r="X88">
        <v>0</v>
      </c>
      <c r="Z88">
        <v>105</v>
      </c>
      <c r="AA88" s="31">
        <v>45631</v>
      </c>
      <c r="AB88" s="61">
        <v>0.6162037037037037</v>
      </c>
      <c r="AC88" t="s">
        <v>795</v>
      </c>
      <c r="AD88" s="31">
        <v>45736</v>
      </c>
      <c r="AE88" s="61">
        <v>0.41983796296296289</v>
      </c>
      <c r="AF88" t="s">
        <v>3463</v>
      </c>
      <c r="AH88" t="s">
        <v>1020</v>
      </c>
      <c r="AQ88">
        <v>1</v>
      </c>
    </row>
    <row r="89" spans="1:43" x14ac:dyDescent="0.25">
      <c r="A89" t="s">
        <v>31</v>
      </c>
      <c r="B89">
        <v>126</v>
      </c>
      <c r="C89">
        <v>170</v>
      </c>
      <c r="D89">
        <v>864</v>
      </c>
      <c r="G89" t="s">
        <v>496</v>
      </c>
      <c r="H89">
        <v>4150555001304</v>
      </c>
      <c r="I89" t="s">
        <v>3477</v>
      </c>
      <c r="J89" t="s">
        <v>3478</v>
      </c>
      <c r="K89" t="s">
        <v>3479</v>
      </c>
      <c r="M89" t="s">
        <v>3480</v>
      </c>
      <c r="O89" t="s">
        <v>3481</v>
      </c>
      <c r="P89" t="s">
        <v>3482</v>
      </c>
      <c r="Q89" t="s">
        <v>1699</v>
      </c>
      <c r="T89" t="s">
        <v>319</v>
      </c>
      <c r="U89" t="s">
        <v>816</v>
      </c>
      <c r="W89">
        <v>7128</v>
      </c>
      <c r="Z89">
        <v>2</v>
      </c>
      <c r="AA89" s="31">
        <v>45635</v>
      </c>
      <c r="AB89" s="61">
        <v>0.50931712962962961</v>
      </c>
      <c r="AC89" t="s">
        <v>818</v>
      </c>
      <c r="AD89" s="31">
        <v>45637</v>
      </c>
      <c r="AE89" s="61">
        <v>0.61657407407407405</v>
      </c>
      <c r="AH89" t="s">
        <v>841</v>
      </c>
      <c r="AI89" t="s">
        <v>1011</v>
      </c>
      <c r="AQ89">
        <v>1</v>
      </c>
    </row>
    <row r="90" spans="1:43" x14ac:dyDescent="0.25">
      <c r="A90" t="s">
        <v>31</v>
      </c>
      <c r="B90">
        <v>128</v>
      </c>
      <c r="C90">
        <v>171</v>
      </c>
      <c r="D90">
        <v>983</v>
      </c>
      <c r="G90" t="s">
        <v>3483</v>
      </c>
      <c r="H90">
        <v>39955762000187</v>
      </c>
      <c r="I90" t="s">
        <v>3484</v>
      </c>
      <c r="J90" t="s">
        <v>3485</v>
      </c>
      <c r="K90" t="s">
        <v>3486</v>
      </c>
      <c r="M90" t="s">
        <v>3487</v>
      </c>
      <c r="O90" t="s">
        <v>3488</v>
      </c>
      <c r="P90" t="s">
        <v>1094</v>
      </c>
      <c r="Q90" t="s">
        <v>790</v>
      </c>
      <c r="T90" t="s">
        <v>319</v>
      </c>
      <c r="U90" t="s">
        <v>816</v>
      </c>
      <c r="Z90">
        <v>2</v>
      </c>
      <c r="AA90" s="31">
        <v>45636</v>
      </c>
      <c r="AB90" s="61">
        <v>0.46460648148148148</v>
      </c>
      <c r="AC90" t="s">
        <v>818</v>
      </c>
      <c r="AD90" s="31">
        <v>45638</v>
      </c>
      <c r="AE90" s="61">
        <v>0.4626736111111111</v>
      </c>
      <c r="AH90" t="s">
        <v>1020</v>
      </c>
      <c r="AI90" t="s">
        <v>821</v>
      </c>
      <c r="AQ90">
        <v>1</v>
      </c>
    </row>
    <row r="91" spans="1:43" x14ac:dyDescent="0.25">
      <c r="A91" t="s">
        <v>31</v>
      </c>
      <c r="B91">
        <v>129</v>
      </c>
      <c r="C91">
        <v>93</v>
      </c>
      <c r="D91">
        <v>986</v>
      </c>
      <c r="G91" t="s">
        <v>3489</v>
      </c>
      <c r="I91" t="s">
        <v>3285</v>
      </c>
      <c r="J91" t="s">
        <v>3490</v>
      </c>
      <c r="K91" t="s">
        <v>3491</v>
      </c>
      <c r="M91" t="s">
        <v>3286</v>
      </c>
      <c r="O91" t="s">
        <v>778</v>
      </c>
      <c r="T91" t="s">
        <v>319</v>
      </c>
      <c r="U91" t="s">
        <v>781</v>
      </c>
      <c r="V91" t="s">
        <v>817</v>
      </c>
      <c r="W91">
        <v>0</v>
      </c>
      <c r="X91">
        <v>0</v>
      </c>
      <c r="Z91">
        <v>49</v>
      </c>
      <c r="AA91" s="31">
        <v>45637</v>
      </c>
      <c r="AB91" s="61">
        <v>0.61811342592592589</v>
      </c>
      <c r="AC91" t="s">
        <v>795</v>
      </c>
      <c r="AD91" s="31">
        <v>45686</v>
      </c>
      <c r="AE91" s="61">
        <v>0.72059027777777773</v>
      </c>
      <c r="AF91" t="s">
        <v>796</v>
      </c>
      <c r="AH91" t="s">
        <v>1003</v>
      </c>
      <c r="AI91" t="s">
        <v>3492</v>
      </c>
      <c r="AQ91">
        <v>1</v>
      </c>
    </row>
    <row r="92" spans="1:43" x14ac:dyDescent="0.25">
      <c r="A92" t="s">
        <v>31</v>
      </c>
      <c r="B92">
        <v>132</v>
      </c>
      <c r="C92">
        <v>150</v>
      </c>
      <c r="D92">
        <v>991</v>
      </c>
      <c r="G92" t="s">
        <v>3435</v>
      </c>
      <c r="H92">
        <v>32258848000101</v>
      </c>
      <c r="I92" t="s">
        <v>3435</v>
      </c>
      <c r="J92" t="s">
        <v>1540</v>
      </c>
      <c r="K92" t="s">
        <v>3493</v>
      </c>
      <c r="M92" t="s">
        <v>3437</v>
      </c>
      <c r="O92" t="s">
        <v>778</v>
      </c>
      <c r="T92" t="s">
        <v>319</v>
      </c>
      <c r="U92" t="s">
        <v>781</v>
      </c>
      <c r="Z92">
        <v>48</v>
      </c>
      <c r="AA92" s="31">
        <v>45638</v>
      </c>
      <c r="AB92" s="61">
        <v>0.50313657407407408</v>
      </c>
      <c r="AC92" t="s">
        <v>795</v>
      </c>
      <c r="AD92" s="31">
        <v>45686</v>
      </c>
      <c r="AE92" s="61">
        <v>0.72013888888888888</v>
      </c>
      <c r="AF92" t="s">
        <v>796</v>
      </c>
      <c r="AH92" t="s">
        <v>924</v>
      </c>
      <c r="AQ92">
        <v>1</v>
      </c>
    </row>
    <row r="93" spans="1:43" x14ac:dyDescent="0.25">
      <c r="A93" t="s">
        <v>31</v>
      </c>
      <c r="B93">
        <v>133</v>
      </c>
      <c r="C93">
        <v>173</v>
      </c>
      <c r="D93">
        <v>993</v>
      </c>
      <c r="G93" t="s">
        <v>3494</v>
      </c>
      <c r="H93">
        <v>27914031000104</v>
      </c>
      <c r="I93" t="s">
        <v>3495</v>
      </c>
      <c r="J93" t="s">
        <v>3496</v>
      </c>
      <c r="K93" t="s">
        <v>3497</v>
      </c>
      <c r="M93" t="s">
        <v>3498</v>
      </c>
      <c r="O93" t="s">
        <v>3499</v>
      </c>
      <c r="P93" t="s">
        <v>2489</v>
      </c>
      <c r="Q93" t="s">
        <v>790</v>
      </c>
      <c r="T93" t="s">
        <v>319</v>
      </c>
      <c r="U93" t="s">
        <v>816</v>
      </c>
      <c r="W93">
        <v>324648</v>
      </c>
      <c r="X93">
        <v>57024</v>
      </c>
      <c r="Z93">
        <v>67</v>
      </c>
      <c r="AA93" s="31">
        <v>45638</v>
      </c>
      <c r="AB93" s="61">
        <v>0.67980324074074072</v>
      </c>
      <c r="AC93" t="s">
        <v>818</v>
      </c>
      <c r="AD93" s="31">
        <v>45705</v>
      </c>
      <c r="AE93" s="61">
        <v>0.39378472222222222</v>
      </c>
      <c r="AH93" t="s">
        <v>830</v>
      </c>
      <c r="AI93" t="s">
        <v>1059</v>
      </c>
      <c r="AQ93">
        <v>1</v>
      </c>
    </row>
    <row r="94" spans="1:43" x14ac:dyDescent="0.25">
      <c r="A94" t="s">
        <v>31</v>
      </c>
      <c r="B94">
        <v>134</v>
      </c>
      <c r="C94">
        <v>172</v>
      </c>
      <c r="D94">
        <v>994</v>
      </c>
      <c r="G94" t="s">
        <v>3500</v>
      </c>
      <c r="H94">
        <v>33561753000125</v>
      </c>
      <c r="I94" t="s">
        <v>3501</v>
      </c>
      <c r="J94" t="s">
        <v>952</v>
      </c>
      <c r="K94" t="s">
        <v>3502</v>
      </c>
      <c r="M94" t="s">
        <v>3503</v>
      </c>
      <c r="O94" t="s">
        <v>3504</v>
      </c>
      <c r="P94" t="s">
        <v>3505</v>
      </c>
      <c r="Q94" t="s">
        <v>790</v>
      </c>
      <c r="T94" t="s">
        <v>319</v>
      </c>
      <c r="U94" t="s">
        <v>3417</v>
      </c>
      <c r="Z94">
        <v>29</v>
      </c>
      <c r="AA94" s="31">
        <v>45638</v>
      </c>
      <c r="AB94" s="61">
        <v>0.68358796296296298</v>
      </c>
      <c r="AC94" t="s">
        <v>795</v>
      </c>
      <c r="AD94" s="31">
        <v>45667</v>
      </c>
      <c r="AE94" s="61">
        <v>0.63577546296296295</v>
      </c>
      <c r="AF94" t="s">
        <v>934</v>
      </c>
      <c r="AH94" t="s">
        <v>1003</v>
      </c>
      <c r="AI94" t="s">
        <v>3492</v>
      </c>
      <c r="AQ94">
        <v>1</v>
      </c>
    </row>
    <row r="95" spans="1:43" x14ac:dyDescent="0.25">
      <c r="A95" t="s">
        <v>31</v>
      </c>
      <c r="B95">
        <v>136</v>
      </c>
      <c r="C95">
        <v>174</v>
      </c>
      <c r="D95">
        <v>1000</v>
      </c>
      <c r="G95" t="s">
        <v>3506</v>
      </c>
      <c r="H95">
        <v>45238441000164</v>
      </c>
      <c r="I95" t="s">
        <v>3507</v>
      </c>
      <c r="J95" t="s">
        <v>3508</v>
      </c>
      <c r="K95" t="s">
        <v>3509</v>
      </c>
      <c r="L95">
        <v>11973359869</v>
      </c>
      <c r="M95" t="s">
        <v>3510</v>
      </c>
      <c r="O95" t="s">
        <v>3511</v>
      </c>
      <c r="P95" t="s">
        <v>1094</v>
      </c>
      <c r="Q95" t="s">
        <v>790</v>
      </c>
      <c r="T95" t="s">
        <v>319</v>
      </c>
      <c r="U95" t="s">
        <v>3417</v>
      </c>
      <c r="Z95">
        <v>25</v>
      </c>
      <c r="AA95" s="31">
        <v>45639</v>
      </c>
      <c r="AB95" s="61">
        <v>0.4911921296296296</v>
      </c>
      <c r="AC95" t="s">
        <v>795</v>
      </c>
      <c r="AD95" s="31">
        <v>45664</v>
      </c>
      <c r="AE95" s="61">
        <v>0.63392361111111106</v>
      </c>
      <c r="AF95" t="s">
        <v>3463</v>
      </c>
      <c r="AH95" t="s">
        <v>3512</v>
      </c>
      <c r="AI95" t="s">
        <v>3513</v>
      </c>
      <c r="AQ95">
        <v>1</v>
      </c>
    </row>
    <row r="96" spans="1:43" x14ac:dyDescent="0.25">
      <c r="A96" t="s">
        <v>31</v>
      </c>
      <c r="B96">
        <v>137</v>
      </c>
      <c r="C96">
        <v>146</v>
      </c>
      <c r="D96">
        <v>1001</v>
      </c>
      <c r="G96" t="s">
        <v>3514</v>
      </c>
      <c r="I96" t="s">
        <v>3425</v>
      </c>
      <c r="J96" t="s">
        <v>3426</v>
      </c>
      <c r="K96" t="s">
        <v>3515</v>
      </c>
      <c r="M96" t="s">
        <v>3428</v>
      </c>
      <c r="O96" t="s">
        <v>778</v>
      </c>
      <c r="T96" t="s">
        <v>319</v>
      </c>
      <c r="U96" t="s">
        <v>816</v>
      </c>
      <c r="W96">
        <v>424</v>
      </c>
      <c r="Z96">
        <v>25</v>
      </c>
      <c r="AA96" s="31">
        <v>45639</v>
      </c>
      <c r="AB96" s="61">
        <v>0.50317129629629631</v>
      </c>
      <c r="AC96" t="s">
        <v>818</v>
      </c>
      <c r="AD96" s="31">
        <v>45664</v>
      </c>
      <c r="AE96" s="61">
        <v>0.51849537037037041</v>
      </c>
      <c r="AH96" t="s">
        <v>888</v>
      </c>
      <c r="AI96" t="s">
        <v>888</v>
      </c>
      <c r="AQ96">
        <v>1</v>
      </c>
    </row>
    <row r="97" spans="1:43" x14ac:dyDescent="0.25">
      <c r="A97" t="s">
        <v>31</v>
      </c>
      <c r="B97">
        <v>143</v>
      </c>
      <c r="C97">
        <v>93</v>
      </c>
      <c r="D97">
        <v>986</v>
      </c>
      <c r="G97" t="s">
        <v>3516</v>
      </c>
      <c r="I97" t="s">
        <v>3285</v>
      </c>
      <c r="J97" t="s">
        <v>3490</v>
      </c>
      <c r="K97" t="s">
        <v>3491</v>
      </c>
      <c r="M97" t="s">
        <v>3286</v>
      </c>
      <c r="O97" t="s">
        <v>778</v>
      </c>
      <c r="T97" t="s">
        <v>319</v>
      </c>
      <c r="U97" t="s">
        <v>3417</v>
      </c>
      <c r="W97">
        <v>16992</v>
      </c>
      <c r="X97">
        <v>55124</v>
      </c>
      <c r="Z97">
        <v>43</v>
      </c>
      <c r="AA97" s="31">
        <v>45663</v>
      </c>
      <c r="AB97" s="61">
        <v>0.64762731481481484</v>
      </c>
      <c r="AC97" t="s">
        <v>795</v>
      </c>
      <c r="AD97" s="31">
        <v>45706</v>
      </c>
      <c r="AE97" s="61">
        <v>0.72146990740740746</v>
      </c>
      <c r="AF97" t="s">
        <v>934</v>
      </c>
      <c r="AH97" t="s">
        <v>3517</v>
      </c>
      <c r="AI97" t="s">
        <v>3517</v>
      </c>
      <c r="AQ97">
        <v>1</v>
      </c>
    </row>
    <row r="98" spans="1:43" x14ac:dyDescent="0.25">
      <c r="A98" t="s">
        <v>31</v>
      </c>
      <c r="B98">
        <v>146</v>
      </c>
      <c r="C98">
        <v>175</v>
      </c>
      <c r="D98">
        <v>1520</v>
      </c>
      <c r="G98" t="s">
        <v>3518</v>
      </c>
      <c r="H98">
        <v>52362985000107</v>
      </c>
      <c r="I98" t="s">
        <v>3519</v>
      </c>
      <c r="J98" t="s">
        <v>1481</v>
      </c>
      <c r="K98" t="s">
        <v>3520</v>
      </c>
      <c r="M98" t="s">
        <v>3521</v>
      </c>
      <c r="O98" t="s">
        <v>3522</v>
      </c>
      <c r="P98" t="s">
        <v>3523</v>
      </c>
      <c r="Q98" t="s">
        <v>790</v>
      </c>
      <c r="T98" t="s">
        <v>319</v>
      </c>
      <c r="U98" t="s">
        <v>816</v>
      </c>
      <c r="Z98">
        <v>0</v>
      </c>
      <c r="AA98" s="31">
        <v>45665</v>
      </c>
      <c r="AB98" s="61">
        <v>0.44893518518518521</v>
      </c>
      <c r="AC98" t="s">
        <v>818</v>
      </c>
      <c r="AD98" s="31">
        <v>45665</v>
      </c>
      <c r="AE98" s="61">
        <v>0.44989583333333327</v>
      </c>
      <c r="AH98" t="s">
        <v>1070</v>
      </c>
      <c r="AQ98">
        <v>1</v>
      </c>
    </row>
    <row r="99" spans="1:43" x14ac:dyDescent="0.25">
      <c r="A99" t="s">
        <v>31</v>
      </c>
      <c r="B99">
        <v>149</v>
      </c>
      <c r="C99">
        <v>115</v>
      </c>
      <c r="D99">
        <v>1537</v>
      </c>
      <c r="G99" t="s">
        <v>3524</v>
      </c>
      <c r="I99" t="s">
        <v>3333</v>
      </c>
      <c r="J99" t="s">
        <v>3525</v>
      </c>
      <c r="K99" t="s">
        <v>3526</v>
      </c>
      <c r="M99" t="s">
        <v>3334</v>
      </c>
      <c r="O99" t="s">
        <v>778</v>
      </c>
      <c r="T99" t="s">
        <v>319</v>
      </c>
      <c r="U99" t="s">
        <v>3417</v>
      </c>
      <c r="W99">
        <v>14416</v>
      </c>
      <c r="X99">
        <v>0</v>
      </c>
      <c r="Z99">
        <v>13</v>
      </c>
      <c r="AA99" s="31">
        <v>45666</v>
      </c>
      <c r="AB99" s="61">
        <v>0.48031249999999998</v>
      </c>
      <c r="AC99" t="s">
        <v>795</v>
      </c>
      <c r="AD99" s="31">
        <v>45679</v>
      </c>
      <c r="AE99" s="61">
        <v>0.66752314814814817</v>
      </c>
      <c r="AF99" t="s">
        <v>934</v>
      </c>
      <c r="AH99" t="s">
        <v>3527</v>
      </c>
      <c r="AQ99">
        <v>1</v>
      </c>
    </row>
    <row r="100" spans="1:43" x14ac:dyDescent="0.25">
      <c r="A100" t="s">
        <v>31</v>
      </c>
      <c r="B100">
        <v>150</v>
      </c>
      <c r="C100">
        <v>176</v>
      </c>
      <c r="D100">
        <v>1539</v>
      </c>
      <c r="G100" t="s">
        <v>3528</v>
      </c>
      <c r="H100">
        <v>34728104000139</v>
      </c>
      <c r="I100" t="s">
        <v>3529</v>
      </c>
      <c r="J100" t="s">
        <v>3530</v>
      </c>
      <c r="K100" t="s">
        <v>3531</v>
      </c>
      <c r="M100" t="s">
        <v>3532</v>
      </c>
      <c r="O100" t="s">
        <v>3533</v>
      </c>
      <c r="P100" t="s">
        <v>1787</v>
      </c>
      <c r="Q100" t="s">
        <v>790</v>
      </c>
      <c r="T100" t="s">
        <v>319</v>
      </c>
      <c r="U100" t="s">
        <v>3417</v>
      </c>
      <c r="V100" t="s">
        <v>817</v>
      </c>
      <c r="W100">
        <v>340984</v>
      </c>
      <c r="X100">
        <v>1350296</v>
      </c>
      <c r="Z100">
        <v>81</v>
      </c>
      <c r="AA100" s="31">
        <v>45666</v>
      </c>
      <c r="AB100" s="61">
        <v>0.60988425925925926</v>
      </c>
      <c r="AC100" t="s">
        <v>795</v>
      </c>
      <c r="AD100" s="31">
        <v>45747</v>
      </c>
      <c r="AE100" s="61">
        <v>0.50875000000000004</v>
      </c>
      <c r="AF100" t="s">
        <v>974</v>
      </c>
      <c r="AH100" t="s">
        <v>3534</v>
      </c>
      <c r="AI100" t="s">
        <v>1055</v>
      </c>
      <c r="AQ100">
        <v>1</v>
      </c>
    </row>
    <row r="101" spans="1:43" x14ac:dyDescent="0.25">
      <c r="A101" t="s">
        <v>31</v>
      </c>
      <c r="B101">
        <v>152</v>
      </c>
      <c r="C101">
        <v>129</v>
      </c>
      <c r="D101">
        <v>1542</v>
      </c>
      <c r="G101" t="s">
        <v>3535</v>
      </c>
      <c r="I101" t="s">
        <v>679</v>
      </c>
      <c r="J101" t="s">
        <v>3536</v>
      </c>
      <c r="K101" t="s">
        <v>3537</v>
      </c>
      <c r="M101" t="s">
        <v>3366</v>
      </c>
      <c r="O101" t="s">
        <v>778</v>
      </c>
      <c r="T101" t="s">
        <v>319</v>
      </c>
      <c r="U101" t="s">
        <v>3417</v>
      </c>
      <c r="V101" t="s">
        <v>817</v>
      </c>
      <c r="W101">
        <v>0</v>
      </c>
      <c r="X101">
        <v>68904</v>
      </c>
      <c r="Z101">
        <v>36</v>
      </c>
      <c r="AA101" s="31">
        <v>45666</v>
      </c>
      <c r="AB101" s="61">
        <v>0.68798611111111108</v>
      </c>
      <c r="AC101" t="s">
        <v>795</v>
      </c>
      <c r="AD101" s="31">
        <v>45702</v>
      </c>
      <c r="AE101" s="61">
        <v>0.44013888888888891</v>
      </c>
      <c r="AF101" t="s">
        <v>796</v>
      </c>
      <c r="AH101" t="s">
        <v>3534</v>
      </c>
      <c r="AI101" t="s">
        <v>3534</v>
      </c>
      <c r="AQ101">
        <v>1</v>
      </c>
    </row>
    <row r="102" spans="1:43" x14ac:dyDescent="0.25">
      <c r="A102" t="s">
        <v>31</v>
      </c>
      <c r="B102">
        <v>153</v>
      </c>
      <c r="C102">
        <v>85</v>
      </c>
      <c r="D102">
        <v>63</v>
      </c>
      <c r="G102" t="s">
        <v>605</v>
      </c>
      <c r="I102" t="s">
        <v>3261</v>
      </c>
      <c r="J102" t="s">
        <v>3261</v>
      </c>
      <c r="K102" t="s">
        <v>3262</v>
      </c>
      <c r="M102" t="s">
        <v>3263</v>
      </c>
      <c r="O102" t="s">
        <v>778</v>
      </c>
      <c r="P102" t="s">
        <v>3264</v>
      </c>
      <c r="T102" t="s">
        <v>319</v>
      </c>
      <c r="U102" t="s">
        <v>816</v>
      </c>
      <c r="Z102">
        <v>0</v>
      </c>
      <c r="AA102" s="31">
        <v>45667</v>
      </c>
      <c r="AB102" s="61">
        <v>0.43425925925925918</v>
      </c>
      <c r="AC102" t="s">
        <v>818</v>
      </c>
      <c r="AD102" s="31">
        <v>45667</v>
      </c>
      <c r="AE102" s="61">
        <v>0.43490740740740741</v>
      </c>
      <c r="AH102" t="s">
        <v>1113</v>
      </c>
      <c r="AQ102">
        <v>1</v>
      </c>
    </row>
    <row r="103" spans="1:43" x14ac:dyDescent="0.25">
      <c r="A103" t="s">
        <v>31</v>
      </c>
      <c r="B103">
        <v>157</v>
      </c>
      <c r="C103">
        <v>178</v>
      </c>
      <c r="D103">
        <v>1551</v>
      </c>
      <c r="G103" t="s">
        <v>3538</v>
      </c>
      <c r="H103">
        <v>54124158000100</v>
      </c>
      <c r="I103" t="s">
        <v>3539</v>
      </c>
      <c r="J103" t="s">
        <v>3540</v>
      </c>
      <c r="K103" t="s">
        <v>3541</v>
      </c>
      <c r="M103" t="s">
        <v>3542</v>
      </c>
      <c r="O103" t="s">
        <v>3543</v>
      </c>
      <c r="P103" t="s">
        <v>1837</v>
      </c>
      <c r="Q103" t="s">
        <v>790</v>
      </c>
      <c r="T103" t="s">
        <v>319</v>
      </c>
      <c r="U103" t="s">
        <v>816</v>
      </c>
      <c r="W103">
        <v>1360152</v>
      </c>
      <c r="X103">
        <v>64152</v>
      </c>
      <c r="Z103">
        <v>4</v>
      </c>
      <c r="AA103" s="31">
        <v>45670</v>
      </c>
      <c r="AB103" s="61">
        <v>0.40980324074074082</v>
      </c>
      <c r="AC103" t="s">
        <v>818</v>
      </c>
      <c r="AD103" s="31">
        <v>45674</v>
      </c>
      <c r="AE103" s="61">
        <v>0.48346064814814821</v>
      </c>
      <c r="AH103" t="s">
        <v>3544</v>
      </c>
      <c r="AI103" t="s">
        <v>3544</v>
      </c>
      <c r="AQ103">
        <v>1</v>
      </c>
    </row>
    <row r="104" spans="1:43" x14ac:dyDescent="0.25">
      <c r="A104" t="s">
        <v>31</v>
      </c>
      <c r="B104">
        <v>158</v>
      </c>
      <c r="C104">
        <v>179</v>
      </c>
      <c r="D104">
        <v>1552</v>
      </c>
      <c r="G104" t="s">
        <v>3545</v>
      </c>
      <c r="H104">
        <v>21736169000184</v>
      </c>
      <c r="I104" t="s">
        <v>3546</v>
      </c>
      <c r="J104" t="s">
        <v>1243</v>
      </c>
      <c r="K104" t="s">
        <v>3547</v>
      </c>
      <c r="M104" t="s">
        <v>3548</v>
      </c>
      <c r="O104" t="s">
        <v>3549</v>
      </c>
      <c r="P104" t="s">
        <v>3550</v>
      </c>
      <c r="Q104" t="s">
        <v>874</v>
      </c>
      <c r="T104" t="s">
        <v>319</v>
      </c>
      <c r="U104" t="s">
        <v>816</v>
      </c>
      <c r="Z104">
        <v>0</v>
      </c>
      <c r="AA104" s="31">
        <v>45670</v>
      </c>
      <c r="AB104" s="61">
        <v>0.41332175925925918</v>
      </c>
      <c r="AC104" t="s">
        <v>818</v>
      </c>
      <c r="AD104" s="31">
        <v>45670</v>
      </c>
      <c r="AE104" s="61">
        <v>0.41498842592592589</v>
      </c>
      <c r="AH104" t="s">
        <v>1113</v>
      </c>
      <c r="AQ104">
        <v>1</v>
      </c>
    </row>
    <row r="105" spans="1:43" x14ac:dyDescent="0.25">
      <c r="A105" t="s">
        <v>31</v>
      </c>
      <c r="B105">
        <v>159</v>
      </c>
      <c r="C105">
        <v>132</v>
      </c>
      <c r="D105">
        <v>1556</v>
      </c>
      <c r="G105" t="s">
        <v>3551</v>
      </c>
      <c r="I105" t="s">
        <v>3373</v>
      </c>
      <c r="J105" t="s">
        <v>3552</v>
      </c>
      <c r="K105" t="s">
        <v>3553</v>
      </c>
      <c r="M105" t="s">
        <v>3375</v>
      </c>
      <c r="O105" t="s">
        <v>778</v>
      </c>
      <c r="T105" t="s">
        <v>319</v>
      </c>
      <c r="U105" t="s">
        <v>816</v>
      </c>
      <c r="V105" t="s">
        <v>817</v>
      </c>
      <c r="W105">
        <v>0</v>
      </c>
      <c r="X105">
        <v>0</v>
      </c>
      <c r="Z105">
        <v>2</v>
      </c>
      <c r="AA105" s="31">
        <v>45670</v>
      </c>
      <c r="AB105" s="61">
        <v>0.68215277777777783</v>
      </c>
      <c r="AC105" t="s">
        <v>818</v>
      </c>
      <c r="AD105" s="31">
        <v>45672</v>
      </c>
      <c r="AE105" s="61">
        <v>0.67391203703703706</v>
      </c>
      <c r="AH105" t="s">
        <v>3544</v>
      </c>
      <c r="AI105" t="s">
        <v>3544</v>
      </c>
      <c r="AQ105">
        <v>1</v>
      </c>
    </row>
    <row r="106" spans="1:43" x14ac:dyDescent="0.25">
      <c r="A106" t="s">
        <v>31</v>
      </c>
      <c r="B106">
        <v>160</v>
      </c>
      <c r="C106">
        <v>148</v>
      </c>
      <c r="D106">
        <v>1562</v>
      </c>
      <c r="G106" t="s">
        <v>3554</v>
      </c>
      <c r="H106">
        <v>8530284000130</v>
      </c>
      <c r="I106" t="s">
        <v>3555</v>
      </c>
      <c r="J106" t="s">
        <v>2927</v>
      </c>
      <c r="K106" t="s">
        <v>3556</v>
      </c>
      <c r="M106" t="s">
        <v>3557</v>
      </c>
      <c r="O106" t="s">
        <v>778</v>
      </c>
      <c r="T106" t="s">
        <v>319</v>
      </c>
      <c r="U106" t="s">
        <v>3417</v>
      </c>
      <c r="V106" t="s">
        <v>3558</v>
      </c>
      <c r="W106">
        <v>1600</v>
      </c>
      <c r="X106">
        <v>339587</v>
      </c>
      <c r="Z106">
        <v>13</v>
      </c>
      <c r="AA106" s="31">
        <v>45671</v>
      </c>
      <c r="AB106" s="61">
        <v>0.48020833333333329</v>
      </c>
      <c r="AC106" t="s">
        <v>795</v>
      </c>
      <c r="AD106" s="31">
        <v>45684</v>
      </c>
      <c r="AE106" s="61">
        <v>0.41270833333333329</v>
      </c>
      <c r="AF106" t="s">
        <v>934</v>
      </c>
      <c r="AH106" t="s">
        <v>3559</v>
      </c>
      <c r="AI106" t="s">
        <v>3559</v>
      </c>
      <c r="AQ106">
        <v>1</v>
      </c>
    </row>
    <row r="107" spans="1:43" x14ac:dyDescent="0.25">
      <c r="A107" t="s">
        <v>31</v>
      </c>
      <c r="B107">
        <v>161</v>
      </c>
      <c r="C107">
        <v>180</v>
      </c>
      <c r="D107">
        <v>1577</v>
      </c>
      <c r="G107" t="s">
        <v>3560</v>
      </c>
      <c r="H107">
        <v>7287290000226</v>
      </c>
      <c r="I107" t="s">
        <v>3561</v>
      </c>
      <c r="J107" t="s">
        <v>3562</v>
      </c>
      <c r="K107" t="s">
        <v>3563</v>
      </c>
      <c r="M107" t="s">
        <v>3564</v>
      </c>
      <c r="O107" t="s">
        <v>3565</v>
      </c>
      <c r="P107" t="s">
        <v>3566</v>
      </c>
      <c r="Q107" t="s">
        <v>790</v>
      </c>
      <c r="T107" t="s">
        <v>319</v>
      </c>
      <c r="U107" t="s">
        <v>816</v>
      </c>
      <c r="V107" t="s">
        <v>3558</v>
      </c>
      <c r="W107">
        <v>28512</v>
      </c>
      <c r="X107">
        <v>28512</v>
      </c>
      <c r="Z107">
        <v>0</v>
      </c>
      <c r="AA107" s="31">
        <v>45672</v>
      </c>
      <c r="AB107" s="61">
        <v>0.39792824074074068</v>
      </c>
      <c r="AC107" t="s">
        <v>818</v>
      </c>
      <c r="AD107" s="31">
        <v>45672</v>
      </c>
      <c r="AE107" s="61">
        <v>0.40056712962962959</v>
      </c>
      <c r="AH107" t="s">
        <v>3559</v>
      </c>
      <c r="AI107" t="s">
        <v>3559</v>
      </c>
      <c r="AQ107">
        <v>1</v>
      </c>
    </row>
    <row r="108" spans="1:43" x14ac:dyDescent="0.25">
      <c r="A108" t="s">
        <v>31</v>
      </c>
      <c r="B108">
        <v>162</v>
      </c>
      <c r="C108">
        <v>170</v>
      </c>
      <c r="D108">
        <v>1579</v>
      </c>
      <c r="G108" t="s">
        <v>3567</v>
      </c>
      <c r="H108">
        <v>4150555001304</v>
      </c>
      <c r="I108" t="s">
        <v>3477</v>
      </c>
      <c r="J108" t="s">
        <v>3568</v>
      </c>
      <c r="K108" t="s">
        <v>3569</v>
      </c>
      <c r="M108" t="s">
        <v>3480</v>
      </c>
      <c r="O108" t="s">
        <v>3481</v>
      </c>
      <c r="P108" t="s">
        <v>3482</v>
      </c>
      <c r="Q108" t="s">
        <v>1699</v>
      </c>
      <c r="T108" t="s">
        <v>319</v>
      </c>
      <c r="U108" t="s">
        <v>3417</v>
      </c>
      <c r="Z108">
        <v>14</v>
      </c>
      <c r="AA108" s="31">
        <v>45672</v>
      </c>
      <c r="AB108" s="61">
        <v>0.65109953703703705</v>
      </c>
      <c r="AC108" t="s">
        <v>795</v>
      </c>
      <c r="AD108" s="31">
        <v>45686</v>
      </c>
      <c r="AE108" s="61">
        <v>0.71326388888888892</v>
      </c>
      <c r="AF108" t="s">
        <v>796</v>
      </c>
      <c r="AH108" t="s">
        <v>3570</v>
      </c>
      <c r="AI108" t="s">
        <v>3570</v>
      </c>
      <c r="AQ108">
        <v>1</v>
      </c>
    </row>
    <row r="109" spans="1:43" x14ac:dyDescent="0.25">
      <c r="A109" t="s">
        <v>31</v>
      </c>
      <c r="B109">
        <v>163</v>
      </c>
      <c r="C109">
        <v>170</v>
      </c>
      <c r="D109">
        <v>1580</v>
      </c>
      <c r="G109" t="s">
        <v>3571</v>
      </c>
      <c r="H109">
        <v>4150555001304</v>
      </c>
      <c r="I109" t="s">
        <v>3477</v>
      </c>
      <c r="J109" t="s">
        <v>3478</v>
      </c>
      <c r="K109" t="s">
        <v>3569</v>
      </c>
      <c r="M109" t="s">
        <v>3480</v>
      </c>
      <c r="O109" t="s">
        <v>3481</v>
      </c>
      <c r="P109" t="s">
        <v>3482</v>
      </c>
      <c r="Q109" t="s">
        <v>1699</v>
      </c>
      <c r="T109" t="s">
        <v>319</v>
      </c>
      <c r="U109" t="s">
        <v>3417</v>
      </c>
      <c r="W109">
        <v>30816</v>
      </c>
      <c r="X109">
        <v>85536</v>
      </c>
      <c r="Z109">
        <v>71</v>
      </c>
      <c r="AA109" s="31">
        <v>45672</v>
      </c>
      <c r="AB109" s="61">
        <v>0.65299768518518519</v>
      </c>
      <c r="AC109" t="s">
        <v>795</v>
      </c>
      <c r="AD109" s="31">
        <v>45743</v>
      </c>
      <c r="AE109" s="61">
        <v>0.35817129629629629</v>
      </c>
      <c r="AF109" t="s">
        <v>796</v>
      </c>
      <c r="AH109" t="s">
        <v>3570</v>
      </c>
      <c r="AI109" t="s">
        <v>3570</v>
      </c>
      <c r="AQ109">
        <v>1</v>
      </c>
    </row>
    <row r="110" spans="1:43" x14ac:dyDescent="0.25">
      <c r="A110" t="s">
        <v>31</v>
      </c>
      <c r="B110">
        <v>165</v>
      </c>
      <c r="C110">
        <v>182</v>
      </c>
      <c r="D110">
        <v>1586</v>
      </c>
      <c r="G110" t="s">
        <v>3572</v>
      </c>
      <c r="H110">
        <v>23873456000161</v>
      </c>
      <c r="I110" t="s">
        <v>3573</v>
      </c>
      <c r="J110" t="s">
        <v>3574</v>
      </c>
      <c r="K110" t="s">
        <v>3575</v>
      </c>
      <c r="M110" t="s">
        <v>3576</v>
      </c>
      <c r="O110" t="s">
        <v>3577</v>
      </c>
      <c r="P110" t="s">
        <v>1837</v>
      </c>
      <c r="Q110" t="s">
        <v>790</v>
      </c>
      <c r="T110" t="s">
        <v>319</v>
      </c>
      <c r="U110" t="s">
        <v>816</v>
      </c>
      <c r="V110" t="s">
        <v>817</v>
      </c>
      <c r="W110">
        <v>840</v>
      </c>
      <c r="X110">
        <v>0</v>
      </c>
      <c r="Z110">
        <v>1</v>
      </c>
      <c r="AA110" s="31">
        <v>45672</v>
      </c>
      <c r="AB110" s="61">
        <v>0.74322916666666672</v>
      </c>
      <c r="AC110" t="s">
        <v>818</v>
      </c>
      <c r="AD110" s="31">
        <v>45673</v>
      </c>
      <c r="AE110" s="61">
        <v>0.39634259259259258</v>
      </c>
      <c r="AH110" t="s">
        <v>3570</v>
      </c>
      <c r="AQ110">
        <v>1</v>
      </c>
    </row>
    <row r="111" spans="1:43" x14ac:dyDescent="0.25">
      <c r="A111" t="s">
        <v>31</v>
      </c>
      <c r="B111">
        <v>168</v>
      </c>
      <c r="C111">
        <v>154</v>
      </c>
      <c r="D111">
        <v>1601</v>
      </c>
      <c r="G111" t="s">
        <v>3578</v>
      </c>
      <c r="H111">
        <v>790751000159</v>
      </c>
      <c r="I111" t="s">
        <v>3456</v>
      </c>
      <c r="J111" t="s">
        <v>3579</v>
      </c>
      <c r="K111" t="s">
        <v>3580</v>
      </c>
      <c r="M111" t="s">
        <v>3459</v>
      </c>
      <c r="O111" t="s">
        <v>778</v>
      </c>
      <c r="T111" t="s">
        <v>319</v>
      </c>
      <c r="U111" t="s">
        <v>3417</v>
      </c>
      <c r="W111">
        <v>0</v>
      </c>
      <c r="X111">
        <v>137479</v>
      </c>
      <c r="Z111">
        <v>28</v>
      </c>
      <c r="AA111" s="31">
        <v>45673</v>
      </c>
      <c r="AB111" s="61">
        <v>0.63656250000000003</v>
      </c>
      <c r="AC111" t="s">
        <v>795</v>
      </c>
      <c r="AD111" s="31">
        <v>45701</v>
      </c>
      <c r="AE111" s="61">
        <v>0.49040509259259257</v>
      </c>
      <c r="AF111" t="s">
        <v>796</v>
      </c>
      <c r="AH111" t="s">
        <v>3581</v>
      </c>
      <c r="AQ111">
        <v>1</v>
      </c>
    </row>
    <row r="112" spans="1:43" x14ac:dyDescent="0.25">
      <c r="A112" t="s">
        <v>31</v>
      </c>
      <c r="B112">
        <v>170</v>
      </c>
      <c r="C112">
        <v>133</v>
      </c>
      <c r="D112">
        <v>1602</v>
      </c>
      <c r="G112" t="s">
        <v>3582</v>
      </c>
      <c r="I112" t="s">
        <v>625</v>
      </c>
      <c r="J112" t="s">
        <v>3583</v>
      </c>
      <c r="K112" t="s">
        <v>3584</v>
      </c>
      <c r="M112" t="s">
        <v>2207</v>
      </c>
      <c r="O112" t="s">
        <v>778</v>
      </c>
      <c r="T112" t="s">
        <v>319</v>
      </c>
      <c r="U112" t="s">
        <v>816</v>
      </c>
      <c r="V112" t="s">
        <v>817</v>
      </c>
      <c r="W112">
        <v>14600</v>
      </c>
      <c r="X112">
        <v>1728</v>
      </c>
      <c r="Z112">
        <v>74</v>
      </c>
      <c r="AA112" s="31">
        <v>45673</v>
      </c>
      <c r="AB112" s="61">
        <v>0.75452546296296297</v>
      </c>
      <c r="AC112" t="s">
        <v>818</v>
      </c>
      <c r="AD112" s="31">
        <v>45721</v>
      </c>
      <c r="AE112" s="61">
        <v>0.42261574074074082</v>
      </c>
      <c r="AG112">
        <v>0</v>
      </c>
      <c r="AH112" t="s">
        <v>3581</v>
      </c>
      <c r="AI112" t="s">
        <v>3581</v>
      </c>
      <c r="AQ112">
        <v>1</v>
      </c>
    </row>
    <row r="113" spans="1:43" x14ac:dyDescent="0.25">
      <c r="A113" t="s">
        <v>31</v>
      </c>
      <c r="B113">
        <v>171</v>
      </c>
      <c r="C113">
        <v>170</v>
      </c>
      <c r="D113">
        <v>1604</v>
      </c>
      <c r="G113" t="s">
        <v>3585</v>
      </c>
      <c r="H113">
        <v>4150555001304</v>
      </c>
      <c r="I113" t="s">
        <v>3477</v>
      </c>
      <c r="J113" t="s">
        <v>3478</v>
      </c>
      <c r="K113" t="s">
        <v>3569</v>
      </c>
      <c r="M113" t="s">
        <v>3480</v>
      </c>
      <c r="O113" t="s">
        <v>3481</v>
      </c>
      <c r="P113" t="s">
        <v>3482</v>
      </c>
      <c r="Q113" t="s">
        <v>1699</v>
      </c>
      <c r="T113" t="s">
        <v>319</v>
      </c>
      <c r="U113" t="s">
        <v>816</v>
      </c>
      <c r="V113" t="s">
        <v>3558</v>
      </c>
      <c r="W113">
        <v>7764</v>
      </c>
      <c r="X113">
        <v>3564</v>
      </c>
      <c r="Z113">
        <v>0</v>
      </c>
      <c r="AA113" s="31">
        <v>45674</v>
      </c>
      <c r="AB113" s="61">
        <v>0.48375000000000001</v>
      </c>
      <c r="AC113" t="s">
        <v>818</v>
      </c>
      <c r="AD113" s="31">
        <v>45674</v>
      </c>
      <c r="AE113" s="61">
        <v>0.48546296296296299</v>
      </c>
      <c r="AH113" t="s">
        <v>3586</v>
      </c>
      <c r="AI113" t="s">
        <v>3581</v>
      </c>
      <c r="AQ113">
        <v>1</v>
      </c>
    </row>
    <row r="114" spans="1:43" x14ac:dyDescent="0.25">
      <c r="A114" t="s">
        <v>31</v>
      </c>
      <c r="B114">
        <v>172</v>
      </c>
      <c r="C114">
        <v>132</v>
      </c>
      <c r="D114">
        <v>1607</v>
      </c>
      <c r="G114" t="s">
        <v>3587</v>
      </c>
      <c r="I114" t="s">
        <v>3373</v>
      </c>
      <c r="J114" t="s">
        <v>3588</v>
      </c>
      <c r="K114" t="s">
        <v>3553</v>
      </c>
      <c r="M114" t="s">
        <v>3375</v>
      </c>
      <c r="O114" t="s">
        <v>778</v>
      </c>
      <c r="T114" t="s">
        <v>319</v>
      </c>
      <c r="U114" t="s">
        <v>816</v>
      </c>
      <c r="W114">
        <v>135165</v>
      </c>
      <c r="X114">
        <v>0</v>
      </c>
      <c r="Z114">
        <v>31</v>
      </c>
      <c r="AA114" s="31">
        <v>45674</v>
      </c>
      <c r="AB114" s="61">
        <v>0.73576388888888888</v>
      </c>
      <c r="AC114" t="s">
        <v>818</v>
      </c>
      <c r="AD114" s="31">
        <v>45705</v>
      </c>
      <c r="AE114" s="61">
        <v>0.44101851851851848</v>
      </c>
      <c r="AH114" t="s">
        <v>3586</v>
      </c>
      <c r="AQ114">
        <v>1</v>
      </c>
    </row>
    <row r="115" spans="1:43" x14ac:dyDescent="0.25">
      <c r="A115" t="s">
        <v>31</v>
      </c>
      <c r="B115">
        <v>173</v>
      </c>
      <c r="C115">
        <v>112</v>
      </c>
      <c r="D115">
        <v>1612</v>
      </c>
      <c r="G115" t="s">
        <v>3589</v>
      </c>
      <c r="I115" t="s">
        <v>3327</v>
      </c>
      <c r="J115" t="s">
        <v>914</v>
      </c>
      <c r="K115" t="s">
        <v>3590</v>
      </c>
      <c r="M115" t="s">
        <v>3328</v>
      </c>
      <c r="O115" t="s">
        <v>778</v>
      </c>
      <c r="T115" t="s">
        <v>319</v>
      </c>
      <c r="U115" t="s">
        <v>816</v>
      </c>
      <c r="V115" t="s">
        <v>3558</v>
      </c>
      <c r="W115">
        <v>714</v>
      </c>
      <c r="X115">
        <v>0</v>
      </c>
      <c r="Z115">
        <v>0</v>
      </c>
      <c r="AA115" s="31">
        <v>45677</v>
      </c>
      <c r="AB115" s="61">
        <v>0.4858912037037037</v>
      </c>
      <c r="AC115" t="s">
        <v>818</v>
      </c>
      <c r="AD115" s="31">
        <v>45677</v>
      </c>
      <c r="AE115" s="61">
        <v>0.73797453703703708</v>
      </c>
      <c r="AH115" t="s">
        <v>1136</v>
      </c>
      <c r="AQ115">
        <v>1</v>
      </c>
    </row>
    <row r="116" spans="1:43" x14ac:dyDescent="0.25">
      <c r="A116" t="s">
        <v>31</v>
      </c>
      <c r="B116">
        <v>175</v>
      </c>
      <c r="C116">
        <v>178</v>
      </c>
      <c r="D116">
        <v>1614</v>
      </c>
      <c r="G116" t="s">
        <v>3591</v>
      </c>
      <c r="H116">
        <v>54124158000100</v>
      </c>
      <c r="I116" t="s">
        <v>3539</v>
      </c>
      <c r="J116" t="s">
        <v>1243</v>
      </c>
      <c r="K116" t="s">
        <v>3541</v>
      </c>
      <c r="M116" t="s">
        <v>3542</v>
      </c>
      <c r="O116" t="s">
        <v>3543</v>
      </c>
      <c r="P116" t="s">
        <v>1837</v>
      </c>
      <c r="Q116" t="s">
        <v>790</v>
      </c>
      <c r="T116" t="s">
        <v>319</v>
      </c>
      <c r="U116" t="s">
        <v>3417</v>
      </c>
      <c r="W116">
        <v>44651</v>
      </c>
      <c r="X116">
        <v>0</v>
      </c>
      <c r="Z116">
        <v>23</v>
      </c>
      <c r="AA116" s="31">
        <v>45678</v>
      </c>
      <c r="AB116" s="61">
        <v>0.45103009259259258</v>
      </c>
      <c r="AC116" t="s">
        <v>795</v>
      </c>
      <c r="AD116" s="31">
        <v>45701</v>
      </c>
      <c r="AE116" s="61">
        <v>0.48978009259259259</v>
      </c>
      <c r="AF116" t="s">
        <v>3463</v>
      </c>
      <c r="AH116" t="s">
        <v>3592</v>
      </c>
      <c r="AQ116">
        <v>1</v>
      </c>
    </row>
    <row r="117" spans="1:43" x14ac:dyDescent="0.25">
      <c r="A117" t="s">
        <v>31</v>
      </c>
      <c r="B117">
        <v>176</v>
      </c>
      <c r="C117">
        <v>183</v>
      </c>
      <c r="D117">
        <v>1615</v>
      </c>
      <c r="G117" t="s">
        <v>3593</v>
      </c>
      <c r="H117">
        <v>3204281000192</v>
      </c>
      <c r="I117" t="s">
        <v>3594</v>
      </c>
      <c r="J117" t="s">
        <v>3595</v>
      </c>
      <c r="K117" t="s">
        <v>3596</v>
      </c>
      <c r="M117" t="s">
        <v>2617</v>
      </c>
      <c r="O117" t="s">
        <v>3597</v>
      </c>
      <c r="P117" t="s">
        <v>2618</v>
      </c>
      <c r="Q117" t="s">
        <v>790</v>
      </c>
      <c r="T117" t="s">
        <v>319</v>
      </c>
      <c r="U117" t="s">
        <v>816</v>
      </c>
      <c r="V117" t="s">
        <v>817</v>
      </c>
      <c r="W117">
        <v>831196</v>
      </c>
      <c r="X117">
        <v>36106</v>
      </c>
      <c r="Z117">
        <v>16</v>
      </c>
      <c r="AA117" s="31">
        <v>45678</v>
      </c>
      <c r="AB117" s="61">
        <v>0.51611111111111108</v>
      </c>
      <c r="AC117" t="s">
        <v>818</v>
      </c>
      <c r="AD117" s="31">
        <v>45694</v>
      </c>
      <c r="AE117" s="61">
        <v>0.43015046296296289</v>
      </c>
      <c r="AH117" t="s">
        <v>3592</v>
      </c>
      <c r="AQ117">
        <v>1</v>
      </c>
    </row>
    <row r="118" spans="1:43" x14ac:dyDescent="0.25">
      <c r="A118" t="s">
        <v>31</v>
      </c>
      <c r="B118">
        <v>177</v>
      </c>
      <c r="C118">
        <v>185</v>
      </c>
      <c r="D118">
        <v>1617</v>
      </c>
      <c r="G118" t="s">
        <v>3598</v>
      </c>
      <c r="H118">
        <v>51496785000176</v>
      </c>
      <c r="I118" t="s">
        <v>3599</v>
      </c>
      <c r="J118" t="s">
        <v>3600</v>
      </c>
      <c r="K118" t="s">
        <v>3601</v>
      </c>
      <c r="M118" t="s">
        <v>3602</v>
      </c>
      <c r="O118" t="s">
        <v>3603</v>
      </c>
      <c r="P118" t="s">
        <v>847</v>
      </c>
      <c r="Q118" t="s">
        <v>848</v>
      </c>
      <c r="T118" t="s">
        <v>319</v>
      </c>
      <c r="U118" t="s">
        <v>3417</v>
      </c>
      <c r="V118" t="s">
        <v>817</v>
      </c>
      <c r="W118">
        <v>33696</v>
      </c>
      <c r="X118">
        <v>7128</v>
      </c>
      <c r="Z118">
        <v>36</v>
      </c>
      <c r="AA118" s="31">
        <v>45679</v>
      </c>
      <c r="AB118" s="61">
        <v>0.43111111111111111</v>
      </c>
      <c r="AC118" t="s">
        <v>795</v>
      </c>
      <c r="AD118" s="31">
        <v>45715</v>
      </c>
      <c r="AE118" s="61">
        <v>0.51508101851851851</v>
      </c>
      <c r="AF118" t="s">
        <v>1358</v>
      </c>
      <c r="AH118" t="s">
        <v>3604</v>
      </c>
      <c r="AI118" t="s">
        <v>3517</v>
      </c>
      <c r="AQ118">
        <v>1</v>
      </c>
    </row>
    <row r="119" spans="1:43" x14ac:dyDescent="0.25">
      <c r="A119" t="s">
        <v>31</v>
      </c>
      <c r="B119">
        <v>180</v>
      </c>
      <c r="C119">
        <v>170</v>
      </c>
      <c r="D119">
        <v>1624</v>
      </c>
      <c r="G119" t="s">
        <v>3605</v>
      </c>
      <c r="H119">
        <v>4150555001304</v>
      </c>
      <c r="I119" t="s">
        <v>3477</v>
      </c>
      <c r="J119" t="s">
        <v>1499</v>
      </c>
      <c r="K119" t="s">
        <v>3569</v>
      </c>
      <c r="M119" t="s">
        <v>3480</v>
      </c>
      <c r="O119" t="s">
        <v>3481</v>
      </c>
      <c r="P119" t="s">
        <v>3482</v>
      </c>
      <c r="Q119" t="s">
        <v>1699</v>
      </c>
      <c r="T119" t="s">
        <v>319</v>
      </c>
      <c r="U119" t="s">
        <v>3606</v>
      </c>
      <c r="Z119">
        <v>21</v>
      </c>
      <c r="AA119" s="31">
        <v>45680</v>
      </c>
      <c r="AB119" s="61">
        <v>0.64934027777777781</v>
      </c>
      <c r="AC119" t="s">
        <v>795</v>
      </c>
      <c r="AD119" s="31">
        <v>45701</v>
      </c>
      <c r="AE119" s="61">
        <v>0.47988425925925932</v>
      </c>
      <c r="AF119" t="s">
        <v>1358</v>
      </c>
      <c r="AI119" t="s">
        <v>1010</v>
      </c>
      <c r="AQ119">
        <v>1</v>
      </c>
    </row>
    <row r="120" spans="1:43" x14ac:dyDescent="0.25">
      <c r="A120" t="s">
        <v>31</v>
      </c>
      <c r="B120">
        <v>181</v>
      </c>
      <c r="C120">
        <v>118</v>
      </c>
      <c r="D120">
        <v>1628</v>
      </c>
      <c r="G120" t="s">
        <v>3607</v>
      </c>
      <c r="I120" t="s">
        <v>686</v>
      </c>
      <c r="J120" t="s">
        <v>3608</v>
      </c>
      <c r="K120" t="s">
        <v>3609</v>
      </c>
      <c r="M120" t="s">
        <v>3343</v>
      </c>
      <c r="O120" t="s">
        <v>778</v>
      </c>
      <c r="T120" t="s">
        <v>319</v>
      </c>
      <c r="U120" t="s">
        <v>3417</v>
      </c>
      <c r="W120">
        <v>33696</v>
      </c>
      <c r="X120">
        <v>0</v>
      </c>
      <c r="Z120">
        <v>20</v>
      </c>
      <c r="AA120" s="31">
        <v>45681</v>
      </c>
      <c r="AB120" s="61">
        <v>0.41077546296296302</v>
      </c>
      <c r="AC120" t="s">
        <v>795</v>
      </c>
      <c r="AD120" s="31">
        <v>45701</v>
      </c>
      <c r="AE120" s="61">
        <v>0.7180671296296296</v>
      </c>
      <c r="AF120" t="s">
        <v>796</v>
      </c>
      <c r="AH120" t="s">
        <v>3610</v>
      </c>
      <c r="AQ120">
        <v>1</v>
      </c>
    </row>
    <row r="121" spans="1:43" x14ac:dyDescent="0.25">
      <c r="A121" t="s">
        <v>31</v>
      </c>
      <c r="B121">
        <v>182</v>
      </c>
      <c r="C121">
        <v>181</v>
      </c>
      <c r="D121">
        <v>1630</v>
      </c>
      <c r="G121" t="s">
        <v>3611</v>
      </c>
      <c r="H121">
        <v>43204189000147</v>
      </c>
      <c r="I121" t="s">
        <v>3612</v>
      </c>
      <c r="J121" t="s">
        <v>990</v>
      </c>
      <c r="K121" t="s">
        <v>3613</v>
      </c>
      <c r="M121" t="s">
        <v>3614</v>
      </c>
      <c r="O121" t="s">
        <v>3615</v>
      </c>
      <c r="P121" t="s">
        <v>3616</v>
      </c>
      <c r="Q121" t="s">
        <v>790</v>
      </c>
      <c r="T121" t="s">
        <v>319</v>
      </c>
      <c r="U121" t="s">
        <v>3417</v>
      </c>
      <c r="Z121">
        <v>0</v>
      </c>
      <c r="AA121" s="31">
        <v>45681</v>
      </c>
      <c r="AB121" s="61">
        <v>0.42917824074074068</v>
      </c>
      <c r="AC121" t="s">
        <v>795</v>
      </c>
      <c r="AD121" s="31">
        <v>45681</v>
      </c>
      <c r="AE121" s="61">
        <v>0.43184027777777778</v>
      </c>
      <c r="AF121" t="s">
        <v>796</v>
      </c>
      <c r="AH121" t="s">
        <v>3586</v>
      </c>
      <c r="AQ121">
        <v>1</v>
      </c>
    </row>
    <row r="122" spans="1:43" x14ac:dyDescent="0.25">
      <c r="A122" t="s">
        <v>31</v>
      </c>
      <c r="B122">
        <v>184</v>
      </c>
      <c r="C122">
        <v>83</v>
      </c>
      <c r="D122">
        <v>1632</v>
      </c>
      <c r="G122" t="s">
        <v>3617</v>
      </c>
      <c r="I122" t="s">
        <v>3255</v>
      </c>
      <c r="J122" t="s">
        <v>3618</v>
      </c>
      <c r="M122" t="s">
        <v>3256</v>
      </c>
      <c r="O122" t="s">
        <v>778</v>
      </c>
      <c r="P122" t="s">
        <v>3257</v>
      </c>
      <c r="T122" t="s">
        <v>319</v>
      </c>
      <c r="U122" t="s">
        <v>781</v>
      </c>
      <c r="Z122">
        <v>5</v>
      </c>
      <c r="AA122" s="31">
        <v>45681</v>
      </c>
      <c r="AB122" s="61">
        <v>0.49629629629629629</v>
      </c>
      <c r="AC122" t="s">
        <v>795</v>
      </c>
      <c r="AD122" s="31">
        <v>45686</v>
      </c>
      <c r="AE122" s="61">
        <v>0.71755787037037033</v>
      </c>
      <c r="AF122" t="s">
        <v>796</v>
      </c>
      <c r="AH122" t="s">
        <v>3619</v>
      </c>
      <c r="AQ122">
        <v>1</v>
      </c>
    </row>
    <row r="123" spans="1:43" x14ac:dyDescent="0.25">
      <c r="A123" t="s">
        <v>31</v>
      </c>
      <c r="B123">
        <v>185</v>
      </c>
      <c r="C123">
        <v>152</v>
      </c>
      <c r="D123">
        <v>1633</v>
      </c>
      <c r="G123" t="s">
        <v>3445</v>
      </c>
      <c r="I123" t="s">
        <v>3445</v>
      </c>
      <c r="J123" t="s">
        <v>3620</v>
      </c>
      <c r="K123" t="s">
        <v>3621</v>
      </c>
      <c r="M123" t="s">
        <v>3448</v>
      </c>
      <c r="O123" t="s">
        <v>778</v>
      </c>
      <c r="T123" t="s">
        <v>319</v>
      </c>
      <c r="U123" t="s">
        <v>816</v>
      </c>
      <c r="V123" t="s">
        <v>817</v>
      </c>
      <c r="W123">
        <v>33696</v>
      </c>
      <c r="X123">
        <v>0</v>
      </c>
      <c r="Z123">
        <v>0</v>
      </c>
      <c r="AA123" s="31">
        <v>45681</v>
      </c>
      <c r="AB123" s="61">
        <v>0.66790509259259256</v>
      </c>
      <c r="AC123" t="s">
        <v>818</v>
      </c>
      <c r="AD123" s="31">
        <v>45681</v>
      </c>
      <c r="AE123" s="61">
        <v>0.67667824074074079</v>
      </c>
      <c r="AH123" t="s">
        <v>3619</v>
      </c>
      <c r="AQ123">
        <v>1</v>
      </c>
    </row>
    <row r="124" spans="1:43" x14ac:dyDescent="0.25">
      <c r="A124" t="s">
        <v>31</v>
      </c>
      <c r="B124">
        <v>186</v>
      </c>
      <c r="C124">
        <v>76</v>
      </c>
      <c r="D124">
        <v>1634</v>
      </c>
      <c r="G124" t="s">
        <v>3622</v>
      </c>
      <c r="I124" t="s">
        <v>225</v>
      </c>
      <c r="J124" t="s">
        <v>1499</v>
      </c>
      <c r="K124" t="s">
        <v>3623</v>
      </c>
      <c r="M124" t="s">
        <v>3233</v>
      </c>
      <c r="O124" t="s">
        <v>778</v>
      </c>
      <c r="P124" t="s">
        <v>3234</v>
      </c>
      <c r="Q124" t="s">
        <v>1699</v>
      </c>
      <c r="T124" t="s">
        <v>319</v>
      </c>
      <c r="U124" t="s">
        <v>3417</v>
      </c>
      <c r="W124">
        <v>67392</v>
      </c>
      <c r="X124">
        <v>3564</v>
      </c>
      <c r="Z124">
        <v>45</v>
      </c>
      <c r="AA124" s="31">
        <v>45681</v>
      </c>
      <c r="AB124" s="61">
        <v>0.6774768518518518</v>
      </c>
      <c r="AC124" t="s">
        <v>795</v>
      </c>
      <c r="AD124" s="31">
        <v>45726</v>
      </c>
      <c r="AE124" s="61">
        <v>0.42464120370370367</v>
      </c>
      <c r="AF124" t="s">
        <v>796</v>
      </c>
      <c r="AH124" t="s">
        <v>3619</v>
      </c>
      <c r="AI124" t="s">
        <v>3619</v>
      </c>
      <c r="AQ124">
        <v>1</v>
      </c>
    </row>
    <row r="125" spans="1:43" x14ac:dyDescent="0.25">
      <c r="A125" t="s">
        <v>31</v>
      </c>
      <c r="B125">
        <v>189</v>
      </c>
      <c r="C125">
        <v>186</v>
      </c>
      <c r="D125">
        <v>1645</v>
      </c>
      <c r="G125" t="s">
        <v>3624</v>
      </c>
      <c r="H125">
        <v>10899939000193</v>
      </c>
      <c r="I125" t="s">
        <v>3625</v>
      </c>
      <c r="J125" t="s">
        <v>704</v>
      </c>
      <c r="K125" t="s">
        <v>3626</v>
      </c>
      <c r="M125" t="s">
        <v>3627</v>
      </c>
      <c r="O125" t="s">
        <v>3628</v>
      </c>
      <c r="P125" t="s">
        <v>3629</v>
      </c>
      <c r="Q125" t="s">
        <v>932</v>
      </c>
      <c r="T125" t="s">
        <v>319</v>
      </c>
      <c r="U125" t="s">
        <v>816</v>
      </c>
      <c r="V125" t="s">
        <v>817</v>
      </c>
      <c r="W125">
        <v>33696</v>
      </c>
      <c r="X125">
        <v>3564</v>
      </c>
      <c r="Z125">
        <v>1</v>
      </c>
      <c r="AA125" s="31">
        <v>45684</v>
      </c>
      <c r="AB125" s="61">
        <v>0.69358796296296299</v>
      </c>
      <c r="AC125" t="s">
        <v>818</v>
      </c>
      <c r="AD125" s="31">
        <v>45685</v>
      </c>
      <c r="AE125" s="61">
        <v>0.37228009259259259</v>
      </c>
      <c r="AH125" t="s">
        <v>3630</v>
      </c>
      <c r="AQ125">
        <v>1</v>
      </c>
    </row>
    <row r="126" spans="1:43" x14ac:dyDescent="0.25">
      <c r="A126" t="s">
        <v>31</v>
      </c>
      <c r="B126">
        <v>190</v>
      </c>
      <c r="C126">
        <v>187</v>
      </c>
      <c r="D126">
        <v>1646</v>
      </c>
      <c r="G126" t="s">
        <v>439</v>
      </c>
      <c r="H126">
        <v>17063632000105</v>
      </c>
      <c r="I126" t="s">
        <v>3631</v>
      </c>
      <c r="J126" t="s">
        <v>3632</v>
      </c>
      <c r="K126" t="s">
        <v>3633</v>
      </c>
      <c r="M126" t="s">
        <v>3634</v>
      </c>
      <c r="O126" t="s">
        <v>3635</v>
      </c>
      <c r="P126" t="s">
        <v>3636</v>
      </c>
      <c r="Q126" t="s">
        <v>1699</v>
      </c>
      <c r="T126" t="s">
        <v>319</v>
      </c>
      <c r="U126" t="s">
        <v>3417</v>
      </c>
      <c r="W126">
        <v>116253</v>
      </c>
      <c r="X126">
        <v>0</v>
      </c>
      <c r="Z126">
        <v>11</v>
      </c>
      <c r="AA126" s="31">
        <v>45684</v>
      </c>
      <c r="AB126" s="61">
        <v>0.71214120370370371</v>
      </c>
      <c r="AC126" t="s">
        <v>795</v>
      </c>
      <c r="AD126" s="31">
        <v>45695</v>
      </c>
      <c r="AE126" s="61">
        <v>0.66339120370370375</v>
      </c>
      <c r="AF126" t="s">
        <v>934</v>
      </c>
      <c r="AH126" t="s">
        <v>3630</v>
      </c>
      <c r="AQ126">
        <v>1</v>
      </c>
    </row>
    <row r="127" spans="1:43" x14ac:dyDescent="0.25">
      <c r="A127" t="s">
        <v>31</v>
      </c>
      <c r="B127">
        <v>192</v>
      </c>
      <c r="C127">
        <v>146</v>
      </c>
      <c r="D127">
        <v>1652</v>
      </c>
      <c r="G127" t="s">
        <v>3637</v>
      </c>
      <c r="I127" t="s">
        <v>3425</v>
      </c>
      <c r="J127" t="s">
        <v>3426</v>
      </c>
      <c r="K127" t="s">
        <v>3515</v>
      </c>
      <c r="M127" t="s">
        <v>3428</v>
      </c>
      <c r="O127" t="s">
        <v>778</v>
      </c>
      <c r="T127" t="s">
        <v>319</v>
      </c>
      <c r="U127" t="s">
        <v>816</v>
      </c>
      <c r="V127" t="s">
        <v>3558</v>
      </c>
      <c r="W127">
        <v>63179</v>
      </c>
      <c r="X127">
        <v>0</v>
      </c>
      <c r="Z127">
        <v>0</v>
      </c>
      <c r="AA127" s="31">
        <v>45685</v>
      </c>
      <c r="AB127" s="61">
        <v>0.69449074074074069</v>
      </c>
      <c r="AC127" t="s">
        <v>818</v>
      </c>
      <c r="AD127" s="31">
        <v>45685</v>
      </c>
      <c r="AE127" s="61">
        <v>0.69738425925925929</v>
      </c>
      <c r="AH127" t="s">
        <v>1187</v>
      </c>
      <c r="AQ127">
        <v>1</v>
      </c>
    </row>
    <row r="128" spans="1:43" x14ac:dyDescent="0.25">
      <c r="A128" t="s">
        <v>31</v>
      </c>
      <c r="B128">
        <v>194</v>
      </c>
      <c r="C128">
        <v>188</v>
      </c>
      <c r="D128">
        <v>1654</v>
      </c>
      <c r="G128" t="s">
        <v>3638</v>
      </c>
      <c r="H128">
        <v>134729000150</v>
      </c>
      <c r="I128" t="s">
        <v>3639</v>
      </c>
      <c r="J128" t="s">
        <v>3640</v>
      </c>
      <c r="K128" t="s">
        <v>3641</v>
      </c>
      <c r="M128" t="s">
        <v>3642</v>
      </c>
      <c r="O128" t="s">
        <v>3643</v>
      </c>
      <c r="P128" t="s">
        <v>847</v>
      </c>
      <c r="Q128" t="s">
        <v>848</v>
      </c>
      <c r="S128" t="s">
        <v>1327</v>
      </c>
      <c r="T128" t="s">
        <v>319</v>
      </c>
      <c r="U128" t="s">
        <v>3417</v>
      </c>
      <c r="W128">
        <v>1600</v>
      </c>
      <c r="X128">
        <v>674148</v>
      </c>
      <c r="Z128">
        <v>22</v>
      </c>
      <c r="AA128" s="31">
        <v>45685</v>
      </c>
      <c r="AB128" s="61">
        <v>0.70484953703703701</v>
      </c>
      <c r="AC128" t="s">
        <v>795</v>
      </c>
      <c r="AD128" s="31">
        <v>45707</v>
      </c>
      <c r="AE128" s="61">
        <v>0.37031249999999999</v>
      </c>
      <c r="AF128" t="s">
        <v>796</v>
      </c>
      <c r="AH128" t="s">
        <v>1187</v>
      </c>
      <c r="AI128" t="s">
        <v>1187</v>
      </c>
      <c r="AQ128">
        <v>1</v>
      </c>
    </row>
    <row r="129" spans="1:43" x14ac:dyDescent="0.25">
      <c r="A129" t="s">
        <v>31</v>
      </c>
      <c r="B129">
        <v>216</v>
      </c>
      <c r="C129">
        <v>149</v>
      </c>
      <c r="D129">
        <v>1716</v>
      </c>
      <c r="G129" t="s">
        <v>3644</v>
      </c>
      <c r="H129">
        <v>12418196000118</v>
      </c>
      <c r="I129" t="s">
        <v>3645</v>
      </c>
      <c r="J129" t="s">
        <v>3646</v>
      </c>
      <c r="K129" t="s">
        <v>3647</v>
      </c>
      <c r="M129" t="s">
        <v>3648</v>
      </c>
      <c r="O129" t="s">
        <v>778</v>
      </c>
      <c r="T129" t="s">
        <v>319</v>
      </c>
      <c r="U129" t="s">
        <v>3417</v>
      </c>
      <c r="W129">
        <v>1600</v>
      </c>
      <c r="X129">
        <v>1458885</v>
      </c>
      <c r="Z129">
        <v>39</v>
      </c>
      <c r="AA129" s="31">
        <v>45694</v>
      </c>
      <c r="AB129" s="61">
        <v>0.58359953703703704</v>
      </c>
      <c r="AC129" t="s">
        <v>795</v>
      </c>
      <c r="AD129" s="31">
        <v>45733</v>
      </c>
      <c r="AE129" s="61">
        <v>0.40326388888888892</v>
      </c>
      <c r="AF129" t="s">
        <v>796</v>
      </c>
      <c r="AH129" t="s">
        <v>1293</v>
      </c>
      <c r="AI129" t="s">
        <v>1293</v>
      </c>
      <c r="AQ129">
        <v>1</v>
      </c>
    </row>
    <row r="130" spans="1:43" x14ac:dyDescent="0.25">
      <c r="A130" t="s">
        <v>31</v>
      </c>
      <c r="B130">
        <v>217</v>
      </c>
      <c r="C130">
        <v>102</v>
      </c>
      <c r="D130">
        <v>1717</v>
      </c>
      <c r="G130" t="s">
        <v>3649</v>
      </c>
      <c r="I130" t="s">
        <v>3306</v>
      </c>
      <c r="J130" t="s">
        <v>3650</v>
      </c>
      <c r="K130" t="s">
        <v>3651</v>
      </c>
      <c r="M130" t="s">
        <v>3308</v>
      </c>
      <c r="O130" t="s">
        <v>778</v>
      </c>
      <c r="S130" t="s">
        <v>1266</v>
      </c>
      <c r="T130" t="s">
        <v>319</v>
      </c>
      <c r="U130" t="s">
        <v>3417</v>
      </c>
      <c r="W130">
        <v>16200</v>
      </c>
      <c r="X130">
        <v>2160</v>
      </c>
      <c r="Z130">
        <v>39</v>
      </c>
      <c r="AA130" s="31">
        <v>45694</v>
      </c>
      <c r="AB130" s="61">
        <v>0.61443287037037042</v>
      </c>
      <c r="AC130" t="s">
        <v>795</v>
      </c>
      <c r="AD130" s="31">
        <v>45733</v>
      </c>
      <c r="AE130" s="61">
        <v>0.40384259259259259</v>
      </c>
      <c r="AF130" t="s">
        <v>796</v>
      </c>
      <c r="AH130" t="s">
        <v>1293</v>
      </c>
      <c r="AI130" t="s">
        <v>1293</v>
      </c>
      <c r="AQ130">
        <v>1</v>
      </c>
    </row>
    <row r="131" spans="1:43" x14ac:dyDescent="0.25">
      <c r="A131" t="s">
        <v>31</v>
      </c>
      <c r="B131">
        <v>218</v>
      </c>
      <c r="C131">
        <v>76</v>
      </c>
      <c r="D131">
        <v>1718</v>
      </c>
      <c r="G131" t="s">
        <v>3652</v>
      </c>
      <c r="I131" t="s">
        <v>225</v>
      </c>
      <c r="J131" t="s">
        <v>3653</v>
      </c>
      <c r="K131" t="s">
        <v>3623</v>
      </c>
      <c r="M131" t="s">
        <v>3233</v>
      </c>
      <c r="O131" t="s">
        <v>778</v>
      </c>
      <c r="P131" t="s">
        <v>3234</v>
      </c>
      <c r="Q131" t="s">
        <v>1699</v>
      </c>
      <c r="S131" t="s">
        <v>1266</v>
      </c>
      <c r="T131" t="s">
        <v>319</v>
      </c>
      <c r="U131" t="s">
        <v>781</v>
      </c>
      <c r="Z131">
        <v>67</v>
      </c>
      <c r="AA131" s="31">
        <v>45694</v>
      </c>
      <c r="AB131" s="61">
        <v>0.63978009259259261</v>
      </c>
      <c r="AC131" t="s">
        <v>795</v>
      </c>
      <c r="AD131" s="31">
        <v>45761</v>
      </c>
      <c r="AE131" s="61">
        <v>0.36935185185185188</v>
      </c>
      <c r="AF131" t="s">
        <v>796</v>
      </c>
      <c r="AQ131">
        <v>1</v>
      </c>
    </row>
    <row r="132" spans="1:43" x14ac:dyDescent="0.25">
      <c r="A132" t="s">
        <v>31</v>
      </c>
      <c r="B132">
        <v>220</v>
      </c>
      <c r="C132">
        <v>129</v>
      </c>
      <c r="D132">
        <v>1723</v>
      </c>
      <c r="G132" t="s">
        <v>3654</v>
      </c>
      <c r="I132" t="s">
        <v>679</v>
      </c>
      <c r="J132" t="s">
        <v>3655</v>
      </c>
      <c r="K132" t="s">
        <v>3537</v>
      </c>
      <c r="M132" t="s">
        <v>3366</v>
      </c>
      <c r="O132" t="s">
        <v>778</v>
      </c>
      <c r="T132" t="s">
        <v>319</v>
      </c>
      <c r="U132" t="s">
        <v>816</v>
      </c>
      <c r="W132">
        <v>321408</v>
      </c>
      <c r="X132">
        <v>57024</v>
      </c>
      <c r="Z132">
        <v>48</v>
      </c>
      <c r="AA132" s="31">
        <v>45695</v>
      </c>
      <c r="AB132" s="61">
        <v>0.36967592592592591</v>
      </c>
      <c r="AC132" t="s">
        <v>795</v>
      </c>
      <c r="AD132" s="31">
        <v>45743</v>
      </c>
      <c r="AE132" s="61">
        <v>0.35805555555555563</v>
      </c>
      <c r="AF132" t="s">
        <v>796</v>
      </c>
      <c r="AH132" t="s">
        <v>1292</v>
      </c>
      <c r="AI132" t="s">
        <v>1293</v>
      </c>
      <c r="AQ132">
        <v>1</v>
      </c>
    </row>
    <row r="133" spans="1:43" x14ac:dyDescent="0.25">
      <c r="A133" t="s">
        <v>31</v>
      </c>
      <c r="B133">
        <v>221</v>
      </c>
      <c r="C133">
        <v>129</v>
      </c>
      <c r="D133">
        <v>1724</v>
      </c>
      <c r="G133" t="s">
        <v>3656</v>
      </c>
      <c r="I133" t="s">
        <v>679</v>
      </c>
      <c r="J133" t="s">
        <v>928</v>
      </c>
      <c r="K133" t="s">
        <v>3537</v>
      </c>
      <c r="M133" t="s">
        <v>3366</v>
      </c>
      <c r="O133" t="s">
        <v>778</v>
      </c>
      <c r="S133" t="s">
        <v>1266</v>
      </c>
      <c r="T133" t="s">
        <v>319</v>
      </c>
      <c r="U133" t="s">
        <v>816</v>
      </c>
      <c r="W133">
        <v>23580</v>
      </c>
      <c r="X133">
        <v>3400</v>
      </c>
      <c r="Z133">
        <v>48</v>
      </c>
      <c r="AA133" s="31">
        <v>45695</v>
      </c>
      <c r="AB133" s="61">
        <v>0.41024305555555562</v>
      </c>
      <c r="AC133" t="s">
        <v>795</v>
      </c>
      <c r="AD133" s="31">
        <v>45743</v>
      </c>
      <c r="AE133" s="61">
        <v>0.35790509259259262</v>
      </c>
      <c r="AF133" t="s">
        <v>796</v>
      </c>
      <c r="AH133" t="s">
        <v>1292</v>
      </c>
      <c r="AI133" t="s">
        <v>1293</v>
      </c>
      <c r="AQ133">
        <v>1</v>
      </c>
    </row>
    <row r="134" spans="1:43" x14ac:dyDescent="0.25">
      <c r="A134" t="s">
        <v>31</v>
      </c>
      <c r="B134">
        <v>222</v>
      </c>
      <c r="C134">
        <v>172</v>
      </c>
      <c r="D134">
        <v>1725</v>
      </c>
      <c r="G134" t="s">
        <v>3657</v>
      </c>
      <c r="H134">
        <v>33561753000125</v>
      </c>
      <c r="I134" t="s">
        <v>3501</v>
      </c>
      <c r="J134" t="s">
        <v>952</v>
      </c>
      <c r="K134" t="s">
        <v>3502</v>
      </c>
      <c r="M134" t="s">
        <v>3503</v>
      </c>
      <c r="O134" t="s">
        <v>3504</v>
      </c>
      <c r="P134" t="s">
        <v>3505</v>
      </c>
      <c r="Q134" t="s">
        <v>790</v>
      </c>
      <c r="S134" t="s">
        <v>1266</v>
      </c>
      <c r="T134" t="s">
        <v>319</v>
      </c>
      <c r="U134" t="s">
        <v>3417</v>
      </c>
      <c r="W134">
        <v>23580</v>
      </c>
      <c r="X134">
        <v>3400</v>
      </c>
      <c r="Z134">
        <v>91</v>
      </c>
      <c r="AA134" s="31">
        <v>45695</v>
      </c>
      <c r="AB134" s="61">
        <v>0.44217592592592592</v>
      </c>
      <c r="AC134" t="s">
        <v>795</v>
      </c>
      <c r="AD134" s="31">
        <v>45786</v>
      </c>
      <c r="AE134" s="61">
        <v>0.6146759259259259</v>
      </c>
      <c r="AF134" t="s">
        <v>934</v>
      </c>
      <c r="AH134" t="s">
        <v>1292</v>
      </c>
      <c r="AI134" t="s">
        <v>1286</v>
      </c>
      <c r="AQ134">
        <v>1</v>
      </c>
    </row>
    <row r="135" spans="1:43" x14ac:dyDescent="0.25">
      <c r="A135" t="s">
        <v>31</v>
      </c>
      <c r="B135">
        <v>223</v>
      </c>
      <c r="C135">
        <v>172</v>
      </c>
      <c r="D135">
        <v>1726</v>
      </c>
      <c r="G135" t="s">
        <v>3658</v>
      </c>
      <c r="H135">
        <v>33561753000125</v>
      </c>
      <c r="I135" t="s">
        <v>3501</v>
      </c>
      <c r="J135" t="s">
        <v>952</v>
      </c>
      <c r="K135" t="s">
        <v>3502</v>
      </c>
      <c r="M135" t="s">
        <v>3503</v>
      </c>
      <c r="O135" t="s">
        <v>3504</v>
      </c>
      <c r="P135" t="s">
        <v>3505</v>
      </c>
      <c r="Q135" t="s">
        <v>790</v>
      </c>
      <c r="S135" t="s">
        <v>1266</v>
      </c>
      <c r="T135" t="s">
        <v>319</v>
      </c>
      <c r="U135" t="s">
        <v>3417</v>
      </c>
      <c r="W135">
        <v>214272</v>
      </c>
      <c r="X135">
        <v>48472</v>
      </c>
      <c r="Z135">
        <v>91</v>
      </c>
      <c r="AA135" s="31">
        <v>45695</v>
      </c>
      <c r="AB135" s="61">
        <v>0.44530092592592591</v>
      </c>
      <c r="AC135" t="s">
        <v>795</v>
      </c>
      <c r="AD135" s="31">
        <v>45786</v>
      </c>
      <c r="AE135" s="61">
        <v>0.61391203703703701</v>
      </c>
      <c r="AF135" t="s">
        <v>934</v>
      </c>
      <c r="AH135" t="s">
        <v>1292</v>
      </c>
      <c r="AI135" t="s">
        <v>1286</v>
      </c>
      <c r="AQ135">
        <v>1</v>
      </c>
    </row>
    <row r="136" spans="1:43" x14ac:dyDescent="0.25">
      <c r="A136" t="s">
        <v>31</v>
      </c>
      <c r="B136">
        <v>224</v>
      </c>
      <c r="C136">
        <v>172</v>
      </c>
      <c r="D136">
        <v>1727</v>
      </c>
      <c r="G136" t="s">
        <v>3659</v>
      </c>
      <c r="H136">
        <v>33561753000125</v>
      </c>
      <c r="I136" t="s">
        <v>3501</v>
      </c>
      <c r="J136" t="s">
        <v>952</v>
      </c>
      <c r="K136" t="s">
        <v>3502</v>
      </c>
      <c r="M136" t="s">
        <v>3503</v>
      </c>
      <c r="O136" t="s">
        <v>3504</v>
      </c>
      <c r="P136" t="s">
        <v>3505</v>
      </c>
      <c r="Q136" t="s">
        <v>790</v>
      </c>
      <c r="S136" t="s">
        <v>1266</v>
      </c>
      <c r="T136" t="s">
        <v>319</v>
      </c>
      <c r="U136" t="s">
        <v>3417</v>
      </c>
      <c r="W136">
        <v>142848</v>
      </c>
      <c r="X136">
        <v>0</v>
      </c>
      <c r="Z136">
        <v>91</v>
      </c>
      <c r="AA136" s="31">
        <v>45695</v>
      </c>
      <c r="AB136" s="61">
        <v>0.45251157407407411</v>
      </c>
      <c r="AC136" t="s">
        <v>795</v>
      </c>
      <c r="AD136" s="31">
        <v>45786</v>
      </c>
      <c r="AE136" s="61">
        <v>0.61659722222222224</v>
      </c>
      <c r="AF136" t="s">
        <v>934</v>
      </c>
      <c r="AH136" t="s">
        <v>1292</v>
      </c>
      <c r="AI136" t="s">
        <v>1286</v>
      </c>
      <c r="AQ136">
        <v>1</v>
      </c>
    </row>
    <row r="137" spans="1:43" x14ac:dyDescent="0.25">
      <c r="A137" t="s">
        <v>31</v>
      </c>
      <c r="B137">
        <v>225</v>
      </c>
      <c r="C137">
        <v>172</v>
      </c>
      <c r="D137">
        <v>1728</v>
      </c>
      <c r="G137" t="s">
        <v>3660</v>
      </c>
      <c r="H137">
        <v>33561753000125</v>
      </c>
      <c r="I137" t="s">
        <v>3501</v>
      </c>
      <c r="J137" t="s">
        <v>952</v>
      </c>
      <c r="K137" t="s">
        <v>3502</v>
      </c>
      <c r="M137" t="s">
        <v>3503</v>
      </c>
      <c r="O137" t="s">
        <v>3504</v>
      </c>
      <c r="P137" t="s">
        <v>3505</v>
      </c>
      <c r="Q137" t="s">
        <v>790</v>
      </c>
      <c r="S137" t="s">
        <v>1266</v>
      </c>
      <c r="T137" t="s">
        <v>319</v>
      </c>
      <c r="U137" t="s">
        <v>3417</v>
      </c>
      <c r="W137">
        <v>1600</v>
      </c>
      <c r="X137">
        <v>235228</v>
      </c>
      <c r="Z137">
        <v>91</v>
      </c>
      <c r="AA137" s="31">
        <v>45695</v>
      </c>
      <c r="AB137" s="61">
        <v>0.45512731481481478</v>
      </c>
      <c r="AC137" t="s">
        <v>795</v>
      </c>
      <c r="AD137" s="31">
        <v>45786</v>
      </c>
      <c r="AE137" s="61">
        <v>0.61518518518518517</v>
      </c>
      <c r="AF137" t="s">
        <v>934</v>
      </c>
      <c r="AH137" t="s">
        <v>1292</v>
      </c>
      <c r="AI137" t="s">
        <v>1286</v>
      </c>
      <c r="AQ137">
        <v>1</v>
      </c>
    </row>
    <row r="138" spans="1:43" x14ac:dyDescent="0.25">
      <c r="A138" t="s">
        <v>31</v>
      </c>
      <c r="B138">
        <v>226</v>
      </c>
      <c r="C138">
        <v>152</v>
      </c>
      <c r="D138">
        <v>1729</v>
      </c>
      <c r="G138" t="s">
        <v>3661</v>
      </c>
      <c r="I138" t="s">
        <v>3445</v>
      </c>
      <c r="J138" t="s">
        <v>3662</v>
      </c>
      <c r="K138" t="s">
        <v>3621</v>
      </c>
      <c r="M138" t="s">
        <v>3448</v>
      </c>
      <c r="O138" t="s">
        <v>778</v>
      </c>
      <c r="T138" t="s">
        <v>319</v>
      </c>
      <c r="U138" t="s">
        <v>816</v>
      </c>
      <c r="W138">
        <v>89361</v>
      </c>
      <c r="X138">
        <v>0</v>
      </c>
      <c r="Z138">
        <v>26</v>
      </c>
      <c r="AA138" s="31">
        <v>45695</v>
      </c>
      <c r="AB138" s="61">
        <v>0.55688657407407405</v>
      </c>
      <c r="AC138" t="s">
        <v>795</v>
      </c>
      <c r="AD138" s="31">
        <v>45721</v>
      </c>
      <c r="AE138" s="61">
        <v>0.42237268518518523</v>
      </c>
      <c r="AF138" t="s">
        <v>3463</v>
      </c>
      <c r="AH138" t="s">
        <v>1292</v>
      </c>
      <c r="AQ138">
        <v>1</v>
      </c>
    </row>
    <row r="139" spans="1:43" x14ac:dyDescent="0.25">
      <c r="A139" t="s">
        <v>31</v>
      </c>
      <c r="B139">
        <v>227</v>
      </c>
      <c r="C139">
        <v>171</v>
      </c>
      <c r="D139">
        <v>1730</v>
      </c>
      <c r="G139" t="s">
        <v>3663</v>
      </c>
      <c r="H139">
        <v>39955762000187</v>
      </c>
      <c r="I139" t="s">
        <v>3484</v>
      </c>
      <c r="J139" t="s">
        <v>3664</v>
      </c>
      <c r="K139" t="s">
        <v>3665</v>
      </c>
      <c r="M139" t="s">
        <v>3487</v>
      </c>
      <c r="O139" t="s">
        <v>3488</v>
      </c>
      <c r="P139" t="s">
        <v>1094</v>
      </c>
      <c r="Q139" t="s">
        <v>790</v>
      </c>
      <c r="T139" t="s">
        <v>319</v>
      </c>
      <c r="U139" t="s">
        <v>3417</v>
      </c>
      <c r="W139">
        <v>245704</v>
      </c>
      <c r="X139">
        <v>0</v>
      </c>
      <c r="Z139">
        <v>7</v>
      </c>
      <c r="AA139" s="31">
        <v>45695</v>
      </c>
      <c r="AB139" s="61">
        <v>0.55918981481481478</v>
      </c>
      <c r="AC139" t="s">
        <v>795</v>
      </c>
      <c r="AD139" s="31">
        <v>45702</v>
      </c>
      <c r="AE139" s="61">
        <v>0.4418287037037037</v>
      </c>
      <c r="AF139" t="s">
        <v>796</v>
      </c>
      <c r="AH139" t="s">
        <v>1292</v>
      </c>
      <c r="AQ139">
        <v>1</v>
      </c>
    </row>
    <row r="140" spans="1:43" x14ac:dyDescent="0.25">
      <c r="A140" t="s">
        <v>31</v>
      </c>
      <c r="B140">
        <v>228</v>
      </c>
      <c r="C140">
        <v>103</v>
      </c>
      <c r="D140">
        <v>1731</v>
      </c>
      <c r="G140" t="s">
        <v>3666</v>
      </c>
      <c r="H140">
        <v>12549273000179</v>
      </c>
      <c r="I140" t="s">
        <v>3309</v>
      </c>
      <c r="J140" t="s">
        <v>1804</v>
      </c>
      <c r="K140" t="s">
        <v>3667</v>
      </c>
      <c r="M140" t="s">
        <v>3312</v>
      </c>
      <c r="O140" t="s">
        <v>3313</v>
      </c>
      <c r="P140" t="s">
        <v>1596</v>
      </c>
      <c r="Q140" t="s">
        <v>790</v>
      </c>
      <c r="T140" t="s">
        <v>319</v>
      </c>
      <c r="U140" t="s">
        <v>3417</v>
      </c>
      <c r="W140">
        <v>7413</v>
      </c>
      <c r="X140">
        <v>0</v>
      </c>
      <c r="Z140">
        <v>33</v>
      </c>
      <c r="AA140" s="31">
        <v>45695</v>
      </c>
      <c r="AB140" s="61">
        <v>0.56200231481481477</v>
      </c>
      <c r="AC140" t="s">
        <v>795</v>
      </c>
      <c r="AD140" s="31">
        <v>45728</v>
      </c>
      <c r="AE140" s="61">
        <v>0.63368055555555558</v>
      </c>
      <c r="AF140" t="s">
        <v>796</v>
      </c>
      <c r="AH140" t="s">
        <v>1292</v>
      </c>
      <c r="AQ140">
        <v>1</v>
      </c>
    </row>
    <row r="141" spans="1:43" x14ac:dyDescent="0.25">
      <c r="A141" t="s">
        <v>31</v>
      </c>
      <c r="B141">
        <v>229</v>
      </c>
      <c r="C141">
        <v>81</v>
      </c>
      <c r="D141">
        <v>1732</v>
      </c>
      <c r="G141" t="s">
        <v>3668</v>
      </c>
      <c r="I141" t="s">
        <v>3248</v>
      </c>
      <c r="J141" t="s">
        <v>3669</v>
      </c>
      <c r="K141" t="s">
        <v>3670</v>
      </c>
      <c r="M141" t="s">
        <v>3250</v>
      </c>
      <c r="O141" t="s">
        <v>778</v>
      </c>
      <c r="S141" t="s">
        <v>1266</v>
      </c>
      <c r="T141" t="s">
        <v>319</v>
      </c>
      <c r="U141" t="s">
        <v>3417</v>
      </c>
      <c r="W141">
        <v>16200</v>
      </c>
      <c r="X141">
        <v>2160</v>
      </c>
      <c r="Z141">
        <v>6</v>
      </c>
      <c r="AA141" s="31">
        <v>45695</v>
      </c>
      <c r="AB141" s="61">
        <v>0.62017361111111113</v>
      </c>
      <c r="AC141" t="s">
        <v>795</v>
      </c>
      <c r="AD141" s="31">
        <v>45701</v>
      </c>
      <c r="AE141" s="61">
        <v>0.48325231481481479</v>
      </c>
      <c r="AF141" t="s">
        <v>3463</v>
      </c>
      <c r="AH141" t="s">
        <v>1292</v>
      </c>
      <c r="AI141" t="s">
        <v>1292</v>
      </c>
      <c r="AQ141">
        <v>1</v>
      </c>
    </row>
    <row r="142" spans="1:43" x14ac:dyDescent="0.25">
      <c r="A142" t="s">
        <v>31</v>
      </c>
      <c r="B142">
        <v>238</v>
      </c>
      <c r="C142">
        <v>96</v>
      </c>
      <c r="D142">
        <v>1761</v>
      </c>
      <c r="G142" t="s">
        <v>3671</v>
      </c>
      <c r="I142" t="s">
        <v>3291</v>
      </c>
      <c r="J142" t="s">
        <v>704</v>
      </c>
      <c r="K142" t="s">
        <v>3672</v>
      </c>
      <c r="M142" t="s">
        <v>3293</v>
      </c>
      <c r="O142" t="s">
        <v>778</v>
      </c>
      <c r="S142" t="s">
        <v>1327</v>
      </c>
      <c r="T142" t="s">
        <v>319</v>
      </c>
      <c r="U142" t="s">
        <v>3417</v>
      </c>
      <c r="W142">
        <v>16200</v>
      </c>
      <c r="X142">
        <v>1404</v>
      </c>
      <c r="Z142">
        <v>7</v>
      </c>
      <c r="AA142" s="31">
        <v>45701</v>
      </c>
      <c r="AB142" s="61">
        <v>0.48359953703703712</v>
      </c>
      <c r="AC142" t="s">
        <v>795</v>
      </c>
      <c r="AD142" s="31">
        <v>45708</v>
      </c>
      <c r="AE142" s="61">
        <v>0.38273148148148151</v>
      </c>
      <c r="AF142" t="s">
        <v>3463</v>
      </c>
      <c r="AH142" t="s">
        <v>3673</v>
      </c>
      <c r="AI142" t="s">
        <v>3673</v>
      </c>
      <c r="AQ142">
        <v>1</v>
      </c>
    </row>
    <row r="143" spans="1:43" x14ac:dyDescent="0.25">
      <c r="A143" t="s">
        <v>31</v>
      </c>
      <c r="B143">
        <v>239</v>
      </c>
      <c r="C143">
        <v>130</v>
      </c>
      <c r="D143">
        <v>1762</v>
      </c>
      <c r="G143" t="s">
        <v>3674</v>
      </c>
      <c r="I143" t="s">
        <v>141</v>
      </c>
      <c r="J143" t="s">
        <v>3675</v>
      </c>
      <c r="K143" t="s">
        <v>3676</v>
      </c>
      <c r="M143" t="s">
        <v>3368</v>
      </c>
      <c r="O143" t="s">
        <v>778</v>
      </c>
      <c r="P143" t="s">
        <v>923</v>
      </c>
      <c r="Q143" t="s">
        <v>790</v>
      </c>
      <c r="S143" t="s">
        <v>1266</v>
      </c>
      <c r="T143" t="s">
        <v>319</v>
      </c>
      <c r="U143" t="s">
        <v>3417</v>
      </c>
      <c r="Z143">
        <v>20</v>
      </c>
      <c r="AA143" s="31">
        <v>45701</v>
      </c>
      <c r="AB143" s="61">
        <v>0.65766203703703707</v>
      </c>
      <c r="AC143" t="s">
        <v>795</v>
      </c>
      <c r="AD143" s="31">
        <v>45721</v>
      </c>
      <c r="AE143" s="61">
        <v>0.42332175925925919</v>
      </c>
      <c r="AF143" t="s">
        <v>796</v>
      </c>
      <c r="AH143" t="s">
        <v>3677</v>
      </c>
      <c r="AI143" t="s">
        <v>1286</v>
      </c>
      <c r="AQ143">
        <v>1</v>
      </c>
    </row>
    <row r="144" spans="1:43" x14ac:dyDescent="0.25">
      <c r="A144" t="s">
        <v>31</v>
      </c>
      <c r="B144">
        <v>240</v>
      </c>
      <c r="C144">
        <v>147</v>
      </c>
      <c r="D144">
        <v>1764</v>
      </c>
      <c r="G144" t="s">
        <v>3678</v>
      </c>
      <c r="H144">
        <v>7964558000136</v>
      </c>
      <c r="I144" t="s">
        <v>3430</v>
      </c>
      <c r="J144" t="s">
        <v>3679</v>
      </c>
      <c r="K144" t="s">
        <v>3515</v>
      </c>
      <c r="M144" t="s">
        <v>3433</v>
      </c>
      <c r="O144" t="s">
        <v>778</v>
      </c>
      <c r="S144" t="s">
        <v>1266</v>
      </c>
      <c r="T144" t="s">
        <v>319</v>
      </c>
      <c r="U144" t="s">
        <v>781</v>
      </c>
      <c r="Z144">
        <v>20</v>
      </c>
      <c r="AA144" s="31">
        <v>45701</v>
      </c>
      <c r="AB144" s="61">
        <v>0.72121527777777783</v>
      </c>
      <c r="AC144" t="s">
        <v>795</v>
      </c>
      <c r="AD144" s="31">
        <v>45721</v>
      </c>
      <c r="AE144" s="61">
        <v>0.42427083333333332</v>
      </c>
      <c r="AF144" t="s">
        <v>796</v>
      </c>
      <c r="AH144" t="s">
        <v>3677</v>
      </c>
      <c r="AI144" t="s">
        <v>3677</v>
      </c>
      <c r="AQ144">
        <v>1</v>
      </c>
    </row>
    <row r="145" spans="1:43" x14ac:dyDescent="0.25">
      <c r="A145" t="s">
        <v>31</v>
      </c>
      <c r="B145">
        <v>241</v>
      </c>
      <c r="C145">
        <v>170</v>
      </c>
      <c r="D145">
        <v>1765</v>
      </c>
      <c r="G145" t="s">
        <v>3680</v>
      </c>
      <c r="H145">
        <v>4150555001304</v>
      </c>
      <c r="I145" t="s">
        <v>3477</v>
      </c>
      <c r="J145" t="s">
        <v>3478</v>
      </c>
      <c r="K145" t="s">
        <v>3569</v>
      </c>
      <c r="M145" t="s">
        <v>3480</v>
      </c>
      <c r="O145" t="s">
        <v>3481</v>
      </c>
      <c r="P145" t="s">
        <v>3482</v>
      </c>
      <c r="Q145" t="s">
        <v>1699</v>
      </c>
      <c r="S145" t="s">
        <v>1327</v>
      </c>
      <c r="T145" t="s">
        <v>319</v>
      </c>
      <c r="U145" t="s">
        <v>816</v>
      </c>
      <c r="W145">
        <v>838823</v>
      </c>
      <c r="X145">
        <v>0</v>
      </c>
      <c r="Z145">
        <v>42</v>
      </c>
      <c r="AA145" s="31">
        <v>45701</v>
      </c>
      <c r="AB145" s="61">
        <v>0.72212962962962968</v>
      </c>
      <c r="AC145" t="s">
        <v>818</v>
      </c>
      <c r="AD145" s="31">
        <v>45743</v>
      </c>
      <c r="AE145" s="61">
        <v>0.67868055555555551</v>
      </c>
      <c r="AQ145">
        <v>1</v>
      </c>
    </row>
    <row r="146" spans="1:43" x14ac:dyDescent="0.25">
      <c r="A146" t="s">
        <v>31</v>
      </c>
      <c r="B146">
        <v>243</v>
      </c>
      <c r="C146">
        <v>194</v>
      </c>
      <c r="D146">
        <v>1766</v>
      </c>
      <c r="G146" t="s">
        <v>3681</v>
      </c>
      <c r="H146">
        <v>44580314000186</v>
      </c>
      <c r="I146" t="s">
        <v>3682</v>
      </c>
      <c r="J146" t="s">
        <v>3683</v>
      </c>
      <c r="K146" t="s">
        <v>3684</v>
      </c>
      <c r="M146" t="s">
        <v>3685</v>
      </c>
      <c r="O146" t="s">
        <v>3686</v>
      </c>
      <c r="P146" t="s">
        <v>3687</v>
      </c>
      <c r="Q146" t="s">
        <v>790</v>
      </c>
      <c r="T146" t="s">
        <v>319</v>
      </c>
      <c r="U146" t="s">
        <v>816</v>
      </c>
      <c r="W146">
        <v>1440</v>
      </c>
      <c r="X146">
        <v>0</v>
      </c>
      <c r="Z146">
        <v>0</v>
      </c>
      <c r="AA146" s="31">
        <v>45702</v>
      </c>
      <c r="AB146" s="61">
        <v>0.36876157407407412</v>
      </c>
      <c r="AC146" t="s">
        <v>818</v>
      </c>
      <c r="AD146" s="31">
        <v>45702</v>
      </c>
      <c r="AE146" s="61">
        <v>0.40575231481481477</v>
      </c>
      <c r="AH146" t="s">
        <v>1359</v>
      </c>
      <c r="AI146" t="s">
        <v>1359</v>
      </c>
      <c r="AQ146">
        <v>1</v>
      </c>
    </row>
    <row r="147" spans="1:43" x14ac:dyDescent="0.25">
      <c r="A147" t="s">
        <v>31</v>
      </c>
      <c r="B147">
        <v>244</v>
      </c>
      <c r="C147">
        <v>149</v>
      </c>
      <c r="D147">
        <v>1767</v>
      </c>
      <c r="G147" t="s">
        <v>3645</v>
      </c>
      <c r="H147">
        <v>12418196000118</v>
      </c>
      <c r="I147" t="s">
        <v>3645</v>
      </c>
      <c r="J147" t="s">
        <v>3688</v>
      </c>
      <c r="K147" t="s">
        <v>3647</v>
      </c>
      <c r="M147" t="s">
        <v>3648</v>
      </c>
      <c r="O147" t="s">
        <v>778</v>
      </c>
      <c r="S147" t="s">
        <v>1327</v>
      </c>
      <c r="T147" t="s">
        <v>319</v>
      </c>
      <c r="U147" t="s">
        <v>3417</v>
      </c>
      <c r="Z147">
        <v>0</v>
      </c>
      <c r="AA147" s="31">
        <v>45702</v>
      </c>
      <c r="AB147" s="61">
        <v>0.43881944444444437</v>
      </c>
      <c r="AC147" t="s">
        <v>795</v>
      </c>
      <c r="AD147" s="31">
        <v>45702</v>
      </c>
      <c r="AE147" s="61">
        <v>0.43979166666666669</v>
      </c>
      <c r="AF147" t="s">
        <v>796</v>
      </c>
      <c r="AI147" t="s">
        <v>1359</v>
      </c>
      <c r="AQ147">
        <v>1</v>
      </c>
    </row>
    <row r="148" spans="1:43" x14ac:dyDescent="0.25">
      <c r="A148" t="s">
        <v>31</v>
      </c>
      <c r="B148">
        <v>247</v>
      </c>
      <c r="C148">
        <v>190</v>
      </c>
      <c r="D148">
        <v>1769</v>
      </c>
      <c r="G148" t="s">
        <v>3689</v>
      </c>
      <c r="H148">
        <v>18203215000175</v>
      </c>
      <c r="I148" t="s">
        <v>3690</v>
      </c>
      <c r="J148" t="s">
        <v>3691</v>
      </c>
      <c r="K148" t="s">
        <v>3692</v>
      </c>
      <c r="M148" t="s">
        <v>3693</v>
      </c>
      <c r="O148" t="s">
        <v>3694</v>
      </c>
      <c r="P148" t="s">
        <v>3695</v>
      </c>
      <c r="Q148" t="s">
        <v>790</v>
      </c>
      <c r="S148" t="s">
        <v>1266</v>
      </c>
      <c r="T148" t="s">
        <v>319</v>
      </c>
      <c r="U148" t="s">
        <v>3409</v>
      </c>
      <c r="W148">
        <v>16200</v>
      </c>
      <c r="X148">
        <v>2160</v>
      </c>
      <c r="Z148">
        <v>25</v>
      </c>
      <c r="AA148" s="31">
        <v>45702</v>
      </c>
      <c r="AB148" s="61">
        <v>0.48204861111111108</v>
      </c>
      <c r="AC148" t="s">
        <v>795</v>
      </c>
      <c r="AD148" s="31">
        <v>45727</v>
      </c>
      <c r="AE148" s="61">
        <v>0.68393518518518515</v>
      </c>
      <c r="AF148" t="s">
        <v>796</v>
      </c>
      <c r="AH148" t="s">
        <v>1286</v>
      </c>
      <c r="AI148" t="s">
        <v>1286</v>
      </c>
      <c r="AQ148">
        <v>1</v>
      </c>
    </row>
    <row r="149" spans="1:43" x14ac:dyDescent="0.25">
      <c r="A149" t="s">
        <v>31</v>
      </c>
      <c r="B149">
        <v>251</v>
      </c>
      <c r="C149">
        <v>142</v>
      </c>
      <c r="D149">
        <v>1773</v>
      </c>
      <c r="G149" t="s">
        <v>3696</v>
      </c>
      <c r="I149" t="s">
        <v>3397</v>
      </c>
      <c r="J149" t="s">
        <v>3697</v>
      </c>
      <c r="K149" t="s">
        <v>3698</v>
      </c>
      <c r="M149" t="s">
        <v>3399</v>
      </c>
      <c r="O149" t="s">
        <v>778</v>
      </c>
      <c r="P149" t="s">
        <v>3400</v>
      </c>
      <c r="Q149" t="s">
        <v>1699</v>
      </c>
      <c r="S149" t="s">
        <v>1266</v>
      </c>
      <c r="T149" t="s">
        <v>319</v>
      </c>
      <c r="U149" t="s">
        <v>3417</v>
      </c>
      <c r="W149">
        <v>16200</v>
      </c>
      <c r="X149">
        <v>2160</v>
      </c>
      <c r="Z149">
        <v>0</v>
      </c>
      <c r="AA149" s="31">
        <v>45702</v>
      </c>
      <c r="AB149" s="61">
        <v>0.70365740740740745</v>
      </c>
      <c r="AC149" t="s">
        <v>795</v>
      </c>
      <c r="AD149" s="31">
        <v>45702</v>
      </c>
      <c r="AE149" s="61">
        <v>0.70915509259259257</v>
      </c>
      <c r="AF149" t="s">
        <v>3463</v>
      </c>
      <c r="AH149" t="s">
        <v>1359</v>
      </c>
      <c r="AI149" t="s">
        <v>1286</v>
      </c>
      <c r="AQ149">
        <v>1</v>
      </c>
    </row>
    <row r="150" spans="1:43" x14ac:dyDescent="0.25">
      <c r="A150" t="s">
        <v>31</v>
      </c>
      <c r="B150">
        <v>252</v>
      </c>
      <c r="C150">
        <v>147</v>
      </c>
      <c r="D150">
        <v>1774</v>
      </c>
      <c r="G150" t="s">
        <v>3699</v>
      </c>
      <c r="H150">
        <v>7964558000136</v>
      </c>
      <c r="I150" t="s">
        <v>3430</v>
      </c>
      <c r="J150" t="s">
        <v>3700</v>
      </c>
      <c r="K150" t="s">
        <v>3515</v>
      </c>
      <c r="M150" t="s">
        <v>3433</v>
      </c>
      <c r="O150" t="s">
        <v>778</v>
      </c>
      <c r="S150" t="s">
        <v>1327</v>
      </c>
      <c r="T150" t="s">
        <v>319</v>
      </c>
      <c r="U150" t="s">
        <v>3417</v>
      </c>
      <c r="W150">
        <v>4212</v>
      </c>
      <c r="X150">
        <v>3564</v>
      </c>
      <c r="Z150">
        <v>4</v>
      </c>
      <c r="AA150" s="31">
        <v>45702</v>
      </c>
      <c r="AB150" s="61">
        <v>0.71611111111111114</v>
      </c>
      <c r="AC150" t="s">
        <v>795</v>
      </c>
      <c r="AD150" s="31">
        <v>45706</v>
      </c>
      <c r="AE150" s="61">
        <v>0.71895833333333337</v>
      </c>
      <c r="AF150" t="s">
        <v>796</v>
      </c>
      <c r="AI150" t="s">
        <v>1359</v>
      </c>
      <c r="AQ150">
        <v>1</v>
      </c>
    </row>
    <row r="151" spans="1:43" x14ac:dyDescent="0.25">
      <c r="A151" t="s">
        <v>31</v>
      </c>
      <c r="B151">
        <v>262</v>
      </c>
      <c r="C151">
        <v>137</v>
      </c>
      <c r="D151">
        <v>1787</v>
      </c>
      <c r="G151" t="s">
        <v>3701</v>
      </c>
      <c r="I151" t="s">
        <v>116</v>
      </c>
      <c r="J151" t="s">
        <v>3702</v>
      </c>
      <c r="K151" t="s">
        <v>3703</v>
      </c>
      <c r="M151" t="s">
        <v>3386</v>
      </c>
      <c r="O151" t="s">
        <v>778</v>
      </c>
      <c r="T151" t="s">
        <v>319</v>
      </c>
      <c r="U151" t="s">
        <v>3417</v>
      </c>
      <c r="W151">
        <v>0</v>
      </c>
      <c r="X151">
        <v>46332</v>
      </c>
      <c r="Z151">
        <v>77</v>
      </c>
      <c r="AA151" s="31">
        <v>45705</v>
      </c>
      <c r="AB151" s="61">
        <v>0.62427083333333333</v>
      </c>
      <c r="AC151" t="s">
        <v>795</v>
      </c>
      <c r="AD151" s="31">
        <v>45782</v>
      </c>
      <c r="AE151" s="61">
        <v>0.66953703703703704</v>
      </c>
      <c r="AF151" t="s">
        <v>934</v>
      </c>
      <c r="AH151" t="s">
        <v>1378</v>
      </c>
      <c r="AI151" t="s">
        <v>1359</v>
      </c>
      <c r="AQ151">
        <v>1</v>
      </c>
    </row>
    <row r="152" spans="1:43" x14ac:dyDescent="0.25">
      <c r="A152" t="s">
        <v>31</v>
      </c>
      <c r="B152">
        <v>264</v>
      </c>
      <c r="C152">
        <v>170</v>
      </c>
      <c r="D152">
        <v>1791</v>
      </c>
      <c r="G152" t="s">
        <v>3704</v>
      </c>
      <c r="H152">
        <v>4150555001304</v>
      </c>
      <c r="I152" t="s">
        <v>3477</v>
      </c>
      <c r="J152" t="s">
        <v>3478</v>
      </c>
      <c r="K152" t="s">
        <v>3569</v>
      </c>
      <c r="M152" t="s">
        <v>3480</v>
      </c>
      <c r="O152" t="s">
        <v>3481</v>
      </c>
      <c r="P152" t="s">
        <v>3482</v>
      </c>
      <c r="Q152" t="s">
        <v>1699</v>
      </c>
      <c r="S152" t="s">
        <v>1266</v>
      </c>
      <c r="T152" t="s">
        <v>319</v>
      </c>
      <c r="U152" t="s">
        <v>781</v>
      </c>
      <c r="Z152">
        <v>55</v>
      </c>
      <c r="AA152" s="31">
        <v>45706</v>
      </c>
      <c r="AB152" s="61">
        <v>0.42887731481481478</v>
      </c>
      <c r="AC152" t="s">
        <v>795</v>
      </c>
      <c r="AD152" s="31">
        <v>45761</v>
      </c>
      <c r="AE152" s="61">
        <v>0.36827546296296299</v>
      </c>
      <c r="AF152" t="s">
        <v>796</v>
      </c>
      <c r="AI152" t="s">
        <v>3705</v>
      </c>
      <c r="AQ152">
        <v>1</v>
      </c>
    </row>
    <row r="153" spans="1:43" x14ac:dyDescent="0.25">
      <c r="A153" t="s">
        <v>31</v>
      </c>
      <c r="B153">
        <v>265</v>
      </c>
      <c r="C153">
        <v>103</v>
      </c>
      <c r="D153">
        <v>1864</v>
      </c>
      <c r="G153" t="s">
        <v>3706</v>
      </c>
      <c r="H153">
        <v>12549273000179</v>
      </c>
      <c r="I153" t="s">
        <v>3309</v>
      </c>
      <c r="J153" t="s">
        <v>3707</v>
      </c>
      <c r="M153" t="s">
        <v>3312</v>
      </c>
      <c r="O153" t="s">
        <v>3313</v>
      </c>
      <c r="P153" t="s">
        <v>1596</v>
      </c>
      <c r="Q153" t="s">
        <v>790</v>
      </c>
      <c r="T153" t="s">
        <v>319</v>
      </c>
      <c r="U153" t="s">
        <v>781</v>
      </c>
      <c r="Z153">
        <v>36</v>
      </c>
      <c r="AA153" s="31">
        <v>45707</v>
      </c>
      <c r="AB153" s="61">
        <v>0.41913194444444452</v>
      </c>
      <c r="AC153" t="s">
        <v>795</v>
      </c>
      <c r="AD153" s="31">
        <v>45743</v>
      </c>
      <c r="AE153" s="61">
        <v>0.6802083333333333</v>
      </c>
      <c r="AF153" t="s">
        <v>796</v>
      </c>
      <c r="AI153" t="s">
        <v>3708</v>
      </c>
      <c r="AQ153">
        <v>1</v>
      </c>
    </row>
    <row r="154" spans="1:43" x14ac:dyDescent="0.25">
      <c r="A154" t="s">
        <v>31</v>
      </c>
      <c r="B154">
        <v>269</v>
      </c>
      <c r="C154">
        <v>183</v>
      </c>
      <c r="D154">
        <v>1615</v>
      </c>
      <c r="G154" t="s">
        <v>3709</v>
      </c>
      <c r="H154">
        <v>3204281000192</v>
      </c>
      <c r="I154" t="s">
        <v>3594</v>
      </c>
      <c r="J154" t="s">
        <v>3595</v>
      </c>
      <c r="K154" t="s">
        <v>3596</v>
      </c>
      <c r="M154" t="s">
        <v>2617</v>
      </c>
      <c r="O154" t="s">
        <v>3597</v>
      </c>
      <c r="P154" t="s">
        <v>2618</v>
      </c>
      <c r="Q154" t="s">
        <v>790</v>
      </c>
      <c r="T154" t="s">
        <v>319</v>
      </c>
      <c r="U154" t="s">
        <v>816</v>
      </c>
      <c r="W154">
        <v>33696</v>
      </c>
      <c r="X154">
        <v>0</v>
      </c>
      <c r="Z154">
        <v>0</v>
      </c>
      <c r="AA154" s="31">
        <v>45708</v>
      </c>
      <c r="AB154" s="61">
        <v>0.46069444444444452</v>
      </c>
      <c r="AC154" t="s">
        <v>818</v>
      </c>
      <c r="AD154" s="31">
        <v>45708</v>
      </c>
      <c r="AE154" s="61">
        <v>0.46159722222222221</v>
      </c>
      <c r="AH154" t="s">
        <v>1453</v>
      </c>
      <c r="AQ154">
        <v>1</v>
      </c>
    </row>
    <row r="155" spans="1:43" x14ac:dyDescent="0.25">
      <c r="A155" t="s">
        <v>31</v>
      </c>
      <c r="B155">
        <v>271</v>
      </c>
      <c r="C155">
        <v>186</v>
      </c>
      <c r="D155">
        <v>1881</v>
      </c>
      <c r="G155" t="s">
        <v>3710</v>
      </c>
      <c r="H155">
        <v>10899939000193</v>
      </c>
      <c r="I155" t="s">
        <v>3625</v>
      </c>
      <c r="J155" t="s">
        <v>704</v>
      </c>
      <c r="K155" t="s">
        <v>3626</v>
      </c>
      <c r="M155" t="s">
        <v>3627</v>
      </c>
      <c r="O155" t="s">
        <v>3628</v>
      </c>
      <c r="P155" t="s">
        <v>3629</v>
      </c>
      <c r="Q155" t="s">
        <v>932</v>
      </c>
      <c r="T155" t="s">
        <v>319</v>
      </c>
      <c r="U155" t="s">
        <v>3417</v>
      </c>
      <c r="W155">
        <v>1600</v>
      </c>
      <c r="X155">
        <v>748029</v>
      </c>
      <c r="Z155">
        <v>105</v>
      </c>
      <c r="AA155" s="31">
        <v>45709</v>
      </c>
      <c r="AB155" s="61">
        <v>0.47337962962962971</v>
      </c>
      <c r="AC155" t="s">
        <v>795</v>
      </c>
      <c r="AD155" s="31">
        <v>45814</v>
      </c>
      <c r="AE155" s="61">
        <v>0.62725694444444446</v>
      </c>
      <c r="AF155" t="s">
        <v>934</v>
      </c>
      <c r="AH155" t="s">
        <v>1454</v>
      </c>
      <c r="AI155" t="s">
        <v>1454</v>
      </c>
      <c r="AQ155">
        <v>1</v>
      </c>
    </row>
    <row r="156" spans="1:43" x14ac:dyDescent="0.25">
      <c r="A156" t="s">
        <v>31</v>
      </c>
      <c r="B156">
        <v>274</v>
      </c>
      <c r="C156">
        <v>187</v>
      </c>
      <c r="D156">
        <v>1884</v>
      </c>
      <c r="G156" t="s">
        <v>3711</v>
      </c>
      <c r="H156">
        <v>17063632000105</v>
      </c>
      <c r="I156" t="s">
        <v>3631</v>
      </c>
      <c r="J156" t="s">
        <v>3712</v>
      </c>
      <c r="K156" t="s">
        <v>3713</v>
      </c>
      <c r="M156" t="s">
        <v>3634</v>
      </c>
      <c r="O156" t="s">
        <v>3635</v>
      </c>
      <c r="P156" t="s">
        <v>3636</v>
      </c>
      <c r="Q156" t="s">
        <v>1699</v>
      </c>
      <c r="T156" t="s">
        <v>319</v>
      </c>
      <c r="U156" t="s">
        <v>781</v>
      </c>
      <c r="Z156">
        <v>0</v>
      </c>
      <c r="AA156" s="31">
        <v>45713</v>
      </c>
      <c r="AB156" s="61">
        <v>0.46167824074074082</v>
      </c>
      <c r="AC156" t="s">
        <v>795</v>
      </c>
      <c r="AD156" s="31">
        <v>45713</v>
      </c>
      <c r="AE156" s="61">
        <v>0.49975694444444452</v>
      </c>
      <c r="AF156" t="s">
        <v>934</v>
      </c>
      <c r="AQ156">
        <v>1</v>
      </c>
    </row>
    <row r="157" spans="1:43" x14ac:dyDescent="0.25">
      <c r="A157" t="s">
        <v>31</v>
      </c>
      <c r="B157">
        <v>275</v>
      </c>
      <c r="C157">
        <v>196</v>
      </c>
      <c r="D157">
        <v>1885</v>
      </c>
      <c r="G157" t="s">
        <v>3714</v>
      </c>
      <c r="H157">
        <v>32494222000102</v>
      </c>
      <c r="I157" t="s">
        <v>3715</v>
      </c>
      <c r="J157" t="s">
        <v>3716</v>
      </c>
      <c r="K157" t="s">
        <v>3717</v>
      </c>
      <c r="M157" t="s">
        <v>3718</v>
      </c>
      <c r="O157" t="s">
        <v>3719</v>
      </c>
      <c r="P157" t="s">
        <v>3720</v>
      </c>
      <c r="Q157" t="s">
        <v>790</v>
      </c>
      <c r="T157" t="s">
        <v>319</v>
      </c>
      <c r="U157" t="s">
        <v>816</v>
      </c>
      <c r="W157">
        <v>2100</v>
      </c>
      <c r="X157">
        <v>0</v>
      </c>
      <c r="Z157">
        <v>57</v>
      </c>
      <c r="AA157" s="31">
        <v>45713</v>
      </c>
      <c r="AB157" s="61">
        <v>0.63856481481481486</v>
      </c>
      <c r="AC157" t="s">
        <v>818</v>
      </c>
      <c r="AD157" s="31">
        <v>45770</v>
      </c>
      <c r="AE157" s="61">
        <v>0.38543981481481482</v>
      </c>
      <c r="AH157" t="s">
        <v>1583</v>
      </c>
      <c r="AI157" t="s">
        <v>1619</v>
      </c>
      <c r="AQ157">
        <v>1</v>
      </c>
    </row>
    <row r="158" spans="1:43" x14ac:dyDescent="0.25">
      <c r="A158" t="s">
        <v>31</v>
      </c>
      <c r="B158">
        <v>276</v>
      </c>
      <c r="C158">
        <v>118</v>
      </c>
      <c r="D158">
        <v>1886</v>
      </c>
      <c r="G158" t="s">
        <v>3721</v>
      </c>
      <c r="I158" t="s">
        <v>686</v>
      </c>
      <c r="J158" t="s">
        <v>3722</v>
      </c>
      <c r="K158" t="s">
        <v>3609</v>
      </c>
      <c r="M158" t="s">
        <v>3343</v>
      </c>
      <c r="O158" t="s">
        <v>778</v>
      </c>
      <c r="T158" t="s">
        <v>319</v>
      </c>
      <c r="U158" t="s">
        <v>3417</v>
      </c>
      <c r="W158">
        <v>3360</v>
      </c>
      <c r="X158">
        <v>3564</v>
      </c>
      <c r="Z158">
        <v>57</v>
      </c>
      <c r="AA158" s="31">
        <v>45713</v>
      </c>
      <c r="AB158" s="61">
        <v>0.65831018518518514</v>
      </c>
      <c r="AC158" t="s">
        <v>795</v>
      </c>
      <c r="AD158" s="31">
        <v>45770</v>
      </c>
      <c r="AE158" s="61">
        <v>0.41612268518518519</v>
      </c>
      <c r="AF158" t="s">
        <v>796</v>
      </c>
      <c r="AH158" t="s">
        <v>3723</v>
      </c>
      <c r="AI158" t="s">
        <v>3724</v>
      </c>
      <c r="AQ158">
        <v>1</v>
      </c>
    </row>
    <row r="159" spans="1:43" x14ac:dyDescent="0.25">
      <c r="A159" t="s">
        <v>31</v>
      </c>
      <c r="B159">
        <v>278</v>
      </c>
      <c r="C159">
        <v>197</v>
      </c>
      <c r="D159">
        <v>1888</v>
      </c>
      <c r="G159" t="s">
        <v>3725</v>
      </c>
      <c r="H159">
        <v>8616236000169</v>
      </c>
      <c r="I159" t="s">
        <v>3726</v>
      </c>
      <c r="J159" t="s">
        <v>704</v>
      </c>
      <c r="K159" t="s">
        <v>3727</v>
      </c>
      <c r="M159" t="s">
        <v>3728</v>
      </c>
      <c r="O159" t="s">
        <v>3729</v>
      </c>
      <c r="P159" t="s">
        <v>3687</v>
      </c>
      <c r="Q159" t="s">
        <v>790</v>
      </c>
      <c r="T159" t="s">
        <v>319</v>
      </c>
      <c r="U159" t="s">
        <v>3417</v>
      </c>
      <c r="W159">
        <v>1600</v>
      </c>
      <c r="X159">
        <v>867233</v>
      </c>
      <c r="Z159">
        <v>97</v>
      </c>
      <c r="AA159" s="31">
        <v>45714</v>
      </c>
      <c r="AB159" s="61">
        <v>0.51196759259259261</v>
      </c>
      <c r="AC159" t="s">
        <v>795</v>
      </c>
      <c r="AD159" s="31">
        <v>45811</v>
      </c>
      <c r="AE159" s="61">
        <v>0.64706018518518515</v>
      </c>
      <c r="AF159" t="s">
        <v>796</v>
      </c>
      <c r="AH159" t="s">
        <v>1455</v>
      </c>
      <c r="AI159" t="s">
        <v>1455</v>
      </c>
      <c r="AQ159">
        <v>1</v>
      </c>
    </row>
    <row r="160" spans="1:43" x14ac:dyDescent="0.25">
      <c r="A160" t="s">
        <v>31</v>
      </c>
      <c r="B160">
        <v>280</v>
      </c>
      <c r="C160">
        <v>183</v>
      </c>
      <c r="D160">
        <v>1891</v>
      </c>
      <c r="G160" t="s">
        <v>3730</v>
      </c>
      <c r="H160">
        <v>3204281000192</v>
      </c>
      <c r="I160" t="s">
        <v>3594</v>
      </c>
      <c r="J160" t="s">
        <v>3731</v>
      </c>
      <c r="K160" t="s">
        <v>3596</v>
      </c>
      <c r="M160" t="s">
        <v>2617</v>
      </c>
      <c r="O160" t="s">
        <v>3597</v>
      </c>
      <c r="P160" t="s">
        <v>2618</v>
      </c>
      <c r="Q160" t="s">
        <v>790</v>
      </c>
      <c r="T160" t="s">
        <v>319</v>
      </c>
      <c r="U160" t="s">
        <v>816</v>
      </c>
      <c r="W160">
        <v>23166</v>
      </c>
      <c r="X160">
        <v>0</v>
      </c>
      <c r="Z160">
        <v>6</v>
      </c>
      <c r="AA160" s="31">
        <v>45715</v>
      </c>
      <c r="AB160" s="61">
        <v>0.70269675925925923</v>
      </c>
      <c r="AC160" t="s">
        <v>818</v>
      </c>
      <c r="AD160" s="31">
        <v>45721</v>
      </c>
      <c r="AE160" s="61">
        <v>0.4221064814814815</v>
      </c>
      <c r="AH160" t="s">
        <v>3732</v>
      </c>
      <c r="AQ160">
        <v>1</v>
      </c>
    </row>
    <row r="161" spans="1:43" x14ac:dyDescent="0.25">
      <c r="A161" t="s">
        <v>31</v>
      </c>
      <c r="B161">
        <v>285</v>
      </c>
      <c r="C161">
        <v>191</v>
      </c>
      <c r="D161">
        <v>1899</v>
      </c>
      <c r="G161" t="s">
        <v>3733</v>
      </c>
      <c r="H161">
        <v>18628799000120</v>
      </c>
      <c r="I161" t="s">
        <v>3734</v>
      </c>
      <c r="J161" t="s">
        <v>3735</v>
      </c>
      <c r="K161" t="s">
        <v>2216</v>
      </c>
      <c r="M161" t="s">
        <v>2217</v>
      </c>
      <c r="O161" t="s">
        <v>3736</v>
      </c>
      <c r="P161" t="s">
        <v>1094</v>
      </c>
      <c r="Q161" t="s">
        <v>790</v>
      </c>
      <c r="T161" t="s">
        <v>319</v>
      </c>
      <c r="U161" t="s">
        <v>3417</v>
      </c>
      <c r="W161">
        <v>21384</v>
      </c>
      <c r="X161">
        <v>28512</v>
      </c>
      <c r="Z161">
        <v>60</v>
      </c>
      <c r="AA161" s="31">
        <v>45723</v>
      </c>
      <c r="AB161" s="61">
        <v>0.41721064814814812</v>
      </c>
      <c r="AC161" t="s">
        <v>795</v>
      </c>
      <c r="AD161" s="31">
        <v>45783</v>
      </c>
      <c r="AE161" s="61">
        <v>0.50687499999999996</v>
      </c>
      <c r="AF161" t="s">
        <v>934</v>
      </c>
      <c r="AH161" t="s">
        <v>3737</v>
      </c>
      <c r="AI161" t="s">
        <v>3738</v>
      </c>
      <c r="AQ161">
        <v>1</v>
      </c>
    </row>
    <row r="162" spans="1:43" x14ac:dyDescent="0.25">
      <c r="A162" t="s">
        <v>31</v>
      </c>
      <c r="B162">
        <v>288</v>
      </c>
      <c r="C162">
        <v>194</v>
      </c>
      <c r="D162">
        <v>1766</v>
      </c>
      <c r="G162" t="s">
        <v>3739</v>
      </c>
      <c r="H162">
        <v>44580314000186</v>
      </c>
      <c r="I162" t="s">
        <v>3682</v>
      </c>
      <c r="J162" t="s">
        <v>3683</v>
      </c>
      <c r="K162" t="s">
        <v>3684</v>
      </c>
      <c r="M162" t="s">
        <v>3685</v>
      </c>
      <c r="O162" t="s">
        <v>3686</v>
      </c>
      <c r="P162" t="s">
        <v>3687</v>
      </c>
      <c r="Q162" t="s">
        <v>790</v>
      </c>
      <c r="T162" t="s">
        <v>319</v>
      </c>
      <c r="U162" t="s">
        <v>816</v>
      </c>
      <c r="W162">
        <v>9720</v>
      </c>
      <c r="X162">
        <v>0</v>
      </c>
      <c r="Z162">
        <v>0</v>
      </c>
      <c r="AA162" s="31">
        <v>45728</v>
      </c>
      <c r="AB162" s="61">
        <v>0.40008101851851852</v>
      </c>
      <c r="AC162" t="s">
        <v>818</v>
      </c>
      <c r="AD162" s="31">
        <v>45728</v>
      </c>
      <c r="AE162" s="61">
        <v>0.40126157407407409</v>
      </c>
      <c r="AH162" t="s">
        <v>3740</v>
      </c>
      <c r="AQ162">
        <v>1</v>
      </c>
    </row>
    <row r="163" spans="1:43" x14ac:dyDescent="0.25">
      <c r="A163" t="s">
        <v>31</v>
      </c>
      <c r="B163">
        <v>289</v>
      </c>
      <c r="C163">
        <v>169</v>
      </c>
      <c r="D163">
        <v>1903</v>
      </c>
      <c r="G163" t="s">
        <v>3741</v>
      </c>
      <c r="H163">
        <v>11458315000101</v>
      </c>
      <c r="I163" t="s">
        <v>3465</v>
      </c>
      <c r="J163" t="s">
        <v>3742</v>
      </c>
      <c r="K163" t="s">
        <v>3467</v>
      </c>
      <c r="M163" t="s">
        <v>3468</v>
      </c>
      <c r="O163" t="s">
        <v>3469</v>
      </c>
      <c r="P163" t="s">
        <v>3470</v>
      </c>
      <c r="Q163" t="s">
        <v>790</v>
      </c>
      <c r="T163" t="s">
        <v>319</v>
      </c>
      <c r="U163" t="s">
        <v>3417</v>
      </c>
      <c r="W163">
        <v>4015</v>
      </c>
      <c r="X163">
        <v>0</v>
      </c>
      <c r="Z163">
        <v>5</v>
      </c>
      <c r="AA163" s="31">
        <v>45728</v>
      </c>
      <c r="AB163" s="61">
        <v>0.64027777777777772</v>
      </c>
      <c r="AC163" t="s">
        <v>795</v>
      </c>
      <c r="AD163" s="31">
        <v>45733</v>
      </c>
      <c r="AE163" s="61">
        <v>0.48651620370370369</v>
      </c>
      <c r="AF163" t="s">
        <v>3463</v>
      </c>
      <c r="AH163" t="s">
        <v>3740</v>
      </c>
      <c r="AQ163">
        <v>1</v>
      </c>
    </row>
    <row r="164" spans="1:43" x14ac:dyDescent="0.25">
      <c r="A164" t="s">
        <v>31</v>
      </c>
      <c r="B164">
        <v>290</v>
      </c>
      <c r="C164">
        <v>187</v>
      </c>
      <c r="D164">
        <v>1884</v>
      </c>
      <c r="G164" t="s">
        <v>3743</v>
      </c>
      <c r="H164">
        <v>17063632000105</v>
      </c>
      <c r="I164" t="s">
        <v>3631</v>
      </c>
      <c r="J164" t="s">
        <v>3712</v>
      </c>
      <c r="K164" t="s">
        <v>3713</v>
      </c>
      <c r="M164" t="s">
        <v>3634</v>
      </c>
      <c r="O164" t="s">
        <v>3635</v>
      </c>
      <c r="P164" t="s">
        <v>3636</v>
      </c>
      <c r="Q164" t="s">
        <v>1699</v>
      </c>
      <c r="T164" t="s">
        <v>319</v>
      </c>
      <c r="U164" t="s">
        <v>816</v>
      </c>
      <c r="W164">
        <v>16800</v>
      </c>
      <c r="X164">
        <v>0</v>
      </c>
      <c r="Z164">
        <v>75</v>
      </c>
      <c r="AA164" s="31">
        <v>45728</v>
      </c>
      <c r="AB164" s="61">
        <v>0.72614583333333338</v>
      </c>
      <c r="AC164" t="s">
        <v>795</v>
      </c>
      <c r="AD164" s="31">
        <v>45803</v>
      </c>
      <c r="AE164" s="61">
        <v>0.80439814814814814</v>
      </c>
      <c r="AF164" t="s">
        <v>796</v>
      </c>
      <c r="AH164" t="s">
        <v>3740</v>
      </c>
      <c r="AI164" t="s">
        <v>1364</v>
      </c>
      <c r="AQ164">
        <v>1</v>
      </c>
    </row>
    <row r="165" spans="1:43" x14ac:dyDescent="0.25">
      <c r="A165" t="s">
        <v>31</v>
      </c>
      <c r="B165">
        <v>292</v>
      </c>
      <c r="C165">
        <v>198</v>
      </c>
      <c r="D165">
        <v>1905</v>
      </c>
      <c r="G165" t="s">
        <v>3744</v>
      </c>
      <c r="H165">
        <v>6014742000152</v>
      </c>
      <c r="I165" t="s">
        <v>3745</v>
      </c>
      <c r="J165" t="s">
        <v>3700</v>
      </c>
      <c r="K165" t="s">
        <v>3746</v>
      </c>
      <c r="M165" t="s">
        <v>3747</v>
      </c>
      <c r="O165" t="s">
        <v>3748</v>
      </c>
      <c r="P165" t="s">
        <v>1837</v>
      </c>
      <c r="Q165" t="s">
        <v>790</v>
      </c>
      <c r="T165" t="s">
        <v>319</v>
      </c>
      <c r="U165" t="s">
        <v>3417</v>
      </c>
      <c r="W165">
        <v>28512</v>
      </c>
      <c r="X165">
        <v>32076</v>
      </c>
      <c r="Z165">
        <v>6</v>
      </c>
      <c r="AA165" s="31">
        <v>45730</v>
      </c>
      <c r="AB165" s="61">
        <v>0.62114583333333329</v>
      </c>
      <c r="AC165" t="s">
        <v>795</v>
      </c>
      <c r="AD165" s="31">
        <v>45736</v>
      </c>
      <c r="AE165" s="61">
        <v>0.43630787037037039</v>
      </c>
      <c r="AF165" t="s">
        <v>796</v>
      </c>
      <c r="AH165" t="s">
        <v>3737</v>
      </c>
      <c r="AQ165">
        <v>1</v>
      </c>
    </row>
    <row r="166" spans="1:43" x14ac:dyDescent="0.25">
      <c r="A166" t="s">
        <v>31</v>
      </c>
      <c r="B166">
        <v>296</v>
      </c>
      <c r="C166">
        <v>199</v>
      </c>
      <c r="D166">
        <v>1910</v>
      </c>
      <c r="G166" t="s">
        <v>3749</v>
      </c>
      <c r="H166">
        <v>50963243000101</v>
      </c>
      <c r="I166" t="s">
        <v>3750</v>
      </c>
      <c r="J166" t="s">
        <v>3751</v>
      </c>
      <c r="K166" t="s">
        <v>3752</v>
      </c>
      <c r="M166" t="s">
        <v>3753</v>
      </c>
      <c r="O166" t="s">
        <v>3754</v>
      </c>
      <c r="P166" t="s">
        <v>1094</v>
      </c>
      <c r="Q166" t="s">
        <v>790</v>
      </c>
      <c r="T166" t="s">
        <v>319</v>
      </c>
      <c r="U166" t="s">
        <v>816</v>
      </c>
      <c r="W166">
        <v>756</v>
      </c>
      <c r="X166">
        <v>0</v>
      </c>
      <c r="Z166">
        <v>0</v>
      </c>
      <c r="AA166" s="31">
        <v>45733</v>
      </c>
      <c r="AB166" s="61">
        <v>0.66232638888888884</v>
      </c>
      <c r="AC166" t="s">
        <v>818</v>
      </c>
      <c r="AD166" s="31">
        <v>45733</v>
      </c>
      <c r="AE166" s="61">
        <v>0.71744212962962961</v>
      </c>
      <c r="AH166" t="s">
        <v>1503</v>
      </c>
      <c r="AI166" t="s">
        <v>1503</v>
      </c>
      <c r="AQ166">
        <v>1</v>
      </c>
    </row>
    <row r="167" spans="1:43" x14ac:dyDescent="0.25">
      <c r="A167" t="s">
        <v>31</v>
      </c>
      <c r="B167">
        <v>297</v>
      </c>
      <c r="C167">
        <v>110</v>
      </c>
      <c r="D167">
        <v>1912</v>
      </c>
      <c r="G167" t="s">
        <v>3755</v>
      </c>
      <c r="I167" t="s">
        <v>629</v>
      </c>
      <c r="J167" t="s">
        <v>1239</v>
      </c>
      <c r="K167" t="s">
        <v>3756</v>
      </c>
      <c r="M167" t="s">
        <v>3325</v>
      </c>
      <c r="O167" t="s">
        <v>778</v>
      </c>
      <c r="T167" t="s">
        <v>319</v>
      </c>
      <c r="U167" t="s">
        <v>816</v>
      </c>
      <c r="W167">
        <v>294415</v>
      </c>
      <c r="X167">
        <v>0</v>
      </c>
      <c r="Z167">
        <v>2</v>
      </c>
      <c r="AA167" s="31">
        <v>45734</v>
      </c>
      <c r="AB167" s="61">
        <v>0.40950231481481481</v>
      </c>
      <c r="AC167" t="s">
        <v>818</v>
      </c>
      <c r="AD167" s="31">
        <v>45736</v>
      </c>
      <c r="AE167" s="61">
        <v>0.65533564814814815</v>
      </c>
      <c r="AH167" t="s">
        <v>3757</v>
      </c>
      <c r="AQ167">
        <v>1</v>
      </c>
    </row>
    <row r="168" spans="1:43" x14ac:dyDescent="0.25">
      <c r="A168" t="s">
        <v>31</v>
      </c>
      <c r="B168">
        <v>299</v>
      </c>
      <c r="C168">
        <v>187</v>
      </c>
      <c r="D168">
        <v>1914</v>
      </c>
      <c r="G168" t="s">
        <v>3758</v>
      </c>
      <c r="H168">
        <v>17063632000105</v>
      </c>
      <c r="I168" t="s">
        <v>3631</v>
      </c>
      <c r="J168" t="s">
        <v>3759</v>
      </c>
      <c r="K168" t="s">
        <v>3633</v>
      </c>
      <c r="M168" t="s">
        <v>3634</v>
      </c>
      <c r="O168" t="s">
        <v>3635</v>
      </c>
      <c r="P168" t="s">
        <v>3636</v>
      </c>
      <c r="Q168" t="s">
        <v>1699</v>
      </c>
      <c r="T168" t="s">
        <v>319</v>
      </c>
      <c r="U168" t="s">
        <v>3417</v>
      </c>
      <c r="W168">
        <v>630</v>
      </c>
      <c r="X168">
        <v>7128</v>
      </c>
      <c r="Z168">
        <v>16</v>
      </c>
      <c r="AA168" s="31">
        <v>45735</v>
      </c>
      <c r="AB168" s="61">
        <v>0.45504629629629628</v>
      </c>
      <c r="AC168" t="s">
        <v>795</v>
      </c>
      <c r="AD168" s="31">
        <v>45751</v>
      </c>
      <c r="AE168" s="61">
        <v>0.44026620370370367</v>
      </c>
      <c r="AF168" t="s">
        <v>3463</v>
      </c>
      <c r="AH168" t="s">
        <v>3760</v>
      </c>
      <c r="AI168" t="s">
        <v>1503</v>
      </c>
      <c r="AQ168">
        <v>1</v>
      </c>
    </row>
    <row r="169" spans="1:43" x14ac:dyDescent="0.25">
      <c r="A169" t="s">
        <v>31</v>
      </c>
      <c r="B169">
        <v>300</v>
      </c>
      <c r="C169">
        <v>171</v>
      </c>
      <c r="D169">
        <v>1915</v>
      </c>
      <c r="G169" t="s">
        <v>3761</v>
      </c>
      <c r="H169">
        <v>39955762000187</v>
      </c>
      <c r="I169" t="s">
        <v>3484</v>
      </c>
      <c r="J169" t="s">
        <v>3664</v>
      </c>
      <c r="K169" t="s">
        <v>3665</v>
      </c>
      <c r="M169" t="s">
        <v>3487</v>
      </c>
      <c r="O169" t="s">
        <v>3488</v>
      </c>
      <c r="P169" t="s">
        <v>1094</v>
      </c>
      <c r="Q169" t="s">
        <v>790</v>
      </c>
      <c r="T169" t="s">
        <v>319</v>
      </c>
      <c r="U169" t="s">
        <v>816</v>
      </c>
      <c r="W169">
        <v>491408</v>
      </c>
      <c r="X169">
        <v>0</v>
      </c>
      <c r="Z169">
        <v>1</v>
      </c>
      <c r="AA169" s="31">
        <v>45735</v>
      </c>
      <c r="AB169" s="61">
        <v>0.62850694444444444</v>
      </c>
      <c r="AC169" t="s">
        <v>818</v>
      </c>
      <c r="AD169" s="31">
        <v>45736</v>
      </c>
      <c r="AE169" s="61">
        <v>0.6549652777777778</v>
      </c>
      <c r="AH169" t="s">
        <v>3760</v>
      </c>
      <c r="AQ169">
        <v>1</v>
      </c>
    </row>
    <row r="170" spans="1:43" x14ac:dyDescent="0.25">
      <c r="A170" t="s">
        <v>31</v>
      </c>
      <c r="B170">
        <v>302</v>
      </c>
      <c r="C170">
        <v>200</v>
      </c>
      <c r="D170">
        <v>1918</v>
      </c>
      <c r="G170" t="s">
        <v>3762</v>
      </c>
      <c r="H170">
        <v>8933028000193</v>
      </c>
      <c r="I170" t="s">
        <v>3763</v>
      </c>
      <c r="J170" t="s">
        <v>3764</v>
      </c>
      <c r="K170" t="s">
        <v>3765</v>
      </c>
      <c r="O170" t="s">
        <v>3766</v>
      </c>
      <c r="P170" t="s">
        <v>3767</v>
      </c>
      <c r="Q170" t="s">
        <v>1699</v>
      </c>
      <c r="T170" t="s">
        <v>319</v>
      </c>
      <c r="U170" t="s">
        <v>3417</v>
      </c>
      <c r="W170">
        <v>4212</v>
      </c>
      <c r="X170">
        <v>3564</v>
      </c>
      <c r="Z170">
        <v>5</v>
      </c>
      <c r="AA170" s="31">
        <v>45737</v>
      </c>
      <c r="AB170" s="61">
        <v>0.70013888888888887</v>
      </c>
      <c r="AC170" t="s">
        <v>795</v>
      </c>
      <c r="AD170" s="31">
        <v>45742</v>
      </c>
      <c r="AE170" s="61">
        <v>0.69468750000000001</v>
      </c>
      <c r="AF170" t="s">
        <v>796</v>
      </c>
      <c r="AH170" t="s">
        <v>3768</v>
      </c>
      <c r="AQ170">
        <v>1</v>
      </c>
    </row>
    <row r="171" spans="1:43" x14ac:dyDescent="0.25">
      <c r="A171" t="s">
        <v>31</v>
      </c>
      <c r="B171">
        <v>306</v>
      </c>
      <c r="C171">
        <v>201</v>
      </c>
      <c r="D171">
        <v>1925</v>
      </c>
      <c r="G171" t="s">
        <v>3769</v>
      </c>
      <c r="H171">
        <v>5291214000188</v>
      </c>
      <c r="I171" t="s">
        <v>3770</v>
      </c>
      <c r="J171" t="s">
        <v>1540</v>
      </c>
      <c r="K171" t="s">
        <v>3771</v>
      </c>
      <c r="M171" t="s">
        <v>3772</v>
      </c>
      <c r="O171" t="s">
        <v>3773</v>
      </c>
      <c r="P171" t="s">
        <v>3774</v>
      </c>
      <c r="Q171" t="s">
        <v>1105</v>
      </c>
      <c r="T171" t="s">
        <v>319</v>
      </c>
      <c r="U171" t="s">
        <v>816</v>
      </c>
      <c r="W171">
        <v>415052</v>
      </c>
      <c r="X171">
        <v>30294</v>
      </c>
      <c r="Z171">
        <v>121</v>
      </c>
      <c r="AA171" s="31">
        <v>45742</v>
      </c>
      <c r="AB171" s="61">
        <v>0.65071759259259254</v>
      </c>
      <c r="AC171" t="s">
        <v>818</v>
      </c>
      <c r="AD171" s="31">
        <v>45751</v>
      </c>
      <c r="AE171" s="61">
        <v>0.44199074074074068</v>
      </c>
      <c r="AG171">
        <v>0</v>
      </c>
      <c r="AH171" t="s">
        <v>1885</v>
      </c>
      <c r="AI171" t="s">
        <v>1885</v>
      </c>
      <c r="AQ171">
        <v>1</v>
      </c>
    </row>
    <row r="172" spans="1:43" x14ac:dyDescent="0.25">
      <c r="A172" t="s">
        <v>31</v>
      </c>
      <c r="B172">
        <v>307</v>
      </c>
      <c r="C172">
        <v>113</v>
      </c>
      <c r="D172">
        <v>1926</v>
      </c>
      <c r="G172" t="s">
        <v>3775</v>
      </c>
      <c r="I172" t="s">
        <v>65</v>
      </c>
      <c r="J172" t="s">
        <v>1252</v>
      </c>
      <c r="K172" t="s">
        <v>3472</v>
      </c>
      <c r="M172" t="s">
        <v>3329</v>
      </c>
      <c r="O172" t="s">
        <v>778</v>
      </c>
      <c r="T172" t="s">
        <v>319</v>
      </c>
      <c r="U172" t="s">
        <v>3417</v>
      </c>
      <c r="W172">
        <v>1600</v>
      </c>
      <c r="X172">
        <v>1122183</v>
      </c>
      <c r="Z172">
        <v>69</v>
      </c>
      <c r="AA172" s="31">
        <v>45742</v>
      </c>
      <c r="AB172" s="61">
        <v>0.65554398148148152</v>
      </c>
      <c r="AC172" t="s">
        <v>795</v>
      </c>
      <c r="AD172" s="31">
        <v>45811</v>
      </c>
      <c r="AE172" s="61">
        <v>0.65164351851851854</v>
      </c>
      <c r="AF172" t="s">
        <v>796</v>
      </c>
      <c r="AH172" t="s">
        <v>3776</v>
      </c>
      <c r="AQ172">
        <v>1</v>
      </c>
    </row>
    <row r="173" spans="1:43" x14ac:dyDescent="0.25">
      <c r="A173" t="s">
        <v>31</v>
      </c>
      <c r="B173">
        <v>308</v>
      </c>
      <c r="C173">
        <v>202</v>
      </c>
      <c r="D173">
        <v>1927</v>
      </c>
      <c r="G173" t="s">
        <v>3777</v>
      </c>
      <c r="H173">
        <v>16939440000149</v>
      </c>
      <c r="I173" t="s">
        <v>3778</v>
      </c>
      <c r="J173" t="s">
        <v>707</v>
      </c>
      <c r="K173" t="s">
        <v>3779</v>
      </c>
      <c r="M173" t="s">
        <v>3780</v>
      </c>
      <c r="O173" t="s">
        <v>3781</v>
      </c>
      <c r="P173" t="s">
        <v>3782</v>
      </c>
      <c r="Q173" t="s">
        <v>790</v>
      </c>
      <c r="T173" t="s">
        <v>319</v>
      </c>
      <c r="U173" t="s">
        <v>816</v>
      </c>
      <c r="W173">
        <v>299691</v>
      </c>
      <c r="X173">
        <v>0</v>
      </c>
      <c r="Z173">
        <v>2</v>
      </c>
      <c r="AA173" s="31">
        <v>45742</v>
      </c>
      <c r="AB173" s="61">
        <v>0.69520833333333332</v>
      </c>
      <c r="AC173" t="s">
        <v>818</v>
      </c>
      <c r="AD173" s="31">
        <v>45744</v>
      </c>
      <c r="AE173" s="61">
        <v>0.61129629629629634</v>
      </c>
      <c r="AH173" t="s">
        <v>3776</v>
      </c>
      <c r="AQ173">
        <v>1</v>
      </c>
    </row>
    <row r="174" spans="1:43" x14ac:dyDescent="0.25">
      <c r="A174" t="s">
        <v>31</v>
      </c>
      <c r="B174">
        <v>309</v>
      </c>
      <c r="C174">
        <v>115</v>
      </c>
      <c r="D174">
        <v>1928</v>
      </c>
      <c r="G174" t="s">
        <v>3783</v>
      </c>
      <c r="I174" t="s">
        <v>3333</v>
      </c>
      <c r="J174" t="s">
        <v>1474</v>
      </c>
      <c r="K174" t="s">
        <v>3526</v>
      </c>
      <c r="M174" t="s">
        <v>3334</v>
      </c>
      <c r="O174" t="s">
        <v>778</v>
      </c>
      <c r="T174" t="s">
        <v>319</v>
      </c>
      <c r="U174" t="s">
        <v>3417</v>
      </c>
      <c r="Z174">
        <v>40</v>
      </c>
      <c r="AA174" s="31">
        <v>45742</v>
      </c>
      <c r="AB174" s="61">
        <v>0.7003935185185185</v>
      </c>
      <c r="AC174" t="s">
        <v>795</v>
      </c>
      <c r="AD174" s="31">
        <v>45782</v>
      </c>
      <c r="AE174" s="61">
        <v>0.66651620370370368</v>
      </c>
      <c r="AF174" t="s">
        <v>934</v>
      </c>
      <c r="AH174" t="s">
        <v>3724</v>
      </c>
      <c r="AQ174">
        <v>1</v>
      </c>
    </row>
    <row r="175" spans="1:43" x14ac:dyDescent="0.25">
      <c r="A175" t="s">
        <v>31</v>
      </c>
      <c r="B175">
        <v>312</v>
      </c>
      <c r="C175">
        <v>197</v>
      </c>
      <c r="D175">
        <v>1943</v>
      </c>
      <c r="G175" t="s">
        <v>3784</v>
      </c>
      <c r="H175">
        <v>8616236000169</v>
      </c>
      <c r="I175" t="s">
        <v>3726</v>
      </c>
      <c r="J175" t="s">
        <v>704</v>
      </c>
      <c r="K175" t="s">
        <v>3785</v>
      </c>
      <c r="M175" t="s">
        <v>3728</v>
      </c>
      <c r="O175" t="s">
        <v>3729</v>
      </c>
      <c r="P175" t="s">
        <v>3687</v>
      </c>
      <c r="Q175" t="s">
        <v>790</v>
      </c>
      <c r="T175" t="s">
        <v>319</v>
      </c>
      <c r="U175" t="s">
        <v>3417</v>
      </c>
      <c r="Z175">
        <v>5</v>
      </c>
      <c r="AA175" s="31">
        <v>45743</v>
      </c>
      <c r="AB175" s="61">
        <v>0.65775462962962961</v>
      </c>
      <c r="AC175" t="s">
        <v>795</v>
      </c>
      <c r="AD175" s="31">
        <v>45748</v>
      </c>
      <c r="AE175" s="61">
        <v>0.4075347222222222</v>
      </c>
      <c r="AF175" t="s">
        <v>934</v>
      </c>
      <c r="AH175" t="s">
        <v>3724</v>
      </c>
      <c r="AQ175">
        <v>1</v>
      </c>
    </row>
    <row r="176" spans="1:43" x14ac:dyDescent="0.25">
      <c r="A176" t="s">
        <v>31</v>
      </c>
      <c r="B176">
        <v>320</v>
      </c>
      <c r="C176">
        <v>183</v>
      </c>
      <c r="D176">
        <v>1959</v>
      </c>
      <c r="G176" t="s">
        <v>3786</v>
      </c>
      <c r="H176">
        <v>3204281000192</v>
      </c>
      <c r="I176" t="s">
        <v>3594</v>
      </c>
      <c r="J176" t="s">
        <v>3787</v>
      </c>
      <c r="K176" t="s">
        <v>3596</v>
      </c>
      <c r="M176" t="s">
        <v>2617</v>
      </c>
      <c r="O176" t="s">
        <v>3597</v>
      </c>
      <c r="P176" t="s">
        <v>2618</v>
      </c>
      <c r="Q176" t="s">
        <v>790</v>
      </c>
      <c r="T176" t="s">
        <v>319</v>
      </c>
      <c r="U176" t="s">
        <v>816</v>
      </c>
      <c r="W176">
        <v>2730</v>
      </c>
      <c r="X176">
        <v>0</v>
      </c>
      <c r="Z176">
        <v>0</v>
      </c>
      <c r="AA176" s="31">
        <v>45747</v>
      </c>
      <c r="AB176" s="61">
        <v>0.49092592592592588</v>
      </c>
      <c r="AC176" t="s">
        <v>818</v>
      </c>
      <c r="AD176" s="31">
        <v>45747</v>
      </c>
      <c r="AE176" s="61">
        <v>0.50187499999999996</v>
      </c>
      <c r="AH176" t="s">
        <v>3788</v>
      </c>
      <c r="AI176" t="s">
        <v>3789</v>
      </c>
      <c r="AQ176">
        <v>1</v>
      </c>
    </row>
    <row r="177" spans="1:43" x14ac:dyDescent="0.25">
      <c r="A177" t="s">
        <v>31</v>
      </c>
      <c r="B177">
        <v>324</v>
      </c>
      <c r="C177">
        <v>203</v>
      </c>
      <c r="D177">
        <v>1965</v>
      </c>
      <c r="G177" t="s">
        <v>3790</v>
      </c>
      <c r="H177">
        <v>11806036000183</v>
      </c>
      <c r="I177" t="s">
        <v>3791</v>
      </c>
      <c r="J177" t="s">
        <v>2600</v>
      </c>
      <c r="K177" t="s">
        <v>3792</v>
      </c>
      <c r="M177" t="s">
        <v>3793</v>
      </c>
      <c r="O177" t="s">
        <v>3794</v>
      </c>
      <c r="P177" t="s">
        <v>3636</v>
      </c>
      <c r="Q177" t="s">
        <v>1699</v>
      </c>
      <c r="T177" t="s">
        <v>319</v>
      </c>
      <c r="U177" t="s">
        <v>3417</v>
      </c>
      <c r="W177">
        <v>26200</v>
      </c>
      <c r="X177">
        <v>3400</v>
      </c>
      <c r="Z177">
        <v>6</v>
      </c>
      <c r="AA177" s="31">
        <v>45748</v>
      </c>
      <c r="AB177" s="61">
        <v>0.40835648148148151</v>
      </c>
      <c r="AC177" t="s">
        <v>795</v>
      </c>
      <c r="AD177" s="31">
        <v>45754</v>
      </c>
      <c r="AE177" s="61">
        <v>0.4082175925925926</v>
      </c>
      <c r="AF177" t="s">
        <v>1358</v>
      </c>
      <c r="AH177" t="s">
        <v>3795</v>
      </c>
      <c r="AI177" t="s">
        <v>3795</v>
      </c>
      <c r="AQ177">
        <v>1</v>
      </c>
    </row>
    <row r="178" spans="1:43" x14ac:dyDescent="0.25">
      <c r="A178" t="s">
        <v>31</v>
      </c>
      <c r="B178">
        <v>325</v>
      </c>
      <c r="C178">
        <v>186</v>
      </c>
      <c r="D178">
        <v>1967</v>
      </c>
      <c r="G178" t="s">
        <v>3796</v>
      </c>
      <c r="H178">
        <v>10899939000193</v>
      </c>
      <c r="I178" t="s">
        <v>3625</v>
      </c>
      <c r="J178" t="s">
        <v>704</v>
      </c>
      <c r="K178" t="s">
        <v>3626</v>
      </c>
      <c r="M178" t="s">
        <v>3627</v>
      </c>
      <c r="O178" t="s">
        <v>3628</v>
      </c>
      <c r="P178" t="s">
        <v>3629</v>
      </c>
      <c r="Q178" t="s">
        <v>932</v>
      </c>
      <c r="T178" t="s">
        <v>319</v>
      </c>
      <c r="U178" t="s">
        <v>816</v>
      </c>
      <c r="W178">
        <v>1701</v>
      </c>
      <c r="X178">
        <v>0</v>
      </c>
      <c r="Z178">
        <v>66</v>
      </c>
      <c r="AA178" s="31">
        <v>45748</v>
      </c>
      <c r="AB178" s="61">
        <v>0.41013888888888889</v>
      </c>
      <c r="AC178" t="s">
        <v>818</v>
      </c>
      <c r="AD178" s="31">
        <v>45814</v>
      </c>
      <c r="AE178" s="61">
        <v>0.39609953703703699</v>
      </c>
      <c r="AH178" t="s">
        <v>3795</v>
      </c>
      <c r="AQ178">
        <v>1</v>
      </c>
    </row>
    <row r="179" spans="1:43" x14ac:dyDescent="0.25">
      <c r="A179" t="s">
        <v>31</v>
      </c>
      <c r="B179">
        <v>326</v>
      </c>
      <c r="C179">
        <v>76</v>
      </c>
      <c r="D179">
        <v>1968</v>
      </c>
      <c r="G179" t="s">
        <v>3797</v>
      </c>
      <c r="I179" t="s">
        <v>225</v>
      </c>
      <c r="J179" t="s">
        <v>1115</v>
      </c>
      <c r="K179" t="s">
        <v>3623</v>
      </c>
      <c r="M179" t="s">
        <v>3233</v>
      </c>
      <c r="O179" t="s">
        <v>778</v>
      </c>
      <c r="P179" t="s">
        <v>3234</v>
      </c>
      <c r="Q179" t="s">
        <v>1699</v>
      </c>
      <c r="T179" t="s">
        <v>319</v>
      </c>
      <c r="U179" t="s">
        <v>3606</v>
      </c>
      <c r="Z179">
        <v>50</v>
      </c>
      <c r="AA179" s="31">
        <v>45748</v>
      </c>
      <c r="AB179" s="61">
        <v>0.41334490740740742</v>
      </c>
      <c r="AC179" t="s">
        <v>795</v>
      </c>
      <c r="AD179" s="31">
        <v>45798</v>
      </c>
      <c r="AE179" s="61">
        <v>0.53116898148148151</v>
      </c>
      <c r="AF179" t="s">
        <v>934</v>
      </c>
      <c r="AH179" t="s">
        <v>3798</v>
      </c>
      <c r="AI179" t="s">
        <v>3798</v>
      </c>
      <c r="AQ179">
        <v>1</v>
      </c>
    </row>
    <row r="180" spans="1:43" x14ac:dyDescent="0.25">
      <c r="A180" t="s">
        <v>31</v>
      </c>
      <c r="B180">
        <v>327</v>
      </c>
      <c r="C180">
        <v>187</v>
      </c>
      <c r="D180">
        <v>1969</v>
      </c>
      <c r="G180" t="s">
        <v>3799</v>
      </c>
      <c r="H180">
        <v>17063632000105</v>
      </c>
      <c r="I180" t="s">
        <v>3631</v>
      </c>
      <c r="J180" t="s">
        <v>3800</v>
      </c>
      <c r="K180" t="s">
        <v>3633</v>
      </c>
      <c r="M180" t="s">
        <v>3634</v>
      </c>
      <c r="O180" t="s">
        <v>3635</v>
      </c>
      <c r="P180" t="s">
        <v>3636</v>
      </c>
      <c r="Q180" t="s">
        <v>1699</v>
      </c>
      <c r="T180" t="s">
        <v>319</v>
      </c>
      <c r="U180" t="s">
        <v>3417</v>
      </c>
      <c r="W180">
        <v>3360</v>
      </c>
      <c r="X180">
        <v>0</v>
      </c>
      <c r="Z180">
        <v>52</v>
      </c>
      <c r="AA180" s="31">
        <v>45748</v>
      </c>
      <c r="AB180" s="61">
        <v>0.47216435185185179</v>
      </c>
      <c r="AC180" t="s">
        <v>795</v>
      </c>
      <c r="AD180" s="31">
        <v>45800</v>
      </c>
      <c r="AE180" s="61">
        <v>0.5276967592592593</v>
      </c>
      <c r="AF180" t="s">
        <v>934</v>
      </c>
      <c r="AH180" t="s">
        <v>3795</v>
      </c>
      <c r="AQ180">
        <v>1</v>
      </c>
    </row>
    <row r="181" spans="1:43" x14ac:dyDescent="0.25">
      <c r="A181" t="s">
        <v>31</v>
      </c>
      <c r="B181">
        <v>329</v>
      </c>
      <c r="C181">
        <v>182</v>
      </c>
      <c r="D181">
        <v>1973</v>
      </c>
      <c r="G181" t="s">
        <v>3801</v>
      </c>
      <c r="H181">
        <v>23873456000161</v>
      </c>
      <c r="I181" t="s">
        <v>3573</v>
      </c>
      <c r="J181" t="s">
        <v>3802</v>
      </c>
      <c r="K181" t="s">
        <v>3575</v>
      </c>
      <c r="M181" t="s">
        <v>3576</v>
      </c>
      <c r="O181" t="s">
        <v>3577</v>
      </c>
      <c r="P181" t="s">
        <v>1837</v>
      </c>
      <c r="Q181" t="s">
        <v>790</v>
      </c>
      <c r="T181" t="s">
        <v>319</v>
      </c>
      <c r="U181" t="s">
        <v>3417</v>
      </c>
      <c r="Z181">
        <v>33</v>
      </c>
      <c r="AA181" s="31">
        <v>45749</v>
      </c>
      <c r="AB181" s="61">
        <v>0.48545138888888889</v>
      </c>
      <c r="AC181" t="s">
        <v>795</v>
      </c>
      <c r="AD181" s="31">
        <v>45782</v>
      </c>
      <c r="AE181" s="61">
        <v>0.66695601851851849</v>
      </c>
      <c r="AF181" t="s">
        <v>934</v>
      </c>
      <c r="AH181" t="s">
        <v>1543</v>
      </c>
      <c r="AQ181">
        <v>1</v>
      </c>
    </row>
    <row r="182" spans="1:43" x14ac:dyDescent="0.25">
      <c r="A182" t="s">
        <v>31</v>
      </c>
      <c r="B182">
        <v>330</v>
      </c>
      <c r="C182">
        <v>197</v>
      </c>
      <c r="D182">
        <v>1974</v>
      </c>
      <c r="G182" t="s">
        <v>3803</v>
      </c>
      <c r="H182">
        <v>8616236000169</v>
      </c>
      <c r="I182" t="s">
        <v>3726</v>
      </c>
      <c r="J182" t="s">
        <v>704</v>
      </c>
      <c r="K182" t="s">
        <v>3727</v>
      </c>
      <c r="M182" t="s">
        <v>3728</v>
      </c>
      <c r="O182" t="s">
        <v>3729</v>
      </c>
      <c r="P182" t="s">
        <v>3687</v>
      </c>
      <c r="Q182" t="s">
        <v>790</v>
      </c>
      <c r="T182" t="s">
        <v>319</v>
      </c>
      <c r="U182" t="s">
        <v>816</v>
      </c>
      <c r="W182">
        <v>56880</v>
      </c>
      <c r="X182">
        <v>68904</v>
      </c>
      <c r="Z182">
        <v>60</v>
      </c>
      <c r="AA182" s="31">
        <v>45750</v>
      </c>
      <c r="AB182" s="61">
        <v>0.50753472222222218</v>
      </c>
      <c r="AC182" t="s">
        <v>818</v>
      </c>
      <c r="AD182" s="31">
        <v>45810</v>
      </c>
      <c r="AE182" s="61">
        <v>0.50966435185185188</v>
      </c>
      <c r="AH182" t="s">
        <v>3804</v>
      </c>
      <c r="AI182" t="s">
        <v>3804</v>
      </c>
      <c r="AQ182">
        <v>1</v>
      </c>
    </row>
    <row r="183" spans="1:43" x14ac:dyDescent="0.25">
      <c r="A183" t="s">
        <v>31</v>
      </c>
      <c r="B183">
        <v>331</v>
      </c>
      <c r="C183">
        <v>136</v>
      </c>
      <c r="D183">
        <v>1975</v>
      </c>
      <c r="G183" t="s">
        <v>3805</v>
      </c>
      <c r="I183" t="s">
        <v>3382</v>
      </c>
      <c r="J183" t="s">
        <v>704</v>
      </c>
      <c r="K183" t="s">
        <v>3806</v>
      </c>
      <c r="M183" t="s">
        <v>3384</v>
      </c>
      <c r="O183" t="s">
        <v>778</v>
      </c>
      <c r="T183" t="s">
        <v>319</v>
      </c>
      <c r="U183" t="s">
        <v>3417</v>
      </c>
      <c r="W183">
        <v>24276</v>
      </c>
      <c r="X183">
        <v>0</v>
      </c>
      <c r="Z183">
        <v>20</v>
      </c>
      <c r="AA183" s="31">
        <v>45750</v>
      </c>
      <c r="AB183" s="61">
        <v>0.52722222222222226</v>
      </c>
      <c r="AC183" t="s">
        <v>795</v>
      </c>
      <c r="AD183" s="31">
        <v>45770</v>
      </c>
      <c r="AE183" s="61">
        <v>0.38817129629629632</v>
      </c>
      <c r="AF183" t="s">
        <v>934</v>
      </c>
      <c r="AH183" t="s">
        <v>3804</v>
      </c>
      <c r="AI183" t="s">
        <v>3804</v>
      </c>
      <c r="AQ183">
        <v>1</v>
      </c>
    </row>
    <row r="184" spans="1:43" x14ac:dyDescent="0.25">
      <c r="A184" t="s">
        <v>31</v>
      </c>
      <c r="B184">
        <v>332</v>
      </c>
      <c r="C184">
        <v>196</v>
      </c>
      <c r="D184">
        <v>1976</v>
      </c>
      <c r="G184" t="s">
        <v>3807</v>
      </c>
      <c r="H184">
        <v>32494222000102</v>
      </c>
      <c r="I184" t="s">
        <v>3715</v>
      </c>
      <c r="J184" t="s">
        <v>3808</v>
      </c>
      <c r="K184" t="s">
        <v>3717</v>
      </c>
      <c r="M184" t="s">
        <v>3718</v>
      </c>
      <c r="O184" t="s">
        <v>3719</v>
      </c>
      <c r="P184" t="s">
        <v>3720</v>
      </c>
      <c r="Q184" t="s">
        <v>790</v>
      </c>
      <c r="T184" t="s">
        <v>319</v>
      </c>
      <c r="U184" t="s">
        <v>816</v>
      </c>
      <c r="W184">
        <v>14200</v>
      </c>
      <c r="X184">
        <v>3564</v>
      </c>
      <c r="Z184">
        <v>63</v>
      </c>
      <c r="AA184" s="31">
        <v>45750</v>
      </c>
      <c r="AB184" s="61">
        <v>0.64652777777777781</v>
      </c>
      <c r="AC184" t="s">
        <v>795</v>
      </c>
      <c r="AD184" s="31">
        <v>45813</v>
      </c>
      <c r="AE184" s="61">
        <v>0.43116898148148147</v>
      </c>
      <c r="AF184" t="s">
        <v>934</v>
      </c>
      <c r="AH184" t="s">
        <v>1672</v>
      </c>
      <c r="AI184" t="s">
        <v>3809</v>
      </c>
      <c r="AQ184">
        <v>1</v>
      </c>
    </row>
    <row r="185" spans="1:43" x14ac:dyDescent="0.25">
      <c r="A185" t="s">
        <v>31</v>
      </c>
      <c r="B185">
        <v>335</v>
      </c>
      <c r="C185">
        <v>204</v>
      </c>
      <c r="D185">
        <v>1979</v>
      </c>
      <c r="G185" t="s">
        <v>3810</v>
      </c>
      <c r="H185">
        <v>33071847000116</v>
      </c>
      <c r="I185" t="s">
        <v>3811</v>
      </c>
      <c r="J185" t="s">
        <v>3812</v>
      </c>
      <c r="K185" t="s">
        <v>3813</v>
      </c>
      <c r="M185" t="s">
        <v>3814</v>
      </c>
      <c r="O185" t="s">
        <v>3815</v>
      </c>
      <c r="P185" t="s">
        <v>2589</v>
      </c>
      <c r="Q185" t="s">
        <v>790</v>
      </c>
      <c r="T185" t="s">
        <v>319</v>
      </c>
      <c r="U185" t="s">
        <v>816</v>
      </c>
      <c r="W185">
        <v>720</v>
      </c>
      <c r="X185">
        <v>0</v>
      </c>
      <c r="Z185">
        <v>0</v>
      </c>
      <c r="AA185" s="31">
        <v>45751</v>
      </c>
      <c r="AB185" s="61">
        <v>0.66421296296296295</v>
      </c>
      <c r="AC185" t="s">
        <v>818</v>
      </c>
      <c r="AD185" s="31">
        <v>45751</v>
      </c>
      <c r="AE185" s="61">
        <v>0.70851851851851855</v>
      </c>
      <c r="AH185" t="s">
        <v>1604</v>
      </c>
      <c r="AQ185">
        <v>1</v>
      </c>
    </row>
    <row r="186" spans="1:43" x14ac:dyDescent="0.25">
      <c r="A186" t="s">
        <v>31</v>
      </c>
      <c r="B186">
        <v>337</v>
      </c>
      <c r="C186">
        <v>185</v>
      </c>
      <c r="D186">
        <v>1982</v>
      </c>
      <c r="G186" t="s">
        <v>3816</v>
      </c>
      <c r="H186">
        <v>51496785000176</v>
      </c>
      <c r="I186" t="s">
        <v>3599</v>
      </c>
      <c r="J186" t="s">
        <v>3600</v>
      </c>
      <c r="K186" t="s">
        <v>3601</v>
      </c>
      <c r="M186" t="s">
        <v>3602</v>
      </c>
      <c r="O186" t="s">
        <v>3603</v>
      </c>
      <c r="P186" t="s">
        <v>847</v>
      </c>
      <c r="Q186" t="s">
        <v>848</v>
      </c>
      <c r="T186" t="s">
        <v>319</v>
      </c>
      <c r="U186" t="s">
        <v>3417</v>
      </c>
      <c r="W186">
        <v>420</v>
      </c>
      <c r="X186">
        <v>3564</v>
      </c>
      <c r="Z186">
        <v>10</v>
      </c>
      <c r="AA186" s="31">
        <v>45754</v>
      </c>
      <c r="AB186" s="61">
        <v>0.42759259259259258</v>
      </c>
      <c r="AC186" t="s">
        <v>795</v>
      </c>
      <c r="AD186" s="31">
        <v>45764</v>
      </c>
      <c r="AE186" s="61">
        <v>0.50528935185185186</v>
      </c>
      <c r="AF186" t="s">
        <v>3463</v>
      </c>
      <c r="AH186" t="s">
        <v>1576</v>
      </c>
      <c r="AI186" t="s">
        <v>1603</v>
      </c>
      <c r="AQ186">
        <v>1</v>
      </c>
    </row>
    <row r="187" spans="1:43" x14ac:dyDescent="0.25">
      <c r="A187" t="s">
        <v>31</v>
      </c>
      <c r="B187">
        <v>339</v>
      </c>
      <c r="C187">
        <v>183</v>
      </c>
      <c r="D187">
        <v>1615</v>
      </c>
      <c r="G187" t="s">
        <v>3817</v>
      </c>
      <c r="H187">
        <v>3204281000192</v>
      </c>
      <c r="I187" t="s">
        <v>3594</v>
      </c>
      <c r="J187" t="s">
        <v>3595</v>
      </c>
      <c r="K187" t="s">
        <v>3596</v>
      </c>
      <c r="M187" t="s">
        <v>2617</v>
      </c>
      <c r="O187" t="s">
        <v>3597</v>
      </c>
      <c r="P187" t="s">
        <v>2618</v>
      </c>
      <c r="Q187" t="s">
        <v>790</v>
      </c>
      <c r="T187" t="s">
        <v>319</v>
      </c>
      <c r="U187" t="s">
        <v>816</v>
      </c>
      <c r="W187">
        <v>1890</v>
      </c>
      <c r="X187">
        <v>0</v>
      </c>
      <c r="Z187">
        <v>0</v>
      </c>
      <c r="AA187" s="31">
        <v>45755</v>
      </c>
      <c r="AB187" s="61">
        <v>0.64071759259259264</v>
      </c>
      <c r="AC187" t="s">
        <v>818</v>
      </c>
      <c r="AD187" s="31">
        <v>45755</v>
      </c>
      <c r="AE187" s="61">
        <v>0.65402777777777776</v>
      </c>
      <c r="AH187" t="s">
        <v>3798</v>
      </c>
      <c r="AQ187">
        <v>1</v>
      </c>
    </row>
    <row r="188" spans="1:43" x14ac:dyDescent="0.25">
      <c r="A188" t="s">
        <v>31</v>
      </c>
      <c r="B188">
        <v>340</v>
      </c>
      <c r="C188">
        <v>205</v>
      </c>
      <c r="D188">
        <v>1984</v>
      </c>
      <c r="G188" t="s">
        <v>3818</v>
      </c>
      <c r="H188">
        <v>57464109000105</v>
      </c>
      <c r="I188" t="s">
        <v>3819</v>
      </c>
      <c r="J188" t="s">
        <v>3820</v>
      </c>
      <c r="K188" t="s">
        <v>3821</v>
      </c>
      <c r="L188">
        <v>11984320025</v>
      </c>
      <c r="M188" t="s">
        <v>3822</v>
      </c>
      <c r="O188" t="s">
        <v>3823</v>
      </c>
      <c r="P188" t="s">
        <v>1094</v>
      </c>
      <c r="Q188" t="s">
        <v>790</v>
      </c>
      <c r="T188" t="s">
        <v>319</v>
      </c>
      <c r="U188" t="s">
        <v>3417</v>
      </c>
      <c r="W188">
        <v>3360</v>
      </c>
      <c r="X188">
        <v>7128</v>
      </c>
      <c r="Z188">
        <v>0</v>
      </c>
      <c r="AA188" s="31">
        <v>45755</v>
      </c>
      <c r="AB188" s="61">
        <v>0.65628472222222223</v>
      </c>
      <c r="AC188" t="s">
        <v>795</v>
      </c>
      <c r="AD188" s="31">
        <v>45755</v>
      </c>
      <c r="AE188" s="61">
        <v>0.694849537037037</v>
      </c>
      <c r="AF188" t="s">
        <v>3463</v>
      </c>
      <c r="AH188" t="s">
        <v>3804</v>
      </c>
      <c r="AI188" t="s">
        <v>3804</v>
      </c>
      <c r="AQ188">
        <v>1</v>
      </c>
    </row>
    <row r="189" spans="1:43" x14ac:dyDescent="0.25">
      <c r="A189" t="s">
        <v>31</v>
      </c>
      <c r="B189">
        <v>341</v>
      </c>
      <c r="C189">
        <v>170</v>
      </c>
      <c r="D189">
        <v>1985</v>
      </c>
      <c r="G189" t="s">
        <v>460</v>
      </c>
      <c r="H189">
        <v>4150555001304</v>
      </c>
      <c r="I189" t="s">
        <v>3477</v>
      </c>
      <c r="J189" t="s">
        <v>3478</v>
      </c>
      <c r="K189" t="s">
        <v>3569</v>
      </c>
      <c r="M189" t="s">
        <v>3480</v>
      </c>
      <c r="O189" t="s">
        <v>3481</v>
      </c>
      <c r="P189" t="s">
        <v>3482</v>
      </c>
      <c r="Q189" t="s">
        <v>1699</v>
      </c>
      <c r="T189" t="s">
        <v>319</v>
      </c>
      <c r="U189" t="s">
        <v>816</v>
      </c>
      <c r="W189">
        <v>838823</v>
      </c>
      <c r="X189">
        <v>0</v>
      </c>
      <c r="Z189">
        <v>7</v>
      </c>
      <c r="AA189" s="31">
        <v>45757</v>
      </c>
      <c r="AB189" s="61">
        <v>0.37377314814814822</v>
      </c>
      <c r="AC189" t="s">
        <v>818</v>
      </c>
      <c r="AD189" s="31">
        <v>45764</v>
      </c>
      <c r="AE189" s="61">
        <v>0.41208333333333341</v>
      </c>
      <c r="AH189" t="s">
        <v>3824</v>
      </c>
      <c r="AQ189">
        <v>1</v>
      </c>
    </row>
    <row r="190" spans="1:43" x14ac:dyDescent="0.25">
      <c r="A190" t="s">
        <v>31</v>
      </c>
      <c r="B190">
        <v>342</v>
      </c>
      <c r="C190">
        <v>206</v>
      </c>
      <c r="D190">
        <v>1987</v>
      </c>
      <c r="G190" t="s">
        <v>3825</v>
      </c>
      <c r="H190">
        <v>37075503000136</v>
      </c>
      <c r="I190" t="s">
        <v>3826</v>
      </c>
      <c r="J190" t="s">
        <v>1481</v>
      </c>
      <c r="K190" t="s">
        <v>1475</v>
      </c>
      <c r="M190" t="s">
        <v>1476</v>
      </c>
      <c r="O190" t="s">
        <v>3827</v>
      </c>
      <c r="P190" t="s">
        <v>1477</v>
      </c>
      <c r="Q190" t="s">
        <v>932</v>
      </c>
      <c r="T190" t="s">
        <v>319</v>
      </c>
      <c r="U190" t="s">
        <v>3417</v>
      </c>
      <c r="W190">
        <v>0</v>
      </c>
      <c r="X190">
        <v>3564</v>
      </c>
      <c r="Z190">
        <v>4</v>
      </c>
      <c r="AA190" s="31">
        <v>45757</v>
      </c>
      <c r="AB190" s="61">
        <v>0.70687500000000003</v>
      </c>
      <c r="AC190" t="s">
        <v>795</v>
      </c>
      <c r="AD190" s="31">
        <v>45761</v>
      </c>
      <c r="AE190" s="61">
        <v>0.64089120370370367</v>
      </c>
      <c r="AF190" t="s">
        <v>3463</v>
      </c>
      <c r="AH190" t="s">
        <v>3824</v>
      </c>
      <c r="AI190" t="s">
        <v>3824</v>
      </c>
      <c r="AQ190">
        <v>1</v>
      </c>
    </row>
    <row r="191" spans="1:43" x14ac:dyDescent="0.25">
      <c r="A191" t="s">
        <v>31</v>
      </c>
      <c r="B191">
        <v>344</v>
      </c>
      <c r="C191">
        <v>134</v>
      </c>
      <c r="D191">
        <v>1989</v>
      </c>
      <c r="G191" t="s">
        <v>3828</v>
      </c>
      <c r="I191" t="s">
        <v>3377</v>
      </c>
      <c r="J191" t="s">
        <v>3829</v>
      </c>
      <c r="K191" t="s">
        <v>3830</v>
      </c>
      <c r="M191" t="s">
        <v>3379</v>
      </c>
      <c r="O191" t="s">
        <v>778</v>
      </c>
      <c r="T191" t="s">
        <v>319</v>
      </c>
      <c r="U191" t="s">
        <v>816</v>
      </c>
      <c r="W191">
        <v>1680</v>
      </c>
      <c r="X191">
        <v>0</v>
      </c>
      <c r="Z191">
        <v>2</v>
      </c>
      <c r="AA191" s="31">
        <v>45761</v>
      </c>
      <c r="AB191" s="61">
        <v>0.46211805555555557</v>
      </c>
      <c r="AC191" t="s">
        <v>818</v>
      </c>
      <c r="AD191" s="31">
        <v>45763</v>
      </c>
      <c r="AE191" s="61">
        <v>0.43277777777777782</v>
      </c>
      <c r="AH191" t="s">
        <v>1619</v>
      </c>
      <c r="AQ191">
        <v>1</v>
      </c>
    </row>
    <row r="192" spans="1:43" x14ac:dyDescent="0.25">
      <c r="A192" t="s">
        <v>31</v>
      </c>
      <c r="B192">
        <v>345</v>
      </c>
      <c r="C192">
        <v>171</v>
      </c>
      <c r="D192">
        <v>1990</v>
      </c>
      <c r="G192" t="s">
        <v>3663</v>
      </c>
      <c r="H192">
        <v>39955762000187</v>
      </c>
      <c r="I192" t="s">
        <v>3484</v>
      </c>
      <c r="J192" t="s">
        <v>3664</v>
      </c>
      <c r="K192" t="s">
        <v>3665</v>
      </c>
      <c r="M192" t="s">
        <v>3487</v>
      </c>
      <c r="O192" t="s">
        <v>3488</v>
      </c>
      <c r="P192" t="s">
        <v>1094</v>
      </c>
      <c r="Q192" t="s">
        <v>790</v>
      </c>
      <c r="T192" t="s">
        <v>319</v>
      </c>
      <c r="U192" t="s">
        <v>816</v>
      </c>
      <c r="W192">
        <v>491408</v>
      </c>
      <c r="X192">
        <v>0</v>
      </c>
      <c r="Z192">
        <v>3</v>
      </c>
      <c r="AA192" s="31">
        <v>45761</v>
      </c>
      <c r="AB192" s="61">
        <v>0.64141203703703709</v>
      </c>
      <c r="AC192" t="s">
        <v>818</v>
      </c>
      <c r="AD192" s="31">
        <v>45764</v>
      </c>
      <c r="AE192" s="61">
        <v>0.67682870370370374</v>
      </c>
      <c r="AH192" t="s">
        <v>3831</v>
      </c>
      <c r="AQ192">
        <v>1</v>
      </c>
    </row>
    <row r="193" spans="1:43" x14ac:dyDescent="0.25">
      <c r="A193" t="s">
        <v>31</v>
      </c>
      <c r="B193">
        <v>349</v>
      </c>
      <c r="C193">
        <v>202</v>
      </c>
      <c r="D193">
        <v>1995</v>
      </c>
      <c r="G193" t="s">
        <v>3777</v>
      </c>
      <c r="H193">
        <v>16939440000149</v>
      </c>
      <c r="I193" t="s">
        <v>3778</v>
      </c>
      <c r="J193" t="s">
        <v>3832</v>
      </c>
      <c r="K193" t="s">
        <v>3779</v>
      </c>
      <c r="M193" t="s">
        <v>3780</v>
      </c>
      <c r="O193" t="s">
        <v>3781</v>
      </c>
      <c r="P193" t="s">
        <v>3782</v>
      </c>
      <c r="Q193" t="s">
        <v>790</v>
      </c>
      <c r="T193" t="s">
        <v>319</v>
      </c>
      <c r="U193" t="s">
        <v>816</v>
      </c>
      <c r="W193">
        <v>2996</v>
      </c>
      <c r="X193">
        <v>0</v>
      </c>
      <c r="Z193">
        <v>0</v>
      </c>
      <c r="AA193" s="31">
        <v>45763</v>
      </c>
      <c r="AB193" s="61">
        <v>0.63655092592592588</v>
      </c>
      <c r="AC193" t="s">
        <v>818</v>
      </c>
      <c r="AD193" s="31">
        <v>45763</v>
      </c>
      <c r="AE193" s="61">
        <v>0.63858796296296294</v>
      </c>
      <c r="AH193" t="s">
        <v>3833</v>
      </c>
      <c r="AQ193">
        <v>1</v>
      </c>
    </row>
    <row r="194" spans="1:43" x14ac:dyDescent="0.25">
      <c r="A194" t="s">
        <v>31</v>
      </c>
      <c r="B194">
        <v>350</v>
      </c>
      <c r="C194">
        <v>130</v>
      </c>
      <c r="D194">
        <v>1996</v>
      </c>
      <c r="G194" t="s">
        <v>3834</v>
      </c>
      <c r="I194" t="s">
        <v>141</v>
      </c>
      <c r="J194" t="s">
        <v>3675</v>
      </c>
      <c r="K194" t="s">
        <v>3676</v>
      </c>
      <c r="M194" t="s">
        <v>3368</v>
      </c>
      <c r="O194" t="s">
        <v>778</v>
      </c>
      <c r="P194" t="s">
        <v>923</v>
      </c>
      <c r="Q194" t="s">
        <v>790</v>
      </c>
      <c r="T194" t="s">
        <v>319</v>
      </c>
      <c r="U194" t="s">
        <v>816</v>
      </c>
      <c r="W194">
        <v>447164</v>
      </c>
      <c r="X194">
        <v>0</v>
      </c>
      <c r="Z194">
        <v>0</v>
      </c>
      <c r="AA194" s="31">
        <v>45764</v>
      </c>
      <c r="AB194" s="61">
        <v>0.40780092592592587</v>
      </c>
      <c r="AC194" t="s">
        <v>818</v>
      </c>
      <c r="AD194" s="31">
        <v>45764</v>
      </c>
      <c r="AE194" s="61">
        <v>0.5020486111111111</v>
      </c>
      <c r="AH194" t="s">
        <v>3835</v>
      </c>
      <c r="AQ194">
        <v>1</v>
      </c>
    </row>
    <row r="195" spans="1:43" x14ac:dyDescent="0.25">
      <c r="A195" t="s">
        <v>31</v>
      </c>
      <c r="B195">
        <v>356</v>
      </c>
      <c r="C195">
        <v>197</v>
      </c>
      <c r="D195">
        <v>2006</v>
      </c>
      <c r="G195" t="s">
        <v>3836</v>
      </c>
      <c r="H195">
        <v>8616236000169</v>
      </c>
      <c r="I195" t="s">
        <v>3726</v>
      </c>
      <c r="J195" t="s">
        <v>704</v>
      </c>
      <c r="K195" t="s">
        <v>3727</v>
      </c>
      <c r="M195" t="s">
        <v>3728</v>
      </c>
      <c r="O195" t="s">
        <v>3729</v>
      </c>
      <c r="P195" t="s">
        <v>3687</v>
      </c>
      <c r="Q195" t="s">
        <v>790</v>
      </c>
      <c r="T195" t="s">
        <v>319</v>
      </c>
      <c r="U195" t="s">
        <v>816</v>
      </c>
      <c r="W195">
        <v>1440</v>
      </c>
      <c r="X195">
        <v>0</v>
      </c>
      <c r="Z195">
        <v>14</v>
      </c>
      <c r="AA195" s="31">
        <v>45770</v>
      </c>
      <c r="AB195" s="61">
        <v>0.63509259259259254</v>
      </c>
      <c r="AC195" t="s">
        <v>818</v>
      </c>
      <c r="AD195" s="31">
        <v>45784</v>
      </c>
      <c r="AE195" s="61">
        <v>0.66</v>
      </c>
      <c r="AH195" t="s">
        <v>3837</v>
      </c>
      <c r="AI195" t="s">
        <v>3837</v>
      </c>
      <c r="AQ195">
        <v>1</v>
      </c>
    </row>
    <row r="196" spans="1:43" x14ac:dyDescent="0.25">
      <c r="A196" t="s">
        <v>31</v>
      </c>
      <c r="B196">
        <v>357</v>
      </c>
      <c r="C196">
        <v>207</v>
      </c>
      <c r="D196">
        <v>2007</v>
      </c>
      <c r="G196" t="s">
        <v>3838</v>
      </c>
      <c r="H196">
        <v>43609706000168</v>
      </c>
      <c r="I196" t="s">
        <v>3839</v>
      </c>
      <c r="J196" t="s">
        <v>1804</v>
      </c>
      <c r="K196" t="s">
        <v>3840</v>
      </c>
      <c r="M196" t="s">
        <v>3841</v>
      </c>
      <c r="O196" t="s">
        <v>3842</v>
      </c>
      <c r="P196" t="s">
        <v>3843</v>
      </c>
      <c r="Q196" t="s">
        <v>932</v>
      </c>
      <c r="T196" t="s">
        <v>319</v>
      </c>
      <c r="U196" t="s">
        <v>816</v>
      </c>
      <c r="W196">
        <v>4000</v>
      </c>
      <c r="X196">
        <v>0</v>
      </c>
      <c r="Z196">
        <v>1</v>
      </c>
      <c r="AA196" s="31">
        <v>45771</v>
      </c>
      <c r="AB196" s="61">
        <v>0.4306712962962963</v>
      </c>
      <c r="AC196" t="s">
        <v>818</v>
      </c>
      <c r="AD196" s="31">
        <v>45772</v>
      </c>
      <c r="AE196" s="61">
        <v>0.69015046296296301</v>
      </c>
      <c r="AH196" t="s">
        <v>1666</v>
      </c>
      <c r="AQ196">
        <v>1</v>
      </c>
    </row>
    <row r="197" spans="1:43" x14ac:dyDescent="0.25">
      <c r="A197" t="s">
        <v>31</v>
      </c>
      <c r="B197">
        <v>363</v>
      </c>
      <c r="C197">
        <v>199</v>
      </c>
      <c r="D197">
        <v>2012</v>
      </c>
      <c r="G197" t="s">
        <v>3749</v>
      </c>
      <c r="H197">
        <v>50963243000101</v>
      </c>
      <c r="I197" t="s">
        <v>3750</v>
      </c>
      <c r="J197" t="s">
        <v>3844</v>
      </c>
      <c r="K197" t="s">
        <v>3752</v>
      </c>
      <c r="M197" t="s">
        <v>3753</v>
      </c>
      <c r="O197" t="s">
        <v>3754</v>
      </c>
      <c r="P197" t="s">
        <v>1094</v>
      </c>
      <c r="Q197" t="s">
        <v>790</v>
      </c>
      <c r="T197" t="s">
        <v>319</v>
      </c>
      <c r="U197" t="s">
        <v>816</v>
      </c>
      <c r="W197">
        <v>1890</v>
      </c>
      <c r="X197">
        <v>0</v>
      </c>
      <c r="Z197">
        <v>0</v>
      </c>
      <c r="AA197" s="31">
        <v>45777</v>
      </c>
      <c r="AB197" s="61">
        <v>0.58546296296296296</v>
      </c>
      <c r="AC197" t="s">
        <v>818</v>
      </c>
      <c r="AD197" s="31">
        <v>45777</v>
      </c>
      <c r="AE197" s="61">
        <v>0.5869212962962963</v>
      </c>
      <c r="AH197" t="s">
        <v>3845</v>
      </c>
      <c r="AQ197">
        <v>1</v>
      </c>
    </row>
    <row r="198" spans="1:43" x14ac:dyDescent="0.25">
      <c r="A198" t="s">
        <v>31</v>
      </c>
      <c r="B198">
        <v>364</v>
      </c>
      <c r="C198">
        <v>204</v>
      </c>
      <c r="D198">
        <v>2013</v>
      </c>
      <c r="G198" t="s">
        <v>3810</v>
      </c>
      <c r="H198">
        <v>33071847000116</v>
      </c>
      <c r="I198" t="s">
        <v>3811</v>
      </c>
      <c r="J198" t="s">
        <v>3846</v>
      </c>
      <c r="K198" t="s">
        <v>3813</v>
      </c>
      <c r="M198" t="s">
        <v>3814</v>
      </c>
      <c r="O198" t="s">
        <v>3815</v>
      </c>
      <c r="P198" t="s">
        <v>2589</v>
      </c>
      <c r="Q198" t="s">
        <v>790</v>
      </c>
      <c r="T198" t="s">
        <v>319</v>
      </c>
      <c r="U198" t="s">
        <v>816</v>
      </c>
      <c r="W198">
        <v>3360</v>
      </c>
      <c r="X198">
        <v>0</v>
      </c>
      <c r="Z198">
        <v>0</v>
      </c>
      <c r="AA198" s="31">
        <v>45777</v>
      </c>
      <c r="AB198" s="61">
        <v>0.58721064814814816</v>
      </c>
      <c r="AC198" t="s">
        <v>818</v>
      </c>
      <c r="AD198" s="31">
        <v>45777</v>
      </c>
      <c r="AE198" s="61">
        <v>0.5879861111111111</v>
      </c>
      <c r="AH198" t="s">
        <v>3845</v>
      </c>
      <c r="AQ198">
        <v>1</v>
      </c>
    </row>
    <row r="199" spans="1:43" x14ac:dyDescent="0.25">
      <c r="A199" t="s">
        <v>31</v>
      </c>
      <c r="B199">
        <v>365</v>
      </c>
      <c r="C199">
        <v>142</v>
      </c>
      <c r="D199">
        <v>2014</v>
      </c>
      <c r="G199" t="s">
        <v>3847</v>
      </c>
      <c r="I199" t="s">
        <v>3397</v>
      </c>
      <c r="J199" t="s">
        <v>3848</v>
      </c>
      <c r="K199" t="s">
        <v>3698</v>
      </c>
      <c r="M199" t="s">
        <v>3399</v>
      </c>
      <c r="O199" t="s">
        <v>778</v>
      </c>
      <c r="P199" t="s">
        <v>3400</v>
      </c>
      <c r="Q199" t="s">
        <v>1699</v>
      </c>
      <c r="T199" t="s">
        <v>319</v>
      </c>
      <c r="U199" t="s">
        <v>3417</v>
      </c>
      <c r="W199">
        <v>26200</v>
      </c>
      <c r="X199">
        <v>3400</v>
      </c>
      <c r="Z199">
        <v>27</v>
      </c>
      <c r="AA199" s="31">
        <v>45777</v>
      </c>
      <c r="AB199" s="61">
        <v>0.58881944444444445</v>
      </c>
      <c r="AC199" t="s">
        <v>795</v>
      </c>
      <c r="AD199" s="31">
        <v>45804</v>
      </c>
      <c r="AE199" s="61">
        <v>0.79233796296296299</v>
      </c>
      <c r="AF199" t="s">
        <v>974</v>
      </c>
      <c r="AH199" t="s">
        <v>1374</v>
      </c>
      <c r="AI199" t="s">
        <v>3845</v>
      </c>
      <c r="AQ199">
        <v>1</v>
      </c>
    </row>
    <row r="200" spans="1:43" x14ac:dyDescent="0.25">
      <c r="A200" t="s">
        <v>31</v>
      </c>
      <c r="B200">
        <v>371</v>
      </c>
      <c r="C200">
        <v>178</v>
      </c>
      <c r="D200">
        <v>2021</v>
      </c>
      <c r="G200" t="s">
        <v>3849</v>
      </c>
      <c r="H200">
        <v>54124158000100</v>
      </c>
      <c r="I200" t="s">
        <v>3539</v>
      </c>
      <c r="J200" t="s">
        <v>1243</v>
      </c>
      <c r="K200" t="s">
        <v>3850</v>
      </c>
      <c r="M200" t="s">
        <v>3542</v>
      </c>
      <c r="O200" t="s">
        <v>3543</v>
      </c>
      <c r="P200" t="s">
        <v>1837</v>
      </c>
      <c r="Q200" t="s">
        <v>790</v>
      </c>
      <c r="T200" t="s">
        <v>319</v>
      </c>
      <c r="U200" t="s">
        <v>3417</v>
      </c>
      <c r="Z200">
        <v>18</v>
      </c>
      <c r="AA200" s="31">
        <v>45782</v>
      </c>
      <c r="AB200" s="61">
        <v>0.66790509259259256</v>
      </c>
      <c r="AC200" t="s">
        <v>795</v>
      </c>
      <c r="AD200" s="31">
        <v>45800</v>
      </c>
      <c r="AE200" s="61">
        <v>0.52974537037037039</v>
      </c>
      <c r="AF200" t="s">
        <v>796</v>
      </c>
      <c r="AH200" t="s">
        <v>3851</v>
      </c>
      <c r="AI200" t="s">
        <v>3851</v>
      </c>
      <c r="AQ200">
        <v>1</v>
      </c>
    </row>
    <row r="201" spans="1:43" x14ac:dyDescent="0.25">
      <c r="A201" t="s">
        <v>31</v>
      </c>
      <c r="B201">
        <v>372</v>
      </c>
      <c r="C201">
        <v>199</v>
      </c>
      <c r="D201">
        <v>2022</v>
      </c>
      <c r="G201" t="s">
        <v>3852</v>
      </c>
      <c r="H201">
        <v>50963243000101</v>
      </c>
      <c r="I201" t="s">
        <v>3750</v>
      </c>
      <c r="J201" t="s">
        <v>3853</v>
      </c>
      <c r="K201" t="s">
        <v>3752</v>
      </c>
      <c r="M201" t="s">
        <v>3753</v>
      </c>
      <c r="O201" t="s">
        <v>3754</v>
      </c>
      <c r="P201" t="s">
        <v>1094</v>
      </c>
      <c r="Q201" t="s">
        <v>790</v>
      </c>
      <c r="T201" t="s">
        <v>319</v>
      </c>
      <c r="U201" t="s">
        <v>3417</v>
      </c>
      <c r="W201">
        <v>0</v>
      </c>
      <c r="X201">
        <v>1496</v>
      </c>
      <c r="Z201">
        <v>30</v>
      </c>
      <c r="AA201" s="31">
        <v>45783</v>
      </c>
      <c r="AB201" s="61">
        <v>0.48534722222222221</v>
      </c>
      <c r="AC201" t="s">
        <v>795</v>
      </c>
      <c r="AD201" s="31">
        <v>45813</v>
      </c>
      <c r="AE201" s="61">
        <v>0.47509259259259262</v>
      </c>
      <c r="AF201" t="s">
        <v>934</v>
      </c>
      <c r="AH201" t="s">
        <v>3854</v>
      </c>
      <c r="AI201" t="s">
        <v>3855</v>
      </c>
      <c r="AQ201">
        <v>1</v>
      </c>
    </row>
    <row r="202" spans="1:43" x14ac:dyDescent="0.25">
      <c r="A202" t="s">
        <v>31</v>
      </c>
      <c r="B202">
        <v>373</v>
      </c>
      <c r="C202">
        <v>178</v>
      </c>
      <c r="D202">
        <v>1614</v>
      </c>
      <c r="G202" t="s">
        <v>3591</v>
      </c>
      <c r="H202">
        <v>54124158000100</v>
      </c>
      <c r="I202" t="s">
        <v>3539</v>
      </c>
      <c r="J202" t="s">
        <v>1243</v>
      </c>
      <c r="K202" t="s">
        <v>3541</v>
      </c>
      <c r="M202" t="s">
        <v>3542</v>
      </c>
      <c r="O202" t="s">
        <v>3543</v>
      </c>
      <c r="P202" t="s">
        <v>1837</v>
      </c>
      <c r="Q202" t="s">
        <v>790</v>
      </c>
      <c r="T202" t="s">
        <v>319</v>
      </c>
      <c r="U202" t="s">
        <v>816</v>
      </c>
      <c r="W202">
        <v>44651</v>
      </c>
      <c r="X202">
        <v>0</v>
      </c>
      <c r="Z202">
        <v>5</v>
      </c>
      <c r="AA202" s="31">
        <v>45784</v>
      </c>
      <c r="AB202" s="61">
        <v>0.51723379629629629</v>
      </c>
      <c r="AC202" t="s">
        <v>818</v>
      </c>
      <c r="AD202" s="31">
        <v>45789</v>
      </c>
      <c r="AE202" s="61">
        <v>0.39689814814814822</v>
      </c>
      <c r="AH202" t="s">
        <v>3856</v>
      </c>
      <c r="AQ202">
        <v>1</v>
      </c>
    </row>
    <row r="203" spans="1:43" x14ac:dyDescent="0.25">
      <c r="A203" t="s">
        <v>31</v>
      </c>
      <c r="B203">
        <v>374</v>
      </c>
      <c r="C203">
        <v>134</v>
      </c>
      <c r="D203">
        <v>161</v>
      </c>
      <c r="G203" t="s">
        <v>3857</v>
      </c>
      <c r="I203" t="s">
        <v>3377</v>
      </c>
      <c r="J203" t="s">
        <v>3377</v>
      </c>
      <c r="K203" t="s">
        <v>3378</v>
      </c>
      <c r="M203" t="s">
        <v>3379</v>
      </c>
      <c r="O203" t="s">
        <v>778</v>
      </c>
      <c r="T203" t="s">
        <v>319</v>
      </c>
      <c r="U203" t="s">
        <v>3417</v>
      </c>
      <c r="Z203">
        <v>6</v>
      </c>
      <c r="AA203" s="31">
        <v>45785</v>
      </c>
      <c r="AB203" s="61">
        <v>0.64045138888888886</v>
      </c>
      <c r="AC203" t="s">
        <v>795</v>
      </c>
      <c r="AD203" s="31">
        <v>45791</v>
      </c>
      <c r="AE203" s="61">
        <v>0.4856712962962963</v>
      </c>
      <c r="AF203" t="s">
        <v>934</v>
      </c>
      <c r="AH203" t="s">
        <v>3858</v>
      </c>
      <c r="AQ203">
        <v>1</v>
      </c>
    </row>
    <row r="204" spans="1:43" x14ac:dyDescent="0.25">
      <c r="A204" t="s">
        <v>31</v>
      </c>
      <c r="B204">
        <v>377</v>
      </c>
      <c r="C204">
        <v>123</v>
      </c>
      <c r="D204">
        <v>2026</v>
      </c>
      <c r="G204" t="s">
        <v>3859</v>
      </c>
      <c r="I204" t="s">
        <v>647</v>
      </c>
      <c r="J204" t="s">
        <v>3860</v>
      </c>
      <c r="K204" t="s">
        <v>3861</v>
      </c>
      <c r="M204" t="s">
        <v>3353</v>
      </c>
      <c r="O204" t="s">
        <v>778</v>
      </c>
      <c r="T204" t="s">
        <v>319</v>
      </c>
      <c r="U204" t="s">
        <v>816</v>
      </c>
      <c r="W204">
        <v>1428</v>
      </c>
      <c r="X204">
        <v>550</v>
      </c>
      <c r="Z204">
        <v>17</v>
      </c>
      <c r="AA204" s="31">
        <v>45786</v>
      </c>
      <c r="AB204" s="61">
        <v>0.41125</v>
      </c>
      <c r="AC204" t="s">
        <v>818</v>
      </c>
      <c r="AD204" s="31">
        <v>45803</v>
      </c>
      <c r="AE204" s="61">
        <v>0.80402777777777779</v>
      </c>
      <c r="AH204" t="s">
        <v>3862</v>
      </c>
      <c r="AI204" t="s">
        <v>3862</v>
      </c>
      <c r="AQ204">
        <v>1</v>
      </c>
    </row>
    <row r="205" spans="1:43" x14ac:dyDescent="0.25">
      <c r="A205" t="s">
        <v>31</v>
      </c>
      <c r="B205">
        <v>378</v>
      </c>
      <c r="C205">
        <v>134</v>
      </c>
      <c r="D205">
        <v>2027</v>
      </c>
      <c r="G205" t="s">
        <v>3863</v>
      </c>
      <c r="I205" t="s">
        <v>3377</v>
      </c>
      <c r="J205" t="s">
        <v>3864</v>
      </c>
      <c r="K205" t="s">
        <v>3830</v>
      </c>
      <c r="M205" t="s">
        <v>3379</v>
      </c>
      <c r="O205" t="s">
        <v>778</v>
      </c>
      <c r="T205" t="s">
        <v>319</v>
      </c>
      <c r="U205" t="s">
        <v>3417</v>
      </c>
      <c r="Z205">
        <v>5</v>
      </c>
      <c r="AA205" s="31">
        <v>45786</v>
      </c>
      <c r="AB205" s="61">
        <v>0.60530092592592588</v>
      </c>
      <c r="AC205" t="s">
        <v>795</v>
      </c>
      <c r="AD205" s="31">
        <v>45791</v>
      </c>
      <c r="AE205" s="61">
        <v>0.48603009259259261</v>
      </c>
      <c r="AF205" t="s">
        <v>934</v>
      </c>
      <c r="AH205" t="s">
        <v>3862</v>
      </c>
      <c r="AI205" t="s">
        <v>3856</v>
      </c>
      <c r="AQ205">
        <v>1</v>
      </c>
    </row>
    <row r="206" spans="1:43" x14ac:dyDescent="0.25">
      <c r="A206" t="s">
        <v>31</v>
      </c>
      <c r="B206">
        <v>380</v>
      </c>
      <c r="C206">
        <v>122</v>
      </c>
      <c r="D206">
        <v>2029</v>
      </c>
      <c r="G206" t="s">
        <v>3865</v>
      </c>
      <c r="I206" t="s">
        <v>680</v>
      </c>
      <c r="J206" t="s">
        <v>3866</v>
      </c>
      <c r="K206" t="s">
        <v>3867</v>
      </c>
      <c r="M206" t="s">
        <v>3351</v>
      </c>
      <c r="O206" t="s">
        <v>778</v>
      </c>
      <c r="T206" t="s">
        <v>319</v>
      </c>
      <c r="U206" t="s">
        <v>3417</v>
      </c>
      <c r="W206">
        <v>2880</v>
      </c>
      <c r="X206">
        <v>0</v>
      </c>
      <c r="Z206">
        <v>22</v>
      </c>
      <c r="AA206" s="31">
        <v>45789</v>
      </c>
      <c r="AB206" s="61">
        <v>0.42956018518518518</v>
      </c>
      <c r="AC206" t="s">
        <v>795</v>
      </c>
      <c r="AD206" s="31">
        <v>45811</v>
      </c>
      <c r="AE206" s="61">
        <v>0.5135763888888889</v>
      </c>
      <c r="AF206" t="s">
        <v>3463</v>
      </c>
      <c r="AH206" t="s">
        <v>3868</v>
      </c>
      <c r="AQ206">
        <v>1</v>
      </c>
    </row>
    <row r="207" spans="1:43" x14ac:dyDescent="0.25">
      <c r="A207" t="s">
        <v>31</v>
      </c>
      <c r="B207">
        <v>381</v>
      </c>
      <c r="C207">
        <v>194</v>
      </c>
      <c r="D207">
        <v>2030</v>
      </c>
      <c r="G207" t="s">
        <v>233</v>
      </c>
      <c r="H207">
        <v>44580314000186</v>
      </c>
      <c r="I207" t="s">
        <v>3682</v>
      </c>
      <c r="J207" t="s">
        <v>704</v>
      </c>
      <c r="K207" t="s">
        <v>3684</v>
      </c>
      <c r="M207" t="s">
        <v>3685</v>
      </c>
      <c r="O207" t="s">
        <v>3686</v>
      </c>
      <c r="P207" t="s">
        <v>3687</v>
      </c>
      <c r="Q207" t="s">
        <v>790</v>
      </c>
      <c r="T207" t="s">
        <v>319</v>
      </c>
      <c r="U207" t="s">
        <v>816</v>
      </c>
      <c r="W207">
        <v>2856</v>
      </c>
      <c r="X207">
        <v>28512</v>
      </c>
      <c r="Z207">
        <v>28</v>
      </c>
      <c r="AA207" s="31">
        <v>45789</v>
      </c>
      <c r="AB207" s="61">
        <v>0.61649305555555556</v>
      </c>
      <c r="AC207" t="s">
        <v>818</v>
      </c>
      <c r="AD207" s="31">
        <v>45817</v>
      </c>
      <c r="AE207" s="61">
        <v>0.51645833333333335</v>
      </c>
      <c r="AH207" t="s">
        <v>3868</v>
      </c>
      <c r="AI207" t="s">
        <v>3869</v>
      </c>
      <c r="AQ207">
        <v>1</v>
      </c>
    </row>
    <row r="208" spans="1:43" x14ac:dyDescent="0.25">
      <c r="A208" t="s">
        <v>31</v>
      </c>
      <c r="B208">
        <v>386</v>
      </c>
      <c r="C208">
        <v>183</v>
      </c>
      <c r="D208">
        <v>2038</v>
      </c>
      <c r="G208" t="s">
        <v>3870</v>
      </c>
      <c r="H208">
        <v>3204281000192</v>
      </c>
      <c r="I208" t="s">
        <v>3594</v>
      </c>
      <c r="J208" t="s">
        <v>3595</v>
      </c>
      <c r="K208" t="s">
        <v>3596</v>
      </c>
      <c r="M208" t="s">
        <v>2617</v>
      </c>
      <c r="O208" t="s">
        <v>3597</v>
      </c>
      <c r="P208" t="s">
        <v>2618</v>
      </c>
      <c r="Q208" t="s">
        <v>790</v>
      </c>
      <c r="T208" t="s">
        <v>319</v>
      </c>
      <c r="U208" t="s">
        <v>816</v>
      </c>
      <c r="W208">
        <v>420</v>
      </c>
      <c r="X208">
        <v>0</v>
      </c>
      <c r="Z208">
        <v>5</v>
      </c>
      <c r="AA208" s="31">
        <v>45791</v>
      </c>
      <c r="AB208" s="61">
        <v>0.63041666666666663</v>
      </c>
      <c r="AC208" t="s">
        <v>818</v>
      </c>
      <c r="AD208" s="31">
        <v>45796</v>
      </c>
      <c r="AE208" s="61">
        <v>0.37569444444444439</v>
      </c>
      <c r="AH208" t="s">
        <v>3871</v>
      </c>
      <c r="AI208" t="s">
        <v>3872</v>
      </c>
      <c r="AQ208">
        <v>1</v>
      </c>
    </row>
    <row r="209" spans="1:43" x14ac:dyDescent="0.25">
      <c r="A209" t="s">
        <v>31</v>
      </c>
      <c r="B209">
        <v>387</v>
      </c>
      <c r="C209">
        <v>197</v>
      </c>
      <c r="D209">
        <v>1888</v>
      </c>
      <c r="G209" t="s">
        <v>3873</v>
      </c>
      <c r="H209">
        <v>8616236000169</v>
      </c>
      <c r="I209" t="s">
        <v>3726</v>
      </c>
      <c r="J209" t="s">
        <v>704</v>
      </c>
      <c r="K209" t="s">
        <v>3727</v>
      </c>
      <c r="M209" t="s">
        <v>3728</v>
      </c>
      <c r="O209" t="s">
        <v>3729</v>
      </c>
      <c r="P209" t="s">
        <v>3687</v>
      </c>
      <c r="Q209" t="s">
        <v>790</v>
      </c>
      <c r="T209" t="s">
        <v>319</v>
      </c>
      <c r="U209" t="s">
        <v>3417</v>
      </c>
      <c r="W209">
        <v>2880</v>
      </c>
      <c r="X209">
        <v>0</v>
      </c>
      <c r="Z209">
        <v>19</v>
      </c>
      <c r="AA209" s="31">
        <v>45792</v>
      </c>
      <c r="AB209" s="61">
        <v>0.51618055555555553</v>
      </c>
      <c r="AC209" t="s">
        <v>795</v>
      </c>
      <c r="AD209" s="31">
        <v>45811</v>
      </c>
      <c r="AE209" s="61">
        <v>0.64978009259259262</v>
      </c>
      <c r="AF209" t="s">
        <v>796</v>
      </c>
      <c r="AH209" t="s">
        <v>3874</v>
      </c>
      <c r="AI209" t="s">
        <v>1695</v>
      </c>
      <c r="AQ209">
        <v>1</v>
      </c>
    </row>
    <row r="210" spans="1:43" x14ac:dyDescent="0.25">
      <c r="A210" t="s">
        <v>31</v>
      </c>
      <c r="B210">
        <v>388</v>
      </c>
      <c r="C210">
        <v>187</v>
      </c>
      <c r="D210">
        <v>2039</v>
      </c>
      <c r="G210" t="s">
        <v>3875</v>
      </c>
      <c r="H210">
        <v>17063632000105</v>
      </c>
      <c r="I210" t="s">
        <v>3631</v>
      </c>
      <c r="J210" t="s">
        <v>1966</v>
      </c>
      <c r="K210" t="s">
        <v>3633</v>
      </c>
      <c r="M210" t="s">
        <v>3634</v>
      </c>
      <c r="O210" t="s">
        <v>3635</v>
      </c>
      <c r="P210" t="s">
        <v>3636</v>
      </c>
      <c r="Q210" t="s">
        <v>1699</v>
      </c>
      <c r="T210" t="s">
        <v>319</v>
      </c>
      <c r="U210" t="s">
        <v>3417</v>
      </c>
      <c r="W210">
        <v>6300</v>
      </c>
      <c r="X210">
        <v>0</v>
      </c>
      <c r="Z210">
        <v>8</v>
      </c>
      <c r="AA210" s="31">
        <v>45792</v>
      </c>
      <c r="AB210" s="61">
        <v>0.7066782407407407</v>
      </c>
      <c r="AC210" t="s">
        <v>795</v>
      </c>
      <c r="AD210" s="31">
        <v>45800</v>
      </c>
      <c r="AE210" s="61">
        <v>0.52802083333333338</v>
      </c>
      <c r="AF210" t="s">
        <v>934</v>
      </c>
      <c r="AH210" t="s">
        <v>3874</v>
      </c>
      <c r="AQ210">
        <v>1</v>
      </c>
    </row>
    <row r="211" spans="1:43" x14ac:dyDescent="0.25">
      <c r="A211" t="s">
        <v>31</v>
      </c>
      <c r="B211">
        <v>389</v>
      </c>
      <c r="C211">
        <v>184</v>
      </c>
      <c r="D211">
        <v>2040</v>
      </c>
      <c r="G211" t="s">
        <v>3876</v>
      </c>
      <c r="H211">
        <v>11861121000144</v>
      </c>
      <c r="I211" t="s">
        <v>3877</v>
      </c>
      <c r="J211" t="s">
        <v>3878</v>
      </c>
      <c r="K211" t="s">
        <v>3879</v>
      </c>
      <c r="M211" t="s">
        <v>3880</v>
      </c>
      <c r="O211" t="s">
        <v>3881</v>
      </c>
      <c r="P211" t="s">
        <v>1094</v>
      </c>
      <c r="Q211" t="s">
        <v>790</v>
      </c>
      <c r="T211" t="s">
        <v>319</v>
      </c>
      <c r="U211" t="s">
        <v>781</v>
      </c>
      <c r="Z211">
        <v>6</v>
      </c>
      <c r="AA211" s="31">
        <v>45793</v>
      </c>
      <c r="AB211" s="61">
        <v>0.43585648148148148</v>
      </c>
      <c r="AC211" t="s">
        <v>795</v>
      </c>
      <c r="AD211" s="31">
        <v>45799</v>
      </c>
      <c r="AE211" s="61">
        <v>0.38090277777777781</v>
      </c>
      <c r="AF211" t="s">
        <v>934</v>
      </c>
      <c r="AI211" t="s">
        <v>3882</v>
      </c>
      <c r="AQ211">
        <v>1</v>
      </c>
    </row>
    <row r="212" spans="1:43" x14ac:dyDescent="0.25">
      <c r="A212" t="s">
        <v>31</v>
      </c>
      <c r="B212">
        <v>390</v>
      </c>
      <c r="C212">
        <v>148</v>
      </c>
      <c r="D212">
        <v>2041</v>
      </c>
      <c r="G212" t="s">
        <v>3883</v>
      </c>
      <c r="H212">
        <v>8530284000130</v>
      </c>
      <c r="I212" t="s">
        <v>3555</v>
      </c>
      <c r="J212" t="s">
        <v>2927</v>
      </c>
      <c r="K212" t="s">
        <v>3556</v>
      </c>
      <c r="M212" t="s">
        <v>3557</v>
      </c>
      <c r="O212" t="s">
        <v>778</v>
      </c>
      <c r="S212" t="s">
        <v>1718</v>
      </c>
      <c r="T212" t="s">
        <v>319</v>
      </c>
      <c r="U212" t="s">
        <v>3417</v>
      </c>
      <c r="W212">
        <v>2856</v>
      </c>
      <c r="X212">
        <v>64152</v>
      </c>
      <c r="Z212">
        <v>101</v>
      </c>
      <c r="AA212" s="31">
        <v>45793</v>
      </c>
      <c r="AB212" s="61">
        <v>0.60055555555555551</v>
      </c>
      <c r="AC212" t="s">
        <v>795</v>
      </c>
      <c r="AD212" s="31">
        <v>45894</v>
      </c>
      <c r="AE212" s="61">
        <v>0.66383101851851856</v>
      </c>
      <c r="AF212" t="s">
        <v>3463</v>
      </c>
      <c r="AH212" t="s">
        <v>3884</v>
      </c>
      <c r="AI212" t="s">
        <v>1885</v>
      </c>
      <c r="AQ212">
        <v>1</v>
      </c>
    </row>
    <row r="213" spans="1:43" x14ac:dyDescent="0.25">
      <c r="A213" t="s">
        <v>31</v>
      </c>
      <c r="B213">
        <v>391</v>
      </c>
      <c r="C213">
        <v>210</v>
      </c>
      <c r="D213">
        <v>2042</v>
      </c>
      <c r="G213" t="s">
        <v>3885</v>
      </c>
      <c r="H213">
        <v>51781567000183</v>
      </c>
      <c r="I213" t="s">
        <v>3886</v>
      </c>
      <c r="J213" t="s">
        <v>3735</v>
      </c>
      <c r="K213" t="s">
        <v>3887</v>
      </c>
      <c r="M213" t="s">
        <v>3888</v>
      </c>
      <c r="O213" t="s">
        <v>3889</v>
      </c>
      <c r="P213" t="s">
        <v>3890</v>
      </c>
      <c r="Q213" t="s">
        <v>932</v>
      </c>
      <c r="T213" t="s">
        <v>319</v>
      </c>
      <c r="U213" t="s">
        <v>3417</v>
      </c>
      <c r="W213">
        <v>420</v>
      </c>
      <c r="X213">
        <v>0</v>
      </c>
      <c r="Z213">
        <v>0</v>
      </c>
      <c r="AA213" s="31">
        <v>45793</v>
      </c>
      <c r="AB213" s="61">
        <v>0.61630787037037038</v>
      </c>
      <c r="AC213" t="s">
        <v>795</v>
      </c>
      <c r="AD213" s="31">
        <v>45793</v>
      </c>
      <c r="AE213" s="61">
        <v>0.62888888888888894</v>
      </c>
      <c r="AF213" t="s">
        <v>796</v>
      </c>
      <c r="AH213" t="s">
        <v>3891</v>
      </c>
      <c r="AQ213">
        <v>1</v>
      </c>
    </row>
    <row r="214" spans="1:43" x14ac:dyDescent="0.25">
      <c r="A214" t="s">
        <v>31</v>
      </c>
      <c r="B214">
        <v>392</v>
      </c>
      <c r="C214">
        <v>209</v>
      </c>
      <c r="D214">
        <v>2043</v>
      </c>
      <c r="G214" t="s">
        <v>3892</v>
      </c>
      <c r="H214">
        <v>10682266000115</v>
      </c>
      <c r="I214" t="s">
        <v>3893</v>
      </c>
      <c r="J214" t="s">
        <v>3894</v>
      </c>
      <c r="K214" t="s">
        <v>3895</v>
      </c>
      <c r="M214" t="s">
        <v>3896</v>
      </c>
      <c r="O214" t="s">
        <v>3897</v>
      </c>
      <c r="P214" t="s">
        <v>1596</v>
      </c>
      <c r="Q214" t="s">
        <v>790</v>
      </c>
      <c r="T214" t="s">
        <v>319</v>
      </c>
      <c r="U214" t="s">
        <v>3606</v>
      </c>
      <c r="Z214">
        <v>7</v>
      </c>
      <c r="AA214" s="31">
        <v>45793</v>
      </c>
      <c r="AB214" s="61">
        <v>0.62921296296296292</v>
      </c>
      <c r="AC214" t="s">
        <v>795</v>
      </c>
      <c r="AD214" s="31">
        <v>45800</v>
      </c>
      <c r="AE214" s="61">
        <v>0.52667824074074077</v>
      </c>
      <c r="AF214" t="s">
        <v>796</v>
      </c>
      <c r="AI214" t="s">
        <v>1730</v>
      </c>
      <c r="AJ214" t="s">
        <v>1730</v>
      </c>
      <c r="AQ214">
        <v>1</v>
      </c>
    </row>
    <row r="215" spans="1:43" x14ac:dyDescent="0.25">
      <c r="A215" t="s">
        <v>31</v>
      </c>
      <c r="B215">
        <v>393</v>
      </c>
      <c r="C215">
        <v>133</v>
      </c>
      <c r="D215">
        <v>2044</v>
      </c>
      <c r="G215" t="s">
        <v>3898</v>
      </c>
      <c r="I215" t="s">
        <v>625</v>
      </c>
      <c r="J215" t="s">
        <v>3899</v>
      </c>
      <c r="K215" t="s">
        <v>3584</v>
      </c>
      <c r="M215" t="s">
        <v>2207</v>
      </c>
      <c r="O215" t="s">
        <v>778</v>
      </c>
      <c r="S215" t="s">
        <v>1327</v>
      </c>
      <c r="T215" t="s">
        <v>319</v>
      </c>
      <c r="U215" t="s">
        <v>816</v>
      </c>
      <c r="W215">
        <v>0</v>
      </c>
      <c r="X215">
        <v>325116</v>
      </c>
      <c r="Z215">
        <v>20</v>
      </c>
      <c r="AA215" s="31">
        <v>45793</v>
      </c>
      <c r="AB215" s="61">
        <v>0.68398148148148152</v>
      </c>
      <c r="AC215" t="s">
        <v>818</v>
      </c>
      <c r="AD215" s="31">
        <v>45813</v>
      </c>
      <c r="AE215" s="61">
        <v>0.47848379629629628</v>
      </c>
      <c r="AH215" t="s">
        <v>3900</v>
      </c>
      <c r="AI215" t="s">
        <v>3901</v>
      </c>
      <c r="AQ215">
        <v>1</v>
      </c>
    </row>
    <row r="216" spans="1:43" x14ac:dyDescent="0.25">
      <c r="A216" t="s">
        <v>31</v>
      </c>
      <c r="B216">
        <v>394</v>
      </c>
      <c r="C216">
        <v>208</v>
      </c>
      <c r="D216">
        <v>2045</v>
      </c>
      <c r="G216" t="s">
        <v>3902</v>
      </c>
      <c r="H216">
        <v>42830750000130</v>
      </c>
      <c r="I216" t="s">
        <v>3903</v>
      </c>
      <c r="J216" t="s">
        <v>3904</v>
      </c>
      <c r="K216" t="s">
        <v>3905</v>
      </c>
      <c r="M216" t="s">
        <v>3906</v>
      </c>
      <c r="O216" t="s">
        <v>3907</v>
      </c>
      <c r="P216" t="s">
        <v>1094</v>
      </c>
      <c r="Q216" t="s">
        <v>790</v>
      </c>
      <c r="T216" t="s">
        <v>319</v>
      </c>
      <c r="U216" t="s">
        <v>3417</v>
      </c>
      <c r="W216">
        <v>5040</v>
      </c>
      <c r="X216">
        <v>0</v>
      </c>
      <c r="Z216">
        <v>18</v>
      </c>
      <c r="AA216" s="31">
        <v>45796</v>
      </c>
      <c r="AB216" s="61">
        <v>0.42694444444444452</v>
      </c>
      <c r="AC216" t="s">
        <v>795</v>
      </c>
      <c r="AD216" s="31">
        <v>45814</v>
      </c>
      <c r="AE216" s="61">
        <v>0.49690972222222218</v>
      </c>
      <c r="AF216" t="s">
        <v>3463</v>
      </c>
      <c r="AH216" t="s">
        <v>3901</v>
      </c>
      <c r="AI216" t="s">
        <v>3871</v>
      </c>
      <c r="AQ216">
        <v>1</v>
      </c>
    </row>
    <row r="217" spans="1:43" x14ac:dyDescent="0.25">
      <c r="A217" t="s">
        <v>31</v>
      </c>
      <c r="B217">
        <v>395</v>
      </c>
      <c r="C217">
        <v>179</v>
      </c>
      <c r="D217">
        <v>2046</v>
      </c>
      <c r="G217" t="s">
        <v>3908</v>
      </c>
      <c r="H217">
        <v>21736169000184</v>
      </c>
      <c r="I217" t="s">
        <v>3546</v>
      </c>
      <c r="J217" t="s">
        <v>3909</v>
      </c>
      <c r="K217" t="s">
        <v>3547</v>
      </c>
      <c r="M217" t="s">
        <v>3548</v>
      </c>
      <c r="O217" t="s">
        <v>3549</v>
      </c>
      <c r="P217" t="s">
        <v>3550</v>
      </c>
      <c r="Q217" t="s">
        <v>874</v>
      </c>
      <c r="T217" t="s">
        <v>319</v>
      </c>
      <c r="U217" t="s">
        <v>3417</v>
      </c>
      <c r="W217">
        <v>3360</v>
      </c>
      <c r="X217">
        <v>7128</v>
      </c>
      <c r="Z217">
        <v>134</v>
      </c>
      <c r="AA217" s="31">
        <v>45796</v>
      </c>
      <c r="AB217" s="61">
        <v>0.46653935185185191</v>
      </c>
      <c r="AC217" t="s">
        <v>795</v>
      </c>
      <c r="AD217" s="31">
        <v>45930</v>
      </c>
      <c r="AE217" s="61">
        <v>0.38721064814814821</v>
      </c>
      <c r="AF217" t="s">
        <v>796</v>
      </c>
      <c r="AH217" t="s">
        <v>3910</v>
      </c>
      <c r="AI217" t="s">
        <v>1885</v>
      </c>
      <c r="AQ217">
        <v>1</v>
      </c>
    </row>
    <row r="218" spans="1:43" x14ac:dyDescent="0.25">
      <c r="A218" t="s">
        <v>31</v>
      </c>
      <c r="B218">
        <v>396</v>
      </c>
      <c r="C218">
        <v>211</v>
      </c>
      <c r="D218">
        <v>2047</v>
      </c>
      <c r="G218" t="s">
        <v>3911</v>
      </c>
      <c r="H218">
        <v>5691820000190</v>
      </c>
      <c r="I218" t="s">
        <v>3912</v>
      </c>
      <c r="J218" t="s">
        <v>1239</v>
      </c>
      <c r="K218" t="s">
        <v>3913</v>
      </c>
      <c r="M218" t="s">
        <v>3914</v>
      </c>
      <c r="O218" t="s">
        <v>3915</v>
      </c>
      <c r="P218" t="s">
        <v>1026</v>
      </c>
      <c r="Q218" t="s">
        <v>1027</v>
      </c>
      <c r="S218" t="s">
        <v>1718</v>
      </c>
      <c r="T218" t="s">
        <v>319</v>
      </c>
      <c r="U218" t="s">
        <v>816</v>
      </c>
      <c r="W218">
        <v>1123798</v>
      </c>
      <c r="X218">
        <v>1404</v>
      </c>
      <c r="Z218">
        <v>52</v>
      </c>
      <c r="AA218" s="31">
        <v>45796</v>
      </c>
      <c r="AB218" s="61">
        <v>0.6614930555555556</v>
      </c>
      <c r="AC218" t="s">
        <v>818</v>
      </c>
      <c r="AD218" s="31">
        <v>45848</v>
      </c>
      <c r="AE218" s="61">
        <v>0.37546296296296289</v>
      </c>
      <c r="AH218" t="s">
        <v>3916</v>
      </c>
      <c r="AI218" t="s">
        <v>1730</v>
      </c>
      <c r="AJ218" t="s">
        <v>3916</v>
      </c>
      <c r="AQ218">
        <v>1</v>
      </c>
    </row>
    <row r="219" spans="1:43" x14ac:dyDescent="0.25">
      <c r="A219" t="s">
        <v>31</v>
      </c>
      <c r="B219">
        <v>397</v>
      </c>
      <c r="C219">
        <v>149</v>
      </c>
      <c r="D219">
        <v>2048</v>
      </c>
      <c r="G219" t="s">
        <v>3644</v>
      </c>
      <c r="H219">
        <v>12418196000118</v>
      </c>
      <c r="I219" t="s">
        <v>3645</v>
      </c>
      <c r="J219" t="s">
        <v>3917</v>
      </c>
      <c r="K219" t="s">
        <v>3647</v>
      </c>
      <c r="M219" t="s">
        <v>3648</v>
      </c>
      <c r="O219" t="s">
        <v>778</v>
      </c>
      <c r="T219" t="s">
        <v>319</v>
      </c>
      <c r="U219" t="s">
        <v>3417</v>
      </c>
      <c r="W219">
        <v>1600</v>
      </c>
      <c r="X219">
        <v>1939757</v>
      </c>
      <c r="Z219">
        <v>17</v>
      </c>
      <c r="AA219" s="31">
        <v>45796</v>
      </c>
      <c r="AB219" s="61">
        <v>0.68685185185185182</v>
      </c>
      <c r="AC219" t="s">
        <v>795</v>
      </c>
      <c r="AD219" s="31">
        <v>45813</v>
      </c>
      <c r="AE219" s="61">
        <v>0.43167824074074068</v>
      </c>
      <c r="AF219" t="s">
        <v>934</v>
      </c>
      <c r="AH219" t="s">
        <v>3901</v>
      </c>
      <c r="AI219" t="s">
        <v>3900</v>
      </c>
      <c r="AQ219">
        <v>1</v>
      </c>
    </row>
    <row r="220" spans="1:43" x14ac:dyDescent="0.25">
      <c r="A220" t="s">
        <v>31</v>
      </c>
      <c r="B220">
        <v>398</v>
      </c>
      <c r="C220">
        <v>98</v>
      </c>
      <c r="D220">
        <v>2049</v>
      </c>
      <c r="G220" t="s">
        <v>3918</v>
      </c>
      <c r="I220" t="s">
        <v>604</v>
      </c>
      <c r="J220" t="s">
        <v>1243</v>
      </c>
      <c r="M220" t="s">
        <v>3295</v>
      </c>
      <c r="O220" t="s">
        <v>778</v>
      </c>
      <c r="T220" t="s">
        <v>319</v>
      </c>
      <c r="U220" t="s">
        <v>3417</v>
      </c>
      <c r="Z220">
        <v>14</v>
      </c>
      <c r="AA220" s="31">
        <v>45797</v>
      </c>
      <c r="AB220" s="61">
        <v>0.40790509259259261</v>
      </c>
      <c r="AC220" t="s">
        <v>795</v>
      </c>
      <c r="AD220" s="31">
        <v>45811</v>
      </c>
      <c r="AE220" s="61">
        <v>0.65237268518518521</v>
      </c>
      <c r="AF220" t="s">
        <v>796</v>
      </c>
      <c r="AH220" t="s">
        <v>3919</v>
      </c>
      <c r="AI220" t="s">
        <v>3920</v>
      </c>
      <c r="AQ220">
        <v>1</v>
      </c>
    </row>
    <row r="221" spans="1:43" x14ac:dyDescent="0.25">
      <c r="A221" t="s">
        <v>31</v>
      </c>
      <c r="B221">
        <v>399</v>
      </c>
      <c r="C221">
        <v>180</v>
      </c>
      <c r="D221">
        <v>2052</v>
      </c>
      <c r="G221" t="s">
        <v>3921</v>
      </c>
      <c r="H221">
        <v>7287290000226</v>
      </c>
      <c r="I221" t="s">
        <v>3561</v>
      </c>
      <c r="J221" t="s">
        <v>3922</v>
      </c>
      <c r="K221" t="s">
        <v>3563</v>
      </c>
      <c r="M221" t="s">
        <v>3564</v>
      </c>
      <c r="O221" t="s">
        <v>3565</v>
      </c>
      <c r="P221" t="s">
        <v>3566</v>
      </c>
      <c r="Q221" t="s">
        <v>790</v>
      </c>
      <c r="T221" t="s">
        <v>319</v>
      </c>
      <c r="U221" t="s">
        <v>816</v>
      </c>
      <c r="W221">
        <v>840</v>
      </c>
      <c r="X221">
        <v>0</v>
      </c>
      <c r="Z221">
        <v>0</v>
      </c>
      <c r="AA221" s="31">
        <v>45798</v>
      </c>
      <c r="AB221" s="61">
        <v>0.53145833333333337</v>
      </c>
      <c r="AC221" t="s">
        <v>818</v>
      </c>
      <c r="AD221" s="31">
        <v>45798</v>
      </c>
      <c r="AE221" s="61">
        <v>0.53222222222222226</v>
      </c>
      <c r="AH221" t="s">
        <v>3882</v>
      </c>
      <c r="AI221" t="s">
        <v>3920</v>
      </c>
      <c r="AQ221">
        <v>1</v>
      </c>
    </row>
    <row r="222" spans="1:43" x14ac:dyDescent="0.25">
      <c r="A222" t="s">
        <v>31</v>
      </c>
      <c r="B222">
        <v>400</v>
      </c>
      <c r="C222">
        <v>107</v>
      </c>
      <c r="D222">
        <v>2055</v>
      </c>
      <c r="G222" t="s">
        <v>3923</v>
      </c>
      <c r="H222">
        <v>7527737000297</v>
      </c>
      <c r="I222" t="s">
        <v>427</v>
      </c>
      <c r="J222" t="s">
        <v>914</v>
      </c>
      <c r="M222" t="s">
        <v>3320</v>
      </c>
      <c r="O222" t="s">
        <v>778</v>
      </c>
      <c r="S222" t="s">
        <v>1718</v>
      </c>
      <c r="T222" t="s">
        <v>319</v>
      </c>
      <c r="U222" t="s">
        <v>781</v>
      </c>
      <c r="Z222">
        <v>132</v>
      </c>
      <c r="AA222" s="31">
        <v>45799</v>
      </c>
      <c r="AB222" s="61">
        <v>0.39634259259259258</v>
      </c>
      <c r="AC222" t="s">
        <v>795</v>
      </c>
      <c r="AD222" s="31">
        <v>45931</v>
      </c>
      <c r="AE222" s="61">
        <v>0.70456018518518515</v>
      </c>
      <c r="AF222" t="s">
        <v>1358</v>
      </c>
      <c r="AI222" t="s">
        <v>3924</v>
      </c>
      <c r="AQ222">
        <v>1</v>
      </c>
    </row>
    <row r="223" spans="1:43" x14ac:dyDescent="0.25">
      <c r="A223" t="s">
        <v>31</v>
      </c>
      <c r="B223">
        <v>401</v>
      </c>
      <c r="C223">
        <v>103</v>
      </c>
      <c r="D223">
        <v>2056</v>
      </c>
      <c r="G223" t="s">
        <v>3925</v>
      </c>
      <c r="H223">
        <v>12549273000179</v>
      </c>
      <c r="I223" t="s">
        <v>3309</v>
      </c>
      <c r="J223" t="s">
        <v>1804</v>
      </c>
      <c r="M223" t="s">
        <v>3312</v>
      </c>
      <c r="O223" t="s">
        <v>3313</v>
      </c>
      <c r="P223" t="s">
        <v>1596</v>
      </c>
      <c r="Q223" t="s">
        <v>790</v>
      </c>
      <c r="T223" t="s">
        <v>319</v>
      </c>
      <c r="U223" t="s">
        <v>816</v>
      </c>
      <c r="W223">
        <v>3780</v>
      </c>
      <c r="X223">
        <v>0</v>
      </c>
      <c r="Z223">
        <v>13</v>
      </c>
      <c r="AA223" s="31">
        <v>45799</v>
      </c>
      <c r="AB223" s="61">
        <v>0.43107638888888888</v>
      </c>
      <c r="AC223" t="s">
        <v>818</v>
      </c>
      <c r="AD223" s="31">
        <v>45812</v>
      </c>
      <c r="AE223" s="61">
        <v>0.6988078703703704</v>
      </c>
      <c r="AH223" t="s">
        <v>3924</v>
      </c>
      <c r="AI223" t="s">
        <v>1726</v>
      </c>
      <c r="AQ223">
        <v>1</v>
      </c>
    </row>
    <row r="224" spans="1:43" x14ac:dyDescent="0.25">
      <c r="A224" t="s">
        <v>31</v>
      </c>
      <c r="B224">
        <v>402</v>
      </c>
      <c r="C224">
        <v>98</v>
      </c>
      <c r="D224">
        <v>2057</v>
      </c>
      <c r="G224" t="s">
        <v>3926</v>
      </c>
      <c r="I224" t="s">
        <v>604</v>
      </c>
      <c r="J224" t="s">
        <v>3927</v>
      </c>
      <c r="M224" t="s">
        <v>3295</v>
      </c>
      <c r="O224" t="s">
        <v>778</v>
      </c>
      <c r="T224" t="s">
        <v>319</v>
      </c>
      <c r="U224" t="s">
        <v>3417</v>
      </c>
      <c r="Z224">
        <v>1</v>
      </c>
      <c r="AA224" s="31">
        <v>45799</v>
      </c>
      <c r="AB224" s="61">
        <v>0.45256944444444452</v>
      </c>
      <c r="AC224" t="s">
        <v>795</v>
      </c>
      <c r="AD224" s="31">
        <v>45800</v>
      </c>
      <c r="AE224" s="61">
        <v>0.53533564814814816</v>
      </c>
      <c r="AF224" t="s">
        <v>1358</v>
      </c>
      <c r="AH224" t="s">
        <v>3924</v>
      </c>
      <c r="AI224" t="s">
        <v>1726</v>
      </c>
      <c r="AQ224">
        <v>1</v>
      </c>
    </row>
    <row r="225" spans="1:43" x14ac:dyDescent="0.25">
      <c r="A225" t="s">
        <v>31</v>
      </c>
      <c r="B225">
        <v>403</v>
      </c>
      <c r="C225">
        <v>76</v>
      </c>
      <c r="D225">
        <v>2059</v>
      </c>
      <c r="G225" t="s">
        <v>3928</v>
      </c>
      <c r="I225" t="s">
        <v>225</v>
      </c>
      <c r="J225" t="s">
        <v>3691</v>
      </c>
      <c r="K225" t="s">
        <v>3623</v>
      </c>
      <c r="M225" t="s">
        <v>3233</v>
      </c>
      <c r="O225" t="s">
        <v>778</v>
      </c>
      <c r="P225" t="s">
        <v>3234</v>
      </c>
      <c r="Q225" t="s">
        <v>1699</v>
      </c>
      <c r="T225" t="s">
        <v>319</v>
      </c>
      <c r="U225" t="s">
        <v>816</v>
      </c>
      <c r="W225">
        <v>1680</v>
      </c>
      <c r="X225">
        <v>0</v>
      </c>
      <c r="Z225">
        <v>0</v>
      </c>
      <c r="AA225" s="31">
        <v>45804</v>
      </c>
      <c r="AB225" s="61">
        <v>0.78116898148148151</v>
      </c>
      <c r="AC225" t="s">
        <v>818</v>
      </c>
      <c r="AD225" s="31">
        <v>45804</v>
      </c>
      <c r="AE225" s="61">
        <v>0.78571759259259255</v>
      </c>
      <c r="AH225" t="s">
        <v>3929</v>
      </c>
      <c r="AI225" t="s">
        <v>3929</v>
      </c>
      <c r="AQ225">
        <v>1</v>
      </c>
    </row>
    <row r="226" spans="1:43" x14ac:dyDescent="0.25">
      <c r="A226" t="s">
        <v>31</v>
      </c>
      <c r="B226">
        <v>404</v>
      </c>
      <c r="C226">
        <v>107</v>
      </c>
      <c r="D226">
        <v>2060</v>
      </c>
      <c r="G226" t="s">
        <v>3930</v>
      </c>
      <c r="H226">
        <v>7527737000297</v>
      </c>
      <c r="I226" t="s">
        <v>427</v>
      </c>
      <c r="J226" t="s">
        <v>914</v>
      </c>
      <c r="M226" t="s">
        <v>3320</v>
      </c>
      <c r="O226" t="s">
        <v>778</v>
      </c>
      <c r="T226" t="s">
        <v>319</v>
      </c>
      <c r="U226" t="s">
        <v>781</v>
      </c>
      <c r="Z226">
        <v>127</v>
      </c>
      <c r="AA226" s="31">
        <v>45804</v>
      </c>
      <c r="AB226" s="61">
        <v>0.79291666666666671</v>
      </c>
      <c r="AC226" t="s">
        <v>795</v>
      </c>
      <c r="AD226" s="31">
        <v>45931</v>
      </c>
      <c r="AE226" s="61">
        <v>0.70349537037037035</v>
      </c>
      <c r="AF226" t="s">
        <v>3463</v>
      </c>
      <c r="AQ226">
        <v>1</v>
      </c>
    </row>
    <row r="227" spans="1:43" x14ac:dyDescent="0.25">
      <c r="A227" t="s">
        <v>31</v>
      </c>
      <c r="B227">
        <v>411</v>
      </c>
      <c r="C227">
        <v>103</v>
      </c>
      <c r="D227">
        <v>2074</v>
      </c>
      <c r="G227" t="s">
        <v>3931</v>
      </c>
      <c r="H227">
        <v>12549273000179</v>
      </c>
      <c r="I227" t="s">
        <v>3309</v>
      </c>
      <c r="J227" t="s">
        <v>3932</v>
      </c>
      <c r="K227" t="s">
        <v>3933</v>
      </c>
      <c r="M227" t="s">
        <v>3312</v>
      </c>
      <c r="O227" t="s">
        <v>3313</v>
      </c>
      <c r="P227" t="s">
        <v>1596</v>
      </c>
      <c r="Q227" t="s">
        <v>790</v>
      </c>
      <c r="S227" t="s">
        <v>1718</v>
      </c>
      <c r="T227" t="s">
        <v>319</v>
      </c>
      <c r="U227" t="s">
        <v>3417</v>
      </c>
      <c r="W227">
        <v>420</v>
      </c>
      <c r="X227">
        <v>3564</v>
      </c>
      <c r="Z227">
        <v>29</v>
      </c>
      <c r="AA227" s="31">
        <v>45805</v>
      </c>
      <c r="AB227" s="61">
        <v>0.45006944444444452</v>
      </c>
      <c r="AC227" t="s">
        <v>795</v>
      </c>
      <c r="AD227" s="31">
        <v>45834</v>
      </c>
      <c r="AE227" s="61">
        <v>0.66600694444444442</v>
      </c>
      <c r="AF227" t="s">
        <v>3463</v>
      </c>
      <c r="AH227" t="s">
        <v>3934</v>
      </c>
      <c r="AI227" t="s">
        <v>3934</v>
      </c>
      <c r="AQ227">
        <v>1</v>
      </c>
    </row>
    <row r="228" spans="1:43" x14ac:dyDescent="0.25">
      <c r="A228" t="s">
        <v>31</v>
      </c>
      <c r="B228">
        <v>414</v>
      </c>
      <c r="C228">
        <v>187</v>
      </c>
      <c r="D228">
        <v>2102</v>
      </c>
      <c r="G228" t="s">
        <v>3935</v>
      </c>
      <c r="H228">
        <v>17063632000105</v>
      </c>
      <c r="I228" t="s">
        <v>3631</v>
      </c>
      <c r="J228" t="s">
        <v>3936</v>
      </c>
      <c r="K228" t="s">
        <v>3633</v>
      </c>
      <c r="M228" t="s">
        <v>3634</v>
      </c>
      <c r="O228" t="s">
        <v>3635</v>
      </c>
      <c r="P228" t="s">
        <v>3636</v>
      </c>
      <c r="Q228" t="s">
        <v>1699</v>
      </c>
      <c r="T228" t="s">
        <v>319</v>
      </c>
      <c r="U228" t="s">
        <v>3417</v>
      </c>
      <c r="W228">
        <v>4200</v>
      </c>
      <c r="X228">
        <v>0</v>
      </c>
      <c r="Z228">
        <v>5</v>
      </c>
      <c r="AA228" s="31">
        <v>45806</v>
      </c>
      <c r="AB228" s="61">
        <v>0.6139930555555555</v>
      </c>
      <c r="AC228" t="s">
        <v>795</v>
      </c>
      <c r="AD228" s="31">
        <v>45811</v>
      </c>
      <c r="AE228" s="61">
        <v>0.64604166666666663</v>
      </c>
      <c r="AF228" t="s">
        <v>796</v>
      </c>
      <c r="AH228" t="s">
        <v>3937</v>
      </c>
      <c r="AQ228">
        <v>1</v>
      </c>
    </row>
    <row r="229" spans="1:43" x14ac:dyDescent="0.25">
      <c r="A229" t="s">
        <v>31</v>
      </c>
      <c r="B229">
        <v>418</v>
      </c>
      <c r="C229">
        <v>196</v>
      </c>
      <c r="D229">
        <v>2143</v>
      </c>
      <c r="G229" t="s">
        <v>488</v>
      </c>
      <c r="H229">
        <v>32494222000102</v>
      </c>
      <c r="I229" t="s">
        <v>3715</v>
      </c>
      <c r="J229" t="s">
        <v>3716</v>
      </c>
      <c r="K229" t="s">
        <v>3717</v>
      </c>
      <c r="M229" t="s">
        <v>3718</v>
      </c>
      <c r="O229" t="s">
        <v>3719</v>
      </c>
      <c r="P229" t="s">
        <v>3720</v>
      </c>
      <c r="Q229" t="s">
        <v>790</v>
      </c>
      <c r="T229" t="s">
        <v>319</v>
      </c>
      <c r="U229" t="s">
        <v>3417</v>
      </c>
      <c r="W229">
        <v>1600</v>
      </c>
      <c r="X229">
        <v>252621</v>
      </c>
      <c r="Z229">
        <v>4</v>
      </c>
      <c r="AA229" s="31">
        <v>45807</v>
      </c>
      <c r="AB229" s="61">
        <v>0.49321759259259262</v>
      </c>
      <c r="AC229" t="s">
        <v>795</v>
      </c>
      <c r="AD229" s="31">
        <v>45811</v>
      </c>
      <c r="AE229" s="61">
        <v>0.65384259259259259</v>
      </c>
      <c r="AF229" t="s">
        <v>3463</v>
      </c>
      <c r="AH229" t="s">
        <v>1590</v>
      </c>
      <c r="AI229" t="s">
        <v>1590</v>
      </c>
      <c r="AQ229">
        <v>1</v>
      </c>
    </row>
    <row r="230" spans="1:43" x14ac:dyDescent="0.25">
      <c r="A230" t="s">
        <v>31</v>
      </c>
      <c r="B230">
        <v>420</v>
      </c>
      <c r="C230">
        <v>73</v>
      </c>
      <c r="D230">
        <v>2145</v>
      </c>
      <c r="G230" t="s">
        <v>3938</v>
      </c>
      <c r="I230" t="s">
        <v>3218</v>
      </c>
      <c r="J230" t="s">
        <v>1474</v>
      </c>
      <c r="K230" t="s">
        <v>3939</v>
      </c>
      <c r="M230" t="s">
        <v>3220</v>
      </c>
      <c r="O230" t="s">
        <v>778</v>
      </c>
      <c r="T230" t="s">
        <v>319</v>
      </c>
      <c r="U230" t="s">
        <v>3417</v>
      </c>
      <c r="W230">
        <v>3024</v>
      </c>
      <c r="X230">
        <v>3564</v>
      </c>
      <c r="Z230">
        <v>7</v>
      </c>
      <c r="AA230" s="31">
        <v>45807</v>
      </c>
      <c r="AB230" s="61">
        <v>0.59365740740740736</v>
      </c>
      <c r="AC230" t="s">
        <v>795</v>
      </c>
      <c r="AD230" s="31">
        <v>45814</v>
      </c>
      <c r="AE230" s="61">
        <v>0.47375</v>
      </c>
      <c r="AF230" t="s">
        <v>796</v>
      </c>
      <c r="AH230" t="s">
        <v>3940</v>
      </c>
      <c r="AI230" t="s">
        <v>3940</v>
      </c>
      <c r="AQ230">
        <v>1</v>
      </c>
    </row>
    <row r="231" spans="1:43" x14ac:dyDescent="0.25">
      <c r="A231" t="s">
        <v>31</v>
      </c>
      <c r="B231">
        <v>421</v>
      </c>
      <c r="C231">
        <v>148</v>
      </c>
      <c r="D231">
        <v>531</v>
      </c>
      <c r="G231" t="s">
        <v>3941</v>
      </c>
      <c r="H231">
        <v>8530284000130</v>
      </c>
      <c r="I231" t="s">
        <v>3555</v>
      </c>
      <c r="J231" t="s">
        <v>2927</v>
      </c>
      <c r="K231" t="s">
        <v>3942</v>
      </c>
      <c r="M231" t="s">
        <v>3557</v>
      </c>
      <c r="O231" t="s">
        <v>778</v>
      </c>
      <c r="T231" t="s">
        <v>319</v>
      </c>
      <c r="U231" t="s">
        <v>816</v>
      </c>
      <c r="W231">
        <v>714</v>
      </c>
      <c r="X231">
        <v>32076</v>
      </c>
      <c r="Z231">
        <v>7</v>
      </c>
      <c r="AA231" s="31">
        <v>45807</v>
      </c>
      <c r="AB231" s="61">
        <v>0.61069444444444443</v>
      </c>
      <c r="AC231" t="s">
        <v>818</v>
      </c>
      <c r="AD231" s="31">
        <v>45814</v>
      </c>
      <c r="AE231" s="61">
        <v>0.70561342592592591</v>
      </c>
      <c r="AH231" t="s">
        <v>3916</v>
      </c>
      <c r="AI231" t="s">
        <v>3940</v>
      </c>
      <c r="AQ231">
        <v>1</v>
      </c>
    </row>
    <row r="232" spans="1:43" x14ac:dyDescent="0.25">
      <c r="A232" t="s">
        <v>31</v>
      </c>
      <c r="B232">
        <v>424</v>
      </c>
      <c r="C232">
        <v>122</v>
      </c>
      <c r="D232">
        <v>2180</v>
      </c>
      <c r="G232" t="s">
        <v>3865</v>
      </c>
      <c r="I232" t="s">
        <v>680</v>
      </c>
      <c r="J232" t="s">
        <v>680</v>
      </c>
      <c r="K232" t="s">
        <v>3867</v>
      </c>
      <c r="M232" t="s">
        <v>3351</v>
      </c>
      <c r="O232" t="s">
        <v>778</v>
      </c>
      <c r="T232" t="s">
        <v>319</v>
      </c>
      <c r="U232" t="s">
        <v>816</v>
      </c>
      <c r="W232">
        <v>2000</v>
      </c>
      <c r="X232">
        <v>0</v>
      </c>
      <c r="Z232">
        <v>0</v>
      </c>
      <c r="AA232" s="31">
        <v>45812</v>
      </c>
      <c r="AB232" s="61">
        <v>0.68781250000000005</v>
      </c>
      <c r="AC232" t="s">
        <v>818</v>
      </c>
      <c r="AD232" s="31">
        <v>45812</v>
      </c>
      <c r="AE232" s="61">
        <v>0.69079861111111107</v>
      </c>
      <c r="AH232" t="s">
        <v>3943</v>
      </c>
      <c r="AQ232">
        <v>1</v>
      </c>
    </row>
    <row r="233" spans="1:43" x14ac:dyDescent="0.25">
      <c r="A233" t="s">
        <v>31</v>
      </c>
      <c r="B233">
        <v>427</v>
      </c>
      <c r="C233">
        <v>115</v>
      </c>
      <c r="D233">
        <v>2188</v>
      </c>
      <c r="G233" t="s">
        <v>3944</v>
      </c>
      <c r="I233" t="s">
        <v>3333</v>
      </c>
      <c r="J233" t="s">
        <v>3945</v>
      </c>
      <c r="K233" t="s">
        <v>3526</v>
      </c>
      <c r="M233" t="s">
        <v>3334</v>
      </c>
      <c r="O233" t="s">
        <v>778</v>
      </c>
      <c r="T233" t="s">
        <v>319</v>
      </c>
      <c r="U233" t="s">
        <v>3417</v>
      </c>
      <c r="Z233">
        <v>8</v>
      </c>
      <c r="AA233" s="31">
        <v>45813</v>
      </c>
      <c r="AB233" s="61">
        <v>0.61968749999999995</v>
      </c>
      <c r="AC233" t="s">
        <v>795</v>
      </c>
      <c r="AD233" s="31">
        <v>45821</v>
      </c>
      <c r="AE233" s="61">
        <v>0.69953703703703707</v>
      </c>
      <c r="AF233" t="s">
        <v>934</v>
      </c>
      <c r="AH233" t="s">
        <v>1854</v>
      </c>
      <c r="AI233" t="s">
        <v>3946</v>
      </c>
      <c r="AQ233">
        <v>1</v>
      </c>
    </row>
    <row r="234" spans="1:43" x14ac:dyDescent="0.25">
      <c r="A234" t="s">
        <v>31</v>
      </c>
      <c r="B234">
        <v>429</v>
      </c>
      <c r="C234">
        <v>119</v>
      </c>
      <c r="D234">
        <v>2191</v>
      </c>
      <c r="G234" t="s">
        <v>3947</v>
      </c>
      <c r="I234" t="s">
        <v>608</v>
      </c>
      <c r="J234" t="s">
        <v>844</v>
      </c>
      <c r="K234" t="s">
        <v>3948</v>
      </c>
      <c r="M234" t="s">
        <v>3345</v>
      </c>
      <c r="O234" t="s">
        <v>778</v>
      </c>
      <c r="S234" t="s">
        <v>1419</v>
      </c>
      <c r="T234" t="s">
        <v>319</v>
      </c>
      <c r="U234" t="s">
        <v>3417</v>
      </c>
      <c r="W234">
        <v>26200</v>
      </c>
      <c r="X234">
        <v>3400</v>
      </c>
      <c r="Z234">
        <v>102</v>
      </c>
      <c r="AA234" s="31">
        <v>45814</v>
      </c>
      <c r="AB234" s="61">
        <v>0.59260416666666671</v>
      </c>
      <c r="AC234" t="s">
        <v>795</v>
      </c>
      <c r="AD234" s="31">
        <v>45916</v>
      </c>
      <c r="AE234" s="61">
        <v>0.50366898148148154</v>
      </c>
      <c r="AF234" t="s">
        <v>934</v>
      </c>
      <c r="AQ234">
        <v>1</v>
      </c>
    </row>
    <row r="235" spans="1:43" x14ac:dyDescent="0.25">
      <c r="A235" t="s">
        <v>31</v>
      </c>
      <c r="B235">
        <v>430</v>
      </c>
      <c r="C235">
        <v>134</v>
      </c>
      <c r="D235">
        <v>2192</v>
      </c>
      <c r="G235" t="s">
        <v>3949</v>
      </c>
      <c r="I235" t="s">
        <v>3377</v>
      </c>
      <c r="J235" t="s">
        <v>3950</v>
      </c>
      <c r="K235" t="s">
        <v>3830</v>
      </c>
      <c r="M235" t="s">
        <v>3379</v>
      </c>
      <c r="O235" t="s">
        <v>778</v>
      </c>
      <c r="S235" t="s">
        <v>1419</v>
      </c>
      <c r="T235" t="s">
        <v>319</v>
      </c>
      <c r="U235" t="s">
        <v>3417</v>
      </c>
      <c r="W235">
        <v>0</v>
      </c>
      <c r="X235">
        <v>2016</v>
      </c>
      <c r="Z235">
        <v>81</v>
      </c>
      <c r="AA235" s="31">
        <v>45814</v>
      </c>
      <c r="AB235" s="61">
        <v>0.61868055555555557</v>
      </c>
      <c r="AC235" t="s">
        <v>795</v>
      </c>
      <c r="AD235" s="31">
        <v>45895</v>
      </c>
      <c r="AE235" s="61">
        <v>0.63534722222222217</v>
      </c>
      <c r="AF235" t="s">
        <v>934</v>
      </c>
      <c r="AH235" t="s">
        <v>3951</v>
      </c>
      <c r="AI235" t="s">
        <v>3951</v>
      </c>
      <c r="AQ235">
        <v>1</v>
      </c>
    </row>
    <row r="236" spans="1:43" x14ac:dyDescent="0.25">
      <c r="A236" t="s">
        <v>31</v>
      </c>
      <c r="B236">
        <v>432</v>
      </c>
      <c r="C236">
        <v>211</v>
      </c>
      <c r="D236">
        <v>2196</v>
      </c>
      <c r="G236" t="s">
        <v>3952</v>
      </c>
      <c r="H236">
        <v>5691820000190</v>
      </c>
      <c r="I236" t="s">
        <v>3912</v>
      </c>
      <c r="J236" t="s">
        <v>3953</v>
      </c>
      <c r="K236" t="s">
        <v>3913</v>
      </c>
      <c r="M236" t="s">
        <v>3914</v>
      </c>
      <c r="O236" t="s">
        <v>3915</v>
      </c>
      <c r="P236" t="s">
        <v>1026</v>
      </c>
      <c r="Q236" t="s">
        <v>1027</v>
      </c>
      <c r="T236" t="s">
        <v>319</v>
      </c>
      <c r="U236" t="s">
        <v>3417</v>
      </c>
      <c r="W236">
        <v>58143</v>
      </c>
      <c r="X236">
        <v>0</v>
      </c>
      <c r="Z236">
        <v>3</v>
      </c>
      <c r="AA236" s="31">
        <v>45818</v>
      </c>
      <c r="AB236" s="61">
        <v>0.52453703703703702</v>
      </c>
      <c r="AC236" t="s">
        <v>795</v>
      </c>
      <c r="AD236" s="31">
        <v>45821</v>
      </c>
      <c r="AE236" s="61">
        <v>0.46098379629629632</v>
      </c>
      <c r="AF236" t="s">
        <v>3463</v>
      </c>
      <c r="AH236" t="s">
        <v>3954</v>
      </c>
      <c r="AQ236">
        <v>1</v>
      </c>
    </row>
    <row r="237" spans="1:43" x14ac:dyDescent="0.25">
      <c r="A237" t="s">
        <v>31</v>
      </c>
      <c r="B237">
        <v>436</v>
      </c>
      <c r="C237">
        <v>207</v>
      </c>
      <c r="D237">
        <v>2201</v>
      </c>
      <c r="G237" t="s">
        <v>3955</v>
      </c>
      <c r="H237">
        <v>43609706000168</v>
      </c>
      <c r="I237" t="s">
        <v>3839</v>
      </c>
      <c r="J237" t="s">
        <v>3956</v>
      </c>
      <c r="K237" t="s">
        <v>3840</v>
      </c>
      <c r="M237" t="s">
        <v>3841</v>
      </c>
      <c r="O237" t="s">
        <v>3842</v>
      </c>
      <c r="P237" t="s">
        <v>3843</v>
      </c>
      <c r="Q237" t="s">
        <v>932</v>
      </c>
      <c r="S237" t="s">
        <v>1419</v>
      </c>
      <c r="T237" t="s">
        <v>319</v>
      </c>
      <c r="U237" t="s">
        <v>3417</v>
      </c>
      <c r="W237">
        <v>7140</v>
      </c>
      <c r="X237">
        <v>0</v>
      </c>
      <c r="Z237">
        <v>12</v>
      </c>
      <c r="AA237" s="31">
        <v>45820</v>
      </c>
      <c r="AB237" s="61">
        <v>0.70355324074074077</v>
      </c>
      <c r="AC237" t="s">
        <v>795</v>
      </c>
      <c r="AD237" s="31">
        <v>45832</v>
      </c>
      <c r="AE237" s="61">
        <v>0.64807870370370368</v>
      </c>
      <c r="AF237" t="s">
        <v>934</v>
      </c>
      <c r="AH237" t="s">
        <v>3957</v>
      </c>
      <c r="AI237" t="s">
        <v>3957</v>
      </c>
      <c r="AQ237">
        <v>1</v>
      </c>
    </row>
    <row r="238" spans="1:43" x14ac:dyDescent="0.25">
      <c r="A238" t="s">
        <v>31</v>
      </c>
      <c r="B238">
        <v>437</v>
      </c>
      <c r="C238">
        <v>147</v>
      </c>
      <c r="D238">
        <v>2202</v>
      </c>
      <c r="G238" t="s">
        <v>3958</v>
      </c>
      <c r="H238">
        <v>7964558000136</v>
      </c>
      <c r="I238" t="s">
        <v>3430</v>
      </c>
      <c r="J238" t="s">
        <v>3959</v>
      </c>
      <c r="K238" t="s">
        <v>3515</v>
      </c>
      <c r="M238" t="s">
        <v>3433</v>
      </c>
      <c r="O238" t="s">
        <v>778</v>
      </c>
      <c r="S238" t="s">
        <v>1718</v>
      </c>
      <c r="T238" t="s">
        <v>319</v>
      </c>
      <c r="U238" t="s">
        <v>3417</v>
      </c>
      <c r="W238">
        <v>420</v>
      </c>
      <c r="X238">
        <v>3564</v>
      </c>
      <c r="Z238">
        <v>52</v>
      </c>
      <c r="AA238" s="31">
        <v>45821</v>
      </c>
      <c r="AB238" s="61">
        <v>0.42613425925925918</v>
      </c>
      <c r="AC238" t="s">
        <v>795</v>
      </c>
      <c r="AD238" s="31">
        <v>45873</v>
      </c>
      <c r="AE238" s="61">
        <v>0.72765046296296299</v>
      </c>
      <c r="AF238" t="s">
        <v>1358</v>
      </c>
      <c r="AH238" t="s">
        <v>3960</v>
      </c>
      <c r="AI238" t="s">
        <v>3960</v>
      </c>
      <c r="AQ238">
        <v>1</v>
      </c>
    </row>
    <row r="239" spans="1:43" x14ac:dyDescent="0.25">
      <c r="A239" t="s">
        <v>31</v>
      </c>
      <c r="B239">
        <v>438</v>
      </c>
      <c r="C239">
        <v>182</v>
      </c>
      <c r="D239">
        <v>2203</v>
      </c>
      <c r="G239" t="s">
        <v>3961</v>
      </c>
      <c r="H239">
        <v>23873456000161</v>
      </c>
      <c r="I239" t="s">
        <v>3573</v>
      </c>
      <c r="J239" t="s">
        <v>3962</v>
      </c>
      <c r="K239" t="s">
        <v>3575</v>
      </c>
      <c r="M239" t="s">
        <v>3576</v>
      </c>
      <c r="O239" t="s">
        <v>3577</v>
      </c>
      <c r="P239" t="s">
        <v>1837</v>
      </c>
      <c r="Q239" t="s">
        <v>790</v>
      </c>
      <c r="S239" t="s">
        <v>1718</v>
      </c>
      <c r="T239" t="s">
        <v>319</v>
      </c>
      <c r="U239" t="s">
        <v>3417</v>
      </c>
      <c r="W239">
        <v>420</v>
      </c>
      <c r="X239">
        <v>3564</v>
      </c>
      <c r="Z239">
        <v>10</v>
      </c>
      <c r="AA239" s="31">
        <v>45821</v>
      </c>
      <c r="AB239" s="61">
        <v>0.46237268518518521</v>
      </c>
      <c r="AC239" t="s">
        <v>795</v>
      </c>
      <c r="AD239" s="31">
        <v>45831</v>
      </c>
      <c r="AE239" s="61">
        <v>0.44872685185185179</v>
      </c>
      <c r="AF239" t="s">
        <v>934</v>
      </c>
      <c r="AH239" t="s">
        <v>3960</v>
      </c>
      <c r="AI239" t="s">
        <v>3960</v>
      </c>
      <c r="AQ239">
        <v>1</v>
      </c>
    </row>
    <row r="240" spans="1:43" x14ac:dyDescent="0.25">
      <c r="A240" t="s">
        <v>31</v>
      </c>
      <c r="B240">
        <v>439</v>
      </c>
      <c r="C240">
        <v>149</v>
      </c>
      <c r="D240">
        <v>2204</v>
      </c>
      <c r="G240" t="s">
        <v>3963</v>
      </c>
      <c r="H240">
        <v>12418196000118</v>
      </c>
      <c r="I240" t="s">
        <v>3645</v>
      </c>
      <c r="J240" t="s">
        <v>3688</v>
      </c>
      <c r="K240" t="s">
        <v>3647</v>
      </c>
      <c r="M240" t="s">
        <v>3648</v>
      </c>
      <c r="O240" t="s">
        <v>778</v>
      </c>
      <c r="S240" t="s">
        <v>1718</v>
      </c>
      <c r="T240" t="s">
        <v>319</v>
      </c>
      <c r="U240" t="s">
        <v>3606</v>
      </c>
      <c r="Z240">
        <v>13</v>
      </c>
      <c r="AA240" s="31">
        <v>45821</v>
      </c>
      <c r="AB240" s="61">
        <v>0.46744212962962961</v>
      </c>
      <c r="AC240" t="s">
        <v>795</v>
      </c>
      <c r="AD240" s="31">
        <v>45834</v>
      </c>
      <c r="AE240" s="61">
        <v>0.66707175925925921</v>
      </c>
      <c r="AF240" t="s">
        <v>3463</v>
      </c>
      <c r="AI240" t="s">
        <v>3960</v>
      </c>
      <c r="AQ240">
        <v>1</v>
      </c>
    </row>
    <row r="241" spans="1:43" x14ac:dyDescent="0.25">
      <c r="A241" t="s">
        <v>31</v>
      </c>
      <c r="B241">
        <v>440</v>
      </c>
      <c r="C241">
        <v>212</v>
      </c>
      <c r="D241">
        <v>2205</v>
      </c>
      <c r="G241" t="s">
        <v>3964</v>
      </c>
      <c r="H241">
        <v>54984976000175</v>
      </c>
      <c r="I241" t="s">
        <v>3965</v>
      </c>
      <c r="J241" t="s">
        <v>3966</v>
      </c>
      <c r="K241" t="s">
        <v>3967</v>
      </c>
      <c r="M241" t="s">
        <v>3968</v>
      </c>
      <c r="O241" t="s">
        <v>3969</v>
      </c>
      <c r="P241" t="s">
        <v>1094</v>
      </c>
      <c r="Q241" t="s">
        <v>790</v>
      </c>
      <c r="S241" t="s">
        <v>1718</v>
      </c>
      <c r="T241" t="s">
        <v>319</v>
      </c>
      <c r="U241" t="s">
        <v>816</v>
      </c>
      <c r="W241">
        <v>420</v>
      </c>
      <c r="X241">
        <v>3564</v>
      </c>
      <c r="Z241">
        <v>10</v>
      </c>
      <c r="AA241" s="31">
        <v>45821</v>
      </c>
      <c r="AB241" s="61">
        <v>0.48508101851851848</v>
      </c>
      <c r="AC241" t="s">
        <v>795</v>
      </c>
      <c r="AD241" s="31">
        <v>45831</v>
      </c>
      <c r="AE241" s="61">
        <v>0.39015046296296302</v>
      </c>
      <c r="AF241" t="s">
        <v>934</v>
      </c>
      <c r="AH241" t="s">
        <v>3960</v>
      </c>
      <c r="AI241" t="s">
        <v>3960</v>
      </c>
      <c r="AQ241">
        <v>1</v>
      </c>
    </row>
    <row r="242" spans="1:43" x14ac:dyDescent="0.25">
      <c r="A242" t="s">
        <v>31</v>
      </c>
      <c r="B242">
        <v>442</v>
      </c>
      <c r="C242">
        <v>85</v>
      </c>
      <c r="D242">
        <v>2207</v>
      </c>
      <c r="G242" t="s">
        <v>3970</v>
      </c>
      <c r="I242" t="s">
        <v>3261</v>
      </c>
      <c r="J242" t="s">
        <v>3971</v>
      </c>
      <c r="K242" t="s">
        <v>3972</v>
      </c>
      <c r="M242" t="s">
        <v>3263</v>
      </c>
      <c r="O242" t="s">
        <v>778</v>
      </c>
      <c r="P242" t="s">
        <v>3264</v>
      </c>
      <c r="T242" t="s">
        <v>319</v>
      </c>
      <c r="U242" t="s">
        <v>3417</v>
      </c>
      <c r="W242">
        <v>420</v>
      </c>
      <c r="X242">
        <v>3564</v>
      </c>
      <c r="Z242">
        <v>71</v>
      </c>
      <c r="AA242" s="31">
        <v>45824</v>
      </c>
      <c r="AB242" s="61">
        <v>0.40819444444444453</v>
      </c>
      <c r="AC242" t="s">
        <v>795</v>
      </c>
      <c r="AD242" s="31">
        <v>45895</v>
      </c>
      <c r="AE242" s="61">
        <v>0.62921296296296292</v>
      </c>
      <c r="AF242" t="s">
        <v>3463</v>
      </c>
      <c r="AH242" t="s">
        <v>1769</v>
      </c>
      <c r="AI242" t="s">
        <v>3973</v>
      </c>
      <c r="AQ242">
        <v>1</v>
      </c>
    </row>
    <row r="243" spans="1:43" x14ac:dyDescent="0.25">
      <c r="A243" t="s">
        <v>31</v>
      </c>
      <c r="B243">
        <v>443</v>
      </c>
      <c r="C243">
        <v>108</v>
      </c>
      <c r="D243">
        <v>2208</v>
      </c>
      <c r="G243" t="s">
        <v>3974</v>
      </c>
      <c r="I243" t="s">
        <v>3321</v>
      </c>
      <c r="J243" t="s">
        <v>3975</v>
      </c>
      <c r="M243" t="s">
        <v>3322</v>
      </c>
      <c r="O243" t="s">
        <v>778</v>
      </c>
      <c r="T243" t="s">
        <v>319</v>
      </c>
      <c r="U243" t="s">
        <v>3417</v>
      </c>
      <c r="W243">
        <v>420</v>
      </c>
      <c r="X243">
        <v>3564</v>
      </c>
      <c r="Z243">
        <v>2</v>
      </c>
      <c r="AA243" s="31">
        <v>45824</v>
      </c>
      <c r="AB243" s="61">
        <v>0.47565972222222219</v>
      </c>
      <c r="AC243" t="s">
        <v>795</v>
      </c>
      <c r="AD243" s="31">
        <v>45826</v>
      </c>
      <c r="AE243" s="61">
        <v>0.72990740740740745</v>
      </c>
      <c r="AF243" t="s">
        <v>3463</v>
      </c>
      <c r="AH243" t="s">
        <v>3973</v>
      </c>
      <c r="AI243" t="s">
        <v>3973</v>
      </c>
      <c r="AQ243">
        <v>1</v>
      </c>
    </row>
    <row r="244" spans="1:43" x14ac:dyDescent="0.25">
      <c r="A244" t="s">
        <v>31</v>
      </c>
      <c r="B244">
        <v>444</v>
      </c>
      <c r="C244">
        <v>137</v>
      </c>
      <c r="D244">
        <v>2209</v>
      </c>
      <c r="G244" t="s">
        <v>3976</v>
      </c>
      <c r="I244" t="s">
        <v>116</v>
      </c>
      <c r="J244" t="s">
        <v>704</v>
      </c>
      <c r="K244" t="s">
        <v>3703</v>
      </c>
      <c r="M244" t="s">
        <v>3386</v>
      </c>
      <c r="O244" t="s">
        <v>778</v>
      </c>
      <c r="T244" t="s">
        <v>319</v>
      </c>
      <c r="U244" t="s">
        <v>3417</v>
      </c>
      <c r="W244">
        <v>420</v>
      </c>
      <c r="X244">
        <v>3564</v>
      </c>
      <c r="Z244">
        <v>9</v>
      </c>
      <c r="AA244" s="31">
        <v>45824</v>
      </c>
      <c r="AB244" s="61">
        <v>0.48714120370370367</v>
      </c>
      <c r="AC244" t="s">
        <v>795</v>
      </c>
      <c r="AD244" s="31">
        <v>45833</v>
      </c>
      <c r="AE244" s="61">
        <v>0.46094907407407409</v>
      </c>
      <c r="AF244" t="s">
        <v>934</v>
      </c>
      <c r="AH244" t="s">
        <v>3973</v>
      </c>
      <c r="AI244" t="s">
        <v>3973</v>
      </c>
      <c r="AQ244">
        <v>1</v>
      </c>
    </row>
    <row r="245" spans="1:43" x14ac:dyDescent="0.25">
      <c r="A245" t="s">
        <v>31</v>
      </c>
      <c r="B245">
        <v>445</v>
      </c>
      <c r="C245">
        <v>116</v>
      </c>
      <c r="D245">
        <v>2211</v>
      </c>
      <c r="G245" t="s">
        <v>3977</v>
      </c>
      <c r="I245" t="s">
        <v>3335</v>
      </c>
      <c r="J245" t="s">
        <v>3978</v>
      </c>
      <c r="K245" t="s">
        <v>3979</v>
      </c>
      <c r="M245" t="s">
        <v>3337</v>
      </c>
      <c r="O245" t="s">
        <v>778</v>
      </c>
      <c r="P245" t="s">
        <v>3338</v>
      </c>
      <c r="Q245" t="s">
        <v>3339</v>
      </c>
      <c r="T245" t="s">
        <v>319</v>
      </c>
      <c r="U245" t="s">
        <v>816</v>
      </c>
      <c r="W245">
        <v>420</v>
      </c>
      <c r="X245">
        <v>3564</v>
      </c>
      <c r="Z245">
        <v>39</v>
      </c>
      <c r="AA245" s="31">
        <v>45824</v>
      </c>
      <c r="AB245" s="61">
        <v>0.61697916666666663</v>
      </c>
      <c r="AC245" t="s">
        <v>795</v>
      </c>
      <c r="AD245" s="31">
        <v>45863</v>
      </c>
      <c r="AE245" s="61">
        <v>0.61900462962962965</v>
      </c>
      <c r="AF245" t="s">
        <v>934</v>
      </c>
      <c r="AH245" t="s">
        <v>3973</v>
      </c>
      <c r="AI245" t="s">
        <v>3973</v>
      </c>
      <c r="AQ245">
        <v>1</v>
      </c>
    </row>
    <row r="246" spans="1:43" x14ac:dyDescent="0.25">
      <c r="A246" t="s">
        <v>31</v>
      </c>
      <c r="B246">
        <v>446</v>
      </c>
      <c r="C246">
        <v>112</v>
      </c>
      <c r="D246">
        <v>2212</v>
      </c>
      <c r="G246" t="s">
        <v>3980</v>
      </c>
      <c r="I246" t="s">
        <v>3327</v>
      </c>
      <c r="J246" t="s">
        <v>3764</v>
      </c>
      <c r="M246" t="s">
        <v>3328</v>
      </c>
      <c r="O246" t="s">
        <v>778</v>
      </c>
      <c r="T246" t="s">
        <v>319</v>
      </c>
      <c r="U246" t="s">
        <v>816</v>
      </c>
      <c r="W246">
        <v>420</v>
      </c>
      <c r="X246">
        <v>3564</v>
      </c>
      <c r="Z246">
        <v>2</v>
      </c>
      <c r="AA246" s="31">
        <v>45824</v>
      </c>
      <c r="AB246" s="61">
        <v>0.64842592592592596</v>
      </c>
      <c r="AC246" t="s">
        <v>795</v>
      </c>
      <c r="AD246" s="31">
        <v>45826</v>
      </c>
      <c r="AE246" s="61">
        <v>0.39716435185185178</v>
      </c>
      <c r="AF246" t="s">
        <v>3463</v>
      </c>
      <c r="AH246" t="s">
        <v>3973</v>
      </c>
      <c r="AI246" t="s">
        <v>3973</v>
      </c>
      <c r="AQ246">
        <v>1</v>
      </c>
    </row>
    <row r="247" spans="1:43" x14ac:dyDescent="0.25">
      <c r="A247" t="s">
        <v>31</v>
      </c>
      <c r="B247">
        <v>448</v>
      </c>
      <c r="C247">
        <v>153</v>
      </c>
      <c r="D247">
        <v>2214</v>
      </c>
      <c r="G247" t="s">
        <v>3981</v>
      </c>
      <c r="I247" t="s">
        <v>3451</v>
      </c>
      <c r="J247" t="s">
        <v>3982</v>
      </c>
      <c r="K247" t="s">
        <v>3983</v>
      </c>
      <c r="M247" t="s">
        <v>3454</v>
      </c>
      <c r="O247" t="s">
        <v>778</v>
      </c>
      <c r="T247" t="s">
        <v>319</v>
      </c>
      <c r="U247" t="s">
        <v>816</v>
      </c>
      <c r="W247">
        <v>420</v>
      </c>
      <c r="X247">
        <v>3564</v>
      </c>
      <c r="Z247">
        <v>10</v>
      </c>
      <c r="AA247" s="31">
        <v>45824</v>
      </c>
      <c r="AB247" s="61">
        <v>0.73062499999999997</v>
      </c>
      <c r="AC247" t="s">
        <v>795</v>
      </c>
      <c r="AD247" s="31">
        <v>45834</v>
      </c>
      <c r="AE247" s="61">
        <v>0.48526620370370371</v>
      </c>
      <c r="AF247" t="s">
        <v>934</v>
      </c>
      <c r="AH247" t="s">
        <v>3973</v>
      </c>
      <c r="AI247" t="s">
        <v>3973</v>
      </c>
      <c r="AQ247">
        <v>1</v>
      </c>
    </row>
    <row r="248" spans="1:43" x14ac:dyDescent="0.25">
      <c r="A248" t="s">
        <v>31</v>
      </c>
      <c r="B248">
        <v>449</v>
      </c>
      <c r="C248">
        <v>134</v>
      </c>
      <c r="D248">
        <v>2215</v>
      </c>
      <c r="G248" t="s">
        <v>3984</v>
      </c>
      <c r="I248" t="s">
        <v>3377</v>
      </c>
      <c r="J248" t="s">
        <v>3985</v>
      </c>
      <c r="K248" t="s">
        <v>3830</v>
      </c>
      <c r="M248" t="s">
        <v>3379</v>
      </c>
      <c r="O248" t="s">
        <v>778</v>
      </c>
      <c r="T248" t="s">
        <v>319</v>
      </c>
      <c r="U248" t="s">
        <v>816</v>
      </c>
      <c r="W248">
        <v>1680</v>
      </c>
      <c r="X248">
        <v>0</v>
      </c>
      <c r="Z248">
        <v>0</v>
      </c>
      <c r="AA248" s="31">
        <v>45826</v>
      </c>
      <c r="AB248" s="61">
        <v>0.39401620370370372</v>
      </c>
      <c r="AC248" t="s">
        <v>818</v>
      </c>
      <c r="AD248" s="31">
        <v>45826</v>
      </c>
      <c r="AE248" s="61">
        <v>0.39494212962962971</v>
      </c>
      <c r="AH248" t="s">
        <v>3986</v>
      </c>
      <c r="AQ248">
        <v>1</v>
      </c>
    </row>
    <row r="249" spans="1:43" x14ac:dyDescent="0.25">
      <c r="A249" t="s">
        <v>31</v>
      </c>
      <c r="B249">
        <v>452</v>
      </c>
      <c r="C249">
        <v>134</v>
      </c>
      <c r="D249">
        <v>2215</v>
      </c>
      <c r="G249" t="s">
        <v>3987</v>
      </c>
      <c r="I249" t="s">
        <v>3377</v>
      </c>
      <c r="J249" t="s">
        <v>3985</v>
      </c>
      <c r="K249" t="s">
        <v>3830</v>
      </c>
      <c r="M249" t="s">
        <v>3379</v>
      </c>
      <c r="O249" t="s">
        <v>778</v>
      </c>
      <c r="T249" t="s">
        <v>319</v>
      </c>
      <c r="U249" t="s">
        <v>3409</v>
      </c>
      <c r="Z249">
        <v>8</v>
      </c>
      <c r="AA249" s="31">
        <v>45826</v>
      </c>
      <c r="AB249" s="61">
        <v>0.69927083333333329</v>
      </c>
      <c r="AC249" t="s">
        <v>795</v>
      </c>
      <c r="AD249" s="31">
        <v>45834</v>
      </c>
      <c r="AE249" s="61">
        <v>0.66675925925925927</v>
      </c>
      <c r="AF249" t="s">
        <v>3463</v>
      </c>
      <c r="AH249" t="s">
        <v>3986</v>
      </c>
      <c r="AI249" t="s">
        <v>3986</v>
      </c>
      <c r="AQ249">
        <v>1</v>
      </c>
    </row>
    <row r="250" spans="1:43" x14ac:dyDescent="0.25">
      <c r="A250" t="s">
        <v>31</v>
      </c>
      <c r="B250">
        <v>454</v>
      </c>
      <c r="C250">
        <v>170</v>
      </c>
      <c r="D250">
        <v>2220</v>
      </c>
      <c r="G250" t="s">
        <v>3988</v>
      </c>
      <c r="H250">
        <v>4150555001304</v>
      </c>
      <c r="I250" t="s">
        <v>3477</v>
      </c>
      <c r="J250" t="s">
        <v>3478</v>
      </c>
      <c r="K250" t="s">
        <v>3569</v>
      </c>
      <c r="M250" t="s">
        <v>3480</v>
      </c>
      <c r="O250" t="s">
        <v>3481</v>
      </c>
      <c r="P250" t="s">
        <v>3482</v>
      </c>
      <c r="Q250" t="s">
        <v>1699</v>
      </c>
      <c r="T250" t="s">
        <v>319</v>
      </c>
      <c r="U250" t="s">
        <v>816</v>
      </c>
      <c r="W250">
        <v>13000</v>
      </c>
      <c r="X250">
        <v>64152</v>
      </c>
      <c r="Z250">
        <v>44</v>
      </c>
      <c r="AA250" s="31">
        <v>45832</v>
      </c>
      <c r="AB250" s="61">
        <v>0.41875000000000001</v>
      </c>
      <c r="AC250" t="s">
        <v>795</v>
      </c>
      <c r="AD250" s="31">
        <v>45876</v>
      </c>
      <c r="AE250" s="61">
        <v>0.48769675925925932</v>
      </c>
      <c r="AF250" t="s">
        <v>934</v>
      </c>
      <c r="AH250" t="s">
        <v>3989</v>
      </c>
      <c r="AI250" t="s">
        <v>3989</v>
      </c>
      <c r="AQ250">
        <v>1</v>
      </c>
    </row>
    <row r="251" spans="1:43" x14ac:dyDescent="0.25">
      <c r="A251" t="s">
        <v>31</v>
      </c>
      <c r="B251">
        <v>458</v>
      </c>
      <c r="C251">
        <v>170</v>
      </c>
      <c r="D251">
        <v>2233</v>
      </c>
      <c r="G251" t="s">
        <v>460</v>
      </c>
      <c r="H251">
        <v>4150555001304</v>
      </c>
      <c r="I251" t="s">
        <v>3477</v>
      </c>
      <c r="J251" t="s">
        <v>3478</v>
      </c>
      <c r="K251" t="s">
        <v>3569</v>
      </c>
      <c r="M251" t="s">
        <v>3480</v>
      </c>
      <c r="O251" t="s">
        <v>3481</v>
      </c>
      <c r="P251" t="s">
        <v>3482</v>
      </c>
      <c r="Q251" t="s">
        <v>1699</v>
      </c>
      <c r="T251" t="s">
        <v>319</v>
      </c>
      <c r="U251" t="s">
        <v>816</v>
      </c>
      <c r="W251">
        <v>838821</v>
      </c>
      <c r="X251">
        <v>0</v>
      </c>
      <c r="Z251">
        <v>64</v>
      </c>
      <c r="AA251" s="31">
        <v>45832</v>
      </c>
      <c r="AB251" s="61">
        <v>0.64075231481481476</v>
      </c>
      <c r="AC251" t="s">
        <v>795</v>
      </c>
      <c r="AD251" s="31">
        <v>45896</v>
      </c>
      <c r="AE251" s="61">
        <v>0.65649305555555559</v>
      </c>
      <c r="AF251" t="s">
        <v>3463</v>
      </c>
      <c r="AH251" t="s">
        <v>3990</v>
      </c>
      <c r="AQ251">
        <v>1</v>
      </c>
    </row>
    <row r="252" spans="1:43" x14ac:dyDescent="0.25">
      <c r="A252" t="s">
        <v>31</v>
      </c>
      <c r="B252">
        <v>459</v>
      </c>
      <c r="C252">
        <v>183</v>
      </c>
      <c r="D252">
        <v>2234</v>
      </c>
      <c r="G252" t="s">
        <v>3991</v>
      </c>
      <c r="H252">
        <v>3204281000192</v>
      </c>
      <c r="I252" t="s">
        <v>3594</v>
      </c>
      <c r="J252" t="s">
        <v>3595</v>
      </c>
      <c r="K252" t="s">
        <v>3596</v>
      </c>
      <c r="M252" t="s">
        <v>2617</v>
      </c>
      <c r="O252" t="s">
        <v>3597</v>
      </c>
      <c r="P252" t="s">
        <v>2618</v>
      </c>
      <c r="Q252" t="s">
        <v>790</v>
      </c>
      <c r="T252" t="s">
        <v>319</v>
      </c>
      <c r="U252" t="s">
        <v>3417</v>
      </c>
      <c r="W252">
        <v>420</v>
      </c>
      <c r="X252">
        <v>3564</v>
      </c>
      <c r="Z252">
        <v>45</v>
      </c>
      <c r="AA252" s="31">
        <v>45832</v>
      </c>
      <c r="AB252" s="61">
        <v>0.65225694444444449</v>
      </c>
      <c r="AC252" t="s">
        <v>795</v>
      </c>
      <c r="AD252" s="31">
        <v>45877</v>
      </c>
      <c r="AE252" s="61">
        <v>0.42207175925925933</v>
      </c>
      <c r="AF252" t="s">
        <v>934</v>
      </c>
      <c r="AH252" t="s">
        <v>3989</v>
      </c>
      <c r="AI252" t="s">
        <v>3989</v>
      </c>
      <c r="AQ252">
        <v>1</v>
      </c>
    </row>
    <row r="253" spans="1:43" x14ac:dyDescent="0.25">
      <c r="A253" t="s">
        <v>31</v>
      </c>
      <c r="B253">
        <v>460</v>
      </c>
      <c r="C253">
        <v>88</v>
      </c>
      <c r="D253">
        <v>2235</v>
      </c>
      <c r="G253" t="s">
        <v>3992</v>
      </c>
      <c r="I253" t="s">
        <v>660</v>
      </c>
      <c r="J253" t="s">
        <v>1133</v>
      </c>
      <c r="K253" t="s">
        <v>3993</v>
      </c>
      <c r="M253" t="s">
        <v>3273</v>
      </c>
      <c r="O253" t="s">
        <v>778</v>
      </c>
      <c r="P253" t="s">
        <v>3274</v>
      </c>
      <c r="Q253" t="s">
        <v>932</v>
      </c>
      <c r="T253" t="s">
        <v>319</v>
      </c>
      <c r="U253" t="s">
        <v>816</v>
      </c>
      <c r="W253">
        <v>2100</v>
      </c>
      <c r="X253">
        <v>0</v>
      </c>
      <c r="Z253">
        <v>0</v>
      </c>
      <c r="AA253" s="31">
        <v>45832</v>
      </c>
      <c r="AB253" s="61">
        <v>0.67142361111111115</v>
      </c>
      <c r="AC253" t="s">
        <v>818</v>
      </c>
      <c r="AD253" s="31">
        <v>45832</v>
      </c>
      <c r="AE253" s="61">
        <v>0.67877314814814815</v>
      </c>
      <c r="AH253" t="s">
        <v>3990</v>
      </c>
      <c r="AQ253">
        <v>1</v>
      </c>
    </row>
    <row r="254" spans="1:43" x14ac:dyDescent="0.25">
      <c r="A254" t="s">
        <v>31</v>
      </c>
      <c r="B254">
        <v>461</v>
      </c>
      <c r="C254">
        <v>174</v>
      </c>
      <c r="D254">
        <v>2236</v>
      </c>
      <c r="G254" t="s">
        <v>3994</v>
      </c>
      <c r="H254">
        <v>45238441000164</v>
      </c>
      <c r="I254" t="s">
        <v>3507</v>
      </c>
      <c r="J254" t="s">
        <v>3995</v>
      </c>
      <c r="K254" t="s">
        <v>3509</v>
      </c>
      <c r="L254">
        <v>11973359869</v>
      </c>
      <c r="M254" t="s">
        <v>3510</v>
      </c>
      <c r="O254" t="s">
        <v>3511</v>
      </c>
      <c r="P254" t="s">
        <v>1094</v>
      </c>
      <c r="Q254" t="s">
        <v>790</v>
      </c>
      <c r="T254" t="s">
        <v>319</v>
      </c>
      <c r="U254" t="s">
        <v>816</v>
      </c>
      <c r="W254">
        <v>116661</v>
      </c>
      <c r="X254">
        <v>0</v>
      </c>
      <c r="Z254">
        <v>0</v>
      </c>
      <c r="AA254" s="31">
        <v>45832</v>
      </c>
      <c r="AB254" s="61">
        <v>0.6791666666666667</v>
      </c>
      <c r="AC254" t="s">
        <v>818</v>
      </c>
      <c r="AD254" s="31">
        <v>45832</v>
      </c>
      <c r="AE254" s="61">
        <v>0.68104166666666666</v>
      </c>
      <c r="AH254" t="s">
        <v>3990</v>
      </c>
      <c r="AQ254">
        <v>1</v>
      </c>
    </row>
    <row r="255" spans="1:43" x14ac:dyDescent="0.25">
      <c r="A255" t="s">
        <v>31</v>
      </c>
      <c r="B255">
        <v>464</v>
      </c>
      <c r="C255">
        <v>206</v>
      </c>
      <c r="D255">
        <v>2241</v>
      </c>
      <c r="G255" t="s">
        <v>3996</v>
      </c>
      <c r="H255">
        <v>37075503000136</v>
      </c>
      <c r="I255" t="s">
        <v>3826</v>
      </c>
      <c r="J255" t="s">
        <v>1474</v>
      </c>
      <c r="K255" t="s">
        <v>1475</v>
      </c>
      <c r="M255" t="s">
        <v>1476</v>
      </c>
      <c r="O255" t="s">
        <v>3827</v>
      </c>
      <c r="P255" t="s">
        <v>1477</v>
      </c>
      <c r="Q255" t="s">
        <v>932</v>
      </c>
      <c r="T255" t="s">
        <v>319</v>
      </c>
      <c r="U255" t="s">
        <v>3417</v>
      </c>
      <c r="Z255">
        <v>30</v>
      </c>
      <c r="AA255" s="31">
        <v>45833</v>
      </c>
      <c r="AB255" s="61">
        <v>0.45314814814814808</v>
      </c>
      <c r="AC255" t="s">
        <v>795</v>
      </c>
      <c r="AD255" s="31">
        <v>45863</v>
      </c>
      <c r="AE255" s="61">
        <v>0.4473611111111111</v>
      </c>
      <c r="AF255" t="s">
        <v>3463</v>
      </c>
      <c r="AH255" t="s">
        <v>3997</v>
      </c>
      <c r="AQ255">
        <v>1</v>
      </c>
    </row>
    <row r="256" spans="1:43" x14ac:dyDescent="0.25">
      <c r="A256" t="s">
        <v>31</v>
      </c>
      <c r="B256">
        <v>465</v>
      </c>
      <c r="C256">
        <v>169</v>
      </c>
      <c r="D256">
        <v>2242</v>
      </c>
      <c r="G256" t="s">
        <v>3998</v>
      </c>
      <c r="H256">
        <v>11458315000101</v>
      </c>
      <c r="I256" t="s">
        <v>3465</v>
      </c>
      <c r="J256" t="s">
        <v>707</v>
      </c>
      <c r="K256" t="s">
        <v>3467</v>
      </c>
      <c r="M256" t="s">
        <v>3468</v>
      </c>
      <c r="O256" t="s">
        <v>3469</v>
      </c>
      <c r="P256" t="s">
        <v>3470</v>
      </c>
      <c r="Q256" t="s">
        <v>790</v>
      </c>
      <c r="T256" t="s">
        <v>319</v>
      </c>
      <c r="U256" t="s">
        <v>816</v>
      </c>
      <c r="W256">
        <v>1701</v>
      </c>
      <c r="X256">
        <v>32076</v>
      </c>
      <c r="Z256">
        <v>44</v>
      </c>
      <c r="AA256" s="31">
        <v>45833</v>
      </c>
      <c r="AB256" s="61">
        <v>0.50416666666666665</v>
      </c>
      <c r="AC256" t="s">
        <v>818</v>
      </c>
      <c r="AD256" s="31">
        <v>45877</v>
      </c>
      <c r="AE256" s="61">
        <v>0.60512731481481485</v>
      </c>
      <c r="AH256" t="s">
        <v>3997</v>
      </c>
      <c r="AI256" t="s">
        <v>3999</v>
      </c>
      <c r="AQ256">
        <v>1</v>
      </c>
    </row>
    <row r="257" spans="1:43" x14ac:dyDescent="0.25">
      <c r="A257" t="s">
        <v>31</v>
      </c>
      <c r="B257">
        <v>471</v>
      </c>
      <c r="C257">
        <v>133</v>
      </c>
      <c r="D257">
        <v>2279</v>
      </c>
      <c r="G257" t="s">
        <v>4000</v>
      </c>
      <c r="I257" t="s">
        <v>625</v>
      </c>
      <c r="J257" t="s">
        <v>3899</v>
      </c>
      <c r="K257" t="s">
        <v>3584</v>
      </c>
      <c r="M257" t="s">
        <v>2207</v>
      </c>
      <c r="O257" t="s">
        <v>778</v>
      </c>
      <c r="T257" t="s">
        <v>319</v>
      </c>
      <c r="U257" t="s">
        <v>3417</v>
      </c>
      <c r="W257">
        <v>840</v>
      </c>
      <c r="X257">
        <v>0</v>
      </c>
      <c r="Z257">
        <v>63</v>
      </c>
      <c r="AA257" s="31">
        <v>45838</v>
      </c>
      <c r="AB257" s="61">
        <v>0.64850694444444446</v>
      </c>
      <c r="AC257" t="s">
        <v>795</v>
      </c>
      <c r="AD257" s="31">
        <v>45901</v>
      </c>
      <c r="AE257" s="61">
        <v>0.49880787037037039</v>
      </c>
      <c r="AF257" t="s">
        <v>796</v>
      </c>
      <c r="AH257" t="s">
        <v>1901</v>
      </c>
      <c r="AQ257">
        <v>1</v>
      </c>
    </row>
    <row r="258" spans="1:43" x14ac:dyDescent="0.25">
      <c r="A258" t="s">
        <v>31</v>
      </c>
      <c r="B258">
        <v>472</v>
      </c>
      <c r="C258">
        <v>206</v>
      </c>
      <c r="D258">
        <v>2280</v>
      </c>
      <c r="G258" t="s">
        <v>4001</v>
      </c>
      <c r="H258">
        <v>37075503000136</v>
      </c>
      <c r="I258" t="s">
        <v>3826</v>
      </c>
      <c r="J258" t="s">
        <v>1474</v>
      </c>
      <c r="K258" t="s">
        <v>1475</v>
      </c>
      <c r="M258" t="s">
        <v>1476</v>
      </c>
      <c r="O258" t="s">
        <v>3827</v>
      </c>
      <c r="P258" t="s">
        <v>1477</v>
      </c>
      <c r="Q258" t="s">
        <v>932</v>
      </c>
      <c r="T258" t="s">
        <v>319</v>
      </c>
      <c r="U258" t="s">
        <v>816</v>
      </c>
      <c r="W258">
        <v>0</v>
      </c>
      <c r="X258">
        <v>264</v>
      </c>
      <c r="Z258">
        <v>1</v>
      </c>
      <c r="AA258" s="31">
        <v>45838</v>
      </c>
      <c r="AB258" s="61">
        <v>0.67339120370370376</v>
      </c>
      <c r="AC258" t="s">
        <v>818</v>
      </c>
      <c r="AD258" s="31">
        <v>45839</v>
      </c>
      <c r="AE258" s="61">
        <v>0.64826388888888886</v>
      </c>
      <c r="AH258" t="s">
        <v>1866</v>
      </c>
      <c r="AI258" t="s">
        <v>1866</v>
      </c>
      <c r="AQ258">
        <v>1</v>
      </c>
    </row>
    <row r="259" spans="1:43" x14ac:dyDescent="0.25">
      <c r="A259" t="s">
        <v>31</v>
      </c>
      <c r="B259">
        <v>473</v>
      </c>
      <c r="C259">
        <v>154</v>
      </c>
      <c r="D259">
        <v>2296</v>
      </c>
      <c r="G259" t="s">
        <v>4002</v>
      </c>
      <c r="H259">
        <v>790751000159</v>
      </c>
      <c r="I259" t="s">
        <v>3456</v>
      </c>
      <c r="J259" t="s">
        <v>4003</v>
      </c>
      <c r="K259" t="s">
        <v>3580</v>
      </c>
      <c r="M259" t="s">
        <v>3459</v>
      </c>
      <c r="O259" t="s">
        <v>778</v>
      </c>
      <c r="T259" t="s">
        <v>319</v>
      </c>
      <c r="U259" t="s">
        <v>781</v>
      </c>
      <c r="Z259">
        <v>59</v>
      </c>
      <c r="AA259" s="31">
        <v>45839</v>
      </c>
      <c r="AB259" s="61">
        <v>0.65577546296296296</v>
      </c>
      <c r="AC259" t="s">
        <v>795</v>
      </c>
      <c r="AD259" s="31">
        <v>45898</v>
      </c>
      <c r="AE259" s="61">
        <v>0.68674768518518514</v>
      </c>
      <c r="AF259" t="s">
        <v>3463</v>
      </c>
      <c r="AQ259">
        <v>1</v>
      </c>
    </row>
    <row r="260" spans="1:43" x14ac:dyDescent="0.25">
      <c r="A260" t="s">
        <v>31</v>
      </c>
      <c r="B260">
        <v>474</v>
      </c>
      <c r="C260">
        <v>203</v>
      </c>
      <c r="D260">
        <v>2298</v>
      </c>
      <c r="G260" t="s">
        <v>4004</v>
      </c>
      <c r="H260">
        <v>11806036000183</v>
      </c>
      <c r="I260" t="s">
        <v>3791</v>
      </c>
      <c r="J260" t="s">
        <v>2600</v>
      </c>
      <c r="K260" t="s">
        <v>3792</v>
      </c>
      <c r="M260" t="s">
        <v>3793</v>
      </c>
      <c r="O260" t="s">
        <v>3794</v>
      </c>
      <c r="P260" t="s">
        <v>3636</v>
      </c>
      <c r="Q260" t="s">
        <v>1699</v>
      </c>
      <c r="T260" t="s">
        <v>319</v>
      </c>
      <c r="U260" t="s">
        <v>3417</v>
      </c>
      <c r="Z260">
        <v>13</v>
      </c>
      <c r="AA260" s="31">
        <v>45841</v>
      </c>
      <c r="AB260" s="61">
        <v>0.67476851851851849</v>
      </c>
      <c r="AC260" t="s">
        <v>795</v>
      </c>
      <c r="AD260" s="31">
        <v>45854</v>
      </c>
      <c r="AE260" s="61">
        <v>0.45506944444444453</v>
      </c>
      <c r="AF260" t="s">
        <v>1358</v>
      </c>
      <c r="AH260" t="s">
        <v>1878</v>
      </c>
      <c r="AI260" t="s">
        <v>4005</v>
      </c>
      <c r="AQ260">
        <v>1</v>
      </c>
    </row>
    <row r="261" spans="1:43" x14ac:dyDescent="0.25">
      <c r="A261" t="s">
        <v>31</v>
      </c>
      <c r="B261">
        <v>476</v>
      </c>
      <c r="D261">
        <v>2323</v>
      </c>
      <c r="G261" t="s">
        <v>4006</v>
      </c>
      <c r="H261">
        <v>16939440000149</v>
      </c>
      <c r="J261" t="s">
        <v>4007</v>
      </c>
      <c r="K261" t="s">
        <v>3779</v>
      </c>
      <c r="M261" t="s">
        <v>3780</v>
      </c>
      <c r="O261" t="s">
        <v>778</v>
      </c>
      <c r="T261" t="s">
        <v>319</v>
      </c>
      <c r="U261" t="s">
        <v>816</v>
      </c>
      <c r="W261">
        <v>2880</v>
      </c>
      <c r="X261">
        <v>0</v>
      </c>
      <c r="Z261">
        <v>0</v>
      </c>
      <c r="AA261" s="31">
        <v>45845</v>
      </c>
      <c r="AB261" s="61">
        <v>0.71598379629629627</v>
      </c>
      <c r="AC261" t="s">
        <v>818</v>
      </c>
      <c r="AD261" s="31">
        <v>45845</v>
      </c>
      <c r="AE261" s="61">
        <v>0.71729166666666666</v>
      </c>
      <c r="AH261" t="s">
        <v>4008</v>
      </c>
      <c r="AI261" t="s">
        <v>4008</v>
      </c>
      <c r="AQ261">
        <v>1</v>
      </c>
    </row>
    <row r="262" spans="1:43" x14ac:dyDescent="0.25">
      <c r="A262" t="s">
        <v>31</v>
      </c>
      <c r="B262">
        <v>477</v>
      </c>
      <c r="C262">
        <v>202</v>
      </c>
      <c r="D262">
        <v>2325</v>
      </c>
      <c r="G262" t="s">
        <v>4009</v>
      </c>
      <c r="H262">
        <v>16939440000149</v>
      </c>
      <c r="I262" t="s">
        <v>3778</v>
      </c>
      <c r="J262" t="s">
        <v>4007</v>
      </c>
      <c r="K262" t="s">
        <v>3779</v>
      </c>
      <c r="M262" t="s">
        <v>3780</v>
      </c>
      <c r="O262" t="s">
        <v>3781</v>
      </c>
      <c r="P262" t="s">
        <v>3782</v>
      </c>
      <c r="Q262" t="s">
        <v>790</v>
      </c>
      <c r="T262" t="s">
        <v>319</v>
      </c>
      <c r="U262" t="s">
        <v>816</v>
      </c>
      <c r="W262">
        <v>1440</v>
      </c>
      <c r="X262">
        <v>0</v>
      </c>
      <c r="Z262">
        <v>0</v>
      </c>
      <c r="AA262" s="31">
        <v>45845</v>
      </c>
      <c r="AB262" s="61">
        <v>0.73579861111111111</v>
      </c>
      <c r="AC262" t="s">
        <v>818</v>
      </c>
      <c r="AD262" s="31">
        <v>45845</v>
      </c>
      <c r="AE262" s="61">
        <v>0.73719907407407403</v>
      </c>
      <c r="AH262" t="s">
        <v>4008</v>
      </c>
      <c r="AQ262">
        <v>1</v>
      </c>
    </row>
    <row r="263" spans="1:43" x14ac:dyDescent="0.25">
      <c r="A263" t="s">
        <v>31</v>
      </c>
      <c r="B263">
        <v>478</v>
      </c>
      <c r="D263">
        <v>2326</v>
      </c>
      <c r="G263" t="s">
        <v>4010</v>
      </c>
      <c r="H263">
        <v>21922850000117</v>
      </c>
      <c r="J263" t="s">
        <v>4011</v>
      </c>
      <c r="K263" t="s">
        <v>4012</v>
      </c>
      <c r="O263" t="s">
        <v>778</v>
      </c>
      <c r="T263" t="s">
        <v>319</v>
      </c>
      <c r="U263" t="s">
        <v>816</v>
      </c>
      <c r="W263">
        <v>275352</v>
      </c>
      <c r="X263">
        <v>0</v>
      </c>
      <c r="Z263">
        <v>0</v>
      </c>
      <c r="AA263" s="31">
        <v>45846</v>
      </c>
      <c r="AB263" s="61">
        <v>0.71418981481481481</v>
      </c>
      <c r="AC263" t="s">
        <v>818</v>
      </c>
      <c r="AD263" s="31">
        <v>45846</v>
      </c>
      <c r="AE263" s="61">
        <v>0.71649305555555554</v>
      </c>
      <c r="AH263" t="s">
        <v>4013</v>
      </c>
      <c r="AI263" t="s">
        <v>4013</v>
      </c>
      <c r="AQ263">
        <v>1</v>
      </c>
    </row>
    <row r="264" spans="1:43" x14ac:dyDescent="0.25">
      <c r="A264" t="s">
        <v>31</v>
      </c>
      <c r="B264">
        <v>479</v>
      </c>
      <c r="C264">
        <v>187</v>
      </c>
      <c r="D264">
        <v>2330</v>
      </c>
      <c r="G264" t="s">
        <v>439</v>
      </c>
      <c r="H264">
        <v>17063632000105</v>
      </c>
      <c r="I264" t="s">
        <v>3631</v>
      </c>
      <c r="J264" t="s">
        <v>4014</v>
      </c>
      <c r="K264" t="s">
        <v>3633</v>
      </c>
      <c r="M264" t="s">
        <v>3634</v>
      </c>
      <c r="O264" t="s">
        <v>3635</v>
      </c>
      <c r="P264" t="s">
        <v>3636</v>
      </c>
      <c r="Q264" t="s">
        <v>1699</v>
      </c>
      <c r="T264" t="s">
        <v>319</v>
      </c>
      <c r="U264" t="s">
        <v>816</v>
      </c>
      <c r="W264">
        <v>41275</v>
      </c>
      <c r="X264">
        <v>0</v>
      </c>
      <c r="Z264">
        <v>2</v>
      </c>
      <c r="AA264" s="31">
        <v>45846</v>
      </c>
      <c r="AB264" s="61">
        <v>0.71885416666666668</v>
      </c>
      <c r="AC264" t="s">
        <v>818</v>
      </c>
      <c r="AD264" s="31">
        <v>45848</v>
      </c>
      <c r="AE264" s="61">
        <v>0.4230902777777778</v>
      </c>
      <c r="AH264" t="s">
        <v>4013</v>
      </c>
      <c r="AQ264">
        <v>1</v>
      </c>
    </row>
    <row r="265" spans="1:43" x14ac:dyDescent="0.25">
      <c r="A265" t="s">
        <v>31</v>
      </c>
      <c r="B265">
        <v>480</v>
      </c>
      <c r="D265">
        <v>2331</v>
      </c>
      <c r="G265" t="s">
        <v>4015</v>
      </c>
      <c r="H265">
        <v>21922850000117</v>
      </c>
      <c r="J265" t="s">
        <v>4016</v>
      </c>
      <c r="K265" t="s">
        <v>4012</v>
      </c>
      <c r="O265" t="s">
        <v>778</v>
      </c>
      <c r="T265" t="s">
        <v>319</v>
      </c>
      <c r="U265" t="s">
        <v>816</v>
      </c>
      <c r="W265">
        <v>25200</v>
      </c>
      <c r="X265">
        <v>68904</v>
      </c>
      <c r="Z265">
        <v>27</v>
      </c>
      <c r="AA265" s="31">
        <v>45846</v>
      </c>
      <c r="AB265" s="61">
        <v>0.71953703703703709</v>
      </c>
      <c r="AC265" t="s">
        <v>795</v>
      </c>
      <c r="AD265" s="31">
        <v>45873</v>
      </c>
      <c r="AE265" s="61">
        <v>0.4752777777777778</v>
      </c>
      <c r="AF265" t="s">
        <v>1358</v>
      </c>
      <c r="AH265" t="s">
        <v>4013</v>
      </c>
      <c r="AI265" t="s">
        <v>4017</v>
      </c>
      <c r="AQ265">
        <v>1</v>
      </c>
    </row>
    <row r="266" spans="1:43" x14ac:dyDescent="0.25">
      <c r="A266" t="s">
        <v>31</v>
      </c>
      <c r="B266">
        <v>481</v>
      </c>
      <c r="C266">
        <v>152</v>
      </c>
      <c r="D266">
        <v>2337</v>
      </c>
      <c r="G266" t="s">
        <v>4018</v>
      </c>
      <c r="I266" t="s">
        <v>3445</v>
      </c>
      <c r="J266" t="s">
        <v>3620</v>
      </c>
      <c r="K266" t="s">
        <v>3621</v>
      </c>
      <c r="M266" t="s">
        <v>3448</v>
      </c>
      <c r="O266" t="s">
        <v>778</v>
      </c>
      <c r="T266" t="s">
        <v>319</v>
      </c>
      <c r="U266" t="s">
        <v>3409</v>
      </c>
      <c r="Z266">
        <v>81</v>
      </c>
      <c r="AA266" s="31">
        <v>45849</v>
      </c>
      <c r="AB266" s="61">
        <v>0.64908564814814818</v>
      </c>
      <c r="AC266" t="s">
        <v>795</v>
      </c>
      <c r="AD266" s="31">
        <v>45930</v>
      </c>
      <c r="AE266" s="61">
        <v>0.39872685185185192</v>
      </c>
      <c r="AF266" t="s">
        <v>796</v>
      </c>
      <c r="AI266" t="s">
        <v>4019</v>
      </c>
      <c r="AQ266">
        <v>1</v>
      </c>
    </row>
    <row r="267" spans="1:43" x14ac:dyDescent="0.25">
      <c r="A267" t="s">
        <v>31</v>
      </c>
      <c r="B267">
        <v>482</v>
      </c>
      <c r="C267">
        <v>149</v>
      </c>
      <c r="D267">
        <v>2338</v>
      </c>
      <c r="G267" t="s">
        <v>4020</v>
      </c>
      <c r="H267">
        <v>12418196000118</v>
      </c>
      <c r="I267" t="s">
        <v>3645</v>
      </c>
      <c r="J267" t="s">
        <v>1115</v>
      </c>
      <c r="K267" t="s">
        <v>3647</v>
      </c>
      <c r="M267" t="s">
        <v>3648</v>
      </c>
      <c r="O267" t="s">
        <v>778</v>
      </c>
      <c r="T267" t="s">
        <v>319</v>
      </c>
      <c r="U267" t="s">
        <v>3417</v>
      </c>
      <c r="W267">
        <v>0</v>
      </c>
      <c r="X267">
        <v>0</v>
      </c>
      <c r="Z267">
        <v>17</v>
      </c>
      <c r="AA267" s="31">
        <v>45849</v>
      </c>
      <c r="AB267" s="61">
        <v>0.65001157407407406</v>
      </c>
      <c r="AC267" t="s">
        <v>795</v>
      </c>
      <c r="AD267" s="31">
        <v>45866</v>
      </c>
      <c r="AE267" s="61">
        <v>0.72260416666666671</v>
      </c>
      <c r="AF267" t="s">
        <v>1358</v>
      </c>
      <c r="AH267" t="s">
        <v>4021</v>
      </c>
      <c r="AI267" t="s">
        <v>4019</v>
      </c>
      <c r="AQ267">
        <v>1</v>
      </c>
    </row>
    <row r="268" spans="1:43" x14ac:dyDescent="0.25">
      <c r="A268" t="s">
        <v>31</v>
      </c>
      <c r="B268">
        <v>483</v>
      </c>
      <c r="C268">
        <v>147</v>
      </c>
      <c r="D268">
        <v>2339</v>
      </c>
      <c r="G268" t="s">
        <v>4022</v>
      </c>
      <c r="H268">
        <v>7964558000136</v>
      </c>
      <c r="I268" t="s">
        <v>3430</v>
      </c>
      <c r="J268" t="s">
        <v>1317</v>
      </c>
      <c r="K268" t="s">
        <v>3515</v>
      </c>
      <c r="M268" t="s">
        <v>3433</v>
      </c>
      <c r="O268" t="s">
        <v>778</v>
      </c>
      <c r="T268" t="s">
        <v>319</v>
      </c>
      <c r="U268" t="s">
        <v>816</v>
      </c>
      <c r="Z268">
        <v>27</v>
      </c>
      <c r="AA268" s="31">
        <v>45849</v>
      </c>
      <c r="AB268" s="61">
        <v>0.65327546296296302</v>
      </c>
      <c r="AC268" t="s">
        <v>795</v>
      </c>
      <c r="AD268" s="31">
        <v>45876</v>
      </c>
      <c r="AE268" s="61">
        <v>0.59097222222222223</v>
      </c>
      <c r="AF268" t="s">
        <v>1358</v>
      </c>
      <c r="AH268" t="s">
        <v>4019</v>
      </c>
      <c r="AQ268">
        <v>1</v>
      </c>
    </row>
    <row r="269" spans="1:43" x14ac:dyDescent="0.25">
      <c r="A269" t="s">
        <v>31</v>
      </c>
      <c r="B269">
        <v>489</v>
      </c>
      <c r="C269">
        <v>181</v>
      </c>
      <c r="D269">
        <v>2349</v>
      </c>
      <c r="G269" t="s">
        <v>4023</v>
      </c>
      <c r="H269">
        <v>43204189000147</v>
      </c>
      <c r="I269" t="s">
        <v>3612</v>
      </c>
      <c r="J269" t="s">
        <v>990</v>
      </c>
      <c r="K269" t="s">
        <v>3613</v>
      </c>
      <c r="M269" t="s">
        <v>3614</v>
      </c>
      <c r="O269" t="s">
        <v>3615</v>
      </c>
      <c r="P269" t="s">
        <v>3616</v>
      </c>
      <c r="Q269" t="s">
        <v>790</v>
      </c>
      <c r="T269" t="s">
        <v>319</v>
      </c>
      <c r="U269" t="s">
        <v>816</v>
      </c>
      <c r="W269">
        <v>4320</v>
      </c>
      <c r="X269">
        <v>0</v>
      </c>
      <c r="Z269">
        <v>0</v>
      </c>
      <c r="AA269" s="31">
        <v>45854</v>
      </c>
      <c r="AB269" s="61">
        <v>0.70699074074074075</v>
      </c>
      <c r="AC269" t="s">
        <v>818</v>
      </c>
      <c r="AD269" s="31">
        <v>45854</v>
      </c>
      <c r="AE269" s="61">
        <v>0.70780092592592592</v>
      </c>
      <c r="AH269" t="s">
        <v>4024</v>
      </c>
      <c r="AI269" t="s">
        <v>4025</v>
      </c>
      <c r="AQ269">
        <v>1</v>
      </c>
    </row>
    <row r="270" spans="1:43" x14ac:dyDescent="0.25">
      <c r="A270" t="s">
        <v>31</v>
      </c>
      <c r="B270">
        <v>490</v>
      </c>
      <c r="C270">
        <v>182</v>
      </c>
      <c r="D270">
        <v>2350</v>
      </c>
      <c r="G270" t="s">
        <v>4026</v>
      </c>
      <c r="H270">
        <v>23873456000161</v>
      </c>
      <c r="I270" t="s">
        <v>3573</v>
      </c>
      <c r="J270" t="s">
        <v>3802</v>
      </c>
      <c r="K270" t="s">
        <v>3575</v>
      </c>
      <c r="M270" t="s">
        <v>3576</v>
      </c>
      <c r="O270" t="s">
        <v>3577</v>
      </c>
      <c r="P270" t="s">
        <v>1837</v>
      </c>
      <c r="Q270" t="s">
        <v>790</v>
      </c>
      <c r="T270" t="s">
        <v>319</v>
      </c>
      <c r="U270" t="s">
        <v>816</v>
      </c>
      <c r="W270">
        <v>4200</v>
      </c>
      <c r="X270">
        <v>0</v>
      </c>
      <c r="Z270">
        <v>6</v>
      </c>
      <c r="AA270" s="31">
        <v>45854</v>
      </c>
      <c r="AB270" s="61">
        <v>0.70843750000000005</v>
      </c>
      <c r="AC270" t="s">
        <v>818</v>
      </c>
      <c r="AD270" s="31">
        <v>45860</v>
      </c>
      <c r="AE270" s="61">
        <v>0.52978009259259262</v>
      </c>
      <c r="AH270" t="s">
        <v>4024</v>
      </c>
      <c r="AQ270">
        <v>1</v>
      </c>
    </row>
    <row r="271" spans="1:43" x14ac:dyDescent="0.25">
      <c r="A271" t="s">
        <v>31</v>
      </c>
      <c r="B271">
        <v>491</v>
      </c>
      <c r="C271">
        <v>209</v>
      </c>
      <c r="D271">
        <v>2351</v>
      </c>
      <c r="G271" t="s">
        <v>4027</v>
      </c>
      <c r="H271">
        <v>10682266000115</v>
      </c>
      <c r="I271" t="s">
        <v>3893</v>
      </c>
      <c r="J271" t="s">
        <v>4028</v>
      </c>
      <c r="K271" t="s">
        <v>3895</v>
      </c>
      <c r="M271" t="s">
        <v>3896</v>
      </c>
      <c r="O271" t="s">
        <v>3897</v>
      </c>
      <c r="P271" t="s">
        <v>1596</v>
      </c>
      <c r="Q271" t="s">
        <v>790</v>
      </c>
      <c r="T271" t="s">
        <v>319</v>
      </c>
      <c r="U271" t="s">
        <v>816</v>
      </c>
      <c r="W271">
        <v>6720</v>
      </c>
      <c r="X271">
        <v>0</v>
      </c>
      <c r="Z271">
        <v>15</v>
      </c>
      <c r="AA271" s="31">
        <v>45855</v>
      </c>
      <c r="AB271" s="61">
        <v>0.42640046296296302</v>
      </c>
      <c r="AC271" t="s">
        <v>818</v>
      </c>
      <c r="AD271" s="31">
        <v>45870</v>
      </c>
      <c r="AE271" s="61">
        <v>0.61040509259259257</v>
      </c>
      <c r="AH271" t="s">
        <v>4029</v>
      </c>
      <c r="AI271" t="s">
        <v>1945</v>
      </c>
      <c r="AQ271">
        <v>1</v>
      </c>
    </row>
    <row r="272" spans="1:43" x14ac:dyDescent="0.25">
      <c r="A272" t="s">
        <v>31</v>
      </c>
      <c r="B272">
        <v>492</v>
      </c>
      <c r="C272">
        <v>147</v>
      </c>
      <c r="D272">
        <v>848</v>
      </c>
      <c r="G272" t="s">
        <v>4030</v>
      </c>
      <c r="H272">
        <v>7964558000136</v>
      </c>
      <c r="I272" t="s">
        <v>3430</v>
      </c>
      <c r="J272" t="s">
        <v>3431</v>
      </c>
      <c r="K272" t="s">
        <v>3432</v>
      </c>
      <c r="M272" t="s">
        <v>3433</v>
      </c>
      <c r="O272" t="s">
        <v>778</v>
      </c>
      <c r="T272" t="s">
        <v>319</v>
      </c>
      <c r="U272" t="s">
        <v>3417</v>
      </c>
      <c r="W272">
        <v>716156</v>
      </c>
      <c r="X272">
        <v>0</v>
      </c>
      <c r="Z272">
        <v>11</v>
      </c>
      <c r="AA272" s="31">
        <v>45855</v>
      </c>
      <c r="AB272" s="61">
        <v>0.43496527777777783</v>
      </c>
      <c r="AC272" t="s">
        <v>795</v>
      </c>
      <c r="AD272" s="31">
        <v>45866</v>
      </c>
      <c r="AE272" s="61">
        <v>0.5060069444444445</v>
      </c>
      <c r="AF272" t="s">
        <v>3463</v>
      </c>
      <c r="AH272" t="s">
        <v>4029</v>
      </c>
      <c r="AQ272">
        <v>1</v>
      </c>
    </row>
    <row r="273" spans="1:43" x14ac:dyDescent="0.25">
      <c r="A273" t="s">
        <v>31</v>
      </c>
      <c r="B273">
        <v>498</v>
      </c>
      <c r="C273">
        <v>171</v>
      </c>
      <c r="D273">
        <v>2383</v>
      </c>
      <c r="G273" t="s">
        <v>3663</v>
      </c>
      <c r="H273">
        <v>39955762000187</v>
      </c>
      <c r="I273" t="s">
        <v>3484</v>
      </c>
      <c r="J273" t="s">
        <v>4031</v>
      </c>
      <c r="K273" t="s">
        <v>3665</v>
      </c>
      <c r="M273" t="s">
        <v>3487</v>
      </c>
      <c r="O273" t="s">
        <v>3488</v>
      </c>
      <c r="P273" t="s">
        <v>1094</v>
      </c>
      <c r="Q273" t="s">
        <v>790</v>
      </c>
      <c r="T273" t="s">
        <v>319</v>
      </c>
      <c r="U273" t="s">
        <v>816</v>
      </c>
      <c r="W273">
        <v>245704</v>
      </c>
      <c r="X273">
        <v>0</v>
      </c>
      <c r="Z273">
        <v>0</v>
      </c>
      <c r="AA273" s="31">
        <v>45861</v>
      </c>
      <c r="AB273" s="61">
        <v>0.71406250000000004</v>
      </c>
      <c r="AC273" t="s">
        <v>818</v>
      </c>
      <c r="AD273" s="31">
        <v>45861</v>
      </c>
      <c r="AE273" s="61">
        <v>0.71575231481481483</v>
      </c>
      <c r="AH273" t="s">
        <v>4032</v>
      </c>
      <c r="AQ273">
        <v>1</v>
      </c>
    </row>
    <row r="274" spans="1:43" x14ac:dyDescent="0.25">
      <c r="A274" t="s">
        <v>31</v>
      </c>
      <c r="B274">
        <v>499</v>
      </c>
      <c r="C274">
        <v>97</v>
      </c>
      <c r="D274">
        <v>2390</v>
      </c>
      <c r="G274" t="s">
        <v>4033</v>
      </c>
      <c r="H274">
        <v>22500484000170</v>
      </c>
      <c r="I274" t="s">
        <v>669</v>
      </c>
      <c r="J274" t="s">
        <v>4034</v>
      </c>
      <c r="K274" t="s">
        <v>4035</v>
      </c>
      <c r="M274" t="s">
        <v>3294</v>
      </c>
      <c r="O274" t="s">
        <v>778</v>
      </c>
      <c r="T274" t="s">
        <v>319</v>
      </c>
      <c r="U274" t="s">
        <v>816</v>
      </c>
      <c r="W274">
        <v>840</v>
      </c>
      <c r="X274">
        <v>0</v>
      </c>
      <c r="Z274">
        <v>0</v>
      </c>
      <c r="AA274" s="31">
        <v>45862</v>
      </c>
      <c r="AB274" s="61">
        <v>0.58165509259259263</v>
      </c>
      <c r="AC274" t="s">
        <v>818</v>
      </c>
      <c r="AD274" s="31">
        <v>45862</v>
      </c>
      <c r="AE274" s="61">
        <v>0.65292824074074074</v>
      </c>
      <c r="AH274" t="s">
        <v>4036</v>
      </c>
      <c r="AQ274">
        <v>1</v>
      </c>
    </row>
    <row r="275" spans="1:43" x14ac:dyDescent="0.25">
      <c r="A275" t="s">
        <v>31</v>
      </c>
      <c r="B275">
        <v>500</v>
      </c>
      <c r="C275">
        <v>96</v>
      </c>
      <c r="D275">
        <v>2391</v>
      </c>
      <c r="G275" t="s">
        <v>4037</v>
      </c>
      <c r="I275" t="s">
        <v>3291</v>
      </c>
      <c r="J275" t="s">
        <v>4038</v>
      </c>
      <c r="K275" t="s">
        <v>3672</v>
      </c>
      <c r="M275" t="s">
        <v>3293</v>
      </c>
      <c r="O275" t="s">
        <v>778</v>
      </c>
      <c r="T275" t="s">
        <v>319</v>
      </c>
      <c r="U275" t="s">
        <v>816</v>
      </c>
      <c r="W275">
        <v>1440</v>
      </c>
      <c r="X275">
        <v>0</v>
      </c>
      <c r="Z275">
        <v>0</v>
      </c>
      <c r="AA275" s="31">
        <v>45862</v>
      </c>
      <c r="AB275" s="61">
        <v>0.62880787037037034</v>
      </c>
      <c r="AC275" t="s">
        <v>818</v>
      </c>
      <c r="AD275" s="31">
        <v>45862</v>
      </c>
      <c r="AE275" s="61">
        <v>0.63013888888888892</v>
      </c>
      <c r="AH275" t="s">
        <v>4036</v>
      </c>
      <c r="AQ275">
        <v>1</v>
      </c>
    </row>
    <row r="276" spans="1:43" x14ac:dyDescent="0.25">
      <c r="A276" t="s">
        <v>31</v>
      </c>
      <c r="B276">
        <v>501</v>
      </c>
      <c r="C276">
        <v>147</v>
      </c>
      <c r="D276">
        <v>2392</v>
      </c>
      <c r="G276" t="s">
        <v>4039</v>
      </c>
      <c r="H276">
        <v>7964558000136</v>
      </c>
      <c r="I276" t="s">
        <v>3430</v>
      </c>
      <c r="J276" t="s">
        <v>704</v>
      </c>
      <c r="K276" t="s">
        <v>3515</v>
      </c>
      <c r="M276" t="s">
        <v>3433</v>
      </c>
      <c r="O276" t="s">
        <v>778</v>
      </c>
      <c r="T276" t="s">
        <v>319</v>
      </c>
      <c r="U276" t="s">
        <v>816</v>
      </c>
      <c r="W276">
        <v>6720</v>
      </c>
      <c r="X276">
        <v>0</v>
      </c>
      <c r="Z276">
        <v>0</v>
      </c>
      <c r="AA276" s="31">
        <v>45862</v>
      </c>
      <c r="AB276" s="61">
        <v>0.63891203703703703</v>
      </c>
      <c r="AC276" t="s">
        <v>818</v>
      </c>
      <c r="AD276" s="31">
        <v>45862</v>
      </c>
      <c r="AE276" s="61">
        <v>0.65201388888888889</v>
      </c>
      <c r="AH276" t="s">
        <v>4036</v>
      </c>
      <c r="AQ276">
        <v>1</v>
      </c>
    </row>
    <row r="277" spans="1:43" x14ac:dyDescent="0.25">
      <c r="A277" t="s">
        <v>31</v>
      </c>
      <c r="B277">
        <v>502</v>
      </c>
      <c r="C277">
        <v>112</v>
      </c>
      <c r="D277">
        <v>2429</v>
      </c>
      <c r="G277" t="s">
        <v>4040</v>
      </c>
      <c r="I277" t="s">
        <v>3327</v>
      </c>
      <c r="J277" t="s">
        <v>704</v>
      </c>
      <c r="M277" t="s">
        <v>3328</v>
      </c>
      <c r="O277" t="s">
        <v>778</v>
      </c>
      <c r="T277" t="s">
        <v>319</v>
      </c>
      <c r="U277" t="s">
        <v>3417</v>
      </c>
      <c r="W277">
        <v>1600</v>
      </c>
      <c r="X277">
        <v>774415</v>
      </c>
      <c r="Z277">
        <v>34</v>
      </c>
      <c r="AA277" s="31">
        <v>45868</v>
      </c>
      <c r="AB277" s="61">
        <v>0.48775462962962962</v>
      </c>
      <c r="AC277" t="s">
        <v>795</v>
      </c>
      <c r="AD277" s="31">
        <v>45902</v>
      </c>
      <c r="AE277" s="61">
        <v>0.49239583333333331</v>
      </c>
      <c r="AF277" t="s">
        <v>867</v>
      </c>
      <c r="AH277" t="s">
        <v>4041</v>
      </c>
      <c r="AI277" t="s">
        <v>4041</v>
      </c>
      <c r="AQ277">
        <v>1</v>
      </c>
    </row>
    <row r="278" spans="1:43" x14ac:dyDescent="0.25">
      <c r="A278" t="s">
        <v>31</v>
      </c>
      <c r="B278">
        <v>511</v>
      </c>
      <c r="C278">
        <v>93</v>
      </c>
      <c r="D278">
        <v>986</v>
      </c>
      <c r="G278" t="s">
        <v>4042</v>
      </c>
      <c r="I278" t="s">
        <v>3285</v>
      </c>
      <c r="J278" t="s">
        <v>3490</v>
      </c>
      <c r="K278" t="s">
        <v>3491</v>
      </c>
      <c r="M278" t="s">
        <v>3286</v>
      </c>
      <c r="O278" t="s">
        <v>778</v>
      </c>
      <c r="T278" t="s">
        <v>319</v>
      </c>
      <c r="U278" t="s">
        <v>3417</v>
      </c>
      <c r="W278">
        <v>3360</v>
      </c>
      <c r="X278">
        <v>7128</v>
      </c>
      <c r="Z278">
        <v>28</v>
      </c>
      <c r="AA278" s="31">
        <v>45870</v>
      </c>
      <c r="AB278" s="61">
        <v>0.65550925925925929</v>
      </c>
      <c r="AC278" t="s">
        <v>795</v>
      </c>
      <c r="AD278" s="31">
        <v>45898</v>
      </c>
      <c r="AE278" s="61">
        <v>0.60733796296296294</v>
      </c>
      <c r="AF278" t="s">
        <v>3463</v>
      </c>
      <c r="AH278" t="s">
        <v>4043</v>
      </c>
      <c r="AI278" t="s">
        <v>4044</v>
      </c>
      <c r="AQ278">
        <v>1</v>
      </c>
    </row>
    <row r="279" spans="1:43" x14ac:dyDescent="0.25">
      <c r="A279" t="s">
        <v>31</v>
      </c>
      <c r="B279">
        <v>512</v>
      </c>
      <c r="C279">
        <v>149</v>
      </c>
      <c r="D279">
        <v>2450</v>
      </c>
      <c r="G279" t="s">
        <v>4045</v>
      </c>
      <c r="H279">
        <v>12418196000118</v>
      </c>
      <c r="I279" t="s">
        <v>3645</v>
      </c>
      <c r="J279" t="s">
        <v>1115</v>
      </c>
      <c r="K279" t="s">
        <v>3647</v>
      </c>
      <c r="M279" t="s">
        <v>3648</v>
      </c>
      <c r="O279" t="s">
        <v>778</v>
      </c>
      <c r="T279" t="s">
        <v>319</v>
      </c>
      <c r="U279" t="s">
        <v>816</v>
      </c>
      <c r="W279">
        <v>3360</v>
      </c>
      <c r="X279">
        <v>0</v>
      </c>
      <c r="Z279">
        <v>3</v>
      </c>
      <c r="AA279" s="31">
        <v>45873</v>
      </c>
      <c r="AB279" s="61">
        <v>0.43699074074074068</v>
      </c>
      <c r="AC279" t="s">
        <v>818</v>
      </c>
      <c r="AD279" s="31">
        <v>45876</v>
      </c>
      <c r="AE279" s="61">
        <v>0.64539351851851856</v>
      </c>
      <c r="AH279" t="s">
        <v>4046</v>
      </c>
      <c r="AQ279">
        <v>1</v>
      </c>
    </row>
    <row r="280" spans="1:43" x14ac:dyDescent="0.25">
      <c r="A280" t="s">
        <v>31</v>
      </c>
      <c r="B280">
        <v>513</v>
      </c>
      <c r="C280">
        <v>150</v>
      </c>
      <c r="D280">
        <v>2451</v>
      </c>
      <c r="G280" t="s">
        <v>4047</v>
      </c>
      <c r="H280">
        <v>32258848000101</v>
      </c>
      <c r="I280" t="s">
        <v>3435</v>
      </c>
      <c r="J280" t="s">
        <v>1804</v>
      </c>
      <c r="K280" t="s">
        <v>3493</v>
      </c>
      <c r="M280" t="s">
        <v>3437</v>
      </c>
      <c r="O280" t="s">
        <v>778</v>
      </c>
      <c r="T280" t="s">
        <v>319</v>
      </c>
      <c r="U280" t="s">
        <v>816</v>
      </c>
      <c r="W280">
        <v>1680</v>
      </c>
      <c r="X280">
        <v>0</v>
      </c>
      <c r="Z280">
        <v>3</v>
      </c>
      <c r="AA280" s="31">
        <v>45873</v>
      </c>
      <c r="AB280" s="61">
        <v>0.62299768518518517</v>
      </c>
      <c r="AC280" t="s">
        <v>818</v>
      </c>
      <c r="AD280" s="31">
        <v>45876</v>
      </c>
      <c r="AE280" s="61">
        <v>0.69701388888888893</v>
      </c>
      <c r="AH280" t="s">
        <v>4046</v>
      </c>
      <c r="AQ280">
        <v>1</v>
      </c>
    </row>
    <row r="281" spans="1:43" x14ac:dyDescent="0.25">
      <c r="A281" t="s">
        <v>31</v>
      </c>
      <c r="B281">
        <v>514</v>
      </c>
      <c r="C281">
        <v>190</v>
      </c>
      <c r="D281">
        <v>1769</v>
      </c>
      <c r="G281" t="s">
        <v>4048</v>
      </c>
      <c r="H281">
        <v>18203215000175</v>
      </c>
      <c r="I281" t="s">
        <v>3690</v>
      </c>
      <c r="J281" t="s">
        <v>3691</v>
      </c>
      <c r="K281" t="s">
        <v>3692</v>
      </c>
      <c r="M281" t="s">
        <v>3693</v>
      </c>
      <c r="O281" t="s">
        <v>3694</v>
      </c>
      <c r="P281" t="s">
        <v>3695</v>
      </c>
      <c r="Q281" t="s">
        <v>790</v>
      </c>
      <c r="T281" t="s">
        <v>319</v>
      </c>
      <c r="U281" t="s">
        <v>816</v>
      </c>
      <c r="W281">
        <v>3024</v>
      </c>
      <c r="X281">
        <v>605</v>
      </c>
      <c r="Z281">
        <v>14</v>
      </c>
      <c r="AA281" s="31">
        <v>45874</v>
      </c>
      <c r="AB281" s="61">
        <v>0.66400462962962958</v>
      </c>
      <c r="AC281" t="s">
        <v>818</v>
      </c>
      <c r="AD281" s="31">
        <v>45888</v>
      </c>
      <c r="AE281" s="61">
        <v>0.48135416666666669</v>
      </c>
      <c r="AH281" t="s">
        <v>1981</v>
      </c>
      <c r="AI281" t="s">
        <v>1981</v>
      </c>
      <c r="AQ281">
        <v>1</v>
      </c>
    </row>
    <row r="282" spans="1:43" x14ac:dyDescent="0.25">
      <c r="A282" t="s">
        <v>31</v>
      </c>
      <c r="B282">
        <v>515</v>
      </c>
      <c r="C282">
        <v>170</v>
      </c>
      <c r="D282">
        <v>2455</v>
      </c>
      <c r="G282" t="s">
        <v>4049</v>
      </c>
      <c r="H282">
        <v>4150555001304</v>
      </c>
      <c r="I282" t="s">
        <v>3477</v>
      </c>
      <c r="J282" t="s">
        <v>3478</v>
      </c>
      <c r="K282" t="s">
        <v>3569</v>
      </c>
      <c r="M282" t="s">
        <v>3480</v>
      </c>
      <c r="O282" t="s">
        <v>3481</v>
      </c>
      <c r="P282" t="s">
        <v>3482</v>
      </c>
      <c r="Q282" t="s">
        <v>1699</v>
      </c>
      <c r="T282" t="s">
        <v>319</v>
      </c>
      <c r="U282" t="s">
        <v>816</v>
      </c>
      <c r="W282">
        <v>1847759</v>
      </c>
      <c r="X282">
        <v>1590</v>
      </c>
      <c r="Z282">
        <v>28</v>
      </c>
      <c r="AA282" s="31">
        <v>45876</v>
      </c>
      <c r="AB282" s="61">
        <v>0.48866898148148152</v>
      </c>
      <c r="AC282" t="s">
        <v>818</v>
      </c>
      <c r="AD282" s="31">
        <v>45904</v>
      </c>
      <c r="AE282" s="61">
        <v>0.71673611111111113</v>
      </c>
      <c r="AH282" t="s">
        <v>4050</v>
      </c>
      <c r="AQ282">
        <v>1</v>
      </c>
    </row>
    <row r="283" spans="1:43" x14ac:dyDescent="0.25">
      <c r="A283" t="s">
        <v>31</v>
      </c>
      <c r="B283">
        <v>522</v>
      </c>
      <c r="C283">
        <v>149</v>
      </c>
      <c r="D283">
        <v>2460</v>
      </c>
      <c r="G283" t="s">
        <v>4051</v>
      </c>
      <c r="H283">
        <v>12418196000118</v>
      </c>
      <c r="I283" t="s">
        <v>3645</v>
      </c>
      <c r="J283" t="s">
        <v>4052</v>
      </c>
      <c r="K283" t="s">
        <v>3647</v>
      </c>
      <c r="M283" t="s">
        <v>3648</v>
      </c>
      <c r="O283" t="s">
        <v>778</v>
      </c>
      <c r="T283" t="s">
        <v>319</v>
      </c>
      <c r="U283" t="s">
        <v>3409</v>
      </c>
      <c r="Z283">
        <v>21</v>
      </c>
      <c r="AA283" s="31">
        <v>45877</v>
      </c>
      <c r="AB283" s="61">
        <v>0.51511574074074074</v>
      </c>
      <c r="AC283" t="s">
        <v>795</v>
      </c>
      <c r="AD283" s="31">
        <v>45898</v>
      </c>
      <c r="AE283" s="61">
        <v>0.68209490740740741</v>
      </c>
      <c r="AF283" t="s">
        <v>3463</v>
      </c>
      <c r="AI283" t="s">
        <v>4043</v>
      </c>
      <c r="AQ283">
        <v>1</v>
      </c>
    </row>
    <row r="284" spans="1:43" x14ac:dyDescent="0.25">
      <c r="A284" t="s">
        <v>31</v>
      </c>
      <c r="B284">
        <v>523</v>
      </c>
      <c r="C284">
        <v>183</v>
      </c>
      <c r="D284">
        <v>2461</v>
      </c>
      <c r="G284" t="s">
        <v>4053</v>
      </c>
      <c r="H284">
        <v>3204281000192</v>
      </c>
      <c r="I284" t="s">
        <v>3594</v>
      </c>
      <c r="J284" t="s">
        <v>3595</v>
      </c>
      <c r="K284" t="s">
        <v>3596</v>
      </c>
      <c r="M284" t="s">
        <v>2617</v>
      </c>
      <c r="O284" t="s">
        <v>3597</v>
      </c>
      <c r="P284" t="s">
        <v>2618</v>
      </c>
      <c r="Q284" t="s">
        <v>790</v>
      </c>
      <c r="T284" t="s">
        <v>319</v>
      </c>
      <c r="U284" t="s">
        <v>816</v>
      </c>
      <c r="W284">
        <v>26200</v>
      </c>
      <c r="X284">
        <v>3400</v>
      </c>
      <c r="Z284">
        <v>43</v>
      </c>
      <c r="AA284" s="31">
        <v>45880</v>
      </c>
      <c r="AB284" s="61">
        <v>0.49128472222222219</v>
      </c>
      <c r="AC284" t="s">
        <v>795</v>
      </c>
      <c r="AD284" s="31">
        <v>45923</v>
      </c>
      <c r="AE284" s="61">
        <v>0.65136574074074072</v>
      </c>
      <c r="AF284" t="s">
        <v>974</v>
      </c>
      <c r="AH284" t="s">
        <v>1959</v>
      </c>
      <c r="AI284" t="s">
        <v>1959</v>
      </c>
      <c r="AQ284">
        <v>1</v>
      </c>
    </row>
    <row r="285" spans="1:43" x14ac:dyDescent="0.25">
      <c r="A285" t="s">
        <v>31</v>
      </c>
      <c r="B285">
        <v>524</v>
      </c>
      <c r="C285">
        <v>146</v>
      </c>
      <c r="D285">
        <v>2462</v>
      </c>
      <c r="G285" t="s">
        <v>4054</v>
      </c>
      <c r="I285" t="s">
        <v>3425</v>
      </c>
      <c r="J285" t="s">
        <v>3426</v>
      </c>
      <c r="K285" t="s">
        <v>3515</v>
      </c>
      <c r="M285" t="s">
        <v>3428</v>
      </c>
      <c r="O285" t="s">
        <v>778</v>
      </c>
      <c r="T285" t="s">
        <v>319</v>
      </c>
      <c r="U285" t="s">
        <v>3417</v>
      </c>
      <c r="W285">
        <v>3360</v>
      </c>
      <c r="X285">
        <v>7128</v>
      </c>
      <c r="Z285">
        <v>14</v>
      </c>
      <c r="AA285" s="31">
        <v>45880</v>
      </c>
      <c r="AB285" s="61">
        <v>0.49332175925925931</v>
      </c>
      <c r="AC285" t="s">
        <v>795</v>
      </c>
      <c r="AD285" s="31">
        <v>45894</v>
      </c>
      <c r="AE285" s="61">
        <v>0.66289351851851852</v>
      </c>
      <c r="AF285" t="s">
        <v>3463</v>
      </c>
      <c r="AH285" t="s">
        <v>1959</v>
      </c>
      <c r="AI285" t="s">
        <v>4055</v>
      </c>
      <c r="AQ285">
        <v>1</v>
      </c>
    </row>
    <row r="286" spans="1:43" x14ac:dyDescent="0.25">
      <c r="A286" t="s">
        <v>31</v>
      </c>
      <c r="B286">
        <v>525</v>
      </c>
      <c r="C286">
        <v>202</v>
      </c>
      <c r="D286">
        <v>2467</v>
      </c>
      <c r="G286" t="s">
        <v>4056</v>
      </c>
      <c r="H286">
        <v>16939440000149</v>
      </c>
      <c r="I286" t="s">
        <v>3778</v>
      </c>
      <c r="J286" t="s">
        <v>707</v>
      </c>
      <c r="K286" t="s">
        <v>3779</v>
      </c>
      <c r="M286" t="s">
        <v>3780</v>
      </c>
      <c r="O286" t="s">
        <v>3781</v>
      </c>
      <c r="P286" t="s">
        <v>3782</v>
      </c>
      <c r="Q286" t="s">
        <v>790</v>
      </c>
      <c r="T286" t="s">
        <v>319</v>
      </c>
      <c r="U286" t="s">
        <v>816</v>
      </c>
      <c r="W286">
        <v>6048</v>
      </c>
      <c r="X286">
        <v>0</v>
      </c>
      <c r="Z286">
        <v>0</v>
      </c>
      <c r="AA286" s="31">
        <v>45887</v>
      </c>
      <c r="AB286" s="61">
        <v>0.39128472222222221</v>
      </c>
      <c r="AC286" t="s">
        <v>818</v>
      </c>
      <c r="AD286" s="31">
        <v>45887</v>
      </c>
      <c r="AE286" s="61">
        <v>0.39361111111111108</v>
      </c>
      <c r="AH286" t="s">
        <v>1959</v>
      </c>
      <c r="AQ286">
        <v>1</v>
      </c>
    </row>
    <row r="287" spans="1:43" x14ac:dyDescent="0.25">
      <c r="A287" t="s">
        <v>31</v>
      </c>
      <c r="B287">
        <v>526</v>
      </c>
      <c r="C287">
        <v>186</v>
      </c>
      <c r="D287">
        <v>2468</v>
      </c>
      <c r="G287" t="s">
        <v>4057</v>
      </c>
      <c r="H287">
        <v>10899939000193</v>
      </c>
      <c r="I287" t="s">
        <v>3625</v>
      </c>
      <c r="J287" t="s">
        <v>704</v>
      </c>
      <c r="K287" t="s">
        <v>3626</v>
      </c>
      <c r="M287" t="s">
        <v>3627</v>
      </c>
      <c r="O287" t="s">
        <v>3628</v>
      </c>
      <c r="P287" t="s">
        <v>3629</v>
      </c>
      <c r="Q287" t="s">
        <v>932</v>
      </c>
      <c r="T287" t="s">
        <v>319</v>
      </c>
      <c r="U287" t="s">
        <v>3417</v>
      </c>
      <c r="W287">
        <v>0</v>
      </c>
      <c r="X287">
        <v>3564</v>
      </c>
      <c r="Z287">
        <v>28</v>
      </c>
      <c r="AA287" s="31">
        <v>45887</v>
      </c>
      <c r="AB287" s="61">
        <v>0.40155092592592601</v>
      </c>
      <c r="AC287" t="s">
        <v>795</v>
      </c>
      <c r="AD287" s="31">
        <v>45915</v>
      </c>
      <c r="AE287" s="61">
        <v>0.63196759259259261</v>
      </c>
      <c r="AF287" t="s">
        <v>934</v>
      </c>
      <c r="AH287" t="s">
        <v>2042</v>
      </c>
      <c r="AI287" t="s">
        <v>2042</v>
      </c>
      <c r="AQ287">
        <v>1</v>
      </c>
    </row>
    <row r="288" spans="1:43" x14ac:dyDescent="0.25">
      <c r="A288" t="s">
        <v>31</v>
      </c>
      <c r="B288">
        <v>527</v>
      </c>
      <c r="C288">
        <v>195</v>
      </c>
      <c r="D288">
        <v>2469</v>
      </c>
      <c r="G288" t="s">
        <v>4058</v>
      </c>
      <c r="H288">
        <v>49682710000138</v>
      </c>
      <c r="I288" t="s">
        <v>4059</v>
      </c>
      <c r="J288" t="s">
        <v>4060</v>
      </c>
      <c r="K288" t="s">
        <v>4061</v>
      </c>
      <c r="M288" t="s">
        <v>4062</v>
      </c>
      <c r="O288" t="s">
        <v>4063</v>
      </c>
      <c r="P288" t="s">
        <v>1633</v>
      </c>
      <c r="Q288" t="s">
        <v>848</v>
      </c>
      <c r="T288" t="s">
        <v>319</v>
      </c>
      <c r="U288" t="s">
        <v>816</v>
      </c>
      <c r="W288">
        <v>0</v>
      </c>
      <c r="X288">
        <v>7524</v>
      </c>
      <c r="Z288">
        <v>7</v>
      </c>
      <c r="AA288" s="31">
        <v>45887</v>
      </c>
      <c r="AB288" s="61">
        <v>0.4024652777777778</v>
      </c>
      <c r="AC288" t="s">
        <v>818</v>
      </c>
      <c r="AD288" s="31">
        <v>45894</v>
      </c>
      <c r="AE288" s="61">
        <v>0.49158564814814809</v>
      </c>
      <c r="AH288" t="s">
        <v>4064</v>
      </c>
      <c r="AI288" t="s">
        <v>4064</v>
      </c>
      <c r="AQ288">
        <v>1</v>
      </c>
    </row>
    <row r="289" spans="1:43" x14ac:dyDescent="0.25">
      <c r="A289" t="s">
        <v>31</v>
      </c>
      <c r="B289">
        <v>528</v>
      </c>
      <c r="C289">
        <v>88</v>
      </c>
      <c r="D289">
        <v>2470</v>
      </c>
      <c r="G289" t="s">
        <v>4065</v>
      </c>
      <c r="I289" t="s">
        <v>660</v>
      </c>
      <c r="J289" t="s">
        <v>1133</v>
      </c>
      <c r="K289" t="s">
        <v>3993</v>
      </c>
      <c r="M289" t="s">
        <v>3273</v>
      </c>
      <c r="O289" t="s">
        <v>778</v>
      </c>
      <c r="P289" t="s">
        <v>3274</v>
      </c>
      <c r="Q289" t="s">
        <v>932</v>
      </c>
      <c r="T289" t="s">
        <v>319</v>
      </c>
      <c r="U289" t="s">
        <v>3417</v>
      </c>
      <c r="W289">
        <v>3360</v>
      </c>
      <c r="X289">
        <v>7128</v>
      </c>
      <c r="Z289">
        <v>43</v>
      </c>
      <c r="AA289" s="31">
        <v>45887</v>
      </c>
      <c r="AB289" s="61">
        <v>0.43887731481481479</v>
      </c>
      <c r="AC289" t="s">
        <v>795</v>
      </c>
      <c r="AD289" s="31">
        <v>45930</v>
      </c>
      <c r="AE289" s="61">
        <v>0.38685185185185178</v>
      </c>
      <c r="AF289" t="s">
        <v>3463</v>
      </c>
      <c r="AH289" t="s">
        <v>2042</v>
      </c>
      <c r="AI289" t="s">
        <v>2042</v>
      </c>
      <c r="AQ289">
        <v>1</v>
      </c>
    </row>
    <row r="290" spans="1:43" x14ac:dyDescent="0.25">
      <c r="A290" t="s">
        <v>31</v>
      </c>
      <c r="B290">
        <v>529</v>
      </c>
      <c r="C290">
        <v>103</v>
      </c>
      <c r="D290">
        <v>2471</v>
      </c>
      <c r="G290" t="s">
        <v>4066</v>
      </c>
      <c r="H290">
        <v>12549273000179</v>
      </c>
      <c r="I290" t="s">
        <v>3309</v>
      </c>
      <c r="J290" t="s">
        <v>4067</v>
      </c>
      <c r="M290" t="s">
        <v>3312</v>
      </c>
      <c r="O290" t="s">
        <v>3313</v>
      </c>
      <c r="P290" t="s">
        <v>1596</v>
      </c>
      <c r="Q290" t="s">
        <v>790</v>
      </c>
      <c r="T290" t="s">
        <v>319</v>
      </c>
      <c r="U290" t="s">
        <v>3417</v>
      </c>
      <c r="W290">
        <v>420</v>
      </c>
      <c r="X290">
        <v>3564</v>
      </c>
      <c r="Z290">
        <v>25</v>
      </c>
      <c r="AA290" s="31">
        <v>45887</v>
      </c>
      <c r="AB290" s="61">
        <v>0.52501157407407406</v>
      </c>
      <c r="AC290" t="s">
        <v>795</v>
      </c>
      <c r="AD290" s="31">
        <v>45912</v>
      </c>
      <c r="AE290" s="61">
        <v>0.71452546296296293</v>
      </c>
      <c r="AF290" t="s">
        <v>934</v>
      </c>
      <c r="AH290" t="s">
        <v>2042</v>
      </c>
      <c r="AI290" t="s">
        <v>4068</v>
      </c>
      <c r="AQ290">
        <v>1</v>
      </c>
    </row>
    <row r="291" spans="1:43" x14ac:dyDescent="0.25">
      <c r="A291" t="s">
        <v>31</v>
      </c>
      <c r="B291">
        <v>530</v>
      </c>
      <c r="C291">
        <v>154</v>
      </c>
      <c r="D291">
        <v>2472</v>
      </c>
      <c r="G291" t="s">
        <v>4069</v>
      </c>
      <c r="H291">
        <v>790751000159</v>
      </c>
      <c r="I291" t="s">
        <v>3456</v>
      </c>
      <c r="J291" t="s">
        <v>4003</v>
      </c>
      <c r="K291" t="s">
        <v>3580</v>
      </c>
      <c r="M291" t="s">
        <v>3459</v>
      </c>
      <c r="O291" t="s">
        <v>778</v>
      </c>
      <c r="T291" t="s">
        <v>319</v>
      </c>
      <c r="U291" t="s">
        <v>816</v>
      </c>
      <c r="W291">
        <v>5800</v>
      </c>
      <c r="X291">
        <v>0</v>
      </c>
      <c r="Z291">
        <v>10</v>
      </c>
      <c r="AA291" s="31">
        <v>45887</v>
      </c>
      <c r="AB291" s="61">
        <v>0.59663194444444445</v>
      </c>
      <c r="AC291" t="s">
        <v>818</v>
      </c>
      <c r="AD291" s="31">
        <v>45897</v>
      </c>
      <c r="AE291" s="61">
        <v>0.6378125</v>
      </c>
      <c r="AH291" t="s">
        <v>4064</v>
      </c>
      <c r="AQ291">
        <v>1</v>
      </c>
    </row>
    <row r="292" spans="1:43" x14ac:dyDescent="0.25">
      <c r="A292" t="s">
        <v>31</v>
      </c>
      <c r="B292">
        <v>533</v>
      </c>
      <c r="C292">
        <v>167</v>
      </c>
      <c r="D292">
        <v>2480</v>
      </c>
      <c r="G292" t="s">
        <v>4070</v>
      </c>
      <c r="H292">
        <v>7973104000121</v>
      </c>
      <c r="I292" t="s">
        <v>979</v>
      </c>
      <c r="J292" t="s">
        <v>952</v>
      </c>
      <c r="K292" t="s">
        <v>4071</v>
      </c>
      <c r="M292" t="s">
        <v>982</v>
      </c>
      <c r="O292" t="s">
        <v>778</v>
      </c>
      <c r="P292" t="s">
        <v>983</v>
      </c>
      <c r="Q292" t="s">
        <v>932</v>
      </c>
      <c r="T292" t="s">
        <v>319</v>
      </c>
      <c r="U292" t="s">
        <v>781</v>
      </c>
      <c r="Z292">
        <v>23</v>
      </c>
      <c r="AA292" s="31">
        <v>45889</v>
      </c>
      <c r="AB292" s="61">
        <v>0.41270833333333329</v>
      </c>
      <c r="AC292" t="s">
        <v>795</v>
      </c>
      <c r="AD292" s="31">
        <v>45912</v>
      </c>
      <c r="AE292" s="61">
        <v>0.71810185185185182</v>
      </c>
      <c r="AF292" t="s">
        <v>934</v>
      </c>
      <c r="AQ292">
        <v>1</v>
      </c>
    </row>
    <row r="293" spans="1:43" x14ac:dyDescent="0.25">
      <c r="A293" t="s">
        <v>31</v>
      </c>
      <c r="B293">
        <v>535</v>
      </c>
      <c r="C293">
        <v>175</v>
      </c>
      <c r="D293">
        <v>2483</v>
      </c>
      <c r="G293" t="s">
        <v>4072</v>
      </c>
      <c r="H293">
        <v>52362985000107</v>
      </c>
      <c r="I293" t="s">
        <v>3519</v>
      </c>
      <c r="J293" t="s">
        <v>4073</v>
      </c>
      <c r="K293" t="s">
        <v>4074</v>
      </c>
      <c r="M293" t="s">
        <v>3521</v>
      </c>
      <c r="O293" t="s">
        <v>3522</v>
      </c>
      <c r="P293" t="s">
        <v>3523</v>
      </c>
      <c r="Q293" t="s">
        <v>790</v>
      </c>
      <c r="T293" t="s">
        <v>319</v>
      </c>
      <c r="U293" t="s">
        <v>3417</v>
      </c>
      <c r="W293">
        <v>3360</v>
      </c>
      <c r="X293">
        <v>0</v>
      </c>
      <c r="Z293">
        <v>41</v>
      </c>
      <c r="AA293" s="31">
        <v>45889</v>
      </c>
      <c r="AB293" s="61">
        <v>0.42591435185185178</v>
      </c>
      <c r="AC293" t="s">
        <v>795</v>
      </c>
      <c r="AD293" s="31">
        <v>45930</v>
      </c>
      <c r="AE293" s="61">
        <v>0.39935185185185179</v>
      </c>
      <c r="AF293" t="s">
        <v>796</v>
      </c>
      <c r="AI293" t="s">
        <v>4075</v>
      </c>
      <c r="AQ293">
        <v>1</v>
      </c>
    </row>
    <row r="294" spans="1:43" x14ac:dyDescent="0.25">
      <c r="A294" t="s">
        <v>31</v>
      </c>
      <c r="B294">
        <v>536</v>
      </c>
      <c r="D294">
        <v>2484</v>
      </c>
      <c r="G294" t="s">
        <v>4076</v>
      </c>
      <c r="H294">
        <v>8037413000152</v>
      </c>
      <c r="J294" t="s">
        <v>4077</v>
      </c>
      <c r="K294" t="s">
        <v>4078</v>
      </c>
      <c r="M294" t="s">
        <v>4079</v>
      </c>
      <c r="O294" t="s">
        <v>778</v>
      </c>
      <c r="T294" t="s">
        <v>319</v>
      </c>
      <c r="U294" t="s">
        <v>3417</v>
      </c>
      <c r="W294">
        <v>3360</v>
      </c>
      <c r="X294">
        <v>7128</v>
      </c>
      <c r="Z294">
        <v>37</v>
      </c>
      <c r="AA294" s="31">
        <v>45889</v>
      </c>
      <c r="AB294" s="61">
        <v>0.43030092592592589</v>
      </c>
      <c r="AC294" t="s">
        <v>795</v>
      </c>
      <c r="AD294" s="31">
        <v>45926</v>
      </c>
      <c r="AE294" s="61">
        <v>0.67302083333333329</v>
      </c>
      <c r="AF294" t="s">
        <v>796</v>
      </c>
      <c r="AH294" t="s">
        <v>4080</v>
      </c>
      <c r="AQ294">
        <v>1</v>
      </c>
    </row>
    <row r="295" spans="1:43" x14ac:dyDescent="0.25">
      <c r="A295" t="s">
        <v>31</v>
      </c>
      <c r="B295">
        <v>538</v>
      </c>
      <c r="C295">
        <v>132</v>
      </c>
      <c r="D295">
        <v>2489</v>
      </c>
      <c r="G295" t="s">
        <v>4081</v>
      </c>
      <c r="I295" t="s">
        <v>3373</v>
      </c>
      <c r="J295" t="s">
        <v>3588</v>
      </c>
      <c r="K295" t="s">
        <v>3553</v>
      </c>
      <c r="M295" t="s">
        <v>3375</v>
      </c>
      <c r="O295" t="s">
        <v>778</v>
      </c>
      <c r="T295" t="s">
        <v>319</v>
      </c>
      <c r="U295" t="s">
        <v>3417</v>
      </c>
      <c r="W295">
        <v>3360</v>
      </c>
      <c r="X295">
        <v>7128</v>
      </c>
      <c r="Z295">
        <v>5</v>
      </c>
      <c r="AA295" s="31">
        <v>45889</v>
      </c>
      <c r="AB295" s="61">
        <v>0.46584490740740742</v>
      </c>
      <c r="AC295" t="s">
        <v>795</v>
      </c>
      <c r="AD295" s="31">
        <v>45894</v>
      </c>
      <c r="AE295" s="61">
        <v>0.70057870370370368</v>
      </c>
      <c r="AF295" t="s">
        <v>3463</v>
      </c>
      <c r="AH295" t="s">
        <v>4080</v>
      </c>
      <c r="AI295" t="s">
        <v>4080</v>
      </c>
      <c r="AQ295">
        <v>1</v>
      </c>
    </row>
    <row r="296" spans="1:43" x14ac:dyDescent="0.25">
      <c r="A296" t="s">
        <v>31</v>
      </c>
      <c r="B296">
        <v>541</v>
      </c>
      <c r="C296">
        <v>97</v>
      </c>
      <c r="D296">
        <v>2495</v>
      </c>
      <c r="G296" t="s">
        <v>4082</v>
      </c>
      <c r="H296">
        <v>22500484000170</v>
      </c>
      <c r="I296" t="s">
        <v>669</v>
      </c>
      <c r="J296" t="s">
        <v>4034</v>
      </c>
      <c r="K296" t="s">
        <v>4035</v>
      </c>
      <c r="M296" t="s">
        <v>3294</v>
      </c>
      <c r="O296" t="s">
        <v>778</v>
      </c>
      <c r="T296" t="s">
        <v>319</v>
      </c>
      <c r="U296" t="s">
        <v>816</v>
      </c>
      <c r="W296">
        <v>630</v>
      </c>
      <c r="X296">
        <v>0</v>
      </c>
      <c r="Z296">
        <v>0</v>
      </c>
      <c r="AA296" s="31">
        <v>45889</v>
      </c>
      <c r="AB296" s="61">
        <v>0.69578703703703704</v>
      </c>
      <c r="AC296" t="s">
        <v>818</v>
      </c>
      <c r="AD296" s="31">
        <v>45889</v>
      </c>
      <c r="AE296" s="61">
        <v>0.69665509259259262</v>
      </c>
      <c r="AH296" t="s">
        <v>4080</v>
      </c>
      <c r="AQ296">
        <v>1</v>
      </c>
    </row>
    <row r="297" spans="1:43" x14ac:dyDescent="0.25">
      <c r="A297" t="s">
        <v>31</v>
      </c>
      <c r="B297">
        <v>543</v>
      </c>
      <c r="C297">
        <v>179</v>
      </c>
      <c r="D297">
        <v>2500</v>
      </c>
      <c r="G297" t="s">
        <v>4083</v>
      </c>
      <c r="H297">
        <v>21736169000184</v>
      </c>
      <c r="I297" t="s">
        <v>3546</v>
      </c>
      <c r="J297" t="s">
        <v>1243</v>
      </c>
      <c r="K297" t="s">
        <v>3547</v>
      </c>
      <c r="M297" t="s">
        <v>3548</v>
      </c>
      <c r="O297" t="s">
        <v>3549</v>
      </c>
      <c r="P297" t="s">
        <v>3550</v>
      </c>
      <c r="Q297" t="s">
        <v>874</v>
      </c>
      <c r="T297" t="s">
        <v>319</v>
      </c>
      <c r="U297" t="s">
        <v>816</v>
      </c>
      <c r="W297">
        <v>4200</v>
      </c>
      <c r="X297">
        <v>0</v>
      </c>
      <c r="Z297">
        <v>39</v>
      </c>
      <c r="AA297" s="31">
        <v>45890</v>
      </c>
      <c r="AB297" s="61">
        <v>0.4518287037037037</v>
      </c>
      <c r="AC297" t="s">
        <v>795</v>
      </c>
      <c r="AD297" s="31">
        <v>45929</v>
      </c>
      <c r="AE297" s="61">
        <v>0.44091435185185179</v>
      </c>
      <c r="AF297" t="s">
        <v>796</v>
      </c>
      <c r="AH297" t="s">
        <v>4084</v>
      </c>
      <c r="AQ297">
        <v>1</v>
      </c>
    </row>
    <row r="298" spans="1:43" x14ac:dyDescent="0.25">
      <c r="A298" t="s">
        <v>31</v>
      </c>
      <c r="B298">
        <v>544</v>
      </c>
      <c r="C298">
        <v>76</v>
      </c>
      <c r="D298">
        <v>2501</v>
      </c>
      <c r="G298" t="s">
        <v>4085</v>
      </c>
      <c r="I298" t="s">
        <v>225</v>
      </c>
      <c r="J298" t="s">
        <v>4086</v>
      </c>
      <c r="K298" t="s">
        <v>3623</v>
      </c>
      <c r="M298" t="s">
        <v>3233</v>
      </c>
      <c r="O298" t="s">
        <v>778</v>
      </c>
      <c r="P298" t="s">
        <v>3234</v>
      </c>
      <c r="Q298" t="s">
        <v>1699</v>
      </c>
      <c r="T298" t="s">
        <v>319</v>
      </c>
      <c r="U298" t="s">
        <v>816</v>
      </c>
      <c r="W298">
        <v>1680</v>
      </c>
      <c r="X298">
        <v>0</v>
      </c>
      <c r="Z298">
        <v>0</v>
      </c>
      <c r="AA298" s="31">
        <v>45890</v>
      </c>
      <c r="AB298" s="61">
        <v>0.4753472222222222</v>
      </c>
      <c r="AC298" t="s">
        <v>818</v>
      </c>
      <c r="AD298" s="31">
        <v>45890</v>
      </c>
      <c r="AE298" s="61">
        <v>0.66390046296296301</v>
      </c>
      <c r="AH298" t="s">
        <v>4084</v>
      </c>
      <c r="AQ298">
        <v>1</v>
      </c>
    </row>
    <row r="299" spans="1:43" x14ac:dyDescent="0.25">
      <c r="A299" t="s">
        <v>31</v>
      </c>
      <c r="B299">
        <v>547</v>
      </c>
      <c r="C299">
        <v>76</v>
      </c>
      <c r="D299">
        <v>2503</v>
      </c>
      <c r="G299" t="s">
        <v>4087</v>
      </c>
      <c r="I299" t="s">
        <v>225</v>
      </c>
      <c r="J299" t="s">
        <v>3691</v>
      </c>
      <c r="K299" t="s">
        <v>3623</v>
      </c>
      <c r="M299" t="s">
        <v>3233</v>
      </c>
      <c r="O299" t="s">
        <v>778</v>
      </c>
      <c r="P299" t="s">
        <v>3234</v>
      </c>
      <c r="Q299" t="s">
        <v>1699</v>
      </c>
      <c r="T299" t="s">
        <v>319</v>
      </c>
      <c r="U299" t="s">
        <v>816</v>
      </c>
      <c r="W299">
        <v>1680</v>
      </c>
      <c r="X299">
        <v>64152</v>
      </c>
      <c r="Z299">
        <v>21</v>
      </c>
      <c r="AA299" s="31">
        <v>45894</v>
      </c>
      <c r="AB299" s="61">
        <v>0.41486111111111112</v>
      </c>
      <c r="AC299" t="s">
        <v>818</v>
      </c>
      <c r="AD299" s="31">
        <v>45915</v>
      </c>
      <c r="AE299" s="61">
        <v>0.47063657407407411</v>
      </c>
      <c r="AH299" t="s">
        <v>2048</v>
      </c>
      <c r="AI299" t="s">
        <v>2048</v>
      </c>
      <c r="AQ299">
        <v>1</v>
      </c>
    </row>
    <row r="300" spans="1:43" x14ac:dyDescent="0.25">
      <c r="A300" t="s">
        <v>31</v>
      </c>
      <c r="B300">
        <v>548</v>
      </c>
      <c r="C300">
        <v>190</v>
      </c>
      <c r="D300">
        <v>2504</v>
      </c>
      <c r="G300" t="s">
        <v>4088</v>
      </c>
      <c r="H300">
        <v>18203215000175</v>
      </c>
      <c r="I300" t="s">
        <v>3690</v>
      </c>
      <c r="J300" t="s">
        <v>4089</v>
      </c>
      <c r="K300" t="s">
        <v>3692</v>
      </c>
      <c r="M300" t="s">
        <v>3693</v>
      </c>
      <c r="O300" t="s">
        <v>3694</v>
      </c>
      <c r="P300" t="s">
        <v>3695</v>
      </c>
      <c r="Q300" t="s">
        <v>790</v>
      </c>
      <c r="T300" t="s">
        <v>319</v>
      </c>
      <c r="U300" t="s">
        <v>816</v>
      </c>
      <c r="W300">
        <v>3360</v>
      </c>
      <c r="X300">
        <v>0</v>
      </c>
      <c r="Z300">
        <v>9</v>
      </c>
      <c r="AA300" s="31">
        <v>45894</v>
      </c>
      <c r="AB300" s="61">
        <v>0.43626157407407412</v>
      </c>
      <c r="AC300" t="s">
        <v>818</v>
      </c>
      <c r="AD300" s="31">
        <v>45903</v>
      </c>
      <c r="AE300" s="61">
        <v>0.51253472222222218</v>
      </c>
      <c r="AH300" t="s">
        <v>2048</v>
      </c>
      <c r="AQ300">
        <v>1</v>
      </c>
    </row>
    <row r="301" spans="1:43" x14ac:dyDescent="0.25">
      <c r="A301" t="s">
        <v>31</v>
      </c>
      <c r="B301">
        <v>549</v>
      </c>
      <c r="C301">
        <v>208</v>
      </c>
      <c r="D301">
        <v>2505</v>
      </c>
      <c r="G301" t="s">
        <v>4090</v>
      </c>
      <c r="H301">
        <v>42830750000130</v>
      </c>
      <c r="I301" t="s">
        <v>3903</v>
      </c>
      <c r="J301" t="s">
        <v>4091</v>
      </c>
      <c r="K301" t="s">
        <v>3905</v>
      </c>
      <c r="M301" t="s">
        <v>3906</v>
      </c>
      <c r="O301" t="s">
        <v>3907</v>
      </c>
      <c r="P301" t="s">
        <v>1094</v>
      </c>
      <c r="Q301" t="s">
        <v>790</v>
      </c>
      <c r="T301" t="s">
        <v>319</v>
      </c>
      <c r="U301" t="s">
        <v>3417</v>
      </c>
      <c r="W301">
        <v>3360</v>
      </c>
      <c r="X301">
        <v>7128</v>
      </c>
      <c r="Z301">
        <v>7</v>
      </c>
      <c r="AA301" s="31">
        <v>45894</v>
      </c>
      <c r="AB301" s="61">
        <v>0.49232638888888891</v>
      </c>
      <c r="AC301" t="s">
        <v>795</v>
      </c>
      <c r="AD301" s="31">
        <v>45901</v>
      </c>
      <c r="AE301" s="61">
        <v>0.45027777777777778</v>
      </c>
      <c r="AF301" t="s">
        <v>934</v>
      </c>
      <c r="AH301" t="s">
        <v>2048</v>
      </c>
      <c r="AI301" t="s">
        <v>2048</v>
      </c>
      <c r="AQ301">
        <v>1</v>
      </c>
    </row>
    <row r="302" spans="1:43" x14ac:dyDescent="0.25">
      <c r="A302" t="s">
        <v>31</v>
      </c>
      <c r="B302">
        <v>551</v>
      </c>
      <c r="C302">
        <v>130</v>
      </c>
      <c r="D302">
        <v>2507</v>
      </c>
      <c r="G302" t="s">
        <v>4092</v>
      </c>
      <c r="I302" t="s">
        <v>141</v>
      </c>
      <c r="J302" t="s">
        <v>3675</v>
      </c>
      <c r="K302" t="s">
        <v>3676</v>
      </c>
      <c r="M302" t="s">
        <v>3368</v>
      </c>
      <c r="O302" t="s">
        <v>778</v>
      </c>
      <c r="P302" t="s">
        <v>923</v>
      </c>
      <c r="Q302" t="s">
        <v>790</v>
      </c>
      <c r="T302" t="s">
        <v>319</v>
      </c>
      <c r="U302" t="s">
        <v>816</v>
      </c>
      <c r="W302">
        <v>2000</v>
      </c>
      <c r="X302">
        <v>0</v>
      </c>
      <c r="Z302">
        <v>0</v>
      </c>
      <c r="AA302" s="31">
        <v>45894</v>
      </c>
      <c r="AB302" s="61">
        <v>0.60696759259259259</v>
      </c>
      <c r="AC302" t="s">
        <v>818</v>
      </c>
      <c r="AD302" s="31">
        <v>45894</v>
      </c>
      <c r="AE302" s="61">
        <v>0.64976851851851847</v>
      </c>
      <c r="AH302" t="s">
        <v>2048</v>
      </c>
      <c r="AQ302">
        <v>1</v>
      </c>
    </row>
    <row r="303" spans="1:43" x14ac:dyDescent="0.25">
      <c r="A303" t="s">
        <v>31</v>
      </c>
      <c r="B303">
        <v>554</v>
      </c>
      <c r="C303">
        <v>0</v>
      </c>
      <c r="D303">
        <v>2510</v>
      </c>
      <c r="G303" t="s">
        <v>4093</v>
      </c>
      <c r="H303">
        <v>49119936000125</v>
      </c>
      <c r="J303" t="s">
        <v>4094</v>
      </c>
      <c r="K303" t="s">
        <v>4095</v>
      </c>
      <c r="M303" t="s">
        <v>4096</v>
      </c>
      <c r="O303" t="s">
        <v>778</v>
      </c>
      <c r="T303" t="s">
        <v>319</v>
      </c>
      <c r="U303" t="s">
        <v>781</v>
      </c>
      <c r="Z303">
        <v>35</v>
      </c>
      <c r="AA303" s="31">
        <v>45895</v>
      </c>
      <c r="AB303" s="61">
        <v>0.47723379629629631</v>
      </c>
      <c r="AC303" t="s">
        <v>795</v>
      </c>
      <c r="AD303" s="31">
        <v>45930</v>
      </c>
      <c r="AE303" s="61">
        <v>0.69893518518518516</v>
      </c>
      <c r="AF303" t="s">
        <v>796</v>
      </c>
      <c r="AQ303">
        <v>1</v>
      </c>
    </row>
    <row r="304" spans="1:43" x14ac:dyDescent="0.25">
      <c r="A304" t="s">
        <v>31</v>
      </c>
      <c r="B304">
        <v>555</v>
      </c>
      <c r="C304">
        <v>129</v>
      </c>
      <c r="D304">
        <v>2513</v>
      </c>
      <c r="G304" t="s">
        <v>3535</v>
      </c>
      <c r="I304" t="s">
        <v>679</v>
      </c>
      <c r="J304" t="s">
        <v>928</v>
      </c>
      <c r="K304" t="s">
        <v>3537</v>
      </c>
      <c r="M304" t="s">
        <v>3366</v>
      </c>
      <c r="O304" t="s">
        <v>778</v>
      </c>
      <c r="T304" t="s">
        <v>319</v>
      </c>
      <c r="U304" t="s">
        <v>816</v>
      </c>
      <c r="W304">
        <v>50000</v>
      </c>
      <c r="X304">
        <v>68904</v>
      </c>
      <c r="Z304">
        <v>21</v>
      </c>
      <c r="AA304" s="31">
        <v>45895</v>
      </c>
      <c r="AB304" s="61">
        <v>0.51844907407407403</v>
      </c>
      <c r="AC304" t="s">
        <v>818</v>
      </c>
      <c r="AD304" s="31">
        <v>45916</v>
      </c>
      <c r="AE304" s="61">
        <v>0.65458333333333329</v>
      </c>
      <c r="AH304" t="s">
        <v>4097</v>
      </c>
      <c r="AI304" t="s">
        <v>4097</v>
      </c>
      <c r="AQ304">
        <v>1</v>
      </c>
    </row>
    <row r="305" spans="1:43" x14ac:dyDescent="0.25">
      <c r="A305" t="s">
        <v>31</v>
      </c>
      <c r="B305">
        <v>556</v>
      </c>
      <c r="C305">
        <v>118</v>
      </c>
      <c r="D305">
        <v>2514</v>
      </c>
      <c r="G305" t="s">
        <v>4098</v>
      </c>
      <c r="I305" t="s">
        <v>686</v>
      </c>
      <c r="J305" t="s">
        <v>162</v>
      </c>
      <c r="K305" t="s">
        <v>3609</v>
      </c>
      <c r="M305" t="s">
        <v>3343</v>
      </c>
      <c r="O305" t="s">
        <v>778</v>
      </c>
      <c r="T305" t="s">
        <v>319</v>
      </c>
      <c r="U305" t="s">
        <v>3417</v>
      </c>
      <c r="W305">
        <v>8400</v>
      </c>
      <c r="X305">
        <v>0</v>
      </c>
      <c r="Z305">
        <v>23</v>
      </c>
      <c r="AA305" s="31">
        <v>45895</v>
      </c>
      <c r="AB305" s="61">
        <v>0.52089120370370368</v>
      </c>
      <c r="AC305" t="s">
        <v>795</v>
      </c>
      <c r="AD305" s="31">
        <v>45918</v>
      </c>
      <c r="AE305" s="61">
        <v>0.51217592592592598</v>
      </c>
      <c r="AF305" t="s">
        <v>934</v>
      </c>
      <c r="AH305" t="s">
        <v>4097</v>
      </c>
      <c r="AI305" t="s">
        <v>4097</v>
      </c>
      <c r="AQ305">
        <v>1</v>
      </c>
    </row>
    <row r="306" spans="1:43" x14ac:dyDescent="0.25">
      <c r="A306" t="s">
        <v>31</v>
      </c>
      <c r="B306">
        <v>560</v>
      </c>
      <c r="C306">
        <v>142</v>
      </c>
      <c r="D306">
        <v>2522</v>
      </c>
      <c r="G306" t="s">
        <v>4099</v>
      </c>
      <c r="I306" t="s">
        <v>3397</v>
      </c>
      <c r="J306" t="s">
        <v>2610</v>
      </c>
      <c r="K306" t="s">
        <v>3698</v>
      </c>
      <c r="M306" t="s">
        <v>3399</v>
      </c>
      <c r="O306" t="s">
        <v>778</v>
      </c>
      <c r="P306" t="s">
        <v>3400</v>
      </c>
      <c r="Q306" t="s">
        <v>1699</v>
      </c>
      <c r="T306" t="s">
        <v>319</v>
      </c>
      <c r="U306" t="s">
        <v>3417</v>
      </c>
      <c r="W306">
        <v>3360</v>
      </c>
      <c r="X306">
        <v>7128</v>
      </c>
      <c r="Z306">
        <v>14</v>
      </c>
      <c r="AA306" s="31">
        <v>45898</v>
      </c>
      <c r="AB306" s="61">
        <v>0.67541666666666667</v>
      </c>
      <c r="AC306" t="s">
        <v>795</v>
      </c>
      <c r="AD306" s="31">
        <v>45912</v>
      </c>
      <c r="AE306" s="61">
        <v>0.71483796296296298</v>
      </c>
      <c r="AF306" t="s">
        <v>934</v>
      </c>
      <c r="AH306" t="s">
        <v>4100</v>
      </c>
      <c r="AI306" t="s">
        <v>4100</v>
      </c>
      <c r="AQ306">
        <v>1</v>
      </c>
    </row>
    <row r="307" spans="1:43" x14ac:dyDescent="0.25">
      <c r="A307" t="s">
        <v>31</v>
      </c>
      <c r="B307">
        <v>565</v>
      </c>
      <c r="C307">
        <v>185</v>
      </c>
      <c r="D307">
        <v>2537</v>
      </c>
      <c r="G307" t="s">
        <v>4101</v>
      </c>
      <c r="H307">
        <v>51496785000176</v>
      </c>
      <c r="I307" t="s">
        <v>3599</v>
      </c>
      <c r="J307" t="s">
        <v>3600</v>
      </c>
      <c r="K307" t="s">
        <v>3601</v>
      </c>
      <c r="M307" t="s">
        <v>3602</v>
      </c>
      <c r="O307" t="s">
        <v>3603</v>
      </c>
      <c r="P307" t="s">
        <v>847</v>
      </c>
      <c r="Q307" t="s">
        <v>848</v>
      </c>
      <c r="T307" t="s">
        <v>319</v>
      </c>
      <c r="U307" t="s">
        <v>816</v>
      </c>
      <c r="W307">
        <v>293842</v>
      </c>
      <c r="X307">
        <v>0</v>
      </c>
      <c r="Z307">
        <v>3</v>
      </c>
      <c r="AA307" s="31">
        <v>45901</v>
      </c>
      <c r="AB307" s="61">
        <v>0.66069444444444447</v>
      </c>
      <c r="AC307" t="s">
        <v>818</v>
      </c>
      <c r="AD307" s="31">
        <v>45904</v>
      </c>
      <c r="AE307" s="61">
        <v>0.62457175925925923</v>
      </c>
      <c r="AH307" t="s">
        <v>4102</v>
      </c>
      <c r="AQ307">
        <v>1</v>
      </c>
    </row>
    <row r="308" spans="1:43" x14ac:dyDescent="0.25">
      <c r="A308" t="s">
        <v>31</v>
      </c>
      <c r="B308">
        <v>568</v>
      </c>
      <c r="C308">
        <v>199</v>
      </c>
      <c r="D308">
        <v>2542</v>
      </c>
      <c r="G308" t="s">
        <v>4103</v>
      </c>
      <c r="H308">
        <v>50963243000101</v>
      </c>
      <c r="I308" t="s">
        <v>3750</v>
      </c>
      <c r="J308" t="s">
        <v>3844</v>
      </c>
      <c r="K308" t="s">
        <v>3752</v>
      </c>
      <c r="M308" t="s">
        <v>3753</v>
      </c>
      <c r="O308" t="s">
        <v>3754</v>
      </c>
      <c r="P308" t="s">
        <v>1094</v>
      </c>
      <c r="Q308" t="s">
        <v>790</v>
      </c>
      <c r="T308" t="s">
        <v>319</v>
      </c>
      <c r="U308" t="s">
        <v>816</v>
      </c>
      <c r="W308">
        <v>3024</v>
      </c>
      <c r="X308">
        <v>0</v>
      </c>
      <c r="Z308">
        <v>1</v>
      </c>
      <c r="AA308" s="31">
        <v>45902</v>
      </c>
      <c r="AB308" s="61">
        <v>0.50137731481481485</v>
      </c>
      <c r="AC308" t="s">
        <v>818</v>
      </c>
      <c r="AD308" s="31">
        <v>45903</v>
      </c>
      <c r="AE308" s="61">
        <v>0.51120370370370372</v>
      </c>
      <c r="AH308" t="s">
        <v>2213</v>
      </c>
      <c r="AQ308">
        <v>1</v>
      </c>
    </row>
    <row r="309" spans="1:43" x14ac:dyDescent="0.25">
      <c r="A309" t="s">
        <v>31</v>
      </c>
      <c r="B309">
        <v>569</v>
      </c>
      <c r="C309">
        <v>130</v>
      </c>
      <c r="D309">
        <v>2543</v>
      </c>
      <c r="G309" t="s">
        <v>4104</v>
      </c>
      <c r="I309" t="s">
        <v>141</v>
      </c>
      <c r="J309" t="s">
        <v>3675</v>
      </c>
      <c r="K309" t="s">
        <v>3676</v>
      </c>
      <c r="M309" t="s">
        <v>3368</v>
      </c>
      <c r="O309" t="s">
        <v>778</v>
      </c>
      <c r="P309" t="s">
        <v>923</v>
      </c>
      <c r="Q309" t="s">
        <v>790</v>
      </c>
      <c r="T309" t="s">
        <v>319</v>
      </c>
      <c r="U309" t="s">
        <v>816</v>
      </c>
      <c r="W309">
        <v>11340</v>
      </c>
      <c r="X309">
        <v>42982</v>
      </c>
      <c r="Z309">
        <v>8</v>
      </c>
      <c r="AA309" s="31">
        <v>45903</v>
      </c>
      <c r="AB309" s="61">
        <v>0.4649537037037037</v>
      </c>
      <c r="AC309" t="s">
        <v>818</v>
      </c>
      <c r="AD309" s="31">
        <v>45911</v>
      </c>
      <c r="AE309" s="61">
        <v>0.42986111111111108</v>
      </c>
      <c r="AH309" t="s">
        <v>4105</v>
      </c>
      <c r="AI309" t="s">
        <v>4105</v>
      </c>
      <c r="AQ309">
        <v>1</v>
      </c>
    </row>
    <row r="310" spans="1:43" x14ac:dyDescent="0.25">
      <c r="A310" t="s">
        <v>31</v>
      </c>
      <c r="B310">
        <v>570</v>
      </c>
      <c r="C310">
        <v>122</v>
      </c>
      <c r="D310">
        <v>2544</v>
      </c>
      <c r="G310" t="s">
        <v>4106</v>
      </c>
      <c r="I310" t="s">
        <v>680</v>
      </c>
      <c r="J310" t="s">
        <v>680</v>
      </c>
      <c r="K310" t="s">
        <v>3867</v>
      </c>
      <c r="M310" t="s">
        <v>3351</v>
      </c>
      <c r="O310" t="s">
        <v>778</v>
      </c>
      <c r="T310" t="s">
        <v>319</v>
      </c>
      <c r="U310" t="s">
        <v>816</v>
      </c>
      <c r="W310">
        <v>1008</v>
      </c>
      <c r="X310">
        <v>0</v>
      </c>
      <c r="Z310">
        <v>0</v>
      </c>
      <c r="AA310" s="31">
        <v>45903</v>
      </c>
      <c r="AB310" s="61">
        <v>0.47706018518518523</v>
      </c>
      <c r="AC310" t="s">
        <v>818</v>
      </c>
      <c r="AD310" s="31">
        <v>45903</v>
      </c>
      <c r="AE310" s="61">
        <v>0.51025462962962964</v>
      </c>
      <c r="AH310" t="s">
        <v>4105</v>
      </c>
      <c r="AQ310">
        <v>1</v>
      </c>
    </row>
    <row r="311" spans="1:43" x14ac:dyDescent="0.25">
      <c r="A311" t="s">
        <v>31</v>
      </c>
      <c r="B311">
        <v>571</v>
      </c>
      <c r="C311">
        <v>194</v>
      </c>
      <c r="D311">
        <v>2546</v>
      </c>
      <c r="G311" t="s">
        <v>4107</v>
      </c>
      <c r="H311">
        <v>44580314000186</v>
      </c>
      <c r="I311" t="s">
        <v>3682</v>
      </c>
      <c r="J311" t="s">
        <v>3683</v>
      </c>
      <c r="K311" t="s">
        <v>3684</v>
      </c>
      <c r="M311" t="s">
        <v>3685</v>
      </c>
      <c r="O311" t="s">
        <v>3686</v>
      </c>
      <c r="P311" t="s">
        <v>3687</v>
      </c>
      <c r="Q311" t="s">
        <v>790</v>
      </c>
      <c r="T311" t="s">
        <v>319</v>
      </c>
      <c r="U311" t="s">
        <v>816</v>
      </c>
      <c r="W311">
        <v>7200</v>
      </c>
      <c r="X311">
        <v>0</v>
      </c>
      <c r="Z311">
        <v>0</v>
      </c>
      <c r="AA311" s="31">
        <v>45903</v>
      </c>
      <c r="AB311" s="61">
        <v>0.6932638888888889</v>
      </c>
      <c r="AC311" t="s">
        <v>818</v>
      </c>
      <c r="AD311" s="31">
        <v>45903</v>
      </c>
      <c r="AE311" s="61">
        <v>0.7319444444444444</v>
      </c>
      <c r="AH311" t="s">
        <v>4105</v>
      </c>
      <c r="AI311" t="s">
        <v>4105</v>
      </c>
      <c r="AQ311">
        <v>1</v>
      </c>
    </row>
    <row r="312" spans="1:43" x14ac:dyDescent="0.25">
      <c r="A312" t="s">
        <v>31</v>
      </c>
      <c r="B312">
        <v>572</v>
      </c>
      <c r="C312">
        <v>137</v>
      </c>
      <c r="D312">
        <v>2548</v>
      </c>
      <c r="G312" t="s">
        <v>3701</v>
      </c>
      <c r="I312" t="s">
        <v>116</v>
      </c>
      <c r="J312" t="s">
        <v>704</v>
      </c>
      <c r="K312" t="s">
        <v>3703</v>
      </c>
      <c r="M312" t="s">
        <v>3386</v>
      </c>
      <c r="O312" t="s">
        <v>778</v>
      </c>
      <c r="T312" t="s">
        <v>319</v>
      </c>
      <c r="U312" t="s">
        <v>816</v>
      </c>
      <c r="W312">
        <v>0</v>
      </c>
      <c r="X312">
        <v>55241</v>
      </c>
      <c r="Z312">
        <v>21</v>
      </c>
      <c r="AA312" s="31">
        <v>45908</v>
      </c>
      <c r="AB312" s="61">
        <v>0.42853009259259262</v>
      </c>
      <c r="AC312" t="s">
        <v>795</v>
      </c>
      <c r="AD312" s="31">
        <v>45929</v>
      </c>
      <c r="AE312" s="61">
        <v>0.3904050925925926</v>
      </c>
      <c r="AF312" t="s">
        <v>1358</v>
      </c>
      <c r="AH312" t="s">
        <v>4108</v>
      </c>
      <c r="AI312" t="s">
        <v>4108</v>
      </c>
      <c r="AQ312">
        <v>1</v>
      </c>
    </row>
    <row r="313" spans="1:43" x14ac:dyDescent="0.25">
      <c r="A313" t="s">
        <v>31</v>
      </c>
      <c r="B313">
        <v>573</v>
      </c>
      <c r="C313">
        <v>85</v>
      </c>
      <c r="D313">
        <v>2550</v>
      </c>
      <c r="G313" t="s">
        <v>4109</v>
      </c>
      <c r="I313" t="s">
        <v>3261</v>
      </c>
      <c r="J313" t="s">
        <v>3971</v>
      </c>
      <c r="K313" t="s">
        <v>3972</v>
      </c>
      <c r="M313" t="s">
        <v>3263</v>
      </c>
      <c r="O313" t="s">
        <v>778</v>
      </c>
      <c r="P313" t="s">
        <v>3264</v>
      </c>
      <c r="T313" t="s">
        <v>319</v>
      </c>
      <c r="U313" t="s">
        <v>3417</v>
      </c>
      <c r="W313">
        <v>3360</v>
      </c>
      <c r="X313">
        <v>3564</v>
      </c>
      <c r="Z313">
        <v>4</v>
      </c>
      <c r="AA313" s="31">
        <v>45908</v>
      </c>
      <c r="AB313" s="61">
        <v>0.69795138888888886</v>
      </c>
      <c r="AC313" t="s">
        <v>795</v>
      </c>
      <c r="AD313" s="31">
        <v>45912</v>
      </c>
      <c r="AE313" s="61">
        <v>0.44373842592592588</v>
      </c>
      <c r="AF313" t="s">
        <v>974</v>
      </c>
      <c r="AH313" t="s">
        <v>4108</v>
      </c>
      <c r="AI313" t="s">
        <v>4108</v>
      </c>
      <c r="AQ313">
        <v>1</v>
      </c>
    </row>
    <row r="314" spans="1:43" x14ac:dyDescent="0.25">
      <c r="A314" t="s">
        <v>31</v>
      </c>
      <c r="B314">
        <v>574</v>
      </c>
      <c r="C314">
        <v>159</v>
      </c>
      <c r="D314">
        <v>823</v>
      </c>
      <c r="G314" t="s">
        <v>4110</v>
      </c>
      <c r="H314">
        <v>43526090000161</v>
      </c>
      <c r="I314" t="s">
        <v>913</v>
      </c>
      <c r="J314" t="s">
        <v>914</v>
      </c>
      <c r="K314" t="s">
        <v>915</v>
      </c>
      <c r="M314" t="s">
        <v>916</v>
      </c>
      <c r="O314" t="s">
        <v>778</v>
      </c>
      <c r="P314" t="s">
        <v>909</v>
      </c>
      <c r="Q314" t="s">
        <v>790</v>
      </c>
      <c r="T314" t="s">
        <v>319</v>
      </c>
      <c r="U314" t="s">
        <v>3417</v>
      </c>
      <c r="W314">
        <v>3360</v>
      </c>
      <c r="X314">
        <v>3564</v>
      </c>
      <c r="Z314">
        <v>21</v>
      </c>
      <c r="AA314" s="31">
        <v>45909</v>
      </c>
      <c r="AB314" s="61">
        <v>0.62616898148148148</v>
      </c>
      <c r="AC314" t="s">
        <v>795</v>
      </c>
      <c r="AD314" s="31">
        <v>45930</v>
      </c>
      <c r="AE314" s="61">
        <v>0.38518518518518519</v>
      </c>
      <c r="AF314" t="s">
        <v>934</v>
      </c>
      <c r="AH314" t="s">
        <v>2209</v>
      </c>
      <c r="AI314" t="s">
        <v>2209</v>
      </c>
      <c r="AQ314">
        <v>1</v>
      </c>
    </row>
    <row r="315" spans="1:43" x14ac:dyDescent="0.25">
      <c r="A315" t="s">
        <v>31</v>
      </c>
      <c r="B315">
        <v>579</v>
      </c>
      <c r="C315">
        <v>208</v>
      </c>
      <c r="D315">
        <v>2552</v>
      </c>
      <c r="G315" t="s">
        <v>4111</v>
      </c>
      <c r="H315">
        <v>42830750000130</v>
      </c>
      <c r="I315" t="s">
        <v>3903</v>
      </c>
      <c r="J315" t="s">
        <v>4091</v>
      </c>
      <c r="K315" t="s">
        <v>3905</v>
      </c>
      <c r="M315" t="s">
        <v>3906</v>
      </c>
      <c r="O315" t="s">
        <v>3907</v>
      </c>
      <c r="P315" t="s">
        <v>1094</v>
      </c>
      <c r="Q315" t="s">
        <v>790</v>
      </c>
      <c r="T315" t="s">
        <v>319</v>
      </c>
      <c r="U315" t="s">
        <v>3606</v>
      </c>
      <c r="Z315">
        <v>0</v>
      </c>
      <c r="AA315" s="31">
        <v>45911</v>
      </c>
      <c r="AB315" s="61">
        <v>0.43406250000000002</v>
      </c>
      <c r="AC315" t="s">
        <v>795</v>
      </c>
      <c r="AD315" s="31">
        <v>45911</v>
      </c>
      <c r="AE315" s="61">
        <v>0.4347685185185185</v>
      </c>
      <c r="AF315" t="s">
        <v>796</v>
      </c>
      <c r="AI315" t="s">
        <v>2107</v>
      </c>
      <c r="AQ315">
        <v>1</v>
      </c>
    </row>
    <row r="316" spans="1:43" x14ac:dyDescent="0.25">
      <c r="A316" t="s">
        <v>31</v>
      </c>
      <c r="B316">
        <v>580</v>
      </c>
      <c r="C316">
        <v>174</v>
      </c>
      <c r="D316">
        <v>2553</v>
      </c>
      <c r="G316" t="s">
        <v>4112</v>
      </c>
      <c r="H316">
        <v>45238441000164</v>
      </c>
      <c r="I316" t="s">
        <v>3507</v>
      </c>
      <c r="J316" t="s">
        <v>3995</v>
      </c>
      <c r="K316" t="s">
        <v>3509</v>
      </c>
      <c r="L316">
        <v>11973359869</v>
      </c>
      <c r="M316" t="s">
        <v>3510</v>
      </c>
      <c r="O316" t="s">
        <v>3511</v>
      </c>
      <c r="P316" t="s">
        <v>1094</v>
      </c>
      <c r="Q316" t="s">
        <v>790</v>
      </c>
      <c r="T316" t="s">
        <v>319</v>
      </c>
      <c r="U316" t="s">
        <v>816</v>
      </c>
      <c r="W316">
        <v>8064</v>
      </c>
      <c r="X316">
        <v>0</v>
      </c>
      <c r="Z316">
        <v>40</v>
      </c>
      <c r="AA316" s="31">
        <v>45911</v>
      </c>
      <c r="AB316" s="61">
        <v>0.43517361111111108</v>
      </c>
      <c r="AC316" t="s">
        <v>818</v>
      </c>
      <c r="AD316" s="31">
        <v>45951</v>
      </c>
      <c r="AE316" s="61">
        <v>0.44538194444444451</v>
      </c>
      <c r="AH316" t="s">
        <v>4113</v>
      </c>
      <c r="AI316" t="s">
        <v>2107</v>
      </c>
      <c r="AQ316">
        <v>1</v>
      </c>
    </row>
    <row r="317" spans="1:43" x14ac:dyDescent="0.25">
      <c r="A317" t="s">
        <v>31</v>
      </c>
      <c r="B317">
        <v>581</v>
      </c>
      <c r="C317">
        <v>150</v>
      </c>
      <c r="D317">
        <v>2554</v>
      </c>
      <c r="G317" t="s">
        <v>4114</v>
      </c>
      <c r="H317">
        <v>32258848000101</v>
      </c>
      <c r="I317" t="s">
        <v>3435</v>
      </c>
      <c r="J317" t="s">
        <v>1540</v>
      </c>
      <c r="K317" t="s">
        <v>3493</v>
      </c>
      <c r="M317" t="s">
        <v>3437</v>
      </c>
      <c r="O317" t="s">
        <v>778</v>
      </c>
      <c r="T317" t="s">
        <v>319</v>
      </c>
      <c r="U317" t="s">
        <v>816</v>
      </c>
      <c r="W317">
        <v>7560</v>
      </c>
      <c r="X317">
        <v>0</v>
      </c>
      <c r="Z317">
        <v>1</v>
      </c>
      <c r="AA317" s="31">
        <v>45911</v>
      </c>
      <c r="AB317" s="61">
        <v>0.43752314814814808</v>
      </c>
      <c r="AC317" t="s">
        <v>818</v>
      </c>
      <c r="AD317" s="31">
        <v>45912</v>
      </c>
      <c r="AE317" s="61">
        <v>0.44337962962962962</v>
      </c>
      <c r="AH317" t="s">
        <v>2129</v>
      </c>
      <c r="AI317" t="s">
        <v>2107</v>
      </c>
      <c r="AQ317">
        <v>1</v>
      </c>
    </row>
    <row r="318" spans="1:43" x14ac:dyDescent="0.25">
      <c r="A318" t="s">
        <v>31</v>
      </c>
      <c r="B318">
        <v>584</v>
      </c>
      <c r="C318">
        <v>211</v>
      </c>
      <c r="D318">
        <v>2556</v>
      </c>
      <c r="G318" t="s">
        <v>4115</v>
      </c>
      <c r="H318">
        <v>5691820000190</v>
      </c>
      <c r="I318" t="s">
        <v>3912</v>
      </c>
      <c r="J318" t="s">
        <v>3431</v>
      </c>
      <c r="K318" t="s">
        <v>3913</v>
      </c>
      <c r="M318" t="s">
        <v>3914</v>
      </c>
      <c r="O318" t="s">
        <v>3915</v>
      </c>
      <c r="P318" t="s">
        <v>1026</v>
      </c>
      <c r="Q318" t="s">
        <v>1027</v>
      </c>
      <c r="T318" t="s">
        <v>319</v>
      </c>
      <c r="U318" t="s">
        <v>816</v>
      </c>
      <c r="W318">
        <v>630</v>
      </c>
      <c r="X318">
        <v>0</v>
      </c>
      <c r="Z318">
        <v>1</v>
      </c>
      <c r="AA318" s="31">
        <v>45911</v>
      </c>
      <c r="AB318" s="61">
        <v>0.7147337962962963</v>
      </c>
      <c r="AC318" t="s">
        <v>818</v>
      </c>
      <c r="AD318" s="31">
        <v>45912</v>
      </c>
      <c r="AE318" s="61">
        <v>0.42611111111111111</v>
      </c>
      <c r="AH318" t="s">
        <v>4116</v>
      </c>
      <c r="AQ318">
        <v>1</v>
      </c>
    </row>
    <row r="319" spans="1:43" x14ac:dyDescent="0.25">
      <c r="A319" t="s">
        <v>31</v>
      </c>
      <c r="B319">
        <v>586</v>
      </c>
      <c r="C319">
        <v>113</v>
      </c>
      <c r="D319">
        <v>2558</v>
      </c>
      <c r="G319" t="s">
        <v>4117</v>
      </c>
      <c r="H319">
        <v>5588978000130</v>
      </c>
      <c r="I319" t="s">
        <v>65</v>
      </c>
      <c r="J319" t="s">
        <v>4118</v>
      </c>
      <c r="K319" t="s">
        <v>3472</v>
      </c>
      <c r="M319" t="s">
        <v>3329</v>
      </c>
      <c r="O319" t="s">
        <v>778</v>
      </c>
      <c r="T319" t="s">
        <v>319</v>
      </c>
      <c r="U319" t="s">
        <v>3417</v>
      </c>
      <c r="W319">
        <v>1696</v>
      </c>
      <c r="X319">
        <v>0</v>
      </c>
      <c r="Z319">
        <v>14</v>
      </c>
      <c r="AA319" s="31">
        <v>45912</v>
      </c>
      <c r="AB319" s="61">
        <v>0.71891203703703699</v>
      </c>
      <c r="AC319" t="s">
        <v>795</v>
      </c>
      <c r="AD319" s="31">
        <v>45926</v>
      </c>
      <c r="AE319" s="61">
        <v>0.70046296296296295</v>
      </c>
      <c r="AF319" t="s">
        <v>796</v>
      </c>
      <c r="AH319" t="s">
        <v>4116</v>
      </c>
      <c r="AQ319">
        <v>1</v>
      </c>
    </row>
    <row r="320" spans="1:43" x14ac:dyDescent="0.25">
      <c r="A320" t="s">
        <v>31</v>
      </c>
      <c r="B320">
        <v>588</v>
      </c>
      <c r="C320">
        <v>133</v>
      </c>
      <c r="D320">
        <v>2560</v>
      </c>
      <c r="G320" t="s">
        <v>4119</v>
      </c>
      <c r="H320">
        <v>9517464000144</v>
      </c>
      <c r="I320" t="s">
        <v>625</v>
      </c>
      <c r="J320" t="s">
        <v>3899</v>
      </c>
      <c r="K320" t="s">
        <v>3584</v>
      </c>
      <c r="M320" t="s">
        <v>2207</v>
      </c>
      <c r="O320" t="s">
        <v>778</v>
      </c>
      <c r="T320" t="s">
        <v>319</v>
      </c>
      <c r="U320" t="s">
        <v>3417</v>
      </c>
      <c r="W320">
        <v>7200</v>
      </c>
      <c r="X320">
        <v>0</v>
      </c>
      <c r="Z320">
        <v>10</v>
      </c>
      <c r="AA320" s="31">
        <v>45915</v>
      </c>
      <c r="AB320" s="61">
        <v>0.66822916666666665</v>
      </c>
      <c r="AC320" t="s">
        <v>795</v>
      </c>
      <c r="AD320" s="31">
        <v>45925</v>
      </c>
      <c r="AE320" s="61">
        <v>0.72099537037037043</v>
      </c>
      <c r="AF320" t="s">
        <v>3463</v>
      </c>
      <c r="AH320" t="s">
        <v>2133</v>
      </c>
      <c r="AQ320">
        <v>1</v>
      </c>
    </row>
    <row r="321" spans="1:43" x14ac:dyDescent="0.25">
      <c r="A321" t="s">
        <v>31</v>
      </c>
      <c r="B321">
        <v>591</v>
      </c>
      <c r="C321">
        <v>76</v>
      </c>
      <c r="D321">
        <v>2562</v>
      </c>
      <c r="G321" t="s">
        <v>4120</v>
      </c>
      <c r="H321">
        <v>43372158000103</v>
      </c>
      <c r="I321" t="s">
        <v>225</v>
      </c>
      <c r="J321" t="s">
        <v>4121</v>
      </c>
      <c r="K321" t="s">
        <v>3623</v>
      </c>
      <c r="M321" t="s">
        <v>3233</v>
      </c>
      <c r="O321" t="s">
        <v>778</v>
      </c>
      <c r="P321" t="s">
        <v>3234</v>
      </c>
      <c r="Q321" t="s">
        <v>1699</v>
      </c>
      <c r="T321" t="s">
        <v>319</v>
      </c>
      <c r="U321" t="s">
        <v>816</v>
      </c>
      <c r="W321">
        <v>59632</v>
      </c>
      <c r="X321">
        <v>0</v>
      </c>
      <c r="Z321">
        <v>15</v>
      </c>
      <c r="AA321" s="31">
        <v>45916</v>
      </c>
      <c r="AB321" s="61">
        <v>0.65560185185185182</v>
      </c>
      <c r="AC321" t="s">
        <v>818</v>
      </c>
      <c r="AD321" s="31">
        <v>45931</v>
      </c>
      <c r="AE321" s="61">
        <v>0.40254629629629629</v>
      </c>
      <c r="AH321" t="s">
        <v>2142</v>
      </c>
      <c r="AQ321">
        <v>1</v>
      </c>
    </row>
    <row r="322" spans="1:43" x14ac:dyDescent="0.25">
      <c r="A322" t="s">
        <v>31</v>
      </c>
      <c r="B322">
        <v>592</v>
      </c>
      <c r="C322">
        <v>201</v>
      </c>
      <c r="D322">
        <v>2566</v>
      </c>
      <c r="G322" t="s">
        <v>4122</v>
      </c>
      <c r="H322">
        <v>5291214000188</v>
      </c>
      <c r="I322" t="s">
        <v>3770</v>
      </c>
      <c r="J322" t="s">
        <v>4123</v>
      </c>
      <c r="K322" t="s">
        <v>4124</v>
      </c>
      <c r="M322" t="s">
        <v>3772</v>
      </c>
      <c r="O322" t="s">
        <v>3773</v>
      </c>
      <c r="P322" t="s">
        <v>3774</v>
      </c>
      <c r="Q322" t="s">
        <v>1105</v>
      </c>
      <c r="T322" t="s">
        <v>319</v>
      </c>
      <c r="U322" t="s">
        <v>3417</v>
      </c>
      <c r="W322">
        <v>3600</v>
      </c>
      <c r="X322">
        <v>0</v>
      </c>
      <c r="Z322">
        <v>12</v>
      </c>
      <c r="AA322" s="31">
        <v>45918</v>
      </c>
      <c r="AB322" s="61">
        <v>0.42675925925925928</v>
      </c>
      <c r="AC322" t="s">
        <v>795</v>
      </c>
      <c r="AD322" s="31">
        <v>45930</v>
      </c>
      <c r="AE322" s="61">
        <v>0.38418981481481479</v>
      </c>
      <c r="AF322" t="s">
        <v>934</v>
      </c>
      <c r="AH322" t="s">
        <v>4125</v>
      </c>
      <c r="AI322" t="s">
        <v>4125</v>
      </c>
      <c r="AQ322">
        <v>1</v>
      </c>
    </row>
    <row r="323" spans="1:43" x14ac:dyDescent="0.25">
      <c r="A323" t="s">
        <v>31</v>
      </c>
      <c r="B323">
        <v>593</v>
      </c>
      <c r="C323">
        <v>141</v>
      </c>
      <c r="D323">
        <v>2567</v>
      </c>
      <c r="G323" t="s">
        <v>4126</v>
      </c>
      <c r="I323" t="s">
        <v>434</v>
      </c>
      <c r="J323" t="s">
        <v>914</v>
      </c>
      <c r="K323" t="s">
        <v>4127</v>
      </c>
      <c r="M323" t="s">
        <v>3396</v>
      </c>
      <c r="O323" t="s">
        <v>778</v>
      </c>
      <c r="T323" t="s">
        <v>319</v>
      </c>
      <c r="U323" t="s">
        <v>3417</v>
      </c>
      <c r="W323">
        <v>1600</v>
      </c>
      <c r="X323">
        <v>513518</v>
      </c>
      <c r="Z323">
        <v>8</v>
      </c>
      <c r="AA323" s="31">
        <v>45918</v>
      </c>
      <c r="AB323" s="61">
        <v>0.43583333333333341</v>
      </c>
      <c r="AC323" t="s">
        <v>795</v>
      </c>
      <c r="AD323" s="31">
        <v>45926</v>
      </c>
      <c r="AE323" s="61">
        <v>0.40023148148148152</v>
      </c>
      <c r="AF323" t="s">
        <v>934</v>
      </c>
      <c r="AH323" t="s">
        <v>4125</v>
      </c>
      <c r="AQ323">
        <v>1</v>
      </c>
    </row>
    <row r="324" spans="1:43" x14ac:dyDescent="0.25">
      <c r="A324" t="s">
        <v>31</v>
      </c>
      <c r="B324">
        <v>594</v>
      </c>
      <c r="C324">
        <v>196</v>
      </c>
      <c r="D324">
        <v>2568</v>
      </c>
      <c r="G324" t="s">
        <v>4128</v>
      </c>
      <c r="H324">
        <v>32494222000102</v>
      </c>
      <c r="I324" t="s">
        <v>3715</v>
      </c>
      <c r="J324" t="s">
        <v>3808</v>
      </c>
      <c r="K324" t="s">
        <v>3717</v>
      </c>
      <c r="M324" t="s">
        <v>3718</v>
      </c>
      <c r="O324" t="s">
        <v>3719</v>
      </c>
      <c r="P324" t="s">
        <v>3720</v>
      </c>
      <c r="Q324" t="s">
        <v>790</v>
      </c>
      <c r="T324" t="s">
        <v>319</v>
      </c>
      <c r="U324" t="s">
        <v>816</v>
      </c>
      <c r="W324">
        <v>2880</v>
      </c>
      <c r="X324">
        <v>32074</v>
      </c>
      <c r="Z324">
        <v>49</v>
      </c>
      <c r="AA324" s="31">
        <v>45918</v>
      </c>
      <c r="AB324" s="61">
        <v>0.46307870370370369</v>
      </c>
      <c r="AC324" t="s">
        <v>818</v>
      </c>
      <c r="AD324" s="31">
        <v>45953</v>
      </c>
      <c r="AE324" s="61">
        <v>0.40722222222222221</v>
      </c>
      <c r="AG324">
        <v>0</v>
      </c>
      <c r="AH324" t="s">
        <v>4125</v>
      </c>
      <c r="AI324" t="s">
        <v>4125</v>
      </c>
      <c r="AQ324">
        <v>1</v>
      </c>
    </row>
    <row r="325" spans="1:43" x14ac:dyDescent="0.25">
      <c r="A325" t="s">
        <v>31</v>
      </c>
      <c r="B325">
        <v>595</v>
      </c>
      <c r="C325">
        <v>153</v>
      </c>
      <c r="D325">
        <v>2569</v>
      </c>
      <c r="G325" t="s">
        <v>4129</v>
      </c>
      <c r="I325" t="s">
        <v>3451</v>
      </c>
      <c r="J325" t="s">
        <v>3982</v>
      </c>
      <c r="K325" t="s">
        <v>3983</v>
      </c>
      <c r="M325" t="s">
        <v>3454</v>
      </c>
      <c r="O325" t="s">
        <v>778</v>
      </c>
      <c r="T325" t="s">
        <v>319</v>
      </c>
      <c r="U325" t="s">
        <v>816</v>
      </c>
      <c r="W325">
        <v>21000</v>
      </c>
      <c r="X325">
        <v>57024</v>
      </c>
      <c r="Z325">
        <v>39</v>
      </c>
      <c r="AA325" s="31">
        <v>45918</v>
      </c>
      <c r="AB325" s="61">
        <v>0.62599537037037034</v>
      </c>
      <c r="AC325" t="s">
        <v>818</v>
      </c>
      <c r="AD325" s="31">
        <v>45957</v>
      </c>
      <c r="AE325" s="61">
        <v>0.69543981481481476</v>
      </c>
      <c r="AH325" t="s">
        <v>4125</v>
      </c>
      <c r="AI325" t="s">
        <v>4125</v>
      </c>
      <c r="AQ325">
        <v>1</v>
      </c>
    </row>
    <row r="326" spans="1:43" x14ac:dyDescent="0.25">
      <c r="A326" t="s">
        <v>31</v>
      </c>
      <c r="B326">
        <v>596</v>
      </c>
      <c r="C326">
        <v>190</v>
      </c>
      <c r="D326">
        <v>2570</v>
      </c>
      <c r="G326" t="s">
        <v>4130</v>
      </c>
      <c r="H326">
        <v>18203215000175</v>
      </c>
      <c r="I326" t="s">
        <v>3690</v>
      </c>
      <c r="J326" t="s">
        <v>4131</v>
      </c>
      <c r="K326" t="s">
        <v>3692</v>
      </c>
      <c r="M326" t="s">
        <v>3693</v>
      </c>
      <c r="O326" t="s">
        <v>3694</v>
      </c>
      <c r="P326" t="s">
        <v>3695</v>
      </c>
      <c r="Q326" t="s">
        <v>790</v>
      </c>
      <c r="T326" t="s">
        <v>319</v>
      </c>
      <c r="U326" t="s">
        <v>816</v>
      </c>
      <c r="W326">
        <v>4320</v>
      </c>
      <c r="X326">
        <v>0</v>
      </c>
      <c r="Z326">
        <v>0</v>
      </c>
      <c r="AA326" s="31">
        <v>45919</v>
      </c>
      <c r="AB326" s="61">
        <v>0.45946759259259262</v>
      </c>
      <c r="AC326" t="s">
        <v>818</v>
      </c>
      <c r="AD326" s="31">
        <v>45919</v>
      </c>
      <c r="AE326" s="61">
        <v>0.7117013888888889</v>
      </c>
      <c r="AH326" t="s">
        <v>4132</v>
      </c>
      <c r="AQ326">
        <v>1</v>
      </c>
    </row>
    <row r="327" spans="1:43" x14ac:dyDescent="0.25">
      <c r="A327" t="s">
        <v>31</v>
      </c>
      <c r="B327">
        <v>598</v>
      </c>
      <c r="C327">
        <v>183</v>
      </c>
      <c r="D327">
        <v>2577</v>
      </c>
      <c r="G327" t="s">
        <v>4133</v>
      </c>
      <c r="H327">
        <v>3204281000192</v>
      </c>
      <c r="I327" t="s">
        <v>3594</v>
      </c>
      <c r="J327" t="s">
        <v>3595</v>
      </c>
      <c r="K327" t="s">
        <v>3596</v>
      </c>
      <c r="M327" t="s">
        <v>2617</v>
      </c>
      <c r="O327" t="s">
        <v>3597</v>
      </c>
      <c r="P327" t="s">
        <v>2618</v>
      </c>
      <c r="Q327" t="s">
        <v>790</v>
      </c>
      <c r="T327" t="s">
        <v>319</v>
      </c>
      <c r="U327" t="s">
        <v>3417</v>
      </c>
      <c r="W327">
        <v>3360</v>
      </c>
      <c r="X327">
        <v>7128</v>
      </c>
      <c r="Z327">
        <v>7</v>
      </c>
      <c r="AA327" s="31">
        <v>45923</v>
      </c>
      <c r="AB327" s="61">
        <v>0.45662037037037029</v>
      </c>
      <c r="AC327" t="s">
        <v>795</v>
      </c>
      <c r="AD327" s="31">
        <v>45930</v>
      </c>
      <c r="AE327" s="61">
        <v>0.38368055555555558</v>
      </c>
      <c r="AF327" t="s">
        <v>1358</v>
      </c>
      <c r="AH327" t="s">
        <v>2154</v>
      </c>
      <c r="AI327" t="s">
        <v>2154</v>
      </c>
      <c r="AQ327">
        <v>1</v>
      </c>
    </row>
    <row r="328" spans="1:43" x14ac:dyDescent="0.25">
      <c r="A328" t="s">
        <v>31</v>
      </c>
      <c r="B328">
        <v>599</v>
      </c>
      <c r="C328">
        <v>150</v>
      </c>
      <c r="D328">
        <v>2578</v>
      </c>
      <c r="G328" t="s">
        <v>4134</v>
      </c>
      <c r="H328">
        <v>32258848000101</v>
      </c>
      <c r="I328" t="s">
        <v>3435</v>
      </c>
      <c r="J328" t="s">
        <v>1540</v>
      </c>
      <c r="K328" t="s">
        <v>3493</v>
      </c>
      <c r="M328" t="s">
        <v>3437</v>
      </c>
      <c r="O328" t="s">
        <v>778</v>
      </c>
      <c r="T328" t="s">
        <v>319</v>
      </c>
      <c r="U328" t="s">
        <v>816</v>
      </c>
      <c r="W328">
        <v>1440</v>
      </c>
      <c r="X328">
        <v>0</v>
      </c>
      <c r="Z328">
        <v>0</v>
      </c>
      <c r="AA328" s="31">
        <v>45923</v>
      </c>
      <c r="AB328" s="61">
        <v>0.50372685185185184</v>
      </c>
      <c r="AC328" t="s">
        <v>818</v>
      </c>
      <c r="AD328" s="31">
        <v>45923</v>
      </c>
      <c r="AE328" s="61">
        <v>0.50454861111111116</v>
      </c>
      <c r="AH328" t="s">
        <v>2154</v>
      </c>
      <c r="AQ328">
        <v>1</v>
      </c>
    </row>
    <row r="329" spans="1:43" x14ac:dyDescent="0.25">
      <c r="A329" t="s">
        <v>31</v>
      </c>
      <c r="B329">
        <v>605</v>
      </c>
      <c r="C329">
        <v>197</v>
      </c>
      <c r="D329">
        <v>2588</v>
      </c>
      <c r="G329" t="s">
        <v>4135</v>
      </c>
      <c r="H329">
        <v>8616236000169</v>
      </c>
      <c r="I329" t="s">
        <v>3726</v>
      </c>
      <c r="J329" t="s">
        <v>704</v>
      </c>
      <c r="K329" t="s">
        <v>3727</v>
      </c>
      <c r="M329" t="s">
        <v>3728</v>
      </c>
      <c r="O329" t="s">
        <v>3729</v>
      </c>
      <c r="P329" t="s">
        <v>3687</v>
      </c>
      <c r="Q329" t="s">
        <v>790</v>
      </c>
      <c r="T329" t="s">
        <v>319</v>
      </c>
      <c r="U329" t="s">
        <v>816</v>
      </c>
      <c r="W329">
        <v>0</v>
      </c>
      <c r="X329">
        <v>3564</v>
      </c>
      <c r="Z329">
        <v>5</v>
      </c>
      <c r="AA329" s="31">
        <v>45925</v>
      </c>
      <c r="AB329" s="61">
        <v>0.64129629629629625</v>
      </c>
      <c r="AC329" t="s">
        <v>818</v>
      </c>
      <c r="AD329" s="31">
        <v>45930</v>
      </c>
      <c r="AE329" s="61">
        <v>0.69265046296296295</v>
      </c>
      <c r="AH329" t="s">
        <v>4136</v>
      </c>
      <c r="AI329" t="s">
        <v>4136</v>
      </c>
      <c r="AQ329">
        <v>1</v>
      </c>
    </row>
    <row r="330" spans="1:43" x14ac:dyDescent="0.25">
      <c r="A330" t="s">
        <v>31</v>
      </c>
      <c r="B330">
        <v>606</v>
      </c>
      <c r="C330">
        <v>196</v>
      </c>
      <c r="D330">
        <v>2589</v>
      </c>
      <c r="G330" t="s">
        <v>4137</v>
      </c>
      <c r="H330">
        <v>32494222000102</v>
      </c>
      <c r="I330" t="s">
        <v>3715</v>
      </c>
      <c r="J330" t="s">
        <v>3716</v>
      </c>
      <c r="K330" t="s">
        <v>3717</v>
      </c>
      <c r="M330" t="s">
        <v>3718</v>
      </c>
      <c r="O330" t="s">
        <v>3719</v>
      </c>
      <c r="P330" t="s">
        <v>3720</v>
      </c>
      <c r="Q330" t="s">
        <v>790</v>
      </c>
      <c r="T330" t="s">
        <v>319</v>
      </c>
      <c r="U330" t="s">
        <v>3417</v>
      </c>
      <c r="W330">
        <v>7200</v>
      </c>
      <c r="X330">
        <v>0</v>
      </c>
      <c r="Z330">
        <v>28</v>
      </c>
      <c r="AA330" s="31">
        <v>45925</v>
      </c>
      <c r="AB330" s="61">
        <v>0.66199074074074071</v>
      </c>
      <c r="AC330" t="s">
        <v>795</v>
      </c>
      <c r="AD330" s="31">
        <v>45953</v>
      </c>
      <c r="AE330" s="61">
        <v>0.40660879629629632</v>
      </c>
      <c r="AF330" t="s">
        <v>3463</v>
      </c>
      <c r="AH330" t="s">
        <v>4136</v>
      </c>
      <c r="AI330" t="s">
        <v>4136</v>
      </c>
      <c r="AQ330">
        <v>1</v>
      </c>
    </row>
    <row r="331" spans="1:43" x14ac:dyDescent="0.25">
      <c r="A331" t="s">
        <v>31</v>
      </c>
      <c r="B331">
        <v>612</v>
      </c>
      <c r="C331">
        <v>179</v>
      </c>
      <c r="D331">
        <v>2599</v>
      </c>
      <c r="G331" t="s">
        <v>4138</v>
      </c>
      <c r="H331">
        <v>21736169000184</v>
      </c>
      <c r="I331" t="s">
        <v>3546</v>
      </c>
      <c r="J331" t="s">
        <v>1243</v>
      </c>
      <c r="K331" t="s">
        <v>3547</v>
      </c>
      <c r="M331" t="s">
        <v>3548</v>
      </c>
      <c r="O331" t="s">
        <v>3549</v>
      </c>
      <c r="P331" t="s">
        <v>3550</v>
      </c>
      <c r="Q331" t="s">
        <v>874</v>
      </c>
      <c r="T331" t="s">
        <v>319</v>
      </c>
      <c r="U331" t="s">
        <v>816</v>
      </c>
      <c r="W331">
        <v>5040</v>
      </c>
      <c r="X331">
        <v>0</v>
      </c>
      <c r="Z331">
        <v>2</v>
      </c>
      <c r="AA331" s="31">
        <v>45929</v>
      </c>
      <c r="AB331" s="61">
        <v>0.44142361111111111</v>
      </c>
      <c r="AC331" t="s">
        <v>818</v>
      </c>
      <c r="AD331" s="31">
        <v>45931</v>
      </c>
      <c r="AE331" s="61">
        <v>0.42006944444444438</v>
      </c>
      <c r="AH331" t="s">
        <v>4139</v>
      </c>
      <c r="AQ331">
        <v>1</v>
      </c>
    </row>
    <row r="332" spans="1:43" x14ac:dyDescent="0.25">
      <c r="A332" t="s">
        <v>31</v>
      </c>
      <c r="B332">
        <v>617</v>
      </c>
      <c r="C332">
        <v>132</v>
      </c>
      <c r="D332">
        <v>2608</v>
      </c>
      <c r="G332" t="s">
        <v>3587</v>
      </c>
      <c r="I332" t="s">
        <v>3373</v>
      </c>
      <c r="J332" t="s">
        <v>3588</v>
      </c>
      <c r="K332" t="s">
        <v>3553</v>
      </c>
      <c r="M332" t="s">
        <v>3375</v>
      </c>
      <c r="O332" t="s">
        <v>778</v>
      </c>
      <c r="T332" t="s">
        <v>319</v>
      </c>
      <c r="U332" t="s">
        <v>3417</v>
      </c>
      <c r="W332">
        <v>14677</v>
      </c>
      <c r="X332">
        <v>0</v>
      </c>
      <c r="Z332">
        <v>23</v>
      </c>
      <c r="AA332" s="31">
        <v>45930</v>
      </c>
      <c r="AB332" s="61">
        <v>0.39962962962962961</v>
      </c>
      <c r="AC332" t="s">
        <v>795</v>
      </c>
      <c r="AD332" s="31">
        <v>45953</v>
      </c>
      <c r="AE332" s="61">
        <v>0.4246064814814815</v>
      </c>
      <c r="AF332" t="s">
        <v>934</v>
      </c>
      <c r="AH332" t="s">
        <v>4140</v>
      </c>
      <c r="AQ332">
        <v>1</v>
      </c>
    </row>
    <row r="333" spans="1:43" x14ac:dyDescent="0.25">
      <c r="A333" t="s">
        <v>31</v>
      </c>
      <c r="B333">
        <v>625</v>
      </c>
      <c r="C333">
        <v>119</v>
      </c>
      <c r="D333">
        <v>2620</v>
      </c>
      <c r="G333" t="s">
        <v>4141</v>
      </c>
      <c r="H333">
        <v>60963378000112</v>
      </c>
      <c r="I333" t="s">
        <v>608</v>
      </c>
      <c r="J333" t="s">
        <v>844</v>
      </c>
      <c r="K333" t="s">
        <v>3948</v>
      </c>
      <c r="M333" t="s">
        <v>3345</v>
      </c>
      <c r="O333" t="s">
        <v>778</v>
      </c>
      <c r="T333" t="s">
        <v>319</v>
      </c>
      <c r="U333" t="s">
        <v>3417</v>
      </c>
      <c r="W333">
        <v>0</v>
      </c>
      <c r="X333">
        <v>220373</v>
      </c>
      <c r="Z333">
        <v>44</v>
      </c>
      <c r="AA333" s="31">
        <v>45931</v>
      </c>
      <c r="AB333" s="61">
        <v>0.60418981481481482</v>
      </c>
      <c r="AC333" t="s">
        <v>795</v>
      </c>
      <c r="AD333" s="31">
        <v>45975</v>
      </c>
      <c r="AE333" s="61">
        <v>0.5134143518518518</v>
      </c>
      <c r="AF333" t="s">
        <v>3463</v>
      </c>
      <c r="AH333" t="s">
        <v>4142</v>
      </c>
      <c r="AQ333">
        <v>1</v>
      </c>
    </row>
    <row r="334" spans="1:43" x14ac:dyDescent="0.25">
      <c r="A334" t="s">
        <v>31</v>
      </c>
      <c r="B334">
        <v>626</v>
      </c>
      <c r="C334">
        <v>150</v>
      </c>
      <c r="D334">
        <v>2621</v>
      </c>
      <c r="G334" t="s">
        <v>4143</v>
      </c>
      <c r="H334">
        <v>32258848000101</v>
      </c>
      <c r="I334" t="s">
        <v>3435</v>
      </c>
      <c r="J334" t="s">
        <v>1540</v>
      </c>
      <c r="K334" t="s">
        <v>3493</v>
      </c>
      <c r="M334" t="s">
        <v>3437</v>
      </c>
      <c r="O334" t="s">
        <v>778</v>
      </c>
      <c r="T334" t="s">
        <v>319</v>
      </c>
      <c r="U334" t="s">
        <v>816</v>
      </c>
      <c r="W334">
        <v>0</v>
      </c>
      <c r="X334">
        <v>28512</v>
      </c>
      <c r="Z334">
        <v>20</v>
      </c>
      <c r="AA334" s="31">
        <v>45931</v>
      </c>
      <c r="AB334" s="61">
        <v>0.67376157407407411</v>
      </c>
      <c r="AC334" t="s">
        <v>818</v>
      </c>
      <c r="AD334" s="31">
        <v>45951</v>
      </c>
      <c r="AE334" s="61">
        <v>0.41662037037037042</v>
      </c>
      <c r="AH334" t="s">
        <v>4142</v>
      </c>
      <c r="AI334" t="s">
        <v>4142</v>
      </c>
      <c r="AQ334">
        <v>1</v>
      </c>
    </row>
    <row r="335" spans="1:43" x14ac:dyDescent="0.25">
      <c r="A335" t="s">
        <v>31</v>
      </c>
      <c r="B335">
        <v>627</v>
      </c>
      <c r="C335">
        <v>189</v>
      </c>
      <c r="D335">
        <v>2623</v>
      </c>
      <c r="G335" t="s">
        <v>4144</v>
      </c>
      <c r="H335">
        <v>10698565000148</v>
      </c>
      <c r="I335" t="s">
        <v>4145</v>
      </c>
      <c r="J335" t="s">
        <v>4146</v>
      </c>
      <c r="K335" t="s">
        <v>4147</v>
      </c>
      <c r="O335" t="s">
        <v>4148</v>
      </c>
      <c r="P335" t="s">
        <v>4149</v>
      </c>
      <c r="Q335" t="s">
        <v>4150</v>
      </c>
      <c r="T335" t="s">
        <v>319</v>
      </c>
      <c r="U335" t="s">
        <v>816</v>
      </c>
      <c r="W335">
        <v>700</v>
      </c>
      <c r="X335">
        <v>0</v>
      </c>
      <c r="Z335">
        <v>5</v>
      </c>
      <c r="AA335" s="31">
        <v>45932</v>
      </c>
      <c r="AB335" s="61">
        <v>0.64900462962962968</v>
      </c>
      <c r="AC335" t="s">
        <v>818</v>
      </c>
      <c r="AD335" s="31">
        <v>45937</v>
      </c>
      <c r="AE335" s="61">
        <v>0.65004629629629629</v>
      </c>
      <c r="AH335" t="s">
        <v>4151</v>
      </c>
      <c r="AQ335">
        <v>1</v>
      </c>
    </row>
    <row r="336" spans="1:43" x14ac:dyDescent="0.25">
      <c r="A336" t="s">
        <v>31</v>
      </c>
      <c r="B336">
        <v>629</v>
      </c>
      <c r="C336">
        <v>184</v>
      </c>
      <c r="D336">
        <v>2624</v>
      </c>
      <c r="G336" t="s">
        <v>453</v>
      </c>
      <c r="H336">
        <v>11861121000144</v>
      </c>
      <c r="I336" t="s">
        <v>3877</v>
      </c>
      <c r="J336" t="s">
        <v>4152</v>
      </c>
      <c r="K336" t="s">
        <v>3879</v>
      </c>
      <c r="M336" t="s">
        <v>3880</v>
      </c>
      <c r="O336" t="s">
        <v>3881</v>
      </c>
      <c r="P336" t="s">
        <v>1094</v>
      </c>
      <c r="Q336" t="s">
        <v>790</v>
      </c>
      <c r="T336" t="s">
        <v>319</v>
      </c>
      <c r="U336" t="s">
        <v>3417</v>
      </c>
      <c r="W336">
        <v>16200</v>
      </c>
      <c r="X336">
        <v>2160</v>
      </c>
      <c r="Z336">
        <v>17</v>
      </c>
      <c r="AA336" s="31">
        <v>45933</v>
      </c>
      <c r="AB336" s="61">
        <v>0.61473379629629632</v>
      </c>
      <c r="AC336" t="s">
        <v>795</v>
      </c>
      <c r="AD336" s="31">
        <v>45950</v>
      </c>
      <c r="AE336" s="61">
        <v>0.46638888888888891</v>
      </c>
      <c r="AF336" t="s">
        <v>3463</v>
      </c>
      <c r="AH336" t="s">
        <v>4153</v>
      </c>
      <c r="AI336" t="s">
        <v>4153</v>
      </c>
      <c r="AQ336">
        <v>1</v>
      </c>
    </row>
    <row r="337" spans="1:43" x14ac:dyDescent="0.25">
      <c r="A337" t="s">
        <v>31</v>
      </c>
      <c r="B337">
        <v>630</v>
      </c>
      <c r="C337">
        <v>159</v>
      </c>
      <c r="D337">
        <v>2625</v>
      </c>
      <c r="G337" t="s">
        <v>4154</v>
      </c>
      <c r="H337">
        <v>43526090000161</v>
      </c>
      <c r="I337" t="s">
        <v>913</v>
      </c>
      <c r="J337" t="s">
        <v>4067</v>
      </c>
      <c r="K337" t="s">
        <v>4155</v>
      </c>
      <c r="M337" t="s">
        <v>916</v>
      </c>
      <c r="O337" t="s">
        <v>778</v>
      </c>
      <c r="P337" t="s">
        <v>909</v>
      </c>
      <c r="Q337" t="s">
        <v>790</v>
      </c>
      <c r="T337" t="s">
        <v>319</v>
      </c>
      <c r="U337" t="s">
        <v>3417</v>
      </c>
      <c r="W337">
        <v>420</v>
      </c>
      <c r="X337">
        <v>3564</v>
      </c>
      <c r="Z337">
        <v>26</v>
      </c>
      <c r="AA337" s="31">
        <v>45933</v>
      </c>
      <c r="AB337" s="61">
        <v>0.67500000000000004</v>
      </c>
      <c r="AC337" t="s">
        <v>795</v>
      </c>
      <c r="AD337" s="31">
        <v>45959</v>
      </c>
      <c r="AE337" s="61">
        <v>0.44155092592592587</v>
      </c>
      <c r="AF337" t="s">
        <v>3463</v>
      </c>
      <c r="AH337" t="s">
        <v>4153</v>
      </c>
      <c r="AI337" t="s">
        <v>4153</v>
      </c>
      <c r="AQ337">
        <v>1</v>
      </c>
    </row>
    <row r="338" spans="1:43" x14ac:dyDescent="0.25">
      <c r="A338" t="s">
        <v>31</v>
      </c>
      <c r="B338">
        <v>631</v>
      </c>
      <c r="C338">
        <v>204</v>
      </c>
      <c r="D338">
        <v>2626</v>
      </c>
      <c r="G338" t="s">
        <v>4156</v>
      </c>
      <c r="H338">
        <v>33071847000116</v>
      </c>
      <c r="I338" t="s">
        <v>3811</v>
      </c>
      <c r="J338" t="s">
        <v>4157</v>
      </c>
      <c r="K338" t="s">
        <v>3813</v>
      </c>
      <c r="M338" t="s">
        <v>3814</v>
      </c>
      <c r="O338" t="s">
        <v>3815</v>
      </c>
      <c r="P338" t="s">
        <v>2589</v>
      </c>
      <c r="Q338" t="s">
        <v>790</v>
      </c>
      <c r="S338" t="s">
        <v>1419</v>
      </c>
      <c r="T338" t="s">
        <v>319</v>
      </c>
      <c r="U338" t="s">
        <v>3417</v>
      </c>
      <c r="W338">
        <v>29400</v>
      </c>
      <c r="X338">
        <v>57024</v>
      </c>
      <c r="Z338">
        <v>101</v>
      </c>
      <c r="AA338" s="31">
        <v>45933</v>
      </c>
      <c r="AB338" s="61">
        <v>0.71627314814814813</v>
      </c>
      <c r="AC338" t="s">
        <v>795</v>
      </c>
      <c r="AD338" s="31">
        <v>46034</v>
      </c>
      <c r="AE338" s="61">
        <v>0.49495370370370367</v>
      </c>
      <c r="AF338" t="s">
        <v>934</v>
      </c>
      <c r="AH338" t="s">
        <v>4158</v>
      </c>
      <c r="AI338" t="s">
        <v>2251</v>
      </c>
      <c r="AK338" t="s">
        <v>4159</v>
      </c>
      <c r="AQ338">
        <v>1</v>
      </c>
    </row>
    <row r="339" spans="1:43" x14ac:dyDescent="0.25">
      <c r="A339" t="s">
        <v>31</v>
      </c>
      <c r="B339">
        <v>632</v>
      </c>
      <c r="D339">
        <v>2627</v>
      </c>
      <c r="G339" t="s">
        <v>4160</v>
      </c>
      <c r="H339">
        <v>8636039000101</v>
      </c>
      <c r="J339" t="s">
        <v>4161</v>
      </c>
      <c r="K339" t="s">
        <v>4162</v>
      </c>
      <c r="M339" t="s">
        <v>4163</v>
      </c>
      <c r="O339" t="s">
        <v>778</v>
      </c>
      <c r="T339" t="s">
        <v>319</v>
      </c>
      <c r="U339" t="s">
        <v>781</v>
      </c>
      <c r="Z339">
        <v>35</v>
      </c>
      <c r="AA339" s="31">
        <v>45936</v>
      </c>
      <c r="AB339" s="61">
        <v>0.49776620370370372</v>
      </c>
      <c r="AC339" t="s">
        <v>795</v>
      </c>
      <c r="AD339" s="31">
        <v>45971</v>
      </c>
      <c r="AE339" s="61">
        <v>0.67709490740740741</v>
      </c>
      <c r="AF339" t="s">
        <v>796</v>
      </c>
      <c r="AQ339">
        <v>1</v>
      </c>
    </row>
    <row r="340" spans="1:43" x14ac:dyDescent="0.25">
      <c r="A340" t="s">
        <v>31</v>
      </c>
      <c r="B340">
        <v>633</v>
      </c>
      <c r="C340">
        <v>96</v>
      </c>
      <c r="D340">
        <v>2628</v>
      </c>
      <c r="G340" t="s">
        <v>4164</v>
      </c>
      <c r="H340">
        <v>44075830000153</v>
      </c>
      <c r="I340" t="s">
        <v>3291</v>
      </c>
      <c r="J340" t="s">
        <v>704</v>
      </c>
      <c r="K340" t="s">
        <v>3672</v>
      </c>
      <c r="M340" t="s">
        <v>3293</v>
      </c>
      <c r="O340" t="s">
        <v>778</v>
      </c>
      <c r="T340" t="s">
        <v>319</v>
      </c>
      <c r="U340" t="s">
        <v>816</v>
      </c>
      <c r="W340">
        <v>1440</v>
      </c>
      <c r="X340">
        <v>0</v>
      </c>
      <c r="Z340">
        <v>0</v>
      </c>
      <c r="AA340" s="31">
        <v>45936</v>
      </c>
      <c r="AB340" s="61">
        <v>0.64180555555555552</v>
      </c>
      <c r="AC340" t="s">
        <v>818</v>
      </c>
      <c r="AD340" s="31">
        <v>45936</v>
      </c>
      <c r="AE340" s="61">
        <v>0.64354166666666668</v>
      </c>
      <c r="AH340" t="s">
        <v>4165</v>
      </c>
      <c r="AQ340">
        <v>1</v>
      </c>
    </row>
    <row r="341" spans="1:43" x14ac:dyDescent="0.25">
      <c r="A341" t="s">
        <v>31</v>
      </c>
      <c r="B341">
        <v>635</v>
      </c>
      <c r="D341">
        <v>2634</v>
      </c>
      <c r="E341" t="s">
        <v>4166</v>
      </c>
      <c r="AA341" s="31"/>
      <c r="AB341" s="61"/>
      <c r="AD341" s="31"/>
      <c r="AE341" s="61"/>
      <c r="AQ341">
        <v>1</v>
      </c>
    </row>
    <row r="342" spans="1:43" x14ac:dyDescent="0.25">
      <c r="A342" t="s">
        <v>4167</v>
      </c>
      <c r="E342" t="s">
        <v>4168</v>
      </c>
      <c r="G342" t="s">
        <v>4169</v>
      </c>
      <c r="P342" t="s">
        <v>1718</v>
      </c>
      <c r="Q342" t="s">
        <v>319</v>
      </c>
      <c r="R342" t="s">
        <v>3417</v>
      </c>
      <c r="T342" t="s">
        <v>4170</v>
      </c>
      <c r="U342" t="s">
        <v>4171</v>
      </c>
      <c r="W342">
        <v>101</v>
      </c>
      <c r="Y342" t="s">
        <v>4172</v>
      </c>
      <c r="AA342" s="31">
        <v>46041</v>
      </c>
      <c r="AB342" s="61">
        <v>0.45721064814814821</v>
      </c>
      <c r="AC342" t="s">
        <v>1358</v>
      </c>
      <c r="AD342" s="31"/>
      <c r="AE342" s="61"/>
      <c r="AF342" t="s">
        <v>2273</v>
      </c>
      <c r="AH342" t="s">
        <v>2590</v>
      </c>
      <c r="AQ342">
        <v>1</v>
      </c>
    </row>
    <row r="343" spans="1:43" x14ac:dyDescent="0.25">
      <c r="A343" t="s">
        <v>31</v>
      </c>
      <c r="B343">
        <v>636</v>
      </c>
      <c r="C343">
        <v>187</v>
      </c>
      <c r="D343">
        <v>2638</v>
      </c>
      <c r="G343" t="s">
        <v>4173</v>
      </c>
      <c r="H343">
        <v>17063632000105</v>
      </c>
      <c r="I343" t="s">
        <v>3631</v>
      </c>
      <c r="J343" t="s">
        <v>4174</v>
      </c>
      <c r="K343" t="s">
        <v>3633</v>
      </c>
      <c r="M343" t="s">
        <v>3634</v>
      </c>
      <c r="O343" t="s">
        <v>3635</v>
      </c>
      <c r="P343" t="s">
        <v>3636</v>
      </c>
      <c r="Q343" t="s">
        <v>1699</v>
      </c>
      <c r="T343" t="s">
        <v>319</v>
      </c>
      <c r="U343" t="s">
        <v>3417</v>
      </c>
      <c r="W343">
        <v>3360</v>
      </c>
      <c r="X343">
        <v>3564</v>
      </c>
      <c r="Z343">
        <v>53</v>
      </c>
      <c r="AA343" s="31">
        <v>45940</v>
      </c>
      <c r="AB343" s="61">
        <v>0.4409837962962963</v>
      </c>
      <c r="AC343" t="s">
        <v>795</v>
      </c>
      <c r="AD343" s="31">
        <v>45993</v>
      </c>
      <c r="AE343" s="61">
        <v>0.39199074074074081</v>
      </c>
      <c r="AF343" t="s">
        <v>934</v>
      </c>
      <c r="AH343" t="s">
        <v>4175</v>
      </c>
      <c r="AI343" t="s">
        <v>4175</v>
      </c>
      <c r="AQ343">
        <v>1</v>
      </c>
    </row>
    <row r="344" spans="1:43" x14ac:dyDescent="0.25">
      <c r="A344" t="s">
        <v>31</v>
      </c>
      <c r="B344">
        <v>637</v>
      </c>
      <c r="C344">
        <v>89</v>
      </c>
      <c r="D344">
        <v>2639</v>
      </c>
      <c r="G344" t="s">
        <v>4176</v>
      </c>
      <c r="I344" t="s">
        <v>3275</v>
      </c>
      <c r="J344" t="s">
        <v>4177</v>
      </c>
      <c r="K344" t="s">
        <v>4178</v>
      </c>
      <c r="M344" t="s">
        <v>3277</v>
      </c>
      <c r="O344" t="s">
        <v>778</v>
      </c>
      <c r="T344" t="s">
        <v>319</v>
      </c>
      <c r="U344" t="s">
        <v>3417</v>
      </c>
      <c r="Z344">
        <v>19</v>
      </c>
      <c r="AA344" s="31">
        <v>45940</v>
      </c>
      <c r="AB344" s="61">
        <v>0.44233796296296302</v>
      </c>
      <c r="AC344" t="s">
        <v>795</v>
      </c>
      <c r="AD344" s="31">
        <v>45959</v>
      </c>
      <c r="AE344" s="61">
        <v>0.44339120370370372</v>
      </c>
      <c r="AF344" t="s">
        <v>3463</v>
      </c>
      <c r="AH344" t="s">
        <v>4175</v>
      </c>
      <c r="AQ344">
        <v>1</v>
      </c>
    </row>
    <row r="345" spans="1:43" x14ac:dyDescent="0.25">
      <c r="A345" t="s">
        <v>31</v>
      </c>
      <c r="B345">
        <v>646</v>
      </c>
      <c r="C345">
        <v>0</v>
      </c>
      <c r="D345">
        <v>2658</v>
      </c>
      <c r="G345" t="s">
        <v>4179</v>
      </c>
      <c r="H345">
        <v>55585815000171</v>
      </c>
      <c r="J345" t="s">
        <v>4180</v>
      </c>
      <c r="K345" t="s">
        <v>4181</v>
      </c>
      <c r="M345" t="s">
        <v>4182</v>
      </c>
      <c r="O345" t="s">
        <v>778</v>
      </c>
      <c r="T345" t="s">
        <v>319</v>
      </c>
      <c r="U345" t="s">
        <v>816</v>
      </c>
      <c r="W345">
        <v>378</v>
      </c>
      <c r="X345">
        <v>3564</v>
      </c>
      <c r="Z345">
        <v>25</v>
      </c>
      <c r="AA345" s="31">
        <v>45947</v>
      </c>
      <c r="AB345" s="61">
        <v>0.45363425925925932</v>
      </c>
      <c r="AC345" t="s">
        <v>818</v>
      </c>
      <c r="AD345" s="31">
        <v>45972</v>
      </c>
      <c r="AE345" s="61">
        <v>0.50258101851851855</v>
      </c>
      <c r="AH345" t="s">
        <v>2008</v>
      </c>
      <c r="AI345" t="s">
        <v>4183</v>
      </c>
      <c r="AQ345">
        <v>1</v>
      </c>
    </row>
    <row r="346" spans="1:43" x14ac:dyDescent="0.25">
      <c r="A346" t="s">
        <v>31</v>
      </c>
      <c r="B346">
        <v>647</v>
      </c>
      <c r="C346">
        <v>206</v>
      </c>
      <c r="D346">
        <v>2662</v>
      </c>
      <c r="G346" t="s">
        <v>4184</v>
      </c>
      <c r="H346">
        <v>37075503000136</v>
      </c>
      <c r="I346" t="s">
        <v>3826</v>
      </c>
      <c r="J346" t="s">
        <v>1474</v>
      </c>
      <c r="K346" t="s">
        <v>1475</v>
      </c>
      <c r="M346" t="s">
        <v>1476</v>
      </c>
      <c r="O346" t="s">
        <v>3827</v>
      </c>
      <c r="P346" t="s">
        <v>1477</v>
      </c>
      <c r="Q346" t="s">
        <v>932</v>
      </c>
      <c r="T346" t="s">
        <v>319</v>
      </c>
      <c r="U346" t="s">
        <v>3417</v>
      </c>
      <c r="W346">
        <v>0</v>
      </c>
      <c r="X346">
        <v>210</v>
      </c>
      <c r="Z346">
        <v>21</v>
      </c>
      <c r="AA346" s="31">
        <v>45950</v>
      </c>
      <c r="AB346" s="61">
        <v>0.42215277777777782</v>
      </c>
      <c r="AC346" t="s">
        <v>795</v>
      </c>
      <c r="AD346" s="31">
        <v>45971</v>
      </c>
      <c r="AE346" s="61">
        <v>0.67648148148148146</v>
      </c>
      <c r="AF346" t="s">
        <v>934</v>
      </c>
      <c r="AH346" t="s">
        <v>4185</v>
      </c>
      <c r="AI346" t="s">
        <v>4185</v>
      </c>
      <c r="AQ346">
        <v>1</v>
      </c>
    </row>
    <row r="347" spans="1:43" x14ac:dyDescent="0.25">
      <c r="A347" t="s">
        <v>31</v>
      </c>
      <c r="B347">
        <v>648</v>
      </c>
      <c r="C347">
        <v>206</v>
      </c>
      <c r="D347">
        <v>2663</v>
      </c>
      <c r="G347" t="s">
        <v>4186</v>
      </c>
      <c r="H347">
        <v>37075503000136</v>
      </c>
      <c r="I347" t="s">
        <v>3826</v>
      </c>
      <c r="J347" t="s">
        <v>1474</v>
      </c>
      <c r="K347" t="s">
        <v>1475</v>
      </c>
      <c r="M347" t="s">
        <v>1476</v>
      </c>
      <c r="O347" t="s">
        <v>3827</v>
      </c>
      <c r="P347" t="s">
        <v>1477</v>
      </c>
      <c r="Q347" t="s">
        <v>932</v>
      </c>
      <c r="T347" t="s">
        <v>319</v>
      </c>
      <c r="U347" t="s">
        <v>3417</v>
      </c>
      <c r="W347">
        <v>26200</v>
      </c>
      <c r="X347">
        <v>3400</v>
      </c>
      <c r="Z347">
        <v>21</v>
      </c>
      <c r="AA347" s="31">
        <v>45950</v>
      </c>
      <c r="AB347" s="61">
        <v>0.42942129629629627</v>
      </c>
      <c r="AC347" t="s">
        <v>795</v>
      </c>
      <c r="AD347" s="31">
        <v>45971</v>
      </c>
      <c r="AE347" s="61">
        <v>0.67660879629629633</v>
      </c>
      <c r="AF347" t="s">
        <v>934</v>
      </c>
      <c r="AH347" t="s">
        <v>4185</v>
      </c>
      <c r="AI347" t="s">
        <v>4185</v>
      </c>
      <c r="AQ347">
        <v>1</v>
      </c>
    </row>
    <row r="348" spans="1:43" x14ac:dyDescent="0.25">
      <c r="A348" t="s">
        <v>31</v>
      </c>
      <c r="B348">
        <v>649</v>
      </c>
      <c r="C348">
        <v>124</v>
      </c>
      <c r="D348">
        <v>2664</v>
      </c>
      <c r="G348" t="s">
        <v>4187</v>
      </c>
      <c r="H348">
        <v>12121089000123</v>
      </c>
      <c r="I348" t="s">
        <v>3354</v>
      </c>
      <c r="J348" t="s">
        <v>4188</v>
      </c>
      <c r="M348" t="s">
        <v>3355</v>
      </c>
      <c r="O348" t="s">
        <v>778</v>
      </c>
      <c r="T348" t="s">
        <v>319</v>
      </c>
      <c r="U348" t="s">
        <v>3417</v>
      </c>
      <c r="W348">
        <v>8400</v>
      </c>
      <c r="X348">
        <v>0</v>
      </c>
      <c r="Z348">
        <v>37</v>
      </c>
      <c r="AA348" s="31">
        <v>45950</v>
      </c>
      <c r="AB348" s="61">
        <v>0.47859953703703711</v>
      </c>
      <c r="AC348" t="s">
        <v>795</v>
      </c>
      <c r="AD348" s="31">
        <v>45987</v>
      </c>
      <c r="AE348" s="61">
        <v>0.505</v>
      </c>
      <c r="AF348" t="s">
        <v>796</v>
      </c>
      <c r="AH348" t="s">
        <v>4185</v>
      </c>
      <c r="AI348" t="s">
        <v>2223</v>
      </c>
      <c r="AQ348">
        <v>1</v>
      </c>
    </row>
    <row r="349" spans="1:43" x14ac:dyDescent="0.25">
      <c r="A349" t="s">
        <v>31</v>
      </c>
      <c r="B349">
        <v>650</v>
      </c>
      <c r="C349">
        <v>128</v>
      </c>
      <c r="D349">
        <v>2665</v>
      </c>
      <c r="G349" t="s">
        <v>4189</v>
      </c>
      <c r="H349">
        <v>8530284000130</v>
      </c>
      <c r="I349" t="s">
        <v>3363</v>
      </c>
      <c r="J349" t="s">
        <v>4190</v>
      </c>
      <c r="M349" t="s">
        <v>3364</v>
      </c>
      <c r="O349" t="s">
        <v>778</v>
      </c>
      <c r="T349" t="s">
        <v>319</v>
      </c>
      <c r="U349" t="s">
        <v>3417</v>
      </c>
      <c r="W349">
        <v>3360</v>
      </c>
      <c r="X349">
        <v>7128</v>
      </c>
      <c r="Z349">
        <v>18</v>
      </c>
      <c r="AA349" s="31">
        <v>45950</v>
      </c>
      <c r="AB349" s="61">
        <v>0.52028935185185188</v>
      </c>
      <c r="AC349" t="s">
        <v>795</v>
      </c>
      <c r="AD349" s="31">
        <v>45968</v>
      </c>
      <c r="AE349" s="61">
        <v>0.41829861111111111</v>
      </c>
      <c r="AF349" t="s">
        <v>3463</v>
      </c>
      <c r="AH349" t="s">
        <v>4185</v>
      </c>
      <c r="AI349" t="s">
        <v>4185</v>
      </c>
      <c r="AQ349">
        <v>1</v>
      </c>
    </row>
    <row r="350" spans="1:43" x14ac:dyDescent="0.25">
      <c r="A350" t="s">
        <v>31</v>
      </c>
      <c r="B350">
        <v>651</v>
      </c>
      <c r="D350">
        <v>2666</v>
      </c>
      <c r="G350" t="s">
        <v>4191</v>
      </c>
      <c r="H350">
        <v>49119936000125</v>
      </c>
      <c r="J350" t="s">
        <v>4192</v>
      </c>
      <c r="K350" t="s">
        <v>4193</v>
      </c>
      <c r="M350" t="s">
        <v>4096</v>
      </c>
      <c r="O350" t="s">
        <v>778</v>
      </c>
      <c r="T350" t="s">
        <v>319</v>
      </c>
      <c r="U350" t="s">
        <v>3417</v>
      </c>
      <c r="W350">
        <v>0</v>
      </c>
      <c r="X350">
        <v>2574</v>
      </c>
      <c r="Z350">
        <v>37</v>
      </c>
      <c r="AA350" s="31">
        <v>45950</v>
      </c>
      <c r="AB350" s="61">
        <v>0.73157407407407404</v>
      </c>
      <c r="AC350" t="s">
        <v>795</v>
      </c>
      <c r="AD350" s="31">
        <v>45987</v>
      </c>
      <c r="AE350" s="61">
        <v>0.49932870370370369</v>
      </c>
      <c r="AF350" t="s">
        <v>796</v>
      </c>
      <c r="AH350" t="s">
        <v>4185</v>
      </c>
      <c r="AI350" t="s">
        <v>4185</v>
      </c>
      <c r="AQ350">
        <v>1</v>
      </c>
    </row>
    <row r="351" spans="1:43" x14ac:dyDescent="0.25">
      <c r="A351" t="s">
        <v>31</v>
      </c>
      <c r="B351">
        <v>652</v>
      </c>
      <c r="C351">
        <v>203</v>
      </c>
      <c r="D351">
        <v>2667</v>
      </c>
      <c r="G351" t="s">
        <v>4194</v>
      </c>
      <c r="H351">
        <v>11806036000183</v>
      </c>
      <c r="I351" t="s">
        <v>3791</v>
      </c>
      <c r="J351" t="s">
        <v>2600</v>
      </c>
      <c r="K351" t="s">
        <v>3792</v>
      </c>
      <c r="M351" t="s">
        <v>3793</v>
      </c>
      <c r="O351" t="s">
        <v>3794</v>
      </c>
      <c r="P351" t="s">
        <v>3636</v>
      </c>
      <c r="Q351" t="s">
        <v>1699</v>
      </c>
      <c r="T351" t="s">
        <v>319</v>
      </c>
      <c r="U351" t="s">
        <v>3417</v>
      </c>
      <c r="W351">
        <v>2160</v>
      </c>
      <c r="X351">
        <v>0</v>
      </c>
      <c r="Z351">
        <v>14</v>
      </c>
      <c r="AA351" s="31">
        <v>45951</v>
      </c>
      <c r="AB351" s="61">
        <v>0.48002314814814823</v>
      </c>
      <c r="AC351" t="s">
        <v>795</v>
      </c>
      <c r="AD351" s="31">
        <v>45965</v>
      </c>
      <c r="AE351" s="61">
        <v>0.50258101851851855</v>
      </c>
      <c r="AF351" t="s">
        <v>934</v>
      </c>
      <c r="AH351" t="s">
        <v>2297</v>
      </c>
      <c r="AI351" t="s">
        <v>4195</v>
      </c>
      <c r="AQ351">
        <v>1</v>
      </c>
    </row>
    <row r="352" spans="1:43" x14ac:dyDescent="0.25">
      <c r="A352" t="s">
        <v>31</v>
      </c>
      <c r="B352">
        <v>653</v>
      </c>
      <c r="D352">
        <v>2668</v>
      </c>
      <c r="E352" t="s">
        <v>4196</v>
      </c>
      <c r="G352" t="s">
        <v>4197</v>
      </c>
      <c r="H352">
        <v>38160619000136</v>
      </c>
      <c r="J352" t="s">
        <v>4198</v>
      </c>
      <c r="K352" t="s">
        <v>4199</v>
      </c>
      <c r="M352" t="s">
        <v>4200</v>
      </c>
      <c r="O352" t="s">
        <v>778</v>
      </c>
      <c r="S352" t="s">
        <v>1419</v>
      </c>
      <c r="T352" t="s">
        <v>319</v>
      </c>
      <c r="U352" t="s">
        <v>816</v>
      </c>
      <c r="W352">
        <v>16200</v>
      </c>
      <c r="X352">
        <v>7128</v>
      </c>
      <c r="Z352">
        <v>121</v>
      </c>
      <c r="AA352" s="31">
        <v>45951</v>
      </c>
      <c r="AB352" s="61">
        <v>0.4896759259259259</v>
      </c>
      <c r="AC352" t="s">
        <v>782</v>
      </c>
      <c r="AD352" s="31"/>
      <c r="AE352" s="61"/>
      <c r="AH352" t="s">
        <v>4195</v>
      </c>
      <c r="AI352" t="s">
        <v>4195</v>
      </c>
      <c r="AK352" t="s">
        <v>423</v>
      </c>
      <c r="AL352" t="s">
        <v>1423</v>
      </c>
      <c r="AQ352">
        <v>1</v>
      </c>
    </row>
    <row r="353" spans="1:43" x14ac:dyDescent="0.25">
      <c r="A353" t="s">
        <v>31</v>
      </c>
      <c r="B353">
        <v>654</v>
      </c>
      <c r="C353">
        <v>73</v>
      </c>
      <c r="D353">
        <v>2670</v>
      </c>
      <c r="G353" t="s">
        <v>4201</v>
      </c>
      <c r="I353" t="s">
        <v>3218</v>
      </c>
      <c r="J353" t="s">
        <v>1481</v>
      </c>
      <c r="K353" t="s">
        <v>3939</v>
      </c>
      <c r="M353" t="s">
        <v>3220</v>
      </c>
      <c r="O353" t="s">
        <v>778</v>
      </c>
      <c r="T353" t="s">
        <v>319</v>
      </c>
      <c r="U353" t="s">
        <v>3417</v>
      </c>
      <c r="W353">
        <v>1600</v>
      </c>
      <c r="X353">
        <v>322193</v>
      </c>
      <c r="Z353">
        <v>19</v>
      </c>
      <c r="AA353" s="31">
        <v>45952</v>
      </c>
      <c r="AB353" s="61">
        <v>0.38269675925925928</v>
      </c>
      <c r="AC353" t="s">
        <v>795</v>
      </c>
      <c r="AD353" s="31">
        <v>45971</v>
      </c>
      <c r="AE353" s="61">
        <v>0.62304398148148143</v>
      </c>
      <c r="AF353" t="s">
        <v>3463</v>
      </c>
      <c r="AH353" t="s">
        <v>4195</v>
      </c>
      <c r="AI353" t="s">
        <v>4202</v>
      </c>
      <c r="AQ353">
        <v>1</v>
      </c>
    </row>
    <row r="354" spans="1:43" x14ac:dyDescent="0.25">
      <c r="A354" t="s">
        <v>31</v>
      </c>
      <c r="B354">
        <v>655</v>
      </c>
      <c r="C354">
        <v>107</v>
      </c>
      <c r="D354">
        <v>2671</v>
      </c>
      <c r="G354" t="s">
        <v>4203</v>
      </c>
      <c r="H354">
        <v>7527737000297</v>
      </c>
      <c r="I354" t="s">
        <v>427</v>
      </c>
      <c r="J354" t="s">
        <v>4204</v>
      </c>
      <c r="M354" t="s">
        <v>3320</v>
      </c>
      <c r="O354" t="s">
        <v>778</v>
      </c>
      <c r="T354" t="s">
        <v>319</v>
      </c>
      <c r="U354" t="s">
        <v>3417</v>
      </c>
      <c r="W354">
        <v>420</v>
      </c>
      <c r="X354">
        <v>3564</v>
      </c>
      <c r="Z354">
        <v>26</v>
      </c>
      <c r="AA354" s="31">
        <v>45952</v>
      </c>
      <c r="AB354" s="61">
        <v>0.48693287037037042</v>
      </c>
      <c r="AC354" t="s">
        <v>795</v>
      </c>
      <c r="AD354" s="31">
        <v>45978</v>
      </c>
      <c r="AE354" s="61">
        <v>0.41158564814814808</v>
      </c>
      <c r="AF354" t="s">
        <v>934</v>
      </c>
      <c r="AH354" t="s">
        <v>4202</v>
      </c>
      <c r="AI354" t="s">
        <v>4202</v>
      </c>
      <c r="AQ354">
        <v>1</v>
      </c>
    </row>
    <row r="355" spans="1:43" x14ac:dyDescent="0.25">
      <c r="A355" t="s">
        <v>31</v>
      </c>
      <c r="B355">
        <v>658</v>
      </c>
      <c r="C355">
        <v>191</v>
      </c>
      <c r="D355">
        <v>2681</v>
      </c>
      <c r="G355" t="s">
        <v>4205</v>
      </c>
      <c r="H355">
        <v>18628799000120</v>
      </c>
      <c r="I355" t="s">
        <v>3734</v>
      </c>
      <c r="J355" t="s">
        <v>3735</v>
      </c>
      <c r="K355" t="s">
        <v>2216</v>
      </c>
      <c r="M355" t="s">
        <v>2217</v>
      </c>
      <c r="O355" t="s">
        <v>3736</v>
      </c>
      <c r="P355" t="s">
        <v>1094</v>
      </c>
      <c r="Q355" t="s">
        <v>790</v>
      </c>
      <c r="T355" t="s">
        <v>319</v>
      </c>
      <c r="U355" t="s">
        <v>816</v>
      </c>
      <c r="W355">
        <v>0</v>
      </c>
      <c r="X355">
        <v>64159</v>
      </c>
      <c r="Z355">
        <v>2</v>
      </c>
      <c r="AA355" s="31">
        <v>45957</v>
      </c>
      <c r="AB355" s="61">
        <v>0.64555555555555555</v>
      </c>
      <c r="AC355" t="s">
        <v>818</v>
      </c>
      <c r="AD355" s="31">
        <v>45959</v>
      </c>
      <c r="AE355" s="61">
        <v>0.38715277777777779</v>
      </c>
      <c r="AH355" t="s">
        <v>4206</v>
      </c>
      <c r="AQ355">
        <v>1</v>
      </c>
    </row>
    <row r="356" spans="1:43" x14ac:dyDescent="0.25">
      <c r="A356" t="s">
        <v>31</v>
      </c>
      <c r="B356">
        <v>660</v>
      </c>
      <c r="C356">
        <v>174</v>
      </c>
      <c r="D356">
        <v>2682</v>
      </c>
      <c r="G356" t="s">
        <v>4207</v>
      </c>
      <c r="H356">
        <v>45238441000164</v>
      </c>
      <c r="I356" t="s">
        <v>3507</v>
      </c>
      <c r="J356" t="s">
        <v>3995</v>
      </c>
      <c r="K356" t="s">
        <v>3509</v>
      </c>
      <c r="L356">
        <v>11973359869</v>
      </c>
      <c r="M356" t="s">
        <v>3510</v>
      </c>
      <c r="O356" t="s">
        <v>3511</v>
      </c>
      <c r="P356" t="s">
        <v>1094</v>
      </c>
      <c r="Q356" t="s">
        <v>790</v>
      </c>
      <c r="T356" t="s">
        <v>319</v>
      </c>
      <c r="U356" t="s">
        <v>816</v>
      </c>
      <c r="W356">
        <v>0</v>
      </c>
      <c r="X356">
        <v>14256</v>
      </c>
      <c r="Z356">
        <v>0</v>
      </c>
      <c r="AA356" s="31">
        <v>45957</v>
      </c>
      <c r="AB356" s="61">
        <v>0.65339120370370374</v>
      </c>
      <c r="AC356" t="s">
        <v>818</v>
      </c>
      <c r="AD356" s="31">
        <v>45957</v>
      </c>
      <c r="AE356" s="61">
        <v>0.65457175925925926</v>
      </c>
      <c r="AH356" t="s">
        <v>4185</v>
      </c>
      <c r="AI356" t="s">
        <v>4165</v>
      </c>
      <c r="AQ356">
        <v>1</v>
      </c>
    </row>
    <row r="357" spans="1:43" x14ac:dyDescent="0.25">
      <c r="A357" t="s">
        <v>31</v>
      </c>
      <c r="B357">
        <v>661</v>
      </c>
      <c r="D357">
        <v>2683</v>
      </c>
      <c r="G357" t="s">
        <v>4208</v>
      </c>
      <c r="H357">
        <v>38160619000136</v>
      </c>
      <c r="J357" t="s">
        <v>4198</v>
      </c>
      <c r="K357" t="s">
        <v>4199</v>
      </c>
      <c r="M357" t="s">
        <v>4200</v>
      </c>
      <c r="O357" t="s">
        <v>778</v>
      </c>
      <c r="T357" t="s">
        <v>319</v>
      </c>
      <c r="U357" t="s">
        <v>816</v>
      </c>
      <c r="W357">
        <v>0</v>
      </c>
      <c r="X357">
        <v>2586</v>
      </c>
      <c r="Z357">
        <v>1</v>
      </c>
      <c r="AA357" s="31">
        <v>45957</v>
      </c>
      <c r="AB357" s="61">
        <v>0.65902777777777777</v>
      </c>
      <c r="AC357" t="s">
        <v>818</v>
      </c>
      <c r="AD357" s="31">
        <v>45958</v>
      </c>
      <c r="AE357" s="61">
        <v>0.42133101851851851</v>
      </c>
      <c r="AH357" t="s">
        <v>4206</v>
      </c>
      <c r="AQ357">
        <v>1</v>
      </c>
    </row>
    <row r="358" spans="1:43" x14ac:dyDescent="0.25">
      <c r="A358" t="s">
        <v>31</v>
      </c>
      <c r="B358">
        <v>663</v>
      </c>
      <c r="C358">
        <v>190</v>
      </c>
      <c r="D358">
        <v>2689</v>
      </c>
      <c r="G358" t="s">
        <v>4209</v>
      </c>
      <c r="H358">
        <v>18203215000175</v>
      </c>
      <c r="I358" t="s">
        <v>3690</v>
      </c>
      <c r="J358" t="s">
        <v>4210</v>
      </c>
      <c r="K358" t="s">
        <v>3692</v>
      </c>
      <c r="M358" t="s">
        <v>3693</v>
      </c>
      <c r="O358" t="s">
        <v>3694</v>
      </c>
      <c r="P358" t="s">
        <v>3695</v>
      </c>
      <c r="Q358" t="s">
        <v>790</v>
      </c>
      <c r="T358" t="s">
        <v>319</v>
      </c>
      <c r="U358" t="s">
        <v>816</v>
      </c>
      <c r="W358">
        <v>8400</v>
      </c>
      <c r="X358">
        <v>0</v>
      </c>
      <c r="Z358">
        <v>0</v>
      </c>
      <c r="AA358" s="31">
        <v>45959</v>
      </c>
      <c r="AB358" s="61">
        <v>0.41988425925925932</v>
      </c>
      <c r="AC358" t="s">
        <v>818</v>
      </c>
      <c r="AD358" s="31">
        <v>45959</v>
      </c>
      <c r="AE358" s="61">
        <v>0.42054398148148148</v>
      </c>
      <c r="AH358" t="s">
        <v>4211</v>
      </c>
      <c r="AI358" t="s">
        <v>4211</v>
      </c>
      <c r="AQ358">
        <v>1</v>
      </c>
    </row>
    <row r="359" spans="1:43" x14ac:dyDescent="0.25">
      <c r="A359" t="s">
        <v>31</v>
      </c>
      <c r="B359">
        <v>664</v>
      </c>
      <c r="C359">
        <v>191</v>
      </c>
      <c r="D359">
        <v>2691</v>
      </c>
      <c r="G359" t="s">
        <v>4212</v>
      </c>
      <c r="H359">
        <v>18628799000120</v>
      </c>
      <c r="I359" t="s">
        <v>3734</v>
      </c>
      <c r="J359" t="s">
        <v>3735</v>
      </c>
      <c r="K359" t="s">
        <v>2216</v>
      </c>
      <c r="M359" t="s">
        <v>2217</v>
      </c>
      <c r="O359" t="s">
        <v>3736</v>
      </c>
      <c r="P359" t="s">
        <v>1094</v>
      </c>
      <c r="Q359" t="s">
        <v>790</v>
      </c>
      <c r="T359" t="s">
        <v>319</v>
      </c>
      <c r="U359" t="s">
        <v>3417</v>
      </c>
      <c r="W359">
        <v>26200</v>
      </c>
      <c r="X359">
        <v>3400</v>
      </c>
      <c r="Z359">
        <v>36</v>
      </c>
      <c r="AA359" s="31">
        <v>45959</v>
      </c>
      <c r="AB359" s="61">
        <v>0.69269675925925922</v>
      </c>
      <c r="AC359" t="s">
        <v>795</v>
      </c>
      <c r="AD359" s="31">
        <v>45995</v>
      </c>
      <c r="AE359" s="61">
        <v>0.40078703703703711</v>
      </c>
      <c r="AF359" t="s">
        <v>796</v>
      </c>
      <c r="AH359" t="s">
        <v>4211</v>
      </c>
      <c r="AI359" t="s">
        <v>4211</v>
      </c>
      <c r="AQ359">
        <v>1</v>
      </c>
    </row>
    <row r="360" spans="1:43" x14ac:dyDescent="0.25">
      <c r="A360" t="s">
        <v>31</v>
      </c>
      <c r="B360">
        <v>668</v>
      </c>
      <c r="C360">
        <v>103</v>
      </c>
      <c r="D360">
        <v>2717</v>
      </c>
      <c r="G360" t="s">
        <v>4213</v>
      </c>
      <c r="H360">
        <v>12549273000179</v>
      </c>
      <c r="I360" t="s">
        <v>3309</v>
      </c>
      <c r="J360" t="s">
        <v>4067</v>
      </c>
      <c r="K360" t="s">
        <v>4214</v>
      </c>
      <c r="M360" t="s">
        <v>3312</v>
      </c>
      <c r="O360" t="s">
        <v>3313</v>
      </c>
      <c r="P360" t="s">
        <v>1596</v>
      </c>
      <c r="Q360" t="s">
        <v>790</v>
      </c>
      <c r="S360" t="s">
        <v>1581</v>
      </c>
      <c r="T360" t="s">
        <v>319</v>
      </c>
      <c r="U360" t="s">
        <v>3417</v>
      </c>
      <c r="W360">
        <v>1600</v>
      </c>
      <c r="X360">
        <v>47183</v>
      </c>
      <c r="Z360">
        <v>82</v>
      </c>
      <c r="AA360" s="31">
        <v>45961</v>
      </c>
      <c r="AB360" s="61">
        <v>0.45398148148148149</v>
      </c>
      <c r="AC360" t="s">
        <v>795</v>
      </c>
      <c r="AD360" s="31">
        <v>46043</v>
      </c>
      <c r="AE360" s="61">
        <v>0.40621527777777777</v>
      </c>
      <c r="AF360" t="s">
        <v>3463</v>
      </c>
      <c r="AH360" t="s">
        <v>4215</v>
      </c>
      <c r="AI360" t="s">
        <v>4206</v>
      </c>
      <c r="AK360" t="s">
        <v>2576</v>
      </c>
      <c r="AQ360">
        <v>1</v>
      </c>
    </row>
    <row r="361" spans="1:43" x14ac:dyDescent="0.25">
      <c r="A361" t="s">
        <v>31</v>
      </c>
      <c r="B361">
        <v>670</v>
      </c>
      <c r="D361">
        <v>2719</v>
      </c>
      <c r="G361" t="s">
        <v>4216</v>
      </c>
      <c r="H361">
        <v>6946105000114</v>
      </c>
      <c r="J361" t="s">
        <v>4217</v>
      </c>
      <c r="K361" t="s">
        <v>4218</v>
      </c>
      <c r="M361" t="s">
        <v>4219</v>
      </c>
      <c r="O361" t="s">
        <v>778</v>
      </c>
      <c r="T361" t="s">
        <v>319</v>
      </c>
      <c r="U361" t="s">
        <v>816</v>
      </c>
      <c r="W361">
        <v>0</v>
      </c>
      <c r="X361">
        <v>28512</v>
      </c>
      <c r="Z361">
        <v>19</v>
      </c>
      <c r="AA361" s="31">
        <v>45961</v>
      </c>
      <c r="AB361" s="61">
        <v>0.68109953703703707</v>
      </c>
      <c r="AC361" t="s">
        <v>818</v>
      </c>
      <c r="AD361" s="31">
        <v>45980</v>
      </c>
      <c r="AE361" s="61">
        <v>0.71309027777777778</v>
      </c>
      <c r="AH361" t="s">
        <v>4220</v>
      </c>
      <c r="AI361" t="s">
        <v>4220</v>
      </c>
      <c r="AQ361">
        <v>1</v>
      </c>
    </row>
    <row r="362" spans="1:43" x14ac:dyDescent="0.25">
      <c r="A362" t="s">
        <v>31</v>
      </c>
      <c r="B362">
        <v>671</v>
      </c>
      <c r="C362">
        <v>189</v>
      </c>
      <c r="D362">
        <v>2728</v>
      </c>
      <c r="G362" t="s">
        <v>4221</v>
      </c>
      <c r="H362">
        <v>10698565000148</v>
      </c>
      <c r="I362" t="s">
        <v>4145</v>
      </c>
      <c r="J362" t="s">
        <v>4146</v>
      </c>
      <c r="K362" t="s">
        <v>4147</v>
      </c>
      <c r="O362" t="s">
        <v>4148</v>
      </c>
      <c r="P362" t="s">
        <v>4149</v>
      </c>
      <c r="Q362" t="s">
        <v>4150</v>
      </c>
      <c r="T362" t="s">
        <v>319</v>
      </c>
      <c r="U362" t="s">
        <v>3417</v>
      </c>
      <c r="W362">
        <v>2040708</v>
      </c>
      <c r="X362">
        <v>7128</v>
      </c>
      <c r="Z362">
        <v>30</v>
      </c>
      <c r="AA362" s="31">
        <v>45964</v>
      </c>
      <c r="AB362" s="61">
        <v>0.44855324074074082</v>
      </c>
      <c r="AC362" t="s">
        <v>795</v>
      </c>
      <c r="AD362" s="31">
        <v>45994</v>
      </c>
      <c r="AE362" s="61">
        <v>0.4256597222222222</v>
      </c>
      <c r="AF362" t="s">
        <v>3463</v>
      </c>
      <c r="AH362" t="s">
        <v>2324</v>
      </c>
      <c r="AI362" t="s">
        <v>2324</v>
      </c>
      <c r="AQ362">
        <v>1</v>
      </c>
    </row>
    <row r="363" spans="1:43" x14ac:dyDescent="0.25">
      <c r="A363" t="s">
        <v>31</v>
      </c>
      <c r="B363">
        <v>675</v>
      </c>
      <c r="C363">
        <v>159</v>
      </c>
      <c r="D363">
        <v>2742</v>
      </c>
      <c r="G363" t="s">
        <v>4222</v>
      </c>
      <c r="H363">
        <v>43526090000161</v>
      </c>
      <c r="I363" t="s">
        <v>913</v>
      </c>
      <c r="J363" t="s">
        <v>3860</v>
      </c>
      <c r="K363" t="s">
        <v>4155</v>
      </c>
      <c r="M363" t="s">
        <v>916</v>
      </c>
      <c r="O363" t="s">
        <v>778</v>
      </c>
      <c r="P363" t="s">
        <v>909</v>
      </c>
      <c r="Q363" t="s">
        <v>790</v>
      </c>
      <c r="T363" t="s">
        <v>319</v>
      </c>
      <c r="U363" t="s">
        <v>3417</v>
      </c>
      <c r="Z363">
        <v>25</v>
      </c>
      <c r="AA363" s="31">
        <v>45968</v>
      </c>
      <c r="AB363" s="61">
        <v>0.67895833333333333</v>
      </c>
      <c r="AC363" t="s">
        <v>795</v>
      </c>
      <c r="AD363" s="31">
        <v>45993</v>
      </c>
      <c r="AE363" s="61">
        <v>0.39473379629629629</v>
      </c>
      <c r="AF363" t="s">
        <v>796</v>
      </c>
      <c r="AH363" t="s">
        <v>4223</v>
      </c>
      <c r="AI363" t="s">
        <v>4223</v>
      </c>
      <c r="AQ363">
        <v>1</v>
      </c>
    </row>
    <row r="364" spans="1:43" x14ac:dyDescent="0.25">
      <c r="A364" t="s">
        <v>31</v>
      </c>
      <c r="B364">
        <v>676</v>
      </c>
      <c r="C364">
        <v>208</v>
      </c>
      <c r="D364">
        <v>2746</v>
      </c>
      <c r="G364" t="s">
        <v>4224</v>
      </c>
      <c r="H364">
        <v>42830750000130</v>
      </c>
      <c r="I364" t="s">
        <v>3903</v>
      </c>
      <c r="J364" t="s">
        <v>1804</v>
      </c>
      <c r="K364" t="s">
        <v>3905</v>
      </c>
      <c r="M364" t="s">
        <v>3906</v>
      </c>
      <c r="O364" t="s">
        <v>3907</v>
      </c>
      <c r="P364" t="s">
        <v>1094</v>
      </c>
      <c r="Q364" t="s">
        <v>790</v>
      </c>
      <c r="T364" t="s">
        <v>319</v>
      </c>
      <c r="U364" t="s">
        <v>3417</v>
      </c>
      <c r="W364">
        <v>0</v>
      </c>
      <c r="X364">
        <v>308</v>
      </c>
      <c r="Z364">
        <v>30</v>
      </c>
      <c r="AA364" s="31">
        <v>45971</v>
      </c>
      <c r="AB364" s="61">
        <v>0.39951388888888889</v>
      </c>
      <c r="AC364" t="s">
        <v>795</v>
      </c>
      <c r="AD364" s="31">
        <v>46001</v>
      </c>
      <c r="AE364" s="61">
        <v>0.44709490740740743</v>
      </c>
      <c r="AF364" t="s">
        <v>796</v>
      </c>
      <c r="AH364" t="s">
        <v>2437</v>
      </c>
      <c r="AI364" t="s">
        <v>2437</v>
      </c>
      <c r="AQ364">
        <v>1</v>
      </c>
    </row>
    <row r="365" spans="1:43" x14ac:dyDescent="0.25">
      <c r="A365" t="s">
        <v>31</v>
      </c>
      <c r="B365">
        <v>677</v>
      </c>
      <c r="C365">
        <v>182</v>
      </c>
      <c r="D365">
        <v>2752</v>
      </c>
      <c r="G365" t="s">
        <v>4225</v>
      </c>
      <c r="H365">
        <v>23873456000161</v>
      </c>
      <c r="I365" t="s">
        <v>3573</v>
      </c>
      <c r="J365" t="s">
        <v>3574</v>
      </c>
      <c r="K365" t="s">
        <v>3575</v>
      </c>
      <c r="M365" t="s">
        <v>3576</v>
      </c>
      <c r="O365" t="s">
        <v>3577</v>
      </c>
      <c r="P365" t="s">
        <v>1837</v>
      </c>
      <c r="Q365" t="s">
        <v>790</v>
      </c>
      <c r="S365" t="s">
        <v>1718</v>
      </c>
      <c r="T365" t="s">
        <v>319</v>
      </c>
      <c r="U365" t="s">
        <v>781</v>
      </c>
      <c r="Z365">
        <v>63</v>
      </c>
      <c r="AA365" s="31">
        <v>45972</v>
      </c>
      <c r="AB365" s="61">
        <v>0.64833333333333332</v>
      </c>
      <c r="AC365" t="s">
        <v>795</v>
      </c>
      <c r="AD365" s="31">
        <v>46035</v>
      </c>
      <c r="AE365" s="61">
        <v>0.70446759259259262</v>
      </c>
      <c r="AF365" t="s">
        <v>796</v>
      </c>
      <c r="AQ365">
        <v>1</v>
      </c>
    </row>
    <row r="366" spans="1:43" x14ac:dyDescent="0.25">
      <c r="A366" t="s">
        <v>31</v>
      </c>
      <c r="B366">
        <v>678</v>
      </c>
      <c r="C366">
        <v>182</v>
      </c>
      <c r="D366">
        <v>2753</v>
      </c>
      <c r="G366" t="s">
        <v>4226</v>
      </c>
      <c r="H366">
        <v>23873456000161</v>
      </c>
      <c r="I366" t="s">
        <v>3573</v>
      </c>
      <c r="J366" t="s">
        <v>3574</v>
      </c>
      <c r="K366" t="s">
        <v>3575</v>
      </c>
      <c r="M366" t="s">
        <v>3576</v>
      </c>
      <c r="O366" t="s">
        <v>3577</v>
      </c>
      <c r="P366" t="s">
        <v>1837</v>
      </c>
      <c r="Q366" t="s">
        <v>790</v>
      </c>
      <c r="S366" t="s">
        <v>1718</v>
      </c>
      <c r="T366" t="s">
        <v>319</v>
      </c>
      <c r="U366" t="s">
        <v>3417</v>
      </c>
      <c r="W366">
        <v>3360</v>
      </c>
      <c r="X366">
        <v>3564</v>
      </c>
      <c r="Z366">
        <v>100</v>
      </c>
      <c r="AA366" s="31">
        <v>45972</v>
      </c>
      <c r="AB366" s="61">
        <v>0.64900462962962968</v>
      </c>
      <c r="AC366" t="s">
        <v>782</v>
      </c>
      <c r="AD366" s="31"/>
      <c r="AE366" s="61"/>
      <c r="AH366" t="s">
        <v>4227</v>
      </c>
      <c r="AI366" t="s">
        <v>4227</v>
      </c>
      <c r="AK366" t="s">
        <v>2326</v>
      </c>
      <c r="AL366" t="s">
        <v>2119</v>
      </c>
      <c r="AQ366">
        <v>1</v>
      </c>
    </row>
    <row r="367" spans="1:43" x14ac:dyDescent="0.25">
      <c r="A367" t="s">
        <v>31</v>
      </c>
      <c r="B367">
        <v>679</v>
      </c>
      <c r="C367">
        <v>182</v>
      </c>
      <c r="D367">
        <v>2754</v>
      </c>
      <c r="G367" t="s">
        <v>4228</v>
      </c>
      <c r="H367">
        <v>23873456000161</v>
      </c>
      <c r="I367" t="s">
        <v>3573</v>
      </c>
      <c r="J367" t="s">
        <v>3574</v>
      </c>
      <c r="K367" t="s">
        <v>3575</v>
      </c>
      <c r="M367" t="s">
        <v>3576</v>
      </c>
      <c r="O367" t="s">
        <v>3577</v>
      </c>
      <c r="P367" t="s">
        <v>1837</v>
      </c>
      <c r="Q367" t="s">
        <v>790</v>
      </c>
      <c r="S367" t="s">
        <v>1718</v>
      </c>
      <c r="T367" t="s">
        <v>319</v>
      </c>
      <c r="U367" t="s">
        <v>3417</v>
      </c>
      <c r="W367">
        <v>25200</v>
      </c>
      <c r="X367">
        <v>104544</v>
      </c>
      <c r="Z367">
        <v>79</v>
      </c>
      <c r="AA367" s="31">
        <v>45972</v>
      </c>
      <c r="AB367" s="61">
        <v>0.66282407407407407</v>
      </c>
      <c r="AC367" t="s">
        <v>795</v>
      </c>
      <c r="AD367" s="31">
        <v>46051</v>
      </c>
      <c r="AE367" s="61">
        <v>0.39392361111111113</v>
      </c>
      <c r="AF367" t="s">
        <v>796</v>
      </c>
      <c r="AH367" t="s">
        <v>2529</v>
      </c>
      <c r="AI367" t="s">
        <v>2529</v>
      </c>
      <c r="AK367" t="s">
        <v>2891</v>
      </c>
      <c r="AQ367">
        <v>1</v>
      </c>
    </row>
    <row r="368" spans="1:43" x14ac:dyDescent="0.25">
      <c r="A368" t="s">
        <v>31</v>
      </c>
      <c r="B368">
        <v>682</v>
      </c>
      <c r="C368">
        <v>206</v>
      </c>
      <c r="D368">
        <v>2758</v>
      </c>
      <c r="G368" t="s">
        <v>4229</v>
      </c>
      <c r="H368">
        <v>37075503000136</v>
      </c>
      <c r="I368" t="s">
        <v>3826</v>
      </c>
      <c r="J368" t="s">
        <v>1474</v>
      </c>
      <c r="K368" t="s">
        <v>1475</v>
      </c>
      <c r="M368" t="s">
        <v>1476</v>
      </c>
      <c r="O368" t="s">
        <v>3827</v>
      </c>
      <c r="P368" t="s">
        <v>1477</v>
      </c>
      <c r="Q368" t="s">
        <v>932</v>
      </c>
      <c r="T368" t="s">
        <v>319</v>
      </c>
      <c r="U368" t="s">
        <v>3417</v>
      </c>
      <c r="W368">
        <v>70875</v>
      </c>
      <c r="X368">
        <v>0</v>
      </c>
      <c r="Z368">
        <v>19</v>
      </c>
      <c r="AA368" s="31">
        <v>45974</v>
      </c>
      <c r="AB368" s="61">
        <v>0.40334490740740742</v>
      </c>
      <c r="AC368" t="s">
        <v>795</v>
      </c>
      <c r="AD368" s="31">
        <v>45993</v>
      </c>
      <c r="AE368" s="61">
        <v>0.39771990740740742</v>
      </c>
      <c r="AF368" t="s">
        <v>796</v>
      </c>
      <c r="AH368" t="s">
        <v>4230</v>
      </c>
      <c r="AQ368">
        <v>1</v>
      </c>
    </row>
    <row r="369" spans="1:43" x14ac:dyDescent="0.25">
      <c r="A369" t="s">
        <v>31</v>
      </c>
      <c r="B369">
        <v>683</v>
      </c>
      <c r="C369">
        <v>186</v>
      </c>
      <c r="D369">
        <v>2759</v>
      </c>
      <c r="G369" t="s">
        <v>4231</v>
      </c>
      <c r="H369">
        <v>10899939000193</v>
      </c>
      <c r="I369" t="s">
        <v>3625</v>
      </c>
      <c r="J369" t="s">
        <v>704</v>
      </c>
      <c r="K369" t="s">
        <v>3626</v>
      </c>
      <c r="M369" t="s">
        <v>3627</v>
      </c>
      <c r="O369" t="s">
        <v>3628</v>
      </c>
      <c r="P369" t="s">
        <v>3629</v>
      </c>
      <c r="Q369" t="s">
        <v>932</v>
      </c>
      <c r="S369" t="s">
        <v>1704</v>
      </c>
      <c r="T369" t="s">
        <v>319</v>
      </c>
      <c r="U369" t="s">
        <v>816</v>
      </c>
      <c r="W369">
        <v>2856</v>
      </c>
      <c r="X369">
        <v>60588</v>
      </c>
      <c r="Z369">
        <v>60</v>
      </c>
      <c r="AA369" s="31">
        <v>45974</v>
      </c>
      <c r="AB369" s="61">
        <v>0.44814814814814807</v>
      </c>
      <c r="AC369" t="s">
        <v>795</v>
      </c>
      <c r="AD369" s="31">
        <v>46034</v>
      </c>
      <c r="AE369" s="61">
        <v>0.46733796296296298</v>
      </c>
      <c r="AF369" t="s">
        <v>934</v>
      </c>
      <c r="AH369" t="s">
        <v>4230</v>
      </c>
      <c r="AK369" t="s">
        <v>2519</v>
      </c>
      <c r="AQ369">
        <v>1</v>
      </c>
    </row>
    <row r="370" spans="1:43" x14ac:dyDescent="0.25">
      <c r="A370" t="s">
        <v>31</v>
      </c>
      <c r="B370">
        <v>687</v>
      </c>
      <c r="C370">
        <v>152</v>
      </c>
      <c r="D370">
        <v>2817</v>
      </c>
      <c r="G370" t="s">
        <v>4018</v>
      </c>
      <c r="I370" t="s">
        <v>3445</v>
      </c>
      <c r="J370" t="s">
        <v>4146</v>
      </c>
      <c r="K370" t="s">
        <v>3621</v>
      </c>
      <c r="M370" t="s">
        <v>3448</v>
      </c>
      <c r="O370" t="s">
        <v>778</v>
      </c>
      <c r="S370" t="s">
        <v>1718</v>
      </c>
      <c r="T370" t="s">
        <v>319</v>
      </c>
      <c r="U370" t="s">
        <v>816</v>
      </c>
      <c r="W370">
        <v>3360</v>
      </c>
      <c r="X370">
        <v>7128</v>
      </c>
      <c r="Z370">
        <v>67</v>
      </c>
      <c r="AA370" s="31">
        <v>45978</v>
      </c>
      <c r="AB370" s="61">
        <v>0.72304398148148152</v>
      </c>
      <c r="AC370" t="s">
        <v>818</v>
      </c>
      <c r="AD370" s="31">
        <v>46045</v>
      </c>
      <c r="AE370" s="61">
        <v>0.71009259259259261</v>
      </c>
      <c r="AH370" t="s">
        <v>2273</v>
      </c>
      <c r="AI370" t="s">
        <v>2273</v>
      </c>
      <c r="AK370" t="s">
        <v>2590</v>
      </c>
      <c r="AQ370">
        <v>1</v>
      </c>
    </row>
    <row r="371" spans="1:43" x14ac:dyDescent="0.25">
      <c r="A371" t="s">
        <v>31</v>
      </c>
      <c r="B371">
        <v>688</v>
      </c>
      <c r="C371">
        <v>170</v>
      </c>
      <c r="D371">
        <v>2818</v>
      </c>
      <c r="G371" t="s">
        <v>460</v>
      </c>
      <c r="H371">
        <v>4150555001304</v>
      </c>
      <c r="I371" t="s">
        <v>3477</v>
      </c>
      <c r="J371" t="s">
        <v>3478</v>
      </c>
      <c r="K371" t="s">
        <v>3569</v>
      </c>
      <c r="M371" t="s">
        <v>3480</v>
      </c>
      <c r="O371" t="s">
        <v>3481</v>
      </c>
      <c r="P371" t="s">
        <v>3482</v>
      </c>
      <c r="Q371" t="s">
        <v>1699</v>
      </c>
      <c r="T371" t="s">
        <v>319</v>
      </c>
      <c r="U371" t="s">
        <v>816</v>
      </c>
      <c r="W371">
        <v>838823</v>
      </c>
      <c r="X371">
        <v>0</v>
      </c>
      <c r="Z371">
        <v>8</v>
      </c>
      <c r="AA371" s="31">
        <v>45979</v>
      </c>
      <c r="AB371" s="61">
        <v>0.6174884259259259</v>
      </c>
      <c r="AC371" t="s">
        <v>818</v>
      </c>
      <c r="AD371" s="31">
        <v>45987</v>
      </c>
      <c r="AE371" s="61">
        <v>0.49862268518518521</v>
      </c>
      <c r="AH371" t="s">
        <v>4232</v>
      </c>
      <c r="AQ371">
        <v>1</v>
      </c>
    </row>
    <row r="372" spans="1:43" x14ac:dyDescent="0.25">
      <c r="A372" t="s">
        <v>31</v>
      </c>
      <c r="B372">
        <v>689</v>
      </c>
      <c r="C372">
        <v>0</v>
      </c>
      <c r="D372">
        <v>2851</v>
      </c>
      <c r="G372" t="s">
        <v>4233</v>
      </c>
      <c r="J372" t="s">
        <v>4234</v>
      </c>
      <c r="K372" t="s">
        <v>4235</v>
      </c>
      <c r="M372" t="s">
        <v>4236</v>
      </c>
      <c r="O372" t="s">
        <v>778</v>
      </c>
      <c r="S372" t="s">
        <v>1718</v>
      </c>
      <c r="T372" t="s">
        <v>319</v>
      </c>
      <c r="U372" t="s">
        <v>3606</v>
      </c>
      <c r="Z372">
        <v>45</v>
      </c>
      <c r="AA372" s="31">
        <v>45985</v>
      </c>
      <c r="AB372" s="61">
        <v>0.38097222222222221</v>
      </c>
      <c r="AC372" t="s">
        <v>795</v>
      </c>
      <c r="AD372" s="31">
        <v>46030</v>
      </c>
      <c r="AE372" s="61">
        <v>0.49526620370370372</v>
      </c>
      <c r="AF372" t="s">
        <v>1358</v>
      </c>
      <c r="AI372" t="s">
        <v>2433</v>
      </c>
      <c r="AK372" t="s">
        <v>2326</v>
      </c>
      <c r="AQ372">
        <v>1</v>
      </c>
    </row>
    <row r="373" spans="1:43" x14ac:dyDescent="0.25">
      <c r="A373" t="s">
        <v>31</v>
      </c>
      <c r="B373">
        <v>691</v>
      </c>
      <c r="C373">
        <v>197</v>
      </c>
      <c r="D373">
        <v>2873</v>
      </c>
      <c r="G373" t="s">
        <v>4237</v>
      </c>
      <c r="H373">
        <v>8616236000169</v>
      </c>
      <c r="I373" t="s">
        <v>3726</v>
      </c>
      <c r="J373" t="s">
        <v>704</v>
      </c>
      <c r="K373" t="s">
        <v>3727</v>
      </c>
      <c r="M373" t="s">
        <v>3728</v>
      </c>
      <c r="O373" t="s">
        <v>3729</v>
      </c>
      <c r="P373" t="s">
        <v>3687</v>
      </c>
      <c r="Q373" t="s">
        <v>790</v>
      </c>
      <c r="S373" t="s">
        <v>1419</v>
      </c>
      <c r="T373" t="s">
        <v>319</v>
      </c>
      <c r="U373" t="s">
        <v>3417</v>
      </c>
      <c r="W373">
        <v>3360</v>
      </c>
      <c r="X373">
        <v>19642</v>
      </c>
      <c r="Z373">
        <v>86</v>
      </c>
      <c r="AA373" s="31">
        <v>45986</v>
      </c>
      <c r="AB373" s="61">
        <v>0.42895833333333327</v>
      </c>
      <c r="AC373" t="s">
        <v>782</v>
      </c>
      <c r="AD373" s="31"/>
      <c r="AE373" s="61"/>
      <c r="AH373" t="s">
        <v>4238</v>
      </c>
      <c r="AI373" t="s">
        <v>4238</v>
      </c>
      <c r="AK373" t="s">
        <v>2519</v>
      </c>
      <c r="AL373" t="s">
        <v>1423</v>
      </c>
      <c r="AQ373">
        <v>1</v>
      </c>
    </row>
    <row r="374" spans="1:43" x14ac:dyDescent="0.25">
      <c r="A374" t="s">
        <v>31</v>
      </c>
      <c r="B374">
        <v>698</v>
      </c>
      <c r="C374">
        <v>148</v>
      </c>
      <c r="D374">
        <v>2888</v>
      </c>
      <c r="G374" t="s">
        <v>3554</v>
      </c>
      <c r="H374">
        <v>8530284000130</v>
      </c>
      <c r="I374" t="s">
        <v>3555</v>
      </c>
      <c r="J374" t="s">
        <v>4190</v>
      </c>
      <c r="K374" t="s">
        <v>3556</v>
      </c>
      <c r="M374" t="s">
        <v>3557</v>
      </c>
      <c r="O374" t="s">
        <v>778</v>
      </c>
      <c r="T374" t="s">
        <v>319</v>
      </c>
      <c r="U374" t="s">
        <v>3417</v>
      </c>
      <c r="W374">
        <v>1600</v>
      </c>
      <c r="X374">
        <v>40193</v>
      </c>
      <c r="Z374">
        <v>16</v>
      </c>
      <c r="AA374" s="31">
        <v>45986</v>
      </c>
      <c r="AB374" s="61">
        <v>0.71763888888888894</v>
      </c>
      <c r="AC374" t="s">
        <v>795</v>
      </c>
      <c r="AD374" s="31">
        <v>46002</v>
      </c>
      <c r="AE374" s="61">
        <v>0.63847222222222222</v>
      </c>
      <c r="AF374" t="s">
        <v>3463</v>
      </c>
      <c r="AH374" t="s">
        <v>4238</v>
      </c>
      <c r="AI374" t="s">
        <v>4238</v>
      </c>
      <c r="AQ374">
        <v>1</v>
      </c>
    </row>
    <row r="375" spans="1:43" x14ac:dyDescent="0.25">
      <c r="A375" t="s">
        <v>31</v>
      </c>
      <c r="B375">
        <v>699</v>
      </c>
      <c r="C375">
        <v>172</v>
      </c>
      <c r="D375">
        <v>2889</v>
      </c>
      <c r="G375" t="s">
        <v>3500</v>
      </c>
      <c r="H375">
        <v>33561753000125</v>
      </c>
      <c r="I375" t="s">
        <v>3501</v>
      </c>
      <c r="J375" t="s">
        <v>4180</v>
      </c>
      <c r="K375" t="s">
        <v>3502</v>
      </c>
      <c r="M375" t="s">
        <v>3503</v>
      </c>
      <c r="O375" t="s">
        <v>3504</v>
      </c>
      <c r="P375" t="s">
        <v>3505</v>
      </c>
      <c r="Q375" t="s">
        <v>790</v>
      </c>
      <c r="T375" t="s">
        <v>319</v>
      </c>
      <c r="U375" t="s">
        <v>3417</v>
      </c>
      <c r="W375">
        <v>1680</v>
      </c>
      <c r="X375">
        <v>3564</v>
      </c>
      <c r="Z375">
        <v>0</v>
      </c>
      <c r="AA375" s="31">
        <v>45986</v>
      </c>
      <c r="AB375" s="61">
        <v>0.71848379629629633</v>
      </c>
      <c r="AC375" t="s">
        <v>795</v>
      </c>
      <c r="AD375" s="31">
        <v>45986</v>
      </c>
      <c r="AE375" s="61">
        <v>0.72062499999999996</v>
      </c>
      <c r="AF375" t="s">
        <v>796</v>
      </c>
      <c r="AH375" t="s">
        <v>4238</v>
      </c>
      <c r="AI375" t="s">
        <v>4238</v>
      </c>
      <c r="AQ375">
        <v>1</v>
      </c>
    </row>
    <row r="376" spans="1:43" x14ac:dyDescent="0.25">
      <c r="A376" t="s">
        <v>31</v>
      </c>
      <c r="B376">
        <v>710</v>
      </c>
      <c r="C376">
        <v>149</v>
      </c>
      <c r="D376">
        <v>2901</v>
      </c>
      <c r="G376" t="s">
        <v>4020</v>
      </c>
      <c r="H376">
        <v>12418196000118</v>
      </c>
      <c r="I376" t="s">
        <v>3645</v>
      </c>
      <c r="J376" t="s">
        <v>1115</v>
      </c>
      <c r="K376" t="s">
        <v>3647</v>
      </c>
      <c r="M376" t="s">
        <v>3648</v>
      </c>
      <c r="O376" t="s">
        <v>778</v>
      </c>
      <c r="T376" t="s">
        <v>319</v>
      </c>
      <c r="U376" t="s">
        <v>816</v>
      </c>
      <c r="W376">
        <v>2856</v>
      </c>
      <c r="X376">
        <v>60588</v>
      </c>
      <c r="Z376">
        <v>8</v>
      </c>
      <c r="AA376" s="31">
        <v>45987</v>
      </c>
      <c r="AB376" s="61">
        <v>0.50680555555555551</v>
      </c>
      <c r="AC376" t="s">
        <v>818</v>
      </c>
      <c r="AD376" s="31">
        <v>45995</v>
      </c>
      <c r="AE376" s="61">
        <v>0.38068287037037041</v>
      </c>
      <c r="AH376" t="s">
        <v>2392</v>
      </c>
      <c r="AI376" t="s">
        <v>2392</v>
      </c>
      <c r="AQ376">
        <v>1</v>
      </c>
    </row>
    <row r="377" spans="1:43" x14ac:dyDescent="0.25">
      <c r="A377" t="s">
        <v>31</v>
      </c>
      <c r="B377">
        <v>712</v>
      </c>
      <c r="D377">
        <v>2903</v>
      </c>
      <c r="G377" t="s">
        <v>4239</v>
      </c>
      <c r="H377">
        <v>6847915000113</v>
      </c>
      <c r="J377" t="s">
        <v>4240</v>
      </c>
      <c r="K377" t="s">
        <v>4241</v>
      </c>
      <c r="M377" t="s">
        <v>4242</v>
      </c>
      <c r="O377" t="s">
        <v>778</v>
      </c>
      <c r="S377" t="s">
        <v>1419</v>
      </c>
      <c r="T377" t="s">
        <v>319</v>
      </c>
      <c r="U377" t="s">
        <v>3417</v>
      </c>
      <c r="W377">
        <v>16200</v>
      </c>
      <c r="X377">
        <v>2160</v>
      </c>
      <c r="Z377">
        <v>47</v>
      </c>
      <c r="AA377" s="31">
        <v>45987</v>
      </c>
      <c r="AB377" s="61">
        <v>0.67927083333333338</v>
      </c>
      <c r="AC377" t="s">
        <v>795</v>
      </c>
      <c r="AD377" s="31">
        <v>46034</v>
      </c>
      <c r="AE377" s="61">
        <v>0.47002314814814822</v>
      </c>
      <c r="AF377" t="s">
        <v>3463</v>
      </c>
      <c r="AH377" t="s">
        <v>4243</v>
      </c>
      <c r="AI377" t="s">
        <v>4243</v>
      </c>
      <c r="AK377" t="s">
        <v>4244</v>
      </c>
      <c r="AQ377">
        <v>1</v>
      </c>
    </row>
    <row r="378" spans="1:43" x14ac:dyDescent="0.25">
      <c r="A378" t="s">
        <v>31</v>
      </c>
      <c r="B378">
        <v>713</v>
      </c>
      <c r="C378">
        <v>208</v>
      </c>
      <c r="D378">
        <v>2905</v>
      </c>
      <c r="G378" t="s">
        <v>3902</v>
      </c>
      <c r="H378">
        <v>42830750000130</v>
      </c>
      <c r="I378" t="s">
        <v>3903</v>
      </c>
      <c r="J378" t="s">
        <v>4091</v>
      </c>
      <c r="K378" t="s">
        <v>3905</v>
      </c>
      <c r="M378" t="s">
        <v>3906</v>
      </c>
      <c r="O378" t="s">
        <v>3907</v>
      </c>
      <c r="P378" t="s">
        <v>1094</v>
      </c>
      <c r="Q378" t="s">
        <v>790</v>
      </c>
      <c r="S378" t="s">
        <v>1704</v>
      </c>
      <c r="T378" t="s">
        <v>319</v>
      </c>
      <c r="U378" t="s">
        <v>3409</v>
      </c>
      <c r="W378">
        <v>2100</v>
      </c>
      <c r="X378">
        <v>0</v>
      </c>
      <c r="Z378">
        <v>43</v>
      </c>
      <c r="AA378" s="31">
        <v>45988</v>
      </c>
      <c r="AB378" s="61">
        <v>0.71693287037037035</v>
      </c>
      <c r="AC378" t="s">
        <v>795</v>
      </c>
      <c r="AD378" s="31">
        <v>46031</v>
      </c>
      <c r="AE378" s="61">
        <v>0.50325231481481481</v>
      </c>
      <c r="AF378" t="s">
        <v>796</v>
      </c>
      <c r="AH378" t="s">
        <v>4243</v>
      </c>
      <c r="AK378" t="s">
        <v>2326</v>
      </c>
      <c r="AQ378">
        <v>1</v>
      </c>
    </row>
    <row r="379" spans="1:43" x14ac:dyDescent="0.25">
      <c r="A379" t="s">
        <v>31</v>
      </c>
      <c r="B379">
        <v>715</v>
      </c>
      <c r="C379">
        <v>191</v>
      </c>
      <c r="D379">
        <v>2911</v>
      </c>
      <c r="G379" t="s">
        <v>4245</v>
      </c>
      <c r="H379">
        <v>18628799000120</v>
      </c>
      <c r="I379" t="s">
        <v>3734</v>
      </c>
      <c r="J379" t="s">
        <v>3735</v>
      </c>
      <c r="K379" t="s">
        <v>2216</v>
      </c>
      <c r="M379" t="s">
        <v>2217</v>
      </c>
      <c r="O379" t="s">
        <v>3736</v>
      </c>
      <c r="P379" t="s">
        <v>1094</v>
      </c>
      <c r="Q379" t="s">
        <v>790</v>
      </c>
      <c r="T379" t="s">
        <v>319</v>
      </c>
      <c r="U379" t="s">
        <v>3417</v>
      </c>
      <c r="W379">
        <v>62091</v>
      </c>
      <c r="X379">
        <v>0</v>
      </c>
      <c r="Z379">
        <v>5</v>
      </c>
      <c r="AA379" s="31">
        <v>45989</v>
      </c>
      <c r="AB379" s="61">
        <v>0.67053240740740738</v>
      </c>
      <c r="AC379" t="s">
        <v>795</v>
      </c>
      <c r="AD379" s="31">
        <v>45994</v>
      </c>
      <c r="AE379" s="61">
        <v>0.42509259259259258</v>
      </c>
      <c r="AF379" t="s">
        <v>796</v>
      </c>
      <c r="AQ379">
        <v>1</v>
      </c>
    </row>
    <row r="380" spans="1:43" x14ac:dyDescent="0.25">
      <c r="A380" t="s">
        <v>31</v>
      </c>
      <c r="B380">
        <v>716</v>
      </c>
      <c r="D380">
        <v>2912</v>
      </c>
      <c r="G380" t="s">
        <v>4246</v>
      </c>
      <c r="H380">
        <v>38160619000136</v>
      </c>
      <c r="J380" t="s">
        <v>4198</v>
      </c>
      <c r="K380" t="s">
        <v>4199</v>
      </c>
      <c r="M380" t="s">
        <v>4200</v>
      </c>
      <c r="O380" t="s">
        <v>778</v>
      </c>
      <c r="T380" t="s">
        <v>319</v>
      </c>
      <c r="U380" t="s">
        <v>816</v>
      </c>
      <c r="W380">
        <v>714</v>
      </c>
      <c r="X380">
        <v>0</v>
      </c>
      <c r="Z380">
        <v>0</v>
      </c>
      <c r="AA380" s="31">
        <v>45989</v>
      </c>
      <c r="AB380" s="61">
        <v>0.6887268518518519</v>
      </c>
      <c r="AC380" t="s">
        <v>818</v>
      </c>
      <c r="AD380" s="31">
        <v>45989</v>
      </c>
      <c r="AE380" s="61">
        <v>0.70133101851851853</v>
      </c>
      <c r="AH380" t="s">
        <v>4247</v>
      </c>
      <c r="AQ380">
        <v>1</v>
      </c>
    </row>
    <row r="381" spans="1:43" x14ac:dyDescent="0.25">
      <c r="A381" t="s">
        <v>31</v>
      </c>
      <c r="B381">
        <v>720</v>
      </c>
      <c r="C381">
        <v>147</v>
      </c>
      <c r="D381">
        <v>2956</v>
      </c>
      <c r="G381" t="s">
        <v>4248</v>
      </c>
      <c r="H381">
        <v>7964558000136</v>
      </c>
      <c r="I381" t="s">
        <v>3430</v>
      </c>
      <c r="J381" t="s">
        <v>1317</v>
      </c>
      <c r="K381" t="s">
        <v>3515</v>
      </c>
      <c r="M381" t="s">
        <v>3433</v>
      </c>
      <c r="O381" t="s">
        <v>778</v>
      </c>
      <c r="S381" t="s">
        <v>1704</v>
      </c>
      <c r="T381" t="s">
        <v>319</v>
      </c>
      <c r="U381" t="s">
        <v>816</v>
      </c>
      <c r="W381">
        <v>5040</v>
      </c>
      <c r="X381">
        <v>114048</v>
      </c>
      <c r="Z381">
        <v>79</v>
      </c>
      <c r="AA381" s="31">
        <v>45993</v>
      </c>
      <c r="AB381" s="61">
        <v>0.49560185185185179</v>
      </c>
      <c r="AC381" t="s">
        <v>782</v>
      </c>
      <c r="AD381" s="31"/>
      <c r="AE381" s="61"/>
      <c r="AH381" t="s">
        <v>2452</v>
      </c>
      <c r="AI381" t="s">
        <v>2452</v>
      </c>
      <c r="AK381" t="s">
        <v>2510</v>
      </c>
      <c r="AL381" t="s">
        <v>1970</v>
      </c>
      <c r="AQ381">
        <v>1</v>
      </c>
    </row>
    <row r="382" spans="1:43" x14ac:dyDescent="0.25">
      <c r="A382" t="s">
        <v>31</v>
      </c>
      <c r="B382">
        <v>721</v>
      </c>
      <c r="C382">
        <v>190</v>
      </c>
      <c r="D382">
        <v>2957</v>
      </c>
      <c r="G382" t="s">
        <v>4249</v>
      </c>
      <c r="H382">
        <v>18203215000175</v>
      </c>
      <c r="I382" t="s">
        <v>3690</v>
      </c>
      <c r="J382" t="s">
        <v>4210</v>
      </c>
      <c r="K382" t="s">
        <v>3692</v>
      </c>
      <c r="M382" t="s">
        <v>3693</v>
      </c>
      <c r="O382" t="s">
        <v>3694</v>
      </c>
      <c r="P382" t="s">
        <v>3695</v>
      </c>
      <c r="Q382" t="s">
        <v>790</v>
      </c>
      <c r="S382" t="s">
        <v>1704</v>
      </c>
      <c r="T382" t="s">
        <v>319</v>
      </c>
      <c r="U382" t="s">
        <v>816</v>
      </c>
      <c r="W382">
        <v>7000</v>
      </c>
      <c r="X382">
        <v>0</v>
      </c>
      <c r="Z382">
        <v>8</v>
      </c>
      <c r="AA382" s="31">
        <v>45994</v>
      </c>
      <c r="AB382" s="61">
        <v>0.48918981481481483</v>
      </c>
      <c r="AC382" t="s">
        <v>818</v>
      </c>
      <c r="AD382" s="31">
        <v>46002</v>
      </c>
      <c r="AE382" s="61">
        <v>0.68612268518518515</v>
      </c>
      <c r="AH382" t="s">
        <v>2465</v>
      </c>
      <c r="AI382" t="s">
        <v>2465</v>
      </c>
      <c r="AQ382">
        <v>1</v>
      </c>
    </row>
    <row r="383" spans="1:43" x14ac:dyDescent="0.25">
      <c r="A383" t="s">
        <v>31</v>
      </c>
      <c r="B383">
        <v>722</v>
      </c>
      <c r="C383">
        <v>195</v>
      </c>
      <c r="D383">
        <v>2964</v>
      </c>
      <c r="G383" t="s">
        <v>4250</v>
      </c>
      <c r="H383">
        <v>49682710000138</v>
      </c>
      <c r="I383" t="s">
        <v>4059</v>
      </c>
      <c r="J383" t="s">
        <v>4060</v>
      </c>
      <c r="K383" t="s">
        <v>4061</v>
      </c>
      <c r="M383" t="s">
        <v>4062</v>
      </c>
      <c r="O383" t="s">
        <v>4063</v>
      </c>
      <c r="P383" t="s">
        <v>1633</v>
      </c>
      <c r="Q383" t="s">
        <v>848</v>
      </c>
      <c r="T383" t="s">
        <v>319</v>
      </c>
      <c r="U383" t="s">
        <v>816</v>
      </c>
      <c r="W383">
        <v>7200</v>
      </c>
      <c r="X383">
        <v>0</v>
      </c>
      <c r="Z383">
        <v>0</v>
      </c>
      <c r="AA383" s="31">
        <v>45996</v>
      </c>
      <c r="AB383" s="61">
        <v>0.39057870370370368</v>
      </c>
      <c r="AC383" t="s">
        <v>818</v>
      </c>
      <c r="AD383" s="31">
        <v>45996</v>
      </c>
      <c r="AE383" s="61">
        <v>0.41447916666666668</v>
      </c>
      <c r="AH383" t="s">
        <v>2459</v>
      </c>
      <c r="AQ383">
        <v>1</v>
      </c>
    </row>
    <row r="384" spans="1:43" x14ac:dyDescent="0.25">
      <c r="A384" t="s">
        <v>31</v>
      </c>
      <c r="B384">
        <v>723</v>
      </c>
      <c r="C384">
        <v>197</v>
      </c>
      <c r="D384">
        <v>2965</v>
      </c>
      <c r="G384" t="s">
        <v>4251</v>
      </c>
      <c r="H384">
        <v>8616236000169</v>
      </c>
      <c r="I384" t="s">
        <v>3726</v>
      </c>
      <c r="J384" t="s">
        <v>704</v>
      </c>
      <c r="K384" t="s">
        <v>3727</v>
      </c>
      <c r="M384" t="s">
        <v>3728</v>
      </c>
      <c r="O384" t="s">
        <v>3729</v>
      </c>
      <c r="P384" t="s">
        <v>3687</v>
      </c>
      <c r="Q384" t="s">
        <v>790</v>
      </c>
      <c r="S384" t="s">
        <v>1581</v>
      </c>
      <c r="T384" t="s">
        <v>319</v>
      </c>
      <c r="U384" t="s">
        <v>816</v>
      </c>
      <c r="W384">
        <v>2856</v>
      </c>
      <c r="X384">
        <v>60588</v>
      </c>
      <c r="Z384">
        <v>38</v>
      </c>
      <c r="AA384" s="31">
        <v>45996</v>
      </c>
      <c r="AB384" s="61">
        <v>0.70861111111111108</v>
      </c>
      <c r="AC384" t="s">
        <v>795</v>
      </c>
      <c r="AD384" s="31">
        <v>46034</v>
      </c>
      <c r="AE384" s="61">
        <v>0.46759259259259262</v>
      </c>
      <c r="AF384" t="s">
        <v>934</v>
      </c>
      <c r="AH384" t="s">
        <v>2459</v>
      </c>
      <c r="AI384" t="s">
        <v>2459</v>
      </c>
      <c r="AK384" t="s">
        <v>2519</v>
      </c>
      <c r="AQ384">
        <v>1</v>
      </c>
    </row>
    <row r="385" spans="1:43" x14ac:dyDescent="0.25">
      <c r="A385" t="s">
        <v>31</v>
      </c>
      <c r="B385">
        <v>724</v>
      </c>
      <c r="C385">
        <v>180</v>
      </c>
      <c r="D385">
        <v>2968</v>
      </c>
      <c r="G385" t="s">
        <v>4252</v>
      </c>
      <c r="H385">
        <v>7287290000226</v>
      </c>
      <c r="I385" t="s">
        <v>3561</v>
      </c>
      <c r="J385" t="s">
        <v>3922</v>
      </c>
      <c r="K385" t="s">
        <v>3563</v>
      </c>
      <c r="M385" t="s">
        <v>3564</v>
      </c>
      <c r="O385" t="s">
        <v>3565</v>
      </c>
      <c r="P385" t="s">
        <v>3566</v>
      </c>
      <c r="Q385" t="s">
        <v>790</v>
      </c>
      <c r="S385" t="s">
        <v>1419</v>
      </c>
      <c r="T385" t="s">
        <v>319</v>
      </c>
      <c r="U385" t="s">
        <v>3417</v>
      </c>
      <c r="W385">
        <v>669483</v>
      </c>
      <c r="X385">
        <v>0</v>
      </c>
      <c r="Z385">
        <v>28</v>
      </c>
      <c r="AA385" s="31">
        <v>45999</v>
      </c>
      <c r="AB385" s="61">
        <v>0.47325231481481478</v>
      </c>
      <c r="AC385" t="s">
        <v>795</v>
      </c>
      <c r="AD385" s="31">
        <v>46027</v>
      </c>
      <c r="AE385" s="61">
        <v>0.60864583333333333</v>
      </c>
      <c r="AF385" t="s">
        <v>934</v>
      </c>
      <c r="AH385" t="s">
        <v>4253</v>
      </c>
      <c r="AK385" t="s">
        <v>2520</v>
      </c>
      <c r="AQ385">
        <v>1</v>
      </c>
    </row>
    <row r="386" spans="1:43" x14ac:dyDescent="0.25">
      <c r="A386" t="s">
        <v>31</v>
      </c>
      <c r="B386">
        <v>738</v>
      </c>
      <c r="C386">
        <v>133</v>
      </c>
      <c r="D386">
        <v>2990</v>
      </c>
      <c r="G386" t="s">
        <v>4254</v>
      </c>
      <c r="H386">
        <v>9517464000144</v>
      </c>
      <c r="I386" t="s">
        <v>625</v>
      </c>
      <c r="J386" t="s">
        <v>4255</v>
      </c>
      <c r="K386" t="s">
        <v>3584</v>
      </c>
      <c r="M386" t="s">
        <v>2207</v>
      </c>
      <c r="O386" t="s">
        <v>778</v>
      </c>
      <c r="S386" t="s">
        <v>1704</v>
      </c>
      <c r="T386" t="s">
        <v>319</v>
      </c>
      <c r="U386" t="s">
        <v>816</v>
      </c>
      <c r="W386">
        <v>3570</v>
      </c>
      <c r="X386">
        <v>0</v>
      </c>
      <c r="Z386">
        <v>1</v>
      </c>
      <c r="AA386" s="31">
        <v>46002</v>
      </c>
      <c r="AB386" s="61">
        <v>0.69379629629629624</v>
      </c>
      <c r="AC386" t="s">
        <v>818</v>
      </c>
      <c r="AD386" s="31">
        <v>46003</v>
      </c>
      <c r="AE386" s="61">
        <v>0.74067129629629624</v>
      </c>
      <c r="AH386" t="s">
        <v>4256</v>
      </c>
      <c r="AI386" t="s">
        <v>4256</v>
      </c>
      <c r="AK386" t="s">
        <v>2326</v>
      </c>
      <c r="AQ386">
        <v>1</v>
      </c>
    </row>
    <row r="387" spans="1:43" x14ac:dyDescent="0.25">
      <c r="A387" t="s">
        <v>31</v>
      </c>
      <c r="B387">
        <v>743</v>
      </c>
      <c r="D387">
        <v>2998</v>
      </c>
      <c r="G387" t="s">
        <v>4191</v>
      </c>
      <c r="H387">
        <v>49119936000125</v>
      </c>
      <c r="J387" t="s">
        <v>1288</v>
      </c>
      <c r="K387" t="s">
        <v>4193</v>
      </c>
      <c r="M387" t="s">
        <v>4096</v>
      </c>
      <c r="O387" t="s">
        <v>778</v>
      </c>
      <c r="S387" t="s">
        <v>1718</v>
      </c>
      <c r="T387" t="s">
        <v>319</v>
      </c>
      <c r="U387" t="s">
        <v>3417</v>
      </c>
      <c r="W387">
        <v>0</v>
      </c>
      <c r="X387">
        <v>26136</v>
      </c>
      <c r="Z387">
        <v>33</v>
      </c>
      <c r="AA387" s="31">
        <v>46008</v>
      </c>
      <c r="AB387" s="61">
        <v>0.69160879629629635</v>
      </c>
      <c r="AC387" t="s">
        <v>795</v>
      </c>
      <c r="AD387" s="31">
        <v>46041</v>
      </c>
      <c r="AE387" s="61">
        <v>0.43174768518518519</v>
      </c>
      <c r="AF387" t="s">
        <v>934</v>
      </c>
      <c r="AH387" t="s">
        <v>4257</v>
      </c>
      <c r="AI387" t="s">
        <v>4257</v>
      </c>
      <c r="AK387" t="s">
        <v>4257</v>
      </c>
      <c r="AQ387">
        <v>1</v>
      </c>
    </row>
    <row r="388" spans="1:43" x14ac:dyDescent="0.25">
      <c r="A388" t="s">
        <v>31</v>
      </c>
      <c r="B388">
        <v>744</v>
      </c>
      <c r="C388">
        <v>134</v>
      </c>
      <c r="D388">
        <v>2999</v>
      </c>
      <c r="G388" t="s">
        <v>3863</v>
      </c>
      <c r="I388" t="s">
        <v>3377</v>
      </c>
      <c r="J388" t="s">
        <v>3985</v>
      </c>
      <c r="K388" t="s">
        <v>3830</v>
      </c>
      <c r="M388" t="s">
        <v>3379</v>
      </c>
      <c r="O388" t="s">
        <v>778</v>
      </c>
      <c r="T388" t="s">
        <v>319</v>
      </c>
      <c r="U388" t="s">
        <v>816</v>
      </c>
      <c r="W388">
        <v>9867</v>
      </c>
      <c r="X388">
        <v>8000</v>
      </c>
      <c r="Z388">
        <v>21</v>
      </c>
      <c r="AA388" s="31">
        <v>46008</v>
      </c>
      <c r="AB388" s="61">
        <v>0.702662037037037</v>
      </c>
      <c r="AC388" t="s">
        <v>818</v>
      </c>
      <c r="AD388" s="31">
        <v>46029</v>
      </c>
      <c r="AE388" s="61">
        <v>0.45002314814814809</v>
      </c>
      <c r="AH388" t="s">
        <v>4257</v>
      </c>
      <c r="AI388" t="s">
        <v>4258</v>
      </c>
      <c r="AK388" t="s">
        <v>4259</v>
      </c>
      <c r="AQ388">
        <v>1</v>
      </c>
    </row>
    <row r="389" spans="1:43" x14ac:dyDescent="0.25">
      <c r="A389" t="s">
        <v>31</v>
      </c>
      <c r="B389">
        <v>745</v>
      </c>
      <c r="C389">
        <v>122</v>
      </c>
      <c r="D389">
        <v>137</v>
      </c>
      <c r="G389" t="s">
        <v>4260</v>
      </c>
      <c r="I389" t="s">
        <v>680</v>
      </c>
      <c r="J389" t="s">
        <v>680</v>
      </c>
      <c r="K389" t="s">
        <v>3350</v>
      </c>
      <c r="M389" t="s">
        <v>3351</v>
      </c>
      <c r="O389" t="s">
        <v>778</v>
      </c>
      <c r="S389" t="s">
        <v>1718</v>
      </c>
      <c r="T389" t="s">
        <v>319</v>
      </c>
      <c r="U389" t="s">
        <v>3417</v>
      </c>
      <c r="W389">
        <v>3360</v>
      </c>
      <c r="X389">
        <v>0</v>
      </c>
      <c r="Z389">
        <v>31</v>
      </c>
      <c r="AA389" s="31">
        <v>46010</v>
      </c>
      <c r="AB389" s="61">
        <v>0.45038194444444452</v>
      </c>
      <c r="AC389" t="s">
        <v>795</v>
      </c>
      <c r="AD389" s="31">
        <v>46041</v>
      </c>
      <c r="AE389" s="61">
        <v>0.37591435185185179</v>
      </c>
      <c r="AF389" t="s">
        <v>796</v>
      </c>
      <c r="AH389" t="s">
        <v>4261</v>
      </c>
      <c r="AI389" t="s">
        <v>4262</v>
      </c>
      <c r="AK389" t="s">
        <v>4261</v>
      </c>
      <c r="AQ389">
        <v>1</v>
      </c>
    </row>
    <row r="390" spans="1:43" x14ac:dyDescent="0.25">
      <c r="A390" t="s">
        <v>31</v>
      </c>
      <c r="B390">
        <v>751</v>
      </c>
      <c r="D390">
        <v>3019</v>
      </c>
      <c r="G390" t="s">
        <v>4263</v>
      </c>
      <c r="H390">
        <v>38160619000136</v>
      </c>
      <c r="J390" t="s">
        <v>4198</v>
      </c>
      <c r="K390" t="s">
        <v>4199</v>
      </c>
      <c r="M390" t="s">
        <v>4200</v>
      </c>
      <c r="O390" t="s">
        <v>778</v>
      </c>
      <c r="S390" t="s">
        <v>1718</v>
      </c>
      <c r="T390" t="s">
        <v>319</v>
      </c>
      <c r="U390" t="s">
        <v>3417</v>
      </c>
      <c r="W390">
        <v>13100</v>
      </c>
      <c r="X390">
        <v>1700</v>
      </c>
      <c r="Z390">
        <v>44</v>
      </c>
      <c r="AA390" s="31">
        <v>46028</v>
      </c>
      <c r="AB390" s="61">
        <v>0.47716435185185191</v>
      </c>
      <c r="AC390" t="s">
        <v>782</v>
      </c>
      <c r="AD390" s="31"/>
      <c r="AE390" s="61"/>
      <c r="AH390" t="s">
        <v>4264</v>
      </c>
      <c r="AK390" t="s">
        <v>4264</v>
      </c>
      <c r="AL390" t="s">
        <v>2119</v>
      </c>
      <c r="AQ390">
        <v>1</v>
      </c>
    </row>
    <row r="391" spans="1:43" x14ac:dyDescent="0.25">
      <c r="A391" t="s">
        <v>31</v>
      </c>
      <c r="B391">
        <v>752</v>
      </c>
      <c r="C391">
        <v>0</v>
      </c>
      <c r="D391">
        <v>3020</v>
      </c>
      <c r="G391" t="s">
        <v>4265</v>
      </c>
      <c r="H391">
        <v>38160619000136</v>
      </c>
      <c r="J391" t="s">
        <v>4198</v>
      </c>
      <c r="K391" t="s">
        <v>4199</v>
      </c>
      <c r="M391" t="s">
        <v>4200</v>
      </c>
      <c r="O391" t="s">
        <v>778</v>
      </c>
      <c r="S391" t="s">
        <v>1718</v>
      </c>
      <c r="T391" t="s">
        <v>319</v>
      </c>
      <c r="U391" t="s">
        <v>781</v>
      </c>
      <c r="Z391">
        <v>37</v>
      </c>
      <c r="AA391" s="31">
        <v>46028</v>
      </c>
      <c r="AB391" s="61">
        <v>0.49056712962962962</v>
      </c>
      <c r="AC391" t="s">
        <v>795</v>
      </c>
      <c r="AD391" s="31">
        <v>46065</v>
      </c>
      <c r="AE391" s="61">
        <v>0.7333912037037037</v>
      </c>
      <c r="AF391" t="s">
        <v>796</v>
      </c>
      <c r="AK391" t="s">
        <v>4264</v>
      </c>
      <c r="AL391" t="s">
        <v>2119</v>
      </c>
      <c r="AQ391">
        <v>1</v>
      </c>
    </row>
    <row r="392" spans="1:43" x14ac:dyDescent="0.25">
      <c r="A392" t="s">
        <v>31</v>
      </c>
      <c r="B392">
        <v>753</v>
      </c>
      <c r="C392">
        <v>152</v>
      </c>
      <c r="D392">
        <v>3021</v>
      </c>
      <c r="E392" t="s">
        <v>4266</v>
      </c>
      <c r="AA392" s="31"/>
      <c r="AB392" s="61"/>
      <c r="AD392" s="31"/>
      <c r="AE392" s="61"/>
      <c r="AQ392">
        <v>1</v>
      </c>
    </row>
    <row r="393" spans="1:43" x14ac:dyDescent="0.25">
      <c r="A393" t="s">
        <v>4267</v>
      </c>
      <c r="AA393" s="31"/>
      <c r="AB393" s="61"/>
      <c r="AD393" s="31"/>
      <c r="AE393" s="61"/>
      <c r="AQ393">
        <v>1</v>
      </c>
    </row>
    <row r="394" spans="1:43" x14ac:dyDescent="0.25">
      <c r="A394" t="s">
        <v>4268</v>
      </c>
      <c r="AA394" s="31"/>
      <c r="AB394" s="61"/>
      <c r="AD394" s="31"/>
      <c r="AE394" s="61"/>
      <c r="AQ394">
        <v>1</v>
      </c>
    </row>
    <row r="395" spans="1:43" x14ac:dyDescent="0.25">
      <c r="A395" t="s">
        <v>4269</v>
      </c>
      <c r="AA395" s="31"/>
      <c r="AB395" s="61"/>
      <c r="AD395" s="31"/>
      <c r="AE395" s="61"/>
      <c r="AQ395">
        <v>1</v>
      </c>
    </row>
    <row r="396" spans="1:43" x14ac:dyDescent="0.25">
      <c r="A396" t="s">
        <v>4270</v>
      </c>
      <c r="AA396" s="31"/>
      <c r="AB396" s="61"/>
      <c r="AD396" s="31"/>
      <c r="AE396" s="61"/>
      <c r="AQ396">
        <v>1</v>
      </c>
    </row>
    <row r="397" spans="1:43" x14ac:dyDescent="0.25">
      <c r="A397" t="s">
        <v>4271</v>
      </c>
      <c r="AA397" s="31"/>
      <c r="AB397" s="61"/>
      <c r="AD397" s="31"/>
      <c r="AE397" s="61"/>
      <c r="AQ397">
        <v>1</v>
      </c>
    </row>
    <row r="398" spans="1:43" x14ac:dyDescent="0.25">
      <c r="A398" t="s">
        <v>4271</v>
      </c>
      <c r="AA398" s="31"/>
      <c r="AB398" s="61"/>
      <c r="AD398" s="31"/>
      <c r="AE398" s="61"/>
      <c r="AQ398">
        <v>1</v>
      </c>
    </row>
    <row r="399" spans="1:43" x14ac:dyDescent="0.25">
      <c r="A399" t="s">
        <v>4271</v>
      </c>
      <c r="AA399" s="31"/>
      <c r="AB399" s="61"/>
      <c r="AD399" s="31"/>
      <c r="AE399" s="61"/>
      <c r="AQ399">
        <v>1</v>
      </c>
    </row>
    <row r="400" spans="1:43" x14ac:dyDescent="0.25">
      <c r="A400" t="s">
        <v>4271</v>
      </c>
      <c r="AA400" s="31"/>
      <c r="AB400" s="61"/>
      <c r="AD400" s="31"/>
      <c r="AE400" s="61"/>
      <c r="AQ400">
        <v>1</v>
      </c>
    </row>
    <row r="401" spans="1:43" x14ac:dyDescent="0.25">
      <c r="A401" t="s">
        <v>4272</v>
      </c>
      <c r="AA401" s="31"/>
      <c r="AB401" s="61"/>
      <c r="AD401" s="31"/>
      <c r="AE401" s="61"/>
      <c r="AQ401">
        <v>1</v>
      </c>
    </row>
    <row r="402" spans="1:43" x14ac:dyDescent="0.25">
      <c r="A402" t="s">
        <v>4272</v>
      </c>
      <c r="F402" t="s">
        <v>3445</v>
      </c>
      <c r="G402" t="s">
        <v>4273</v>
      </c>
      <c r="J402" t="s">
        <v>3448</v>
      </c>
      <c r="P402" t="s">
        <v>1718</v>
      </c>
      <c r="Q402" t="s">
        <v>319</v>
      </c>
      <c r="R402" t="s">
        <v>3417</v>
      </c>
      <c r="T402" t="s">
        <v>4274</v>
      </c>
      <c r="U402" t="s">
        <v>4275</v>
      </c>
      <c r="W402">
        <v>30</v>
      </c>
      <c r="Y402" t="s">
        <v>4276</v>
      </c>
      <c r="AA402" s="31">
        <v>46058</v>
      </c>
      <c r="AB402" s="61">
        <v>0.60276620370370371</v>
      </c>
      <c r="AC402" t="s">
        <v>3463</v>
      </c>
      <c r="AD402" s="31"/>
      <c r="AE402" s="61"/>
      <c r="AH402" t="s">
        <v>2990</v>
      </c>
      <c r="AQ402">
        <v>1</v>
      </c>
    </row>
    <row r="403" spans="1:43" x14ac:dyDescent="0.25">
      <c r="A403" t="s">
        <v>31</v>
      </c>
      <c r="B403">
        <v>755</v>
      </c>
      <c r="C403">
        <v>194</v>
      </c>
      <c r="D403">
        <v>3043</v>
      </c>
      <c r="G403" t="s">
        <v>4277</v>
      </c>
      <c r="H403">
        <v>44580314000186</v>
      </c>
      <c r="I403" t="s">
        <v>3682</v>
      </c>
      <c r="J403" t="s">
        <v>704</v>
      </c>
      <c r="K403" t="s">
        <v>3684</v>
      </c>
      <c r="M403" t="s">
        <v>3685</v>
      </c>
      <c r="O403" t="s">
        <v>3686</v>
      </c>
      <c r="P403" t="s">
        <v>3687</v>
      </c>
      <c r="Q403" t="s">
        <v>790</v>
      </c>
      <c r="S403" t="s">
        <v>1704</v>
      </c>
      <c r="T403" t="s">
        <v>319</v>
      </c>
      <c r="U403" t="s">
        <v>816</v>
      </c>
      <c r="W403">
        <v>8100</v>
      </c>
      <c r="X403">
        <v>1080</v>
      </c>
      <c r="Z403">
        <v>37</v>
      </c>
      <c r="AA403" s="31">
        <v>46029</v>
      </c>
      <c r="AB403" s="61">
        <v>0.7151967592592593</v>
      </c>
      <c r="AC403" t="s">
        <v>818</v>
      </c>
      <c r="AD403" s="31">
        <v>46066</v>
      </c>
      <c r="AE403" s="61">
        <v>0.39057870370370368</v>
      </c>
      <c r="AH403" t="s">
        <v>4278</v>
      </c>
      <c r="AI403" t="s">
        <v>4278</v>
      </c>
      <c r="AK403" t="s">
        <v>4278</v>
      </c>
      <c r="AL403" t="s">
        <v>1970</v>
      </c>
      <c r="AQ403">
        <v>1</v>
      </c>
    </row>
    <row r="404" spans="1:43" x14ac:dyDescent="0.25">
      <c r="A404" t="s">
        <v>31</v>
      </c>
      <c r="B404">
        <v>756</v>
      </c>
      <c r="C404">
        <v>194</v>
      </c>
      <c r="D404">
        <v>3044</v>
      </c>
      <c r="G404" t="s">
        <v>233</v>
      </c>
      <c r="H404">
        <v>44580314000186</v>
      </c>
      <c r="I404" t="s">
        <v>3682</v>
      </c>
      <c r="J404" t="s">
        <v>704</v>
      </c>
      <c r="K404" t="s">
        <v>3684</v>
      </c>
      <c r="M404" t="s">
        <v>3685</v>
      </c>
      <c r="O404" t="s">
        <v>3686</v>
      </c>
      <c r="P404" t="s">
        <v>3687</v>
      </c>
      <c r="Q404" t="s">
        <v>790</v>
      </c>
      <c r="S404" t="s">
        <v>1718</v>
      </c>
      <c r="T404" t="s">
        <v>319</v>
      </c>
      <c r="U404" t="s">
        <v>3417</v>
      </c>
      <c r="W404">
        <v>29400</v>
      </c>
      <c r="X404">
        <v>0</v>
      </c>
      <c r="Z404">
        <v>43</v>
      </c>
      <c r="AA404" s="31">
        <v>46029</v>
      </c>
      <c r="AB404" s="61">
        <v>0.72042824074074074</v>
      </c>
      <c r="AC404" t="s">
        <v>782</v>
      </c>
      <c r="AD404" s="31"/>
      <c r="AE404" s="61"/>
      <c r="AH404" t="s">
        <v>4279</v>
      </c>
      <c r="AK404" t="s">
        <v>2591</v>
      </c>
      <c r="AL404" t="s">
        <v>2119</v>
      </c>
      <c r="AQ404">
        <v>1</v>
      </c>
    </row>
    <row r="405" spans="1:43" x14ac:dyDescent="0.25">
      <c r="A405" t="s">
        <v>31</v>
      </c>
      <c r="B405">
        <v>765</v>
      </c>
      <c r="C405">
        <v>85</v>
      </c>
      <c r="D405">
        <v>3062</v>
      </c>
      <c r="E405" t="s">
        <v>4280</v>
      </c>
      <c r="AA405" s="31"/>
      <c r="AB405" s="61"/>
      <c r="AD405" s="31"/>
      <c r="AE405" s="61"/>
      <c r="AQ405">
        <v>1</v>
      </c>
    </row>
    <row r="406" spans="1:43" x14ac:dyDescent="0.25">
      <c r="A406" t="s">
        <v>4281</v>
      </c>
      <c r="AA406" s="31"/>
      <c r="AB406" s="61"/>
      <c r="AD406" s="31"/>
      <c r="AE406" s="61"/>
      <c r="AQ406">
        <v>1</v>
      </c>
    </row>
    <row r="407" spans="1:43" x14ac:dyDescent="0.25">
      <c r="A407" t="s">
        <v>4282</v>
      </c>
      <c r="AA407" s="31"/>
      <c r="AB407" s="61"/>
      <c r="AD407" s="31"/>
      <c r="AE407" s="61"/>
      <c r="AQ407">
        <v>1</v>
      </c>
    </row>
    <row r="408" spans="1:43" x14ac:dyDescent="0.25">
      <c r="A408" t="s">
        <v>4283</v>
      </c>
      <c r="AA408" s="31"/>
      <c r="AB408" s="61"/>
      <c r="AD408" s="31"/>
      <c r="AE408" s="61"/>
      <c r="AQ408">
        <v>1</v>
      </c>
    </row>
    <row r="409" spans="1:43" x14ac:dyDescent="0.25">
      <c r="A409" t="s">
        <v>4284</v>
      </c>
      <c r="AA409" s="31"/>
      <c r="AB409" s="61"/>
      <c r="AD409" s="31"/>
      <c r="AE409" s="61"/>
      <c r="AQ409">
        <v>1</v>
      </c>
    </row>
    <row r="410" spans="1:43" x14ac:dyDescent="0.25">
      <c r="A410" t="s">
        <v>4267</v>
      </c>
      <c r="AA410" s="31"/>
      <c r="AB410" s="61"/>
      <c r="AD410" s="31"/>
      <c r="AE410" s="61"/>
      <c r="AQ410">
        <v>1</v>
      </c>
    </row>
    <row r="411" spans="1:43" x14ac:dyDescent="0.25">
      <c r="A411" t="s">
        <v>4285</v>
      </c>
      <c r="AA411" s="31"/>
      <c r="AB411" s="61"/>
      <c r="AD411" s="31"/>
      <c r="AE411" s="61"/>
      <c r="AQ411">
        <v>1</v>
      </c>
    </row>
    <row r="412" spans="1:43" x14ac:dyDescent="0.25">
      <c r="A412" t="s">
        <v>4269</v>
      </c>
      <c r="AA412" s="31"/>
      <c r="AB412" s="61"/>
      <c r="AD412" s="31"/>
      <c r="AE412" s="61"/>
      <c r="AQ412">
        <v>1</v>
      </c>
    </row>
    <row r="413" spans="1:43" x14ac:dyDescent="0.25">
      <c r="A413" t="s">
        <v>4270</v>
      </c>
      <c r="AA413" s="31"/>
      <c r="AB413" s="61"/>
      <c r="AD413" s="31"/>
      <c r="AE413" s="61"/>
      <c r="AQ413">
        <v>1</v>
      </c>
    </row>
    <row r="414" spans="1:43" x14ac:dyDescent="0.25">
      <c r="A414" t="s">
        <v>4286</v>
      </c>
      <c r="AA414" s="31"/>
      <c r="AB414" s="61"/>
      <c r="AD414" s="31"/>
      <c r="AE414" s="61"/>
      <c r="AQ414">
        <v>1</v>
      </c>
    </row>
    <row r="415" spans="1:43" x14ac:dyDescent="0.25">
      <c r="A415" t="s">
        <v>4286</v>
      </c>
      <c r="E415" t="s">
        <v>4287</v>
      </c>
      <c r="F415" t="s">
        <v>4288</v>
      </c>
      <c r="G415" t="s">
        <v>3261</v>
      </c>
      <c r="I415" t="s">
        <v>3972</v>
      </c>
      <c r="K415" t="s">
        <v>3263</v>
      </c>
      <c r="M415" t="s">
        <v>778</v>
      </c>
      <c r="N415" t="s">
        <v>3264</v>
      </c>
      <c r="Q415" t="s">
        <v>1718</v>
      </c>
      <c r="R415" t="s">
        <v>319</v>
      </c>
      <c r="S415" t="s">
        <v>3417</v>
      </c>
      <c r="U415" t="s">
        <v>4289</v>
      </c>
      <c r="V415" t="s">
        <v>4275</v>
      </c>
      <c r="X415">
        <v>41</v>
      </c>
      <c r="Y415" t="s">
        <v>4290</v>
      </c>
      <c r="AA415" s="31"/>
      <c r="AB415" s="61"/>
      <c r="AD415" s="31"/>
      <c r="AE415" s="61"/>
      <c r="AF415" t="s">
        <v>2619</v>
      </c>
      <c r="AI415" t="s">
        <v>2990</v>
      </c>
      <c r="AJ415" t="s">
        <v>2119</v>
      </c>
      <c r="AQ415">
        <v>1</v>
      </c>
    </row>
    <row r="416" spans="1:43" x14ac:dyDescent="0.25">
      <c r="A416" t="s">
        <v>31</v>
      </c>
      <c r="B416">
        <v>791</v>
      </c>
      <c r="C416">
        <v>182</v>
      </c>
      <c r="D416">
        <v>3085</v>
      </c>
      <c r="E416" t="s">
        <v>4291</v>
      </c>
      <c r="AA416" s="31"/>
      <c r="AB416" s="61"/>
      <c r="AD416" s="31"/>
      <c r="AE416" s="61"/>
      <c r="AQ416">
        <v>1</v>
      </c>
    </row>
    <row r="417" spans="1:43" x14ac:dyDescent="0.25">
      <c r="A417" t="s">
        <v>4292</v>
      </c>
      <c r="D417">
        <v>23873456000161</v>
      </c>
      <c r="E417" t="s">
        <v>3573</v>
      </c>
      <c r="F417" t="s">
        <v>3655</v>
      </c>
      <c r="G417" t="s">
        <v>3575</v>
      </c>
      <c r="I417" t="s">
        <v>3576</v>
      </c>
      <c r="K417" t="s">
        <v>3577</v>
      </c>
      <c r="M417" t="s">
        <v>790</v>
      </c>
      <c r="P417" t="s">
        <v>319</v>
      </c>
      <c r="Q417" t="s">
        <v>3417</v>
      </c>
      <c r="S417" t="s">
        <v>4293</v>
      </c>
      <c r="T417" t="s">
        <v>4171</v>
      </c>
      <c r="V417" t="s">
        <v>4294</v>
      </c>
      <c r="Y417" t="s">
        <v>795</v>
      </c>
      <c r="AA417" s="31"/>
      <c r="AB417" s="61"/>
      <c r="AD417" s="31"/>
      <c r="AE417" s="61"/>
      <c r="AQ417">
        <v>1</v>
      </c>
    </row>
    <row r="418" spans="1:43" x14ac:dyDescent="0.25">
      <c r="A418" t="s">
        <v>31</v>
      </c>
      <c r="B418">
        <v>797</v>
      </c>
      <c r="C418">
        <v>103</v>
      </c>
      <c r="D418">
        <v>3089</v>
      </c>
      <c r="E418" t="s">
        <v>4295</v>
      </c>
      <c r="AA418" s="31"/>
      <c r="AB418" s="61"/>
      <c r="AD418" s="31"/>
      <c r="AE418" s="61"/>
      <c r="AQ418">
        <v>1</v>
      </c>
    </row>
    <row r="419" spans="1:43" x14ac:dyDescent="0.25">
      <c r="A419" t="s">
        <v>4296</v>
      </c>
      <c r="D419">
        <v>12549273000179</v>
      </c>
      <c r="E419" t="s">
        <v>3309</v>
      </c>
      <c r="F419" t="s">
        <v>4297</v>
      </c>
      <c r="I419" t="s">
        <v>3312</v>
      </c>
      <c r="K419" t="s">
        <v>3313</v>
      </c>
      <c r="M419" t="s">
        <v>790</v>
      </c>
      <c r="O419" t="s">
        <v>1718</v>
      </c>
      <c r="P419" t="s">
        <v>319</v>
      </c>
      <c r="Q419" t="s">
        <v>816</v>
      </c>
      <c r="S419" t="s">
        <v>4298</v>
      </c>
      <c r="T419" t="s">
        <v>4275</v>
      </c>
      <c r="V419" t="s">
        <v>4299</v>
      </c>
      <c r="Y419" t="s">
        <v>818</v>
      </c>
      <c r="AA419" s="31"/>
      <c r="AB419" s="61"/>
      <c r="AD419" s="31"/>
      <c r="AE419" s="61"/>
      <c r="AH419" t="s">
        <v>2119</v>
      </c>
      <c r="AQ419">
        <v>1</v>
      </c>
    </row>
    <row r="420" spans="1:43" x14ac:dyDescent="0.25">
      <c r="A420" t="s">
        <v>31</v>
      </c>
      <c r="B420">
        <v>798</v>
      </c>
      <c r="C420">
        <v>149</v>
      </c>
      <c r="D420">
        <v>3090</v>
      </c>
      <c r="E420" t="s">
        <v>4300</v>
      </c>
      <c r="G420" t="s">
        <v>4301</v>
      </c>
      <c r="H420">
        <v>12418196000118</v>
      </c>
      <c r="I420" t="s">
        <v>3645</v>
      </c>
      <c r="J420" t="s">
        <v>3878</v>
      </c>
      <c r="K420" t="s">
        <v>3647</v>
      </c>
      <c r="M420" t="s">
        <v>3648</v>
      </c>
      <c r="O420" t="s">
        <v>778</v>
      </c>
      <c r="T420" t="s">
        <v>319</v>
      </c>
      <c r="U420" t="s">
        <v>3606</v>
      </c>
      <c r="Z420">
        <v>0</v>
      </c>
      <c r="AA420" s="31">
        <v>46036</v>
      </c>
      <c r="AB420" s="61">
        <v>0.52998842592592588</v>
      </c>
      <c r="AC420" t="s">
        <v>795</v>
      </c>
      <c r="AD420" s="31">
        <v>46036</v>
      </c>
      <c r="AE420" s="61">
        <v>0.53285879629629629</v>
      </c>
      <c r="AF420" t="s">
        <v>1358</v>
      </c>
      <c r="AI420" t="s">
        <v>2770</v>
      </c>
      <c r="AK420" t="s">
        <v>2808</v>
      </c>
      <c r="AQ420">
        <v>1</v>
      </c>
    </row>
    <row r="421" spans="1:43" x14ac:dyDescent="0.25">
      <c r="A421" t="s">
        <v>31</v>
      </c>
      <c r="B421">
        <v>801</v>
      </c>
      <c r="C421">
        <v>211</v>
      </c>
      <c r="D421">
        <v>3097</v>
      </c>
      <c r="E421" t="s">
        <v>4302</v>
      </c>
      <c r="G421" t="s">
        <v>4303</v>
      </c>
      <c r="H421">
        <v>5691820000190</v>
      </c>
      <c r="I421" t="s">
        <v>3912</v>
      </c>
      <c r="J421" t="s">
        <v>3431</v>
      </c>
      <c r="K421" t="s">
        <v>3913</v>
      </c>
      <c r="M421" t="s">
        <v>3914</v>
      </c>
      <c r="O421" t="s">
        <v>3915</v>
      </c>
      <c r="P421" t="s">
        <v>1026</v>
      </c>
      <c r="Q421" t="s">
        <v>1027</v>
      </c>
      <c r="T421" t="s">
        <v>319</v>
      </c>
      <c r="U421" t="s">
        <v>816</v>
      </c>
      <c r="W421">
        <v>2310</v>
      </c>
      <c r="X421">
        <v>0</v>
      </c>
      <c r="Z421">
        <v>4</v>
      </c>
      <c r="AA421" s="31">
        <v>46038</v>
      </c>
      <c r="AB421" s="61">
        <v>0.64081018518518518</v>
      </c>
      <c r="AC421" t="s">
        <v>818</v>
      </c>
      <c r="AD421" s="31">
        <v>46042</v>
      </c>
      <c r="AE421" s="61">
        <v>0.42754629629629631</v>
      </c>
      <c r="AH421" t="s">
        <v>4304</v>
      </c>
      <c r="AK421" t="s">
        <v>2829</v>
      </c>
      <c r="AQ421">
        <v>1</v>
      </c>
    </row>
    <row r="422" spans="1:43" x14ac:dyDescent="0.25">
      <c r="A422" t="s">
        <v>31</v>
      </c>
      <c r="B422">
        <v>802</v>
      </c>
      <c r="C422">
        <v>208</v>
      </c>
      <c r="D422">
        <v>3098</v>
      </c>
      <c r="G422" t="s">
        <v>4305</v>
      </c>
      <c r="H422">
        <v>42830750000130</v>
      </c>
      <c r="I422" t="s">
        <v>3903</v>
      </c>
      <c r="J422" t="s">
        <v>1804</v>
      </c>
      <c r="K422" t="s">
        <v>3905</v>
      </c>
      <c r="M422" t="s">
        <v>3906</v>
      </c>
      <c r="O422" t="s">
        <v>3907</v>
      </c>
      <c r="P422" t="s">
        <v>1094</v>
      </c>
      <c r="Q422" t="s">
        <v>790</v>
      </c>
      <c r="T422" t="s">
        <v>319</v>
      </c>
      <c r="U422" t="s">
        <v>816</v>
      </c>
      <c r="W422">
        <v>2100</v>
      </c>
      <c r="X422">
        <v>0</v>
      </c>
      <c r="Z422">
        <v>0</v>
      </c>
      <c r="AA422" s="31">
        <v>46038</v>
      </c>
      <c r="AB422" s="61">
        <v>0.64391203703703703</v>
      </c>
      <c r="AC422" t="s">
        <v>818</v>
      </c>
      <c r="AD422" s="31">
        <v>46038</v>
      </c>
      <c r="AE422" s="61">
        <v>0.67453703703703705</v>
      </c>
      <c r="AH422" t="s">
        <v>4304</v>
      </c>
      <c r="AK422" t="s">
        <v>4304</v>
      </c>
      <c r="AQ422">
        <v>1</v>
      </c>
    </row>
    <row r="423" spans="1:43" x14ac:dyDescent="0.25">
      <c r="A423" t="s">
        <v>31</v>
      </c>
      <c r="B423">
        <v>806</v>
      </c>
      <c r="C423">
        <v>185</v>
      </c>
      <c r="D423">
        <v>3100</v>
      </c>
      <c r="G423" t="s">
        <v>4306</v>
      </c>
      <c r="H423">
        <v>51496785000176</v>
      </c>
      <c r="I423" t="s">
        <v>3599</v>
      </c>
      <c r="J423" t="s">
        <v>3600</v>
      </c>
      <c r="K423" t="s">
        <v>3601</v>
      </c>
      <c r="M423" t="s">
        <v>3602</v>
      </c>
      <c r="O423" t="s">
        <v>3603</v>
      </c>
      <c r="P423" t="s">
        <v>847</v>
      </c>
      <c r="Q423" t="s">
        <v>848</v>
      </c>
      <c r="S423" t="s">
        <v>1718</v>
      </c>
      <c r="T423" t="s">
        <v>319</v>
      </c>
      <c r="U423" t="s">
        <v>3417</v>
      </c>
      <c r="W423">
        <v>3360</v>
      </c>
      <c r="X423">
        <v>7128</v>
      </c>
      <c r="Z423">
        <v>34</v>
      </c>
      <c r="AA423" s="31">
        <v>46038</v>
      </c>
      <c r="AB423" s="61">
        <v>0.69921296296296298</v>
      </c>
      <c r="AC423" t="s">
        <v>782</v>
      </c>
      <c r="AD423" s="31"/>
      <c r="AE423" s="61"/>
      <c r="AH423" t="s">
        <v>4304</v>
      </c>
      <c r="AI423" t="s">
        <v>4304</v>
      </c>
      <c r="AK423" t="s">
        <v>4304</v>
      </c>
      <c r="AL423" t="s">
        <v>2119</v>
      </c>
      <c r="AQ423">
        <v>1</v>
      </c>
    </row>
    <row r="424" spans="1:43" x14ac:dyDescent="0.25">
      <c r="A424" t="s">
        <v>31</v>
      </c>
      <c r="B424">
        <v>807</v>
      </c>
      <c r="C424">
        <v>0</v>
      </c>
      <c r="D424">
        <v>3104</v>
      </c>
      <c r="E424" t="s">
        <v>4307</v>
      </c>
      <c r="AA424" s="31"/>
      <c r="AB424" s="61"/>
      <c r="AD424" s="31"/>
      <c r="AE424" s="61"/>
      <c r="AQ424">
        <v>1</v>
      </c>
    </row>
    <row r="425" spans="1:43" x14ac:dyDescent="0.25">
      <c r="A425" t="s">
        <v>4308</v>
      </c>
      <c r="AA425" s="31"/>
      <c r="AB425" s="61"/>
      <c r="AD425" s="31"/>
      <c r="AE425" s="61"/>
      <c r="AQ425">
        <v>1</v>
      </c>
    </row>
    <row r="426" spans="1:43" x14ac:dyDescent="0.25">
      <c r="A426" t="s">
        <v>4309</v>
      </c>
      <c r="AA426" s="31"/>
      <c r="AB426" s="61"/>
      <c r="AD426" s="31"/>
      <c r="AE426" s="61"/>
      <c r="AQ426">
        <v>1</v>
      </c>
    </row>
    <row r="427" spans="1:43" x14ac:dyDescent="0.25">
      <c r="A427" t="s">
        <v>4310</v>
      </c>
      <c r="AA427" s="31"/>
      <c r="AB427" s="61"/>
      <c r="AD427" s="31"/>
      <c r="AE427" s="61"/>
      <c r="AQ427">
        <v>1</v>
      </c>
    </row>
    <row r="428" spans="1:43" x14ac:dyDescent="0.25">
      <c r="A428" t="s">
        <v>4311</v>
      </c>
      <c r="AA428" s="31"/>
      <c r="AB428" s="61"/>
      <c r="AD428" s="31"/>
      <c r="AE428" s="61"/>
      <c r="AQ428">
        <v>1</v>
      </c>
    </row>
    <row r="429" spans="1:43" x14ac:dyDescent="0.25">
      <c r="A429" t="s">
        <v>4312</v>
      </c>
      <c r="AA429" s="31"/>
      <c r="AB429" s="61"/>
      <c r="AD429" s="31"/>
      <c r="AE429" s="61"/>
      <c r="AQ429">
        <v>1</v>
      </c>
    </row>
    <row r="430" spans="1:43" x14ac:dyDescent="0.25">
      <c r="A430" t="s">
        <v>4313</v>
      </c>
      <c r="D430">
        <v>82128935000201</v>
      </c>
      <c r="F430" t="s">
        <v>4314</v>
      </c>
      <c r="G430" t="s">
        <v>4315</v>
      </c>
      <c r="I430" t="s">
        <v>4316</v>
      </c>
      <c r="K430" t="s">
        <v>778</v>
      </c>
      <c r="N430" t="s">
        <v>2919</v>
      </c>
      <c r="P430" t="s">
        <v>4317</v>
      </c>
      <c r="Q430" t="s">
        <v>4318</v>
      </c>
      <c r="V430" t="s">
        <v>3195</v>
      </c>
      <c r="Y430" t="s">
        <v>782</v>
      </c>
      <c r="AA430" s="31"/>
      <c r="AB430" s="61"/>
      <c r="AD430" s="31"/>
      <c r="AE430" s="61"/>
      <c r="AQ430">
        <v>1</v>
      </c>
    </row>
    <row r="431" spans="1:43" x14ac:dyDescent="0.25">
      <c r="A431" t="s">
        <v>31</v>
      </c>
      <c r="B431">
        <v>808</v>
      </c>
      <c r="C431">
        <v>0</v>
      </c>
      <c r="D431">
        <v>3105</v>
      </c>
      <c r="E431" t="s">
        <v>4319</v>
      </c>
      <c r="AA431" s="31"/>
      <c r="AB431" s="61"/>
      <c r="AD431" s="31"/>
      <c r="AE431" s="61"/>
      <c r="AQ431">
        <v>1</v>
      </c>
    </row>
    <row r="432" spans="1:43" x14ac:dyDescent="0.25">
      <c r="A432" t="s">
        <v>4320</v>
      </c>
      <c r="D432">
        <v>11247450000108</v>
      </c>
      <c r="F432" t="s">
        <v>1474</v>
      </c>
      <c r="G432" t="s">
        <v>4321</v>
      </c>
      <c r="I432" t="s">
        <v>4322</v>
      </c>
      <c r="K432" t="s">
        <v>778</v>
      </c>
      <c r="P432" t="s">
        <v>4317</v>
      </c>
      <c r="Q432" t="s">
        <v>4318</v>
      </c>
      <c r="V432" t="s">
        <v>3195</v>
      </c>
      <c r="Y432" t="s">
        <v>782</v>
      </c>
      <c r="AA432" s="31"/>
      <c r="AB432" s="61"/>
      <c r="AD432" s="31"/>
      <c r="AE432" s="61"/>
      <c r="AQ432">
        <v>1</v>
      </c>
    </row>
    <row r="433" spans="1:43" x14ac:dyDescent="0.25">
      <c r="A433" t="s">
        <v>31</v>
      </c>
      <c r="B433">
        <v>809</v>
      </c>
      <c r="C433">
        <v>0</v>
      </c>
      <c r="D433">
        <v>3106</v>
      </c>
      <c r="E433" t="s">
        <v>4323</v>
      </c>
      <c r="AA433" s="31"/>
      <c r="AB433" s="61"/>
      <c r="AD433" s="31"/>
      <c r="AE433" s="61"/>
      <c r="AQ433">
        <v>1</v>
      </c>
    </row>
    <row r="434" spans="1:43" x14ac:dyDescent="0.25">
      <c r="A434" t="s">
        <v>4324</v>
      </c>
      <c r="D434">
        <v>32258848000101</v>
      </c>
      <c r="F434" t="s">
        <v>1540</v>
      </c>
      <c r="G434" t="s">
        <v>3493</v>
      </c>
      <c r="I434" t="s">
        <v>3437</v>
      </c>
      <c r="K434" t="s">
        <v>778</v>
      </c>
      <c r="P434" t="s">
        <v>4317</v>
      </c>
      <c r="Q434" t="s">
        <v>4318</v>
      </c>
      <c r="V434" t="s">
        <v>3195</v>
      </c>
      <c r="Y434" t="s">
        <v>782</v>
      </c>
      <c r="AA434" s="31"/>
      <c r="AB434" s="61"/>
      <c r="AD434" s="31"/>
      <c r="AE434" s="61"/>
      <c r="AQ434">
        <v>1</v>
      </c>
    </row>
    <row r="435" spans="1:43" x14ac:dyDescent="0.25">
      <c r="A435" t="s">
        <v>44</v>
      </c>
      <c r="B435">
        <v>810</v>
      </c>
      <c r="C435">
        <v>0</v>
      </c>
      <c r="D435">
        <v>3107</v>
      </c>
      <c r="G435" t="s">
        <v>4325</v>
      </c>
      <c r="H435">
        <v>4150555000170</v>
      </c>
      <c r="J435" t="s">
        <v>4326</v>
      </c>
      <c r="K435" t="s">
        <v>4327</v>
      </c>
      <c r="M435" t="s">
        <v>4328</v>
      </c>
      <c r="O435" t="s">
        <v>778</v>
      </c>
      <c r="T435" t="s">
        <v>4317</v>
      </c>
      <c r="U435" t="s">
        <v>4329</v>
      </c>
      <c r="Z435">
        <v>31</v>
      </c>
      <c r="AA435" s="31">
        <v>46041</v>
      </c>
      <c r="AB435" s="61">
        <v>0.36829861111111112</v>
      </c>
      <c r="AC435" t="s">
        <v>782</v>
      </c>
      <c r="AD435" s="31"/>
      <c r="AE435" s="61"/>
      <c r="AK435" t="s">
        <v>4330</v>
      </c>
      <c r="AQ435">
        <v>1</v>
      </c>
    </row>
    <row r="436" spans="1:43" x14ac:dyDescent="0.25">
      <c r="A436" t="s">
        <v>44</v>
      </c>
      <c r="B436">
        <v>811</v>
      </c>
      <c r="C436">
        <v>0</v>
      </c>
      <c r="D436">
        <v>3108</v>
      </c>
      <c r="G436" t="s">
        <v>4331</v>
      </c>
      <c r="H436">
        <v>16710794000117</v>
      </c>
      <c r="J436" t="s">
        <v>1540</v>
      </c>
      <c r="K436" t="s">
        <v>4332</v>
      </c>
      <c r="M436" t="s">
        <v>4333</v>
      </c>
      <c r="O436" t="s">
        <v>778</v>
      </c>
      <c r="T436" t="s">
        <v>4317</v>
      </c>
      <c r="U436" t="s">
        <v>4329</v>
      </c>
      <c r="Z436">
        <v>31</v>
      </c>
      <c r="AA436" s="31">
        <v>46041</v>
      </c>
      <c r="AB436" s="61">
        <v>0.37181712962962971</v>
      </c>
      <c r="AC436" t="s">
        <v>782</v>
      </c>
      <c r="AD436" s="31"/>
      <c r="AE436" s="61"/>
      <c r="AK436" t="s">
        <v>4330</v>
      </c>
      <c r="AQ436">
        <v>1</v>
      </c>
    </row>
    <row r="437" spans="1:43" x14ac:dyDescent="0.25">
      <c r="A437" t="s">
        <v>44</v>
      </c>
      <c r="B437">
        <v>812</v>
      </c>
      <c r="C437">
        <v>0</v>
      </c>
      <c r="D437">
        <v>3109</v>
      </c>
      <c r="G437" t="s">
        <v>4334</v>
      </c>
      <c r="H437">
        <v>59262535000183</v>
      </c>
      <c r="J437" t="s">
        <v>4335</v>
      </c>
      <c r="K437" t="s">
        <v>4336</v>
      </c>
      <c r="M437" t="s">
        <v>4337</v>
      </c>
      <c r="O437" t="s">
        <v>778</v>
      </c>
      <c r="T437" t="s">
        <v>4317</v>
      </c>
      <c r="U437" t="s">
        <v>4329</v>
      </c>
      <c r="Z437">
        <v>31</v>
      </c>
      <c r="AA437" s="31">
        <v>46041</v>
      </c>
      <c r="AB437" s="61">
        <v>0.37361111111111112</v>
      </c>
      <c r="AC437" t="s">
        <v>782</v>
      </c>
      <c r="AD437" s="31"/>
      <c r="AE437" s="61"/>
      <c r="AK437" t="s">
        <v>4330</v>
      </c>
      <c r="AQ437">
        <v>1</v>
      </c>
    </row>
    <row r="438" spans="1:43" x14ac:dyDescent="0.25">
      <c r="A438" t="s">
        <v>22</v>
      </c>
      <c r="B438">
        <v>813</v>
      </c>
      <c r="C438">
        <v>0</v>
      </c>
      <c r="D438">
        <v>3110</v>
      </c>
      <c r="G438" t="s">
        <v>4338</v>
      </c>
      <c r="H438">
        <v>8616236000169</v>
      </c>
      <c r="J438" t="s">
        <v>1499</v>
      </c>
      <c r="K438" t="s">
        <v>4339</v>
      </c>
      <c r="M438" t="s">
        <v>3728</v>
      </c>
      <c r="O438" t="s">
        <v>778</v>
      </c>
      <c r="T438" t="s">
        <v>4317</v>
      </c>
      <c r="U438" t="s">
        <v>4329</v>
      </c>
      <c r="Z438">
        <v>31</v>
      </c>
      <c r="AA438" s="31">
        <v>46041</v>
      </c>
      <c r="AB438" s="61">
        <v>0.37436342592592592</v>
      </c>
      <c r="AC438" t="s">
        <v>782</v>
      </c>
      <c r="AD438" s="31"/>
      <c r="AE438" s="61"/>
      <c r="AK438" t="s">
        <v>4330</v>
      </c>
      <c r="AQ438">
        <v>1</v>
      </c>
    </row>
    <row r="439" spans="1:43" x14ac:dyDescent="0.25">
      <c r="A439" t="s">
        <v>22</v>
      </c>
      <c r="B439">
        <v>814</v>
      </c>
      <c r="C439">
        <v>0</v>
      </c>
      <c r="D439">
        <v>3114</v>
      </c>
      <c r="G439" t="s">
        <v>4340</v>
      </c>
      <c r="H439">
        <v>7527737000297</v>
      </c>
      <c r="J439" t="s">
        <v>4067</v>
      </c>
      <c r="K439" t="s">
        <v>4341</v>
      </c>
      <c r="M439" t="s">
        <v>4342</v>
      </c>
      <c r="O439" t="s">
        <v>778</v>
      </c>
      <c r="T439" t="s">
        <v>4317</v>
      </c>
      <c r="U439" t="s">
        <v>4329</v>
      </c>
      <c r="Z439">
        <v>31</v>
      </c>
      <c r="AA439" s="31">
        <v>46041</v>
      </c>
      <c r="AB439" s="61">
        <v>0.38780092592592591</v>
      </c>
      <c r="AC439" t="s">
        <v>782</v>
      </c>
      <c r="AD439" s="31"/>
      <c r="AE439" s="61"/>
      <c r="AK439" t="s">
        <v>4330</v>
      </c>
      <c r="AQ439">
        <v>1</v>
      </c>
    </row>
    <row r="440" spans="1:43" x14ac:dyDescent="0.25">
      <c r="A440" t="s">
        <v>31</v>
      </c>
      <c r="B440">
        <v>815</v>
      </c>
      <c r="C440">
        <v>191</v>
      </c>
      <c r="D440">
        <v>3115</v>
      </c>
      <c r="E440" t="s">
        <v>4343</v>
      </c>
      <c r="AA440" s="31"/>
      <c r="AB440" s="61"/>
      <c r="AD440" s="31"/>
      <c r="AE440" s="61"/>
      <c r="AQ440">
        <v>1</v>
      </c>
    </row>
    <row r="441" spans="1:43" x14ac:dyDescent="0.25">
      <c r="A441" t="s">
        <v>4344</v>
      </c>
      <c r="E441" t="s">
        <v>4345</v>
      </c>
      <c r="F441" t="s">
        <v>3734</v>
      </c>
      <c r="G441" t="s">
        <v>4346</v>
      </c>
      <c r="J441" t="s">
        <v>2217</v>
      </c>
      <c r="M441" t="s">
        <v>1094</v>
      </c>
      <c r="N441" t="s">
        <v>790</v>
      </c>
      <c r="Q441" t="s">
        <v>319</v>
      </c>
      <c r="R441" t="s">
        <v>816</v>
      </c>
      <c r="T441" t="s">
        <v>4347</v>
      </c>
      <c r="U441" t="s">
        <v>4275</v>
      </c>
      <c r="W441">
        <v>9</v>
      </c>
      <c r="Y441" t="s">
        <v>4348</v>
      </c>
      <c r="AA441" s="31">
        <v>46050</v>
      </c>
      <c r="AB441" s="61">
        <v>0.60274305555555552</v>
      </c>
      <c r="AD441" s="31"/>
      <c r="AE441" s="61"/>
      <c r="AH441" t="s">
        <v>4349</v>
      </c>
      <c r="AQ441">
        <v>1</v>
      </c>
    </row>
    <row r="442" spans="1:43" x14ac:dyDescent="0.25">
      <c r="A442" t="s">
        <v>31</v>
      </c>
      <c r="B442">
        <v>816</v>
      </c>
      <c r="C442">
        <v>184</v>
      </c>
      <c r="D442">
        <v>3116</v>
      </c>
      <c r="E442" t="s">
        <v>4350</v>
      </c>
      <c r="G442" t="s">
        <v>419</v>
      </c>
      <c r="H442">
        <v>11861121000144</v>
      </c>
      <c r="I442" t="s">
        <v>3877</v>
      </c>
      <c r="J442" t="s">
        <v>1401</v>
      </c>
      <c r="K442" t="s">
        <v>3879</v>
      </c>
      <c r="M442" t="s">
        <v>3880</v>
      </c>
      <c r="O442" t="s">
        <v>3881</v>
      </c>
      <c r="P442" t="s">
        <v>1094</v>
      </c>
      <c r="Q442" t="s">
        <v>790</v>
      </c>
      <c r="S442" t="s">
        <v>1718</v>
      </c>
      <c r="T442" t="s">
        <v>319</v>
      </c>
      <c r="U442" t="s">
        <v>3417</v>
      </c>
      <c r="W442">
        <v>6000</v>
      </c>
      <c r="X442">
        <v>2000</v>
      </c>
      <c r="Z442">
        <v>31</v>
      </c>
      <c r="AA442" s="31">
        <v>46041</v>
      </c>
      <c r="AB442" s="61">
        <v>0.39466435185185178</v>
      </c>
      <c r="AC442" t="s">
        <v>782</v>
      </c>
      <c r="AD442" s="31"/>
      <c r="AE442" s="61"/>
      <c r="AH442" t="s">
        <v>420</v>
      </c>
      <c r="AI442" t="s">
        <v>420</v>
      </c>
      <c r="AK442" t="s">
        <v>420</v>
      </c>
      <c r="AL442" t="s">
        <v>2119</v>
      </c>
      <c r="AP442" t="s">
        <v>2922</v>
      </c>
      <c r="AQ442">
        <v>1</v>
      </c>
    </row>
    <row r="443" spans="1:43" x14ac:dyDescent="0.25">
      <c r="A443" t="s">
        <v>31</v>
      </c>
      <c r="B443">
        <v>817</v>
      </c>
      <c r="C443">
        <v>208</v>
      </c>
      <c r="D443">
        <v>3117</v>
      </c>
      <c r="G443" t="s">
        <v>4351</v>
      </c>
      <c r="H443">
        <v>42830750000130</v>
      </c>
      <c r="I443" t="s">
        <v>3903</v>
      </c>
      <c r="J443" t="s">
        <v>4091</v>
      </c>
      <c r="K443" t="s">
        <v>3905</v>
      </c>
      <c r="M443" t="s">
        <v>3906</v>
      </c>
      <c r="O443" t="s">
        <v>3907</v>
      </c>
      <c r="P443" t="s">
        <v>1094</v>
      </c>
      <c r="Q443" t="s">
        <v>790</v>
      </c>
      <c r="S443" t="s">
        <v>1718</v>
      </c>
      <c r="T443" t="s">
        <v>319</v>
      </c>
      <c r="U443" t="s">
        <v>3606</v>
      </c>
      <c r="Z443">
        <v>31</v>
      </c>
      <c r="AA443" s="31">
        <v>46041</v>
      </c>
      <c r="AB443" s="61">
        <v>0.39607638888888891</v>
      </c>
      <c r="AC443" t="s">
        <v>782</v>
      </c>
      <c r="AD443" s="31"/>
      <c r="AE443" s="61"/>
      <c r="AK443" t="s">
        <v>4352</v>
      </c>
      <c r="AL443" t="s">
        <v>2119</v>
      </c>
      <c r="AP443" t="s">
        <v>2922</v>
      </c>
      <c r="AQ443">
        <v>1</v>
      </c>
    </row>
    <row r="444" spans="1:43" x14ac:dyDescent="0.25">
      <c r="A444" t="s">
        <v>31</v>
      </c>
      <c r="B444">
        <v>822</v>
      </c>
      <c r="D444">
        <v>3121</v>
      </c>
      <c r="E444" t="s">
        <v>4353</v>
      </c>
      <c r="G444" t="s">
        <v>4354</v>
      </c>
      <c r="H444">
        <v>55585815000171</v>
      </c>
      <c r="J444" t="s">
        <v>4355</v>
      </c>
      <c r="K444" t="s">
        <v>4181</v>
      </c>
      <c r="M444" t="s">
        <v>4182</v>
      </c>
      <c r="O444" t="s">
        <v>778</v>
      </c>
      <c r="S444" t="s">
        <v>1419</v>
      </c>
      <c r="T444" t="s">
        <v>319</v>
      </c>
      <c r="U444" t="s">
        <v>3417</v>
      </c>
      <c r="W444">
        <v>4760</v>
      </c>
      <c r="X444">
        <v>712</v>
      </c>
      <c r="Z444">
        <v>30</v>
      </c>
      <c r="AA444" s="31">
        <v>46042</v>
      </c>
      <c r="AB444" s="61">
        <v>0.36277777777777781</v>
      </c>
      <c r="AC444" t="s">
        <v>782</v>
      </c>
      <c r="AD444" s="31"/>
      <c r="AE444" s="61"/>
      <c r="AH444" t="s">
        <v>2891</v>
      </c>
      <c r="AI444" t="s">
        <v>2829</v>
      </c>
      <c r="AK444" t="s">
        <v>4330</v>
      </c>
      <c r="AL444" t="s">
        <v>1423</v>
      </c>
      <c r="AQ444">
        <v>1</v>
      </c>
    </row>
    <row r="445" spans="1:43" x14ac:dyDescent="0.25">
      <c r="A445" t="s">
        <v>31</v>
      </c>
      <c r="B445">
        <v>824</v>
      </c>
      <c r="C445">
        <v>153</v>
      </c>
      <c r="D445">
        <v>3124</v>
      </c>
      <c r="G445" t="s">
        <v>4356</v>
      </c>
      <c r="I445" t="s">
        <v>3451</v>
      </c>
      <c r="J445" t="s">
        <v>3982</v>
      </c>
      <c r="K445" t="s">
        <v>3983</v>
      </c>
      <c r="M445" t="s">
        <v>3454</v>
      </c>
      <c r="O445" t="s">
        <v>778</v>
      </c>
      <c r="T445" t="s">
        <v>319</v>
      </c>
      <c r="U445" t="s">
        <v>816</v>
      </c>
      <c r="W445">
        <v>16779</v>
      </c>
      <c r="X445">
        <v>0</v>
      </c>
      <c r="Z445">
        <v>1</v>
      </c>
      <c r="AA445" s="31">
        <v>46042</v>
      </c>
      <c r="AB445" s="61">
        <v>0.38716435185185177</v>
      </c>
      <c r="AC445" t="s">
        <v>818</v>
      </c>
      <c r="AD445" s="31">
        <v>46043</v>
      </c>
      <c r="AE445" s="61">
        <v>0.39550925925925928</v>
      </c>
      <c r="AH445" t="s">
        <v>4330</v>
      </c>
      <c r="AK445" t="s">
        <v>2576</v>
      </c>
      <c r="AQ445">
        <v>1</v>
      </c>
    </row>
    <row r="446" spans="1:43" x14ac:dyDescent="0.25">
      <c r="A446" t="s">
        <v>31</v>
      </c>
      <c r="B446">
        <v>825</v>
      </c>
      <c r="C446">
        <v>0</v>
      </c>
      <c r="D446">
        <v>3125</v>
      </c>
      <c r="E446" t="s">
        <v>4357</v>
      </c>
      <c r="AA446" s="31"/>
      <c r="AB446" s="61"/>
      <c r="AD446" s="31"/>
      <c r="AE446" s="61"/>
      <c r="AQ446">
        <v>1</v>
      </c>
    </row>
    <row r="447" spans="1:43" x14ac:dyDescent="0.25">
      <c r="A447" t="s">
        <v>4308</v>
      </c>
      <c r="AA447" s="31"/>
      <c r="AB447" s="61"/>
      <c r="AD447" s="31"/>
      <c r="AE447" s="61"/>
      <c r="AQ447">
        <v>1</v>
      </c>
    </row>
    <row r="448" spans="1:43" x14ac:dyDescent="0.25">
      <c r="A448" t="s">
        <v>4358</v>
      </c>
      <c r="AA448" s="31"/>
      <c r="AB448" s="61"/>
      <c r="AD448" s="31"/>
      <c r="AE448" s="61"/>
      <c r="AQ448">
        <v>1</v>
      </c>
    </row>
    <row r="449" spans="1:43" x14ac:dyDescent="0.25">
      <c r="A449" t="s">
        <v>4311</v>
      </c>
      <c r="AA449" s="31"/>
      <c r="AB449" s="61"/>
      <c r="AD449" s="31"/>
      <c r="AE449" s="61"/>
      <c r="AQ449">
        <v>1</v>
      </c>
    </row>
    <row r="450" spans="1:43" x14ac:dyDescent="0.25">
      <c r="A450" t="s">
        <v>4359</v>
      </c>
      <c r="D450">
        <v>9023754000131</v>
      </c>
      <c r="F450" t="s">
        <v>4360</v>
      </c>
      <c r="G450" t="s">
        <v>4361</v>
      </c>
      <c r="I450" t="s">
        <v>4362</v>
      </c>
      <c r="K450" t="s">
        <v>778</v>
      </c>
      <c r="N450" t="s">
        <v>2919</v>
      </c>
      <c r="P450" t="s">
        <v>4317</v>
      </c>
      <c r="Q450" t="s">
        <v>4318</v>
      </c>
      <c r="V450" t="s">
        <v>2119</v>
      </c>
      <c r="Y450" t="s">
        <v>782</v>
      </c>
      <c r="AA450" s="31"/>
      <c r="AB450" s="61"/>
      <c r="AD450" s="31"/>
      <c r="AE450" s="61"/>
      <c r="AQ450">
        <v>1</v>
      </c>
    </row>
    <row r="451" spans="1:43" x14ac:dyDescent="0.25">
      <c r="A451" t="s">
        <v>31</v>
      </c>
      <c r="B451">
        <v>826</v>
      </c>
      <c r="C451">
        <v>0</v>
      </c>
      <c r="D451">
        <v>3126</v>
      </c>
      <c r="E451" t="s">
        <v>4363</v>
      </c>
      <c r="AA451" s="31"/>
      <c r="AB451" s="61"/>
      <c r="AD451" s="31"/>
      <c r="AE451" s="61"/>
      <c r="AQ451">
        <v>1</v>
      </c>
    </row>
    <row r="452" spans="1:43" x14ac:dyDescent="0.25">
      <c r="A452" t="s">
        <v>4364</v>
      </c>
      <c r="AA452" s="31"/>
      <c r="AB452" s="61"/>
      <c r="AD452" s="31"/>
      <c r="AE452" s="61"/>
      <c r="AQ452">
        <v>1</v>
      </c>
    </row>
    <row r="453" spans="1:43" x14ac:dyDescent="0.25">
      <c r="A453" t="s">
        <v>4365</v>
      </c>
      <c r="AA453" s="31"/>
      <c r="AB453" s="61"/>
      <c r="AD453" s="31"/>
      <c r="AE453" s="61"/>
      <c r="AQ453">
        <v>1</v>
      </c>
    </row>
    <row r="454" spans="1:43" x14ac:dyDescent="0.25">
      <c r="A454" t="s">
        <v>4366</v>
      </c>
      <c r="AA454" s="31"/>
      <c r="AB454" s="61"/>
      <c r="AD454" s="31"/>
      <c r="AE454" s="61"/>
      <c r="AQ454">
        <v>1</v>
      </c>
    </row>
    <row r="455" spans="1:43" x14ac:dyDescent="0.25">
      <c r="A455" t="s">
        <v>4366</v>
      </c>
      <c r="AA455" s="31"/>
      <c r="AB455" s="61"/>
      <c r="AD455" s="31"/>
      <c r="AE455" s="61"/>
      <c r="AQ455">
        <v>1</v>
      </c>
    </row>
    <row r="456" spans="1:43" x14ac:dyDescent="0.25">
      <c r="A456" t="s">
        <v>4367</v>
      </c>
      <c r="AA456" s="31"/>
      <c r="AB456" s="61"/>
      <c r="AD456" s="31"/>
      <c r="AE456" s="61"/>
      <c r="AQ456">
        <v>1</v>
      </c>
    </row>
    <row r="457" spans="1:43" x14ac:dyDescent="0.25">
      <c r="A457" t="s">
        <v>4368</v>
      </c>
      <c r="AA457" s="31"/>
      <c r="AB457" s="61"/>
      <c r="AD457" s="31"/>
      <c r="AE457" s="61"/>
      <c r="AQ457">
        <v>1</v>
      </c>
    </row>
    <row r="458" spans="1:43" x14ac:dyDescent="0.25">
      <c r="A458" t="s">
        <v>4369</v>
      </c>
      <c r="AA458" s="31"/>
      <c r="AB458" s="61"/>
      <c r="AD458" s="31"/>
      <c r="AE458" s="61"/>
      <c r="AQ458">
        <v>1</v>
      </c>
    </row>
    <row r="459" spans="1:43" x14ac:dyDescent="0.25">
      <c r="A459" t="s">
        <v>4370</v>
      </c>
      <c r="AA459" s="31"/>
      <c r="AB459" s="61"/>
      <c r="AD459" s="31"/>
      <c r="AE459" s="61"/>
      <c r="AQ459">
        <v>1</v>
      </c>
    </row>
    <row r="460" spans="1:43" x14ac:dyDescent="0.25">
      <c r="A460" t="s">
        <v>4371</v>
      </c>
      <c r="E460" t="s">
        <v>4372</v>
      </c>
      <c r="F460" t="s">
        <v>4373</v>
      </c>
      <c r="I460" t="s">
        <v>4374</v>
      </c>
      <c r="K460" t="s">
        <v>4375</v>
      </c>
      <c r="M460" t="s">
        <v>778</v>
      </c>
      <c r="R460" t="s">
        <v>4317</v>
      </c>
      <c r="S460" t="s">
        <v>4318</v>
      </c>
      <c r="X460">
        <v>30</v>
      </c>
      <c r="Y460" t="s">
        <v>2829</v>
      </c>
      <c r="AA460" s="31"/>
      <c r="AB460" s="61"/>
      <c r="AD460" s="31"/>
      <c r="AE460" s="61"/>
      <c r="AI460" t="s">
        <v>2890</v>
      </c>
      <c r="AQ460">
        <v>1</v>
      </c>
    </row>
    <row r="461" spans="1:43" x14ac:dyDescent="0.25">
      <c r="A461" t="s">
        <v>31</v>
      </c>
      <c r="B461">
        <v>827</v>
      </c>
      <c r="C461">
        <v>0</v>
      </c>
      <c r="D461">
        <v>3127</v>
      </c>
      <c r="E461" t="s">
        <v>4376</v>
      </c>
      <c r="AA461" s="31"/>
      <c r="AB461" s="61"/>
      <c r="AD461" s="31"/>
      <c r="AE461" s="61"/>
      <c r="AQ461">
        <v>1</v>
      </c>
    </row>
    <row r="462" spans="1:43" x14ac:dyDescent="0.25">
      <c r="A462" t="s">
        <v>4308</v>
      </c>
      <c r="AA462" s="31"/>
      <c r="AB462" s="61"/>
      <c r="AD462" s="31"/>
      <c r="AE462" s="61"/>
      <c r="AQ462">
        <v>1</v>
      </c>
    </row>
    <row r="463" spans="1:43" x14ac:dyDescent="0.25">
      <c r="A463" t="s">
        <v>4377</v>
      </c>
      <c r="AA463" s="31"/>
      <c r="AB463" s="61"/>
      <c r="AD463" s="31"/>
      <c r="AE463" s="61"/>
      <c r="AQ463">
        <v>1</v>
      </c>
    </row>
    <row r="464" spans="1:43" x14ac:dyDescent="0.25">
      <c r="A464" t="s">
        <v>4311</v>
      </c>
      <c r="AA464" s="31"/>
      <c r="AB464" s="61"/>
      <c r="AD464" s="31"/>
      <c r="AE464" s="61"/>
      <c r="AQ464">
        <v>1</v>
      </c>
    </row>
    <row r="465" spans="1:43" x14ac:dyDescent="0.25">
      <c r="A465" t="s">
        <v>4378</v>
      </c>
      <c r="D465">
        <v>5236564000141</v>
      </c>
      <c r="F465" t="s">
        <v>3922</v>
      </c>
      <c r="G465" t="s">
        <v>4379</v>
      </c>
      <c r="I465" t="s">
        <v>4380</v>
      </c>
      <c r="K465" t="s">
        <v>778</v>
      </c>
      <c r="P465" t="s">
        <v>4317</v>
      </c>
      <c r="Q465" t="s">
        <v>4318</v>
      </c>
      <c r="V465" t="s">
        <v>2119</v>
      </c>
      <c r="Y465" t="s">
        <v>782</v>
      </c>
      <c r="AA465" s="31"/>
      <c r="AB465" s="61"/>
      <c r="AD465" s="31"/>
      <c r="AE465" s="61"/>
      <c r="AQ465">
        <v>1</v>
      </c>
    </row>
    <row r="466" spans="1:43" x14ac:dyDescent="0.25">
      <c r="A466" t="s">
        <v>31</v>
      </c>
      <c r="B466">
        <v>828</v>
      </c>
      <c r="C466">
        <v>0</v>
      </c>
      <c r="D466">
        <v>3128</v>
      </c>
      <c r="E466" t="s">
        <v>4381</v>
      </c>
      <c r="AA466" s="31"/>
      <c r="AB466" s="61"/>
      <c r="AD466" s="31"/>
      <c r="AE466" s="61"/>
      <c r="AQ466">
        <v>1</v>
      </c>
    </row>
    <row r="467" spans="1:43" x14ac:dyDescent="0.25">
      <c r="A467" t="s">
        <v>4382</v>
      </c>
      <c r="E467" t="s">
        <v>4383</v>
      </c>
      <c r="G467" t="s">
        <v>1243</v>
      </c>
      <c r="J467" t="s">
        <v>4384</v>
      </c>
      <c r="Q467" t="s">
        <v>4317</v>
      </c>
      <c r="R467" t="s">
        <v>4318</v>
      </c>
      <c r="W467">
        <v>30</v>
      </c>
      <c r="Y467" t="s">
        <v>4385</v>
      </c>
      <c r="AA467" s="31"/>
      <c r="AB467" s="61"/>
      <c r="AD467" s="31"/>
      <c r="AE467" s="61"/>
      <c r="AH467" t="s">
        <v>2890</v>
      </c>
      <c r="AQ467">
        <v>1</v>
      </c>
    </row>
    <row r="468" spans="1:43" x14ac:dyDescent="0.25">
      <c r="A468" t="s">
        <v>31</v>
      </c>
      <c r="B468">
        <v>829</v>
      </c>
      <c r="C468">
        <v>0</v>
      </c>
      <c r="D468">
        <v>3130</v>
      </c>
      <c r="E468" t="s">
        <v>4386</v>
      </c>
      <c r="AA468" s="31"/>
      <c r="AB468" s="61"/>
      <c r="AD468" s="31"/>
      <c r="AE468" s="61"/>
      <c r="AQ468">
        <v>1</v>
      </c>
    </row>
    <row r="469" spans="1:43" x14ac:dyDescent="0.25">
      <c r="A469" t="s">
        <v>4387</v>
      </c>
      <c r="AA469" s="31"/>
      <c r="AB469" s="61"/>
      <c r="AD469" s="31"/>
      <c r="AE469" s="61"/>
      <c r="AQ469">
        <v>1</v>
      </c>
    </row>
    <row r="470" spans="1:43" x14ac:dyDescent="0.25">
      <c r="A470" t="s">
        <v>4388</v>
      </c>
      <c r="AA470" s="31"/>
      <c r="AB470" s="61"/>
      <c r="AD470" s="31"/>
      <c r="AE470" s="61"/>
      <c r="AQ470">
        <v>1</v>
      </c>
    </row>
    <row r="471" spans="1:43" x14ac:dyDescent="0.25">
      <c r="A471" t="s">
        <v>4389</v>
      </c>
      <c r="AA471" s="31"/>
      <c r="AB471" s="61"/>
      <c r="AD471" s="31"/>
      <c r="AE471" s="61"/>
      <c r="AQ471">
        <v>1</v>
      </c>
    </row>
    <row r="472" spans="1:43" x14ac:dyDescent="0.25">
      <c r="A472" t="s">
        <v>4390</v>
      </c>
      <c r="AA472" s="31"/>
      <c r="AB472" s="61"/>
      <c r="AD472" s="31"/>
      <c r="AE472" s="61"/>
      <c r="AQ472">
        <v>1</v>
      </c>
    </row>
    <row r="473" spans="1:43" x14ac:dyDescent="0.25">
      <c r="A473" t="s">
        <v>4391</v>
      </c>
      <c r="AA473" s="31"/>
      <c r="AB473" s="61"/>
      <c r="AD473" s="31"/>
      <c r="AE473" s="61"/>
      <c r="AQ473">
        <v>1</v>
      </c>
    </row>
    <row r="474" spans="1:43" x14ac:dyDescent="0.25">
      <c r="A474" t="s">
        <v>4392</v>
      </c>
      <c r="AA474" s="31"/>
      <c r="AB474" s="61"/>
      <c r="AD474" s="31"/>
      <c r="AE474" s="61"/>
      <c r="AQ474">
        <v>1</v>
      </c>
    </row>
    <row r="475" spans="1:43" x14ac:dyDescent="0.25">
      <c r="A475" t="s">
        <v>4393</v>
      </c>
      <c r="AA475" s="31"/>
      <c r="AB475" s="61"/>
      <c r="AD475" s="31"/>
      <c r="AE475" s="61"/>
      <c r="AQ475">
        <v>1</v>
      </c>
    </row>
    <row r="476" spans="1:43" x14ac:dyDescent="0.25">
      <c r="A476" t="s">
        <v>4394</v>
      </c>
      <c r="AA476" s="31"/>
      <c r="AB476" s="61"/>
      <c r="AD476" s="31"/>
      <c r="AE476" s="61"/>
      <c r="AQ476">
        <v>1</v>
      </c>
    </row>
    <row r="477" spans="1:43" x14ac:dyDescent="0.25">
      <c r="A477" t="s">
        <v>4395</v>
      </c>
      <c r="AA477" s="31"/>
      <c r="AB477" s="61"/>
      <c r="AD477" s="31"/>
      <c r="AE477" s="61"/>
      <c r="AQ477">
        <v>1</v>
      </c>
    </row>
    <row r="478" spans="1:43" x14ac:dyDescent="0.25">
      <c r="A478" t="s">
        <v>4388</v>
      </c>
      <c r="AA478" s="31"/>
      <c r="AB478" s="61"/>
      <c r="AD478" s="31"/>
      <c r="AE478" s="61"/>
      <c r="AQ478">
        <v>1</v>
      </c>
    </row>
    <row r="479" spans="1:43" x14ac:dyDescent="0.25">
      <c r="A479" t="s">
        <v>4389</v>
      </c>
      <c r="AA479" s="31"/>
      <c r="AB479" s="61"/>
      <c r="AD479" s="31"/>
      <c r="AE479" s="61"/>
      <c r="AQ479">
        <v>1</v>
      </c>
    </row>
    <row r="480" spans="1:43" x14ac:dyDescent="0.25">
      <c r="A480" t="s">
        <v>4390</v>
      </c>
      <c r="AA480" s="31"/>
      <c r="AB480" s="61"/>
      <c r="AD480" s="31"/>
      <c r="AE480" s="61"/>
      <c r="AQ480">
        <v>1</v>
      </c>
    </row>
    <row r="481" spans="1:43" x14ac:dyDescent="0.25">
      <c r="A481" t="s">
        <v>4391</v>
      </c>
      <c r="AA481" s="31"/>
      <c r="AB481" s="61"/>
      <c r="AD481" s="31"/>
      <c r="AE481" s="61"/>
      <c r="AQ481">
        <v>1</v>
      </c>
    </row>
    <row r="482" spans="1:43" x14ac:dyDescent="0.25">
      <c r="A482" t="s">
        <v>4392</v>
      </c>
      <c r="AA482" s="31"/>
      <c r="AB482" s="61"/>
      <c r="AD482" s="31"/>
      <c r="AE482" s="61"/>
      <c r="AQ482">
        <v>1</v>
      </c>
    </row>
    <row r="483" spans="1:43" x14ac:dyDescent="0.25">
      <c r="A483" t="s">
        <v>4393</v>
      </c>
      <c r="AA483" s="31"/>
      <c r="AB483" s="61"/>
      <c r="AD483" s="31"/>
      <c r="AE483" s="61"/>
      <c r="AQ483">
        <v>1</v>
      </c>
    </row>
    <row r="484" spans="1:43" x14ac:dyDescent="0.25">
      <c r="A484" t="s">
        <v>4394</v>
      </c>
      <c r="AA484" s="31"/>
      <c r="AB484" s="61"/>
      <c r="AD484" s="31"/>
      <c r="AE484" s="61"/>
      <c r="AQ484">
        <v>1</v>
      </c>
    </row>
    <row r="485" spans="1:43" x14ac:dyDescent="0.25">
      <c r="A485" t="s">
        <v>4396</v>
      </c>
      <c r="D485">
        <v>55585815000171</v>
      </c>
      <c r="F485" t="s">
        <v>914</v>
      </c>
      <c r="G485" t="s">
        <v>4181</v>
      </c>
      <c r="I485" t="s">
        <v>4182</v>
      </c>
      <c r="K485" t="s">
        <v>778</v>
      </c>
      <c r="P485" t="s">
        <v>4317</v>
      </c>
      <c r="Q485" t="s">
        <v>4318</v>
      </c>
      <c r="V485" t="s">
        <v>2119</v>
      </c>
      <c r="Y485" t="s">
        <v>782</v>
      </c>
      <c r="AA485" s="31"/>
      <c r="AB485" s="61"/>
      <c r="AD485" s="31"/>
      <c r="AE485" s="61"/>
      <c r="AQ485">
        <v>1</v>
      </c>
    </row>
    <row r="486" spans="1:43" x14ac:dyDescent="0.25">
      <c r="A486" t="s">
        <v>31</v>
      </c>
      <c r="B486">
        <v>830</v>
      </c>
      <c r="C486">
        <v>0</v>
      </c>
      <c r="D486">
        <v>3131</v>
      </c>
      <c r="E486" t="s">
        <v>4381</v>
      </c>
      <c r="AA486" s="31"/>
      <c r="AB486" s="61"/>
      <c r="AD486" s="31"/>
      <c r="AE486" s="61"/>
      <c r="AQ486">
        <v>1</v>
      </c>
    </row>
    <row r="487" spans="1:43" x14ac:dyDescent="0.25">
      <c r="A487" t="s">
        <v>4397</v>
      </c>
      <c r="AA487" s="31"/>
      <c r="AB487" s="61"/>
      <c r="AD487" s="31"/>
      <c r="AE487" s="61"/>
      <c r="AQ487">
        <v>1</v>
      </c>
    </row>
    <row r="488" spans="1:43" x14ac:dyDescent="0.25">
      <c r="A488" t="s">
        <v>4398</v>
      </c>
      <c r="D488">
        <v>34728104000139</v>
      </c>
      <c r="F488" t="s">
        <v>1474</v>
      </c>
      <c r="G488" t="s">
        <v>3531</v>
      </c>
      <c r="I488" t="s">
        <v>4399</v>
      </c>
      <c r="K488" t="s">
        <v>778</v>
      </c>
      <c r="P488" t="s">
        <v>4317</v>
      </c>
      <c r="Q488" t="s">
        <v>4318</v>
      </c>
      <c r="V488" t="s">
        <v>2119</v>
      </c>
      <c r="Y488" t="s">
        <v>782</v>
      </c>
      <c r="AA488" s="31"/>
      <c r="AB488" s="61"/>
      <c r="AD488" s="31"/>
      <c r="AE488" s="61"/>
      <c r="AQ488">
        <v>1</v>
      </c>
    </row>
    <row r="489" spans="1:43" x14ac:dyDescent="0.25">
      <c r="A489" t="s">
        <v>22</v>
      </c>
      <c r="B489">
        <v>831</v>
      </c>
      <c r="C489">
        <v>0</v>
      </c>
      <c r="D489">
        <v>3132</v>
      </c>
      <c r="E489" t="s">
        <v>4400</v>
      </c>
      <c r="AA489" s="31"/>
      <c r="AB489" s="61"/>
      <c r="AD489" s="31"/>
      <c r="AE489" s="61"/>
      <c r="AQ489">
        <v>1</v>
      </c>
    </row>
    <row r="490" spans="1:43" x14ac:dyDescent="0.25">
      <c r="A490" t="s">
        <v>4308</v>
      </c>
      <c r="AA490" s="31"/>
      <c r="AB490" s="61"/>
      <c r="AD490" s="31"/>
      <c r="AE490" s="61"/>
      <c r="AQ490">
        <v>1</v>
      </c>
    </row>
    <row r="491" spans="1:43" x14ac:dyDescent="0.25">
      <c r="A491" t="s">
        <v>4401</v>
      </c>
      <c r="AA491" s="31"/>
      <c r="AB491" s="61"/>
      <c r="AD491" s="31"/>
      <c r="AE491" s="61"/>
      <c r="AQ491">
        <v>1</v>
      </c>
    </row>
    <row r="492" spans="1:43" x14ac:dyDescent="0.25">
      <c r="A492" t="s">
        <v>4311</v>
      </c>
      <c r="AA492" s="31"/>
      <c r="AB492" s="61"/>
      <c r="AD492" s="31"/>
      <c r="AE492" s="61"/>
      <c r="AQ492">
        <v>1</v>
      </c>
    </row>
    <row r="493" spans="1:43" x14ac:dyDescent="0.25">
      <c r="A493" t="s">
        <v>4402</v>
      </c>
      <c r="E493" t="s">
        <v>4403</v>
      </c>
      <c r="F493" t="s">
        <v>4404</v>
      </c>
      <c r="I493" t="s">
        <v>4405</v>
      </c>
      <c r="K493" t="s">
        <v>3237</v>
      </c>
      <c r="M493" t="s">
        <v>778</v>
      </c>
      <c r="Q493" t="s">
        <v>4406</v>
      </c>
      <c r="R493" t="s">
        <v>4317</v>
      </c>
      <c r="S493" t="s">
        <v>4318</v>
      </c>
      <c r="X493">
        <v>30</v>
      </c>
      <c r="Y493" t="s">
        <v>2829</v>
      </c>
      <c r="AA493" s="31"/>
      <c r="AB493" s="61"/>
      <c r="AD493" s="31"/>
      <c r="AE493" s="61"/>
      <c r="AI493" t="s">
        <v>4407</v>
      </c>
      <c r="AQ493">
        <v>1</v>
      </c>
    </row>
    <row r="494" spans="1:43" x14ac:dyDescent="0.25">
      <c r="A494" t="s">
        <v>31</v>
      </c>
      <c r="B494">
        <v>832</v>
      </c>
      <c r="C494">
        <v>0</v>
      </c>
      <c r="D494">
        <v>3133</v>
      </c>
      <c r="E494" t="s">
        <v>4408</v>
      </c>
      <c r="AA494" s="31"/>
      <c r="AB494" s="61"/>
      <c r="AD494" s="31"/>
      <c r="AE494" s="61"/>
      <c r="AQ494">
        <v>1</v>
      </c>
    </row>
    <row r="495" spans="1:43" x14ac:dyDescent="0.25">
      <c r="A495" t="s">
        <v>4409</v>
      </c>
      <c r="AA495" s="31"/>
      <c r="AB495" s="61"/>
      <c r="AD495" s="31"/>
      <c r="AE495" s="61"/>
      <c r="AQ495">
        <v>1</v>
      </c>
    </row>
    <row r="496" spans="1:43" x14ac:dyDescent="0.25">
      <c r="A496" t="s">
        <v>4410</v>
      </c>
      <c r="D496">
        <v>35548485000137</v>
      </c>
      <c r="F496" t="s">
        <v>4411</v>
      </c>
      <c r="G496" t="s">
        <v>4412</v>
      </c>
      <c r="I496" t="s">
        <v>4413</v>
      </c>
      <c r="K496" t="s">
        <v>778</v>
      </c>
      <c r="P496" t="s">
        <v>4317</v>
      </c>
      <c r="Q496" t="s">
        <v>4318</v>
      </c>
      <c r="V496" t="s">
        <v>2119</v>
      </c>
      <c r="Y496" t="s">
        <v>782</v>
      </c>
      <c r="AA496" s="31"/>
      <c r="AB496" s="61"/>
      <c r="AD496" s="31"/>
      <c r="AE496" s="61"/>
      <c r="AQ496">
        <v>1</v>
      </c>
    </row>
    <row r="497" spans="1:43" x14ac:dyDescent="0.25">
      <c r="A497" t="s">
        <v>44</v>
      </c>
      <c r="B497">
        <v>833</v>
      </c>
      <c r="C497">
        <v>0</v>
      </c>
      <c r="D497">
        <v>3134</v>
      </c>
      <c r="G497" t="s">
        <v>4414</v>
      </c>
      <c r="H497">
        <v>26699965000108</v>
      </c>
      <c r="J497" t="s">
        <v>4415</v>
      </c>
      <c r="K497" t="s">
        <v>4416</v>
      </c>
      <c r="M497" t="s">
        <v>4417</v>
      </c>
      <c r="O497" t="s">
        <v>778</v>
      </c>
      <c r="T497" t="s">
        <v>4317</v>
      </c>
      <c r="U497" t="s">
        <v>4329</v>
      </c>
      <c r="Z497">
        <v>30</v>
      </c>
      <c r="AA497" s="31">
        <v>46042</v>
      </c>
      <c r="AB497" s="61">
        <v>0.50177083333333339</v>
      </c>
      <c r="AC497" t="s">
        <v>782</v>
      </c>
      <c r="AD497" s="31"/>
      <c r="AE497" s="61"/>
      <c r="AK497" t="s">
        <v>4407</v>
      </c>
      <c r="AQ497">
        <v>1</v>
      </c>
    </row>
    <row r="498" spans="1:43" x14ac:dyDescent="0.25">
      <c r="A498" t="s">
        <v>44</v>
      </c>
      <c r="B498">
        <v>834</v>
      </c>
      <c r="C498">
        <v>0</v>
      </c>
      <c r="D498">
        <v>3135</v>
      </c>
      <c r="G498" t="s">
        <v>4418</v>
      </c>
      <c r="H498">
        <v>2462686000168</v>
      </c>
      <c r="J498" t="s">
        <v>3530</v>
      </c>
      <c r="K498" t="s">
        <v>4419</v>
      </c>
      <c r="M498" t="s">
        <v>4420</v>
      </c>
      <c r="O498" t="s">
        <v>778</v>
      </c>
      <c r="T498" t="s">
        <v>4317</v>
      </c>
      <c r="U498" t="s">
        <v>4329</v>
      </c>
      <c r="Z498">
        <v>30</v>
      </c>
      <c r="AA498" s="31">
        <v>46042</v>
      </c>
      <c r="AB498" s="61">
        <v>0.50340277777777775</v>
      </c>
      <c r="AC498" t="s">
        <v>782</v>
      </c>
      <c r="AD498" s="31"/>
      <c r="AE498" s="61"/>
      <c r="AK498" t="s">
        <v>4407</v>
      </c>
      <c r="AQ498">
        <v>1</v>
      </c>
    </row>
    <row r="499" spans="1:43" x14ac:dyDescent="0.25">
      <c r="A499" t="s">
        <v>44</v>
      </c>
      <c r="B499">
        <v>835</v>
      </c>
      <c r="C499">
        <v>0</v>
      </c>
      <c r="D499">
        <v>3136</v>
      </c>
      <c r="G499" t="s">
        <v>4421</v>
      </c>
      <c r="H499">
        <v>6959313000158</v>
      </c>
      <c r="J499" t="s">
        <v>4422</v>
      </c>
      <c r="K499" t="s">
        <v>4423</v>
      </c>
      <c r="M499" t="s">
        <v>4424</v>
      </c>
      <c r="O499" t="s">
        <v>778</v>
      </c>
      <c r="T499" t="s">
        <v>4317</v>
      </c>
      <c r="U499" t="s">
        <v>4329</v>
      </c>
      <c r="Z499">
        <v>30</v>
      </c>
      <c r="AA499" s="31">
        <v>46042</v>
      </c>
      <c r="AB499" s="61">
        <v>0.50469907407407411</v>
      </c>
      <c r="AC499" t="s">
        <v>782</v>
      </c>
      <c r="AD499" s="31"/>
      <c r="AE499" s="61"/>
      <c r="AK499" t="s">
        <v>4407</v>
      </c>
      <c r="AQ499">
        <v>1</v>
      </c>
    </row>
    <row r="500" spans="1:43" x14ac:dyDescent="0.25">
      <c r="A500" t="s">
        <v>44</v>
      </c>
      <c r="B500">
        <v>836</v>
      </c>
      <c r="C500">
        <v>0</v>
      </c>
      <c r="D500">
        <v>3137</v>
      </c>
      <c r="G500" t="s">
        <v>4425</v>
      </c>
      <c r="H500">
        <v>14172069000107</v>
      </c>
      <c r="J500" t="s">
        <v>4426</v>
      </c>
      <c r="K500" t="s">
        <v>4427</v>
      </c>
      <c r="M500" t="s">
        <v>4428</v>
      </c>
      <c r="O500" t="s">
        <v>778</v>
      </c>
      <c r="T500" t="s">
        <v>4317</v>
      </c>
      <c r="U500" t="s">
        <v>4329</v>
      </c>
      <c r="Z500">
        <v>30</v>
      </c>
      <c r="AA500" s="31">
        <v>46042</v>
      </c>
      <c r="AB500" s="61">
        <v>0.50646990740740738</v>
      </c>
      <c r="AC500" t="s">
        <v>782</v>
      </c>
      <c r="AD500" s="31"/>
      <c r="AE500" s="61"/>
      <c r="AK500" t="s">
        <v>4407</v>
      </c>
      <c r="AQ500">
        <v>1</v>
      </c>
    </row>
    <row r="501" spans="1:43" x14ac:dyDescent="0.25">
      <c r="A501" t="s">
        <v>44</v>
      </c>
      <c r="B501">
        <v>837</v>
      </c>
      <c r="C501">
        <v>0</v>
      </c>
      <c r="D501">
        <v>3138</v>
      </c>
      <c r="E501" t="s">
        <v>4429</v>
      </c>
      <c r="AA501" s="31"/>
      <c r="AB501" s="61"/>
      <c r="AD501" s="31"/>
      <c r="AE501" s="61"/>
      <c r="AQ501">
        <v>1</v>
      </c>
    </row>
    <row r="502" spans="1:43" x14ac:dyDescent="0.25">
      <c r="A502" t="s">
        <v>4430</v>
      </c>
      <c r="AA502" s="31"/>
      <c r="AB502" s="61"/>
      <c r="AD502" s="31"/>
      <c r="AE502" s="61"/>
      <c r="AQ502">
        <v>1</v>
      </c>
    </row>
    <row r="503" spans="1:43" x14ac:dyDescent="0.25">
      <c r="A503" t="s">
        <v>4431</v>
      </c>
      <c r="AA503" s="31"/>
      <c r="AB503" s="61"/>
      <c r="AD503" s="31"/>
      <c r="AE503" s="61"/>
      <c r="AQ503">
        <v>1</v>
      </c>
    </row>
    <row r="504" spans="1:43" x14ac:dyDescent="0.25">
      <c r="A504" t="s">
        <v>4432</v>
      </c>
      <c r="AA504" s="31"/>
      <c r="AB504" s="61"/>
      <c r="AD504" s="31"/>
      <c r="AE504" s="61"/>
      <c r="AQ504">
        <v>1</v>
      </c>
    </row>
    <row r="505" spans="1:43" x14ac:dyDescent="0.25">
      <c r="A505" t="s">
        <v>4433</v>
      </c>
      <c r="AA505" s="31"/>
      <c r="AB505" s="61"/>
      <c r="AD505" s="31"/>
      <c r="AE505" s="61"/>
      <c r="AQ505">
        <v>1</v>
      </c>
    </row>
    <row r="506" spans="1:43" x14ac:dyDescent="0.25">
      <c r="A506" t="s">
        <v>4434</v>
      </c>
      <c r="E506" t="s">
        <v>4435</v>
      </c>
      <c r="G506" t="s">
        <v>4436</v>
      </c>
      <c r="J506" t="s">
        <v>3468</v>
      </c>
      <c r="Q506" t="s">
        <v>4317</v>
      </c>
      <c r="R506" t="s">
        <v>4437</v>
      </c>
      <c r="W506">
        <v>30</v>
      </c>
      <c r="Y506" t="s">
        <v>4438</v>
      </c>
      <c r="AA506" s="31"/>
      <c r="AB506" s="61"/>
      <c r="AD506" s="31"/>
      <c r="AE506" s="61"/>
      <c r="AH506" t="s">
        <v>4407</v>
      </c>
      <c r="AQ506">
        <v>1</v>
      </c>
    </row>
    <row r="507" spans="1:43" x14ac:dyDescent="0.25">
      <c r="A507" t="s">
        <v>44</v>
      </c>
      <c r="B507">
        <v>838</v>
      </c>
      <c r="C507">
        <v>0</v>
      </c>
      <c r="D507">
        <v>3139</v>
      </c>
      <c r="E507" t="s">
        <v>4439</v>
      </c>
      <c r="AA507" s="31"/>
      <c r="AB507" s="61"/>
      <c r="AD507" s="31"/>
      <c r="AE507" s="61"/>
      <c r="AQ507">
        <v>1</v>
      </c>
    </row>
    <row r="508" spans="1:43" x14ac:dyDescent="0.25">
      <c r="A508" t="s">
        <v>4440</v>
      </c>
      <c r="AA508" s="31"/>
      <c r="AB508" s="61"/>
      <c r="AD508" s="31"/>
      <c r="AE508" s="61"/>
      <c r="AQ508">
        <v>1</v>
      </c>
    </row>
    <row r="509" spans="1:43" x14ac:dyDescent="0.25">
      <c r="A509" t="s">
        <v>4441</v>
      </c>
      <c r="AA509" s="31"/>
      <c r="AB509" s="61"/>
      <c r="AD509" s="31"/>
      <c r="AE509" s="61"/>
      <c r="AQ509">
        <v>1</v>
      </c>
    </row>
    <row r="510" spans="1:43" x14ac:dyDescent="0.25">
      <c r="A510" t="s">
        <v>4442</v>
      </c>
      <c r="AA510" s="31"/>
      <c r="AB510" s="61"/>
      <c r="AD510" s="31"/>
      <c r="AE510" s="61"/>
      <c r="AQ510">
        <v>1</v>
      </c>
    </row>
    <row r="511" spans="1:43" x14ac:dyDescent="0.25">
      <c r="A511" t="s">
        <v>4443</v>
      </c>
      <c r="AA511" s="31"/>
      <c r="AB511" s="61"/>
      <c r="AD511" s="31"/>
      <c r="AE511" s="61"/>
      <c r="AQ511">
        <v>1</v>
      </c>
    </row>
    <row r="512" spans="1:43" x14ac:dyDescent="0.25">
      <c r="A512" t="s">
        <v>4444</v>
      </c>
      <c r="D512">
        <v>7554218000137</v>
      </c>
      <c r="F512" t="s">
        <v>4445</v>
      </c>
      <c r="G512" t="s">
        <v>4446</v>
      </c>
      <c r="I512" t="s">
        <v>4447</v>
      </c>
      <c r="K512" t="s">
        <v>778</v>
      </c>
      <c r="P512" t="s">
        <v>4317</v>
      </c>
      <c r="Q512" t="s">
        <v>4437</v>
      </c>
      <c r="V512" t="s">
        <v>2119</v>
      </c>
      <c r="Y512" t="s">
        <v>782</v>
      </c>
      <c r="AA512" s="31"/>
      <c r="AB512" s="61"/>
      <c r="AD512" s="31"/>
      <c r="AE512" s="61"/>
      <c r="AQ512">
        <v>1</v>
      </c>
    </row>
    <row r="513" spans="1:43" x14ac:dyDescent="0.25">
      <c r="A513" t="s">
        <v>44</v>
      </c>
      <c r="B513">
        <v>839</v>
      </c>
      <c r="C513">
        <v>0</v>
      </c>
      <c r="D513">
        <v>3140</v>
      </c>
      <c r="G513" t="s">
        <v>4448</v>
      </c>
      <c r="H513">
        <v>7044171000161</v>
      </c>
      <c r="J513" t="s">
        <v>4449</v>
      </c>
      <c r="K513" t="s">
        <v>4450</v>
      </c>
      <c r="M513" t="s">
        <v>4451</v>
      </c>
      <c r="O513" t="s">
        <v>778</v>
      </c>
      <c r="T513" t="s">
        <v>4317</v>
      </c>
      <c r="U513" t="s">
        <v>4329</v>
      </c>
      <c r="Z513">
        <v>30</v>
      </c>
      <c r="AA513" s="31">
        <v>46042</v>
      </c>
      <c r="AB513" s="61">
        <v>0.51048611111111108</v>
      </c>
      <c r="AC513" t="s">
        <v>782</v>
      </c>
      <c r="AD513" s="31"/>
      <c r="AE513" s="61"/>
      <c r="AK513" t="s">
        <v>4407</v>
      </c>
      <c r="AQ513">
        <v>1</v>
      </c>
    </row>
    <row r="514" spans="1:43" x14ac:dyDescent="0.25">
      <c r="A514" t="s">
        <v>22</v>
      </c>
      <c r="B514">
        <v>840</v>
      </c>
      <c r="C514">
        <v>0</v>
      </c>
      <c r="D514">
        <v>3141</v>
      </c>
      <c r="G514" t="s">
        <v>4452</v>
      </c>
      <c r="H514">
        <v>6847915000202</v>
      </c>
      <c r="J514" t="s">
        <v>1804</v>
      </c>
      <c r="K514" t="s">
        <v>4453</v>
      </c>
      <c r="M514" t="s">
        <v>4242</v>
      </c>
      <c r="O514" t="s">
        <v>778</v>
      </c>
      <c r="T514" t="s">
        <v>4317</v>
      </c>
      <c r="U514" t="s">
        <v>4329</v>
      </c>
      <c r="Z514">
        <v>30</v>
      </c>
      <c r="AA514" s="31">
        <v>46042</v>
      </c>
      <c r="AB514" s="61">
        <v>0.58880787037037041</v>
      </c>
      <c r="AC514" t="s">
        <v>782</v>
      </c>
      <c r="AD514" s="31"/>
      <c r="AE514" s="61"/>
      <c r="AK514" t="s">
        <v>4407</v>
      </c>
      <c r="AQ514">
        <v>1</v>
      </c>
    </row>
    <row r="515" spans="1:43" x14ac:dyDescent="0.25">
      <c r="A515" t="s">
        <v>22</v>
      </c>
      <c r="B515">
        <v>841</v>
      </c>
      <c r="C515">
        <v>0</v>
      </c>
      <c r="D515">
        <v>3142</v>
      </c>
      <c r="G515" t="s">
        <v>4454</v>
      </c>
      <c r="H515">
        <v>8636039000101</v>
      </c>
      <c r="J515" t="s">
        <v>4455</v>
      </c>
      <c r="K515" t="s">
        <v>4456</v>
      </c>
      <c r="M515" t="s">
        <v>4163</v>
      </c>
      <c r="O515" t="s">
        <v>778</v>
      </c>
      <c r="T515" t="s">
        <v>4317</v>
      </c>
      <c r="U515" t="s">
        <v>4329</v>
      </c>
      <c r="Z515">
        <v>30</v>
      </c>
      <c r="AA515" s="31">
        <v>46042</v>
      </c>
      <c r="AB515" s="61">
        <v>0.58991898148148147</v>
      </c>
      <c r="AC515" t="s">
        <v>782</v>
      </c>
      <c r="AD515" s="31"/>
      <c r="AE515" s="61"/>
      <c r="AK515" t="s">
        <v>4407</v>
      </c>
      <c r="AQ515">
        <v>1</v>
      </c>
    </row>
    <row r="516" spans="1:43" x14ac:dyDescent="0.25">
      <c r="A516" t="s">
        <v>22</v>
      </c>
      <c r="B516">
        <v>842</v>
      </c>
      <c r="C516">
        <v>0</v>
      </c>
      <c r="D516">
        <v>3143</v>
      </c>
      <c r="G516" t="s">
        <v>4457</v>
      </c>
      <c r="H516">
        <v>7729393000118</v>
      </c>
      <c r="J516" t="s">
        <v>4458</v>
      </c>
      <c r="K516" t="s">
        <v>4459</v>
      </c>
      <c r="M516" t="s">
        <v>4460</v>
      </c>
      <c r="O516" t="s">
        <v>778</v>
      </c>
      <c r="T516" t="s">
        <v>4317</v>
      </c>
      <c r="U516" t="s">
        <v>4329</v>
      </c>
      <c r="Z516">
        <v>30</v>
      </c>
      <c r="AA516" s="31">
        <v>46042</v>
      </c>
      <c r="AB516" s="61">
        <v>0.59046296296296297</v>
      </c>
      <c r="AC516" t="s">
        <v>782</v>
      </c>
      <c r="AD516" s="31"/>
      <c r="AE516" s="61"/>
      <c r="AK516" t="s">
        <v>4407</v>
      </c>
      <c r="AQ516">
        <v>1</v>
      </c>
    </row>
    <row r="517" spans="1:43" x14ac:dyDescent="0.25">
      <c r="A517" t="s">
        <v>22</v>
      </c>
      <c r="B517">
        <v>844</v>
      </c>
      <c r="C517">
        <v>0</v>
      </c>
      <c r="D517">
        <v>3145</v>
      </c>
      <c r="G517" t="s">
        <v>4461</v>
      </c>
      <c r="H517">
        <v>27914031000104</v>
      </c>
      <c r="J517" t="s">
        <v>3496</v>
      </c>
      <c r="K517" t="s">
        <v>3497</v>
      </c>
      <c r="M517" t="s">
        <v>3498</v>
      </c>
      <c r="O517" t="s">
        <v>778</v>
      </c>
      <c r="T517" t="s">
        <v>4317</v>
      </c>
      <c r="U517" t="s">
        <v>4329</v>
      </c>
      <c r="Z517">
        <v>30</v>
      </c>
      <c r="AA517" s="31">
        <v>46042</v>
      </c>
      <c r="AB517" s="61">
        <v>0.59171296296296294</v>
      </c>
      <c r="AC517" t="s">
        <v>782</v>
      </c>
      <c r="AD517" s="31"/>
      <c r="AE517" s="61"/>
      <c r="AK517" t="s">
        <v>4407</v>
      </c>
      <c r="AQ517">
        <v>1</v>
      </c>
    </row>
    <row r="518" spans="1:43" x14ac:dyDescent="0.25">
      <c r="A518" t="s">
        <v>22</v>
      </c>
      <c r="B518">
        <v>845</v>
      </c>
      <c r="C518">
        <v>0</v>
      </c>
      <c r="D518">
        <v>3146</v>
      </c>
      <c r="E518" t="s">
        <v>4400</v>
      </c>
      <c r="AA518" s="31"/>
      <c r="AB518" s="61"/>
      <c r="AD518" s="31"/>
      <c r="AE518" s="61"/>
      <c r="AQ518">
        <v>1</v>
      </c>
    </row>
    <row r="519" spans="1:43" x14ac:dyDescent="0.25">
      <c r="A519" t="s">
        <v>4308</v>
      </c>
      <c r="AA519" s="31"/>
      <c r="AB519" s="61"/>
      <c r="AD519" s="31"/>
      <c r="AE519" s="61"/>
      <c r="AQ519">
        <v>1</v>
      </c>
    </row>
    <row r="520" spans="1:43" x14ac:dyDescent="0.25">
      <c r="A520" t="s">
        <v>4311</v>
      </c>
      <c r="E520" t="s">
        <v>4462</v>
      </c>
      <c r="G520" t="s">
        <v>990</v>
      </c>
      <c r="J520" t="s">
        <v>3614</v>
      </c>
      <c r="Q520" t="s">
        <v>4317</v>
      </c>
      <c r="R520" t="s">
        <v>4437</v>
      </c>
      <c r="W520">
        <v>30</v>
      </c>
      <c r="Y520" t="s">
        <v>4463</v>
      </c>
      <c r="AA520" s="31"/>
      <c r="AB520" s="61"/>
      <c r="AD520" s="31"/>
      <c r="AE520" s="61"/>
      <c r="AH520" t="s">
        <v>4407</v>
      </c>
      <c r="AQ520">
        <v>1</v>
      </c>
    </row>
    <row r="521" spans="1:43" x14ac:dyDescent="0.25">
      <c r="A521" t="s">
        <v>22</v>
      </c>
      <c r="B521">
        <v>846</v>
      </c>
      <c r="C521">
        <v>0</v>
      </c>
      <c r="D521">
        <v>3147</v>
      </c>
      <c r="G521" t="s">
        <v>4464</v>
      </c>
      <c r="H521">
        <v>24435880000197</v>
      </c>
      <c r="J521" t="s">
        <v>4465</v>
      </c>
      <c r="K521" t="s">
        <v>4466</v>
      </c>
      <c r="M521" t="s">
        <v>4467</v>
      </c>
      <c r="O521" t="s">
        <v>778</v>
      </c>
      <c r="T521" t="s">
        <v>4317</v>
      </c>
      <c r="U521" t="s">
        <v>4329</v>
      </c>
      <c r="Z521">
        <v>30</v>
      </c>
      <c r="AA521" s="31">
        <v>46042</v>
      </c>
      <c r="AB521" s="61">
        <v>0.59587962962962959</v>
      </c>
      <c r="AC521" t="s">
        <v>782</v>
      </c>
      <c r="AD521" s="31"/>
      <c r="AE521" s="61"/>
      <c r="AK521" t="s">
        <v>4407</v>
      </c>
      <c r="AQ521">
        <v>1</v>
      </c>
    </row>
    <row r="522" spans="1:43" x14ac:dyDescent="0.25">
      <c r="A522" t="s">
        <v>44</v>
      </c>
      <c r="B522">
        <v>852</v>
      </c>
      <c r="C522">
        <v>0</v>
      </c>
      <c r="D522">
        <v>3152</v>
      </c>
      <c r="G522" t="s">
        <v>508</v>
      </c>
      <c r="H522">
        <v>11119066000111</v>
      </c>
      <c r="J522" t="s">
        <v>4468</v>
      </c>
      <c r="K522" t="s">
        <v>4469</v>
      </c>
      <c r="M522" t="s">
        <v>4470</v>
      </c>
      <c r="O522" t="s">
        <v>778</v>
      </c>
      <c r="T522" t="s">
        <v>4317</v>
      </c>
      <c r="U522" t="s">
        <v>4437</v>
      </c>
      <c r="Z522">
        <v>29</v>
      </c>
      <c r="AA522" s="31">
        <v>46043</v>
      </c>
      <c r="AB522" s="61">
        <v>0.60939814814814819</v>
      </c>
      <c r="AC522" t="s">
        <v>782</v>
      </c>
      <c r="AD522" s="31"/>
      <c r="AE522" s="61"/>
      <c r="AK522" t="s">
        <v>4471</v>
      </c>
      <c r="AQ522">
        <v>1</v>
      </c>
    </row>
    <row r="523" spans="1:43" x14ac:dyDescent="0.25">
      <c r="A523" t="s">
        <v>31</v>
      </c>
      <c r="B523">
        <v>855</v>
      </c>
      <c r="C523">
        <v>0</v>
      </c>
      <c r="D523">
        <v>3159</v>
      </c>
      <c r="G523" t="s">
        <v>4472</v>
      </c>
      <c r="H523">
        <v>56450877000309</v>
      </c>
      <c r="J523" t="s">
        <v>4473</v>
      </c>
      <c r="K523" t="s">
        <v>4474</v>
      </c>
      <c r="M523" t="s">
        <v>4475</v>
      </c>
      <c r="O523" t="s">
        <v>778</v>
      </c>
      <c r="T523" t="s">
        <v>4317</v>
      </c>
      <c r="U523" t="s">
        <v>4329</v>
      </c>
      <c r="Z523">
        <v>28</v>
      </c>
      <c r="AA523" s="31">
        <v>46044</v>
      </c>
      <c r="AB523" s="61">
        <v>0.68799768518518523</v>
      </c>
      <c r="AC523" t="s">
        <v>782</v>
      </c>
      <c r="AD523" s="31"/>
      <c r="AE523" s="61"/>
      <c r="AK523" t="s">
        <v>4476</v>
      </c>
      <c r="AQ523">
        <v>1</v>
      </c>
    </row>
    <row r="524" spans="1:43" x14ac:dyDescent="0.25">
      <c r="A524" t="s">
        <v>31</v>
      </c>
      <c r="B524">
        <v>856</v>
      </c>
      <c r="C524">
        <v>0</v>
      </c>
      <c r="D524">
        <v>3160</v>
      </c>
      <c r="E524" t="s">
        <v>4477</v>
      </c>
      <c r="G524" t="s">
        <v>4478</v>
      </c>
      <c r="H524">
        <v>10294630000170</v>
      </c>
      <c r="J524" t="s">
        <v>4479</v>
      </c>
      <c r="K524" t="s">
        <v>4480</v>
      </c>
      <c r="M524" t="s">
        <v>4481</v>
      </c>
      <c r="O524" t="s">
        <v>778</v>
      </c>
      <c r="T524" t="s">
        <v>4317</v>
      </c>
      <c r="U524" t="s">
        <v>4437</v>
      </c>
      <c r="Z524">
        <v>28</v>
      </c>
      <c r="AA524" s="31">
        <v>46044</v>
      </c>
      <c r="AB524" s="61">
        <v>0.68909722222222225</v>
      </c>
      <c r="AC524" t="s">
        <v>782</v>
      </c>
      <c r="AD524" s="31"/>
      <c r="AE524" s="61"/>
      <c r="AK524" t="s">
        <v>2890</v>
      </c>
      <c r="AQ524">
        <v>1</v>
      </c>
    </row>
    <row r="525" spans="1:43" x14ac:dyDescent="0.25">
      <c r="A525" t="s">
        <v>31</v>
      </c>
      <c r="B525">
        <v>857</v>
      </c>
      <c r="C525">
        <v>0</v>
      </c>
      <c r="D525">
        <v>3161</v>
      </c>
      <c r="E525" t="s">
        <v>4482</v>
      </c>
      <c r="AA525" s="31"/>
      <c r="AB525" s="61"/>
      <c r="AD525" s="31"/>
      <c r="AE525" s="61"/>
      <c r="AQ525">
        <v>1</v>
      </c>
    </row>
    <row r="526" spans="1:43" x14ac:dyDescent="0.25">
      <c r="A526" t="s">
        <v>4483</v>
      </c>
      <c r="AA526" s="31"/>
      <c r="AB526" s="61"/>
      <c r="AD526" s="31"/>
      <c r="AE526" s="61"/>
      <c r="AQ526">
        <v>1</v>
      </c>
    </row>
    <row r="527" spans="1:43" x14ac:dyDescent="0.25">
      <c r="A527" t="s">
        <v>4484</v>
      </c>
      <c r="AA527" s="31"/>
      <c r="AB527" s="61"/>
      <c r="AD527" s="31"/>
      <c r="AE527" s="61"/>
      <c r="AQ527">
        <v>1</v>
      </c>
    </row>
    <row r="528" spans="1:43" x14ac:dyDescent="0.25">
      <c r="A528" t="s">
        <v>4485</v>
      </c>
      <c r="AA528" s="31"/>
      <c r="AB528" s="61"/>
      <c r="AD528" s="31"/>
      <c r="AE528" s="61"/>
      <c r="AQ528">
        <v>1</v>
      </c>
    </row>
    <row r="529" spans="1:43" x14ac:dyDescent="0.25">
      <c r="A529" t="s">
        <v>4486</v>
      </c>
      <c r="AA529" s="31"/>
      <c r="AB529" s="61"/>
      <c r="AD529" s="31"/>
      <c r="AE529" s="61"/>
      <c r="AQ529">
        <v>1</v>
      </c>
    </row>
    <row r="530" spans="1:43" x14ac:dyDescent="0.25">
      <c r="A530" t="s">
        <v>4487</v>
      </c>
      <c r="AA530" s="31"/>
      <c r="AB530" s="61"/>
      <c r="AD530" s="31"/>
      <c r="AE530" s="61"/>
      <c r="AQ530">
        <v>1</v>
      </c>
    </row>
    <row r="531" spans="1:43" x14ac:dyDescent="0.25">
      <c r="A531" t="s">
        <v>4488</v>
      </c>
      <c r="E531" t="s">
        <v>4489</v>
      </c>
      <c r="F531" t="s">
        <v>4490</v>
      </c>
      <c r="I531" t="s">
        <v>4491</v>
      </c>
      <c r="K531" t="s">
        <v>4492</v>
      </c>
      <c r="M531" t="s">
        <v>778</v>
      </c>
      <c r="R531" t="s">
        <v>4317</v>
      </c>
      <c r="S531" t="s">
        <v>4318</v>
      </c>
      <c r="X531">
        <v>28</v>
      </c>
      <c r="Y531" t="s">
        <v>4349</v>
      </c>
      <c r="AA531" s="31"/>
      <c r="AB531" s="61"/>
      <c r="AD531" s="31"/>
      <c r="AE531" s="61"/>
      <c r="AI531" t="s">
        <v>2890</v>
      </c>
      <c r="AQ531">
        <v>1</v>
      </c>
    </row>
    <row r="532" spans="1:43" x14ac:dyDescent="0.25">
      <c r="A532" t="s">
        <v>31</v>
      </c>
      <c r="B532">
        <v>858</v>
      </c>
      <c r="C532">
        <v>0</v>
      </c>
      <c r="D532">
        <v>3162</v>
      </c>
      <c r="E532" t="s">
        <v>4493</v>
      </c>
      <c r="G532" t="s">
        <v>4494</v>
      </c>
      <c r="H532">
        <v>12549273000179</v>
      </c>
      <c r="J532" t="s">
        <v>1804</v>
      </c>
      <c r="K532" t="s">
        <v>4495</v>
      </c>
      <c r="M532" t="s">
        <v>4496</v>
      </c>
      <c r="O532" t="s">
        <v>778</v>
      </c>
      <c r="T532" t="s">
        <v>4317</v>
      </c>
      <c r="U532" t="s">
        <v>4318</v>
      </c>
      <c r="Z532">
        <v>28</v>
      </c>
      <c r="AA532" s="31">
        <v>46044</v>
      </c>
      <c r="AB532" s="61">
        <v>0.69061342592592589</v>
      </c>
      <c r="AC532" t="s">
        <v>782</v>
      </c>
      <c r="AD532" s="31"/>
      <c r="AE532" s="61"/>
      <c r="AK532" t="s">
        <v>2890</v>
      </c>
      <c r="AQ532">
        <v>1</v>
      </c>
    </row>
    <row r="533" spans="1:43" x14ac:dyDescent="0.25">
      <c r="A533" t="s">
        <v>31</v>
      </c>
      <c r="B533">
        <v>859</v>
      </c>
      <c r="C533">
        <v>0</v>
      </c>
      <c r="D533">
        <v>3163</v>
      </c>
      <c r="G533" t="s">
        <v>4497</v>
      </c>
      <c r="H533">
        <v>3431924000130</v>
      </c>
      <c r="J533" t="s">
        <v>3691</v>
      </c>
      <c r="K533" t="s">
        <v>4498</v>
      </c>
      <c r="M533" t="s">
        <v>4499</v>
      </c>
      <c r="O533" t="s">
        <v>778</v>
      </c>
      <c r="T533" t="s">
        <v>4317</v>
      </c>
      <c r="U533" t="s">
        <v>4329</v>
      </c>
      <c r="Z533">
        <v>28</v>
      </c>
      <c r="AA533" s="31">
        <v>46044</v>
      </c>
      <c r="AB533" s="61">
        <v>0.69150462962962966</v>
      </c>
      <c r="AC533" t="s">
        <v>782</v>
      </c>
      <c r="AD533" s="31"/>
      <c r="AE533" s="61"/>
      <c r="AK533" t="s">
        <v>4476</v>
      </c>
      <c r="AQ533">
        <v>1</v>
      </c>
    </row>
    <row r="534" spans="1:43" x14ac:dyDescent="0.25">
      <c r="A534" t="s">
        <v>31</v>
      </c>
      <c r="B534">
        <v>863</v>
      </c>
      <c r="C534">
        <v>203</v>
      </c>
      <c r="D534">
        <v>3168</v>
      </c>
      <c r="E534" t="s">
        <v>4500</v>
      </c>
      <c r="G534" t="s">
        <v>4501</v>
      </c>
      <c r="H534">
        <v>11806036000183</v>
      </c>
      <c r="I534" t="s">
        <v>3791</v>
      </c>
      <c r="J534" t="s">
        <v>2600</v>
      </c>
      <c r="K534" t="s">
        <v>3792</v>
      </c>
      <c r="M534" t="s">
        <v>3793</v>
      </c>
      <c r="O534" t="s">
        <v>3794</v>
      </c>
      <c r="P534" t="s">
        <v>3636</v>
      </c>
      <c r="Q534" t="s">
        <v>1699</v>
      </c>
      <c r="T534" t="s">
        <v>319</v>
      </c>
      <c r="U534" t="s">
        <v>816</v>
      </c>
      <c r="W534">
        <v>8100</v>
      </c>
      <c r="X534">
        <v>1080</v>
      </c>
      <c r="Z534">
        <v>5</v>
      </c>
      <c r="AA534" s="31">
        <v>46045</v>
      </c>
      <c r="AB534" s="61">
        <v>0.67321759259259262</v>
      </c>
      <c r="AC534" t="s">
        <v>818</v>
      </c>
      <c r="AD534" s="31">
        <v>46050</v>
      </c>
      <c r="AE534" s="61">
        <v>0.60244212962962962</v>
      </c>
      <c r="AH534" t="s">
        <v>4278</v>
      </c>
      <c r="AI534" t="s">
        <v>2920</v>
      </c>
      <c r="AK534" t="s">
        <v>2920</v>
      </c>
      <c r="AQ534">
        <v>1</v>
      </c>
    </row>
    <row r="535" spans="1:43" x14ac:dyDescent="0.25">
      <c r="A535" t="s">
        <v>31</v>
      </c>
      <c r="B535">
        <v>875</v>
      </c>
      <c r="D535">
        <v>3181</v>
      </c>
      <c r="E535" t="s">
        <v>4502</v>
      </c>
      <c r="AA535" s="31"/>
      <c r="AB535" s="61"/>
      <c r="AD535" s="31"/>
      <c r="AE535" s="61"/>
      <c r="AQ535">
        <v>1</v>
      </c>
    </row>
    <row r="536" spans="1:43" x14ac:dyDescent="0.25">
      <c r="A536" t="s">
        <v>4503</v>
      </c>
      <c r="D536">
        <v>5236564000141</v>
      </c>
      <c r="F536" t="s">
        <v>4504</v>
      </c>
      <c r="G536" t="s">
        <v>4379</v>
      </c>
      <c r="I536" t="s">
        <v>4380</v>
      </c>
      <c r="K536" t="s">
        <v>778</v>
      </c>
      <c r="P536" t="s">
        <v>319</v>
      </c>
      <c r="Q536" t="s">
        <v>3417</v>
      </c>
      <c r="S536" t="s">
        <v>4505</v>
      </c>
      <c r="T536" t="s">
        <v>4506</v>
      </c>
      <c r="V536" t="s">
        <v>4507</v>
      </c>
      <c r="Y536" t="s">
        <v>795</v>
      </c>
      <c r="AA536" s="31"/>
      <c r="AB536" s="61"/>
      <c r="AD536" s="31"/>
      <c r="AE536" s="61"/>
      <c r="AQ536">
        <v>1</v>
      </c>
    </row>
    <row r="537" spans="1:43" x14ac:dyDescent="0.25">
      <c r="A537" t="s">
        <v>31</v>
      </c>
      <c r="B537">
        <v>878</v>
      </c>
      <c r="C537">
        <v>206</v>
      </c>
      <c r="D537">
        <v>3189</v>
      </c>
      <c r="G537" t="s">
        <v>4508</v>
      </c>
      <c r="H537">
        <v>37075503000136</v>
      </c>
      <c r="I537" t="s">
        <v>3826</v>
      </c>
      <c r="J537" t="s">
        <v>1474</v>
      </c>
      <c r="K537" t="s">
        <v>1475</v>
      </c>
      <c r="M537" t="s">
        <v>1476</v>
      </c>
      <c r="O537" t="s">
        <v>3827</v>
      </c>
      <c r="P537" t="s">
        <v>1477</v>
      </c>
      <c r="Q537" t="s">
        <v>932</v>
      </c>
      <c r="T537" t="s">
        <v>319</v>
      </c>
      <c r="U537" t="s">
        <v>816</v>
      </c>
      <c r="W537">
        <v>7110</v>
      </c>
      <c r="X537">
        <v>0</v>
      </c>
      <c r="Z537">
        <v>1</v>
      </c>
      <c r="AA537" s="31">
        <v>46050</v>
      </c>
      <c r="AB537" s="61">
        <v>0.72538194444444448</v>
      </c>
      <c r="AC537" t="s">
        <v>818</v>
      </c>
      <c r="AD537" s="31">
        <v>46051</v>
      </c>
      <c r="AE537" s="61">
        <v>0.38591435185185191</v>
      </c>
      <c r="AH537" t="s">
        <v>4509</v>
      </c>
      <c r="AK537" t="s">
        <v>4509</v>
      </c>
      <c r="AQ537">
        <v>1</v>
      </c>
    </row>
    <row r="538" spans="1:43" x14ac:dyDescent="0.25">
      <c r="A538" t="s">
        <v>31</v>
      </c>
      <c r="B538">
        <v>880</v>
      </c>
      <c r="D538">
        <v>3194</v>
      </c>
      <c r="E538" t="s">
        <v>4510</v>
      </c>
      <c r="G538" t="s">
        <v>4511</v>
      </c>
      <c r="H538">
        <v>55585815000171</v>
      </c>
      <c r="J538" t="s">
        <v>914</v>
      </c>
      <c r="K538" t="s">
        <v>4181</v>
      </c>
      <c r="M538" t="s">
        <v>4182</v>
      </c>
      <c r="O538" t="s">
        <v>778</v>
      </c>
      <c r="S538" t="s">
        <v>1419</v>
      </c>
      <c r="T538" t="s">
        <v>319</v>
      </c>
      <c r="U538" t="s">
        <v>3417</v>
      </c>
      <c r="W538">
        <v>8100</v>
      </c>
      <c r="X538">
        <v>1080</v>
      </c>
      <c r="Z538">
        <v>21</v>
      </c>
      <c r="AA538" s="31">
        <v>46051</v>
      </c>
      <c r="AB538" s="61">
        <v>0.41949074074074072</v>
      </c>
      <c r="AC538" t="s">
        <v>782</v>
      </c>
      <c r="AD538" s="31"/>
      <c r="AE538" s="61"/>
      <c r="AH538" t="s">
        <v>4512</v>
      </c>
      <c r="AI538" t="s">
        <v>4407</v>
      </c>
      <c r="AK538" t="s">
        <v>4512</v>
      </c>
      <c r="AL538" t="s">
        <v>1423</v>
      </c>
      <c r="AQ538">
        <v>1</v>
      </c>
    </row>
    <row r="539" spans="1:43" x14ac:dyDescent="0.25">
      <c r="A539" t="s">
        <v>31</v>
      </c>
      <c r="B539">
        <v>881</v>
      </c>
      <c r="C539">
        <v>0</v>
      </c>
      <c r="D539">
        <v>3195</v>
      </c>
      <c r="E539" t="s">
        <v>4513</v>
      </c>
      <c r="AA539" s="31"/>
      <c r="AB539" s="61"/>
      <c r="AD539" s="31"/>
      <c r="AE539" s="61"/>
      <c r="AQ539">
        <v>1</v>
      </c>
    </row>
    <row r="540" spans="1:43" x14ac:dyDescent="0.25">
      <c r="A540" t="s">
        <v>4514</v>
      </c>
      <c r="D540">
        <v>55585815000171</v>
      </c>
      <c r="F540" t="s">
        <v>914</v>
      </c>
      <c r="G540" t="s">
        <v>4181</v>
      </c>
      <c r="I540" t="s">
        <v>4182</v>
      </c>
      <c r="K540" t="s">
        <v>778</v>
      </c>
      <c r="O540" t="s">
        <v>1718</v>
      </c>
      <c r="P540" t="s">
        <v>319</v>
      </c>
      <c r="Q540" t="s">
        <v>3417</v>
      </c>
      <c r="S540" t="s">
        <v>4515</v>
      </c>
      <c r="T540" t="s">
        <v>4275</v>
      </c>
      <c r="V540" t="s">
        <v>4516</v>
      </c>
      <c r="Y540" t="s">
        <v>782</v>
      </c>
      <c r="AA540" s="31"/>
      <c r="AB540" s="61"/>
      <c r="AD540" s="31">
        <v>46064</v>
      </c>
      <c r="AE540" s="61"/>
      <c r="AF540" t="s">
        <v>4517</v>
      </c>
      <c r="AH540" t="s">
        <v>2119</v>
      </c>
      <c r="AL540" t="s">
        <v>54</v>
      </c>
      <c r="AQ540">
        <v>1</v>
      </c>
    </row>
    <row r="541" spans="1:43" x14ac:dyDescent="0.25">
      <c r="A541" t="s">
        <v>31</v>
      </c>
      <c r="B541">
        <v>896</v>
      </c>
      <c r="C541">
        <v>181</v>
      </c>
      <c r="D541">
        <v>3212</v>
      </c>
      <c r="E541" t="s">
        <v>4518</v>
      </c>
      <c r="AA541" s="31"/>
      <c r="AB541" s="61"/>
      <c r="AD541" s="31"/>
      <c r="AE541" s="61"/>
      <c r="AQ541">
        <v>1</v>
      </c>
    </row>
    <row r="542" spans="1:43" x14ac:dyDescent="0.25">
      <c r="A542" t="s">
        <v>4519</v>
      </c>
      <c r="AA542" s="31"/>
      <c r="AB542" s="61"/>
      <c r="AD542" s="31"/>
      <c r="AE542" s="61"/>
      <c r="AQ542">
        <v>1</v>
      </c>
    </row>
    <row r="543" spans="1:43" x14ac:dyDescent="0.25">
      <c r="A543" t="s">
        <v>4520</v>
      </c>
      <c r="D543">
        <v>43204189000147</v>
      </c>
      <c r="E543" t="s">
        <v>3612</v>
      </c>
      <c r="F543" t="s">
        <v>990</v>
      </c>
      <c r="G543" t="s">
        <v>3613</v>
      </c>
      <c r="I543" t="s">
        <v>3614</v>
      </c>
      <c r="K543" t="s">
        <v>3615</v>
      </c>
      <c r="M543" t="s">
        <v>790</v>
      </c>
      <c r="P543" t="s">
        <v>319</v>
      </c>
      <c r="Q543" t="s">
        <v>816</v>
      </c>
      <c r="S543" t="s">
        <v>4521</v>
      </c>
      <c r="T543" t="s">
        <v>4275</v>
      </c>
      <c r="V543" t="s">
        <v>1058</v>
      </c>
      <c r="Y543" t="s">
        <v>818</v>
      </c>
      <c r="AA543" s="31"/>
      <c r="AB543" s="61"/>
      <c r="AD543" s="31"/>
      <c r="AE543" s="61"/>
      <c r="AQ543">
        <v>1</v>
      </c>
    </row>
    <row r="544" spans="1:43" x14ac:dyDescent="0.25">
      <c r="A544" t="s">
        <v>31</v>
      </c>
      <c r="B544">
        <v>897</v>
      </c>
      <c r="C544">
        <v>133</v>
      </c>
      <c r="D544">
        <v>3213</v>
      </c>
      <c r="E544" t="s">
        <v>4522</v>
      </c>
      <c r="AA544" s="31"/>
      <c r="AB544" s="61"/>
      <c r="AD544" s="31"/>
      <c r="AE544" s="61"/>
      <c r="AQ544">
        <v>1</v>
      </c>
    </row>
    <row r="545" spans="1:43" x14ac:dyDescent="0.25">
      <c r="A545" t="s">
        <v>4523</v>
      </c>
      <c r="AA545" s="31"/>
      <c r="AB545" s="61"/>
      <c r="AD545" s="31"/>
      <c r="AE545" s="61"/>
      <c r="AQ545">
        <v>1</v>
      </c>
    </row>
    <row r="546" spans="1:43" x14ac:dyDescent="0.25">
      <c r="A546" t="s">
        <v>4524</v>
      </c>
      <c r="AA546" s="31"/>
      <c r="AB546" s="61"/>
      <c r="AD546" s="31"/>
      <c r="AE546" s="61"/>
      <c r="AQ546">
        <v>1</v>
      </c>
    </row>
    <row r="547" spans="1:43" x14ac:dyDescent="0.25">
      <c r="A547" t="s">
        <v>4525</v>
      </c>
      <c r="AA547" s="31"/>
      <c r="AB547" s="61"/>
      <c r="AD547" s="31"/>
      <c r="AE547" s="61"/>
      <c r="AQ547">
        <v>1</v>
      </c>
    </row>
    <row r="548" spans="1:43" x14ac:dyDescent="0.25">
      <c r="A548" t="s">
        <v>4526</v>
      </c>
      <c r="AA548" s="31"/>
      <c r="AB548" s="61"/>
      <c r="AD548" s="31"/>
      <c r="AE548" s="61"/>
      <c r="AQ548">
        <v>1</v>
      </c>
    </row>
    <row r="549" spans="1:43" x14ac:dyDescent="0.25">
      <c r="A549" t="s">
        <v>4525</v>
      </c>
      <c r="AA549" s="31"/>
      <c r="AB549" s="61"/>
      <c r="AD549" s="31"/>
      <c r="AE549" s="61"/>
      <c r="AQ549">
        <v>1</v>
      </c>
    </row>
    <row r="550" spans="1:43" x14ac:dyDescent="0.25">
      <c r="A550" t="s">
        <v>4527</v>
      </c>
      <c r="AA550" s="31"/>
      <c r="AB550" s="61"/>
      <c r="AD550" s="31"/>
      <c r="AE550" s="61"/>
      <c r="AQ550">
        <v>1</v>
      </c>
    </row>
    <row r="551" spans="1:43" x14ac:dyDescent="0.25">
      <c r="A551" t="s">
        <v>4528</v>
      </c>
      <c r="AA551" s="31"/>
      <c r="AB551" s="61"/>
      <c r="AD551" s="31"/>
      <c r="AE551" s="61"/>
      <c r="AQ551">
        <v>1</v>
      </c>
    </row>
    <row r="552" spans="1:43" x14ac:dyDescent="0.25">
      <c r="A552" t="s">
        <v>4529</v>
      </c>
      <c r="AA552" s="31"/>
      <c r="AB552" s="61"/>
      <c r="AD552" s="31"/>
      <c r="AE552" s="61"/>
      <c r="AQ552">
        <v>1</v>
      </c>
    </row>
    <row r="553" spans="1:43" x14ac:dyDescent="0.25">
      <c r="A553" t="s">
        <v>4530</v>
      </c>
      <c r="AA553" s="31"/>
      <c r="AB553" s="61"/>
      <c r="AD553" s="31"/>
      <c r="AE553" s="61"/>
      <c r="AQ553">
        <v>1</v>
      </c>
    </row>
    <row r="554" spans="1:43" x14ac:dyDescent="0.25">
      <c r="A554" t="s">
        <v>4531</v>
      </c>
      <c r="AA554" s="31"/>
      <c r="AB554" s="61"/>
      <c r="AD554" s="31"/>
      <c r="AE554" s="61"/>
      <c r="AQ554">
        <v>1</v>
      </c>
    </row>
    <row r="555" spans="1:43" x14ac:dyDescent="0.25">
      <c r="A555" t="s">
        <v>4532</v>
      </c>
      <c r="AA555" s="31"/>
      <c r="AB555" s="61"/>
      <c r="AD555" s="31"/>
      <c r="AE555" s="61"/>
      <c r="AQ555">
        <v>1</v>
      </c>
    </row>
    <row r="556" spans="1:43" x14ac:dyDescent="0.25">
      <c r="A556" t="s">
        <v>4533</v>
      </c>
      <c r="AA556" s="31"/>
      <c r="AB556" s="61"/>
      <c r="AD556" s="31"/>
      <c r="AE556" s="61"/>
      <c r="AQ556">
        <v>1</v>
      </c>
    </row>
    <row r="557" spans="1:43" x14ac:dyDescent="0.25">
      <c r="A557" t="s">
        <v>4534</v>
      </c>
      <c r="AA557" s="31"/>
      <c r="AB557" s="61"/>
      <c r="AD557" s="31"/>
      <c r="AE557" s="61"/>
      <c r="AQ557">
        <v>1</v>
      </c>
    </row>
    <row r="558" spans="1:43" x14ac:dyDescent="0.25">
      <c r="A558" t="s">
        <v>4535</v>
      </c>
      <c r="AA558" s="31"/>
      <c r="AB558" s="61"/>
      <c r="AD558" s="31"/>
      <c r="AE558" s="61"/>
      <c r="AQ558">
        <v>1</v>
      </c>
    </row>
    <row r="559" spans="1:43" x14ac:dyDescent="0.25">
      <c r="A559" t="s">
        <v>4536</v>
      </c>
      <c r="AA559" s="31"/>
      <c r="AB559" s="61"/>
      <c r="AD559" s="31"/>
      <c r="AE559" s="61"/>
      <c r="AQ559">
        <v>1</v>
      </c>
    </row>
    <row r="560" spans="1:43" x14ac:dyDescent="0.25">
      <c r="A560" t="s">
        <v>4537</v>
      </c>
      <c r="AA560" s="31"/>
      <c r="AB560" s="61"/>
      <c r="AD560" s="31"/>
      <c r="AE560" s="61"/>
      <c r="AQ560">
        <v>1</v>
      </c>
    </row>
    <row r="561" spans="1:43" x14ac:dyDescent="0.25">
      <c r="A561" t="s">
        <v>4538</v>
      </c>
      <c r="AA561" s="31"/>
      <c r="AB561" s="61"/>
      <c r="AD561" s="31"/>
      <c r="AE561" s="61"/>
      <c r="AQ561">
        <v>1</v>
      </c>
    </row>
    <row r="562" spans="1:43" x14ac:dyDescent="0.25">
      <c r="A562" t="s">
        <v>4539</v>
      </c>
      <c r="AA562" s="31"/>
      <c r="AB562" s="61"/>
      <c r="AD562" s="31"/>
      <c r="AE562" s="61"/>
      <c r="AQ562">
        <v>1</v>
      </c>
    </row>
    <row r="563" spans="1:43" x14ac:dyDescent="0.25">
      <c r="A563" t="s">
        <v>4540</v>
      </c>
      <c r="D563">
        <v>9517464000144</v>
      </c>
      <c r="E563" t="s">
        <v>625</v>
      </c>
      <c r="F563" t="s">
        <v>4541</v>
      </c>
      <c r="G563" t="s">
        <v>3584</v>
      </c>
      <c r="I563" t="s">
        <v>2207</v>
      </c>
      <c r="K563" t="s">
        <v>778</v>
      </c>
      <c r="O563" t="s">
        <v>1419</v>
      </c>
      <c r="P563" t="s">
        <v>319</v>
      </c>
      <c r="Q563" t="s">
        <v>3417</v>
      </c>
      <c r="S563" t="s">
        <v>4542</v>
      </c>
      <c r="T563" t="s">
        <v>4543</v>
      </c>
      <c r="V563" t="s">
        <v>4544</v>
      </c>
      <c r="Y563" t="s">
        <v>782</v>
      </c>
      <c r="AA563" s="31"/>
      <c r="AB563" s="61"/>
      <c r="AD563" s="31"/>
      <c r="AE563" s="61"/>
      <c r="AH563" t="s">
        <v>1423</v>
      </c>
      <c r="AL563" t="s">
        <v>69</v>
      </c>
      <c r="AQ563">
        <v>1</v>
      </c>
    </row>
    <row r="564" spans="1:43" x14ac:dyDescent="0.25">
      <c r="A564" t="s">
        <v>31</v>
      </c>
      <c r="B564">
        <v>898</v>
      </c>
      <c r="D564">
        <v>3214</v>
      </c>
      <c r="E564" t="s">
        <v>4545</v>
      </c>
      <c r="AA564" s="31"/>
      <c r="AB564" s="61"/>
      <c r="AD564" s="31"/>
      <c r="AE564" s="61"/>
      <c r="AQ564">
        <v>1</v>
      </c>
    </row>
    <row r="565" spans="1:43" x14ac:dyDescent="0.25">
      <c r="A565" t="s">
        <v>4546</v>
      </c>
      <c r="D565">
        <v>45028964000186</v>
      </c>
      <c r="F565" t="s">
        <v>4234</v>
      </c>
      <c r="G565" t="s">
        <v>4547</v>
      </c>
      <c r="I565" t="s">
        <v>4236</v>
      </c>
      <c r="K565" t="s">
        <v>778</v>
      </c>
      <c r="O565" t="s">
        <v>1718</v>
      </c>
      <c r="P565" t="s">
        <v>319</v>
      </c>
      <c r="Q565" t="s">
        <v>3606</v>
      </c>
      <c r="V565" t="s">
        <v>4544</v>
      </c>
      <c r="Y565" t="s">
        <v>782</v>
      </c>
      <c r="AA565" s="31"/>
      <c r="AB565" s="61"/>
      <c r="AD565" s="31"/>
      <c r="AE565" s="61"/>
      <c r="AF565" t="s">
        <v>420</v>
      </c>
      <c r="AH565" t="s">
        <v>2119</v>
      </c>
      <c r="AQ565">
        <v>1</v>
      </c>
    </row>
    <row r="566" spans="1:43" x14ac:dyDescent="0.25">
      <c r="A566" t="s">
        <v>31</v>
      </c>
      <c r="B566">
        <v>899</v>
      </c>
      <c r="C566">
        <v>210</v>
      </c>
      <c r="D566">
        <v>3215</v>
      </c>
      <c r="E566" t="s">
        <v>4548</v>
      </c>
      <c r="AA566" s="31"/>
      <c r="AB566" s="61"/>
      <c r="AD566" s="31"/>
      <c r="AE566" s="61"/>
      <c r="AQ566">
        <v>1</v>
      </c>
    </row>
    <row r="567" spans="1:43" x14ac:dyDescent="0.25">
      <c r="A567" t="s">
        <v>4549</v>
      </c>
      <c r="D567">
        <v>51781567000183</v>
      </c>
      <c r="E567" t="s">
        <v>3886</v>
      </c>
      <c r="F567" t="s">
        <v>1804</v>
      </c>
      <c r="G567" t="s">
        <v>3887</v>
      </c>
      <c r="I567" t="s">
        <v>3888</v>
      </c>
      <c r="K567" t="s">
        <v>3889</v>
      </c>
      <c r="M567" t="s">
        <v>932</v>
      </c>
      <c r="O567" t="s">
        <v>1718</v>
      </c>
      <c r="P567" t="s">
        <v>319</v>
      </c>
      <c r="Q567" t="s">
        <v>816</v>
      </c>
      <c r="S567" t="s">
        <v>4550</v>
      </c>
      <c r="T567" t="s">
        <v>4551</v>
      </c>
      <c r="V567" t="s">
        <v>4552</v>
      </c>
      <c r="Y567" t="s">
        <v>782</v>
      </c>
      <c r="AA567" s="31"/>
      <c r="AB567" s="61"/>
      <c r="AD567" s="31"/>
      <c r="AE567" s="61"/>
      <c r="AH567" t="s">
        <v>2119</v>
      </c>
      <c r="AL567" t="s">
        <v>52</v>
      </c>
      <c r="AQ567">
        <v>1</v>
      </c>
    </row>
    <row r="568" spans="1:43" x14ac:dyDescent="0.25">
      <c r="A568" t="s">
        <v>31</v>
      </c>
      <c r="B568">
        <v>904</v>
      </c>
      <c r="D568">
        <v>3221</v>
      </c>
      <c r="E568" t="s">
        <v>4553</v>
      </c>
      <c r="AA568" s="31"/>
      <c r="AB568" s="61"/>
      <c r="AD568" s="31"/>
      <c r="AE568" s="61"/>
      <c r="AQ568">
        <v>1</v>
      </c>
    </row>
    <row r="569" spans="1:43" x14ac:dyDescent="0.25">
      <c r="A569" t="s">
        <v>4554</v>
      </c>
      <c r="D569">
        <v>10303813000104</v>
      </c>
      <c r="F569" t="s">
        <v>4555</v>
      </c>
      <c r="G569" t="s">
        <v>4556</v>
      </c>
      <c r="I569" t="s">
        <v>4384</v>
      </c>
      <c r="K569" t="s">
        <v>778</v>
      </c>
      <c r="O569" t="s">
        <v>1704</v>
      </c>
      <c r="P569" t="s">
        <v>319</v>
      </c>
      <c r="Q569" t="s">
        <v>816</v>
      </c>
      <c r="S569" t="s">
        <v>4275</v>
      </c>
      <c r="T569" t="s">
        <v>4557</v>
      </c>
      <c r="V569" t="s">
        <v>4558</v>
      </c>
      <c r="Y569" t="s">
        <v>818</v>
      </c>
      <c r="AA569" s="31"/>
      <c r="AB569" s="61"/>
      <c r="AD569" s="31"/>
      <c r="AE569" s="61"/>
      <c r="AH569" t="s">
        <v>1970</v>
      </c>
      <c r="AQ569">
        <v>1</v>
      </c>
    </row>
    <row r="570" spans="1:43" x14ac:dyDescent="0.25">
      <c r="A570" t="s">
        <v>31</v>
      </c>
      <c r="B570">
        <v>905</v>
      </c>
      <c r="C570">
        <v>147</v>
      </c>
      <c r="D570">
        <v>3223</v>
      </c>
      <c r="G570" t="s">
        <v>456</v>
      </c>
      <c r="H570">
        <v>7964558000136</v>
      </c>
      <c r="I570" t="s">
        <v>3430</v>
      </c>
      <c r="J570" t="s">
        <v>3431</v>
      </c>
      <c r="K570" t="s">
        <v>3515</v>
      </c>
      <c r="M570" t="s">
        <v>3433</v>
      </c>
      <c r="O570" t="s">
        <v>778</v>
      </c>
      <c r="S570" t="s">
        <v>1718</v>
      </c>
      <c r="T570" t="s">
        <v>319</v>
      </c>
      <c r="U570" t="s">
        <v>3417</v>
      </c>
      <c r="W570">
        <v>1680</v>
      </c>
      <c r="X570">
        <v>7128</v>
      </c>
      <c r="Z570">
        <v>14</v>
      </c>
      <c r="AA570" s="31">
        <v>46058</v>
      </c>
      <c r="AB570" s="61">
        <v>0.47660879629629632</v>
      </c>
      <c r="AC570" t="s">
        <v>782</v>
      </c>
      <c r="AD570" s="31"/>
      <c r="AE570" s="61"/>
      <c r="AH570" t="s">
        <v>449</v>
      </c>
      <c r="AI570" t="s">
        <v>4559</v>
      </c>
      <c r="AK570" t="s">
        <v>449</v>
      </c>
      <c r="AL570" t="s">
        <v>2119</v>
      </c>
      <c r="AQ570">
        <v>1</v>
      </c>
    </row>
    <row r="571" spans="1:43" x14ac:dyDescent="0.25">
      <c r="A571" t="s">
        <v>31</v>
      </c>
      <c r="B571">
        <v>910</v>
      </c>
      <c r="D571">
        <v>3246</v>
      </c>
      <c r="E571" t="s">
        <v>4560</v>
      </c>
      <c r="G571" t="s">
        <v>4561</v>
      </c>
      <c r="H571">
        <v>55585815000171</v>
      </c>
      <c r="J571" t="s">
        <v>914</v>
      </c>
      <c r="K571" t="s">
        <v>4181</v>
      </c>
      <c r="M571" t="s">
        <v>4182</v>
      </c>
      <c r="O571" t="s">
        <v>778</v>
      </c>
      <c r="T571" t="s">
        <v>319</v>
      </c>
      <c r="U571" t="s">
        <v>3606</v>
      </c>
      <c r="Z571">
        <v>8</v>
      </c>
      <c r="AA571" s="31">
        <v>46064</v>
      </c>
      <c r="AB571" s="61">
        <v>0.4114814814814815</v>
      </c>
      <c r="AC571" t="s">
        <v>782</v>
      </c>
      <c r="AD571" s="31"/>
      <c r="AE571" s="61"/>
      <c r="AI571" t="s">
        <v>463</v>
      </c>
      <c r="AK571" t="s">
        <v>463</v>
      </c>
      <c r="AL571" t="s">
        <v>2119</v>
      </c>
      <c r="AP571" t="s">
        <v>2922</v>
      </c>
      <c r="AQ571">
        <v>1</v>
      </c>
    </row>
    <row r="572" spans="1:43" x14ac:dyDescent="0.25">
      <c r="A572" t="s">
        <v>31</v>
      </c>
      <c r="B572">
        <v>911</v>
      </c>
      <c r="D572">
        <v>3247</v>
      </c>
      <c r="E572" t="s">
        <v>4562</v>
      </c>
      <c r="AA572" s="31"/>
      <c r="AB572" s="61"/>
      <c r="AD572" s="31"/>
      <c r="AE572" s="61"/>
      <c r="AQ572">
        <v>1</v>
      </c>
    </row>
    <row r="573" spans="1:43" x14ac:dyDescent="0.25">
      <c r="A573" t="s">
        <v>4563</v>
      </c>
      <c r="E573" t="s">
        <v>4564</v>
      </c>
      <c r="G573" t="s">
        <v>4565</v>
      </c>
      <c r="J573" t="s">
        <v>4096</v>
      </c>
      <c r="Q573" t="s">
        <v>319</v>
      </c>
      <c r="R573" t="s">
        <v>3417</v>
      </c>
      <c r="T573" t="s">
        <v>4542</v>
      </c>
      <c r="U573" t="s">
        <v>4566</v>
      </c>
      <c r="W573">
        <v>8</v>
      </c>
      <c r="Y573" t="s">
        <v>4567</v>
      </c>
      <c r="AA573" s="31"/>
      <c r="AB573" s="61"/>
      <c r="AD573" s="31"/>
      <c r="AE573" s="61"/>
      <c r="AF573" t="s">
        <v>463</v>
      </c>
      <c r="AH573" t="s">
        <v>4568</v>
      </c>
      <c r="AI573" t="s">
        <v>2119</v>
      </c>
      <c r="AM573" t="s">
        <v>69</v>
      </c>
      <c r="AQ573">
        <v>1</v>
      </c>
    </row>
    <row r="574" spans="1:43" x14ac:dyDescent="0.25">
      <c r="A574" t="s">
        <v>31</v>
      </c>
      <c r="B574">
        <v>913</v>
      </c>
      <c r="C574">
        <v>173</v>
      </c>
      <c r="D574">
        <v>3251</v>
      </c>
      <c r="E574" t="s">
        <v>4569</v>
      </c>
      <c r="AA574" s="31"/>
      <c r="AB574" s="61"/>
      <c r="AD574" s="31"/>
      <c r="AE574" s="61"/>
      <c r="AQ574">
        <v>1</v>
      </c>
    </row>
    <row r="575" spans="1:43" x14ac:dyDescent="0.25">
      <c r="A575" t="s">
        <v>4570</v>
      </c>
      <c r="D575">
        <v>27914031000104</v>
      </c>
      <c r="E575" t="s">
        <v>3495</v>
      </c>
      <c r="F575" t="s">
        <v>3496</v>
      </c>
      <c r="G575" t="s">
        <v>3497</v>
      </c>
      <c r="I575" t="s">
        <v>3498</v>
      </c>
      <c r="K575" t="s">
        <v>3499</v>
      </c>
      <c r="M575" t="s">
        <v>790</v>
      </c>
      <c r="P575" t="s">
        <v>319</v>
      </c>
      <c r="Q575" t="s">
        <v>3606</v>
      </c>
      <c r="V575" t="s">
        <v>4294</v>
      </c>
      <c r="Y575" t="s">
        <v>782</v>
      </c>
      <c r="AA575" s="31"/>
      <c r="AB575" s="61"/>
      <c r="AD575" s="31"/>
      <c r="AE575" s="61"/>
      <c r="AH575" t="s">
        <v>2119</v>
      </c>
      <c r="AL575" t="s">
        <v>2605</v>
      </c>
      <c r="AQ575">
        <v>1</v>
      </c>
    </row>
    <row r="576" spans="1:43" x14ac:dyDescent="0.25">
      <c r="A576" t="s">
        <v>31</v>
      </c>
      <c r="B576">
        <v>914</v>
      </c>
      <c r="C576">
        <v>147</v>
      </c>
      <c r="D576">
        <v>3252</v>
      </c>
      <c r="E576" t="s">
        <v>4571</v>
      </c>
      <c r="G576" t="s">
        <v>473</v>
      </c>
      <c r="H576">
        <v>7964558000136</v>
      </c>
      <c r="I576" t="s">
        <v>3430</v>
      </c>
      <c r="J576" t="s">
        <v>3431</v>
      </c>
      <c r="K576" t="s">
        <v>3515</v>
      </c>
      <c r="M576" t="s">
        <v>3433</v>
      </c>
      <c r="O576" t="s">
        <v>778</v>
      </c>
      <c r="T576" t="s">
        <v>319</v>
      </c>
      <c r="U576" t="s">
        <v>3417</v>
      </c>
      <c r="W576">
        <v>1680</v>
      </c>
      <c r="X576">
        <v>7128</v>
      </c>
      <c r="Z576">
        <v>8</v>
      </c>
      <c r="AA576" s="31">
        <v>46064</v>
      </c>
      <c r="AB576" s="61">
        <v>0.42469907407407409</v>
      </c>
      <c r="AC576" t="s">
        <v>782</v>
      </c>
      <c r="AD576" s="31"/>
      <c r="AE576" s="61"/>
      <c r="AH576" t="s">
        <v>403</v>
      </c>
      <c r="AI576" t="s">
        <v>4572</v>
      </c>
      <c r="AK576" t="s">
        <v>463</v>
      </c>
      <c r="AL576" t="s">
        <v>2119</v>
      </c>
      <c r="AP576" t="s">
        <v>2605</v>
      </c>
      <c r="AQ576">
        <v>1</v>
      </c>
    </row>
    <row r="577" spans="1:43" x14ac:dyDescent="0.25">
      <c r="A577" t="s">
        <v>31</v>
      </c>
      <c r="B577">
        <v>916</v>
      </c>
      <c r="C577">
        <v>196</v>
      </c>
      <c r="D577">
        <v>3254</v>
      </c>
      <c r="E577" t="s">
        <v>4573</v>
      </c>
      <c r="AA577" s="31"/>
      <c r="AB577" s="61"/>
      <c r="AD577" s="31"/>
      <c r="AE577" s="61"/>
      <c r="AQ577">
        <v>1</v>
      </c>
    </row>
    <row r="578" spans="1:43" x14ac:dyDescent="0.25">
      <c r="A578" t="s">
        <v>4574</v>
      </c>
      <c r="AA578" s="31"/>
      <c r="AB578" s="61"/>
      <c r="AD578" s="31"/>
      <c r="AE578" s="61"/>
      <c r="AQ578">
        <v>1</v>
      </c>
    </row>
    <row r="579" spans="1:43" x14ac:dyDescent="0.25">
      <c r="A579" t="s">
        <v>4575</v>
      </c>
      <c r="AA579" s="31"/>
      <c r="AB579" s="61"/>
      <c r="AD579" s="31"/>
      <c r="AE579" s="61"/>
      <c r="AQ579">
        <v>1</v>
      </c>
    </row>
    <row r="580" spans="1:43" x14ac:dyDescent="0.25">
      <c r="A580" t="s">
        <v>4576</v>
      </c>
      <c r="D580">
        <v>32494222000102</v>
      </c>
      <c r="E580" t="s">
        <v>3715</v>
      </c>
      <c r="F580" t="s">
        <v>3716</v>
      </c>
      <c r="G580" t="s">
        <v>3717</v>
      </c>
      <c r="I580" t="s">
        <v>3718</v>
      </c>
      <c r="K580" t="s">
        <v>3719</v>
      </c>
      <c r="M580" t="s">
        <v>790</v>
      </c>
      <c r="P580" t="s">
        <v>319</v>
      </c>
      <c r="Q580" t="s">
        <v>3417</v>
      </c>
      <c r="S580" t="s">
        <v>4550</v>
      </c>
      <c r="T580" t="s">
        <v>4551</v>
      </c>
      <c r="V580" t="s">
        <v>4294</v>
      </c>
      <c r="Y580" t="s">
        <v>782</v>
      </c>
      <c r="AA580" s="31"/>
      <c r="AB580" s="61"/>
      <c r="AD580" s="31"/>
      <c r="AE580" s="61"/>
      <c r="AH580" t="s">
        <v>2119</v>
      </c>
      <c r="AL580" t="s">
        <v>52</v>
      </c>
      <c r="AQ580">
        <v>1</v>
      </c>
    </row>
    <row r="581" spans="1:43" x14ac:dyDescent="0.25">
      <c r="A581" t="s">
        <v>31</v>
      </c>
      <c r="B581">
        <v>917</v>
      </c>
      <c r="C581">
        <v>196</v>
      </c>
      <c r="D581">
        <v>3255</v>
      </c>
      <c r="E581" t="s">
        <v>4573</v>
      </c>
      <c r="AA581" s="31"/>
      <c r="AB581" s="61"/>
      <c r="AD581" s="31"/>
      <c r="AE581" s="61"/>
      <c r="AQ581">
        <v>1</v>
      </c>
    </row>
    <row r="582" spans="1:43" x14ac:dyDescent="0.25">
      <c r="A582" t="s">
        <v>4574</v>
      </c>
      <c r="AA582" s="31"/>
      <c r="AB582" s="61"/>
      <c r="AD582" s="31"/>
      <c r="AE582" s="61"/>
      <c r="AQ582">
        <v>1</v>
      </c>
    </row>
    <row r="583" spans="1:43" x14ac:dyDescent="0.25">
      <c r="A583" t="s">
        <v>4575</v>
      </c>
      <c r="E583" t="s">
        <v>4577</v>
      </c>
      <c r="F583" t="s">
        <v>4578</v>
      </c>
      <c r="G583" t="s">
        <v>3715</v>
      </c>
      <c r="I583" t="s">
        <v>3717</v>
      </c>
      <c r="K583" t="s">
        <v>3718</v>
      </c>
      <c r="M583" t="s">
        <v>3719</v>
      </c>
      <c r="N583" t="s">
        <v>3720</v>
      </c>
      <c r="O583" t="s">
        <v>790</v>
      </c>
      <c r="R583" t="s">
        <v>319</v>
      </c>
      <c r="S583" t="s">
        <v>816</v>
      </c>
      <c r="U583" t="s">
        <v>4579</v>
      </c>
      <c r="V583" t="s">
        <v>4275</v>
      </c>
      <c r="X583">
        <v>8</v>
      </c>
      <c r="Y583" t="s">
        <v>403</v>
      </c>
      <c r="AA583" s="31"/>
      <c r="AB583" s="61"/>
      <c r="AD583" s="31"/>
      <c r="AE583" s="61"/>
      <c r="AF583" t="s">
        <v>484</v>
      </c>
      <c r="AI583" t="s">
        <v>4568</v>
      </c>
      <c r="AJ583" t="s">
        <v>4580</v>
      </c>
      <c r="AN583" t="s">
        <v>4581</v>
      </c>
      <c r="AQ583">
        <v>1</v>
      </c>
    </row>
    <row r="584" spans="1:43" x14ac:dyDescent="0.25">
      <c r="A584" t="s">
        <v>31</v>
      </c>
      <c r="B584">
        <v>918</v>
      </c>
      <c r="C584">
        <v>196</v>
      </c>
      <c r="D584">
        <v>3256</v>
      </c>
      <c r="E584" t="s">
        <v>4573</v>
      </c>
      <c r="AA584" s="31"/>
      <c r="AB584" s="61"/>
      <c r="AD584" s="31"/>
      <c r="AE584" s="61"/>
      <c r="AQ584">
        <v>1</v>
      </c>
    </row>
    <row r="585" spans="1:43" x14ac:dyDescent="0.25">
      <c r="A585" t="s">
        <v>4574</v>
      </c>
      <c r="AA585" s="31"/>
      <c r="AB585" s="61"/>
      <c r="AD585" s="31"/>
      <c r="AE585" s="61"/>
      <c r="AQ585">
        <v>1</v>
      </c>
    </row>
    <row r="586" spans="1:43" x14ac:dyDescent="0.25">
      <c r="A586" t="s">
        <v>4575</v>
      </c>
      <c r="AA586" s="31"/>
      <c r="AB586" s="61"/>
      <c r="AD586" s="31"/>
      <c r="AE586" s="61"/>
      <c r="AQ586">
        <v>1</v>
      </c>
    </row>
    <row r="587" spans="1:43" x14ac:dyDescent="0.25">
      <c r="A587" t="s">
        <v>4582</v>
      </c>
      <c r="D587">
        <v>32494222000102</v>
      </c>
      <c r="E587" t="s">
        <v>3715</v>
      </c>
      <c r="F587" t="s">
        <v>3716</v>
      </c>
      <c r="G587" t="s">
        <v>3717</v>
      </c>
      <c r="I587" t="s">
        <v>3718</v>
      </c>
      <c r="K587" t="s">
        <v>3719</v>
      </c>
      <c r="M587" t="s">
        <v>790</v>
      </c>
      <c r="P587" t="s">
        <v>319</v>
      </c>
      <c r="Q587" t="s">
        <v>816</v>
      </c>
      <c r="S587" t="s">
        <v>4505</v>
      </c>
      <c r="T587" t="s">
        <v>4583</v>
      </c>
      <c r="V587" t="s">
        <v>4294</v>
      </c>
      <c r="Y587" t="s">
        <v>782</v>
      </c>
      <c r="AA587" s="31"/>
      <c r="AB587" s="61"/>
      <c r="AD587" s="31"/>
      <c r="AE587" s="61"/>
      <c r="AH587" t="s">
        <v>2119</v>
      </c>
      <c r="AL587" t="s">
        <v>53</v>
      </c>
      <c r="AQ587">
        <v>1</v>
      </c>
    </row>
    <row r="588" spans="1:43" x14ac:dyDescent="0.25">
      <c r="A588" t="s">
        <v>31</v>
      </c>
      <c r="B588">
        <v>939</v>
      </c>
      <c r="C588">
        <v>207</v>
      </c>
      <c r="D588">
        <v>3272</v>
      </c>
      <c r="E588" t="s">
        <v>4584</v>
      </c>
      <c r="G588" t="s">
        <v>492</v>
      </c>
      <c r="H588">
        <v>43609706000168</v>
      </c>
      <c r="I588" t="s">
        <v>3839</v>
      </c>
      <c r="J588" t="s">
        <v>1804</v>
      </c>
      <c r="K588" t="s">
        <v>3840</v>
      </c>
      <c r="M588" t="s">
        <v>3841</v>
      </c>
      <c r="O588" t="s">
        <v>3842</v>
      </c>
      <c r="P588" t="s">
        <v>3843</v>
      </c>
      <c r="Q588" t="s">
        <v>932</v>
      </c>
      <c r="T588" t="s">
        <v>319</v>
      </c>
      <c r="U588" t="s">
        <v>3417</v>
      </c>
      <c r="W588">
        <v>13100</v>
      </c>
      <c r="X588">
        <v>1700</v>
      </c>
      <c r="Z588">
        <v>2</v>
      </c>
      <c r="AA588" s="31">
        <v>46070</v>
      </c>
      <c r="AB588" s="61">
        <v>0.41354166666666659</v>
      </c>
      <c r="AC588" t="s">
        <v>782</v>
      </c>
      <c r="AD588" s="31"/>
      <c r="AE588" s="61"/>
      <c r="AH588" t="s">
        <v>493</v>
      </c>
      <c r="AK588" t="s">
        <v>493</v>
      </c>
      <c r="AL588" t="s">
        <v>2119</v>
      </c>
      <c r="AP588" t="s">
        <v>69</v>
      </c>
      <c r="AQ588">
        <v>1</v>
      </c>
    </row>
    <row r="589" spans="1:43" x14ac:dyDescent="0.25">
      <c r="A589" t="s">
        <v>31</v>
      </c>
      <c r="B589">
        <v>940</v>
      </c>
      <c r="C589">
        <v>170</v>
      </c>
      <c r="D589">
        <v>3273</v>
      </c>
      <c r="G589" t="s">
        <v>496</v>
      </c>
      <c r="H589">
        <v>4150555001304</v>
      </c>
      <c r="I589" t="s">
        <v>3477</v>
      </c>
      <c r="J589" t="s">
        <v>4585</v>
      </c>
      <c r="K589" t="s">
        <v>3569</v>
      </c>
      <c r="M589" t="s">
        <v>3480</v>
      </c>
      <c r="O589" t="s">
        <v>3481</v>
      </c>
      <c r="P589" t="s">
        <v>3482</v>
      </c>
      <c r="Q589" t="s">
        <v>1699</v>
      </c>
      <c r="T589" t="s">
        <v>319</v>
      </c>
      <c r="U589" t="s">
        <v>3417</v>
      </c>
      <c r="W589">
        <v>1680</v>
      </c>
      <c r="X589">
        <v>0</v>
      </c>
      <c r="Z589">
        <v>2</v>
      </c>
      <c r="AA589" s="31">
        <v>46070</v>
      </c>
      <c r="AB589" s="61">
        <v>0.41755787037037029</v>
      </c>
      <c r="AC589" t="s">
        <v>782</v>
      </c>
      <c r="AD589" s="31"/>
      <c r="AE589" s="61"/>
      <c r="AH589" t="s">
        <v>497</v>
      </c>
      <c r="AK589" t="s">
        <v>497</v>
      </c>
      <c r="AL589" t="s">
        <v>2119</v>
      </c>
      <c r="AP589" t="s">
        <v>318</v>
      </c>
      <c r="AQ589">
        <v>1</v>
      </c>
    </row>
    <row r="590" spans="1:43" x14ac:dyDescent="0.25">
      <c r="A590" t="s">
        <v>31</v>
      </c>
      <c r="B590">
        <v>941</v>
      </c>
      <c r="C590">
        <v>181</v>
      </c>
      <c r="D590">
        <v>3274</v>
      </c>
      <c r="G590" t="s">
        <v>499</v>
      </c>
      <c r="H590">
        <v>43204189000147</v>
      </c>
      <c r="I590" t="s">
        <v>3612</v>
      </c>
      <c r="J590" t="s">
        <v>990</v>
      </c>
      <c r="K590" t="s">
        <v>3613</v>
      </c>
      <c r="M590" t="s">
        <v>3614</v>
      </c>
      <c r="O590" t="s">
        <v>3615</v>
      </c>
      <c r="P590" t="s">
        <v>3616</v>
      </c>
      <c r="Q590" t="s">
        <v>790</v>
      </c>
      <c r="T590" t="s">
        <v>319</v>
      </c>
      <c r="U590" t="s">
        <v>3417</v>
      </c>
      <c r="W590">
        <v>1600</v>
      </c>
      <c r="X590">
        <v>384454</v>
      </c>
      <c r="Z590">
        <v>2</v>
      </c>
      <c r="AA590" s="31">
        <v>46070</v>
      </c>
      <c r="AB590" s="61">
        <v>0.42311342592592588</v>
      </c>
      <c r="AC590" t="s">
        <v>782</v>
      </c>
      <c r="AD590" s="31"/>
      <c r="AE590" s="61"/>
      <c r="AH590" t="s">
        <v>500</v>
      </c>
      <c r="AK590" t="s">
        <v>497</v>
      </c>
      <c r="AL590" t="s">
        <v>2119</v>
      </c>
      <c r="AP590" t="s">
        <v>53</v>
      </c>
      <c r="AQ590">
        <v>1</v>
      </c>
    </row>
    <row r="591" spans="1:43" x14ac:dyDescent="0.25">
      <c r="A591" t="s">
        <v>31</v>
      </c>
      <c r="B591">
        <v>942</v>
      </c>
      <c r="C591">
        <v>103</v>
      </c>
      <c r="D591">
        <v>3275</v>
      </c>
      <c r="E591" t="s">
        <v>4586</v>
      </c>
      <c r="G591" t="s">
        <v>4587</v>
      </c>
      <c r="H591">
        <v>12549273000179</v>
      </c>
      <c r="I591" t="s">
        <v>3309</v>
      </c>
      <c r="J591" t="s">
        <v>1804</v>
      </c>
      <c r="M591" t="s">
        <v>3312</v>
      </c>
      <c r="O591" t="s">
        <v>3313</v>
      </c>
      <c r="P591" t="s">
        <v>1596</v>
      </c>
      <c r="Q591" t="s">
        <v>790</v>
      </c>
      <c r="T591" t="s">
        <v>319</v>
      </c>
      <c r="U591" t="s">
        <v>3606</v>
      </c>
      <c r="Z591">
        <v>2</v>
      </c>
      <c r="AA591" s="31">
        <v>46070</v>
      </c>
      <c r="AB591" s="61">
        <v>0.43594907407407413</v>
      </c>
      <c r="AC591" t="s">
        <v>782</v>
      </c>
      <c r="AD591" s="31"/>
      <c r="AE591" s="61"/>
      <c r="AI591" t="s">
        <v>497</v>
      </c>
      <c r="AK591" t="s">
        <v>497</v>
      </c>
      <c r="AL591" t="s">
        <v>2119</v>
      </c>
      <c r="AP591" t="s">
        <v>2922</v>
      </c>
      <c r="AQ591">
        <v>1</v>
      </c>
    </row>
    <row r="592" spans="1:43" x14ac:dyDescent="0.25">
      <c r="A592" t="s">
        <v>31</v>
      </c>
      <c r="B592">
        <v>943</v>
      </c>
      <c r="C592">
        <v>149</v>
      </c>
      <c r="D592">
        <v>3276</v>
      </c>
      <c r="G592" t="s">
        <v>4588</v>
      </c>
      <c r="H592">
        <v>12418196000118</v>
      </c>
      <c r="I592" t="s">
        <v>3645</v>
      </c>
      <c r="J592" t="s">
        <v>844</v>
      </c>
      <c r="K592" t="s">
        <v>3647</v>
      </c>
      <c r="M592" t="s">
        <v>3648</v>
      </c>
      <c r="O592" t="s">
        <v>778</v>
      </c>
      <c r="T592" t="s">
        <v>319</v>
      </c>
      <c r="U592" t="s">
        <v>3417</v>
      </c>
      <c r="W592">
        <v>1680</v>
      </c>
      <c r="X592">
        <v>3564</v>
      </c>
      <c r="Z592">
        <v>2</v>
      </c>
      <c r="AA592" s="31">
        <v>46070</v>
      </c>
      <c r="AB592" s="61">
        <v>0.6010416666666667</v>
      </c>
      <c r="AC592" t="s">
        <v>782</v>
      </c>
      <c r="AD592" s="31"/>
      <c r="AE592" s="61"/>
      <c r="AH592" t="s">
        <v>497</v>
      </c>
      <c r="AK592" t="s">
        <v>497</v>
      </c>
      <c r="AL592" t="s">
        <v>2119</v>
      </c>
      <c r="AP592" t="s">
        <v>318</v>
      </c>
      <c r="AQ592">
        <v>1</v>
      </c>
    </row>
    <row r="593" spans="1:43" x14ac:dyDescent="0.25">
      <c r="A593" t="s">
        <v>31</v>
      </c>
      <c r="B593">
        <v>944</v>
      </c>
      <c r="C593">
        <v>149</v>
      </c>
      <c r="D593">
        <v>3277</v>
      </c>
      <c r="E593" t="s">
        <v>4589</v>
      </c>
      <c r="G593" t="s">
        <v>504</v>
      </c>
      <c r="H593">
        <v>12418196000118</v>
      </c>
      <c r="I593" t="s">
        <v>3645</v>
      </c>
      <c r="J593" t="s">
        <v>844</v>
      </c>
      <c r="K593" t="s">
        <v>3647</v>
      </c>
      <c r="M593" t="s">
        <v>3648</v>
      </c>
      <c r="O593" t="s">
        <v>778</v>
      </c>
      <c r="T593" t="s">
        <v>319</v>
      </c>
      <c r="U593" t="s">
        <v>3417</v>
      </c>
      <c r="W593">
        <v>1680</v>
      </c>
      <c r="X593">
        <v>0</v>
      </c>
      <c r="Z593">
        <v>2</v>
      </c>
      <c r="AA593" s="31">
        <v>46070</v>
      </c>
      <c r="AB593" s="61">
        <v>0.63858796296296294</v>
      </c>
      <c r="AC593" t="s">
        <v>782</v>
      </c>
      <c r="AD593" s="31"/>
      <c r="AE593" s="61"/>
      <c r="AH593" t="s">
        <v>497</v>
      </c>
      <c r="AK593" t="s">
        <v>497</v>
      </c>
      <c r="AL593" t="s">
        <v>2119</v>
      </c>
      <c r="AP593" t="s">
        <v>318</v>
      </c>
      <c r="AQ593">
        <v>1</v>
      </c>
    </row>
    <row r="594" spans="1:43" x14ac:dyDescent="0.25">
      <c r="A594" t="s">
        <v>31</v>
      </c>
      <c r="B594">
        <v>947</v>
      </c>
      <c r="C594">
        <v>194</v>
      </c>
      <c r="D594">
        <v>3281</v>
      </c>
      <c r="E594" t="s">
        <v>4590</v>
      </c>
      <c r="G594" t="s">
        <v>506</v>
      </c>
      <c r="H594">
        <v>44580314000186</v>
      </c>
      <c r="I594" t="s">
        <v>3682</v>
      </c>
      <c r="J594" t="s">
        <v>4411</v>
      </c>
      <c r="K594" t="s">
        <v>4591</v>
      </c>
      <c r="M594" t="s">
        <v>3685</v>
      </c>
      <c r="O594" t="s">
        <v>3686</v>
      </c>
      <c r="P594" t="s">
        <v>3687</v>
      </c>
      <c r="Q594" t="s">
        <v>790</v>
      </c>
      <c r="T594" t="s">
        <v>319</v>
      </c>
      <c r="U594" t="s">
        <v>3417</v>
      </c>
      <c r="W594">
        <v>3024</v>
      </c>
      <c r="X594">
        <v>1080</v>
      </c>
      <c r="Z594">
        <v>1</v>
      </c>
      <c r="AA594" s="31">
        <v>46071</v>
      </c>
      <c r="AB594" s="61">
        <v>0.39603009259259259</v>
      </c>
      <c r="AC594" t="s">
        <v>782</v>
      </c>
      <c r="AD594" s="31"/>
      <c r="AE594" s="61"/>
      <c r="AH594" t="s">
        <v>507</v>
      </c>
      <c r="AK594" t="s">
        <v>507</v>
      </c>
      <c r="AL594" t="s">
        <v>1423</v>
      </c>
      <c r="AP594" t="s">
        <v>52</v>
      </c>
      <c r="AQ594">
        <v>1</v>
      </c>
    </row>
  </sheetData>
  <pageMargins left="0.511811024" right="0.511811024" top="0.78740157499999996" bottom="0.78740157499999996" header="0.31496062000000002" footer="0.3149606200000000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AR491"/>
  <sheetViews>
    <sheetView topLeftCell="A2" workbookViewId="0">
      <selection activeCell="AK490" sqref="AK490"/>
    </sheetView>
  </sheetViews>
  <sheetFormatPr defaultRowHeight="15" x14ac:dyDescent="0.25"/>
  <cols>
    <col min="1" max="1" width="17.85546875" bestFit="1" customWidth="1"/>
    <col min="2" max="2" width="15.7109375" bestFit="1" customWidth="1"/>
    <col min="3" max="3" width="12.140625" bestFit="1" customWidth="1"/>
    <col min="4" max="4" width="12.7109375" bestFit="1" customWidth="1"/>
    <col min="5" max="5" width="80.85546875" bestFit="1" customWidth="1"/>
    <col min="6" max="6" width="13.85546875" bestFit="1" customWidth="1"/>
    <col min="7" max="7" width="80.85546875" bestFit="1" customWidth="1"/>
    <col min="8" max="8" width="12" bestFit="1" customWidth="1"/>
    <col min="9" max="9" width="80.85546875" bestFit="1" customWidth="1"/>
    <col min="10" max="11" width="64.85546875" bestFit="1" customWidth="1"/>
    <col min="12" max="12" width="41.7109375" bestFit="1" customWidth="1"/>
    <col min="13" max="13" width="20" bestFit="1" customWidth="1"/>
    <col min="14" max="14" width="42.85546875" bestFit="1" customWidth="1"/>
    <col min="15" max="15" width="11.28515625" bestFit="1" customWidth="1"/>
    <col min="16" max="16" width="64.5703125" bestFit="1" customWidth="1"/>
    <col min="17" max="17" width="23" bestFit="1" customWidth="1"/>
    <col min="18" max="18" width="9.140625" bestFit="1" customWidth="1"/>
    <col min="19" max="19" width="14.85546875" bestFit="1" customWidth="1"/>
    <col min="20" max="20" width="22.7109375" bestFit="1" customWidth="1"/>
    <col min="21" max="21" width="20.7109375" bestFit="1" customWidth="1"/>
    <col min="22" max="22" width="24.85546875" bestFit="1" customWidth="1"/>
    <col min="23" max="23" width="31.85546875" bestFit="1" customWidth="1"/>
    <col min="24" max="24" width="12.28515625" bestFit="1" customWidth="1"/>
    <col min="25" max="25" width="14.42578125" bestFit="1" customWidth="1"/>
    <col min="26" max="26" width="14" bestFit="1" customWidth="1"/>
    <col min="27" max="27" width="24.140625" bestFit="1" customWidth="1"/>
    <col min="28" max="28" width="17.140625" bestFit="1" customWidth="1"/>
    <col min="29" max="29" width="17.28515625" bestFit="1" customWidth="1"/>
    <col min="30" max="30" width="8.7109375" bestFit="1" customWidth="1"/>
    <col min="31" max="31" width="21.85546875" bestFit="1" customWidth="1"/>
    <col min="32" max="32" width="22.140625" bestFit="1" customWidth="1"/>
    <col min="33" max="33" width="29.5703125" bestFit="1" customWidth="1"/>
    <col min="34" max="34" width="16.5703125" bestFit="1" customWidth="1"/>
    <col min="35" max="35" width="15.5703125" bestFit="1" customWidth="1"/>
    <col min="36" max="37" width="20.42578125" bestFit="1" customWidth="1"/>
    <col min="38" max="38" width="17.28515625" bestFit="1" customWidth="1"/>
    <col min="39" max="39" width="14.28515625" bestFit="1" customWidth="1"/>
    <col min="40" max="40" width="8.28515625" bestFit="1" customWidth="1"/>
    <col min="41" max="41" width="12.28515625" bestFit="1" customWidth="1"/>
    <col min="42" max="42" width="17.28515625" bestFit="1" customWidth="1"/>
    <col min="43" max="43" width="24.85546875" bestFit="1" customWidth="1"/>
    <col min="44" max="44" width="7.28515625" bestFit="1" customWidth="1"/>
  </cols>
  <sheetData>
    <row r="1" spans="1:44" x14ac:dyDescent="0.25">
      <c r="A1" t="s">
        <v>212</v>
      </c>
      <c r="B1" t="s">
        <v>3214</v>
      </c>
      <c r="C1" t="s">
        <v>732</v>
      </c>
      <c r="D1" t="s">
        <v>733</v>
      </c>
      <c r="E1" t="s">
        <v>734</v>
      </c>
      <c r="F1" t="s">
        <v>735</v>
      </c>
      <c r="G1" t="s">
        <v>736</v>
      </c>
      <c r="H1" t="s">
        <v>40</v>
      </c>
      <c r="I1" t="s">
        <v>737</v>
      </c>
      <c r="J1" t="s">
        <v>738</v>
      </c>
      <c r="K1" t="s">
        <v>4592</v>
      </c>
      <c r="L1" t="s">
        <v>739</v>
      </c>
      <c r="M1" t="s">
        <v>740</v>
      </c>
      <c r="N1" t="s">
        <v>3215</v>
      </c>
      <c r="O1" t="s">
        <v>743</v>
      </c>
      <c r="P1" t="s">
        <v>744</v>
      </c>
      <c r="Q1" t="s">
        <v>745</v>
      </c>
      <c r="R1" t="s">
        <v>746</v>
      </c>
      <c r="S1" t="s">
        <v>747</v>
      </c>
      <c r="T1" t="s">
        <v>750</v>
      </c>
      <c r="U1" t="s">
        <v>751</v>
      </c>
      <c r="V1" t="s">
        <v>752</v>
      </c>
      <c r="W1" t="s">
        <v>753</v>
      </c>
      <c r="X1" t="s">
        <v>755</v>
      </c>
      <c r="Y1" t="s">
        <v>756</v>
      </c>
      <c r="Z1" t="s">
        <v>758</v>
      </c>
      <c r="AA1" t="s">
        <v>3216</v>
      </c>
      <c r="AB1" t="s">
        <v>759</v>
      </c>
      <c r="AC1" t="s">
        <v>760</v>
      </c>
      <c r="AD1" t="s">
        <v>762</v>
      </c>
      <c r="AE1" t="s">
        <v>763</v>
      </c>
      <c r="AF1" t="s">
        <v>764</v>
      </c>
      <c r="AG1" t="s">
        <v>765</v>
      </c>
      <c r="AH1" t="s">
        <v>766</v>
      </c>
      <c r="AI1" t="s">
        <v>249</v>
      </c>
      <c r="AJ1" t="s">
        <v>214</v>
      </c>
      <c r="AK1" t="s">
        <v>769</v>
      </c>
      <c r="AL1" t="s">
        <v>770</v>
      </c>
      <c r="AM1" t="s">
        <v>260</v>
      </c>
      <c r="AN1" t="s">
        <v>258</v>
      </c>
      <c r="AO1" t="s">
        <v>257</v>
      </c>
      <c r="AP1" t="s">
        <v>772</v>
      </c>
      <c r="AQ1" t="s">
        <v>771</v>
      </c>
      <c r="AR1" t="s">
        <v>4593</v>
      </c>
    </row>
    <row r="2" spans="1:44" x14ac:dyDescent="0.25">
      <c r="A2" t="s">
        <v>3217</v>
      </c>
      <c r="B2">
        <v>1</v>
      </c>
      <c r="C2">
        <v>73</v>
      </c>
      <c r="D2">
        <v>39</v>
      </c>
      <c r="G2" t="s">
        <v>3218</v>
      </c>
      <c r="I2" t="s">
        <v>3218</v>
      </c>
      <c r="J2" t="s">
        <v>3218</v>
      </c>
      <c r="K2" t="s">
        <v>3218</v>
      </c>
      <c r="L2">
        <v>67992092648</v>
      </c>
      <c r="N2" t="s">
        <v>3220</v>
      </c>
      <c r="P2" t="s">
        <v>778</v>
      </c>
      <c r="S2" t="s">
        <v>3221</v>
      </c>
      <c r="T2" t="s">
        <v>3222</v>
      </c>
      <c r="U2" t="s">
        <v>3223</v>
      </c>
      <c r="V2" t="s">
        <v>2692</v>
      </c>
      <c r="Z2" t="s">
        <v>3217</v>
      </c>
      <c r="AA2">
        <v>325</v>
      </c>
      <c r="AB2" s="31">
        <v>45604</v>
      </c>
      <c r="AC2" s="61">
        <v>0.72946759259259264</v>
      </c>
      <c r="AD2" t="s">
        <v>795</v>
      </c>
      <c r="AE2" s="31">
        <v>45929</v>
      </c>
      <c r="AF2" s="61">
        <v>0.70248842592592597</v>
      </c>
      <c r="AG2" t="s">
        <v>796</v>
      </c>
      <c r="AR2">
        <v>1</v>
      </c>
    </row>
    <row r="3" spans="1:44" x14ac:dyDescent="0.25">
      <c r="A3" t="s">
        <v>3217</v>
      </c>
      <c r="B3">
        <v>2</v>
      </c>
      <c r="C3">
        <v>74</v>
      </c>
      <c r="D3">
        <v>41</v>
      </c>
      <c r="G3" t="s">
        <v>3224</v>
      </c>
      <c r="I3" t="s">
        <v>3225</v>
      </c>
      <c r="J3" t="s">
        <v>3225</v>
      </c>
      <c r="K3" t="s">
        <v>3225</v>
      </c>
      <c r="L3">
        <v>55991832727</v>
      </c>
      <c r="N3" t="s">
        <v>3227</v>
      </c>
      <c r="P3" t="s">
        <v>778</v>
      </c>
      <c r="Q3" t="s">
        <v>3228</v>
      </c>
      <c r="S3" t="s">
        <v>3221</v>
      </c>
      <c r="T3" t="s">
        <v>3222</v>
      </c>
      <c r="U3" t="s">
        <v>3223</v>
      </c>
      <c r="V3" t="s">
        <v>2692</v>
      </c>
      <c r="Z3" t="s">
        <v>3217</v>
      </c>
      <c r="AA3">
        <v>325</v>
      </c>
      <c r="AB3" s="31">
        <v>45604</v>
      </c>
      <c r="AC3" s="61">
        <v>0.72946759259259264</v>
      </c>
      <c r="AD3" t="s">
        <v>795</v>
      </c>
      <c r="AE3" s="31">
        <v>45929</v>
      </c>
      <c r="AF3" s="61">
        <v>0.70251157407407405</v>
      </c>
      <c r="AG3" t="s">
        <v>796</v>
      </c>
      <c r="AR3">
        <v>1</v>
      </c>
    </row>
    <row r="4" spans="1:44" x14ac:dyDescent="0.25">
      <c r="A4" t="s">
        <v>3217</v>
      </c>
      <c r="B4">
        <v>3</v>
      </c>
      <c r="C4">
        <v>75</v>
      </c>
      <c r="D4">
        <v>43</v>
      </c>
      <c r="G4" t="s">
        <v>3229</v>
      </c>
      <c r="I4" t="s">
        <v>3229</v>
      </c>
      <c r="J4" t="s">
        <v>3229</v>
      </c>
      <c r="K4" t="s">
        <v>3229</v>
      </c>
      <c r="L4">
        <v>1532678844</v>
      </c>
      <c r="N4" t="s">
        <v>3231</v>
      </c>
      <c r="P4" t="s">
        <v>778</v>
      </c>
      <c r="S4" t="s">
        <v>3221</v>
      </c>
      <c r="T4" t="s">
        <v>3222</v>
      </c>
      <c r="U4" t="s">
        <v>3223</v>
      </c>
      <c r="V4" t="s">
        <v>2692</v>
      </c>
      <c r="Z4" t="s">
        <v>3217</v>
      </c>
      <c r="AA4">
        <v>325</v>
      </c>
      <c r="AB4" s="31">
        <v>45604</v>
      </c>
      <c r="AC4" s="61">
        <v>0.72946759259259264</v>
      </c>
      <c r="AD4" t="s">
        <v>795</v>
      </c>
      <c r="AE4" s="31">
        <v>45929</v>
      </c>
      <c r="AF4" s="61">
        <v>0.70253472222222224</v>
      </c>
      <c r="AG4" t="s">
        <v>796</v>
      </c>
      <c r="AR4">
        <v>1</v>
      </c>
    </row>
    <row r="5" spans="1:44" x14ac:dyDescent="0.25">
      <c r="A5" t="s">
        <v>3217</v>
      </c>
      <c r="B5">
        <v>4</v>
      </c>
      <c r="C5">
        <v>76</v>
      </c>
      <c r="D5">
        <v>45</v>
      </c>
      <c r="G5" t="s">
        <v>225</v>
      </c>
      <c r="I5" t="s">
        <v>225</v>
      </c>
      <c r="J5" t="s">
        <v>225</v>
      </c>
      <c r="K5" t="s">
        <v>225</v>
      </c>
      <c r="L5">
        <v>4688229800</v>
      </c>
      <c r="N5" t="s">
        <v>3233</v>
      </c>
      <c r="P5" t="s">
        <v>778</v>
      </c>
      <c r="Q5" t="s">
        <v>3234</v>
      </c>
      <c r="R5" t="s">
        <v>1699</v>
      </c>
      <c r="S5" t="s">
        <v>3221</v>
      </c>
      <c r="T5" t="s">
        <v>3222</v>
      </c>
      <c r="U5" t="s">
        <v>3223</v>
      </c>
      <c r="V5" t="s">
        <v>2692</v>
      </c>
      <c r="Z5" t="s">
        <v>3217</v>
      </c>
      <c r="AA5">
        <v>325</v>
      </c>
      <c r="AB5" s="31">
        <v>45604</v>
      </c>
      <c r="AC5" s="61">
        <v>0.72946759259259264</v>
      </c>
      <c r="AD5" t="s">
        <v>795</v>
      </c>
      <c r="AE5" s="31">
        <v>45929</v>
      </c>
      <c r="AF5" s="61">
        <v>0.70255787037037032</v>
      </c>
      <c r="AG5" t="s">
        <v>796</v>
      </c>
      <c r="AR5">
        <v>1</v>
      </c>
    </row>
    <row r="6" spans="1:44" x14ac:dyDescent="0.25">
      <c r="A6" t="s">
        <v>3217</v>
      </c>
      <c r="B6">
        <v>5</v>
      </c>
      <c r="C6">
        <v>77</v>
      </c>
      <c r="D6">
        <v>47</v>
      </c>
      <c r="G6" t="s">
        <v>3235</v>
      </c>
      <c r="I6" t="s">
        <v>3235</v>
      </c>
      <c r="J6" t="s">
        <v>3235</v>
      </c>
      <c r="K6" t="s">
        <v>3235</v>
      </c>
      <c r="L6">
        <v>1535515213</v>
      </c>
      <c r="N6" t="s">
        <v>3237</v>
      </c>
      <c r="P6" t="s">
        <v>778</v>
      </c>
      <c r="S6" t="s">
        <v>3221</v>
      </c>
      <c r="T6" t="s">
        <v>3222</v>
      </c>
      <c r="U6" t="s">
        <v>3223</v>
      </c>
      <c r="V6" t="s">
        <v>2692</v>
      </c>
      <c r="Z6" t="s">
        <v>3217</v>
      </c>
      <c r="AA6">
        <v>325</v>
      </c>
      <c r="AB6" s="31">
        <v>45604</v>
      </c>
      <c r="AC6" s="61">
        <v>0.72946759259259264</v>
      </c>
      <c r="AD6" t="s">
        <v>795</v>
      </c>
      <c r="AE6" s="31">
        <v>45929</v>
      </c>
      <c r="AF6" s="61">
        <v>0.70258101851851851</v>
      </c>
      <c r="AG6" t="s">
        <v>796</v>
      </c>
      <c r="AR6">
        <v>1</v>
      </c>
    </row>
    <row r="7" spans="1:44" x14ac:dyDescent="0.25">
      <c r="A7" t="s">
        <v>3217</v>
      </c>
      <c r="B7">
        <v>6</v>
      </c>
      <c r="C7">
        <v>78</v>
      </c>
      <c r="D7">
        <v>49</v>
      </c>
      <c r="G7" t="s">
        <v>3238</v>
      </c>
      <c r="I7" t="s">
        <v>3239</v>
      </c>
      <c r="J7" t="s">
        <v>3239</v>
      </c>
      <c r="K7" t="s">
        <v>3239</v>
      </c>
      <c r="L7">
        <v>199740785011</v>
      </c>
      <c r="N7" t="s">
        <v>3241</v>
      </c>
      <c r="P7" t="s">
        <v>778</v>
      </c>
      <c r="S7" t="s">
        <v>3221</v>
      </c>
      <c r="T7" t="s">
        <v>3222</v>
      </c>
      <c r="U7" t="s">
        <v>3223</v>
      </c>
      <c r="V7" t="s">
        <v>2692</v>
      </c>
      <c r="Z7" t="s">
        <v>3217</v>
      </c>
      <c r="AA7">
        <v>325</v>
      </c>
      <c r="AB7" s="31">
        <v>45604</v>
      </c>
      <c r="AC7" s="61">
        <v>0.72946759259259264</v>
      </c>
      <c r="AD7" t="s">
        <v>795</v>
      </c>
      <c r="AE7" s="31">
        <v>45929</v>
      </c>
      <c r="AF7" s="61">
        <v>0.70261574074074074</v>
      </c>
      <c r="AG7" t="s">
        <v>796</v>
      </c>
      <c r="AR7">
        <v>1</v>
      </c>
    </row>
    <row r="8" spans="1:44" x14ac:dyDescent="0.25">
      <c r="A8" t="s">
        <v>3217</v>
      </c>
      <c r="B8">
        <v>7</v>
      </c>
      <c r="C8">
        <v>79</v>
      </c>
      <c r="D8">
        <v>51</v>
      </c>
      <c r="G8" t="s">
        <v>3242</v>
      </c>
      <c r="I8" t="s">
        <v>3243</v>
      </c>
      <c r="J8" t="s">
        <v>3243</v>
      </c>
      <c r="K8" t="s">
        <v>3243</v>
      </c>
      <c r="L8">
        <v>11982243773</v>
      </c>
      <c r="N8" t="s">
        <v>2602</v>
      </c>
      <c r="P8" t="s">
        <v>778</v>
      </c>
      <c r="Q8" t="s">
        <v>3244</v>
      </c>
      <c r="S8" t="s">
        <v>3221</v>
      </c>
      <c r="T8" t="s">
        <v>3222</v>
      </c>
      <c r="U8" t="s">
        <v>3223</v>
      </c>
      <c r="V8" t="s">
        <v>2692</v>
      </c>
      <c r="Z8" t="s">
        <v>3217</v>
      </c>
      <c r="AA8">
        <v>325</v>
      </c>
      <c r="AB8" s="31">
        <v>45604</v>
      </c>
      <c r="AC8" s="61">
        <v>0.72946759259259264</v>
      </c>
      <c r="AD8" t="s">
        <v>795</v>
      </c>
      <c r="AE8" s="31">
        <v>45929</v>
      </c>
      <c r="AF8" s="61">
        <v>0.70262731481481477</v>
      </c>
      <c r="AG8" t="s">
        <v>796</v>
      </c>
      <c r="AR8">
        <v>1</v>
      </c>
    </row>
    <row r="9" spans="1:44" x14ac:dyDescent="0.25">
      <c r="A9" t="s">
        <v>3217</v>
      </c>
      <c r="B9">
        <v>8</v>
      </c>
      <c r="C9">
        <v>80</v>
      </c>
      <c r="D9">
        <v>53</v>
      </c>
      <c r="G9" t="s">
        <v>3245</v>
      </c>
      <c r="I9" t="s">
        <v>3245</v>
      </c>
      <c r="J9" t="s">
        <v>3245</v>
      </c>
      <c r="K9" t="s">
        <v>3245</v>
      </c>
      <c r="L9">
        <v>16992089024</v>
      </c>
      <c r="N9" t="s">
        <v>3247</v>
      </c>
      <c r="P9" t="s">
        <v>778</v>
      </c>
      <c r="S9" t="s">
        <v>3221</v>
      </c>
      <c r="T9" t="s">
        <v>3222</v>
      </c>
      <c r="U9" t="s">
        <v>3223</v>
      </c>
      <c r="V9" t="s">
        <v>2692</v>
      </c>
      <c r="Z9" t="s">
        <v>3217</v>
      </c>
      <c r="AA9">
        <v>325</v>
      </c>
      <c r="AB9" s="31">
        <v>45604</v>
      </c>
      <c r="AC9" s="61">
        <v>0.72946759259259264</v>
      </c>
      <c r="AD9" t="s">
        <v>795</v>
      </c>
      <c r="AE9" s="31">
        <v>45929</v>
      </c>
      <c r="AF9" s="61">
        <v>0.70267361111111115</v>
      </c>
      <c r="AG9" t="s">
        <v>796</v>
      </c>
      <c r="AR9">
        <v>1</v>
      </c>
    </row>
    <row r="10" spans="1:44" x14ac:dyDescent="0.25">
      <c r="A10" t="s">
        <v>3217</v>
      </c>
      <c r="B10">
        <v>9</v>
      </c>
      <c r="C10">
        <v>81</v>
      </c>
      <c r="D10">
        <v>55</v>
      </c>
      <c r="G10" t="s">
        <v>3248</v>
      </c>
      <c r="I10" t="s">
        <v>3248</v>
      </c>
      <c r="J10" t="s">
        <v>3248</v>
      </c>
      <c r="K10" t="s">
        <v>3248</v>
      </c>
      <c r="L10">
        <v>16988215110</v>
      </c>
      <c r="N10" t="s">
        <v>3250</v>
      </c>
      <c r="P10" t="s">
        <v>778</v>
      </c>
      <c r="S10" t="s">
        <v>3221</v>
      </c>
      <c r="T10" t="s">
        <v>3222</v>
      </c>
      <c r="U10" t="s">
        <v>3223</v>
      </c>
      <c r="V10" t="s">
        <v>2692</v>
      </c>
      <c r="Z10" t="s">
        <v>3217</v>
      </c>
      <c r="AA10">
        <v>325</v>
      </c>
      <c r="AB10" s="31">
        <v>45604</v>
      </c>
      <c r="AC10" s="61">
        <v>0.72947916666666668</v>
      </c>
      <c r="AD10" t="s">
        <v>795</v>
      </c>
      <c r="AE10" s="31">
        <v>45929</v>
      </c>
      <c r="AF10" s="61">
        <v>0.70270833333333338</v>
      </c>
      <c r="AG10" t="s">
        <v>796</v>
      </c>
      <c r="AR10">
        <v>1</v>
      </c>
    </row>
    <row r="11" spans="1:44" x14ac:dyDescent="0.25">
      <c r="A11" t="s">
        <v>3217</v>
      </c>
      <c r="B11">
        <v>10</v>
      </c>
      <c r="C11">
        <v>82</v>
      </c>
      <c r="D11">
        <v>57</v>
      </c>
      <c r="G11" t="s">
        <v>3251</v>
      </c>
      <c r="I11" t="s">
        <v>3251</v>
      </c>
      <c r="J11" t="s">
        <v>3251</v>
      </c>
      <c r="K11" t="s">
        <v>3251</v>
      </c>
      <c r="L11">
        <v>11998061058</v>
      </c>
      <c r="N11" t="s">
        <v>3253</v>
      </c>
      <c r="P11" t="s">
        <v>778</v>
      </c>
      <c r="Q11" t="s">
        <v>923</v>
      </c>
      <c r="S11" t="s">
        <v>3221</v>
      </c>
      <c r="T11" t="s">
        <v>3222</v>
      </c>
      <c r="U11" t="s">
        <v>3223</v>
      </c>
      <c r="V11" t="s">
        <v>2692</v>
      </c>
      <c r="Z11" t="s">
        <v>3217</v>
      </c>
      <c r="AA11">
        <v>325</v>
      </c>
      <c r="AB11" s="31">
        <v>45604</v>
      </c>
      <c r="AC11" s="61">
        <v>0.72947916666666668</v>
      </c>
      <c r="AD11" t="s">
        <v>795</v>
      </c>
      <c r="AE11" s="31">
        <v>45929</v>
      </c>
      <c r="AF11" s="61">
        <v>0.70271990740740742</v>
      </c>
      <c r="AG11" t="s">
        <v>796</v>
      </c>
      <c r="AR11">
        <v>1</v>
      </c>
    </row>
    <row r="12" spans="1:44" x14ac:dyDescent="0.25">
      <c r="A12" t="s">
        <v>3217</v>
      </c>
      <c r="B12">
        <v>11</v>
      </c>
      <c r="C12">
        <v>83</v>
      </c>
      <c r="D12">
        <v>59</v>
      </c>
      <c r="G12" t="s">
        <v>3254</v>
      </c>
      <c r="I12" t="s">
        <v>3255</v>
      </c>
      <c r="J12" t="s">
        <v>3255</v>
      </c>
      <c r="K12" t="s">
        <v>3255</v>
      </c>
      <c r="N12" t="s">
        <v>3256</v>
      </c>
      <c r="P12" t="s">
        <v>778</v>
      </c>
      <c r="Q12" t="s">
        <v>3257</v>
      </c>
      <c r="S12" t="s">
        <v>3221</v>
      </c>
      <c r="T12" t="s">
        <v>3222</v>
      </c>
      <c r="U12" t="s">
        <v>3223</v>
      </c>
      <c r="V12" t="s">
        <v>2692</v>
      </c>
      <c r="Z12" t="s">
        <v>3217</v>
      </c>
      <c r="AA12">
        <v>325</v>
      </c>
      <c r="AB12" s="31">
        <v>45604</v>
      </c>
      <c r="AC12" s="61">
        <v>0.72947916666666668</v>
      </c>
      <c r="AD12" t="s">
        <v>795</v>
      </c>
      <c r="AE12" s="31">
        <v>45929</v>
      </c>
      <c r="AF12" s="61">
        <v>0.70274305555555561</v>
      </c>
      <c r="AG12" t="s">
        <v>796</v>
      </c>
      <c r="AR12">
        <v>1</v>
      </c>
    </row>
    <row r="13" spans="1:44" x14ac:dyDescent="0.25">
      <c r="A13" t="s">
        <v>3217</v>
      </c>
      <c r="B13">
        <v>12</v>
      </c>
      <c r="C13">
        <v>84</v>
      </c>
      <c r="D13">
        <v>61</v>
      </c>
      <c r="G13" t="s">
        <v>3258</v>
      </c>
      <c r="I13" t="s">
        <v>3258</v>
      </c>
      <c r="J13" t="s">
        <v>3258</v>
      </c>
      <c r="K13" t="s">
        <v>3258</v>
      </c>
      <c r="L13">
        <v>6296642202</v>
      </c>
      <c r="N13" t="s">
        <v>3260</v>
      </c>
      <c r="P13" t="s">
        <v>778</v>
      </c>
      <c r="S13" t="s">
        <v>3221</v>
      </c>
      <c r="T13" t="s">
        <v>3222</v>
      </c>
      <c r="U13" t="s">
        <v>3223</v>
      </c>
      <c r="V13" t="s">
        <v>2692</v>
      </c>
      <c r="Z13" t="s">
        <v>3217</v>
      </c>
      <c r="AA13">
        <v>325</v>
      </c>
      <c r="AB13" s="31">
        <v>45604</v>
      </c>
      <c r="AC13" s="61">
        <v>0.72947916666666668</v>
      </c>
      <c r="AD13" t="s">
        <v>795</v>
      </c>
      <c r="AE13" s="31">
        <v>45929</v>
      </c>
      <c r="AF13" s="61">
        <v>0.70277777777777772</v>
      </c>
      <c r="AG13" t="s">
        <v>796</v>
      </c>
      <c r="AR13">
        <v>1</v>
      </c>
    </row>
    <row r="14" spans="1:44" x14ac:dyDescent="0.25">
      <c r="A14" t="s">
        <v>3217</v>
      </c>
      <c r="B14">
        <v>13</v>
      </c>
      <c r="C14">
        <v>85</v>
      </c>
      <c r="D14">
        <v>63</v>
      </c>
      <c r="G14" t="s">
        <v>605</v>
      </c>
      <c r="I14" t="s">
        <v>3261</v>
      </c>
      <c r="J14" t="s">
        <v>3261</v>
      </c>
      <c r="K14" t="s">
        <v>3261</v>
      </c>
      <c r="L14">
        <v>31988605879</v>
      </c>
      <c r="N14" t="s">
        <v>3263</v>
      </c>
      <c r="P14" t="s">
        <v>778</v>
      </c>
      <c r="Q14" t="s">
        <v>3264</v>
      </c>
      <c r="S14" t="s">
        <v>3221</v>
      </c>
      <c r="T14" t="s">
        <v>3222</v>
      </c>
      <c r="U14" t="s">
        <v>3223</v>
      </c>
      <c r="V14" t="s">
        <v>2692</v>
      </c>
      <c r="Z14" t="s">
        <v>3217</v>
      </c>
      <c r="AA14">
        <v>325</v>
      </c>
      <c r="AB14" s="31">
        <v>45604</v>
      </c>
      <c r="AC14" s="61">
        <v>0.72947916666666668</v>
      </c>
      <c r="AD14" t="s">
        <v>795</v>
      </c>
      <c r="AE14" s="31">
        <v>45929</v>
      </c>
      <c r="AF14" s="61">
        <v>0.70281249999999995</v>
      </c>
      <c r="AG14" t="s">
        <v>796</v>
      </c>
      <c r="AR14">
        <v>1</v>
      </c>
    </row>
    <row r="15" spans="1:44" x14ac:dyDescent="0.25">
      <c r="A15" t="s">
        <v>3217</v>
      </c>
      <c r="B15">
        <v>14</v>
      </c>
      <c r="C15">
        <v>86</v>
      </c>
      <c r="D15">
        <v>65</v>
      </c>
      <c r="G15" t="s">
        <v>3265</v>
      </c>
      <c r="I15" t="s">
        <v>3265</v>
      </c>
      <c r="J15" t="s">
        <v>3265</v>
      </c>
      <c r="K15" t="s">
        <v>3265</v>
      </c>
      <c r="L15">
        <v>21985528888</v>
      </c>
      <c r="N15" t="s">
        <v>3267</v>
      </c>
      <c r="P15" t="s">
        <v>778</v>
      </c>
      <c r="Q15" t="s">
        <v>3268</v>
      </c>
      <c r="S15" t="s">
        <v>3221</v>
      </c>
      <c r="T15" t="s">
        <v>3222</v>
      </c>
      <c r="U15" t="s">
        <v>3223</v>
      </c>
      <c r="V15" t="s">
        <v>2692</v>
      </c>
      <c r="Z15" t="s">
        <v>3217</v>
      </c>
      <c r="AA15">
        <v>325</v>
      </c>
      <c r="AB15" s="31">
        <v>45604</v>
      </c>
      <c r="AC15" s="61">
        <v>0.72947916666666668</v>
      </c>
      <c r="AD15" t="s">
        <v>795</v>
      </c>
      <c r="AE15" s="31">
        <v>45929</v>
      </c>
      <c r="AF15" s="61">
        <v>0.70285879629629633</v>
      </c>
      <c r="AG15" t="s">
        <v>796</v>
      </c>
      <c r="AR15">
        <v>1</v>
      </c>
    </row>
    <row r="16" spans="1:44" x14ac:dyDescent="0.25">
      <c r="A16" t="s">
        <v>3217</v>
      </c>
      <c r="B16">
        <v>15</v>
      </c>
      <c r="C16">
        <v>87</v>
      </c>
      <c r="D16">
        <v>67</v>
      </c>
      <c r="G16" t="s">
        <v>3269</v>
      </c>
      <c r="I16" t="s">
        <v>3269</v>
      </c>
      <c r="J16" t="s">
        <v>3269</v>
      </c>
      <c r="K16" t="s">
        <v>3269</v>
      </c>
      <c r="L16">
        <v>13996207010</v>
      </c>
      <c r="N16" t="s">
        <v>3271</v>
      </c>
      <c r="P16" t="s">
        <v>778</v>
      </c>
      <c r="S16" t="s">
        <v>3221</v>
      </c>
      <c r="T16" t="s">
        <v>3222</v>
      </c>
      <c r="U16" t="s">
        <v>3223</v>
      </c>
      <c r="V16" t="s">
        <v>2692</v>
      </c>
      <c r="Z16" t="s">
        <v>3217</v>
      </c>
      <c r="AA16">
        <v>325</v>
      </c>
      <c r="AB16" s="31">
        <v>45604</v>
      </c>
      <c r="AC16" s="61">
        <v>0.72947916666666668</v>
      </c>
      <c r="AD16" t="s">
        <v>795</v>
      </c>
      <c r="AE16" s="31">
        <v>45929</v>
      </c>
      <c r="AF16" s="61">
        <v>0.70288194444444441</v>
      </c>
      <c r="AG16" t="s">
        <v>796</v>
      </c>
      <c r="AR16">
        <v>1</v>
      </c>
    </row>
    <row r="17" spans="1:44" x14ac:dyDescent="0.25">
      <c r="A17" t="s">
        <v>3217</v>
      </c>
      <c r="B17">
        <v>16</v>
      </c>
      <c r="C17">
        <v>88</v>
      </c>
      <c r="D17">
        <v>69</v>
      </c>
      <c r="G17" t="s">
        <v>660</v>
      </c>
      <c r="I17" t="s">
        <v>660</v>
      </c>
      <c r="J17" t="s">
        <v>660</v>
      </c>
      <c r="K17" t="s">
        <v>660</v>
      </c>
      <c r="L17">
        <v>48984552099</v>
      </c>
      <c r="N17" t="s">
        <v>3273</v>
      </c>
      <c r="P17" t="s">
        <v>778</v>
      </c>
      <c r="Q17" t="s">
        <v>3274</v>
      </c>
      <c r="R17" t="s">
        <v>932</v>
      </c>
      <c r="S17" t="s">
        <v>3221</v>
      </c>
      <c r="T17" t="s">
        <v>3222</v>
      </c>
      <c r="U17" t="s">
        <v>3223</v>
      </c>
      <c r="V17" t="s">
        <v>2692</v>
      </c>
      <c r="X17">
        <v>0</v>
      </c>
      <c r="Y17">
        <v>0</v>
      </c>
      <c r="Z17" t="s">
        <v>3217</v>
      </c>
      <c r="AA17">
        <v>325</v>
      </c>
      <c r="AB17" s="31">
        <v>45604</v>
      </c>
      <c r="AC17" s="61">
        <v>0.72947916666666668</v>
      </c>
      <c r="AD17" t="s">
        <v>795</v>
      </c>
      <c r="AE17" s="31">
        <v>45929</v>
      </c>
      <c r="AF17" s="61">
        <v>0.70248842592592597</v>
      </c>
      <c r="AG17" t="s">
        <v>796</v>
      </c>
      <c r="AR17">
        <v>1</v>
      </c>
    </row>
    <row r="18" spans="1:44" x14ac:dyDescent="0.25">
      <c r="A18" t="s">
        <v>3217</v>
      </c>
      <c r="B18">
        <v>17</v>
      </c>
      <c r="C18">
        <v>89</v>
      </c>
      <c r="D18">
        <v>71</v>
      </c>
      <c r="G18" t="s">
        <v>3275</v>
      </c>
      <c r="I18" t="s">
        <v>3275</v>
      </c>
      <c r="J18" t="s">
        <v>3275</v>
      </c>
      <c r="K18" t="s">
        <v>3275</v>
      </c>
      <c r="L18">
        <v>3599613586</v>
      </c>
      <c r="N18" t="s">
        <v>3277</v>
      </c>
      <c r="P18" t="s">
        <v>778</v>
      </c>
      <c r="S18" t="s">
        <v>3221</v>
      </c>
      <c r="T18" t="s">
        <v>3222</v>
      </c>
      <c r="U18" t="s">
        <v>3223</v>
      </c>
      <c r="V18" t="s">
        <v>2692</v>
      </c>
      <c r="Z18" t="s">
        <v>3217</v>
      </c>
      <c r="AA18">
        <v>325</v>
      </c>
      <c r="AB18" s="31">
        <v>45604</v>
      </c>
      <c r="AC18" s="61">
        <v>0.72947916666666668</v>
      </c>
      <c r="AD18" t="s">
        <v>795</v>
      </c>
      <c r="AE18" s="31">
        <v>45929</v>
      </c>
      <c r="AF18" s="61">
        <v>0.70251157407407405</v>
      </c>
      <c r="AG18" t="s">
        <v>796</v>
      </c>
      <c r="AR18">
        <v>1</v>
      </c>
    </row>
    <row r="19" spans="1:44" x14ac:dyDescent="0.25">
      <c r="A19" t="s">
        <v>3217</v>
      </c>
      <c r="B19">
        <v>18</v>
      </c>
      <c r="C19">
        <v>90</v>
      </c>
      <c r="D19">
        <v>73</v>
      </c>
      <c r="G19" t="s">
        <v>3278</v>
      </c>
      <c r="I19" t="s">
        <v>3278</v>
      </c>
      <c r="J19" t="s">
        <v>3278</v>
      </c>
      <c r="K19" t="s">
        <v>3278</v>
      </c>
      <c r="N19" t="s">
        <v>3279</v>
      </c>
      <c r="P19" t="s">
        <v>778</v>
      </c>
      <c r="S19" t="s">
        <v>3221</v>
      </c>
      <c r="T19" t="s">
        <v>3222</v>
      </c>
      <c r="U19" t="s">
        <v>3223</v>
      </c>
      <c r="V19" t="s">
        <v>2692</v>
      </c>
      <c r="Z19" t="s">
        <v>3217</v>
      </c>
      <c r="AA19">
        <v>325</v>
      </c>
      <c r="AB19" s="31">
        <v>45604</v>
      </c>
      <c r="AC19" s="61">
        <v>0.72947916666666668</v>
      </c>
      <c r="AD19" t="s">
        <v>795</v>
      </c>
      <c r="AE19" s="31">
        <v>45929</v>
      </c>
      <c r="AF19" s="61">
        <v>0.70254629629629628</v>
      </c>
      <c r="AG19" t="s">
        <v>796</v>
      </c>
      <c r="AR19">
        <v>1</v>
      </c>
    </row>
    <row r="20" spans="1:44" x14ac:dyDescent="0.25">
      <c r="A20" t="s">
        <v>3217</v>
      </c>
      <c r="B20">
        <v>19</v>
      </c>
      <c r="C20">
        <v>91</v>
      </c>
      <c r="D20">
        <v>75</v>
      </c>
      <c r="G20" t="s">
        <v>3280</v>
      </c>
      <c r="I20" t="s">
        <v>3280</v>
      </c>
      <c r="J20" t="s">
        <v>3280</v>
      </c>
      <c r="K20" t="s">
        <v>3280</v>
      </c>
      <c r="N20" t="s">
        <v>3281</v>
      </c>
      <c r="P20" t="s">
        <v>778</v>
      </c>
      <c r="S20" t="s">
        <v>3221</v>
      </c>
      <c r="T20" t="s">
        <v>3222</v>
      </c>
      <c r="U20" t="s">
        <v>3223</v>
      </c>
      <c r="V20" t="s">
        <v>2692</v>
      </c>
      <c r="Z20" t="s">
        <v>3217</v>
      </c>
      <c r="AA20">
        <v>325</v>
      </c>
      <c r="AB20" s="31">
        <v>45604</v>
      </c>
      <c r="AC20" s="61">
        <v>0.72947916666666668</v>
      </c>
      <c r="AD20" t="s">
        <v>795</v>
      </c>
      <c r="AE20" s="31">
        <v>45929</v>
      </c>
      <c r="AF20" s="61">
        <v>0.70256944444444447</v>
      </c>
      <c r="AG20" t="s">
        <v>796</v>
      </c>
      <c r="AR20">
        <v>1</v>
      </c>
    </row>
    <row r="21" spans="1:44" x14ac:dyDescent="0.25">
      <c r="A21" t="s">
        <v>3217</v>
      </c>
      <c r="B21">
        <v>20</v>
      </c>
      <c r="C21">
        <v>92</v>
      </c>
      <c r="D21">
        <v>77</v>
      </c>
      <c r="G21" t="s">
        <v>3282</v>
      </c>
      <c r="I21" t="s">
        <v>3282</v>
      </c>
      <c r="J21" t="s">
        <v>3282</v>
      </c>
      <c r="K21" t="s">
        <v>3282</v>
      </c>
      <c r="L21">
        <v>3732436300</v>
      </c>
      <c r="N21" t="s">
        <v>3284</v>
      </c>
      <c r="P21" t="s">
        <v>778</v>
      </c>
      <c r="S21" t="s">
        <v>3221</v>
      </c>
      <c r="T21" t="s">
        <v>3222</v>
      </c>
      <c r="U21" t="s">
        <v>3223</v>
      </c>
      <c r="V21" t="s">
        <v>2692</v>
      </c>
      <c r="Z21" t="s">
        <v>3217</v>
      </c>
      <c r="AA21">
        <v>325</v>
      </c>
      <c r="AB21" s="31">
        <v>45604</v>
      </c>
      <c r="AC21" s="61">
        <v>0.72947916666666668</v>
      </c>
      <c r="AD21" t="s">
        <v>795</v>
      </c>
      <c r="AE21" s="31">
        <v>45929</v>
      </c>
      <c r="AF21" s="61">
        <v>0.70259259259259255</v>
      </c>
      <c r="AG21" t="s">
        <v>796</v>
      </c>
      <c r="AR21">
        <v>1</v>
      </c>
    </row>
    <row r="22" spans="1:44" x14ac:dyDescent="0.25">
      <c r="A22" t="s">
        <v>3217</v>
      </c>
      <c r="B22">
        <v>21</v>
      </c>
      <c r="C22">
        <v>93</v>
      </c>
      <c r="D22">
        <v>79</v>
      </c>
      <c r="G22" t="s">
        <v>3285</v>
      </c>
      <c r="I22" t="s">
        <v>3285</v>
      </c>
      <c r="J22" t="s">
        <v>3285</v>
      </c>
      <c r="K22" t="s">
        <v>3285</v>
      </c>
      <c r="N22" t="s">
        <v>3286</v>
      </c>
      <c r="P22" t="s">
        <v>778</v>
      </c>
      <c r="S22" t="s">
        <v>3221</v>
      </c>
      <c r="T22" t="s">
        <v>3222</v>
      </c>
      <c r="U22" t="s">
        <v>3223</v>
      </c>
      <c r="V22" t="s">
        <v>2692</v>
      </c>
      <c r="Z22" t="s">
        <v>3217</v>
      </c>
      <c r="AA22">
        <v>325</v>
      </c>
      <c r="AB22" s="31">
        <v>45604</v>
      </c>
      <c r="AC22" s="61">
        <v>0.72947916666666668</v>
      </c>
      <c r="AD22" t="s">
        <v>795</v>
      </c>
      <c r="AE22" s="31">
        <v>45929</v>
      </c>
      <c r="AF22" s="61">
        <v>0.70261574074074074</v>
      </c>
      <c r="AG22" t="s">
        <v>796</v>
      </c>
      <c r="AR22">
        <v>1</v>
      </c>
    </row>
    <row r="23" spans="1:44" x14ac:dyDescent="0.25">
      <c r="A23" t="s">
        <v>3217</v>
      </c>
      <c r="B23">
        <v>22</v>
      </c>
      <c r="C23">
        <v>94</v>
      </c>
      <c r="D23">
        <v>81</v>
      </c>
      <c r="G23" t="s">
        <v>1233</v>
      </c>
      <c r="I23" t="s">
        <v>1233</v>
      </c>
      <c r="J23" t="s">
        <v>1233</v>
      </c>
      <c r="K23" t="s">
        <v>1233</v>
      </c>
      <c r="L23">
        <v>11975479476</v>
      </c>
      <c r="N23" t="s">
        <v>3288</v>
      </c>
      <c r="P23" t="s">
        <v>778</v>
      </c>
      <c r="S23" t="s">
        <v>3221</v>
      </c>
      <c r="T23" t="s">
        <v>3222</v>
      </c>
      <c r="U23" t="s">
        <v>3223</v>
      </c>
      <c r="V23" t="s">
        <v>2692</v>
      </c>
      <c r="Z23" t="s">
        <v>3217</v>
      </c>
      <c r="AA23">
        <v>325</v>
      </c>
      <c r="AB23" s="31">
        <v>45604</v>
      </c>
      <c r="AC23" s="61">
        <v>0.72947916666666668</v>
      </c>
      <c r="AD23" t="s">
        <v>795</v>
      </c>
      <c r="AE23" s="31">
        <v>45929</v>
      </c>
      <c r="AF23" s="61">
        <v>0.70265046296296296</v>
      </c>
      <c r="AG23" t="s">
        <v>796</v>
      </c>
      <c r="AR23">
        <v>1</v>
      </c>
    </row>
    <row r="24" spans="1:44" x14ac:dyDescent="0.25">
      <c r="A24" t="s">
        <v>3217</v>
      </c>
      <c r="B24">
        <v>23</v>
      </c>
      <c r="C24">
        <v>95</v>
      </c>
      <c r="D24">
        <v>83</v>
      </c>
      <c r="G24" t="s">
        <v>3289</v>
      </c>
      <c r="I24" t="s">
        <v>3289</v>
      </c>
      <c r="J24" t="s">
        <v>3289</v>
      </c>
      <c r="K24" t="s">
        <v>3289</v>
      </c>
      <c r="N24" t="s">
        <v>3290</v>
      </c>
      <c r="P24" t="s">
        <v>778</v>
      </c>
      <c r="S24" t="s">
        <v>3221</v>
      </c>
      <c r="T24" t="s">
        <v>3222</v>
      </c>
      <c r="U24" t="s">
        <v>3223</v>
      </c>
      <c r="V24" t="s">
        <v>2692</v>
      </c>
      <c r="Z24" t="s">
        <v>3217</v>
      </c>
      <c r="AA24">
        <v>325</v>
      </c>
      <c r="AB24" s="31">
        <v>45604</v>
      </c>
      <c r="AC24" s="61">
        <v>0.72947916666666668</v>
      </c>
      <c r="AD24" t="s">
        <v>795</v>
      </c>
      <c r="AE24" s="31">
        <v>45929</v>
      </c>
      <c r="AF24" s="61">
        <v>0.702662037037037</v>
      </c>
      <c r="AG24" t="s">
        <v>796</v>
      </c>
      <c r="AR24">
        <v>1</v>
      </c>
    </row>
    <row r="25" spans="1:44" x14ac:dyDescent="0.25">
      <c r="A25" t="s">
        <v>3217</v>
      </c>
      <c r="B25">
        <v>24</v>
      </c>
      <c r="C25">
        <v>96</v>
      </c>
      <c r="D25">
        <v>85</v>
      </c>
      <c r="G25" t="s">
        <v>3291</v>
      </c>
      <c r="I25" t="s">
        <v>3291</v>
      </c>
      <c r="J25" t="s">
        <v>3291</v>
      </c>
      <c r="K25" t="s">
        <v>3291</v>
      </c>
      <c r="L25">
        <v>1934662525</v>
      </c>
      <c r="N25" t="s">
        <v>3293</v>
      </c>
      <c r="P25" t="s">
        <v>778</v>
      </c>
      <c r="S25" t="s">
        <v>3221</v>
      </c>
      <c r="T25" t="s">
        <v>3222</v>
      </c>
      <c r="U25" t="s">
        <v>3223</v>
      </c>
      <c r="V25" t="s">
        <v>2692</v>
      </c>
      <c r="Z25" t="s">
        <v>3217</v>
      </c>
      <c r="AA25">
        <v>325</v>
      </c>
      <c r="AB25" s="31">
        <v>45604</v>
      </c>
      <c r="AC25" s="61">
        <v>0.72947916666666668</v>
      </c>
      <c r="AD25" t="s">
        <v>795</v>
      </c>
      <c r="AE25" s="31">
        <v>45929</v>
      </c>
      <c r="AF25" s="61">
        <v>0.70269675925925923</v>
      </c>
      <c r="AG25" t="s">
        <v>796</v>
      </c>
      <c r="AR25">
        <v>1</v>
      </c>
    </row>
    <row r="26" spans="1:44" x14ac:dyDescent="0.25">
      <c r="A26" t="s">
        <v>3217</v>
      </c>
      <c r="B26">
        <v>25</v>
      </c>
      <c r="C26">
        <v>97</v>
      </c>
      <c r="D26">
        <v>87</v>
      </c>
      <c r="G26" t="s">
        <v>669</v>
      </c>
      <c r="H26">
        <v>22500484000170</v>
      </c>
      <c r="I26" t="s">
        <v>669</v>
      </c>
      <c r="J26" t="s">
        <v>669</v>
      </c>
      <c r="K26" t="s">
        <v>669</v>
      </c>
      <c r="N26" t="s">
        <v>3294</v>
      </c>
      <c r="P26" t="s">
        <v>778</v>
      </c>
      <c r="S26" t="s">
        <v>3221</v>
      </c>
      <c r="T26" t="s">
        <v>3222</v>
      </c>
      <c r="U26" t="s">
        <v>3223</v>
      </c>
      <c r="V26" t="s">
        <v>2692</v>
      </c>
      <c r="Z26" t="s">
        <v>3217</v>
      </c>
      <c r="AA26">
        <v>325</v>
      </c>
      <c r="AB26" s="31">
        <v>45604</v>
      </c>
      <c r="AC26" s="61">
        <v>0.72947916666666668</v>
      </c>
      <c r="AD26" t="s">
        <v>795</v>
      </c>
      <c r="AE26" s="31">
        <v>45929</v>
      </c>
      <c r="AF26" s="61">
        <v>0.70271990740740742</v>
      </c>
      <c r="AG26" t="s">
        <v>796</v>
      </c>
      <c r="AR26">
        <v>1</v>
      </c>
    </row>
    <row r="27" spans="1:44" x14ac:dyDescent="0.25">
      <c r="A27" t="s">
        <v>3217</v>
      </c>
      <c r="B27">
        <v>26</v>
      </c>
      <c r="C27">
        <v>98</v>
      </c>
      <c r="D27">
        <v>89</v>
      </c>
      <c r="G27" t="s">
        <v>604</v>
      </c>
      <c r="I27" t="s">
        <v>604</v>
      </c>
      <c r="J27" t="s">
        <v>604</v>
      </c>
      <c r="K27" t="s">
        <v>604</v>
      </c>
      <c r="N27" t="s">
        <v>3295</v>
      </c>
      <c r="P27" t="s">
        <v>778</v>
      </c>
      <c r="S27" t="s">
        <v>3221</v>
      </c>
      <c r="T27" t="s">
        <v>3222</v>
      </c>
      <c r="U27" t="s">
        <v>3223</v>
      </c>
      <c r="V27" t="s">
        <v>2692</v>
      </c>
      <c r="Z27" t="s">
        <v>3217</v>
      </c>
      <c r="AA27">
        <v>325</v>
      </c>
      <c r="AB27" s="31">
        <v>45604</v>
      </c>
      <c r="AC27" s="61">
        <v>0.72949074074074072</v>
      </c>
      <c r="AD27" t="s">
        <v>795</v>
      </c>
      <c r="AE27" s="31">
        <v>45929</v>
      </c>
      <c r="AF27" s="61">
        <v>0.70274305555555561</v>
      </c>
      <c r="AG27" t="s">
        <v>796</v>
      </c>
      <c r="AR27">
        <v>1</v>
      </c>
    </row>
    <row r="28" spans="1:44" x14ac:dyDescent="0.25">
      <c r="A28" t="s">
        <v>3217</v>
      </c>
      <c r="B28">
        <v>27</v>
      </c>
      <c r="C28">
        <v>99</v>
      </c>
      <c r="D28">
        <v>91</v>
      </c>
      <c r="G28" t="s">
        <v>3296</v>
      </c>
      <c r="I28" t="s">
        <v>3296</v>
      </c>
      <c r="J28" t="s">
        <v>3296</v>
      </c>
      <c r="K28" t="s">
        <v>3296</v>
      </c>
      <c r="L28">
        <v>43999742053</v>
      </c>
      <c r="N28" t="s">
        <v>3298</v>
      </c>
      <c r="P28" t="s">
        <v>778</v>
      </c>
      <c r="Q28" t="s">
        <v>3299</v>
      </c>
      <c r="R28" t="s">
        <v>1699</v>
      </c>
      <c r="S28" t="s">
        <v>3221</v>
      </c>
      <c r="T28" t="s">
        <v>3222</v>
      </c>
      <c r="U28" t="s">
        <v>3223</v>
      </c>
      <c r="V28" t="s">
        <v>2692</v>
      </c>
      <c r="Z28" t="s">
        <v>3217</v>
      </c>
      <c r="AA28">
        <v>325</v>
      </c>
      <c r="AB28" s="31">
        <v>45604</v>
      </c>
      <c r="AC28" s="61">
        <v>0.72949074074074072</v>
      </c>
      <c r="AD28" t="s">
        <v>795</v>
      </c>
      <c r="AE28" s="31">
        <v>45929</v>
      </c>
      <c r="AF28" s="61">
        <v>0.70277777777777772</v>
      </c>
      <c r="AG28" t="s">
        <v>796</v>
      </c>
      <c r="AR28">
        <v>1</v>
      </c>
    </row>
    <row r="29" spans="1:44" x14ac:dyDescent="0.25">
      <c r="A29" t="s">
        <v>3217</v>
      </c>
      <c r="B29">
        <v>28</v>
      </c>
      <c r="C29">
        <v>100</v>
      </c>
      <c r="D29">
        <v>93</v>
      </c>
      <c r="G29" t="s">
        <v>3300</v>
      </c>
      <c r="I29" t="s">
        <v>3300</v>
      </c>
      <c r="J29" t="s">
        <v>3300</v>
      </c>
      <c r="K29" t="s">
        <v>3300</v>
      </c>
      <c r="L29">
        <v>11971830079</v>
      </c>
      <c r="N29" t="s">
        <v>3302</v>
      </c>
      <c r="P29" t="s">
        <v>778</v>
      </c>
      <c r="Q29" t="s">
        <v>923</v>
      </c>
      <c r="R29" t="s">
        <v>790</v>
      </c>
      <c r="S29" t="s">
        <v>3221</v>
      </c>
      <c r="T29" t="s">
        <v>3222</v>
      </c>
      <c r="U29" t="s">
        <v>3223</v>
      </c>
      <c r="V29" t="s">
        <v>2692</v>
      </c>
      <c r="Z29" t="s">
        <v>3217</v>
      </c>
      <c r="AA29">
        <v>325</v>
      </c>
      <c r="AB29" s="31">
        <v>45604</v>
      </c>
      <c r="AC29" s="61">
        <v>0.72949074074074072</v>
      </c>
      <c r="AD29" t="s">
        <v>795</v>
      </c>
      <c r="AE29" s="31">
        <v>45929</v>
      </c>
      <c r="AF29" s="61">
        <v>0.70280092592592591</v>
      </c>
      <c r="AG29" t="s">
        <v>796</v>
      </c>
      <c r="AR29">
        <v>1</v>
      </c>
    </row>
    <row r="30" spans="1:44" x14ac:dyDescent="0.25">
      <c r="A30" t="s">
        <v>3217</v>
      </c>
      <c r="B30">
        <v>29</v>
      </c>
      <c r="C30">
        <v>101</v>
      </c>
      <c r="D30">
        <v>95</v>
      </c>
      <c r="G30" t="s">
        <v>3303</v>
      </c>
      <c r="I30" t="s">
        <v>3303</v>
      </c>
      <c r="J30" t="s">
        <v>3303</v>
      </c>
      <c r="K30" t="s">
        <v>3303</v>
      </c>
      <c r="L30">
        <v>42988209554</v>
      </c>
      <c r="N30" t="s">
        <v>3305</v>
      </c>
      <c r="P30" t="s">
        <v>778</v>
      </c>
      <c r="S30" t="s">
        <v>3221</v>
      </c>
      <c r="T30" t="s">
        <v>3222</v>
      </c>
      <c r="U30" t="s">
        <v>3223</v>
      </c>
      <c r="V30" t="s">
        <v>2692</v>
      </c>
      <c r="Z30" t="s">
        <v>3217</v>
      </c>
      <c r="AA30">
        <v>325</v>
      </c>
      <c r="AB30" s="31">
        <v>45604</v>
      </c>
      <c r="AC30" s="61">
        <v>0.72949074074074072</v>
      </c>
      <c r="AD30" t="s">
        <v>795</v>
      </c>
      <c r="AE30" s="31">
        <v>45929</v>
      </c>
      <c r="AF30" s="61">
        <v>0.7028240740740741</v>
      </c>
      <c r="AG30" t="s">
        <v>796</v>
      </c>
      <c r="AR30">
        <v>1</v>
      </c>
    </row>
    <row r="31" spans="1:44" x14ac:dyDescent="0.25">
      <c r="A31" t="s">
        <v>3217</v>
      </c>
      <c r="B31">
        <v>30</v>
      </c>
      <c r="C31">
        <v>102</v>
      </c>
      <c r="D31">
        <v>97</v>
      </c>
      <c r="G31" t="s">
        <v>3306</v>
      </c>
      <c r="I31" t="s">
        <v>3306</v>
      </c>
      <c r="J31" t="s">
        <v>3306</v>
      </c>
      <c r="K31" t="s">
        <v>3306</v>
      </c>
      <c r="L31">
        <v>19991884278</v>
      </c>
      <c r="N31" t="s">
        <v>3308</v>
      </c>
      <c r="P31" t="s">
        <v>778</v>
      </c>
      <c r="S31" t="s">
        <v>3221</v>
      </c>
      <c r="T31" t="s">
        <v>3222</v>
      </c>
      <c r="U31" t="s">
        <v>3223</v>
      </c>
      <c r="V31" t="s">
        <v>2692</v>
      </c>
      <c r="Z31" t="s">
        <v>3217</v>
      </c>
      <c r="AA31">
        <v>325</v>
      </c>
      <c r="AB31" s="31">
        <v>45604</v>
      </c>
      <c r="AC31" s="61">
        <v>0.72949074074074072</v>
      </c>
      <c r="AD31" t="s">
        <v>795</v>
      </c>
      <c r="AE31" s="31">
        <v>45929</v>
      </c>
      <c r="AF31" s="61">
        <v>0.70284722222222218</v>
      </c>
      <c r="AG31" t="s">
        <v>796</v>
      </c>
      <c r="AR31">
        <v>1</v>
      </c>
    </row>
    <row r="32" spans="1:44" x14ac:dyDescent="0.25">
      <c r="A32" t="s">
        <v>3217</v>
      </c>
      <c r="B32">
        <v>31</v>
      </c>
      <c r="C32">
        <v>103</v>
      </c>
      <c r="D32">
        <v>99</v>
      </c>
      <c r="G32" t="s">
        <v>77</v>
      </c>
      <c r="H32">
        <v>12549273000179</v>
      </c>
      <c r="I32" t="s">
        <v>3309</v>
      </c>
      <c r="J32" t="s">
        <v>3310</v>
      </c>
      <c r="K32" t="s">
        <v>3310</v>
      </c>
      <c r="L32">
        <v>11964460733</v>
      </c>
      <c r="N32" t="s">
        <v>3312</v>
      </c>
      <c r="P32" t="s">
        <v>3313</v>
      </c>
      <c r="Q32" t="s">
        <v>1596</v>
      </c>
      <c r="R32" t="s">
        <v>790</v>
      </c>
      <c r="S32" t="s">
        <v>3221</v>
      </c>
      <c r="T32" t="s">
        <v>3222</v>
      </c>
      <c r="U32" t="s">
        <v>3223</v>
      </c>
      <c r="V32" t="s">
        <v>2692</v>
      </c>
      <c r="Z32" t="s">
        <v>3217</v>
      </c>
      <c r="AA32">
        <v>325</v>
      </c>
      <c r="AB32" s="31">
        <v>45604</v>
      </c>
      <c r="AC32" s="61">
        <v>0.72949074074074072</v>
      </c>
      <c r="AD32" t="s">
        <v>795</v>
      </c>
      <c r="AE32" s="31">
        <v>45929</v>
      </c>
      <c r="AF32" s="61">
        <v>0.70248842592592597</v>
      </c>
      <c r="AG32" t="s">
        <v>796</v>
      </c>
      <c r="AR32">
        <v>1</v>
      </c>
    </row>
    <row r="33" spans="1:44" x14ac:dyDescent="0.25">
      <c r="A33" t="s">
        <v>3217</v>
      </c>
      <c r="B33">
        <v>32</v>
      </c>
      <c r="C33">
        <v>104</v>
      </c>
      <c r="D33">
        <v>101</v>
      </c>
      <c r="G33" t="s">
        <v>3314</v>
      </c>
      <c r="I33" t="s">
        <v>3314</v>
      </c>
      <c r="J33" t="s">
        <v>3314</v>
      </c>
      <c r="K33" t="s">
        <v>3314</v>
      </c>
      <c r="N33" t="s">
        <v>3315</v>
      </c>
      <c r="P33" t="s">
        <v>778</v>
      </c>
      <c r="S33" t="s">
        <v>3221</v>
      </c>
      <c r="T33" t="s">
        <v>3222</v>
      </c>
      <c r="U33" t="s">
        <v>3223</v>
      </c>
      <c r="V33" t="s">
        <v>2692</v>
      </c>
      <c r="Z33" t="s">
        <v>3217</v>
      </c>
      <c r="AA33">
        <v>325</v>
      </c>
      <c r="AB33" s="31">
        <v>45604</v>
      </c>
      <c r="AC33" s="61">
        <v>0.72949074074074072</v>
      </c>
      <c r="AD33" t="s">
        <v>795</v>
      </c>
      <c r="AE33" s="31">
        <v>45929</v>
      </c>
      <c r="AF33" s="61">
        <v>0.7025231481481482</v>
      </c>
      <c r="AG33" t="s">
        <v>796</v>
      </c>
      <c r="AR33">
        <v>1</v>
      </c>
    </row>
    <row r="34" spans="1:44" x14ac:dyDescent="0.25">
      <c r="A34" t="s">
        <v>3217</v>
      </c>
      <c r="B34">
        <v>33</v>
      </c>
      <c r="C34">
        <v>105</v>
      </c>
      <c r="D34">
        <v>103</v>
      </c>
      <c r="G34" t="s">
        <v>3316</v>
      </c>
      <c r="I34" t="s">
        <v>3316</v>
      </c>
      <c r="J34" t="s">
        <v>3316</v>
      </c>
      <c r="K34" t="s">
        <v>3316</v>
      </c>
      <c r="N34" t="s">
        <v>3317</v>
      </c>
      <c r="P34" t="s">
        <v>778</v>
      </c>
      <c r="S34" t="s">
        <v>3221</v>
      </c>
      <c r="T34" t="s">
        <v>3222</v>
      </c>
      <c r="U34" t="s">
        <v>3223</v>
      </c>
      <c r="V34" t="s">
        <v>2692</v>
      </c>
      <c r="Z34" t="s">
        <v>3217</v>
      </c>
      <c r="AA34">
        <v>325</v>
      </c>
      <c r="AB34" s="31">
        <v>45604</v>
      </c>
      <c r="AC34" s="61">
        <v>0.72949074074074072</v>
      </c>
      <c r="AD34" t="s">
        <v>795</v>
      </c>
      <c r="AE34" s="31">
        <v>45929</v>
      </c>
      <c r="AF34" s="61">
        <v>0.70254629629629628</v>
      </c>
      <c r="AG34" t="s">
        <v>796</v>
      </c>
      <c r="AR34">
        <v>1</v>
      </c>
    </row>
    <row r="35" spans="1:44" x14ac:dyDescent="0.25">
      <c r="A35" t="s">
        <v>3217</v>
      </c>
      <c r="B35">
        <v>34</v>
      </c>
      <c r="C35">
        <v>106</v>
      </c>
      <c r="D35">
        <v>105</v>
      </c>
      <c r="G35" t="s">
        <v>3318</v>
      </c>
      <c r="I35" t="s">
        <v>3318</v>
      </c>
      <c r="J35" t="s">
        <v>3318</v>
      </c>
      <c r="K35" t="s">
        <v>3318</v>
      </c>
      <c r="N35" t="s">
        <v>3319</v>
      </c>
      <c r="P35" t="s">
        <v>778</v>
      </c>
      <c r="S35" t="s">
        <v>3221</v>
      </c>
      <c r="T35" t="s">
        <v>3222</v>
      </c>
      <c r="U35" t="s">
        <v>3223</v>
      </c>
      <c r="V35" t="s">
        <v>2692</v>
      </c>
      <c r="Z35" t="s">
        <v>3217</v>
      </c>
      <c r="AA35">
        <v>325</v>
      </c>
      <c r="AB35" s="31">
        <v>45604</v>
      </c>
      <c r="AC35" s="61">
        <v>0.72949074074074072</v>
      </c>
      <c r="AD35" t="s">
        <v>795</v>
      </c>
      <c r="AE35" s="31">
        <v>45929</v>
      </c>
      <c r="AF35" s="61">
        <v>0.70258101851851851</v>
      </c>
      <c r="AG35" t="s">
        <v>796</v>
      </c>
      <c r="AR35">
        <v>1</v>
      </c>
    </row>
    <row r="36" spans="1:44" x14ac:dyDescent="0.25">
      <c r="A36" t="s">
        <v>3217</v>
      </c>
      <c r="B36">
        <v>35</v>
      </c>
      <c r="C36">
        <v>107</v>
      </c>
      <c r="D36">
        <v>107</v>
      </c>
      <c r="G36" t="s">
        <v>427</v>
      </c>
      <c r="H36">
        <v>7527737000297</v>
      </c>
      <c r="I36" t="s">
        <v>427</v>
      </c>
      <c r="J36" t="s">
        <v>427</v>
      </c>
      <c r="K36" t="s">
        <v>427</v>
      </c>
      <c r="N36" t="s">
        <v>3320</v>
      </c>
      <c r="P36" t="s">
        <v>778</v>
      </c>
      <c r="S36" t="s">
        <v>3221</v>
      </c>
      <c r="T36" t="s">
        <v>3222</v>
      </c>
      <c r="U36" t="s">
        <v>3223</v>
      </c>
      <c r="V36" t="s">
        <v>2692</v>
      </c>
      <c r="Z36" t="s">
        <v>3217</v>
      </c>
      <c r="AA36">
        <v>325</v>
      </c>
      <c r="AB36" s="31">
        <v>45604</v>
      </c>
      <c r="AC36" s="61">
        <v>0.72949074074074072</v>
      </c>
      <c r="AD36" t="s">
        <v>795</v>
      </c>
      <c r="AE36" s="31">
        <v>45929</v>
      </c>
      <c r="AF36" s="61">
        <v>0.7026041666666667</v>
      </c>
      <c r="AG36" t="s">
        <v>796</v>
      </c>
      <c r="AR36">
        <v>1</v>
      </c>
    </row>
    <row r="37" spans="1:44" x14ac:dyDescent="0.25">
      <c r="A37" t="s">
        <v>3217</v>
      </c>
      <c r="B37">
        <v>36</v>
      </c>
      <c r="C37">
        <v>108</v>
      </c>
      <c r="D37">
        <v>109</v>
      </c>
      <c r="G37" t="s">
        <v>3321</v>
      </c>
      <c r="I37" t="s">
        <v>3321</v>
      </c>
      <c r="J37" t="s">
        <v>3321</v>
      </c>
      <c r="K37" t="s">
        <v>3321</v>
      </c>
      <c r="N37" t="s">
        <v>3322</v>
      </c>
      <c r="P37" t="s">
        <v>778</v>
      </c>
      <c r="S37" t="s">
        <v>3221</v>
      </c>
      <c r="T37" t="s">
        <v>3222</v>
      </c>
      <c r="U37" t="s">
        <v>3223</v>
      </c>
      <c r="V37" t="s">
        <v>2692</v>
      </c>
      <c r="Z37" t="s">
        <v>3217</v>
      </c>
      <c r="AA37">
        <v>325</v>
      </c>
      <c r="AB37" s="31">
        <v>45604</v>
      </c>
      <c r="AC37" s="61">
        <v>0.72949074074074072</v>
      </c>
      <c r="AD37" t="s">
        <v>795</v>
      </c>
      <c r="AE37" s="31">
        <v>45929</v>
      </c>
      <c r="AF37" s="61">
        <v>0.70263888888888892</v>
      </c>
      <c r="AG37" t="s">
        <v>796</v>
      </c>
      <c r="AR37">
        <v>1</v>
      </c>
    </row>
    <row r="38" spans="1:44" x14ac:dyDescent="0.25">
      <c r="A38" t="s">
        <v>3217</v>
      </c>
      <c r="B38">
        <v>37</v>
      </c>
      <c r="C38">
        <v>109</v>
      </c>
      <c r="D38">
        <v>111</v>
      </c>
      <c r="G38" t="s">
        <v>3323</v>
      </c>
      <c r="I38" t="s">
        <v>3323</v>
      </c>
      <c r="J38" t="s">
        <v>3323</v>
      </c>
      <c r="K38" t="s">
        <v>3323</v>
      </c>
      <c r="N38" t="s">
        <v>3324</v>
      </c>
      <c r="P38" t="s">
        <v>778</v>
      </c>
      <c r="S38" t="s">
        <v>3221</v>
      </c>
      <c r="T38" t="s">
        <v>3222</v>
      </c>
      <c r="U38" t="s">
        <v>3223</v>
      </c>
      <c r="V38" t="s">
        <v>2692</v>
      </c>
      <c r="Z38" t="s">
        <v>3217</v>
      </c>
      <c r="AA38">
        <v>325</v>
      </c>
      <c r="AB38" s="31">
        <v>45604</v>
      </c>
      <c r="AC38" s="61">
        <v>0.72949074074074072</v>
      </c>
      <c r="AD38" t="s">
        <v>795</v>
      </c>
      <c r="AE38" s="31">
        <v>45929</v>
      </c>
      <c r="AF38" s="61">
        <v>0.70267361111111115</v>
      </c>
      <c r="AG38" t="s">
        <v>796</v>
      </c>
      <c r="AR38">
        <v>1</v>
      </c>
    </row>
    <row r="39" spans="1:44" x14ac:dyDescent="0.25">
      <c r="A39" t="s">
        <v>3217</v>
      </c>
      <c r="B39">
        <v>38</v>
      </c>
      <c r="C39">
        <v>110</v>
      </c>
      <c r="D39">
        <v>113</v>
      </c>
      <c r="G39" t="s">
        <v>629</v>
      </c>
      <c r="I39" t="s">
        <v>629</v>
      </c>
      <c r="J39" t="s">
        <v>629</v>
      </c>
      <c r="K39" t="s">
        <v>629</v>
      </c>
      <c r="N39" t="s">
        <v>3325</v>
      </c>
      <c r="P39" t="s">
        <v>778</v>
      </c>
      <c r="S39" t="s">
        <v>3221</v>
      </c>
      <c r="T39" t="s">
        <v>3222</v>
      </c>
      <c r="U39" t="s">
        <v>3223</v>
      </c>
      <c r="V39" t="s">
        <v>2692</v>
      </c>
      <c r="Z39" t="s">
        <v>3217</v>
      </c>
      <c r="AA39">
        <v>325</v>
      </c>
      <c r="AB39" s="31">
        <v>45604</v>
      </c>
      <c r="AC39" s="61">
        <v>0.72949074074074072</v>
      </c>
      <c r="AD39" t="s">
        <v>795</v>
      </c>
      <c r="AE39" s="31">
        <v>45929</v>
      </c>
      <c r="AF39" s="61">
        <v>0.70269675925925923</v>
      </c>
      <c r="AG39" t="s">
        <v>796</v>
      </c>
      <c r="AR39">
        <v>1</v>
      </c>
    </row>
    <row r="40" spans="1:44" x14ac:dyDescent="0.25">
      <c r="A40" t="s">
        <v>3217</v>
      </c>
      <c r="B40">
        <v>39</v>
      </c>
      <c r="C40">
        <v>111</v>
      </c>
      <c r="D40">
        <v>115</v>
      </c>
      <c r="G40" t="s">
        <v>603</v>
      </c>
      <c r="I40" t="s">
        <v>603</v>
      </c>
      <c r="J40" t="s">
        <v>603</v>
      </c>
      <c r="K40" t="s">
        <v>603</v>
      </c>
      <c r="N40" t="s">
        <v>3326</v>
      </c>
      <c r="P40" t="s">
        <v>778</v>
      </c>
      <c r="S40" t="s">
        <v>3221</v>
      </c>
      <c r="T40" t="s">
        <v>3222</v>
      </c>
      <c r="U40" t="s">
        <v>3223</v>
      </c>
      <c r="V40" t="s">
        <v>2692</v>
      </c>
      <c r="Z40" t="s">
        <v>3217</v>
      </c>
      <c r="AA40">
        <v>325</v>
      </c>
      <c r="AB40" s="31">
        <v>45604</v>
      </c>
      <c r="AC40" s="61">
        <v>0.72949074074074072</v>
      </c>
      <c r="AD40" t="s">
        <v>795</v>
      </c>
      <c r="AE40" s="31">
        <v>45929</v>
      </c>
      <c r="AF40" s="61">
        <v>0.70274305555555561</v>
      </c>
      <c r="AG40" t="s">
        <v>796</v>
      </c>
      <c r="AR40">
        <v>1</v>
      </c>
    </row>
    <row r="41" spans="1:44" x14ac:dyDescent="0.25">
      <c r="A41" t="s">
        <v>3217</v>
      </c>
      <c r="B41">
        <v>40</v>
      </c>
      <c r="C41">
        <v>112</v>
      </c>
      <c r="D41">
        <v>117</v>
      </c>
      <c r="G41" t="s">
        <v>3327</v>
      </c>
      <c r="I41" t="s">
        <v>3327</v>
      </c>
      <c r="J41" t="s">
        <v>3327</v>
      </c>
      <c r="K41" t="s">
        <v>3327</v>
      </c>
      <c r="N41" t="s">
        <v>3328</v>
      </c>
      <c r="P41" t="s">
        <v>778</v>
      </c>
      <c r="S41" t="s">
        <v>3221</v>
      </c>
      <c r="T41" t="s">
        <v>3222</v>
      </c>
      <c r="U41" t="s">
        <v>3223</v>
      </c>
      <c r="V41" t="s">
        <v>2692</v>
      </c>
      <c r="Z41" t="s">
        <v>3217</v>
      </c>
      <c r="AA41">
        <v>325</v>
      </c>
      <c r="AB41" s="31">
        <v>45604</v>
      </c>
      <c r="AC41" s="61">
        <v>0.72949074074074072</v>
      </c>
      <c r="AD41" t="s">
        <v>795</v>
      </c>
      <c r="AE41" s="31">
        <v>45929</v>
      </c>
      <c r="AF41" s="61">
        <v>0.70276620370370368</v>
      </c>
      <c r="AG41" t="s">
        <v>796</v>
      </c>
      <c r="AR41">
        <v>1</v>
      </c>
    </row>
    <row r="42" spans="1:44" x14ac:dyDescent="0.25">
      <c r="A42" t="s">
        <v>3217</v>
      </c>
      <c r="B42">
        <v>41</v>
      </c>
      <c r="C42">
        <v>113</v>
      </c>
      <c r="D42">
        <v>119</v>
      </c>
      <c r="G42" t="s">
        <v>65</v>
      </c>
      <c r="I42" t="s">
        <v>65</v>
      </c>
      <c r="J42" t="s">
        <v>65</v>
      </c>
      <c r="K42" t="s">
        <v>65</v>
      </c>
      <c r="N42" t="s">
        <v>3329</v>
      </c>
      <c r="P42" t="s">
        <v>778</v>
      </c>
      <c r="S42" t="s">
        <v>3221</v>
      </c>
      <c r="T42" t="s">
        <v>3222</v>
      </c>
      <c r="U42" t="s">
        <v>3223</v>
      </c>
      <c r="V42" t="s">
        <v>2692</v>
      </c>
      <c r="Z42" t="s">
        <v>3217</v>
      </c>
      <c r="AA42">
        <v>325</v>
      </c>
      <c r="AB42" s="31">
        <v>45604</v>
      </c>
      <c r="AC42" s="61">
        <v>0.72949074074074072</v>
      </c>
      <c r="AD42" t="s">
        <v>795</v>
      </c>
      <c r="AE42" s="31">
        <v>45929</v>
      </c>
      <c r="AF42" s="61">
        <v>0.70278935185185187</v>
      </c>
      <c r="AG42" t="s">
        <v>796</v>
      </c>
      <c r="AR42">
        <v>1</v>
      </c>
    </row>
    <row r="43" spans="1:44" x14ac:dyDescent="0.25">
      <c r="A43" t="s">
        <v>3217</v>
      </c>
      <c r="B43">
        <v>42</v>
      </c>
      <c r="C43">
        <v>114</v>
      </c>
      <c r="D43">
        <v>121</v>
      </c>
      <c r="G43" t="s">
        <v>3330</v>
      </c>
      <c r="I43" t="s">
        <v>3330</v>
      </c>
      <c r="J43" t="s">
        <v>3330</v>
      </c>
      <c r="K43" t="s">
        <v>3330</v>
      </c>
      <c r="L43">
        <v>1532619261</v>
      </c>
      <c r="N43" t="s">
        <v>3332</v>
      </c>
      <c r="P43" t="s">
        <v>778</v>
      </c>
      <c r="S43" t="s">
        <v>3221</v>
      </c>
      <c r="T43" t="s">
        <v>3222</v>
      </c>
      <c r="U43" t="s">
        <v>3223</v>
      </c>
      <c r="V43" t="s">
        <v>2692</v>
      </c>
      <c r="Z43" t="s">
        <v>3217</v>
      </c>
      <c r="AA43">
        <v>325</v>
      </c>
      <c r="AB43" s="31">
        <v>45604</v>
      </c>
      <c r="AC43" s="61">
        <v>0.72949074074074072</v>
      </c>
      <c r="AD43" t="s">
        <v>795</v>
      </c>
      <c r="AE43" s="31">
        <v>45929</v>
      </c>
      <c r="AF43" s="61">
        <v>0.70285879629629633</v>
      </c>
      <c r="AG43" t="s">
        <v>796</v>
      </c>
      <c r="AR43">
        <v>1</v>
      </c>
    </row>
    <row r="44" spans="1:44" x14ac:dyDescent="0.25">
      <c r="A44" t="s">
        <v>3217</v>
      </c>
      <c r="B44">
        <v>43</v>
      </c>
      <c r="C44">
        <v>115</v>
      </c>
      <c r="D44">
        <v>123</v>
      </c>
      <c r="G44" t="s">
        <v>3333</v>
      </c>
      <c r="I44" t="s">
        <v>3333</v>
      </c>
      <c r="J44" t="s">
        <v>3333</v>
      </c>
      <c r="K44" t="s">
        <v>3333</v>
      </c>
      <c r="N44" t="s">
        <v>3334</v>
      </c>
      <c r="P44" t="s">
        <v>778</v>
      </c>
      <c r="S44" t="s">
        <v>3221</v>
      </c>
      <c r="T44" t="s">
        <v>3222</v>
      </c>
      <c r="U44" t="s">
        <v>3223</v>
      </c>
      <c r="V44" t="s">
        <v>2692</v>
      </c>
      <c r="Z44" t="s">
        <v>3217</v>
      </c>
      <c r="AA44">
        <v>325</v>
      </c>
      <c r="AB44" s="31">
        <v>45604</v>
      </c>
      <c r="AC44" s="61">
        <v>0.72949074074074072</v>
      </c>
      <c r="AD44" t="s">
        <v>795</v>
      </c>
      <c r="AE44" s="31">
        <v>45929</v>
      </c>
      <c r="AF44" s="61">
        <v>0.70288194444444441</v>
      </c>
      <c r="AG44" t="s">
        <v>796</v>
      </c>
      <c r="AR44">
        <v>1</v>
      </c>
    </row>
    <row r="45" spans="1:44" x14ac:dyDescent="0.25">
      <c r="A45" t="s">
        <v>3217</v>
      </c>
      <c r="B45">
        <v>44</v>
      </c>
      <c r="C45">
        <v>116</v>
      </c>
      <c r="D45">
        <v>125</v>
      </c>
      <c r="G45" t="s">
        <v>3335</v>
      </c>
      <c r="I45" t="s">
        <v>3335</v>
      </c>
      <c r="J45" t="s">
        <v>3335</v>
      </c>
      <c r="K45" t="s">
        <v>3335</v>
      </c>
      <c r="L45">
        <v>6536612571</v>
      </c>
      <c r="N45" t="s">
        <v>3337</v>
      </c>
      <c r="P45" t="s">
        <v>778</v>
      </c>
      <c r="Q45" t="s">
        <v>3338</v>
      </c>
      <c r="R45" t="s">
        <v>3339</v>
      </c>
      <c r="S45" t="s">
        <v>3221</v>
      </c>
      <c r="T45" t="s">
        <v>3222</v>
      </c>
      <c r="U45" t="s">
        <v>3223</v>
      </c>
      <c r="V45" t="s">
        <v>2692</v>
      </c>
      <c r="Z45" t="s">
        <v>3217</v>
      </c>
      <c r="AA45">
        <v>325</v>
      </c>
      <c r="AB45" s="31">
        <v>45604</v>
      </c>
      <c r="AC45" s="61">
        <v>0.72950231481481487</v>
      </c>
      <c r="AD45" t="s">
        <v>795</v>
      </c>
      <c r="AE45" s="31">
        <v>45929</v>
      </c>
      <c r="AF45" s="61">
        <v>0.70289351851851856</v>
      </c>
      <c r="AG45" t="s">
        <v>796</v>
      </c>
      <c r="AR45">
        <v>1</v>
      </c>
    </row>
    <row r="46" spans="1:44" x14ac:dyDescent="0.25">
      <c r="A46" t="s">
        <v>3217</v>
      </c>
      <c r="B46">
        <v>45</v>
      </c>
      <c r="C46">
        <v>117</v>
      </c>
      <c r="D46">
        <v>127</v>
      </c>
      <c r="G46" t="s">
        <v>3340</v>
      </c>
      <c r="I46" t="s">
        <v>3340</v>
      </c>
      <c r="J46" t="s">
        <v>3340</v>
      </c>
      <c r="K46" t="s">
        <v>3340</v>
      </c>
      <c r="N46" t="s">
        <v>3341</v>
      </c>
      <c r="P46" t="s">
        <v>778</v>
      </c>
      <c r="S46" t="s">
        <v>3221</v>
      </c>
      <c r="T46" t="s">
        <v>3222</v>
      </c>
      <c r="U46" t="s">
        <v>3223</v>
      </c>
      <c r="V46" t="s">
        <v>2692</v>
      </c>
      <c r="Z46" t="s">
        <v>3217</v>
      </c>
      <c r="AA46">
        <v>325</v>
      </c>
      <c r="AB46" s="31">
        <v>45604</v>
      </c>
      <c r="AC46" s="61">
        <v>0.72950231481481487</v>
      </c>
      <c r="AD46" t="s">
        <v>795</v>
      </c>
      <c r="AE46" s="31">
        <v>45929</v>
      </c>
      <c r="AF46" s="61">
        <v>0.70292824074074078</v>
      </c>
      <c r="AG46" t="s">
        <v>796</v>
      </c>
      <c r="AR46">
        <v>1</v>
      </c>
    </row>
    <row r="47" spans="1:44" x14ac:dyDescent="0.25">
      <c r="A47" t="s">
        <v>3217</v>
      </c>
      <c r="B47">
        <v>46</v>
      </c>
      <c r="C47">
        <v>118</v>
      </c>
      <c r="D47">
        <v>129</v>
      </c>
      <c r="G47" t="s">
        <v>686</v>
      </c>
      <c r="I47" t="s">
        <v>686</v>
      </c>
      <c r="J47" t="s">
        <v>686</v>
      </c>
      <c r="K47" t="s">
        <v>686</v>
      </c>
      <c r="L47">
        <v>4133735432</v>
      </c>
      <c r="N47" t="s">
        <v>3343</v>
      </c>
      <c r="P47" t="s">
        <v>778</v>
      </c>
      <c r="S47" t="s">
        <v>3221</v>
      </c>
      <c r="T47" t="s">
        <v>3222</v>
      </c>
      <c r="U47" t="s">
        <v>3223</v>
      </c>
      <c r="V47" t="s">
        <v>2692</v>
      </c>
      <c r="Z47" t="s">
        <v>3217</v>
      </c>
      <c r="AA47">
        <v>325</v>
      </c>
      <c r="AB47" s="31">
        <v>45604</v>
      </c>
      <c r="AC47" s="61">
        <v>0.72950231481481487</v>
      </c>
      <c r="AD47" t="s">
        <v>795</v>
      </c>
      <c r="AE47" s="31">
        <v>45929</v>
      </c>
      <c r="AF47" s="61">
        <v>0.70248842592592597</v>
      </c>
      <c r="AG47" t="s">
        <v>796</v>
      </c>
      <c r="AR47">
        <v>1</v>
      </c>
    </row>
    <row r="48" spans="1:44" x14ac:dyDescent="0.25">
      <c r="A48" t="s">
        <v>3217</v>
      </c>
      <c r="B48">
        <v>47</v>
      </c>
      <c r="C48">
        <v>119</v>
      </c>
      <c r="D48">
        <v>131</v>
      </c>
      <c r="G48" t="s">
        <v>608</v>
      </c>
      <c r="I48" t="s">
        <v>608</v>
      </c>
      <c r="J48" t="s">
        <v>608</v>
      </c>
      <c r="K48" t="s">
        <v>608</v>
      </c>
      <c r="L48">
        <v>1135770555</v>
      </c>
      <c r="N48" t="s">
        <v>3345</v>
      </c>
      <c r="P48" t="s">
        <v>778</v>
      </c>
      <c r="S48" t="s">
        <v>3221</v>
      </c>
      <c r="T48" t="s">
        <v>3222</v>
      </c>
      <c r="U48" t="s">
        <v>3223</v>
      </c>
      <c r="V48" t="s">
        <v>2692</v>
      </c>
      <c r="Z48" t="s">
        <v>3217</v>
      </c>
      <c r="AA48">
        <v>325</v>
      </c>
      <c r="AB48" s="31">
        <v>45604</v>
      </c>
      <c r="AC48" s="61">
        <v>0.72950231481481487</v>
      </c>
      <c r="AD48" t="s">
        <v>795</v>
      </c>
      <c r="AE48" s="31">
        <v>45929</v>
      </c>
      <c r="AF48" s="61">
        <v>0.70251157407407405</v>
      </c>
      <c r="AG48" t="s">
        <v>796</v>
      </c>
      <c r="AR48">
        <v>1</v>
      </c>
    </row>
    <row r="49" spans="1:44" x14ac:dyDescent="0.25">
      <c r="A49" t="s">
        <v>3217</v>
      </c>
      <c r="B49">
        <v>48</v>
      </c>
      <c r="C49">
        <v>120</v>
      </c>
      <c r="D49">
        <v>133</v>
      </c>
      <c r="G49" t="s">
        <v>3346</v>
      </c>
      <c r="I49" t="s">
        <v>3346</v>
      </c>
      <c r="J49" t="s">
        <v>3346</v>
      </c>
      <c r="K49" t="s">
        <v>3346</v>
      </c>
      <c r="N49" t="s">
        <v>3347</v>
      </c>
      <c r="P49" t="s">
        <v>778</v>
      </c>
      <c r="S49" t="s">
        <v>3221</v>
      </c>
      <c r="T49" t="s">
        <v>3222</v>
      </c>
      <c r="U49" t="s">
        <v>3223</v>
      </c>
      <c r="V49" t="s">
        <v>2692</v>
      </c>
      <c r="Z49" t="s">
        <v>3217</v>
      </c>
      <c r="AA49">
        <v>325</v>
      </c>
      <c r="AB49" s="31">
        <v>45604</v>
      </c>
      <c r="AC49" s="61">
        <v>0.72950231481481487</v>
      </c>
      <c r="AD49" t="s">
        <v>795</v>
      </c>
      <c r="AE49" s="31">
        <v>45929</v>
      </c>
      <c r="AF49" s="61">
        <v>0.70253472222222224</v>
      </c>
      <c r="AG49" t="s">
        <v>796</v>
      </c>
      <c r="AR49">
        <v>1</v>
      </c>
    </row>
    <row r="50" spans="1:44" x14ac:dyDescent="0.25">
      <c r="A50" t="s">
        <v>3217</v>
      </c>
      <c r="B50">
        <v>49</v>
      </c>
      <c r="C50">
        <v>121</v>
      </c>
      <c r="D50">
        <v>135</v>
      </c>
      <c r="G50" t="s">
        <v>3348</v>
      </c>
      <c r="I50" t="s">
        <v>3348</v>
      </c>
      <c r="J50" t="s">
        <v>3348</v>
      </c>
      <c r="K50" t="s">
        <v>3348</v>
      </c>
      <c r="N50" t="s">
        <v>3349</v>
      </c>
      <c r="P50" t="s">
        <v>778</v>
      </c>
      <c r="S50" t="s">
        <v>3221</v>
      </c>
      <c r="T50" t="s">
        <v>3222</v>
      </c>
      <c r="U50" t="s">
        <v>3223</v>
      </c>
      <c r="V50" t="s">
        <v>2692</v>
      </c>
      <c r="Z50" t="s">
        <v>3217</v>
      </c>
      <c r="AA50">
        <v>325</v>
      </c>
      <c r="AB50" s="31">
        <v>45604</v>
      </c>
      <c r="AC50" s="61">
        <v>0.72950231481481487</v>
      </c>
      <c r="AD50" t="s">
        <v>795</v>
      </c>
      <c r="AE50" s="31">
        <v>45929</v>
      </c>
      <c r="AF50" s="61">
        <v>0.70255787037037032</v>
      </c>
      <c r="AG50" t="s">
        <v>796</v>
      </c>
      <c r="AR50">
        <v>1</v>
      </c>
    </row>
    <row r="51" spans="1:44" x14ac:dyDescent="0.25">
      <c r="A51" t="s">
        <v>3217</v>
      </c>
      <c r="B51">
        <v>50</v>
      </c>
      <c r="C51">
        <v>122</v>
      </c>
      <c r="D51">
        <v>137</v>
      </c>
      <c r="G51" t="s">
        <v>680</v>
      </c>
      <c r="I51" t="s">
        <v>680</v>
      </c>
      <c r="J51" t="s">
        <v>680</v>
      </c>
      <c r="K51" t="s">
        <v>680</v>
      </c>
      <c r="L51">
        <v>1126751375</v>
      </c>
      <c r="N51" t="s">
        <v>3351</v>
      </c>
      <c r="P51" t="s">
        <v>778</v>
      </c>
      <c r="S51" t="s">
        <v>3221</v>
      </c>
      <c r="T51" t="s">
        <v>3222</v>
      </c>
      <c r="U51" t="s">
        <v>3223</v>
      </c>
      <c r="V51" t="s">
        <v>2692</v>
      </c>
      <c r="Z51" t="s">
        <v>3217</v>
      </c>
      <c r="AA51">
        <v>325</v>
      </c>
      <c r="AB51" s="31">
        <v>45604</v>
      </c>
      <c r="AC51" s="61">
        <v>0.72950231481481487</v>
      </c>
      <c r="AD51" t="s">
        <v>795</v>
      </c>
      <c r="AE51" s="31">
        <v>45929</v>
      </c>
      <c r="AF51" s="61">
        <v>0.70258101851851851</v>
      </c>
      <c r="AG51" t="s">
        <v>796</v>
      </c>
      <c r="AR51">
        <v>1</v>
      </c>
    </row>
    <row r="52" spans="1:44" x14ac:dyDescent="0.25">
      <c r="A52" t="s">
        <v>3217</v>
      </c>
      <c r="B52">
        <v>51</v>
      </c>
      <c r="C52">
        <v>123</v>
      </c>
      <c r="D52">
        <v>139</v>
      </c>
      <c r="G52" t="s">
        <v>647</v>
      </c>
      <c r="I52" t="s">
        <v>647</v>
      </c>
      <c r="J52" t="s">
        <v>647</v>
      </c>
      <c r="K52" t="s">
        <v>647</v>
      </c>
      <c r="L52">
        <v>1147433053</v>
      </c>
      <c r="N52" t="s">
        <v>3353</v>
      </c>
      <c r="P52" t="s">
        <v>778</v>
      </c>
      <c r="S52" t="s">
        <v>3221</v>
      </c>
      <c r="T52" t="s">
        <v>3222</v>
      </c>
      <c r="U52" t="s">
        <v>3223</v>
      </c>
      <c r="V52" t="s">
        <v>2692</v>
      </c>
      <c r="Z52" t="s">
        <v>3217</v>
      </c>
      <c r="AA52">
        <v>325</v>
      </c>
      <c r="AB52" s="31">
        <v>45604</v>
      </c>
      <c r="AC52" s="61">
        <v>0.72950231481481487</v>
      </c>
      <c r="AD52" t="s">
        <v>795</v>
      </c>
      <c r="AE52" s="31">
        <v>45929</v>
      </c>
      <c r="AF52" s="61">
        <v>0.7026041666666667</v>
      </c>
      <c r="AG52" t="s">
        <v>796</v>
      </c>
      <c r="AR52">
        <v>1</v>
      </c>
    </row>
    <row r="53" spans="1:44" x14ac:dyDescent="0.25">
      <c r="A53" t="s">
        <v>3217</v>
      </c>
      <c r="B53">
        <v>52</v>
      </c>
      <c r="C53">
        <v>124</v>
      </c>
      <c r="D53">
        <v>141</v>
      </c>
      <c r="G53" t="s">
        <v>3354</v>
      </c>
      <c r="I53" t="s">
        <v>3354</v>
      </c>
      <c r="J53" t="s">
        <v>3354</v>
      </c>
      <c r="K53" t="s">
        <v>3354</v>
      </c>
      <c r="N53" t="s">
        <v>3355</v>
      </c>
      <c r="P53" t="s">
        <v>778</v>
      </c>
      <c r="S53" t="s">
        <v>3221</v>
      </c>
      <c r="T53" t="s">
        <v>3222</v>
      </c>
      <c r="U53" t="s">
        <v>3223</v>
      </c>
      <c r="V53" t="s">
        <v>2692</v>
      </c>
      <c r="Z53" t="s">
        <v>3217</v>
      </c>
      <c r="AA53">
        <v>325</v>
      </c>
      <c r="AB53" s="31">
        <v>45604</v>
      </c>
      <c r="AC53" s="61">
        <v>0.72950231481481487</v>
      </c>
      <c r="AD53" t="s">
        <v>795</v>
      </c>
      <c r="AE53" s="31">
        <v>45929</v>
      </c>
      <c r="AF53" s="61">
        <v>0.70262731481481477</v>
      </c>
      <c r="AG53" t="s">
        <v>796</v>
      </c>
      <c r="AR53">
        <v>1</v>
      </c>
    </row>
    <row r="54" spans="1:44" x14ac:dyDescent="0.25">
      <c r="A54" t="s">
        <v>3217</v>
      </c>
      <c r="B54">
        <v>53</v>
      </c>
      <c r="C54">
        <v>125</v>
      </c>
      <c r="D54">
        <v>143</v>
      </c>
      <c r="G54" t="s">
        <v>3356</v>
      </c>
      <c r="I54" t="s">
        <v>3356</v>
      </c>
      <c r="J54" t="s">
        <v>3356</v>
      </c>
      <c r="K54" t="s">
        <v>3356</v>
      </c>
      <c r="N54" t="s">
        <v>3357</v>
      </c>
      <c r="P54" t="s">
        <v>778</v>
      </c>
      <c r="S54" t="s">
        <v>3221</v>
      </c>
      <c r="T54" t="s">
        <v>3222</v>
      </c>
      <c r="U54" t="s">
        <v>3223</v>
      </c>
      <c r="V54" t="s">
        <v>2692</v>
      </c>
      <c r="Z54" t="s">
        <v>3217</v>
      </c>
      <c r="AA54">
        <v>325</v>
      </c>
      <c r="AB54" s="31">
        <v>45604</v>
      </c>
      <c r="AC54" s="61">
        <v>0.72950231481481487</v>
      </c>
      <c r="AD54" t="s">
        <v>795</v>
      </c>
      <c r="AE54" s="31">
        <v>45929</v>
      </c>
      <c r="AF54" s="61">
        <v>0.702662037037037</v>
      </c>
      <c r="AG54" t="s">
        <v>796</v>
      </c>
      <c r="AR54">
        <v>1</v>
      </c>
    </row>
    <row r="55" spans="1:44" x14ac:dyDescent="0.25">
      <c r="A55" t="s">
        <v>3217</v>
      </c>
      <c r="B55">
        <v>54</v>
      </c>
      <c r="C55">
        <v>126</v>
      </c>
      <c r="D55">
        <v>145</v>
      </c>
      <c r="G55" t="s">
        <v>3358</v>
      </c>
      <c r="I55" t="s">
        <v>3358</v>
      </c>
      <c r="J55" t="s">
        <v>3358</v>
      </c>
      <c r="K55" t="s">
        <v>3358</v>
      </c>
      <c r="N55" t="s">
        <v>3359</v>
      </c>
      <c r="P55" t="s">
        <v>778</v>
      </c>
      <c r="S55" t="s">
        <v>3221</v>
      </c>
      <c r="T55" t="s">
        <v>3222</v>
      </c>
      <c r="U55" t="s">
        <v>3223</v>
      </c>
      <c r="V55" t="s">
        <v>2692</v>
      </c>
      <c r="Z55" t="s">
        <v>3217</v>
      </c>
      <c r="AA55">
        <v>325</v>
      </c>
      <c r="AB55" s="31">
        <v>45604</v>
      </c>
      <c r="AC55" s="61">
        <v>0.72950231481481487</v>
      </c>
      <c r="AD55" t="s">
        <v>795</v>
      </c>
      <c r="AE55" s="31">
        <v>45929</v>
      </c>
      <c r="AF55" s="61">
        <v>0.70270833333333338</v>
      </c>
      <c r="AG55" t="s">
        <v>796</v>
      </c>
      <c r="AR55">
        <v>1</v>
      </c>
    </row>
    <row r="56" spans="1:44" x14ac:dyDescent="0.25">
      <c r="A56" t="s">
        <v>3217</v>
      </c>
      <c r="B56">
        <v>55</v>
      </c>
      <c r="C56">
        <v>127</v>
      </c>
      <c r="D56">
        <v>147</v>
      </c>
      <c r="G56" t="s">
        <v>3360</v>
      </c>
      <c r="I56" t="s">
        <v>3360</v>
      </c>
      <c r="J56" t="s">
        <v>3360</v>
      </c>
      <c r="K56" t="s">
        <v>3360</v>
      </c>
      <c r="L56">
        <v>1239073000</v>
      </c>
      <c r="N56" t="s">
        <v>3362</v>
      </c>
      <c r="P56" t="s">
        <v>778</v>
      </c>
      <c r="S56" t="s">
        <v>3221</v>
      </c>
      <c r="T56" t="s">
        <v>3222</v>
      </c>
      <c r="U56" t="s">
        <v>3223</v>
      </c>
      <c r="V56" t="s">
        <v>2692</v>
      </c>
      <c r="Z56" t="s">
        <v>3217</v>
      </c>
      <c r="AA56">
        <v>325</v>
      </c>
      <c r="AB56" s="31">
        <v>45604</v>
      </c>
      <c r="AC56" s="61">
        <v>0.72950231481481487</v>
      </c>
      <c r="AD56" t="s">
        <v>795</v>
      </c>
      <c r="AE56" s="31">
        <v>45929</v>
      </c>
      <c r="AF56" s="61">
        <v>0.70274305555555561</v>
      </c>
      <c r="AG56" t="s">
        <v>796</v>
      </c>
      <c r="AR56">
        <v>1</v>
      </c>
    </row>
    <row r="57" spans="1:44" x14ac:dyDescent="0.25">
      <c r="A57" t="s">
        <v>3217</v>
      </c>
      <c r="B57">
        <v>56</v>
      </c>
      <c r="C57">
        <v>128</v>
      </c>
      <c r="D57">
        <v>149</v>
      </c>
      <c r="G57" t="s">
        <v>3363</v>
      </c>
      <c r="I57" t="s">
        <v>3363</v>
      </c>
      <c r="J57" t="s">
        <v>3363</v>
      </c>
      <c r="K57" t="s">
        <v>3363</v>
      </c>
      <c r="N57" t="s">
        <v>3364</v>
      </c>
      <c r="P57" t="s">
        <v>778</v>
      </c>
      <c r="S57" t="s">
        <v>3221</v>
      </c>
      <c r="T57" t="s">
        <v>3222</v>
      </c>
      <c r="U57" t="s">
        <v>3223</v>
      </c>
      <c r="V57" t="s">
        <v>2692</v>
      </c>
      <c r="Z57" t="s">
        <v>3217</v>
      </c>
      <c r="AA57">
        <v>325</v>
      </c>
      <c r="AB57" s="31">
        <v>45604</v>
      </c>
      <c r="AC57" s="61">
        <v>0.72950231481481487</v>
      </c>
      <c r="AD57" t="s">
        <v>795</v>
      </c>
      <c r="AE57" s="31">
        <v>45929</v>
      </c>
      <c r="AF57" s="61">
        <v>0.70277777777777772</v>
      </c>
      <c r="AG57" t="s">
        <v>796</v>
      </c>
      <c r="AR57">
        <v>1</v>
      </c>
    </row>
    <row r="58" spans="1:44" x14ac:dyDescent="0.25">
      <c r="A58" t="s">
        <v>3217</v>
      </c>
      <c r="B58">
        <v>57</v>
      </c>
      <c r="C58">
        <v>129</v>
      </c>
      <c r="D58">
        <v>151</v>
      </c>
      <c r="G58" t="s">
        <v>679</v>
      </c>
      <c r="I58" t="s">
        <v>679</v>
      </c>
      <c r="J58" t="s">
        <v>679</v>
      </c>
      <c r="K58" t="s">
        <v>679</v>
      </c>
      <c r="L58">
        <v>1532634682</v>
      </c>
      <c r="N58" t="s">
        <v>3366</v>
      </c>
      <c r="P58" t="s">
        <v>778</v>
      </c>
      <c r="S58" t="s">
        <v>3221</v>
      </c>
      <c r="T58" t="s">
        <v>3222</v>
      </c>
      <c r="U58" t="s">
        <v>3223</v>
      </c>
      <c r="V58" t="s">
        <v>2692</v>
      </c>
      <c r="Z58" t="s">
        <v>3217</v>
      </c>
      <c r="AA58">
        <v>325</v>
      </c>
      <c r="AB58" s="31">
        <v>45604</v>
      </c>
      <c r="AC58" s="61">
        <v>0.72950231481481487</v>
      </c>
      <c r="AD58" t="s">
        <v>795</v>
      </c>
      <c r="AE58" s="31">
        <v>45929</v>
      </c>
      <c r="AF58" s="61">
        <v>0.70280092592592591</v>
      </c>
      <c r="AG58" t="s">
        <v>796</v>
      </c>
      <c r="AR58">
        <v>1</v>
      </c>
    </row>
    <row r="59" spans="1:44" x14ac:dyDescent="0.25">
      <c r="A59" t="s">
        <v>3217</v>
      </c>
      <c r="B59">
        <v>58</v>
      </c>
      <c r="C59">
        <v>130</v>
      </c>
      <c r="D59">
        <v>153</v>
      </c>
      <c r="G59" t="s">
        <v>141</v>
      </c>
      <c r="I59" t="s">
        <v>141</v>
      </c>
      <c r="J59" t="s">
        <v>141</v>
      </c>
      <c r="K59" t="s">
        <v>141</v>
      </c>
      <c r="L59">
        <v>11981928552</v>
      </c>
      <c r="N59" t="s">
        <v>3368</v>
      </c>
      <c r="P59" t="s">
        <v>778</v>
      </c>
      <c r="Q59" t="s">
        <v>923</v>
      </c>
      <c r="R59" t="s">
        <v>790</v>
      </c>
      <c r="S59" t="s">
        <v>3221</v>
      </c>
      <c r="T59" t="s">
        <v>3222</v>
      </c>
      <c r="U59" t="s">
        <v>3223</v>
      </c>
      <c r="V59" t="s">
        <v>2692</v>
      </c>
      <c r="Z59" t="s">
        <v>3217</v>
      </c>
      <c r="AA59">
        <v>325</v>
      </c>
      <c r="AB59" s="31">
        <v>45604</v>
      </c>
      <c r="AC59" s="61">
        <v>0.72950231481481487</v>
      </c>
      <c r="AD59" t="s">
        <v>795</v>
      </c>
      <c r="AE59" s="31">
        <v>45929</v>
      </c>
      <c r="AF59" s="61">
        <v>0.7028240740740741</v>
      </c>
      <c r="AG59" t="s">
        <v>796</v>
      </c>
      <c r="AR59">
        <v>1</v>
      </c>
    </row>
    <row r="60" spans="1:44" x14ac:dyDescent="0.25">
      <c r="A60" t="s">
        <v>3217</v>
      </c>
      <c r="B60">
        <v>59</v>
      </c>
      <c r="C60">
        <v>131</v>
      </c>
      <c r="D60">
        <v>155</v>
      </c>
      <c r="G60" t="s">
        <v>3369</v>
      </c>
      <c r="I60" t="s">
        <v>3369</v>
      </c>
      <c r="J60" t="s">
        <v>3369</v>
      </c>
      <c r="K60" t="s">
        <v>3369</v>
      </c>
      <c r="L60">
        <v>54996116346</v>
      </c>
      <c r="N60" t="s">
        <v>3371</v>
      </c>
      <c r="P60" t="s">
        <v>778</v>
      </c>
      <c r="Q60" t="s">
        <v>3372</v>
      </c>
      <c r="R60" t="s">
        <v>1027</v>
      </c>
      <c r="S60" t="s">
        <v>3221</v>
      </c>
      <c r="T60" t="s">
        <v>3222</v>
      </c>
      <c r="U60" t="s">
        <v>3223</v>
      </c>
      <c r="V60" t="s">
        <v>2692</v>
      </c>
      <c r="Z60" t="s">
        <v>3217</v>
      </c>
      <c r="AA60">
        <v>325</v>
      </c>
      <c r="AB60" s="31">
        <v>45604</v>
      </c>
      <c r="AC60" s="61">
        <v>0.72950231481481487</v>
      </c>
      <c r="AD60" t="s">
        <v>795</v>
      </c>
      <c r="AE60" s="31">
        <v>45929</v>
      </c>
      <c r="AF60" s="61">
        <v>0.70284722222222218</v>
      </c>
      <c r="AG60" t="s">
        <v>796</v>
      </c>
      <c r="AR60">
        <v>1</v>
      </c>
    </row>
    <row r="61" spans="1:44" x14ac:dyDescent="0.25">
      <c r="A61" t="s">
        <v>3217</v>
      </c>
      <c r="B61">
        <v>60</v>
      </c>
      <c r="C61">
        <v>132</v>
      </c>
      <c r="D61">
        <v>157</v>
      </c>
      <c r="G61" t="s">
        <v>3373</v>
      </c>
      <c r="I61" t="s">
        <v>3373</v>
      </c>
      <c r="J61" t="s">
        <v>3373</v>
      </c>
      <c r="K61" t="s">
        <v>3373</v>
      </c>
      <c r="L61">
        <v>11947096696</v>
      </c>
      <c r="N61" t="s">
        <v>3375</v>
      </c>
      <c r="P61" t="s">
        <v>778</v>
      </c>
      <c r="S61" t="s">
        <v>3221</v>
      </c>
      <c r="T61" t="s">
        <v>3222</v>
      </c>
      <c r="U61" t="s">
        <v>3223</v>
      </c>
      <c r="V61" t="s">
        <v>2692</v>
      </c>
      <c r="Z61" t="s">
        <v>3217</v>
      </c>
      <c r="AA61">
        <v>325</v>
      </c>
      <c r="AB61" s="31">
        <v>45604</v>
      </c>
      <c r="AC61" s="61">
        <v>0.72950231481481487</v>
      </c>
      <c r="AD61" t="s">
        <v>795</v>
      </c>
      <c r="AE61" s="31">
        <v>45929</v>
      </c>
      <c r="AF61" s="61">
        <v>0.70288194444444441</v>
      </c>
      <c r="AG61" t="s">
        <v>796</v>
      </c>
      <c r="AR61">
        <v>1</v>
      </c>
    </row>
    <row r="62" spans="1:44" x14ac:dyDescent="0.25">
      <c r="A62" t="s">
        <v>3217</v>
      </c>
      <c r="B62">
        <v>61</v>
      </c>
      <c r="C62">
        <v>133</v>
      </c>
      <c r="D62">
        <v>159</v>
      </c>
      <c r="G62" t="s">
        <v>625</v>
      </c>
      <c r="I62" t="s">
        <v>625</v>
      </c>
      <c r="J62" t="s">
        <v>625</v>
      </c>
      <c r="K62" t="s">
        <v>625</v>
      </c>
      <c r="L62">
        <v>1166117236</v>
      </c>
      <c r="N62" t="s">
        <v>2207</v>
      </c>
      <c r="P62" t="s">
        <v>778</v>
      </c>
      <c r="S62" t="s">
        <v>3221</v>
      </c>
      <c r="T62" t="s">
        <v>3222</v>
      </c>
      <c r="U62" t="s">
        <v>3223</v>
      </c>
      <c r="V62" t="s">
        <v>2692</v>
      </c>
      <c r="Z62" t="s">
        <v>3217</v>
      </c>
      <c r="AA62">
        <v>325</v>
      </c>
      <c r="AB62" s="31">
        <v>45604</v>
      </c>
      <c r="AC62" s="61">
        <v>0.72951388888888891</v>
      </c>
      <c r="AD62" t="s">
        <v>795</v>
      </c>
      <c r="AE62" s="31">
        <v>45929</v>
      </c>
      <c r="AF62" s="61">
        <v>0.70248842592592597</v>
      </c>
      <c r="AG62" t="s">
        <v>796</v>
      </c>
      <c r="AR62">
        <v>1</v>
      </c>
    </row>
    <row r="63" spans="1:44" x14ac:dyDescent="0.25">
      <c r="A63" t="s">
        <v>3217</v>
      </c>
      <c r="B63">
        <v>62</v>
      </c>
      <c r="C63">
        <v>134</v>
      </c>
      <c r="D63">
        <v>161</v>
      </c>
      <c r="G63" t="s">
        <v>3377</v>
      </c>
      <c r="I63" t="s">
        <v>3377</v>
      </c>
      <c r="J63" t="s">
        <v>3377</v>
      </c>
      <c r="K63" t="s">
        <v>3377</v>
      </c>
      <c r="L63">
        <v>11992475223</v>
      </c>
      <c r="N63" t="s">
        <v>3379</v>
      </c>
      <c r="P63" t="s">
        <v>778</v>
      </c>
      <c r="S63" t="s">
        <v>3221</v>
      </c>
      <c r="T63" t="s">
        <v>3222</v>
      </c>
      <c r="U63" t="s">
        <v>3223</v>
      </c>
      <c r="V63" t="s">
        <v>2692</v>
      </c>
      <c r="Z63" t="s">
        <v>3217</v>
      </c>
      <c r="AA63">
        <v>325</v>
      </c>
      <c r="AB63" s="31">
        <v>45604</v>
      </c>
      <c r="AC63" s="61">
        <v>0.72951388888888891</v>
      </c>
      <c r="AD63" t="s">
        <v>795</v>
      </c>
      <c r="AE63" s="31">
        <v>45929</v>
      </c>
      <c r="AF63" s="61">
        <v>0.7025231481481482</v>
      </c>
      <c r="AG63" t="s">
        <v>796</v>
      </c>
      <c r="AR63">
        <v>1</v>
      </c>
    </row>
    <row r="64" spans="1:44" x14ac:dyDescent="0.25">
      <c r="A64" t="s">
        <v>3217</v>
      </c>
      <c r="B64">
        <v>63</v>
      </c>
      <c r="C64">
        <v>135</v>
      </c>
      <c r="D64">
        <v>163</v>
      </c>
      <c r="G64" t="s">
        <v>229</v>
      </c>
      <c r="I64" t="s">
        <v>229</v>
      </c>
      <c r="J64" t="s">
        <v>229</v>
      </c>
      <c r="K64" t="s">
        <v>229</v>
      </c>
      <c r="L64">
        <v>43991563004</v>
      </c>
      <c r="N64" t="s">
        <v>3381</v>
      </c>
      <c r="P64" t="s">
        <v>778</v>
      </c>
      <c r="S64" t="s">
        <v>3221</v>
      </c>
      <c r="T64" t="s">
        <v>3222</v>
      </c>
      <c r="U64" t="s">
        <v>3223</v>
      </c>
      <c r="V64" t="s">
        <v>2692</v>
      </c>
      <c r="Z64" t="s">
        <v>3217</v>
      </c>
      <c r="AA64">
        <v>325</v>
      </c>
      <c r="AB64" s="31">
        <v>45604</v>
      </c>
      <c r="AC64" s="61">
        <v>0.72951388888888891</v>
      </c>
      <c r="AD64" t="s">
        <v>795</v>
      </c>
      <c r="AE64" s="31">
        <v>45929</v>
      </c>
      <c r="AF64" s="61">
        <v>0.70254629629629628</v>
      </c>
      <c r="AG64" t="s">
        <v>796</v>
      </c>
      <c r="AR64">
        <v>1</v>
      </c>
    </row>
    <row r="65" spans="1:44" x14ac:dyDescent="0.25">
      <c r="A65" t="s">
        <v>3217</v>
      </c>
      <c r="B65">
        <v>64</v>
      </c>
      <c r="C65">
        <v>136</v>
      </c>
      <c r="D65">
        <v>165</v>
      </c>
      <c r="G65" t="s">
        <v>3382</v>
      </c>
      <c r="I65" t="s">
        <v>3382</v>
      </c>
      <c r="J65" t="s">
        <v>3382</v>
      </c>
      <c r="K65" t="s">
        <v>3382</v>
      </c>
      <c r="L65">
        <v>19996232473</v>
      </c>
      <c r="N65" t="s">
        <v>3384</v>
      </c>
      <c r="P65" t="s">
        <v>778</v>
      </c>
      <c r="S65" t="s">
        <v>3221</v>
      </c>
      <c r="T65" t="s">
        <v>3222</v>
      </c>
      <c r="U65" t="s">
        <v>3223</v>
      </c>
      <c r="V65" t="s">
        <v>2692</v>
      </c>
      <c r="Z65" t="s">
        <v>3217</v>
      </c>
      <c r="AA65">
        <v>325</v>
      </c>
      <c r="AB65" s="31">
        <v>45604</v>
      </c>
      <c r="AC65" s="61">
        <v>0.72951388888888891</v>
      </c>
      <c r="AD65" t="s">
        <v>795</v>
      </c>
      <c r="AE65" s="31">
        <v>45929</v>
      </c>
      <c r="AF65" s="61">
        <v>0.70256944444444447</v>
      </c>
      <c r="AG65" t="s">
        <v>796</v>
      </c>
      <c r="AR65">
        <v>1</v>
      </c>
    </row>
    <row r="66" spans="1:44" x14ac:dyDescent="0.25">
      <c r="A66" t="s">
        <v>3217</v>
      </c>
      <c r="B66">
        <v>65</v>
      </c>
      <c r="C66">
        <v>137</v>
      </c>
      <c r="D66">
        <v>167</v>
      </c>
      <c r="G66" t="s">
        <v>116</v>
      </c>
      <c r="I66" t="s">
        <v>116</v>
      </c>
      <c r="J66" t="s">
        <v>116</v>
      </c>
      <c r="K66" t="s">
        <v>116</v>
      </c>
      <c r="L66">
        <v>2122247616</v>
      </c>
      <c r="N66" t="s">
        <v>3386</v>
      </c>
      <c r="P66" t="s">
        <v>778</v>
      </c>
      <c r="S66" t="s">
        <v>3221</v>
      </c>
      <c r="T66" t="s">
        <v>3222</v>
      </c>
      <c r="U66" t="s">
        <v>3223</v>
      </c>
      <c r="V66" t="s">
        <v>2692</v>
      </c>
      <c r="Z66" t="s">
        <v>3217</v>
      </c>
      <c r="AA66">
        <v>325</v>
      </c>
      <c r="AB66" s="31">
        <v>45604</v>
      </c>
      <c r="AC66" s="61">
        <v>0.72951388888888891</v>
      </c>
      <c r="AD66" t="s">
        <v>795</v>
      </c>
      <c r="AE66" s="31">
        <v>45929</v>
      </c>
      <c r="AF66" s="61">
        <v>0.70259259259259255</v>
      </c>
      <c r="AG66" t="s">
        <v>796</v>
      </c>
      <c r="AR66">
        <v>1</v>
      </c>
    </row>
    <row r="67" spans="1:44" x14ac:dyDescent="0.25">
      <c r="A67" t="s">
        <v>3217</v>
      </c>
      <c r="B67">
        <v>66</v>
      </c>
      <c r="C67">
        <v>138</v>
      </c>
      <c r="D67">
        <v>169</v>
      </c>
      <c r="G67" t="s">
        <v>3387</v>
      </c>
      <c r="I67" t="s">
        <v>3387</v>
      </c>
      <c r="J67" t="s">
        <v>3387</v>
      </c>
      <c r="K67" t="s">
        <v>3387</v>
      </c>
      <c r="L67">
        <v>11992794515</v>
      </c>
      <c r="N67" t="s">
        <v>3389</v>
      </c>
      <c r="P67" t="s">
        <v>778</v>
      </c>
      <c r="S67" t="s">
        <v>3221</v>
      </c>
      <c r="T67" t="s">
        <v>3222</v>
      </c>
      <c r="U67" t="s">
        <v>3223</v>
      </c>
      <c r="V67" t="s">
        <v>2692</v>
      </c>
      <c r="Z67" t="s">
        <v>3217</v>
      </c>
      <c r="AA67">
        <v>325</v>
      </c>
      <c r="AB67" s="31">
        <v>45604</v>
      </c>
      <c r="AC67" s="61">
        <v>0.72951388888888891</v>
      </c>
      <c r="AD67" t="s">
        <v>795</v>
      </c>
      <c r="AE67" s="31">
        <v>45929</v>
      </c>
      <c r="AF67" s="61">
        <v>0.70262731481481477</v>
      </c>
      <c r="AG67" t="s">
        <v>796</v>
      </c>
      <c r="AR67">
        <v>1</v>
      </c>
    </row>
    <row r="68" spans="1:44" x14ac:dyDescent="0.25">
      <c r="A68" t="s">
        <v>3217</v>
      </c>
      <c r="B68">
        <v>67</v>
      </c>
      <c r="C68">
        <v>139</v>
      </c>
      <c r="D68">
        <v>171</v>
      </c>
      <c r="G68" t="s">
        <v>3390</v>
      </c>
      <c r="I68" t="s">
        <v>3390</v>
      </c>
      <c r="J68" t="s">
        <v>3390</v>
      </c>
      <c r="K68" t="s">
        <v>3390</v>
      </c>
      <c r="L68">
        <v>1633347333</v>
      </c>
      <c r="N68" t="s">
        <v>2047</v>
      </c>
      <c r="P68" t="s">
        <v>778</v>
      </c>
      <c r="Q68" t="s">
        <v>3391</v>
      </c>
      <c r="S68" t="s">
        <v>3221</v>
      </c>
      <c r="T68" t="s">
        <v>3222</v>
      </c>
      <c r="U68" t="s">
        <v>3223</v>
      </c>
      <c r="V68" t="s">
        <v>2692</v>
      </c>
      <c r="Z68" t="s">
        <v>3217</v>
      </c>
      <c r="AA68">
        <v>325</v>
      </c>
      <c r="AB68" s="31">
        <v>45604</v>
      </c>
      <c r="AC68" s="61">
        <v>0.72951388888888891</v>
      </c>
      <c r="AD68" t="s">
        <v>795</v>
      </c>
      <c r="AE68" s="31">
        <v>45929</v>
      </c>
      <c r="AF68" s="61">
        <v>0.70265046296296296</v>
      </c>
      <c r="AG68" t="s">
        <v>796</v>
      </c>
      <c r="AR68">
        <v>1</v>
      </c>
    </row>
    <row r="69" spans="1:44" x14ac:dyDescent="0.25">
      <c r="A69" t="s">
        <v>3217</v>
      </c>
      <c r="B69">
        <v>68</v>
      </c>
      <c r="C69">
        <v>140</v>
      </c>
      <c r="D69">
        <v>173</v>
      </c>
      <c r="G69" t="s">
        <v>3392</v>
      </c>
      <c r="I69" t="s">
        <v>3392</v>
      </c>
      <c r="J69" t="s">
        <v>3392</v>
      </c>
      <c r="K69" t="s">
        <v>3392</v>
      </c>
      <c r="L69">
        <v>3591916927</v>
      </c>
      <c r="N69" t="s">
        <v>3394</v>
      </c>
      <c r="P69" t="s">
        <v>778</v>
      </c>
      <c r="S69" t="s">
        <v>3221</v>
      </c>
      <c r="T69" t="s">
        <v>3222</v>
      </c>
      <c r="U69" t="s">
        <v>3223</v>
      </c>
      <c r="V69" t="s">
        <v>2692</v>
      </c>
      <c r="Z69" t="s">
        <v>3217</v>
      </c>
      <c r="AA69">
        <v>325</v>
      </c>
      <c r="AB69" s="31">
        <v>45604</v>
      </c>
      <c r="AC69" s="61">
        <v>0.72951388888888891</v>
      </c>
      <c r="AD69" t="s">
        <v>795</v>
      </c>
      <c r="AE69" s="31">
        <v>45929</v>
      </c>
      <c r="AF69" s="61">
        <v>0.70267361111111115</v>
      </c>
      <c r="AG69" t="s">
        <v>796</v>
      </c>
      <c r="AR69">
        <v>1</v>
      </c>
    </row>
    <row r="70" spans="1:44" x14ac:dyDescent="0.25">
      <c r="A70" t="s">
        <v>3217</v>
      </c>
      <c r="B70">
        <v>69</v>
      </c>
      <c r="C70">
        <v>141</v>
      </c>
      <c r="D70">
        <v>175</v>
      </c>
      <c r="G70" t="s">
        <v>434</v>
      </c>
      <c r="I70" t="s">
        <v>434</v>
      </c>
      <c r="J70" t="s">
        <v>434</v>
      </c>
      <c r="K70" t="s">
        <v>434</v>
      </c>
      <c r="L70">
        <v>16997217323</v>
      </c>
      <c r="N70" t="s">
        <v>3396</v>
      </c>
      <c r="P70" t="s">
        <v>778</v>
      </c>
      <c r="S70" t="s">
        <v>3221</v>
      </c>
      <c r="T70" t="s">
        <v>3222</v>
      </c>
      <c r="U70" t="s">
        <v>3223</v>
      </c>
      <c r="V70" t="s">
        <v>2692</v>
      </c>
      <c r="Z70" t="s">
        <v>3217</v>
      </c>
      <c r="AA70">
        <v>325</v>
      </c>
      <c r="AB70" s="31">
        <v>45604</v>
      </c>
      <c r="AC70" s="61">
        <v>0.72951388888888891</v>
      </c>
      <c r="AD70" t="s">
        <v>795</v>
      </c>
      <c r="AE70" s="31">
        <v>45929</v>
      </c>
      <c r="AF70" s="61">
        <v>0.70270833333333338</v>
      </c>
      <c r="AG70" t="s">
        <v>796</v>
      </c>
      <c r="AR70">
        <v>1</v>
      </c>
    </row>
    <row r="71" spans="1:44" x14ac:dyDescent="0.25">
      <c r="A71" t="s">
        <v>3217</v>
      </c>
      <c r="B71">
        <v>70</v>
      </c>
      <c r="C71">
        <v>142</v>
      </c>
      <c r="D71">
        <v>177</v>
      </c>
      <c r="G71" t="s">
        <v>3397</v>
      </c>
      <c r="I71" t="s">
        <v>3397</v>
      </c>
      <c r="J71" t="s">
        <v>3397</v>
      </c>
      <c r="K71" t="s">
        <v>3397</v>
      </c>
      <c r="L71">
        <v>4138880050</v>
      </c>
      <c r="N71" t="s">
        <v>3399</v>
      </c>
      <c r="P71" t="s">
        <v>778</v>
      </c>
      <c r="Q71" t="s">
        <v>3400</v>
      </c>
      <c r="R71" t="s">
        <v>1699</v>
      </c>
      <c r="S71" t="s">
        <v>3221</v>
      </c>
      <c r="T71" t="s">
        <v>3222</v>
      </c>
      <c r="U71" t="s">
        <v>3223</v>
      </c>
      <c r="V71" t="s">
        <v>2692</v>
      </c>
      <c r="Z71" t="s">
        <v>3217</v>
      </c>
      <c r="AA71">
        <v>325</v>
      </c>
      <c r="AB71" s="31">
        <v>45604</v>
      </c>
      <c r="AC71" s="61">
        <v>0.72951388888888891</v>
      </c>
      <c r="AD71" t="s">
        <v>795</v>
      </c>
      <c r="AE71" s="31">
        <v>45929</v>
      </c>
      <c r="AF71" s="61">
        <v>0.70271990740740742</v>
      </c>
      <c r="AG71" t="s">
        <v>796</v>
      </c>
      <c r="AR71">
        <v>1</v>
      </c>
    </row>
    <row r="72" spans="1:44" x14ac:dyDescent="0.25">
      <c r="A72" t="s">
        <v>3217</v>
      </c>
      <c r="B72">
        <v>71</v>
      </c>
      <c r="C72">
        <v>143</v>
      </c>
      <c r="D72">
        <v>179</v>
      </c>
      <c r="G72" t="s">
        <v>689</v>
      </c>
      <c r="I72" t="s">
        <v>689</v>
      </c>
      <c r="J72" t="s">
        <v>689</v>
      </c>
      <c r="K72" t="s">
        <v>689</v>
      </c>
      <c r="L72">
        <v>119040304501</v>
      </c>
      <c r="N72" t="s">
        <v>3402</v>
      </c>
      <c r="P72" t="s">
        <v>778</v>
      </c>
      <c r="S72" t="s">
        <v>3221</v>
      </c>
      <c r="T72" t="s">
        <v>3222</v>
      </c>
      <c r="U72" t="s">
        <v>3223</v>
      </c>
      <c r="V72" t="s">
        <v>2692</v>
      </c>
      <c r="Z72" t="s">
        <v>3217</v>
      </c>
      <c r="AA72">
        <v>325</v>
      </c>
      <c r="AB72" s="31">
        <v>45604</v>
      </c>
      <c r="AC72" s="61">
        <v>0.72951388888888891</v>
      </c>
      <c r="AD72" t="s">
        <v>795</v>
      </c>
      <c r="AE72" s="31">
        <v>45929</v>
      </c>
      <c r="AF72" s="61">
        <v>0.70274305555555561</v>
      </c>
      <c r="AG72" t="s">
        <v>796</v>
      </c>
      <c r="AR72">
        <v>1</v>
      </c>
    </row>
    <row r="73" spans="1:44" x14ac:dyDescent="0.25">
      <c r="A73" t="s">
        <v>31</v>
      </c>
      <c r="B73">
        <v>72</v>
      </c>
      <c r="C73">
        <v>144</v>
      </c>
      <c r="D73">
        <v>521</v>
      </c>
      <c r="G73" t="s">
        <v>3403</v>
      </c>
      <c r="I73" t="s">
        <v>3404</v>
      </c>
      <c r="J73" t="s">
        <v>3405</v>
      </c>
      <c r="K73" t="s">
        <v>3405</v>
      </c>
      <c r="L73">
        <v>45991112008</v>
      </c>
      <c r="N73" t="s">
        <v>3407</v>
      </c>
      <c r="P73" t="s">
        <v>778</v>
      </c>
      <c r="T73" t="s">
        <v>3408</v>
      </c>
      <c r="U73" t="s">
        <v>319</v>
      </c>
      <c r="V73" t="s">
        <v>3409</v>
      </c>
      <c r="Z73" t="s">
        <v>22</v>
      </c>
      <c r="AA73">
        <v>142</v>
      </c>
      <c r="AB73" s="31">
        <v>45622</v>
      </c>
      <c r="AC73" s="61">
        <v>0.68312499999999998</v>
      </c>
      <c r="AD73" t="s">
        <v>795</v>
      </c>
      <c r="AE73" s="31">
        <v>45764</v>
      </c>
      <c r="AF73" s="61">
        <v>0.50594907407407408</v>
      </c>
      <c r="AG73" t="s">
        <v>934</v>
      </c>
      <c r="AI73" t="s">
        <v>3410</v>
      </c>
      <c r="AR73">
        <v>1</v>
      </c>
    </row>
    <row r="74" spans="1:44" x14ac:dyDescent="0.25">
      <c r="A74" t="s">
        <v>31</v>
      </c>
      <c r="B74">
        <v>73</v>
      </c>
      <c r="C74">
        <v>144</v>
      </c>
      <c r="D74">
        <v>521</v>
      </c>
      <c r="G74" t="s">
        <v>3411</v>
      </c>
      <c r="I74" t="s">
        <v>3404</v>
      </c>
      <c r="J74" t="s">
        <v>3405</v>
      </c>
      <c r="K74" t="s">
        <v>3405</v>
      </c>
      <c r="L74">
        <v>45991112008</v>
      </c>
      <c r="N74" t="s">
        <v>3407</v>
      </c>
      <c r="P74" t="s">
        <v>778</v>
      </c>
      <c r="T74" t="s">
        <v>3412</v>
      </c>
      <c r="U74" t="s">
        <v>319</v>
      </c>
      <c r="V74" t="s">
        <v>3409</v>
      </c>
      <c r="Z74" t="s">
        <v>22</v>
      </c>
      <c r="AA74">
        <v>142</v>
      </c>
      <c r="AB74" s="31">
        <v>45622</v>
      </c>
      <c r="AC74" s="61">
        <v>0.68312499999999998</v>
      </c>
      <c r="AD74" t="s">
        <v>795</v>
      </c>
      <c r="AE74" s="31">
        <v>45764</v>
      </c>
      <c r="AF74" s="61">
        <v>0.50575231481481486</v>
      </c>
      <c r="AG74" t="s">
        <v>934</v>
      </c>
      <c r="AI74" t="s">
        <v>945</v>
      </c>
      <c r="AR74">
        <v>1</v>
      </c>
    </row>
    <row r="75" spans="1:44" x14ac:dyDescent="0.25">
      <c r="A75" t="s">
        <v>31</v>
      </c>
      <c r="B75">
        <v>74</v>
      </c>
      <c r="C75">
        <v>97</v>
      </c>
      <c r="D75">
        <v>88</v>
      </c>
      <c r="G75" t="s">
        <v>3413</v>
      </c>
      <c r="H75">
        <v>22500484000170</v>
      </c>
      <c r="I75" t="s">
        <v>669</v>
      </c>
      <c r="J75" t="s">
        <v>3414</v>
      </c>
      <c r="K75" t="s">
        <v>3414</v>
      </c>
      <c r="L75">
        <v>11999765402</v>
      </c>
      <c r="N75" t="s">
        <v>3294</v>
      </c>
      <c r="P75" t="s">
        <v>778</v>
      </c>
      <c r="T75" t="s">
        <v>3416</v>
      </c>
      <c r="U75" t="s">
        <v>319</v>
      </c>
      <c r="V75" t="s">
        <v>3417</v>
      </c>
      <c r="Z75" t="s">
        <v>22</v>
      </c>
      <c r="AA75">
        <v>84</v>
      </c>
      <c r="AB75" s="31">
        <v>45622</v>
      </c>
      <c r="AC75" s="61">
        <v>0.68312499999999998</v>
      </c>
      <c r="AD75" t="s">
        <v>795</v>
      </c>
      <c r="AE75" s="31">
        <v>45706</v>
      </c>
      <c r="AF75" s="61">
        <v>0.72165509259259264</v>
      </c>
      <c r="AG75" t="s">
        <v>796</v>
      </c>
      <c r="AI75" t="s">
        <v>3418</v>
      </c>
      <c r="AR75">
        <v>1</v>
      </c>
    </row>
    <row r="76" spans="1:44" x14ac:dyDescent="0.25">
      <c r="A76" t="s">
        <v>31</v>
      </c>
      <c r="B76">
        <v>75</v>
      </c>
      <c r="C76">
        <v>145</v>
      </c>
      <c r="D76">
        <v>525</v>
      </c>
      <c r="G76" t="s">
        <v>3419</v>
      </c>
      <c r="H76">
        <v>774215000160</v>
      </c>
      <c r="I76" t="s">
        <v>3420</v>
      </c>
      <c r="J76" t="s">
        <v>2927</v>
      </c>
      <c r="K76" t="s">
        <v>2927</v>
      </c>
      <c r="L76">
        <v>54981182828</v>
      </c>
      <c r="N76" t="s">
        <v>3422</v>
      </c>
      <c r="P76" t="s">
        <v>778</v>
      </c>
      <c r="T76" t="s">
        <v>3423</v>
      </c>
      <c r="U76" t="s">
        <v>319</v>
      </c>
      <c r="V76" t="s">
        <v>3417</v>
      </c>
      <c r="Z76" t="s">
        <v>22</v>
      </c>
      <c r="AA76">
        <v>15</v>
      </c>
      <c r="AB76" s="31">
        <v>45622</v>
      </c>
      <c r="AC76" s="61">
        <v>0.68312499999999998</v>
      </c>
      <c r="AD76" t="s">
        <v>795</v>
      </c>
      <c r="AE76" s="31">
        <v>45637</v>
      </c>
      <c r="AF76" s="61">
        <v>0.41211805555555547</v>
      </c>
      <c r="AG76" t="s">
        <v>974</v>
      </c>
      <c r="AI76" t="s">
        <v>947</v>
      </c>
      <c r="AR76">
        <v>1</v>
      </c>
    </row>
    <row r="77" spans="1:44" x14ac:dyDescent="0.25">
      <c r="A77" t="s">
        <v>31</v>
      </c>
      <c r="B77">
        <v>76</v>
      </c>
      <c r="C77">
        <v>146</v>
      </c>
      <c r="D77">
        <v>527</v>
      </c>
      <c r="G77" t="s">
        <v>3424</v>
      </c>
      <c r="I77" t="s">
        <v>3425</v>
      </c>
      <c r="J77" t="s">
        <v>3426</v>
      </c>
      <c r="K77" t="s">
        <v>3426</v>
      </c>
      <c r="L77">
        <v>19997080357</v>
      </c>
      <c r="N77" t="s">
        <v>3428</v>
      </c>
      <c r="P77" t="s">
        <v>778</v>
      </c>
      <c r="T77" t="s">
        <v>3408</v>
      </c>
      <c r="U77" t="s">
        <v>319</v>
      </c>
      <c r="V77" t="s">
        <v>3409</v>
      </c>
      <c r="Z77" t="s">
        <v>22</v>
      </c>
      <c r="AA77">
        <v>182</v>
      </c>
      <c r="AB77" s="31">
        <v>45622</v>
      </c>
      <c r="AC77" s="61">
        <v>0.68312499999999998</v>
      </c>
      <c r="AD77" t="s">
        <v>795</v>
      </c>
      <c r="AE77" s="31">
        <v>45804</v>
      </c>
      <c r="AF77" s="61">
        <v>0.79173611111111108</v>
      </c>
      <c r="AG77" t="s">
        <v>796</v>
      </c>
      <c r="AI77" t="s">
        <v>946</v>
      </c>
      <c r="AR77">
        <v>1</v>
      </c>
    </row>
    <row r="78" spans="1:44" x14ac:dyDescent="0.25">
      <c r="A78" t="s">
        <v>31</v>
      </c>
      <c r="B78">
        <v>77</v>
      </c>
      <c r="C78">
        <v>147</v>
      </c>
      <c r="D78">
        <v>848</v>
      </c>
      <c r="G78" t="s">
        <v>3429</v>
      </c>
      <c r="H78">
        <v>7964558000136</v>
      </c>
      <c r="I78" t="s">
        <v>3430</v>
      </c>
      <c r="J78" t="s">
        <v>3431</v>
      </c>
      <c r="K78" t="s">
        <v>3431</v>
      </c>
      <c r="L78" t="s">
        <v>3432</v>
      </c>
      <c r="N78" t="s">
        <v>3433</v>
      </c>
      <c r="P78" t="s">
        <v>778</v>
      </c>
      <c r="T78" t="s">
        <v>984</v>
      </c>
      <c r="U78" t="s">
        <v>319</v>
      </c>
      <c r="V78" t="s">
        <v>816</v>
      </c>
      <c r="X78">
        <v>4240</v>
      </c>
      <c r="Z78" t="s">
        <v>22</v>
      </c>
      <c r="AA78">
        <v>41</v>
      </c>
      <c r="AB78" s="31">
        <v>45622</v>
      </c>
      <c r="AC78" s="61">
        <v>0.68313657407407402</v>
      </c>
      <c r="AD78" t="s">
        <v>818</v>
      </c>
      <c r="AE78" s="31">
        <v>45663</v>
      </c>
      <c r="AF78" s="61">
        <v>0.61962962962962964</v>
      </c>
      <c r="AI78" t="s">
        <v>888</v>
      </c>
      <c r="AR78">
        <v>1</v>
      </c>
    </row>
    <row r="79" spans="1:44" x14ac:dyDescent="0.25">
      <c r="A79" t="s">
        <v>31</v>
      </c>
      <c r="B79">
        <v>80</v>
      </c>
      <c r="C79">
        <v>150</v>
      </c>
      <c r="D79">
        <v>535</v>
      </c>
      <c r="G79" t="s">
        <v>3434</v>
      </c>
      <c r="H79">
        <v>32258848000101</v>
      </c>
      <c r="I79" t="s">
        <v>3435</v>
      </c>
      <c r="J79" t="s">
        <v>1540</v>
      </c>
      <c r="K79" t="s">
        <v>1540</v>
      </c>
      <c r="L79">
        <v>16997672684</v>
      </c>
      <c r="N79" t="s">
        <v>3437</v>
      </c>
      <c r="P79" t="s">
        <v>778</v>
      </c>
      <c r="T79" t="s">
        <v>3408</v>
      </c>
      <c r="U79" t="s">
        <v>319</v>
      </c>
      <c r="V79" t="s">
        <v>3417</v>
      </c>
      <c r="Z79" t="s">
        <v>22</v>
      </c>
      <c r="AA79">
        <v>121</v>
      </c>
      <c r="AB79" s="31">
        <v>45622</v>
      </c>
      <c r="AC79" s="61">
        <v>0.68313657407407402</v>
      </c>
      <c r="AD79" t="s">
        <v>795</v>
      </c>
      <c r="AE79" s="31">
        <v>45743</v>
      </c>
      <c r="AF79" s="61">
        <v>0.35857638888888888</v>
      </c>
      <c r="AG79" t="s">
        <v>796</v>
      </c>
      <c r="AI79" t="s">
        <v>957</v>
      </c>
      <c r="AJ79" t="s">
        <v>1364</v>
      </c>
      <c r="AR79">
        <v>1</v>
      </c>
    </row>
    <row r="80" spans="1:44" x14ac:dyDescent="0.25">
      <c r="A80" t="s">
        <v>31</v>
      </c>
      <c r="B80">
        <v>81</v>
      </c>
      <c r="C80">
        <v>151</v>
      </c>
      <c r="D80">
        <v>537</v>
      </c>
      <c r="G80" t="s">
        <v>3438</v>
      </c>
      <c r="I80" t="s">
        <v>3439</v>
      </c>
      <c r="J80" t="s">
        <v>3440</v>
      </c>
      <c r="K80" t="s">
        <v>3440</v>
      </c>
      <c r="L80">
        <v>16997217323</v>
      </c>
      <c r="N80" t="s">
        <v>3441</v>
      </c>
      <c r="P80" t="s">
        <v>778</v>
      </c>
      <c r="T80" t="s">
        <v>3442</v>
      </c>
      <c r="U80" t="s">
        <v>319</v>
      </c>
      <c r="V80" t="s">
        <v>816</v>
      </c>
      <c r="Z80" t="s">
        <v>22</v>
      </c>
      <c r="AA80">
        <v>73</v>
      </c>
      <c r="AB80" s="31">
        <v>45622</v>
      </c>
      <c r="AC80" s="61">
        <v>0.68313657407407402</v>
      </c>
      <c r="AD80" t="s">
        <v>795</v>
      </c>
      <c r="AE80" s="31">
        <v>45695</v>
      </c>
      <c r="AF80" s="61">
        <v>0.65645833333333337</v>
      </c>
      <c r="AG80" t="s">
        <v>796</v>
      </c>
      <c r="AI80" t="s">
        <v>3443</v>
      </c>
      <c r="AR80">
        <v>1</v>
      </c>
    </row>
    <row r="81" spans="1:44" x14ac:dyDescent="0.25">
      <c r="A81" t="s">
        <v>31</v>
      </c>
      <c r="B81">
        <v>82</v>
      </c>
      <c r="C81">
        <v>152</v>
      </c>
      <c r="D81">
        <v>539</v>
      </c>
      <c r="G81" t="s">
        <v>3444</v>
      </c>
      <c r="I81" t="s">
        <v>3445</v>
      </c>
      <c r="J81" t="s">
        <v>3446</v>
      </c>
      <c r="K81" t="s">
        <v>3446</v>
      </c>
      <c r="L81">
        <v>19991001216</v>
      </c>
      <c r="N81" t="s">
        <v>3448</v>
      </c>
      <c r="P81" t="s">
        <v>778</v>
      </c>
      <c r="T81" t="s">
        <v>3408</v>
      </c>
      <c r="U81" t="s">
        <v>319</v>
      </c>
      <c r="V81" t="s">
        <v>3417</v>
      </c>
      <c r="Z81" t="s">
        <v>22</v>
      </c>
      <c r="AA81">
        <v>121</v>
      </c>
      <c r="AB81" s="31">
        <v>45622</v>
      </c>
      <c r="AC81" s="61">
        <v>0.68313657407407402</v>
      </c>
      <c r="AD81" t="s">
        <v>795</v>
      </c>
      <c r="AE81" s="31">
        <v>45743</v>
      </c>
      <c r="AF81" s="61">
        <v>0.35847222222222219</v>
      </c>
      <c r="AG81" t="s">
        <v>796</v>
      </c>
      <c r="AI81" t="s">
        <v>3449</v>
      </c>
      <c r="AR81">
        <v>1</v>
      </c>
    </row>
    <row r="82" spans="1:44" x14ac:dyDescent="0.25">
      <c r="A82" t="s">
        <v>31</v>
      </c>
      <c r="B82">
        <v>83</v>
      </c>
      <c r="C82">
        <v>153</v>
      </c>
      <c r="D82">
        <v>541</v>
      </c>
      <c r="G82" t="s">
        <v>3450</v>
      </c>
      <c r="I82" t="s">
        <v>3451</v>
      </c>
      <c r="J82" t="s">
        <v>3452</v>
      </c>
      <c r="K82" t="s">
        <v>3452</v>
      </c>
      <c r="L82">
        <v>11999797484</v>
      </c>
      <c r="N82" t="s">
        <v>3454</v>
      </c>
      <c r="P82" t="s">
        <v>778</v>
      </c>
      <c r="T82" t="s">
        <v>984</v>
      </c>
      <c r="U82" t="s">
        <v>319</v>
      </c>
      <c r="V82" t="s">
        <v>3409</v>
      </c>
      <c r="Z82" t="s">
        <v>22</v>
      </c>
      <c r="AA82">
        <v>45</v>
      </c>
      <c r="AB82" s="31">
        <v>45622</v>
      </c>
      <c r="AC82" s="61">
        <v>0.68313657407407402</v>
      </c>
      <c r="AD82" t="s">
        <v>795</v>
      </c>
      <c r="AE82" s="31">
        <v>45667</v>
      </c>
      <c r="AF82" s="61">
        <v>0.63896990740740744</v>
      </c>
      <c r="AG82" t="s">
        <v>934</v>
      </c>
      <c r="AI82" t="s">
        <v>1021</v>
      </c>
      <c r="AR82">
        <v>1</v>
      </c>
    </row>
    <row r="83" spans="1:44" x14ac:dyDescent="0.25">
      <c r="A83" t="s">
        <v>31</v>
      </c>
      <c r="B83">
        <v>84</v>
      </c>
      <c r="C83">
        <v>154</v>
      </c>
      <c r="D83">
        <v>543</v>
      </c>
      <c r="G83" t="s">
        <v>3455</v>
      </c>
      <c r="H83">
        <v>790751000159</v>
      </c>
      <c r="I83" t="s">
        <v>3456</v>
      </c>
      <c r="J83" t="s">
        <v>3457</v>
      </c>
      <c r="K83" t="s">
        <v>3457</v>
      </c>
      <c r="L83">
        <v>11981525627</v>
      </c>
      <c r="N83" t="s">
        <v>3459</v>
      </c>
      <c r="P83" t="s">
        <v>778</v>
      </c>
      <c r="T83" t="s">
        <v>3460</v>
      </c>
      <c r="U83" t="s">
        <v>319</v>
      </c>
      <c r="V83" t="s">
        <v>3417</v>
      </c>
      <c r="W83" t="s">
        <v>817</v>
      </c>
      <c r="X83">
        <v>169128</v>
      </c>
      <c r="Y83">
        <v>7128</v>
      </c>
      <c r="Z83" t="s">
        <v>22</v>
      </c>
      <c r="AA83">
        <v>104</v>
      </c>
      <c r="AB83" s="31">
        <v>45622</v>
      </c>
      <c r="AC83" s="61">
        <v>0.68313657407407402</v>
      </c>
      <c r="AD83" t="s">
        <v>795</v>
      </c>
      <c r="AE83" s="31">
        <v>45726</v>
      </c>
      <c r="AF83" s="61">
        <v>0.42429398148148151</v>
      </c>
      <c r="AG83" t="s">
        <v>796</v>
      </c>
      <c r="AI83" t="s">
        <v>829</v>
      </c>
      <c r="AJ83" t="s">
        <v>3461</v>
      </c>
      <c r="AR83">
        <v>1</v>
      </c>
    </row>
    <row r="84" spans="1:44" x14ac:dyDescent="0.25">
      <c r="A84" t="s">
        <v>31</v>
      </c>
      <c r="B84">
        <v>117</v>
      </c>
      <c r="C84">
        <v>147</v>
      </c>
      <c r="D84">
        <v>848</v>
      </c>
      <c r="G84" t="s">
        <v>3462</v>
      </c>
      <c r="H84">
        <v>7964558000136</v>
      </c>
      <c r="I84" t="s">
        <v>3430</v>
      </c>
      <c r="J84" t="s">
        <v>3431</v>
      </c>
      <c r="K84" t="s">
        <v>3431</v>
      </c>
      <c r="L84" t="s">
        <v>3432</v>
      </c>
      <c r="N84" t="s">
        <v>3433</v>
      </c>
      <c r="P84" t="s">
        <v>778</v>
      </c>
      <c r="U84" t="s">
        <v>319</v>
      </c>
      <c r="V84" t="s">
        <v>3417</v>
      </c>
      <c r="AA84">
        <v>8</v>
      </c>
      <c r="AB84" s="31">
        <v>45629</v>
      </c>
      <c r="AC84" s="61">
        <v>0.68774305555555559</v>
      </c>
      <c r="AD84" t="s">
        <v>795</v>
      </c>
      <c r="AE84" s="31">
        <v>45637</v>
      </c>
      <c r="AF84" s="61">
        <v>0.41108796296296302</v>
      </c>
      <c r="AG84" t="s">
        <v>3463</v>
      </c>
      <c r="AI84" t="s">
        <v>829</v>
      </c>
      <c r="AJ84" t="s">
        <v>829</v>
      </c>
      <c r="AR84">
        <v>1</v>
      </c>
    </row>
    <row r="85" spans="1:44" x14ac:dyDescent="0.25">
      <c r="A85" t="s">
        <v>31</v>
      </c>
      <c r="B85">
        <v>120</v>
      </c>
      <c r="C85">
        <v>169</v>
      </c>
      <c r="D85">
        <v>853</v>
      </c>
      <c r="G85" t="s">
        <v>3464</v>
      </c>
      <c r="H85">
        <v>11458315000101</v>
      </c>
      <c r="I85" t="s">
        <v>3465</v>
      </c>
      <c r="J85" t="s">
        <v>3466</v>
      </c>
      <c r="K85" t="s">
        <v>3466</v>
      </c>
      <c r="L85" t="s">
        <v>3467</v>
      </c>
      <c r="N85" t="s">
        <v>3468</v>
      </c>
      <c r="P85" t="s">
        <v>3469</v>
      </c>
      <c r="Q85" t="s">
        <v>3470</v>
      </c>
      <c r="R85" t="s">
        <v>790</v>
      </c>
      <c r="T85" t="s">
        <v>3460</v>
      </c>
      <c r="U85" t="s">
        <v>319</v>
      </c>
      <c r="V85" t="s">
        <v>816</v>
      </c>
      <c r="X85">
        <v>66375</v>
      </c>
      <c r="Y85">
        <v>0</v>
      </c>
      <c r="AA85">
        <v>147</v>
      </c>
      <c r="AB85" s="31">
        <v>45630</v>
      </c>
      <c r="AC85" s="61">
        <v>0.50695601851851857</v>
      </c>
      <c r="AD85" t="s">
        <v>818</v>
      </c>
      <c r="AE85" s="31">
        <v>45777</v>
      </c>
      <c r="AF85" s="61">
        <v>0.66732638888888884</v>
      </c>
      <c r="AI85" t="s">
        <v>1584</v>
      </c>
      <c r="AR85">
        <v>1</v>
      </c>
    </row>
    <row r="86" spans="1:44" x14ac:dyDescent="0.25">
      <c r="A86" t="s">
        <v>31</v>
      </c>
      <c r="B86">
        <v>121</v>
      </c>
      <c r="C86">
        <v>113</v>
      </c>
      <c r="D86">
        <v>854</v>
      </c>
      <c r="G86" t="s">
        <v>3471</v>
      </c>
      <c r="I86" t="s">
        <v>65</v>
      </c>
      <c r="J86" t="s">
        <v>1252</v>
      </c>
      <c r="K86" t="s">
        <v>1252</v>
      </c>
      <c r="L86" t="s">
        <v>3472</v>
      </c>
      <c r="N86" t="s">
        <v>3329</v>
      </c>
      <c r="P86" t="s">
        <v>778</v>
      </c>
      <c r="U86" t="s">
        <v>319</v>
      </c>
      <c r="V86" t="s">
        <v>816</v>
      </c>
      <c r="X86">
        <v>3564</v>
      </c>
      <c r="AA86">
        <v>0</v>
      </c>
      <c r="AB86" s="31">
        <v>45630</v>
      </c>
      <c r="AC86" s="61">
        <v>0.51474537037037038</v>
      </c>
      <c r="AD86" t="s">
        <v>818</v>
      </c>
      <c r="AE86" s="31">
        <v>45630</v>
      </c>
      <c r="AF86" s="61">
        <v>0.65880787037037036</v>
      </c>
      <c r="AI86" t="s">
        <v>821</v>
      </c>
      <c r="AJ86" t="s">
        <v>829</v>
      </c>
      <c r="AR86">
        <v>1</v>
      </c>
    </row>
    <row r="87" spans="1:44" x14ac:dyDescent="0.25">
      <c r="A87" t="s">
        <v>31</v>
      </c>
      <c r="B87">
        <v>123</v>
      </c>
      <c r="C87">
        <v>169</v>
      </c>
      <c r="D87">
        <v>852</v>
      </c>
      <c r="G87" t="s">
        <v>3473</v>
      </c>
      <c r="H87">
        <v>11458315000101</v>
      </c>
      <c r="I87" t="s">
        <v>3465</v>
      </c>
      <c r="J87" t="s">
        <v>3474</v>
      </c>
      <c r="K87" t="s">
        <v>3474</v>
      </c>
      <c r="L87">
        <v>19974085011</v>
      </c>
      <c r="N87" t="s">
        <v>3468</v>
      </c>
      <c r="P87" t="s">
        <v>3469</v>
      </c>
      <c r="Q87" t="s">
        <v>3470</v>
      </c>
      <c r="R87" t="s">
        <v>790</v>
      </c>
      <c r="U87" t="s">
        <v>319</v>
      </c>
      <c r="V87" t="s">
        <v>3417</v>
      </c>
      <c r="AA87">
        <v>6</v>
      </c>
      <c r="AB87" s="31">
        <v>45631</v>
      </c>
      <c r="AC87" s="61">
        <v>0.45709490740740738</v>
      </c>
      <c r="AD87" t="s">
        <v>795</v>
      </c>
      <c r="AE87" s="31">
        <v>45637</v>
      </c>
      <c r="AF87" s="61">
        <v>0.61721064814814819</v>
      </c>
      <c r="AG87" t="s">
        <v>3463</v>
      </c>
      <c r="AI87" t="s">
        <v>1019</v>
      </c>
      <c r="AJ87" t="s">
        <v>1019</v>
      </c>
      <c r="AR87">
        <v>1</v>
      </c>
    </row>
    <row r="88" spans="1:44" x14ac:dyDescent="0.25">
      <c r="A88" t="s">
        <v>31</v>
      </c>
      <c r="B88">
        <v>124</v>
      </c>
      <c r="C88">
        <v>108</v>
      </c>
      <c r="D88">
        <v>109</v>
      </c>
      <c r="G88" t="s">
        <v>3476</v>
      </c>
      <c r="I88" t="s">
        <v>3321</v>
      </c>
      <c r="J88" t="s">
        <v>3321</v>
      </c>
      <c r="K88" t="s">
        <v>3321</v>
      </c>
      <c r="N88" t="s">
        <v>3322</v>
      </c>
      <c r="P88" t="s">
        <v>778</v>
      </c>
      <c r="U88" t="s">
        <v>319</v>
      </c>
      <c r="V88" t="s">
        <v>3417</v>
      </c>
      <c r="X88">
        <v>7140</v>
      </c>
      <c r="Y88">
        <v>0</v>
      </c>
      <c r="AA88">
        <v>105</v>
      </c>
      <c r="AB88" s="31">
        <v>45631</v>
      </c>
      <c r="AC88" s="61">
        <v>0.6162037037037037</v>
      </c>
      <c r="AD88" t="s">
        <v>795</v>
      </c>
      <c r="AE88" s="31">
        <v>45736</v>
      </c>
      <c r="AF88" s="61">
        <v>0.41983796296296289</v>
      </c>
      <c r="AG88" t="s">
        <v>3463</v>
      </c>
      <c r="AI88" t="s">
        <v>1020</v>
      </c>
      <c r="AR88">
        <v>1</v>
      </c>
    </row>
    <row r="89" spans="1:44" x14ac:dyDescent="0.25">
      <c r="A89" t="s">
        <v>31</v>
      </c>
      <c r="B89">
        <v>126</v>
      </c>
      <c r="C89">
        <v>170</v>
      </c>
      <c r="D89">
        <v>864</v>
      </c>
      <c r="G89" t="s">
        <v>496</v>
      </c>
      <c r="H89">
        <v>4150555001304</v>
      </c>
      <c r="I89" t="s">
        <v>3477</v>
      </c>
      <c r="J89" t="s">
        <v>3478</v>
      </c>
      <c r="K89" t="s">
        <v>3478</v>
      </c>
      <c r="L89" t="s">
        <v>3479</v>
      </c>
      <c r="N89" t="s">
        <v>3480</v>
      </c>
      <c r="P89" t="s">
        <v>3481</v>
      </c>
      <c r="Q89" t="s">
        <v>3482</v>
      </c>
      <c r="R89" t="s">
        <v>1699</v>
      </c>
      <c r="U89" t="s">
        <v>319</v>
      </c>
      <c r="V89" t="s">
        <v>816</v>
      </c>
      <c r="X89">
        <v>7128</v>
      </c>
      <c r="AA89">
        <v>2</v>
      </c>
      <c r="AB89" s="31">
        <v>45635</v>
      </c>
      <c r="AC89" s="61">
        <v>0.50931712962962961</v>
      </c>
      <c r="AD89" t="s">
        <v>818</v>
      </c>
      <c r="AE89" s="31">
        <v>45637</v>
      </c>
      <c r="AF89" s="61">
        <v>0.61657407407407405</v>
      </c>
      <c r="AI89" t="s">
        <v>841</v>
      </c>
      <c r="AJ89" t="s">
        <v>1011</v>
      </c>
      <c r="AR89">
        <v>1</v>
      </c>
    </row>
    <row r="90" spans="1:44" x14ac:dyDescent="0.25">
      <c r="A90" t="s">
        <v>31</v>
      </c>
      <c r="B90">
        <v>128</v>
      </c>
      <c r="C90">
        <v>171</v>
      </c>
      <c r="D90">
        <v>983</v>
      </c>
      <c r="G90" t="s">
        <v>3483</v>
      </c>
      <c r="H90">
        <v>39955762000187</v>
      </c>
      <c r="I90" t="s">
        <v>3484</v>
      </c>
      <c r="J90" t="s">
        <v>3485</v>
      </c>
      <c r="K90" t="s">
        <v>3485</v>
      </c>
      <c r="L90" t="s">
        <v>3486</v>
      </c>
      <c r="N90" t="s">
        <v>3487</v>
      </c>
      <c r="P90" t="s">
        <v>3488</v>
      </c>
      <c r="Q90" t="s">
        <v>1094</v>
      </c>
      <c r="R90" t="s">
        <v>790</v>
      </c>
      <c r="U90" t="s">
        <v>319</v>
      </c>
      <c r="V90" t="s">
        <v>816</v>
      </c>
      <c r="AA90">
        <v>2</v>
      </c>
      <c r="AB90" s="31">
        <v>45636</v>
      </c>
      <c r="AC90" s="61">
        <v>0.46460648148148148</v>
      </c>
      <c r="AD90" t="s">
        <v>818</v>
      </c>
      <c r="AE90" s="31">
        <v>45638</v>
      </c>
      <c r="AF90" s="61">
        <v>0.4626736111111111</v>
      </c>
      <c r="AI90" t="s">
        <v>1020</v>
      </c>
      <c r="AJ90" t="s">
        <v>821</v>
      </c>
      <c r="AR90">
        <v>1</v>
      </c>
    </row>
    <row r="91" spans="1:44" x14ac:dyDescent="0.25">
      <c r="A91" t="s">
        <v>31</v>
      </c>
      <c r="B91">
        <v>129</v>
      </c>
      <c r="C91">
        <v>93</v>
      </c>
      <c r="D91">
        <v>986</v>
      </c>
      <c r="G91" t="s">
        <v>3489</v>
      </c>
      <c r="I91" t="s">
        <v>3285</v>
      </c>
      <c r="J91" t="s">
        <v>3490</v>
      </c>
      <c r="K91" t="s">
        <v>3490</v>
      </c>
      <c r="L91" t="s">
        <v>3491</v>
      </c>
      <c r="N91" t="s">
        <v>3286</v>
      </c>
      <c r="P91" t="s">
        <v>778</v>
      </c>
      <c r="U91" t="s">
        <v>319</v>
      </c>
      <c r="V91" t="s">
        <v>781</v>
      </c>
      <c r="W91" t="s">
        <v>817</v>
      </c>
      <c r="X91">
        <v>0</v>
      </c>
      <c r="Y91">
        <v>0</v>
      </c>
      <c r="AA91">
        <v>49</v>
      </c>
      <c r="AB91" s="31">
        <v>45637</v>
      </c>
      <c r="AC91" s="61">
        <v>0.61811342592592589</v>
      </c>
      <c r="AD91" t="s">
        <v>795</v>
      </c>
      <c r="AE91" s="31">
        <v>45686</v>
      </c>
      <c r="AF91" s="61">
        <v>0.72059027777777773</v>
      </c>
      <c r="AG91" t="s">
        <v>796</v>
      </c>
      <c r="AI91" t="s">
        <v>1003</v>
      </c>
      <c r="AJ91" t="s">
        <v>3492</v>
      </c>
      <c r="AR91">
        <v>1</v>
      </c>
    </row>
    <row r="92" spans="1:44" x14ac:dyDescent="0.25">
      <c r="A92" t="s">
        <v>31</v>
      </c>
      <c r="B92">
        <v>132</v>
      </c>
      <c r="C92">
        <v>150</v>
      </c>
      <c r="D92">
        <v>991</v>
      </c>
      <c r="G92" t="s">
        <v>3435</v>
      </c>
      <c r="H92">
        <v>32258848000101</v>
      </c>
      <c r="I92" t="s">
        <v>3435</v>
      </c>
      <c r="J92" t="s">
        <v>1540</v>
      </c>
      <c r="K92" t="s">
        <v>1540</v>
      </c>
      <c r="L92" t="s">
        <v>3493</v>
      </c>
      <c r="N92" t="s">
        <v>3437</v>
      </c>
      <c r="P92" t="s">
        <v>778</v>
      </c>
      <c r="U92" t="s">
        <v>319</v>
      </c>
      <c r="V92" t="s">
        <v>781</v>
      </c>
      <c r="AA92">
        <v>48</v>
      </c>
      <c r="AB92" s="31">
        <v>45638</v>
      </c>
      <c r="AC92" s="61">
        <v>0.50313657407407408</v>
      </c>
      <c r="AD92" t="s">
        <v>795</v>
      </c>
      <c r="AE92" s="31">
        <v>45686</v>
      </c>
      <c r="AF92" s="61">
        <v>0.72013888888888888</v>
      </c>
      <c r="AG92" t="s">
        <v>796</v>
      </c>
      <c r="AI92" t="s">
        <v>924</v>
      </c>
      <c r="AR92">
        <v>1</v>
      </c>
    </row>
    <row r="93" spans="1:44" x14ac:dyDescent="0.25">
      <c r="A93" t="s">
        <v>31</v>
      </c>
      <c r="B93">
        <v>133</v>
      </c>
      <c r="C93">
        <v>173</v>
      </c>
      <c r="D93">
        <v>993</v>
      </c>
      <c r="G93" t="s">
        <v>3494</v>
      </c>
      <c r="H93">
        <v>27914031000104</v>
      </c>
      <c r="I93" t="s">
        <v>3495</v>
      </c>
      <c r="J93" t="s">
        <v>3496</v>
      </c>
      <c r="K93" t="s">
        <v>3496</v>
      </c>
      <c r="L93" t="s">
        <v>3497</v>
      </c>
      <c r="N93" t="s">
        <v>3498</v>
      </c>
      <c r="P93" t="s">
        <v>3499</v>
      </c>
      <c r="Q93" t="s">
        <v>2489</v>
      </c>
      <c r="R93" t="s">
        <v>790</v>
      </c>
      <c r="U93" t="s">
        <v>319</v>
      </c>
      <c r="V93" t="s">
        <v>816</v>
      </c>
      <c r="X93">
        <v>324648</v>
      </c>
      <c r="Y93">
        <v>57024</v>
      </c>
      <c r="AA93">
        <v>67</v>
      </c>
      <c r="AB93" s="31">
        <v>45638</v>
      </c>
      <c r="AC93" s="61">
        <v>0.67980324074074072</v>
      </c>
      <c r="AD93" t="s">
        <v>818</v>
      </c>
      <c r="AE93" s="31">
        <v>45705</v>
      </c>
      <c r="AF93" s="61">
        <v>0.39378472222222222</v>
      </c>
      <c r="AI93" t="s">
        <v>830</v>
      </c>
      <c r="AJ93" t="s">
        <v>1059</v>
      </c>
      <c r="AR93">
        <v>1</v>
      </c>
    </row>
    <row r="94" spans="1:44" x14ac:dyDescent="0.25">
      <c r="A94" t="s">
        <v>31</v>
      </c>
      <c r="B94">
        <v>134</v>
      </c>
      <c r="C94">
        <v>172</v>
      </c>
      <c r="D94">
        <v>994</v>
      </c>
      <c r="G94" t="s">
        <v>3500</v>
      </c>
      <c r="H94">
        <v>33561753000125</v>
      </c>
      <c r="I94" t="s">
        <v>3501</v>
      </c>
      <c r="J94" t="s">
        <v>952</v>
      </c>
      <c r="K94" t="s">
        <v>952</v>
      </c>
      <c r="L94" t="s">
        <v>3502</v>
      </c>
      <c r="N94" t="s">
        <v>3503</v>
      </c>
      <c r="P94" t="s">
        <v>3504</v>
      </c>
      <c r="Q94" t="s">
        <v>3505</v>
      </c>
      <c r="R94" t="s">
        <v>790</v>
      </c>
      <c r="U94" t="s">
        <v>319</v>
      </c>
      <c r="V94" t="s">
        <v>3417</v>
      </c>
      <c r="AA94">
        <v>29</v>
      </c>
      <c r="AB94" s="31">
        <v>45638</v>
      </c>
      <c r="AC94" s="61">
        <v>0.68358796296296298</v>
      </c>
      <c r="AD94" t="s">
        <v>795</v>
      </c>
      <c r="AE94" s="31">
        <v>45667</v>
      </c>
      <c r="AF94" s="61">
        <v>0.63577546296296295</v>
      </c>
      <c r="AG94" t="s">
        <v>934</v>
      </c>
      <c r="AI94" t="s">
        <v>1003</v>
      </c>
      <c r="AJ94" t="s">
        <v>3492</v>
      </c>
      <c r="AR94">
        <v>1</v>
      </c>
    </row>
    <row r="95" spans="1:44" x14ac:dyDescent="0.25">
      <c r="A95" t="s">
        <v>31</v>
      </c>
      <c r="B95">
        <v>136</v>
      </c>
      <c r="C95">
        <v>174</v>
      </c>
      <c r="D95">
        <v>1000</v>
      </c>
      <c r="G95" t="s">
        <v>3506</v>
      </c>
      <c r="H95">
        <v>45238441000164</v>
      </c>
      <c r="I95" t="s">
        <v>3507</v>
      </c>
      <c r="J95" t="s">
        <v>3508</v>
      </c>
      <c r="K95" t="s">
        <v>3508</v>
      </c>
      <c r="L95" t="s">
        <v>3509</v>
      </c>
      <c r="M95">
        <v>11973359869</v>
      </c>
      <c r="N95" t="s">
        <v>3510</v>
      </c>
      <c r="P95" t="s">
        <v>3511</v>
      </c>
      <c r="Q95" t="s">
        <v>1094</v>
      </c>
      <c r="R95" t="s">
        <v>790</v>
      </c>
      <c r="U95" t="s">
        <v>319</v>
      </c>
      <c r="V95" t="s">
        <v>3417</v>
      </c>
      <c r="AA95">
        <v>25</v>
      </c>
      <c r="AB95" s="31">
        <v>45639</v>
      </c>
      <c r="AC95" s="61">
        <v>0.4911921296296296</v>
      </c>
      <c r="AD95" t="s">
        <v>795</v>
      </c>
      <c r="AE95" s="31">
        <v>45664</v>
      </c>
      <c r="AF95" s="61">
        <v>0.63392361111111106</v>
      </c>
      <c r="AG95" t="s">
        <v>3463</v>
      </c>
      <c r="AI95" t="s">
        <v>3512</v>
      </c>
      <c r="AJ95" t="s">
        <v>3513</v>
      </c>
      <c r="AR95">
        <v>1</v>
      </c>
    </row>
    <row r="96" spans="1:44" x14ac:dyDescent="0.25">
      <c r="A96" t="s">
        <v>31</v>
      </c>
      <c r="B96">
        <v>137</v>
      </c>
      <c r="C96">
        <v>146</v>
      </c>
      <c r="D96">
        <v>1001</v>
      </c>
      <c r="G96" t="s">
        <v>3514</v>
      </c>
      <c r="I96" t="s">
        <v>3425</v>
      </c>
      <c r="J96" t="s">
        <v>3426</v>
      </c>
      <c r="K96" t="s">
        <v>3426</v>
      </c>
      <c r="L96" t="s">
        <v>3515</v>
      </c>
      <c r="N96" t="s">
        <v>3428</v>
      </c>
      <c r="P96" t="s">
        <v>778</v>
      </c>
      <c r="U96" t="s">
        <v>319</v>
      </c>
      <c r="V96" t="s">
        <v>816</v>
      </c>
      <c r="X96">
        <v>424</v>
      </c>
      <c r="AA96">
        <v>25</v>
      </c>
      <c r="AB96" s="31">
        <v>45639</v>
      </c>
      <c r="AC96" s="61">
        <v>0.50317129629629631</v>
      </c>
      <c r="AD96" t="s">
        <v>818</v>
      </c>
      <c r="AE96" s="31">
        <v>45664</v>
      </c>
      <c r="AF96" s="61">
        <v>0.51849537037037041</v>
      </c>
      <c r="AI96" t="s">
        <v>888</v>
      </c>
      <c r="AJ96" t="s">
        <v>888</v>
      </c>
      <c r="AR96">
        <v>1</v>
      </c>
    </row>
    <row r="97" spans="1:44" x14ac:dyDescent="0.25">
      <c r="A97" t="s">
        <v>31</v>
      </c>
      <c r="B97">
        <v>143</v>
      </c>
      <c r="C97">
        <v>93</v>
      </c>
      <c r="D97">
        <v>986</v>
      </c>
      <c r="G97" t="s">
        <v>3516</v>
      </c>
      <c r="I97" t="s">
        <v>3285</v>
      </c>
      <c r="J97" t="s">
        <v>3490</v>
      </c>
      <c r="K97" t="s">
        <v>3490</v>
      </c>
      <c r="L97" t="s">
        <v>3491</v>
      </c>
      <c r="N97" t="s">
        <v>3286</v>
      </c>
      <c r="P97" t="s">
        <v>778</v>
      </c>
      <c r="U97" t="s">
        <v>319</v>
      </c>
      <c r="V97" t="s">
        <v>3417</v>
      </c>
      <c r="X97">
        <v>16992</v>
      </c>
      <c r="Y97">
        <v>55124</v>
      </c>
      <c r="AA97">
        <v>43</v>
      </c>
      <c r="AB97" s="31">
        <v>45663</v>
      </c>
      <c r="AC97" s="61">
        <v>0.64762731481481484</v>
      </c>
      <c r="AD97" t="s">
        <v>795</v>
      </c>
      <c r="AE97" s="31">
        <v>45706</v>
      </c>
      <c r="AF97" s="61">
        <v>0.72146990740740746</v>
      </c>
      <c r="AG97" t="s">
        <v>934</v>
      </c>
      <c r="AI97" t="s">
        <v>3517</v>
      </c>
      <c r="AJ97" t="s">
        <v>3517</v>
      </c>
      <c r="AR97">
        <v>1</v>
      </c>
    </row>
    <row r="98" spans="1:44" x14ac:dyDescent="0.25">
      <c r="A98" t="s">
        <v>31</v>
      </c>
      <c r="B98">
        <v>146</v>
      </c>
      <c r="C98">
        <v>175</v>
      </c>
      <c r="D98">
        <v>1520</v>
      </c>
      <c r="G98" t="s">
        <v>3518</v>
      </c>
      <c r="H98">
        <v>52362985000107</v>
      </c>
      <c r="I98" t="s">
        <v>3519</v>
      </c>
      <c r="J98" t="s">
        <v>1481</v>
      </c>
      <c r="K98" t="s">
        <v>1481</v>
      </c>
      <c r="L98" t="s">
        <v>3520</v>
      </c>
      <c r="N98" t="s">
        <v>3521</v>
      </c>
      <c r="P98" t="s">
        <v>3522</v>
      </c>
      <c r="Q98" t="s">
        <v>3523</v>
      </c>
      <c r="R98" t="s">
        <v>790</v>
      </c>
      <c r="U98" t="s">
        <v>319</v>
      </c>
      <c r="V98" t="s">
        <v>816</v>
      </c>
      <c r="AA98">
        <v>0</v>
      </c>
      <c r="AB98" s="31">
        <v>45665</v>
      </c>
      <c r="AC98" s="61">
        <v>0.44893518518518521</v>
      </c>
      <c r="AD98" t="s">
        <v>818</v>
      </c>
      <c r="AE98" s="31">
        <v>45665</v>
      </c>
      <c r="AF98" s="61">
        <v>0.44989583333333327</v>
      </c>
      <c r="AI98" t="s">
        <v>1070</v>
      </c>
      <c r="AR98">
        <v>1</v>
      </c>
    </row>
    <row r="99" spans="1:44" x14ac:dyDescent="0.25">
      <c r="A99" t="s">
        <v>31</v>
      </c>
      <c r="B99">
        <v>149</v>
      </c>
      <c r="C99">
        <v>115</v>
      </c>
      <c r="D99">
        <v>1537</v>
      </c>
      <c r="G99" t="s">
        <v>3524</v>
      </c>
      <c r="I99" t="s">
        <v>3333</v>
      </c>
      <c r="J99" t="s">
        <v>3525</v>
      </c>
      <c r="K99" t="s">
        <v>3525</v>
      </c>
      <c r="L99" t="s">
        <v>3526</v>
      </c>
      <c r="N99" t="s">
        <v>3334</v>
      </c>
      <c r="P99" t="s">
        <v>778</v>
      </c>
      <c r="U99" t="s">
        <v>319</v>
      </c>
      <c r="V99" t="s">
        <v>3417</v>
      </c>
      <c r="X99">
        <v>14416</v>
      </c>
      <c r="Y99">
        <v>0</v>
      </c>
      <c r="AA99">
        <v>13</v>
      </c>
      <c r="AB99" s="31">
        <v>45666</v>
      </c>
      <c r="AC99" s="61">
        <v>0.48031249999999998</v>
      </c>
      <c r="AD99" t="s">
        <v>795</v>
      </c>
      <c r="AE99" s="31">
        <v>45679</v>
      </c>
      <c r="AF99" s="61">
        <v>0.66752314814814817</v>
      </c>
      <c r="AG99" t="s">
        <v>934</v>
      </c>
      <c r="AI99" t="s">
        <v>3527</v>
      </c>
      <c r="AR99">
        <v>1</v>
      </c>
    </row>
    <row r="100" spans="1:44" x14ac:dyDescent="0.25">
      <c r="A100" t="s">
        <v>31</v>
      </c>
      <c r="B100">
        <v>150</v>
      </c>
      <c r="C100">
        <v>176</v>
      </c>
      <c r="D100">
        <v>1539</v>
      </c>
      <c r="G100" t="s">
        <v>3528</v>
      </c>
      <c r="H100">
        <v>34728104000139</v>
      </c>
      <c r="I100" t="s">
        <v>3529</v>
      </c>
      <c r="J100" t="s">
        <v>3530</v>
      </c>
      <c r="K100" t="s">
        <v>3530</v>
      </c>
      <c r="L100" t="s">
        <v>3531</v>
      </c>
      <c r="N100" t="s">
        <v>3532</v>
      </c>
      <c r="P100" t="s">
        <v>3533</v>
      </c>
      <c r="Q100" t="s">
        <v>1787</v>
      </c>
      <c r="R100" t="s">
        <v>790</v>
      </c>
      <c r="U100" t="s">
        <v>319</v>
      </c>
      <c r="V100" t="s">
        <v>3417</v>
      </c>
      <c r="W100" t="s">
        <v>817</v>
      </c>
      <c r="X100">
        <v>340984</v>
      </c>
      <c r="Y100">
        <v>1350296</v>
      </c>
      <c r="AA100">
        <v>81</v>
      </c>
      <c r="AB100" s="31">
        <v>45666</v>
      </c>
      <c r="AC100" s="61">
        <v>0.60988425925925926</v>
      </c>
      <c r="AD100" t="s">
        <v>795</v>
      </c>
      <c r="AE100" s="31">
        <v>45747</v>
      </c>
      <c r="AF100" s="61">
        <v>0.50875000000000004</v>
      </c>
      <c r="AG100" t="s">
        <v>974</v>
      </c>
      <c r="AI100" t="s">
        <v>3534</v>
      </c>
      <c r="AJ100" t="s">
        <v>1055</v>
      </c>
      <c r="AR100">
        <v>1</v>
      </c>
    </row>
    <row r="101" spans="1:44" x14ac:dyDescent="0.25">
      <c r="A101" t="s">
        <v>31</v>
      </c>
      <c r="B101">
        <v>152</v>
      </c>
      <c r="C101">
        <v>129</v>
      </c>
      <c r="D101">
        <v>1542</v>
      </c>
      <c r="G101" t="s">
        <v>3535</v>
      </c>
      <c r="I101" t="s">
        <v>679</v>
      </c>
      <c r="J101" t="s">
        <v>3536</v>
      </c>
      <c r="K101" t="s">
        <v>3536</v>
      </c>
      <c r="L101" t="s">
        <v>3537</v>
      </c>
      <c r="N101" t="s">
        <v>3366</v>
      </c>
      <c r="P101" t="s">
        <v>778</v>
      </c>
      <c r="U101" t="s">
        <v>319</v>
      </c>
      <c r="V101" t="s">
        <v>3417</v>
      </c>
      <c r="W101" t="s">
        <v>817</v>
      </c>
      <c r="X101">
        <v>0</v>
      </c>
      <c r="Y101">
        <v>68904</v>
      </c>
      <c r="AA101">
        <v>36</v>
      </c>
      <c r="AB101" s="31">
        <v>45666</v>
      </c>
      <c r="AC101" s="61">
        <v>0.68798611111111108</v>
      </c>
      <c r="AD101" t="s">
        <v>795</v>
      </c>
      <c r="AE101" s="31">
        <v>45702</v>
      </c>
      <c r="AF101" s="61">
        <v>0.44013888888888891</v>
      </c>
      <c r="AG101" t="s">
        <v>796</v>
      </c>
      <c r="AI101" t="s">
        <v>3534</v>
      </c>
      <c r="AJ101" t="s">
        <v>3534</v>
      </c>
      <c r="AR101">
        <v>1</v>
      </c>
    </row>
    <row r="102" spans="1:44" x14ac:dyDescent="0.25">
      <c r="A102" t="s">
        <v>31</v>
      </c>
      <c r="B102">
        <v>153</v>
      </c>
      <c r="C102">
        <v>85</v>
      </c>
      <c r="D102">
        <v>63</v>
      </c>
      <c r="G102" t="s">
        <v>605</v>
      </c>
      <c r="I102" t="s">
        <v>3261</v>
      </c>
      <c r="J102" t="s">
        <v>3261</v>
      </c>
      <c r="K102" t="s">
        <v>3261</v>
      </c>
      <c r="L102">
        <v>31988605879</v>
      </c>
      <c r="N102" t="s">
        <v>3263</v>
      </c>
      <c r="P102" t="s">
        <v>778</v>
      </c>
      <c r="Q102" t="s">
        <v>3264</v>
      </c>
      <c r="U102" t="s">
        <v>319</v>
      </c>
      <c r="V102" t="s">
        <v>816</v>
      </c>
      <c r="AA102">
        <v>0</v>
      </c>
      <c r="AB102" s="31">
        <v>45667</v>
      </c>
      <c r="AC102" s="61">
        <v>0.43425925925925918</v>
      </c>
      <c r="AD102" t="s">
        <v>818</v>
      </c>
      <c r="AE102" s="31">
        <v>45667</v>
      </c>
      <c r="AF102" s="61">
        <v>0.43490740740740741</v>
      </c>
      <c r="AI102" t="s">
        <v>1113</v>
      </c>
      <c r="AR102">
        <v>1</v>
      </c>
    </row>
    <row r="103" spans="1:44" x14ac:dyDescent="0.25">
      <c r="A103" t="s">
        <v>31</v>
      </c>
      <c r="B103">
        <v>157</v>
      </c>
      <c r="C103">
        <v>178</v>
      </c>
      <c r="D103">
        <v>1551</v>
      </c>
      <c r="G103" t="s">
        <v>3538</v>
      </c>
      <c r="H103">
        <v>54124158000100</v>
      </c>
      <c r="I103" t="s">
        <v>3539</v>
      </c>
      <c r="J103" t="s">
        <v>3540</v>
      </c>
      <c r="K103" t="s">
        <v>3540</v>
      </c>
      <c r="L103" t="s">
        <v>3541</v>
      </c>
      <c r="N103" t="s">
        <v>3542</v>
      </c>
      <c r="P103" t="s">
        <v>3543</v>
      </c>
      <c r="Q103" t="s">
        <v>1837</v>
      </c>
      <c r="R103" t="s">
        <v>790</v>
      </c>
      <c r="U103" t="s">
        <v>319</v>
      </c>
      <c r="V103" t="s">
        <v>816</v>
      </c>
      <c r="X103">
        <v>1360152</v>
      </c>
      <c r="Y103">
        <v>64152</v>
      </c>
      <c r="AA103">
        <v>4</v>
      </c>
      <c r="AB103" s="31">
        <v>45670</v>
      </c>
      <c r="AC103" s="61">
        <v>0.40980324074074082</v>
      </c>
      <c r="AD103" t="s">
        <v>818</v>
      </c>
      <c r="AE103" s="31">
        <v>45674</v>
      </c>
      <c r="AF103" s="61">
        <v>0.48346064814814821</v>
      </c>
      <c r="AI103" t="s">
        <v>3544</v>
      </c>
      <c r="AJ103" t="s">
        <v>3544</v>
      </c>
      <c r="AR103">
        <v>1</v>
      </c>
    </row>
    <row r="104" spans="1:44" x14ac:dyDescent="0.25">
      <c r="A104" t="s">
        <v>31</v>
      </c>
      <c r="B104">
        <v>158</v>
      </c>
      <c r="C104">
        <v>179</v>
      </c>
      <c r="D104">
        <v>1552</v>
      </c>
      <c r="G104" t="s">
        <v>3545</v>
      </c>
      <c r="H104">
        <v>21736169000184</v>
      </c>
      <c r="I104" t="s">
        <v>3546</v>
      </c>
      <c r="J104" t="s">
        <v>1243</v>
      </c>
      <c r="K104" t="s">
        <v>1243</v>
      </c>
      <c r="L104" t="s">
        <v>3547</v>
      </c>
      <c r="N104" t="s">
        <v>3548</v>
      </c>
      <c r="P104" t="s">
        <v>3549</v>
      </c>
      <c r="Q104" t="s">
        <v>3550</v>
      </c>
      <c r="R104" t="s">
        <v>874</v>
      </c>
      <c r="U104" t="s">
        <v>319</v>
      </c>
      <c r="V104" t="s">
        <v>816</v>
      </c>
      <c r="AA104">
        <v>0</v>
      </c>
      <c r="AB104" s="31">
        <v>45670</v>
      </c>
      <c r="AC104" s="61">
        <v>0.41332175925925918</v>
      </c>
      <c r="AD104" t="s">
        <v>818</v>
      </c>
      <c r="AE104" s="31">
        <v>45670</v>
      </c>
      <c r="AF104" s="61">
        <v>0.41498842592592589</v>
      </c>
      <c r="AI104" t="s">
        <v>1113</v>
      </c>
      <c r="AR104">
        <v>1</v>
      </c>
    </row>
    <row r="105" spans="1:44" x14ac:dyDescent="0.25">
      <c r="A105" t="s">
        <v>31</v>
      </c>
      <c r="B105">
        <v>159</v>
      </c>
      <c r="C105">
        <v>132</v>
      </c>
      <c r="D105">
        <v>1556</v>
      </c>
      <c r="G105" t="s">
        <v>3551</v>
      </c>
      <c r="I105" t="s">
        <v>3373</v>
      </c>
      <c r="J105" t="s">
        <v>3552</v>
      </c>
      <c r="K105" t="s">
        <v>3552</v>
      </c>
      <c r="L105" t="s">
        <v>3553</v>
      </c>
      <c r="N105" t="s">
        <v>3375</v>
      </c>
      <c r="P105" t="s">
        <v>778</v>
      </c>
      <c r="U105" t="s">
        <v>319</v>
      </c>
      <c r="V105" t="s">
        <v>816</v>
      </c>
      <c r="W105" t="s">
        <v>817</v>
      </c>
      <c r="X105">
        <v>0</v>
      </c>
      <c r="Y105">
        <v>0</v>
      </c>
      <c r="AA105">
        <v>2</v>
      </c>
      <c r="AB105" s="31">
        <v>45670</v>
      </c>
      <c r="AC105" s="61">
        <v>0.68215277777777783</v>
      </c>
      <c r="AD105" t="s">
        <v>818</v>
      </c>
      <c r="AE105" s="31">
        <v>45672</v>
      </c>
      <c r="AF105" s="61">
        <v>0.67391203703703706</v>
      </c>
      <c r="AI105" t="s">
        <v>3544</v>
      </c>
      <c r="AJ105" t="s">
        <v>3544</v>
      </c>
      <c r="AR105">
        <v>1</v>
      </c>
    </row>
    <row r="106" spans="1:44" x14ac:dyDescent="0.25">
      <c r="A106" t="s">
        <v>31</v>
      </c>
      <c r="B106">
        <v>160</v>
      </c>
      <c r="C106">
        <v>148</v>
      </c>
      <c r="D106">
        <v>1562</v>
      </c>
      <c r="G106" t="s">
        <v>3554</v>
      </c>
      <c r="H106">
        <v>8530284000130</v>
      </c>
      <c r="I106" t="s">
        <v>3555</v>
      </c>
      <c r="J106" t="s">
        <v>2927</v>
      </c>
      <c r="K106" t="s">
        <v>2927</v>
      </c>
      <c r="L106" t="s">
        <v>3556</v>
      </c>
      <c r="N106" t="s">
        <v>3557</v>
      </c>
      <c r="P106" t="s">
        <v>778</v>
      </c>
      <c r="U106" t="s">
        <v>319</v>
      </c>
      <c r="V106" t="s">
        <v>3417</v>
      </c>
      <c r="W106" t="s">
        <v>3558</v>
      </c>
      <c r="X106">
        <v>1600</v>
      </c>
      <c r="Y106">
        <v>339587</v>
      </c>
      <c r="AA106">
        <v>13</v>
      </c>
      <c r="AB106" s="31">
        <v>45671</v>
      </c>
      <c r="AC106" s="61">
        <v>0.48020833333333329</v>
      </c>
      <c r="AD106" t="s">
        <v>795</v>
      </c>
      <c r="AE106" s="31">
        <v>45684</v>
      </c>
      <c r="AF106" s="61">
        <v>0.41270833333333329</v>
      </c>
      <c r="AG106" t="s">
        <v>934</v>
      </c>
      <c r="AI106" t="s">
        <v>3559</v>
      </c>
      <c r="AJ106" t="s">
        <v>3559</v>
      </c>
      <c r="AR106">
        <v>1</v>
      </c>
    </row>
    <row r="107" spans="1:44" x14ac:dyDescent="0.25">
      <c r="A107" t="s">
        <v>31</v>
      </c>
      <c r="B107">
        <v>161</v>
      </c>
      <c r="C107">
        <v>180</v>
      </c>
      <c r="D107">
        <v>1577</v>
      </c>
      <c r="G107" t="s">
        <v>3560</v>
      </c>
      <c r="H107">
        <v>7287290000226</v>
      </c>
      <c r="I107" t="s">
        <v>3561</v>
      </c>
      <c r="J107" t="s">
        <v>3562</v>
      </c>
      <c r="K107" t="s">
        <v>3562</v>
      </c>
      <c r="L107" t="s">
        <v>3563</v>
      </c>
      <c r="N107" t="s">
        <v>3564</v>
      </c>
      <c r="P107" t="s">
        <v>3565</v>
      </c>
      <c r="Q107" t="s">
        <v>3566</v>
      </c>
      <c r="R107" t="s">
        <v>790</v>
      </c>
      <c r="U107" t="s">
        <v>319</v>
      </c>
      <c r="V107" t="s">
        <v>816</v>
      </c>
      <c r="W107" t="s">
        <v>3558</v>
      </c>
      <c r="X107">
        <v>28512</v>
      </c>
      <c r="Y107">
        <v>28512</v>
      </c>
      <c r="AA107">
        <v>0</v>
      </c>
      <c r="AB107" s="31">
        <v>45672</v>
      </c>
      <c r="AC107" s="61">
        <v>0.39792824074074068</v>
      </c>
      <c r="AD107" t="s">
        <v>818</v>
      </c>
      <c r="AE107" s="31">
        <v>45672</v>
      </c>
      <c r="AF107" s="61">
        <v>0.40056712962962959</v>
      </c>
      <c r="AI107" t="s">
        <v>3559</v>
      </c>
      <c r="AJ107" t="s">
        <v>3559</v>
      </c>
      <c r="AR107">
        <v>1</v>
      </c>
    </row>
    <row r="108" spans="1:44" x14ac:dyDescent="0.25">
      <c r="A108" t="s">
        <v>31</v>
      </c>
      <c r="B108">
        <v>162</v>
      </c>
      <c r="C108">
        <v>170</v>
      </c>
      <c r="D108">
        <v>1579</v>
      </c>
      <c r="G108" t="s">
        <v>3567</v>
      </c>
      <c r="H108">
        <v>4150555001304</v>
      </c>
      <c r="I108" t="s">
        <v>3477</v>
      </c>
      <c r="J108" t="s">
        <v>3568</v>
      </c>
      <c r="K108" t="s">
        <v>3568</v>
      </c>
      <c r="L108" t="s">
        <v>3569</v>
      </c>
      <c r="N108" t="s">
        <v>3480</v>
      </c>
      <c r="P108" t="s">
        <v>3481</v>
      </c>
      <c r="Q108" t="s">
        <v>3482</v>
      </c>
      <c r="R108" t="s">
        <v>1699</v>
      </c>
      <c r="U108" t="s">
        <v>319</v>
      </c>
      <c r="V108" t="s">
        <v>3417</v>
      </c>
      <c r="AA108">
        <v>14</v>
      </c>
      <c r="AB108" s="31">
        <v>45672</v>
      </c>
      <c r="AC108" s="61">
        <v>0.65109953703703705</v>
      </c>
      <c r="AD108" t="s">
        <v>795</v>
      </c>
      <c r="AE108" s="31">
        <v>45686</v>
      </c>
      <c r="AF108" s="61">
        <v>0.71326388888888892</v>
      </c>
      <c r="AG108" t="s">
        <v>796</v>
      </c>
      <c r="AI108" t="s">
        <v>3570</v>
      </c>
      <c r="AJ108" t="s">
        <v>3570</v>
      </c>
      <c r="AR108">
        <v>1</v>
      </c>
    </row>
    <row r="109" spans="1:44" x14ac:dyDescent="0.25">
      <c r="A109" t="s">
        <v>31</v>
      </c>
      <c r="B109">
        <v>163</v>
      </c>
      <c r="C109">
        <v>170</v>
      </c>
      <c r="D109">
        <v>1580</v>
      </c>
      <c r="G109" t="s">
        <v>3571</v>
      </c>
      <c r="H109">
        <v>4150555001304</v>
      </c>
      <c r="I109" t="s">
        <v>3477</v>
      </c>
      <c r="J109" t="s">
        <v>3478</v>
      </c>
      <c r="K109" t="s">
        <v>3478</v>
      </c>
      <c r="L109" t="s">
        <v>3569</v>
      </c>
      <c r="N109" t="s">
        <v>3480</v>
      </c>
      <c r="P109" t="s">
        <v>3481</v>
      </c>
      <c r="Q109" t="s">
        <v>3482</v>
      </c>
      <c r="R109" t="s">
        <v>1699</v>
      </c>
      <c r="U109" t="s">
        <v>319</v>
      </c>
      <c r="V109" t="s">
        <v>3417</v>
      </c>
      <c r="X109">
        <v>30816</v>
      </c>
      <c r="Y109">
        <v>85536</v>
      </c>
      <c r="AA109">
        <v>71</v>
      </c>
      <c r="AB109" s="31">
        <v>45672</v>
      </c>
      <c r="AC109" s="61">
        <v>0.65299768518518519</v>
      </c>
      <c r="AD109" t="s">
        <v>795</v>
      </c>
      <c r="AE109" s="31">
        <v>45743</v>
      </c>
      <c r="AF109" s="61">
        <v>0.35817129629629629</v>
      </c>
      <c r="AG109" t="s">
        <v>796</v>
      </c>
      <c r="AI109" t="s">
        <v>3570</v>
      </c>
      <c r="AJ109" t="s">
        <v>3570</v>
      </c>
      <c r="AR109">
        <v>1</v>
      </c>
    </row>
    <row r="110" spans="1:44" x14ac:dyDescent="0.25">
      <c r="A110" t="s">
        <v>31</v>
      </c>
      <c r="B110">
        <v>165</v>
      </c>
      <c r="C110">
        <v>182</v>
      </c>
      <c r="D110">
        <v>1586</v>
      </c>
      <c r="G110" t="s">
        <v>3572</v>
      </c>
      <c r="H110">
        <v>23873456000161</v>
      </c>
      <c r="I110" t="s">
        <v>3573</v>
      </c>
      <c r="J110" t="s">
        <v>3574</v>
      </c>
      <c r="K110" t="s">
        <v>3574</v>
      </c>
      <c r="L110" t="s">
        <v>3575</v>
      </c>
      <c r="N110" t="s">
        <v>3576</v>
      </c>
      <c r="P110" t="s">
        <v>3577</v>
      </c>
      <c r="Q110" t="s">
        <v>1837</v>
      </c>
      <c r="R110" t="s">
        <v>790</v>
      </c>
      <c r="U110" t="s">
        <v>319</v>
      </c>
      <c r="V110" t="s">
        <v>816</v>
      </c>
      <c r="W110" t="s">
        <v>817</v>
      </c>
      <c r="X110">
        <v>840</v>
      </c>
      <c r="Y110">
        <v>0</v>
      </c>
      <c r="AA110">
        <v>1</v>
      </c>
      <c r="AB110" s="31">
        <v>45672</v>
      </c>
      <c r="AC110" s="61">
        <v>0.74322916666666672</v>
      </c>
      <c r="AD110" t="s">
        <v>818</v>
      </c>
      <c r="AE110" s="31">
        <v>45673</v>
      </c>
      <c r="AF110" s="61">
        <v>0.39634259259259258</v>
      </c>
      <c r="AI110" t="s">
        <v>3570</v>
      </c>
      <c r="AR110">
        <v>1</v>
      </c>
    </row>
    <row r="111" spans="1:44" x14ac:dyDescent="0.25">
      <c r="A111" t="s">
        <v>31</v>
      </c>
      <c r="B111">
        <v>168</v>
      </c>
      <c r="C111">
        <v>154</v>
      </c>
      <c r="D111">
        <v>1601</v>
      </c>
      <c r="G111" t="s">
        <v>3578</v>
      </c>
      <c r="H111">
        <v>790751000159</v>
      </c>
      <c r="I111" t="s">
        <v>3456</v>
      </c>
      <c r="J111" t="s">
        <v>3579</v>
      </c>
      <c r="K111" t="s">
        <v>3579</v>
      </c>
      <c r="L111" t="s">
        <v>3580</v>
      </c>
      <c r="N111" t="s">
        <v>3459</v>
      </c>
      <c r="P111" t="s">
        <v>778</v>
      </c>
      <c r="U111" t="s">
        <v>319</v>
      </c>
      <c r="V111" t="s">
        <v>3417</v>
      </c>
      <c r="X111">
        <v>0</v>
      </c>
      <c r="Y111">
        <v>137479</v>
      </c>
      <c r="AA111">
        <v>28</v>
      </c>
      <c r="AB111" s="31">
        <v>45673</v>
      </c>
      <c r="AC111" s="61">
        <v>0.63656250000000003</v>
      </c>
      <c r="AD111" t="s">
        <v>795</v>
      </c>
      <c r="AE111" s="31">
        <v>45701</v>
      </c>
      <c r="AF111" s="61">
        <v>0.49040509259259257</v>
      </c>
      <c r="AG111" t="s">
        <v>796</v>
      </c>
      <c r="AI111" t="s">
        <v>3581</v>
      </c>
      <c r="AR111">
        <v>1</v>
      </c>
    </row>
    <row r="112" spans="1:44" x14ac:dyDescent="0.25">
      <c r="A112" t="s">
        <v>31</v>
      </c>
      <c r="B112">
        <v>170</v>
      </c>
      <c r="C112">
        <v>133</v>
      </c>
      <c r="D112">
        <v>1602</v>
      </c>
      <c r="G112" t="s">
        <v>3582</v>
      </c>
      <c r="I112" t="s">
        <v>625</v>
      </c>
      <c r="J112" t="s">
        <v>3583</v>
      </c>
      <c r="K112" t="s">
        <v>3583</v>
      </c>
      <c r="L112" t="s">
        <v>3584</v>
      </c>
      <c r="N112" t="s">
        <v>2207</v>
      </c>
      <c r="P112" t="s">
        <v>778</v>
      </c>
      <c r="U112" t="s">
        <v>319</v>
      </c>
      <c r="V112" t="s">
        <v>816</v>
      </c>
      <c r="W112" t="s">
        <v>817</v>
      </c>
      <c r="X112">
        <v>14600</v>
      </c>
      <c r="Y112">
        <v>1728</v>
      </c>
      <c r="AA112">
        <v>74</v>
      </c>
      <c r="AB112" s="31">
        <v>45673</v>
      </c>
      <c r="AC112" s="61">
        <v>0.75452546296296297</v>
      </c>
      <c r="AD112" t="s">
        <v>818</v>
      </c>
      <c r="AE112" s="31">
        <v>45721</v>
      </c>
      <c r="AF112" s="61">
        <v>0.42261574074074082</v>
      </c>
      <c r="AH112">
        <v>0</v>
      </c>
      <c r="AI112" t="s">
        <v>3581</v>
      </c>
      <c r="AJ112" t="s">
        <v>3581</v>
      </c>
      <c r="AR112">
        <v>1</v>
      </c>
    </row>
    <row r="113" spans="1:44" x14ac:dyDescent="0.25">
      <c r="A113" t="s">
        <v>31</v>
      </c>
      <c r="B113">
        <v>171</v>
      </c>
      <c r="C113">
        <v>170</v>
      </c>
      <c r="D113">
        <v>1604</v>
      </c>
      <c r="G113" t="s">
        <v>3585</v>
      </c>
      <c r="H113">
        <v>4150555001304</v>
      </c>
      <c r="I113" t="s">
        <v>3477</v>
      </c>
      <c r="J113" t="s">
        <v>3478</v>
      </c>
      <c r="K113" t="s">
        <v>3478</v>
      </c>
      <c r="L113" t="s">
        <v>3569</v>
      </c>
      <c r="N113" t="s">
        <v>3480</v>
      </c>
      <c r="P113" t="s">
        <v>3481</v>
      </c>
      <c r="Q113" t="s">
        <v>3482</v>
      </c>
      <c r="R113" t="s">
        <v>1699</v>
      </c>
      <c r="U113" t="s">
        <v>319</v>
      </c>
      <c r="V113" t="s">
        <v>816</v>
      </c>
      <c r="W113" t="s">
        <v>3558</v>
      </c>
      <c r="X113">
        <v>7764</v>
      </c>
      <c r="Y113">
        <v>3564</v>
      </c>
      <c r="AA113">
        <v>0</v>
      </c>
      <c r="AB113" s="31">
        <v>45674</v>
      </c>
      <c r="AC113" s="61">
        <v>0.48375000000000001</v>
      </c>
      <c r="AD113" t="s">
        <v>818</v>
      </c>
      <c r="AE113" s="31">
        <v>45674</v>
      </c>
      <c r="AF113" s="61">
        <v>0.48546296296296299</v>
      </c>
      <c r="AI113" t="s">
        <v>3586</v>
      </c>
      <c r="AJ113" t="s">
        <v>3581</v>
      </c>
      <c r="AR113">
        <v>1</v>
      </c>
    </row>
    <row r="114" spans="1:44" x14ac:dyDescent="0.25">
      <c r="A114" t="s">
        <v>31</v>
      </c>
      <c r="B114">
        <v>172</v>
      </c>
      <c r="C114">
        <v>132</v>
      </c>
      <c r="D114">
        <v>1607</v>
      </c>
      <c r="G114" t="s">
        <v>3587</v>
      </c>
      <c r="I114" t="s">
        <v>3373</v>
      </c>
      <c r="J114" t="s">
        <v>3588</v>
      </c>
      <c r="K114" t="s">
        <v>3588</v>
      </c>
      <c r="L114" t="s">
        <v>3553</v>
      </c>
      <c r="N114" t="s">
        <v>3375</v>
      </c>
      <c r="P114" t="s">
        <v>778</v>
      </c>
      <c r="U114" t="s">
        <v>319</v>
      </c>
      <c r="V114" t="s">
        <v>816</v>
      </c>
      <c r="X114">
        <v>135165</v>
      </c>
      <c r="Y114">
        <v>0</v>
      </c>
      <c r="AA114">
        <v>31</v>
      </c>
      <c r="AB114" s="31">
        <v>45674</v>
      </c>
      <c r="AC114" s="61">
        <v>0.73576388888888888</v>
      </c>
      <c r="AD114" t="s">
        <v>818</v>
      </c>
      <c r="AE114" s="31">
        <v>45705</v>
      </c>
      <c r="AF114" s="61">
        <v>0.44101851851851848</v>
      </c>
      <c r="AI114" t="s">
        <v>3586</v>
      </c>
      <c r="AR114">
        <v>1</v>
      </c>
    </row>
    <row r="115" spans="1:44" x14ac:dyDescent="0.25">
      <c r="A115" t="s">
        <v>31</v>
      </c>
      <c r="B115">
        <v>173</v>
      </c>
      <c r="C115">
        <v>112</v>
      </c>
      <c r="D115">
        <v>1612</v>
      </c>
      <c r="G115" t="s">
        <v>3589</v>
      </c>
      <c r="I115" t="s">
        <v>3327</v>
      </c>
      <c r="J115" t="s">
        <v>914</v>
      </c>
      <c r="K115" t="s">
        <v>914</v>
      </c>
      <c r="L115" t="s">
        <v>3590</v>
      </c>
      <c r="N115" t="s">
        <v>3328</v>
      </c>
      <c r="P115" t="s">
        <v>778</v>
      </c>
      <c r="U115" t="s">
        <v>319</v>
      </c>
      <c r="V115" t="s">
        <v>816</v>
      </c>
      <c r="W115" t="s">
        <v>3558</v>
      </c>
      <c r="X115">
        <v>714</v>
      </c>
      <c r="Y115">
        <v>0</v>
      </c>
      <c r="AA115">
        <v>0</v>
      </c>
      <c r="AB115" s="31">
        <v>45677</v>
      </c>
      <c r="AC115" s="61">
        <v>0.4858912037037037</v>
      </c>
      <c r="AD115" t="s">
        <v>818</v>
      </c>
      <c r="AE115" s="31">
        <v>45677</v>
      </c>
      <c r="AF115" s="61">
        <v>0.73797453703703708</v>
      </c>
      <c r="AI115" t="s">
        <v>1136</v>
      </c>
      <c r="AR115">
        <v>1</v>
      </c>
    </row>
    <row r="116" spans="1:44" x14ac:dyDescent="0.25">
      <c r="A116" t="s">
        <v>31</v>
      </c>
      <c r="B116">
        <v>175</v>
      </c>
      <c r="C116">
        <v>178</v>
      </c>
      <c r="D116">
        <v>1614</v>
      </c>
      <c r="G116" t="s">
        <v>3591</v>
      </c>
      <c r="H116">
        <v>54124158000100</v>
      </c>
      <c r="I116" t="s">
        <v>3539</v>
      </c>
      <c r="J116" t="s">
        <v>1243</v>
      </c>
      <c r="K116" t="s">
        <v>1243</v>
      </c>
      <c r="L116" t="s">
        <v>3541</v>
      </c>
      <c r="N116" t="s">
        <v>3542</v>
      </c>
      <c r="P116" t="s">
        <v>3543</v>
      </c>
      <c r="Q116" t="s">
        <v>1837</v>
      </c>
      <c r="R116" t="s">
        <v>790</v>
      </c>
      <c r="U116" t="s">
        <v>319</v>
      </c>
      <c r="V116" t="s">
        <v>3417</v>
      </c>
      <c r="X116">
        <v>44651</v>
      </c>
      <c r="Y116">
        <v>0</v>
      </c>
      <c r="AA116">
        <v>23</v>
      </c>
      <c r="AB116" s="31">
        <v>45678</v>
      </c>
      <c r="AC116" s="61">
        <v>0.45103009259259258</v>
      </c>
      <c r="AD116" t="s">
        <v>795</v>
      </c>
      <c r="AE116" s="31">
        <v>45701</v>
      </c>
      <c r="AF116" s="61">
        <v>0.48978009259259259</v>
      </c>
      <c r="AG116" t="s">
        <v>3463</v>
      </c>
      <c r="AI116" t="s">
        <v>3592</v>
      </c>
      <c r="AR116">
        <v>1</v>
      </c>
    </row>
    <row r="117" spans="1:44" x14ac:dyDescent="0.25">
      <c r="A117" t="s">
        <v>31</v>
      </c>
      <c r="B117">
        <v>176</v>
      </c>
      <c r="C117">
        <v>183</v>
      </c>
      <c r="D117">
        <v>1615</v>
      </c>
      <c r="G117" t="s">
        <v>3593</v>
      </c>
      <c r="H117">
        <v>3204281000192</v>
      </c>
      <c r="I117" t="s">
        <v>3594</v>
      </c>
      <c r="J117" t="s">
        <v>3595</v>
      </c>
      <c r="K117" t="s">
        <v>3595</v>
      </c>
      <c r="L117" t="s">
        <v>3596</v>
      </c>
      <c r="N117" t="s">
        <v>2617</v>
      </c>
      <c r="P117" t="s">
        <v>3597</v>
      </c>
      <c r="Q117" t="s">
        <v>2618</v>
      </c>
      <c r="R117" t="s">
        <v>790</v>
      </c>
      <c r="U117" t="s">
        <v>319</v>
      </c>
      <c r="V117" t="s">
        <v>816</v>
      </c>
      <c r="W117" t="s">
        <v>817</v>
      </c>
      <c r="X117">
        <v>831196</v>
      </c>
      <c r="Y117">
        <v>36106</v>
      </c>
      <c r="AA117">
        <v>16</v>
      </c>
      <c r="AB117" s="31">
        <v>45678</v>
      </c>
      <c r="AC117" s="61">
        <v>0.51611111111111108</v>
      </c>
      <c r="AD117" t="s">
        <v>818</v>
      </c>
      <c r="AE117" s="31">
        <v>45694</v>
      </c>
      <c r="AF117" s="61">
        <v>0.43015046296296289</v>
      </c>
      <c r="AI117" t="s">
        <v>3592</v>
      </c>
      <c r="AR117">
        <v>1</v>
      </c>
    </row>
    <row r="118" spans="1:44" x14ac:dyDescent="0.25">
      <c r="A118" t="s">
        <v>31</v>
      </c>
      <c r="B118">
        <v>177</v>
      </c>
      <c r="C118">
        <v>185</v>
      </c>
      <c r="D118">
        <v>1617</v>
      </c>
      <c r="G118" t="s">
        <v>3598</v>
      </c>
      <c r="H118">
        <v>51496785000176</v>
      </c>
      <c r="I118" t="s">
        <v>3599</v>
      </c>
      <c r="J118" t="s">
        <v>3600</v>
      </c>
      <c r="K118" t="s">
        <v>3600</v>
      </c>
      <c r="L118" t="s">
        <v>3601</v>
      </c>
      <c r="N118" t="s">
        <v>3602</v>
      </c>
      <c r="P118" t="s">
        <v>3603</v>
      </c>
      <c r="Q118" t="s">
        <v>847</v>
      </c>
      <c r="R118" t="s">
        <v>848</v>
      </c>
      <c r="U118" t="s">
        <v>319</v>
      </c>
      <c r="V118" t="s">
        <v>3417</v>
      </c>
      <c r="W118" t="s">
        <v>817</v>
      </c>
      <c r="X118">
        <v>33696</v>
      </c>
      <c r="Y118">
        <v>7128</v>
      </c>
      <c r="AA118">
        <v>36</v>
      </c>
      <c r="AB118" s="31">
        <v>45679</v>
      </c>
      <c r="AC118" s="61">
        <v>0.43111111111111111</v>
      </c>
      <c r="AD118" t="s">
        <v>795</v>
      </c>
      <c r="AE118" s="31">
        <v>45715</v>
      </c>
      <c r="AF118" s="61">
        <v>0.51508101851851851</v>
      </c>
      <c r="AG118" t="s">
        <v>1358</v>
      </c>
      <c r="AI118" t="s">
        <v>3604</v>
      </c>
      <c r="AJ118" t="s">
        <v>3517</v>
      </c>
      <c r="AR118">
        <v>1</v>
      </c>
    </row>
    <row r="119" spans="1:44" x14ac:dyDescent="0.25">
      <c r="A119" t="s">
        <v>31</v>
      </c>
      <c r="B119">
        <v>180</v>
      </c>
      <c r="C119">
        <v>170</v>
      </c>
      <c r="D119">
        <v>1624</v>
      </c>
      <c r="G119" t="s">
        <v>3605</v>
      </c>
      <c r="H119">
        <v>4150555001304</v>
      </c>
      <c r="I119" t="s">
        <v>3477</v>
      </c>
      <c r="J119" t="s">
        <v>1499</v>
      </c>
      <c r="K119" t="s">
        <v>1499</v>
      </c>
      <c r="L119" t="s">
        <v>3569</v>
      </c>
      <c r="N119" t="s">
        <v>3480</v>
      </c>
      <c r="P119" t="s">
        <v>3481</v>
      </c>
      <c r="Q119" t="s">
        <v>3482</v>
      </c>
      <c r="R119" t="s">
        <v>1699</v>
      </c>
      <c r="U119" t="s">
        <v>319</v>
      </c>
      <c r="V119" t="s">
        <v>3606</v>
      </c>
      <c r="AA119">
        <v>21</v>
      </c>
      <c r="AB119" s="31">
        <v>45680</v>
      </c>
      <c r="AC119" s="61">
        <v>0.64934027777777781</v>
      </c>
      <c r="AD119" t="s">
        <v>795</v>
      </c>
      <c r="AE119" s="31">
        <v>45701</v>
      </c>
      <c r="AF119" s="61">
        <v>0.47988425925925932</v>
      </c>
      <c r="AG119" t="s">
        <v>1358</v>
      </c>
      <c r="AJ119" t="s">
        <v>1010</v>
      </c>
      <c r="AR119">
        <v>1</v>
      </c>
    </row>
    <row r="120" spans="1:44" x14ac:dyDescent="0.25">
      <c r="A120" t="s">
        <v>31</v>
      </c>
      <c r="B120">
        <v>181</v>
      </c>
      <c r="C120">
        <v>118</v>
      </c>
      <c r="D120">
        <v>1628</v>
      </c>
      <c r="G120" t="s">
        <v>3607</v>
      </c>
      <c r="I120" t="s">
        <v>686</v>
      </c>
      <c r="J120" t="s">
        <v>3608</v>
      </c>
      <c r="K120" t="s">
        <v>3608</v>
      </c>
      <c r="L120" t="s">
        <v>3609</v>
      </c>
      <c r="N120" t="s">
        <v>3343</v>
      </c>
      <c r="P120" t="s">
        <v>778</v>
      </c>
      <c r="U120" t="s">
        <v>319</v>
      </c>
      <c r="V120" t="s">
        <v>3417</v>
      </c>
      <c r="X120">
        <v>33696</v>
      </c>
      <c r="Y120">
        <v>0</v>
      </c>
      <c r="AA120">
        <v>20</v>
      </c>
      <c r="AB120" s="31">
        <v>45681</v>
      </c>
      <c r="AC120" s="61">
        <v>0.41077546296296302</v>
      </c>
      <c r="AD120" t="s">
        <v>795</v>
      </c>
      <c r="AE120" s="31">
        <v>45701</v>
      </c>
      <c r="AF120" s="61">
        <v>0.7180671296296296</v>
      </c>
      <c r="AG120" t="s">
        <v>796</v>
      </c>
      <c r="AI120" t="s">
        <v>3610</v>
      </c>
      <c r="AR120">
        <v>1</v>
      </c>
    </row>
    <row r="121" spans="1:44" x14ac:dyDescent="0.25">
      <c r="A121" t="s">
        <v>31</v>
      </c>
      <c r="B121">
        <v>182</v>
      </c>
      <c r="C121">
        <v>181</v>
      </c>
      <c r="D121">
        <v>1630</v>
      </c>
      <c r="G121" t="s">
        <v>3611</v>
      </c>
      <c r="H121">
        <v>43204189000147</v>
      </c>
      <c r="I121" t="s">
        <v>3612</v>
      </c>
      <c r="J121" t="s">
        <v>990</v>
      </c>
      <c r="K121" t="s">
        <v>990</v>
      </c>
      <c r="L121" t="s">
        <v>3613</v>
      </c>
      <c r="N121" t="s">
        <v>3614</v>
      </c>
      <c r="P121" t="s">
        <v>3615</v>
      </c>
      <c r="Q121" t="s">
        <v>3616</v>
      </c>
      <c r="R121" t="s">
        <v>790</v>
      </c>
      <c r="U121" t="s">
        <v>319</v>
      </c>
      <c r="V121" t="s">
        <v>3417</v>
      </c>
      <c r="AA121">
        <v>0</v>
      </c>
      <c r="AB121" s="31">
        <v>45681</v>
      </c>
      <c r="AC121" s="61">
        <v>0.42917824074074068</v>
      </c>
      <c r="AD121" t="s">
        <v>795</v>
      </c>
      <c r="AE121" s="31">
        <v>45681</v>
      </c>
      <c r="AF121" s="61">
        <v>0.43184027777777778</v>
      </c>
      <c r="AG121" t="s">
        <v>796</v>
      </c>
      <c r="AI121" t="s">
        <v>3586</v>
      </c>
      <c r="AR121">
        <v>1</v>
      </c>
    </row>
    <row r="122" spans="1:44" x14ac:dyDescent="0.25">
      <c r="A122" t="s">
        <v>31</v>
      </c>
      <c r="B122">
        <v>184</v>
      </c>
      <c r="C122">
        <v>83</v>
      </c>
      <c r="D122">
        <v>1632</v>
      </c>
      <c r="G122" t="s">
        <v>3617</v>
      </c>
      <c r="I122" t="s">
        <v>3255</v>
      </c>
      <c r="J122" t="s">
        <v>3618</v>
      </c>
      <c r="K122" t="s">
        <v>3618</v>
      </c>
      <c r="N122" t="s">
        <v>3256</v>
      </c>
      <c r="P122" t="s">
        <v>778</v>
      </c>
      <c r="Q122" t="s">
        <v>3257</v>
      </c>
      <c r="U122" t="s">
        <v>319</v>
      </c>
      <c r="V122" t="s">
        <v>781</v>
      </c>
      <c r="AA122">
        <v>5</v>
      </c>
      <c r="AB122" s="31">
        <v>45681</v>
      </c>
      <c r="AC122" s="61">
        <v>0.49629629629629629</v>
      </c>
      <c r="AD122" t="s">
        <v>795</v>
      </c>
      <c r="AE122" s="31">
        <v>45686</v>
      </c>
      <c r="AF122" s="61">
        <v>0.71755787037037033</v>
      </c>
      <c r="AG122" t="s">
        <v>796</v>
      </c>
      <c r="AI122" t="s">
        <v>3619</v>
      </c>
      <c r="AR122">
        <v>1</v>
      </c>
    </row>
    <row r="123" spans="1:44" x14ac:dyDescent="0.25">
      <c r="A123" t="s">
        <v>31</v>
      </c>
      <c r="B123">
        <v>185</v>
      </c>
      <c r="C123">
        <v>152</v>
      </c>
      <c r="D123">
        <v>1633</v>
      </c>
      <c r="G123" t="s">
        <v>3445</v>
      </c>
      <c r="I123" t="s">
        <v>3445</v>
      </c>
      <c r="J123" t="s">
        <v>3620</v>
      </c>
      <c r="K123" t="s">
        <v>3620</v>
      </c>
      <c r="L123" t="s">
        <v>3621</v>
      </c>
      <c r="N123" t="s">
        <v>3448</v>
      </c>
      <c r="P123" t="s">
        <v>778</v>
      </c>
      <c r="U123" t="s">
        <v>319</v>
      </c>
      <c r="V123" t="s">
        <v>816</v>
      </c>
      <c r="W123" t="s">
        <v>817</v>
      </c>
      <c r="X123">
        <v>33696</v>
      </c>
      <c r="Y123">
        <v>0</v>
      </c>
      <c r="AA123">
        <v>0</v>
      </c>
      <c r="AB123" s="31">
        <v>45681</v>
      </c>
      <c r="AC123" s="61">
        <v>0.66790509259259256</v>
      </c>
      <c r="AD123" t="s">
        <v>818</v>
      </c>
      <c r="AE123" s="31">
        <v>45681</v>
      </c>
      <c r="AF123" s="61">
        <v>0.67667824074074079</v>
      </c>
      <c r="AI123" t="s">
        <v>3619</v>
      </c>
      <c r="AR123">
        <v>1</v>
      </c>
    </row>
    <row r="124" spans="1:44" x14ac:dyDescent="0.25">
      <c r="A124" t="s">
        <v>31</v>
      </c>
      <c r="B124">
        <v>186</v>
      </c>
      <c r="C124">
        <v>76</v>
      </c>
      <c r="D124">
        <v>1634</v>
      </c>
      <c r="G124" t="s">
        <v>3622</v>
      </c>
      <c r="I124" t="s">
        <v>225</v>
      </c>
      <c r="J124" t="s">
        <v>1499</v>
      </c>
      <c r="K124" t="s">
        <v>1499</v>
      </c>
      <c r="L124" t="s">
        <v>3623</v>
      </c>
      <c r="N124" t="s">
        <v>3233</v>
      </c>
      <c r="P124" t="s">
        <v>778</v>
      </c>
      <c r="Q124" t="s">
        <v>3234</v>
      </c>
      <c r="R124" t="s">
        <v>1699</v>
      </c>
      <c r="U124" t="s">
        <v>319</v>
      </c>
      <c r="V124" t="s">
        <v>3417</v>
      </c>
      <c r="X124">
        <v>67392</v>
      </c>
      <c r="Y124">
        <v>3564</v>
      </c>
      <c r="AA124">
        <v>45</v>
      </c>
      <c r="AB124" s="31">
        <v>45681</v>
      </c>
      <c r="AC124" s="61">
        <v>0.6774768518518518</v>
      </c>
      <c r="AD124" t="s">
        <v>795</v>
      </c>
      <c r="AE124" s="31">
        <v>45726</v>
      </c>
      <c r="AF124" s="61">
        <v>0.42464120370370367</v>
      </c>
      <c r="AG124" t="s">
        <v>796</v>
      </c>
      <c r="AI124" t="s">
        <v>3619</v>
      </c>
      <c r="AJ124" t="s">
        <v>3619</v>
      </c>
      <c r="AR124">
        <v>1</v>
      </c>
    </row>
    <row r="125" spans="1:44" x14ac:dyDescent="0.25">
      <c r="A125" t="s">
        <v>31</v>
      </c>
      <c r="B125">
        <v>189</v>
      </c>
      <c r="C125">
        <v>186</v>
      </c>
      <c r="D125">
        <v>1645</v>
      </c>
      <c r="G125" t="s">
        <v>3624</v>
      </c>
      <c r="H125">
        <v>10899939000193</v>
      </c>
      <c r="I125" t="s">
        <v>3625</v>
      </c>
      <c r="J125" t="s">
        <v>704</v>
      </c>
      <c r="K125" t="s">
        <v>704</v>
      </c>
      <c r="L125" t="s">
        <v>3626</v>
      </c>
      <c r="N125" t="s">
        <v>3627</v>
      </c>
      <c r="P125" t="s">
        <v>3628</v>
      </c>
      <c r="Q125" t="s">
        <v>3629</v>
      </c>
      <c r="R125" t="s">
        <v>932</v>
      </c>
      <c r="U125" t="s">
        <v>319</v>
      </c>
      <c r="V125" t="s">
        <v>816</v>
      </c>
      <c r="W125" t="s">
        <v>817</v>
      </c>
      <c r="X125">
        <v>33696</v>
      </c>
      <c r="Y125">
        <v>3564</v>
      </c>
      <c r="AA125">
        <v>1</v>
      </c>
      <c r="AB125" s="31">
        <v>45684</v>
      </c>
      <c r="AC125" s="61">
        <v>0.69358796296296299</v>
      </c>
      <c r="AD125" t="s">
        <v>818</v>
      </c>
      <c r="AE125" s="31">
        <v>45685</v>
      </c>
      <c r="AF125" s="61">
        <v>0.37228009259259259</v>
      </c>
      <c r="AI125" t="s">
        <v>3630</v>
      </c>
      <c r="AR125">
        <v>1</v>
      </c>
    </row>
    <row r="126" spans="1:44" x14ac:dyDescent="0.25">
      <c r="A126" t="s">
        <v>31</v>
      </c>
      <c r="B126">
        <v>190</v>
      </c>
      <c r="C126">
        <v>187</v>
      </c>
      <c r="D126">
        <v>1646</v>
      </c>
      <c r="G126" t="s">
        <v>439</v>
      </c>
      <c r="H126">
        <v>17063632000105</v>
      </c>
      <c r="I126" t="s">
        <v>3631</v>
      </c>
      <c r="J126" t="s">
        <v>3632</v>
      </c>
      <c r="K126" t="s">
        <v>3632</v>
      </c>
      <c r="L126" t="s">
        <v>3633</v>
      </c>
      <c r="N126" t="s">
        <v>3634</v>
      </c>
      <c r="P126" t="s">
        <v>3635</v>
      </c>
      <c r="Q126" t="s">
        <v>3636</v>
      </c>
      <c r="R126" t="s">
        <v>1699</v>
      </c>
      <c r="U126" t="s">
        <v>319</v>
      </c>
      <c r="V126" t="s">
        <v>3417</v>
      </c>
      <c r="X126">
        <v>116253</v>
      </c>
      <c r="Y126">
        <v>0</v>
      </c>
      <c r="AA126">
        <v>11</v>
      </c>
      <c r="AB126" s="31">
        <v>45684</v>
      </c>
      <c r="AC126" s="61">
        <v>0.71214120370370371</v>
      </c>
      <c r="AD126" t="s">
        <v>795</v>
      </c>
      <c r="AE126" s="31">
        <v>45695</v>
      </c>
      <c r="AF126" s="61">
        <v>0.66339120370370375</v>
      </c>
      <c r="AG126" t="s">
        <v>934</v>
      </c>
      <c r="AI126" t="s">
        <v>3630</v>
      </c>
      <c r="AR126">
        <v>1</v>
      </c>
    </row>
    <row r="127" spans="1:44" x14ac:dyDescent="0.25">
      <c r="A127" t="s">
        <v>31</v>
      </c>
      <c r="B127">
        <v>192</v>
      </c>
      <c r="C127">
        <v>146</v>
      </c>
      <c r="D127">
        <v>1652</v>
      </c>
      <c r="G127" t="s">
        <v>3637</v>
      </c>
      <c r="I127" t="s">
        <v>3425</v>
      </c>
      <c r="J127" t="s">
        <v>3426</v>
      </c>
      <c r="K127" t="s">
        <v>3426</v>
      </c>
      <c r="L127" t="s">
        <v>3515</v>
      </c>
      <c r="N127" t="s">
        <v>3428</v>
      </c>
      <c r="P127" t="s">
        <v>778</v>
      </c>
      <c r="U127" t="s">
        <v>319</v>
      </c>
      <c r="V127" t="s">
        <v>816</v>
      </c>
      <c r="W127" t="s">
        <v>3558</v>
      </c>
      <c r="X127">
        <v>63179</v>
      </c>
      <c r="Y127">
        <v>0</v>
      </c>
      <c r="AA127">
        <v>0</v>
      </c>
      <c r="AB127" s="31">
        <v>45685</v>
      </c>
      <c r="AC127" s="61">
        <v>0.69449074074074069</v>
      </c>
      <c r="AD127" t="s">
        <v>818</v>
      </c>
      <c r="AE127" s="31">
        <v>45685</v>
      </c>
      <c r="AF127" s="61">
        <v>0.69738425925925929</v>
      </c>
      <c r="AI127" t="s">
        <v>1187</v>
      </c>
      <c r="AR127">
        <v>1</v>
      </c>
    </row>
    <row r="128" spans="1:44" x14ac:dyDescent="0.25">
      <c r="A128" t="s">
        <v>31</v>
      </c>
      <c r="B128">
        <v>194</v>
      </c>
      <c r="C128">
        <v>188</v>
      </c>
      <c r="D128">
        <v>1654</v>
      </c>
      <c r="G128" t="s">
        <v>3638</v>
      </c>
      <c r="H128">
        <v>134729000150</v>
      </c>
      <c r="I128" t="s">
        <v>3639</v>
      </c>
      <c r="J128" t="s">
        <v>3640</v>
      </c>
      <c r="K128" t="s">
        <v>3640</v>
      </c>
      <c r="L128" t="s">
        <v>3641</v>
      </c>
      <c r="N128" t="s">
        <v>3642</v>
      </c>
      <c r="P128" t="s">
        <v>3643</v>
      </c>
      <c r="Q128" t="s">
        <v>847</v>
      </c>
      <c r="R128" t="s">
        <v>848</v>
      </c>
      <c r="T128" t="s">
        <v>1327</v>
      </c>
      <c r="U128" t="s">
        <v>319</v>
      </c>
      <c r="V128" t="s">
        <v>3417</v>
      </c>
      <c r="X128">
        <v>1600</v>
      </c>
      <c r="Y128">
        <v>674148</v>
      </c>
      <c r="AA128">
        <v>22</v>
      </c>
      <c r="AB128" s="31">
        <v>45685</v>
      </c>
      <c r="AC128" s="61">
        <v>0.70484953703703701</v>
      </c>
      <c r="AD128" t="s">
        <v>795</v>
      </c>
      <c r="AE128" s="31">
        <v>45707</v>
      </c>
      <c r="AF128" s="61">
        <v>0.37031249999999999</v>
      </c>
      <c r="AG128" t="s">
        <v>796</v>
      </c>
      <c r="AI128" t="s">
        <v>1187</v>
      </c>
      <c r="AJ128" t="s">
        <v>1187</v>
      </c>
      <c r="AR128">
        <v>1</v>
      </c>
    </row>
    <row r="129" spans="1:44" x14ac:dyDescent="0.25">
      <c r="A129" t="s">
        <v>31</v>
      </c>
      <c r="B129">
        <v>216</v>
      </c>
      <c r="C129">
        <v>149</v>
      </c>
      <c r="D129">
        <v>1716</v>
      </c>
      <c r="G129" t="s">
        <v>3644</v>
      </c>
      <c r="H129">
        <v>12418196000118</v>
      </c>
      <c r="I129" t="s">
        <v>3645</v>
      </c>
      <c r="J129" t="s">
        <v>3646</v>
      </c>
      <c r="K129" t="s">
        <v>3646</v>
      </c>
      <c r="L129" t="s">
        <v>3647</v>
      </c>
      <c r="N129" t="s">
        <v>3648</v>
      </c>
      <c r="P129" t="s">
        <v>778</v>
      </c>
      <c r="U129" t="s">
        <v>319</v>
      </c>
      <c r="V129" t="s">
        <v>3417</v>
      </c>
      <c r="X129">
        <v>1600</v>
      </c>
      <c r="Y129">
        <v>1458885</v>
      </c>
      <c r="AA129">
        <v>39</v>
      </c>
      <c r="AB129" s="31">
        <v>45694</v>
      </c>
      <c r="AC129" s="61">
        <v>0.58359953703703704</v>
      </c>
      <c r="AD129" t="s">
        <v>795</v>
      </c>
      <c r="AE129" s="31">
        <v>45733</v>
      </c>
      <c r="AF129" s="61">
        <v>0.40326388888888892</v>
      </c>
      <c r="AG129" t="s">
        <v>796</v>
      </c>
      <c r="AI129" t="s">
        <v>1293</v>
      </c>
      <c r="AJ129" t="s">
        <v>1293</v>
      </c>
      <c r="AR129">
        <v>1</v>
      </c>
    </row>
    <row r="130" spans="1:44" x14ac:dyDescent="0.25">
      <c r="A130" t="s">
        <v>31</v>
      </c>
      <c r="B130">
        <v>217</v>
      </c>
      <c r="C130">
        <v>102</v>
      </c>
      <c r="D130">
        <v>1717</v>
      </c>
      <c r="G130" t="s">
        <v>3649</v>
      </c>
      <c r="I130" t="s">
        <v>3306</v>
      </c>
      <c r="J130" t="s">
        <v>3650</v>
      </c>
      <c r="K130" t="s">
        <v>3650</v>
      </c>
      <c r="L130" t="s">
        <v>3651</v>
      </c>
      <c r="N130" t="s">
        <v>3308</v>
      </c>
      <c r="P130" t="s">
        <v>778</v>
      </c>
      <c r="T130" t="s">
        <v>1266</v>
      </c>
      <c r="U130" t="s">
        <v>319</v>
      </c>
      <c r="V130" t="s">
        <v>3417</v>
      </c>
      <c r="X130">
        <v>16200</v>
      </c>
      <c r="Y130">
        <v>2160</v>
      </c>
      <c r="AA130">
        <v>39</v>
      </c>
      <c r="AB130" s="31">
        <v>45694</v>
      </c>
      <c r="AC130" s="61">
        <v>0.61443287037037042</v>
      </c>
      <c r="AD130" t="s">
        <v>795</v>
      </c>
      <c r="AE130" s="31">
        <v>45733</v>
      </c>
      <c r="AF130" s="61">
        <v>0.40384259259259259</v>
      </c>
      <c r="AG130" t="s">
        <v>796</v>
      </c>
      <c r="AI130" t="s">
        <v>1293</v>
      </c>
      <c r="AJ130" t="s">
        <v>1293</v>
      </c>
      <c r="AR130">
        <v>1</v>
      </c>
    </row>
    <row r="131" spans="1:44" x14ac:dyDescent="0.25">
      <c r="A131" t="s">
        <v>31</v>
      </c>
      <c r="B131">
        <v>218</v>
      </c>
      <c r="C131">
        <v>76</v>
      </c>
      <c r="D131">
        <v>1718</v>
      </c>
      <c r="G131" t="s">
        <v>3652</v>
      </c>
      <c r="I131" t="s">
        <v>225</v>
      </c>
      <c r="J131" t="s">
        <v>3653</v>
      </c>
      <c r="K131" t="s">
        <v>3653</v>
      </c>
      <c r="L131" t="s">
        <v>3623</v>
      </c>
      <c r="N131" t="s">
        <v>3233</v>
      </c>
      <c r="P131" t="s">
        <v>778</v>
      </c>
      <c r="Q131" t="s">
        <v>3234</v>
      </c>
      <c r="R131" t="s">
        <v>1699</v>
      </c>
      <c r="T131" t="s">
        <v>1266</v>
      </c>
      <c r="U131" t="s">
        <v>319</v>
      </c>
      <c r="V131" t="s">
        <v>781</v>
      </c>
      <c r="AA131">
        <v>67</v>
      </c>
      <c r="AB131" s="31">
        <v>45694</v>
      </c>
      <c r="AC131" s="61">
        <v>0.63978009259259261</v>
      </c>
      <c r="AD131" t="s">
        <v>795</v>
      </c>
      <c r="AE131" s="31">
        <v>45761</v>
      </c>
      <c r="AF131" s="61">
        <v>0.36935185185185188</v>
      </c>
      <c r="AG131" t="s">
        <v>796</v>
      </c>
      <c r="AR131">
        <v>1</v>
      </c>
    </row>
    <row r="132" spans="1:44" x14ac:dyDescent="0.25">
      <c r="A132" t="s">
        <v>31</v>
      </c>
      <c r="B132">
        <v>220</v>
      </c>
      <c r="C132">
        <v>129</v>
      </c>
      <c r="D132">
        <v>1723</v>
      </c>
      <c r="G132" t="s">
        <v>3654</v>
      </c>
      <c r="I132" t="s">
        <v>679</v>
      </c>
      <c r="J132" t="s">
        <v>3655</v>
      </c>
      <c r="K132" t="s">
        <v>3655</v>
      </c>
      <c r="L132" t="s">
        <v>3537</v>
      </c>
      <c r="N132" t="s">
        <v>3366</v>
      </c>
      <c r="P132" t="s">
        <v>778</v>
      </c>
      <c r="U132" t="s">
        <v>319</v>
      </c>
      <c r="V132" t="s">
        <v>816</v>
      </c>
      <c r="X132">
        <v>321408</v>
      </c>
      <c r="Y132">
        <v>57024</v>
      </c>
      <c r="AA132">
        <v>48</v>
      </c>
      <c r="AB132" s="31">
        <v>45695</v>
      </c>
      <c r="AC132" s="61">
        <v>0.36967592592592591</v>
      </c>
      <c r="AD132" t="s">
        <v>795</v>
      </c>
      <c r="AE132" s="31">
        <v>45743</v>
      </c>
      <c r="AF132" s="61">
        <v>0.35805555555555563</v>
      </c>
      <c r="AG132" t="s">
        <v>796</v>
      </c>
      <c r="AI132" t="s">
        <v>1292</v>
      </c>
      <c r="AJ132" t="s">
        <v>1293</v>
      </c>
      <c r="AR132">
        <v>1</v>
      </c>
    </row>
    <row r="133" spans="1:44" x14ac:dyDescent="0.25">
      <c r="A133" t="s">
        <v>31</v>
      </c>
      <c r="B133">
        <v>221</v>
      </c>
      <c r="C133">
        <v>129</v>
      </c>
      <c r="D133">
        <v>1724</v>
      </c>
      <c r="G133" t="s">
        <v>3656</v>
      </c>
      <c r="I133" t="s">
        <v>679</v>
      </c>
      <c r="J133" t="s">
        <v>928</v>
      </c>
      <c r="K133" t="s">
        <v>928</v>
      </c>
      <c r="L133" t="s">
        <v>3537</v>
      </c>
      <c r="N133" t="s">
        <v>3366</v>
      </c>
      <c r="P133" t="s">
        <v>778</v>
      </c>
      <c r="T133" t="s">
        <v>1266</v>
      </c>
      <c r="U133" t="s">
        <v>319</v>
      </c>
      <c r="V133" t="s">
        <v>816</v>
      </c>
      <c r="X133">
        <v>23580</v>
      </c>
      <c r="Y133">
        <v>3400</v>
      </c>
      <c r="AA133">
        <v>48</v>
      </c>
      <c r="AB133" s="31">
        <v>45695</v>
      </c>
      <c r="AC133" s="61">
        <v>0.41024305555555562</v>
      </c>
      <c r="AD133" t="s">
        <v>795</v>
      </c>
      <c r="AE133" s="31">
        <v>45743</v>
      </c>
      <c r="AF133" s="61">
        <v>0.35790509259259262</v>
      </c>
      <c r="AG133" t="s">
        <v>796</v>
      </c>
      <c r="AI133" t="s">
        <v>1292</v>
      </c>
      <c r="AJ133" t="s">
        <v>1293</v>
      </c>
      <c r="AR133">
        <v>1</v>
      </c>
    </row>
    <row r="134" spans="1:44" x14ac:dyDescent="0.25">
      <c r="A134" t="s">
        <v>31</v>
      </c>
      <c r="B134">
        <v>222</v>
      </c>
      <c r="C134">
        <v>172</v>
      </c>
      <c r="D134">
        <v>1725</v>
      </c>
      <c r="G134" t="s">
        <v>3657</v>
      </c>
      <c r="H134">
        <v>33561753000125</v>
      </c>
      <c r="I134" t="s">
        <v>3501</v>
      </c>
      <c r="J134" t="s">
        <v>952</v>
      </c>
      <c r="K134" t="s">
        <v>952</v>
      </c>
      <c r="L134" t="s">
        <v>3502</v>
      </c>
      <c r="N134" t="s">
        <v>3503</v>
      </c>
      <c r="P134" t="s">
        <v>3504</v>
      </c>
      <c r="Q134" t="s">
        <v>3505</v>
      </c>
      <c r="R134" t="s">
        <v>790</v>
      </c>
      <c r="T134" t="s">
        <v>1266</v>
      </c>
      <c r="U134" t="s">
        <v>319</v>
      </c>
      <c r="V134" t="s">
        <v>3417</v>
      </c>
      <c r="X134">
        <v>23580</v>
      </c>
      <c r="Y134">
        <v>3400</v>
      </c>
      <c r="AA134">
        <v>91</v>
      </c>
      <c r="AB134" s="31">
        <v>45695</v>
      </c>
      <c r="AC134" s="61">
        <v>0.44217592592592592</v>
      </c>
      <c r="AD134" t="s">
        <v>795</v>
      </c>
      <c r="AE134" s="31">
        <v>45786</v>
      </c>
      <c r="AF134" s="61">
        <v>0.6146759259259259</v>
      </c>
      <c r="AG134" t="s">
        <v>934</v>
      </c>
      <c r="AI134" t="s">
        <v>1292</v>
      </c>
      <c r="AJ134" t="s">
        <v>1286</v>
      </c>
      <c r="AR134">
        <v>1</v>
      </c>
    </row>
    <row r="135" spans="1:44" x14ac:dyDescent="0.25">
      <c r="A135" t="s">
        <v>31</v>
      </c>
      <c r="B135">
        <v>223</v>
      </c>
      <c r="C135">
        <v>172</v>
      </c>
      <c r="D135">
        <v>1726</v>
      </c>
      <c r="G135" t="s">
        <v>3658</v>
      </c>
      <c r="H135">
        <v>33561753000125</v>
      </c>
      <c r="I135" t="s">
        <v>3501</v>
      </c>
      <c r="J135" t="s">
        <v>952</v>
      </c>
      <c r="K135" t="s">
        <v>952</v>
      </c>
      <c r="L135" t="s">
        <v>3502</v>
      </c>
      <c r="N135" t="s">
        <v>3503</v>
      </c>
      <c r="P135" t="s">
        <v>3504</v>
      </c>
      <c r="Q135" t="s">
        <v>3505</v>
      </c>
      <c r="R135" t="s">
        <v>790</v>
      </c>
      <c r="T135" t="s">
        <v>1266</v>
      </c>
      <c r="U135" t="s">
        <v>319</v>
      </c>
      <c r="V135" t="s">
        <v>3417</v>
      </c>
      <c r="X135">
        <v>214272</v>
      </c>
      <c r="Y135">
        <v>48472</v>
      </c>
      <c r="AA135">
        <v>91</v>
      </c>
      <c r="AB135" s="31">
        <v>45695</v>
      </c>
      <c r="AC135" s="61">
        <v>0.44530092592592591</v>
      </c>
      <c r="AD135" t="s">
        <v>795</v>
      </c>
      <c r="AE135" s="31">
        <v>45786</v>
      </c>
      <c r="AF135" s="61">
        <v>0.61391203703703701</v>
      </c>
      <c r="AG135" t="s">
        <v>934</v>
      </c>
      <c r="AI135" t="s">
        <v>1292</v>
      </c>
      <c r="AJ135" t="s">
        <v>1286</v>
      </c>
      <c r="AR135">
        <v>1</v>
      </c>
    </row>
    <row r="136" spans="1:44" x14ac:dyDescent="0.25">
      <c r="A136" t="s">
        <v>31</v>
      </c>
      <c r="B136">
        <v>224</v>
      </c>
      <c r="C136">
        <v>172</v>
      </c>
      <c r="D136">
        <v>1727</v>
      </c>
      <c r="G136" t="s">
        <v>3659</v>
      </c>
      <c r="H136">
        <v>33561753000125</v>
      </c>
      <c r="I136" t="s">
        <v>3501</v>
      </c>
      <c r="J136" t="s">
        <v>952</v>
      </c>
      <c r="K136" t="s">
        <v>952</v>
      </c>
      <c r="L136" t="s">
        <v>3502</v>
      </c>
      <c r="N136" t="s">
        <v>3503</v>
      </c>
      <c r="P136" t="s">
        <v>3504</v>
      </c>
      <c r="Q136" t="s">
        <v>3505</v>
      </c>
      <c r="R136" t="s">
        <v>790</v>
      </c>
      <c r="T136" t="s">
        <v>1266</v>
      </c>
      <c r="U136" t="s">
        <v>319</v>
      </c>
      <c r="V136" t="s">
        <v>3417</v>
      </c>
      <c r="X136">
        <v>142848</v>
      </c>
      <c r="Y136">
        <v>0</v>
      </c>
      <c r="AA136">
        <v>91</v>
      </c>
      <c r="AB136" s="31">
        <v>45695</v>
      </c>
      <c r="AC136" s="61">
        <v>0.45251157407407411</v>
      </c>
      <c r="AD136" t="s">
        <v>795</v>
      </c>
      <c r="AE136" s="31">
        <v>45786</v>
      </c>
      <c r="AF136" s="61">
        <v>0.61659722222222224</v>
      </c>
      <c r="AG136" t="s">
        <v>934</v>
      </c>
      <c r="AI136" t="s">
        <v>1292</v>
      </c>
      <c r="AJ136" t="s">
        <v>1286</v>
      </c>
      <c r="AR136">
        <v>1</v>
      </c>
    </row>
    <row r="137" spans="1:44" x14ac:dyDescent="0.25">
      <c r="A137" t="s">
        <v>31</v>
      </c>
      <c r="B137">
        <v>225</v>
      </c>
      <c r="C137">
        <v>172</v>
      </c>
      <c r="D137">
        <v>1728</v>
      </c>
      <c r="G137" t="s">
        <v>3660</v>
      </c>
      <c r="H137">
        <v>33561753000125</v>
      </c>
      <c r="I137" t="s">
        <v>3501</v>
      </c>
      <c r="J137" t="s">
        <v>952</v>
      </c>
      <c r="K137" t="s">
        <v>952</v>
      </c>
      <c r="L137" t="s">
        <v>3502</v>
      </c>
      <c r="N137" t="s">
        <v>3503</v>
      </c>
      <c r="P137" t="s">
        <v>3504</v>
      </c>
      <c r="Q137" t="s">
        <v>3505</v>
      </c>
      <c r="R137" t="s">
        <v>790</v>
      </c>
      <c r="T137" t="s">
        <v>1266</v>
      </c>
      <c r="U137" t="s">
        <v>319</v>
      </c>
      <c r="V137" t="s">
        <v>3417</v>
      </c>
      <c r="X137">
        <v>1600</v>
      </c>
      <c r="Y137">
        <v>235228</v>
      </c>
      <c r="AA137">
        <v>91</v>
      </c>
      <c r="AB137" s="31">
        <v>45695</v>
      </c>
      <c r="AC137" s="61">
        <v>0.45512731481481478</v>
      </c>
      <c r="AD137" t="s">
        <v>795</v>
      </c>
      <c r="AE137" s="31">
        <v>45786</v>
      </c>
      <c r="AF137" s="61">
        <v>0.61518518518518517</v>
      </c>
      <c r="AG137" t="s">
        <v>934</v>
      </c>
      <c r="AI137" t="s">
        <v>1292</v>
      </c>
      <c r="AJ137" t="s">
        <v>1286</v>
      </c>
      <c r="AR137">
        <v>1</v>
      </c>
    </row>
    <row r="138" spans="1:44" x14ac:dyDescent="0.25">
      <c r="A138" t="s">
        <v>31</v>
      </c>
      <c r="B138">
        <v>226</v>
      </c>
      <c r="C138">
        <v>152</v>
      </c>
      <c r="D138">
        <v>1729</v>
      </c>
      <c r="G138" t="s">
        <v>3661</v>
      </c>
      <c r="I138" t="s">
        <v>3445</v>
      </c>
      <c r="J138" t="s">
        <v>3662</v>
      </c>
      <c r="K138" t="s">
        <v>3662</v>
      </c>
      <c r="L138" t="s">
        <v>3621</v>
      </c>
      <c r="N138" t="s">
        <v>3448</v>
      </c>
      <c r="P138" t="s">
        <v>778</v>
      </c>
      <c r="U138" t="s">
        <v>319</v>
      </c>
      <c r="V138" t="s">
        <v>816</v>
      </c>
      <c r="X138">
        <v>89361</v>
      </c>
      <c r="Y138">
        <v>0</v>
      </c>
      <c r="AA138">
        <v>26</v>
      </c>
      <c r="AB138" s="31">
        <v>45695</v>
      </c>
      <c r="AC138" s="61">
        <v>0.55688657407407405</v>
      </c>
      <c r="AD138" t="s">
        <v>795</v>
      </c>
      <c r="AE138" s="31">
        <v>45721</v>
      </c>
      <c r="AF138" s="61">
        <v>0.42237268518518523</v>
      </c>
      <c r="AG138" t="s">
        <v>3463</v>
      </c>
      <c r="AI138" t="s">
        <v>1292</v>
      </c>
      <c r="AR138">
        <v>1</v>
      </c>
    </row>
    <row r="139" spans="1:44" x14ac:dyDescent="0.25">
      <c r="A139" t="s">
        <v>31</v>
      </c>
      <c r="B139">
        <v>227</v>
      </c>
      <c r="C139">
        <v>171</v>
      </c>
      <c r="D139">
        <v>1730</v>
      </c>
      <c r="G139" t="s">
        <v>3663</v>
      </c>
      <c r="H139">
        <v>39955762000187</v>
      </c>
      <c r="I139" t="s">
        <v>3484</v>
      </c>
      <c r="J139" t="s">
        <v>3664</v>
      </c>
      <c r="K139" t="s">
        <v>3664</v>
      </c>
      <c r="L139" t="s">
        <v>3665</v>
      </c>
      <c r="N139" t="s">
        <v>3487</v>
      </c>
      <c r="P139" t="s">
        <v>3488</v>
      </c>
      <c r="Q139" t="s">
        <v>1094</v>
      </c>
      <c r="R139" t="s">
        <v>790</v>
      </c>
      <c r="U139" t="s">
        <v>319</v>
      </c>
      <c r="V139" t="s">
        <v>3417</v>
      </c>
      <c r="X139">
        <v>245704</v>
      </c>
      <c r="Y139">
        <v>0</v>
      </c>
      <c r="AA139">
        <v>7</v>
      </c>
      <c r="AB139" s="31">
        <v>45695</v>
      </c>
      <c r="AC139" s="61">
        <v>0.55918981481481478</v>
      </c>
      <c r="AD139" t="s">
        <v>795</v>
      </c>
      <c r="AE139" s="31">
        <v>45702</v>
      </c>
      <c r="AF139" s="61">
        <v>0.4418287037037037</v>
      </c>
      <c r="AG139" t="s">
        <v>796</v>
      </c>
      <c r="AI139" t="s">
        <v>1292</v>
      </c>
      <c r="AR139">
        <v>1</v>
      </c>
    </row>
    <row r="140" spans="1:44" x14ac:dyDescent="0.25">
      <c r="A140" t="s">
        <v>31</v>
      </c>
      <c r="B140">
        <v>228</v>
      </c>
      <c r="C140">
        <v>103</v>
      </c>
      <c r="D140">
        <v>1731</v>
      </c>
      <c r="G140" t="s">
        <v>3666</v>
      </c>
      <c r="H140">
        <v>12549273000179</v>
      </c>
      <c r="I140" t="s">
        <v>3309</v>
      </c>
      <c r="J140" t="s">
        <v>1804</v>
      </c>
      <c r="K140" t="s">
        <v>1804</v>
      </c>
      <c r="L140" t="s">
        <v>3667</v>
      </c>
      <c r="N140" t="s">
        <v>3312</v>
      </c>
      <c r="P140" t="s">
        <v>3313</v>
      </c>
      <c r="Q140" t="s">
        <v>1596</v>
      </c>
      <c r="R140" t="s">
        <v>790</v>
      </c>
      <c r="U140" t="s">
        <v>319</v>
      </c>
      <c r="V140" t="s">
        <v>3417</v>
      </c>
      <c r="X140">
        <v>7413</v>
      </c>
      <c r="Y140">
        <v>0</v>
      </c>
      <c r="AA140">
        <v>33</v>
      </c>
      <c r="AB140" s="31">
        <v>45695</v>
      </c>
      <c r="AC140" s="61">
        <v>0.56200231481481477</v>
      </c>
      <c r="AD140" t="s">
        <v>795</v>
      </c>
      <c r="AE140" s="31">
        <v>45728</v>
      </c>
      <c r="AF140" s="61">
        <v>0.63368055555555558</v>
      </c>
      <c r="AG140" t="s">
        <v>796</v>
      </c>
      <c r="AI140" t="s">
        <v>1292</v>
      </c>
      <c r="AR140">
        <v>1</v>
      </c>
    </row>
    <row r="141" spans="1:44" x14ac:dyDescent="0.25">
      <c r="A141" t="s">
        <v>31</v>
      </c>
      <c r="B141">
        <v>229</v>
      </c>
      <c r="C141">
        <v>81</v>
      </c>
      <c r="D141">
        <v>1732</v>
      </c>
      <c r="G141" t="s">
        <v>3668</v>
      </c>
      <c r="I141" t="s">
        <v>3248</v>
      </c>
      <c r="J141" t="s">
        <v>3669</v>
      </c>
      <c r="K141" t="s">
        <v>3669</v>
      </c>
      <c r="L141" t="s">
        <v>3670</v>
      </c>
      <c r="N141" t="s">
        <v>3250</v>
      </c>
      <c r="P141" t="s">
        <v>778</v>
      </c>
      <c r="T141" t="s">
        <v>1266</v>
      </c>
      <c r="U141" t="s">
        <v>319</v>
      </c>
      <c r="V141" t="s">
        <v>3417</v>
      </c>
      <c r="X141">
        <v>16200</v>
      </c>
      <c r="Y141">
        <v>2160</v>
      </c>
      <c r="AA141">
        <v>6</v>
      </c>
      <c r="AB141" s="31">
        <v>45695</v>
      </c>
      <c r="AC141" s="61">
        <v>0.62017361111111113</v>
      </c>
      <c r="AD141" t="s">
        <v>795</v>
      </c>
      <c r="AE141" s="31">
        <v>45701</v>
      </c>
      <c r="AF141" s="61">
        <v>0.48325231481481479</v>
      </c>
      <c r="AG141" t="s">
        <v>3463</v>
      </c>
      <c r="AI141" t="s">
        <v>1292</v>
      </c>
      <c r="AJ141" t="s">
        <v>1292</v>
      </c>
      <c r="AR141">
        <v>1</v>
      </c>
    </row>
    <row r="142" spans="1:44" x14ac:dyDescent="0.25">
      <c r="A142" t="s">
        <v>31</v>
      </c>
      <c r="B142">
        <v>238</v>
      </c>
      <c r="C142">
        <v>96</v>
      </c>
      <c r="D142">
        <v>1761</v>
      </c>
      <c r="G142" t="s">
        <v>3671</v>
      </c>
      <c r="I142" t="s">
        <v>3291</v>
      </c>
      <c r="J142" t="s">
        <v>704</v>
      </c>
      <c r="K142" t="s">
        <v>704</v>
      </c>
      <c r="L142" t="s">
        <v>3672</v>
      </c>
      <c r="N142" t="s">
        <v>3293</v>
      </c>
      <c r="P142" t="s">
        <v>778</v>
      </c>
      <c r="T142" t="s">
        <v>1327</v>
      </c>
      <c r="U142" t="s">
        <v>319</v>
      </c>
      <c r="V142" t="s">
        <v>3417</v>
      </c>
      <c r="X142">
        <v>16200</v>
      </c>
      <c r="Y142">
        <v>1404</v>
      </c>
      <c r="AA142">
        <v>7</v>
      </c>
      <c r="AB142" s="31">
        <v>45701</v>
      </c>
      <c r="AC142" s="61">
        <v>0.48359953703703712</v>
      </c>
      <c r="AD142" t="s">
        <v>795</v>
      </c>
      <c r="AE142" s="31">
        <v>45708</v>
      </c>
      <c r="AF142" s="61">
        <v>0.38273148148148151</v>
      </c>
      <c r="AG142" t="s">
        <v>3463</v>
      </c>
      <c r="AI142" t="s">
        <v>3673</v>
      </c>
      <c r="AJ142" t="s">
        <v>3673</v>
      </c>
      <c r="AR142">
        <v>1</v>
      </c>
    </row>
    <row r="143" spans="1:44" x14ac:dyDescent="0.25">
      <c r="A143" t="s">
        <v>31</v>
      </c>
      <c r="B143">
        <v>239</v>
      </c>
      <c r="C143">
        <v>130</v>
      </c>
      <c r="D143">
        <v>1762</v>
      </c>
      <c r="G143" t="s">
        <v>3674</v>
      </c>
      <c r="I143" t="s">
        <v>141</v>
      </c>
      <c r="J143" t="s">
        <v>3675</v>
      </c>
      <c r="K143" t="s">
        <v>3675</v>
      </c>
      <c r="L143" t="s">
        <v>3676</v>
      </c>
      <c r="N143" t="s">
        <v>3368</v>
      </c>
      <c r="P143" t="s">
        <v>778</v>
      </c>
      <c r="Q143" t="s">
        <v>923</v>
      </c>
      <c r="R143" t="s">
        <v>790</v>
      </c>
      <c r="T143" t="s">
        <v>1266</v>
      </c>
      <c r="U143" t="s">
        <v>319</v>
      </c>
      <c r="V143" t="s">
        <v>3417</v>
      </c>
      <c r="AA143">
        <v>20</v>
      </c>
      <c r="AB143" s="31">
        <v>45701</v>
      </c>
      <c r="AC143" s="61">
        <v>0.65766203703703707</v>
      </c>
      <c r="AD143" t="s">
        <v>795</v>
      </c>
      <c r="AE143" s="31">
        <v>45721</v>
      </c>
      <c r="AF143" s="61">
        <v>0.42332175925925919</v>
      </c>
      <c r="AG143" t="s">
        <v>796</v>
      </c>
      <c r="AI143" t="s">
        <v>3677</v>
      </c>
      <c r="AJ143" t="s">
        <v>1286</v>
      </c>
      <c r="AR143">
        <v>1</v>
      </c>
    </row>
    <row r="144" spans="1:44" x14ac:dyDescent="0.25">
      <c r="A144" t="s">
        <v>31</v>
      </c>
      <c r="B144">
        <v>240</v>
      </c>
      <c r="C144">
        <v>147</v>
      </c>
      <c r="D144">
        <v>1764</v>
      </c>
      <c r="G144" t="s">
        <v>3678</v>
      </c>
      <c r="H144">
        <v>7964558000136</v>
      </c>
      <c r="I144" t="s">
        <v>3430</v>
      </c>
      <c r="J144" t="s">
        <v>3679</v>
      </c>
      <c r="K144" t="s">
        <v>3679</v>
      </c>
      <c r="L144" t="s">
        <v>3515</v>
      </c>
      <c r="N144" t="s">
        <v>3433</v>
      </c>
      <c r="P144" t="s">
        <v>778</v>
      </c>
      <c r="T144" t="s">
        <v>1266</v>
      </c>
      <c r="U144" t="s">
        <v>319</v>
      </c>
      <c r="V144" t="s">
        <v>781</v>
      </c>
      <c r="AA144">
        <v>20</v>
      </c>
      <c r="AB144" s="31">
        <v>45701</v>
      </c>
      <c r="AC144" s="61">
        <v>0.72121527777777783</v>
      </c>
      <c r="AD144" t="s">
        <v>795</v>
      </c>
      <c r="AE144" s="31">
        <v>45721</v>
      </c>
      <c r="AF144" s="61">
        <v>0.42427083333333332</v>
      </c>
      <c r="AG144" t="s">
        <v>796</v>
      </c>
      <c r="AI144" t="s">
        <v>3677</v>
      </c>
      <c r="AJ144" t="s">
        <v>3677</v>
      </c>
      <c r="AR144">
        <v>1</v>
      </c>
    </row>
    <row r="145" spans="1:44" x14ac:dyDescent="0.25">
      <c r="A145" t="s">
        <v>31</v>
      </c>
      <c r="B145">
        <v>241</v>
      </c>
      <c r="C145">
        <v>170</v>
      </c>
      <c r="D145">
        <v>1765</v>
      </c>
      <c r="G145" t="s">
        <v>3680</v>
      </c>
      <c r="H145">
        <v>4150555001304</v>
      </c>
      <c r="I145" t="s">
        <v>3477</v>
      </c>
      <c r="J145" t="s">
        <v>3478</v>
      </c>
      <c r="K145" t="s">
        <v>3478</v>
      </c>
      <c r="L145" t="s">
        <v>3569</v>
      </c>
      <c r="N145" t="s">
        <v>3480</v>
      </c>
      <c r="P145" t="s">
        <v>3481</v>
      </c>
      <c r="Q145" t="s">
        <v>3482</v>
      </c>
      <c r="R145" t="s">
        <v>1699</v>
      </c>
      <c r="T145" t="s">
        <v>1327</v>
      </c>
      <c r="U145" t="s">
        <v>319</v>
      </c>
      <c r="V145" t="s">
        <v>816</v>
      </c>
      <c r="X145">
        <v>838823</v>
      </c>
      <c r="Y145">
        <v>0</v>
      </c>
      <c r="AA145">
        <v>42</v>
      </c>
      <c r="AB145" s="31">
        <v>45701</v>
      </c>
      <c r="AC145" s="61">
        <v>0.72212962962962968</v>
      </c>
      <c r="AD145" t="s">
        <v>818</v>
      </c>
      <c r="AE145" s="31">
        <v>45743</v>
      </c>
      <c r="AF145" s="61">
        <v>0.67868055555555551</v>
      </c>
      <c r="AR145">
        <v>1</v>
      </c>
    </row>
    <row r="146" spans="1:44" x14ac:dyDescent="0.25">
      <c r="A146" t="s">
        <v>31</v>
      </c>
      <c r="B146">
        <v>243</v>
      </c>
      <c r="C146">
        <v>194</v>
      </c>
      <c r="D146">
        <v>1766</v>
      </c>
      <c r="G146" t="s">
        <v>3681</v>
      </c>
      <c r="H146">
        <v>44580314000186</v>
      </c>
      <c r="I146" t="s">
        <v>3682</v>
      </c>
      <c r="J146" t="s">
        <v>3683</v>
      </c>
      <c r="K146" t="s">
        <v>3683</v>
      </c>
      <c r="L146" t="s">
        <v>3684</v>
      </c>
      <c r="N146" t="s">
        <v>3685</v>
      </c>
      <c r="P146" t="s">
        <v>3686</v>
      </c>
      <c r="Q146" t="s">
        <v>3687</v>
      </c>
      <c r="R146" t="s">
        <v>790</v>
      </c>
      <c r="U146" t="s">
        <v>319</v>
      </c>
      <c r="V146" t="s">
        <v>816</v>
      </c>
      <c r="X146">
        <v>1440</v>
      </c>
      <c r="Y146">
        <v>0</v>
      </c>
      <c r="AA146">
        <v>0</v>
      </c>
      <c r="AB146" s="31">
        <v>45702</v>
      </c>
      <c r="AC146" s="61">
        <v>0.36876157407407412</v>
      </c>
      <c r="AD146" t="s">
        <v>818</v>
      </c>
      <c r="AE146" s="31">
        <v>45702</v>
      </c>
      <c r="AF146" s="61">
        <v>0.40575231481481477</v>
      </c>
      <c r="AI146" t="s">
        <v>1359</v>
      </c>
      <c r="AJ146" t="s">
        <v>1359</v>
      </c>
      <c r="AR146">
        <v>1</v>
      </c>
    </row>
    <row r="147" spans="1:44" x14ac:dyDescent="0.25">
      <c r="A147" t="s">
        <v>31</v>
      </c>
      <c r="B147">
        <v>244</v>
      </c>
      <c r="C147">
        <v>149</v>
      </c>
      <c r="D147">
        <v>1767</v>
      </c>
      <c r="G147" t="s">
        <v>3645</v>
      </c>
      <c r="H147">
        <v>12418196000118</v>
      </c>
      <c r="I147" t="s">
        <v>3645</v>
      </c>
      <c r="J147" t="s">
        <v>3688</v>
      </c>
      <c r="K147" t="s">
        <v>3688</v>
      </c>
      <c r="L147" t="s">
        <v>3647</v>
      </c>
      <c r="N147" t="s">
        <v>3648</v>
      </c>
      <c r="P147" t="s">
        <v>778</v>
      </c>
      <c r="T147" t="s">
        <v>1327</v>
      </c>
      <c r="U147" t="s">
        <v>319</v>
      </c>
      <c r="V147" t="s">
        <v>3417</v>
      </c>
      <c r="AA147">
        <v>0</v>
      </c>
      <c r="AB147" s="31">
        <v>45702</v>
      </c>
      <c r="AC147" s="61">
        <v>0.43881944444444437</v>
      </c>
      <c r="AD147" t="s">
        <v>795</v>
      </c>
      <c r="AE147" s="31">
        <v>45702</v>
      </c>
      <c r="AF147" s="61">
        <v>0.43979166666666669</v>
      </c>
      <c r="AG147" t="s">
        <v>796</v>
      </c>
      <c r="AJ147" t="s">
        <v>1359</v>
      </c>
      <c r="AR147">
        <v>1</v>
      </c>
    </row>
    <row r="148" spans="1:44" x14ac:dyDescent="0.25">
      <c r="A148" t="s">
        <v>31</v>
      </c>
      <c r="B148">
        <v>247</v>
      </c>
      <c r="C148">
        <v>190</v>
      </c>
      <c r="D148">
        <v>1769</v>
      </c>
      <c r="G148" t="s">
        <v>3689</v>
      </c>
      <c r="H148">
        <v>18203215000175</v>
      </c>
      <c r="I148" t="s">
        <v>3690</v>
      </c>
      <c r="J148" t="s">
        <v>3691</v>
      </c>
      <c r="K148" t="s">
        <v>3691</v>
      </c>
      <c r="L148" t="s">
        <v>3692</v>
      </c>
      <c r="N148" t="s">
        <v>3693</v>
      </c>
      <c r="P148" t="s">
        <v>3694</v>
      </c>
      <c r="Q148" t="s">
        <v>3695</v>
      </c>
      <c r="R148" t="s">
        <v>790</v>
      </c>
      <c r="T148" t="s">
        <v>1266</v>
      </c>
      <c r="U148" t="s">
        <v>319</v>
      </c>
      <c r="V148" t="s">
        <v>3409</v>
      </c>
      <c r="X148">
        <v>16200</v>
      </c>
      <c r="Y148">
        <v>2160</v>
      </c>
      <c r="AA148">
        <v>25</v>
      </c>
      <c r="AB148" s="31">
        <v>45702</v>
      </c>
      <c r="AC148" s="61">
        <v>0.48204861111111108</v>
      </c>
      <c r="AD148" t="s">
        <v>795</v>
      </c>
      <c r="AE148" s="31">
        <v>45727</v>
      </c>
      <c r="AF148" s="61">
        <v>0.68393518518518515</v>
      </c>
      <c r="AG148" t="s">
        <v>796</v>
      </c>
      <c r="AI148" t="s">
        <v>1286</v>
      </c>
      <c r="AJ148" t="s">
        <v>1286</v>
      </c>
      <c r="AR148">
        <v>1</v>
      </c>
    </row>
    <row r="149" spans="1:44" x14ac:dyDescent="0.25">
      <c r="A149" t="s">
        <v>31</v>
      </c>
      <c r="B149">
        <v>251</v>
      </c>
      <c r="C149">
        <v>142</v>
      </c>
      <c r="D149">
        <v>1773</v>
      </c>
      <c r="G149" t="s">
        <v>3696</v>
      </c>
      <c r="I149" t="s">
        <v>3397</v>
      </c>
      <c r="J149" t="s">
        <v>3697</v>
      </c>
      <c r="K149" t="s">
        <v>3697</v>
      </c>
      <c r="L149" t="s">
        <v>3698</v>
      </c>
      <c r="N149" t="s">
        <v>3399</v>
      </c>
      <c r="P149" t="s">
        <v>778</v>
      </c>
      <c r="Q149" t="s">
        <v>3400</v>
      </c>
      <c r="R149" t="s">
        <v>1699</v>
      </c>
      <c r="T149" t="s">
        <v>1266</v>
      </c>
      <c r="U149" t="s">
        <v>319</v>
      </c>
      <c r="V149" t="s">
        <v>3417</v>
      </c>
      <c r="X149">
        <v>16200</v>
      </c>
      <c r="Y149">
        <v>2160</v>
      </c>
      <c r="AA149">
        <v>0</v>
      </c>
      <c r="AB149" s="31">
        <v>45702</v>
      </c>
      <c r="AC149" s="61">
        <v>0.70365740740740745</v>
      </c>
      <c r="AD149" t="s">
        <v>795</v>
      </c>
      <c r="AE149" s="31">
        <v>45702</v>
      </c>
      <c r="AF149" s="61">
        <v>0.70915509259259257</v>
      </c>
      <c r="AG149" t="s">
        <v>3463</v>
      </c>
      <c r="AI149" t="s">
        <v>1359</v>
      </c>
      <c r="AJ149" t="s">
        <v>1286</v>
      </c>
      <c r="AR149">
        <v>1</v>
      </c>
    </row>
    <row r="150" spans="1:44" x14ac:dyDescent="0.25">
      <c r="A150" t="s">
        <v>31</v>
      </c>
      <c r="B150">
        <v>252</v>
      </c>
      <c r="C150">
        <v>147</v>
      </c>
      <c r="D150">
        <v>1774</v>
      </c>
      <c r="G150" t="s">
        <v>3699</v>
      </c>
      <c r="H150">
        <v>7964558000136</v>
      </c>
      <c r="I150" t="s">
        <v>3430</v>
      </c>
      <c r="J150" t="s">
        <v>3700</v>
      </c>
      <c r="K150" t="s">
        <v>3700</v>
      </c>
      <c r="L150" t="s">
        <v>3515</v>
      </c>
      <c r="N150" t="s">
        <v>3433</v>
      </c>
      <c r="P150" t="s">
        <v>778</v>
      </c>
      <c r="T150" t="s">
        <v>1327</v>
      </c>
      <c r="U150" t="s">
        <v>319</v>
      </c>
      <c r="V150" t="s">
        <v>3417</v>
      </c>
      <c r="X150">
        <v>4212</v>
      </c>
      <c r="Y150">
        <v>3564</v>
      </c>
      <c r="AA150">
        <v>4</v>
      </c>
      <c r="AB150" s="31">
        <v>45702</v>
      </c>
      <c r="AC150" s="61">
        <v>0.71611111111111114</v>
      </c>
      <c r="AD150" t="s">
        <v>795</v>
      </c>
      <c r="AE150" s="31">
        <v>45706</v>
      </c>
      <c r="AF150" s="61">
        <v>0.71895833333333337</v>
      </c>
      <c r="AG150" t="s">
        <v>796</v>
      </c>
      <c r="AJ150" t="s">
        <v>1359</v>
      </c>
      <c r="AR150">
        <v>1</v>
      </c>
    </row>
    <row r="151" spans="1:44" x14ac:dyDescent="0.25">
      <c r="A151" t="s">
        <v>31</v>
      </c>
      <c r="B151">
        <v>262</v>
      </c>
      <c r="C151">
        <v>137</v>
      </c>
      <c r="D151">
        <v>1787</v>
      </c>
      <c r="G151" t="s">
        <v>3701</v>
      </c>
      <c r="I151" t="s">
        <v>116</v>
      </c>
      <c r="J151" t="s">
        <v>3702</v>
      </c>
      <c r="K151" t="s">
        <v>3702</v>
      </c>
      <c r="L151" t="s">
        <v>3703</v>
      </c>
      <c r="N151" t="s">
        <v>3386</v>
      </c>
      <c r="P151" t="s">
        <v>778</v>
      </c>
      <c r="U151" t="s">
        <v>319</v>
      </c>
      <c r="V151" t="s">
        <v>3417</v>
      </c>
      <c r="X151">
        <v>0</v>
      </c>
      <c r="Y151">
        <v>46332</v>
      </c>
      <c r="AA151">
        <v>77</v>
      </c>
      <c r="AB151" s="31">
        <v>45705</v>
      </c>
      <c r="AC151" s="61">
        <v>0.62427083333333333</v>
      </c>
      <c r="AD151" t="s">
        <v>795</v>
      </c>
      <c r="AE151" s="31">
        <v>45782</v>
      </c>
      <c r="AF151" s="61">
        <v>0.66953703703703704</v>
      </c>
      <c r="AG151" t="s">
        <v>934</v>
      </c>
      <c r="AI151" t="s">
        <v>1378</v>
      </c>
      <c r="AJ151" t="s">
        <v>1359</v>
      </c>
      <c r="AR151">
        <v>1</v>
      </c>
    </row>
    <row r="152" spans="1:44" x14ac:dyDescent="0.25">
      <c r="A152" t="s">
        <v>31</v>
      </c>
      <c r="B152">
        <v>264</v>
      </c>
      <c r="C152">
        <v>170</v>
      </c>
      <c r="D152">
        <v>1791</v>
      </c>
      <c r="G152" t="s">
        <v>3704</v>
      </c>
      <c r="H152">
        <v>4150555001304</v>
      </c>
      <c r="I152" t="s">
        <v>3477</v>
      </c>
      <c r="J152" t="s">
        <v>3478</v>
      </c>
      <c r="K152" t="s">
        <v>3478</v>
      </c>
      <c r="L152" t="s">
        <v>3569</v>
      </c>
      <c r="N152" t="s">
        <v>3480</v>
      </c>
      <c r="P152" t="s">
        <v>3481</v>
      </c>
      <c r="Q152" t="s">
        <v>3482</v>
      </c>
      <c r="R152" t="s">
        <v>1699</v>
      </c>
      <c r="T152" t="s">
        <v>1266</v>
      </c>
      <c r="U152" t="s">
        <v>319</v>
      </c>
      <c r="V152" t="s">
        <v>781</v>
      </c>
      <c r="AA152">
        <v>55</v>
      </c>
      <c r="AB152" s="31">
        <v>45706</v>
      </c>
      <c r="AC152" s="61">
        <v>0.42887731481481478</v>
      </c>
      <c r="AD152" t="s">
        <v>795</v>
      </c>
      <c r="AE152" s="31">
        <v>45761</v>
      </c>
      <c r="AF152" s="61">
        <v>0.36827546296296299</v>
      </c>
      <c r="AG152" t="s">
        <v>796</v>
      </c>
      <c r="AJ152" t="s">
        <v>3705</v>
      </c>
      <c r="AR152">
        <v>1</v>
      </c>
    </row>
    <row r="153" spans="1:44" x14ac:dyDescent="0.25">
      <c r="A153" t="s">
        <v>31</v>
      </c>
      <c r="B153">
        <v>265</v>
      </c>
      <c r="C153">
        <v>103</v>
      </c>
      <c r="D153">
        <v>1864</v>
      </c>
      <c r="G153" t="s">
        <v>3706</v>
      </c>
      <c r="H153">
        <v>12549273000179</v>
      </c>
      <c r="I153" t="s">
        <v>3309</v>
      </c>
      <c r="J153" t="s">
        <v>3707</v>
      </c>
      <c r="K153" t="s">
        <v>3707</v>
      </c>
      <c r="N153" t="s">
        <v>3312</v>
      </c>
      <c r="P153" t="s">
        <v>3313</v>
      </c>
      <c r="Q153" t="s">
        <v>1596</v>
      </c>
      <c r="R153" t="s">
        <v>790</v>
      </c>
      <c r="U153" t="s">
        <v>319</v>
      </c>
      <c r="V153" t="s">
        <v>781</v>
      </c>
      <c r="AA153">
        <v>36</v>
      </c>
      <c r="AB153" s="31">
        <v>45707</v>
      </c>
      <c r="AC153" s="61">
        <v>0.41913194444444452</v>
      </c>
      <c r="AD153" t="s">
        <v>795</v>
      </c>
      <c r="AE153" s="31">
        <v>45743</v>
      </c>
      <c r="AF153" s="61">
        <v>0.6802083333333333</v>
      </c>
      <c r="AG153" t="s">
        <v>796</v>
      </c>
      <c r="AJ153" t="s">
        <v>3708</v>
      </c>
      <c r="AR153">
        <v>1</v>
      </c>
    </row>
    <row r="154" spans="1:44" x14ac:dyDescent="0.25">
      <c r="A154" t="s">
        <v>31</v>
      </c>
      <c r="B154">
        <v>269</v>
      </c>
      <c r="C154">
        <v>183</v>
      </c>
      <c r="D154">
        <v>1615</v>
      </c>
      <c r="G154" t="s">
        <v>3709</v>
      </c>
      <c r="H154">
        <v>3204281000192</v>
      </c>
      <c r="I154" t="s">
        <v>3594</v>
      </c>
      <c r="J154" t="s">
        <v>3595</v>
      </c>
      <c r="K154" t="s">
        <v>3595</v>
      </c>
      <c r="L154" t="s">
        <v>3596</v>
      </c>
      <c r="N154" t="s">
        <v>2617</v>
      </c>
      <c r="P154" t="s">
        <v>3597</v>
      </c>
      <c r="Q154" t="s">
        <v>2618</v>
      </c>
      <c r="R154" t="s">
        <v>790</v>
      </c>
      <c r="U154" t="s">
        <v>319</v>
      </c>
      <c r="V154" t="s">
        <v>816</v>
      </c>
      <c r="X154">
        <v>33696</v>
      </c>
      <c r="Y154">
        <v>0</v>
      </c>
      <c r="AA154">
        <v>0</v>
      </c>
      <c r="AB154" s="31">
        <v>45708</v>
      </c>
      <c r="AC154" s="61">
        <v>0.46069444444444452</v>
      </c>
      <c r="AD154" t="s">
        <v>818</v>
      </c>
      <c r="AE154" s="31">
        <v>45708</v>
      </c>
      <c r="AF154" s="61">
        <v>0.46159722222222221</v>
      </c>
      <c r="AI154" t="s">
        <v>1453</v>
      </c>
      <c r="AR154">
        <v>1</v>
      </c>
    </row>
    <row r="155" spans="1:44" x14ac:dyDescent="0.25">
      <c r="A155" t="s">
        <v>31</v>
      </c>
      <c r="B155">
        <v>271</v>
      </c>
      <c r="C155">
        <v>186</v>
      </c>
      <c r="D155">
        <v>1881</v>
      </c>
      <c r="G155" t="s">
        <v>3710</v>
      </c>
      <c r="H155">
        <v>10899939000193</v>
      </c>
      <c r="I155" t="s">
        <v>3625</v>
      </c>
      <c r="J155" t="s">
        <v>704</v>
      </c>
      <c r="K155" t="s">
        <v>704</v>
      </c>
      <c r="L155" t="s">
        <v>3626</v>
      </c>
      <c r="N155" t="s">
        <v>3627</v>
      </c>
      <c r="P155" t="s">
        <v>3628</v>
      </c>
      <c r="Q155" t="s">
        <v>3629</v>
      </c>
      <c r="R155" t="s">
        <v>932</v>
      </c>
      <c r="U155" t="s">
        <v>319</v>
      </c>
      <c r="V155" t="s">
        <v>3417</v>
      </c>
      <c r="X155">
        <v>1600</v>
      </c>
      <c r="Y155">
        <v>748029</v>
      </c>
      <c r="AA155">
        <v>105</v>
      </c>
      <c r="AB155" s="31">
        <v>45709</v>
      </c>
      <c r="AC155" s="61">
        <v>0.47337962962962971</v>
      </c>
      <c r="AD155" t="s">
        <v>795</v>
      </c>
      <c r="AE155" s="31">
        <v>45814</v>
      </c>
      <c r="AF155" s="61">
        <v>0.62725694444444446</v>
      </c>
      <c r="AG155" t="s">
        <v>934</v>
      </c>
      <c r="AI155" t="s">
        <v>1454</v>
      </c>
      <c r="AJ155" t="s">
        <v>1454</v>
      </c>
      <c r="AR155">
        <v>1</v>
      </c>
    </row>
    <row r="156" spans="1:44" x14ac:dyDescent="0.25">
      <c r="A156" t="s">
        <v>31</v>
      </c>
      <c r="B156">
        <v>274</v>
      </c>
      <c r="C156">
        <v>187</v>
      </c>
      <c r="D156">
        <v>1884</v>
      </c>
      <c r="G156" t="s">
        <v>3711</v>
      </c>
      <c r="H156">
        <v>17063632000105</v>
      </c>
      <c r="I156" t="s">
        <v>3631</v>
      </c>
      <c r="J156" t="s">
        <v>3712</v>
      </c>
      <c r="K156" t="s">
        <v>3712</v>
      </c>
      <c r="L156" t="s">
        <v>3713</v>
      </c>
      <c r="N156" t="s">
        <v>3634</v>
      </c>
      <c r="P156" t="s">
        <v>3635</v>
      </c>
      <c r="Q156" t="s">
        <v>3636</v>
      </c>
      <c r="R156" t="s">
        <v>1699</v>
      </c>
      <c r="U156" t="s">
        <v>319</v>
      </c>
      <c r="V156" t="s">
        <v>781</v>
      </c>
      <c r="AA156">
        <v>0</v>
      </c>
      <c r="AB156" s="31">
        <v>45713</v>
      </c>
      <c r="AC156" s="61">
        <v>0.46167824074074082</v>
      </c>
      <c r="AD156" t="s">
        <v>795</v>
      </c>
      <c r="AE156" s="31">
        <v>45713</v>
      </c>
      <c r="AF156" s="61">
        <v>0.49975694444444452</v>
      </c>
      <c r="AG156" t="s">
        <v>934</v>
      </c>
      <c r="AR156">
        <v>1</v>
      </c>
    </row>
    <row r="157" spans="1:44" x14ac:dyDescent="0.25">
      <c r="A157" t="s">
        <v>31</v>
      </c>
      <c r="B157">
        <v>275</v>
      </c>
      <c r="C157">
        <v>196</v>
      </c>
      <c r="D157">
        <v>1885</v>
      </c>
      <c r="G157" t="s">
        <v>3714</v>
      </c>
      <c r="H157">
        <v>32494222000102</v>
      </c>
      <c r="I157" t="s">
        <v>3715</v>
      </c>
      <c r="J157" t="s">
        <v>3716</v>
      </c>
      <c r="K157" t="s">
        <v>3716</v>
      </c>
      <c r="L157" t="s">
        <v>3717</v>
      </c>
      <c r="N157" t="s">
        <v>3718</v>
      </c>
      <c r="P157" t="s">
        <v>3719</v>
      </c>
      <c r="Q157" t="s">
        <v>3720</v>
      </c>
      <c r="R157" t="s">
        <v>790</v>
      </c>
      <c r="U157" t="s">
        <v>319</v>
      </c>
      <c r="V157" t="s">
        <v>816</v>
      </c>
      <c r="X157">
        <v>2100</v>
      </c>
      <c r="Y157">
        <v>0</v>
      </c>
      <c r="AA157">
        <v>57</v>
      </c>
      <c r="AB157" s="31">
        <v>45713</v>
      </c>
      <c r="AC157" s="61">
        <v>0.63856481481481486</v>
      </c>
      <c r="AD157" t="s">
        <v>818</v>
      </c>
      <c r="AE157" s="31">
        <v>45770</v>
      </c>
      <c r="AF157" s="61">
        <v>0.38543981481481482</v>
      </c>
      <c r="AI157" t="s">
        <v>1583</v>
      </c>
      <c r="AJ157" t="s">
        <v>1619</v>
      </c>
      <c r="AR157">
        <v>1</v>
      </c>
    </row>
    <row r="158" spans="1:44" x14ac:dyDescent="0.25">
      <c r="A158" t="s">
        <v>31</v>
      </c>
      <c r="B158">
        <v>276</v>
      </c>
      <c r="C158">
        <v>118</v>
      </c>
      <c r="D158">
        <v>1886</v>
      </c>
      <c r="G158" t="s">
        <v>3721</v>
      </c>
      <c r="I158" t="s">
        <v>686</v>
      </c>
      <c r="J158" t="s">
        <v>3722</v>
      </c>
      <c r="K158" t="s">
        <v>3722</v>
      </c>
      <c r="L158" t="s">
        <v>3609</v>
      </c>
      <c r="N158" t="s">
        <v>3343</v>
      </c>
      <c r="P158" t="s">
        <v>778</v>
      </c>
      <c r="U158" t="s">
        <v>319</v>
      </c>
      <c r="V158" t="s">
        <v>3417</v>
      </c>
      <c r="X158">
        <v>3360</v>
      </c>
      <c r="Y158">
        <v>3564</v>
      </c>
      <c r="AA158">
        <v>57</v>
      </c>
      <c r="AB158" s="31">
        <v>45713</v>
      </c>
      <c r="AC158" s="61">
        <v>0.65831018518518514</v>
      </c>
      <c r="AD158" t="s">
        <v>795</v>
      </c>
      <c r="AE158" s="31">
        <v>45770</v>
      </c>
      <c r="AF158" s="61">
        <v>0.41612268518518519</v>
      </c>
      <c r="AG158" t="s">
        <v>796</v>
      </c>
      <c r="AI158" t="s">
        <v>3723</v>
      </c>
      <c r="AJ158" t="s">
        <v>3724</v>
      </c>
      <c r="AR158">
        <v>1</v>
      </c>
    </row>
    <row r="159" spans="1:44" x14ac:dyDescent="0.25">
      <c r="A159" t="s">
        <v>31</v>
      </c>
      <c r="B159">
        <v>278</v>
      </c>
      <c r="C159">
        <v>197</v>
      </c>
      <c r="D159">
        <v>1888</v>
      </c>
      <c r="G159" t="s">
        <v>3725</v>
      </c>
      <c r="H159">
        <v>8616236000169</v>
      </c>
      <c r="I159" t="s">
        <v>3726</v>
      </c>
      <c r="J159" t="s">
        <v>704</v>
      </c>
      <c r="K159" t="s">
        <v>704</v>
      </c>
      <c r="L159" t="s">
        <v>3727</v>
      </c>
      <c r="N159" t="s">
        <v>3728</v>
      </c>
      <c r="P159" t="s">
        <v>3729</v>
      </c>
      <c r="Q159" t="s">
        <v>3687</v>
      </c>
      <c r="R159" t="s">
        <v>790</v>
      </c>
      <c r="U159" t="s">
        <v>319</v>
      </c>
      <c r="V159" t="s">
        <v>3417</v>
      </c>
      <c r="X159">
        <v>1600</v>
      </c>
      <c r="Y159">
        <v>867233</v>
      </c>
      <c r="AA159">
        <v>97</v>
      </c>
      <c r="AB159" s="31">
        <v>45714</v>
      </c>
      <c r="AC159" s="61">
        <v>0.51196759259259261</v>
      </c>
      <c r="AD159" t="s">
        <v>795</v>
      </c>
      <c r="AE159" s="31">
        <v>45811</v>
      </c>
      <c r="AF159" s="61">
        <v>0.64706018518518515</v>
      </c>
      <c r="AG159" t="s">
        <v>796</v>
      </c>
      <c r="AI159" t="s">
        <v>1455</v>
      </c>
      <c r="AJ159" t="s">
        <v>1455</v>
      </c>
      <c r="AR159">
        <v>1</v>
      </c>
    </row>
    <row r="160" spans="1:44" x14ac:dyDescent="0.25">
      <c r="A160" t="s">
        <v>31</v>
      </c>
      <c r="B160">
        <v>280</v>
      </c>
      <c r="C160">
        <v>183</v>
      </c>
      <c r="D160">
        <v>1891</v>
      </c>
      <c r="G160" t="s">
        <v>3730</v>
      </c>
      <c r="H160">
        <v>3204281000192</v>
      </c>
      <c r="I160" t="s">
        <v>3594</v>
      </c>
      <c r="J160" t="s">
        <v>3731</v>
      </c>
      <c r="K160" t="s">
        <v>3731</v>
      </c>
      <c r="L160" t="s">
        <v>3596</v>
      </c>
      <c r="N160" t="s">
        <v>2617</v>
      </c>
      <c r="P160" t="s">
        <v>3597</v>
      </c>
      <c r="Q160" t="s">
        <v>2618</v>
      </c>
      <c r="R160" t="s">
        <v>790</v>
      </c>
      <c r="U160" t="s">
        <v>319</v>
      </c>
      <c r="V160" t="s">
        <v>816</v>
      </c>
      <c r="X160">
        <v>23166</v>
      </c>
      <c r="Y160">
        <v>0</v>
      </c>
      <c r="AA160">
        <v>6</v>
      </c>
      <c r="AB160" s="31">
        <v>45715</v>
      </c>
      <c r="AC160" s="61">
        <v>0.70269675925925923</v>
      </c>
      <c r="AD160" t="s">
        <v>818</v>
      </c>
      <c r="AE160" s="31">
        <v>45721</v>
      </c>
      <c r="AF160" s="61">
        <v>0.4221064814814815</v>
      </c>
      <c r="AI160" t="s">
        <v>3732</v>
      </c>
      <c r="AR160">
        <v>1</v>
      </c>
    </row>
    <row r="161" spans="1:44" x14ac:dyDescent="0.25">
      <c r="A161" t="s">
        <v>31</v>
      </c>
      <c r="B161">
        <v>285</v>
      </c>
      <c r="C161">
        <v>191</v>
      </c>
      <c r="D161">
        <v>1899</v>
      </c>
      <c r="G161" t="s">
        <v>3733</v>
      </c>
      <c r="H161">
        <v>18628799000120</v>
      </c>
      <c r="I161" t="s">
        <v>3734</v>
      </c>
      <c r="J161" t="s">
        <v>3735</v>
      </c>
      <c r="K161" t="s">
        <v>3735</v>
      </c>
      <c r="L161" t="s">
        <v>2216</v>
      </c>
      <c r="N161" t="s">
        <v>2217</v>
      </c>
      <c r="P161" t="s">
        <v>3736</v>
      </c>
      <c r="Q161" t="s">
        <v>1094</v>
      </c>
      <c r="R161" t="s">
        <v>790</v>
      </c>
      <c r="U161" t="s">
        <v>319</v>
      </c>
      <c r="V161" t="s">
        <v>3417</v>
      </c>
      <c r="X161">
        <v>21384</v>
      </c>
      <c r="Y161">
        <v>28512</v>
      </c>
      <c r="AA161">
        <v>60</v>
      </c>
      <c r="AB161" s="31">
        <v>45723</v>
      </c>
      <c r="AC161" s="61">
        <v>0.41721064814814812</v>
      </c>
      <c r="AD161" t="s">
        <v>795</v>
      </c>
      <c r="AE161" s="31">
        <v>45783</v>
      </c>
      <c r="AF161" s="61">
        <v>0.50687499999999996</v>
      </c>
      <c r="AG161" t="s">
        <v>934</v>
      </c>
      <c r="AI161" t="s">
        <v>3737</v>
      </c>
      <c r="AJ161" t="s">
        <v>3738</v>
      </c>
      <c r="AR161">
        <v>1</v>
      </c>
    </row>
    <row r="162" spans="1:44" x14ac:dyDescent="0.25">
      <c r="A162" t="s">
        <v>31</v>
      </c>
      <c r="B162">
        <v>288</v>
      </c>
      <c r="C162">
        <v>194</v>
      </c>
      <c r="D162">
        <v>1766</v>
      </c>
      <c r="G162" t="s">
        <v>3739</v>
      </c>
      <c r="H162">
        <v>44580314000186</v>
      </c>
      <c r="I162" t="s">
        <v>3682</v>
      </c>
      <c r="J162" t="s">
        <v>3683</v>
      </c>
      <c r="K162" t="s">
        <v>3683</v>
      </c>
      <c r="L162" t="s">
        <v>3684</v>
      </c>
      <c r="N162" t="s">
        <v>3685</v>
      </c>
      <c r="P162" t="s">
        <v>3686</v>
      </c>
      <c r="Q162" t="s">
        <v>3687</v>
      </c>
      <c r="R162" t="s">
        <v>790</v>
      </c>
      <c r="U162" t="s">
        <v>319</v>
      </c>
      <c r="V162" t="s">
        <v>816</v>
      </c>
      <c r="X162">
        <v>9720</v>
      </c>
      <c r="Y162">
        <v>0</v>
      </c>
      <c r="AA162">
        <v>0</v>
      </c>
      <c r="AB162" s="31">
        <v>45728</v>
      </c>
      <c r="AC162" s="61">
        <v>0.40008101851851852</v>
      </c>
      <c r="AD162" t="s">
        <v>818</v>
      </c>
      <c r="AE162" s="31">
        <v>45728</v>
      </c>
      <c r="AF162" s="61">
        <v>0.40126157407407409</v>
      </c>
      <c r="AI162" t="s">
        <v>3740</v>
      </c>
      <c r="AR162">
        <v>1</v>
      </c>
    </row>
    <row r="163" spans="1:44" x14ac:dyDescent="0.25">
      <c r="A163" t="s">
        <v>31</v>
      </c>
      <c r="B163">
        <v>289</v>
      </c>
      <c r="C163">
        <v>169</v>
      </c>
      <c r="D163">
        <v>1903</v>
      </c>
      <c r="G163" t="s">
        <v>3741</v>
      </c>
      <c r="H163">
        <v>11458315000101</v>
      </c>
      <c r="I163" t="s">
        <v>3465</v>
      </c>
      <c r="J163" t="s">
        <v>3742</v>
      </c>
      <c r="K163" t="s">
        <v>3742</v>
      </c>
      <c r="L163" t="s">
        <v>3467</v>
      </c>
      <c r="N163" t="s">
        <v>3468</v>
      </c>
      <c r="P163" t="s">
        <v>3469</v>
      </c>
      <c r="Q163" t="s">
        <v>3470</v>
      </c>
      <c r="R163" t="s">
        <v>790</v>
      </c>
      <c r="U163" t="s">
        <v>319</v>
      </c>
      <c r="V163" t="s">
        <v>3417</v>
      </c>
      <c r="X163">
        <v>4015</v>
      </c>
      <c r="Y163">
        <v>0</v>
      </c>
      <c r="AA163">
        <v>5</v>
      </c>
      <c r="AB163" s="31">
        <v>45728</v>
      </c>
      <c r="AC163" s="61">
        <v>0.64027777777777772</v>
      </c>
      <c r="AD163" t="s">
        <v>795</v>
      </c>
      <c r="AE163" s="31">
        <v>45733</v>
      </c>
      <c r="AF163" s="61">
        <v>0.48651620370370369</v>
      </c>
      <c r="AG163" t="s">
        <v>3463</v>
      </c>
      <c r="AI163" t="s">
        <v>3740</v>
      </c>
      <c r="AR163">
        <v>1</v>
      </c>
    </row>
    <row r="164" spans="1:44" x14ac:dyDescent="0.25">
      <c r="A164" t="s">
        <v>31</v>
      </c>
      <c r="B164">
        <v>290</v>
      </c>
      <c r="C164">
        <v>187</v>
      </c>
      <c r="D164">
        <v>1884</v>
      </c>
      <c r="G164" t="s">
        <v>3743</v>
      </c>
      <c r="H164">
        <v>17063632000105</v>
      </c>
      <c r="I164" t="s">
        <v>3631</v>
      </c>
      <c r="J164" t="s">
        <v>3712</v>
      </c>
      <c r="K164" t="s">
        <v>3712</v>
      </c>
      <c r="L164" t="s">
        <v>3713</v>
      </c>
      <c r="N164" t="s">
        <v>3634</v>
      </c>
      <c r="P164" t="s">
        <v>3635</v>
      </c>
      <c r="Q164" t="s">
        <v>3636</v>
      </c>
      <c r="R164" t="s">
        <v>1699</v>
      </c>
      <c r="U164" t="s">
        <v>319</v>
      </c>
      <c r="V164" t="s">
        <v>816</v>
      </c>
      <c r="X164">
        <v>16800</v>
      </c>
      <c r="Y164">
        <v>0</v>
      </c>
      <c r="AA164">
        <v>75</v>
      </c>
      <c r="AB164" s="31">
        <v>45728</v>
      </c>
      <c r="AC164" s="61">
        <v>0.72614583333333338</v>
      </c>
      <c r="AD164" t="s">
        <v>795</v>
      </c>
      <c r="AE164" s="31">
        <v>45803</v>
      </c>
      <c r="AF164" s="61">
        <v>0.80439814814814814</v>
      </c>
      <c r="AG164" t="s">
        <v>796</v>
      </c>
      <c r="AI164" t="s">
        <v>3740</v>
      </c>
      <c r="AJ164" t="s">
        <v>1364</v>
      </c>
      <c r="AR164">
        <v>1</v>
      </c>
    </row>
    <row r="165" spans="1:44" x14ac:dyDescent="0.25">
      <c r="A165" t="s">
        <v>31</v>
      </c>
      <c r="B165">
        <v>292</v>
      </c>
      <c r="C165">
        <v>198</v>
      </c>
      <c r="D165">
        <v>1905</v>
      </c>
      <c r="G165" t="s">
        <v>3744</v>
      </c>
      <c r="H165">
        <v>6014742000152</v>
      </c>
      <c r="I165" t="s">
        <v>3745</v>
      </c>
      <c r="J165" t="s">
        <v>3700</v>
      </c>
      <c r="K165" t="s">
        <v>3700</v>
      </c>
      <c r="L165" t="s">
        <v>3746</v>
      </c>
      <c r="N165" t="s">
        <v>3747</v>
      </c>
      <c r="P165" t="s">
        <v>3748</v>
      </c>
      <c r="Q165" t="s">
        <v>1837</v>
      </c>
      <c r="R165" t="s">
        <v>790</v>
      </c>
      <c r="U165" t="s">
        <v>319</v>
      </c>
      <c r="V165" t="s">
        <v>3417</v>
      </c>
      <c r="X165">
        <v>28512</v>
      </c>
      <c r="Y165">
        <v>32076</v>
      </c>
      <c r="AA165">
        <v>6</v>
      </c>
      <c r="AB165" s="31">
        <v>45730</v>
      </c>
      <c r="AC165" s="61">
        <v>0.62114583333333329</v>
      </c>
      <c r="AD165" t="s">
        <v>795</v>
      </c>
      <c r="AE165" s="31">
        <v>45736</v>
      </c>
      <c r="AF165" s="61">
        <v>0.43630787037037039</v>
      </c>
      <c r="AG165" t="s">
        <v>796</v>
      </c>
      <c r="AI165" t="s">
        <v>3737</v>
      </c>
      <c r="AR165">
        <v>1</v>
      </c>
    </row>
    <row r="166" spans="1:44" x14ac:dyDescent="0.25">
      <c r="A166" t="s">
        <v>31</v>
      </c>
      <c r="B166">
        <v>296</v>
      </c>
      <c r="C166">
        <v>199</v>
      </c>
      <c r="D166">
        <v>1910</v>
      </c>
      <c r="G166" t="s">
        <v>3749</v>
      </c>
      <c r="H166">
        <v>50963243000101</v>
      </c>
      <c r="I166" t="s">
        <v>3750</v>
      </c>
      <c r="J166" t="s">
        <v>3751</v>
      </c>
      <c r="K166" t="s">
        <v>3751</v>
      </c>
      <c r="L166" t="s">
        <v>3752</v>
      </c>
      <c r="N166" t="s">
        <v>3753</v>
      </c>
      <c r="P166" t="s">
        <v>3754</v>
      </c>
      <c r="Q166" t="s">
        <v>1094</v>
      </c>
      <c r="R166" t="s">
        <v>790</v>
      </c>
      <c r="U166" t="s">
        <v>319</v>
      </c>
      <c r="V166" t="s">
        <v>816</v>
      </c>
      <c r="X166">
        <v>756</v>
      </c>
      <c r="Y166">
        <v>0</v>
      </c>
      <c r="AA166">
        <v>0</v>
      </c>
      <c r="AB166" s="31">
        <v>45733</v>
      </c>
      <c r="AC166" s="61">
        <v>0.66232638888888884</v>
      </c>
      <c r="AD166" t="s">
        <v>818</v>
      </c>
      <c r="AE166" s="31">
        <v>45733</v>
      </c>
      <c r="AF166" s="61">
        <v>0.71744212962962961</v>
      </c>
      <c r="AI166" t="s">
        <v>1503</v>
      </c>
      <c r="AJ166" t="s">
        <v>1503</v>
      </c>
      <c r="AR166">
        <v>1</v>
      </c>
    </row>
    <row r="167" spans="1:44" x14ac:dyDescent="0.25">
      <c r="A167" t="s">
        <v>31</v>
      </c>
      <c r="B167">
        <v>297</v>
      </c>
      <c r="C167">
        <v>110</v>
      </c>
      <c r="D167">
        <v>1912</v>
      </c>
      <c r="G167" t="s">
        <v>3755</v>
      </c>
      <c r="I167" t="s">
        <v>629</v>
      </c>
      <c r="J167" t="s">
        <v>1239</v>
      </c>
      <c r="K167" t="s">
        <v>1239</v>
      </c>
      <c r="L167" t="s">
        <v>3756</v>
      </c>
      <c r="N167" t="s">
        <v>3325</v>
      </c>
      <c r="P167" t="s">
        <v>778</v>
      </c>
      <c r="U167" t="s">
        <v>319</v>
      </c>
      <c r="V167" t="s">
        <v>816</v>
      </c>
      <c r="X167">
        <v>294415</v>
      </c>
      <c r="Y167">
        <v>0</v>
      </c>
      <c r="AA167">
        <v>2</v>
      </c>
      <c r="AB167" s="31">
        <v>45734</v>
      </c>
      <c r="AC167" s="61">
        <v>0.40950231481481481</v>
      </c>
      <c r="AD167" t="s">
        <v>818</v>
      </c>
      <c r="AE167" s="31">
        <v>45736</v>
      </c>
      <c r="AF167" s="61">
        <v>0.65533564814814815</v>
      </c>
      <c r="AI167" t="s">
        <v>3757</v>
      </c>
      <c r="AR167">
        <v>1</v>
      </c>
    </row>
    <row r="168" spans="1:44" x14ac:dyDescent="0.25">
      <c r="A168" t="s">
        <v>31</v>
      </c>
      <c r="B168">
        <v>299</v>
      </c>
      <c r="C168">
        <v>187</v>
      </c>
      <c r="D168">
        <v>1914</v>
      </c>
      <c r="G168" t="s">
        <v>3758</v>
      </c>
      <c r="H168">
        <v>17063632000105</v>
      </c>
      <c r="I168" t="s">
        <v>3631</v>
      </c>
      <c r="J168" t="s">
        <v>3759</v>
      </c>
      <c r="K168" t="s">
        <v>3759</v>
      </c>
      <c r="L168" t="s">
        <v>3633</v>
      </c>
      <c r="N168" t="s">
        <v>3634</v>
      </c>
      <c r="P168" t="s">
        <v>3635</v>
      </c>
      <c r="Q168" t="s">
        <v>3636</v>
      </c>
      <c r="R168" t="s">
        <v>1699</v>
      </c>
      <c r="U168" t="s">
        <v>319</v>
      </c>
      <c r="V168" t="s">
        <v>3417</v>
      </c>
      <c r="X168">
        <v>630</v>
      </c>
      <c r="Y168">
        <v>7128</v>
      </c>
      <c r="AA168">
        <v>16</v>
      </c>
      <c r="AB168" s="31">
        <v>45735</v>
      </c>
      <c r="AC168" s="61">
        <v>0.45504629629629628</v>
      </c>
      <c r="AD168" t="s">
        <v>795</v>
      </c>
      <c r="AE168" s="31">
        <v>45751</v>
      </c>
      <c r="AF168" s="61">
        <v>0.44026620370370367</v>
      </c>
      <c r="AG168" t="s">
        <v>3463</v>
      </c>
      <c r="AI168" t="s">
        <v>3760</v>
      </c>
      <c r="AJ168" t="s">
        <v>1503</v>
      </c>
      <c r="AR168">
        <v>1</v>
      </c>
    </row>
    <row r="169" spans="1:44" x14ac:dyDescent="0.25">
      <c r="A169" t="s">
        <v>31</v>
      </c>
      <c r="B169">
        <v>300</v>
      </c>
      <c r="C169">
        <v>171</v>
      </c>
      <c r="D169">
        <v>1915</v>
      </c>
      <c r="G169" t="s">
        <v>3761</v>
      </c>
      <c r="H169">
        <v>39955762000187</v>
      </c>
      <c r="I169" t="s">
        <v>3484</v>
      </c>
      <c r="J169" t="s">
        <v>3664</v>
      </c>
      <c r="K169" t="s">
        <v>3664</v>
      </c>
      <c r="L169" t="s">
        <v>3665</v>
      </c>
      <c r="N169" t="s">
        <v>3487</v>
      </c>
      <c r="P169" t="s">
        <v>3488</v>
      </c>
      <c r="Q169" t="s">
        <v>1094</v>
      </c>
      <c r="R169" t="s">
        <v>790</v>
      </c>
      <c r="U169" t="s">
        <v>319</v>
      </c>
      <c r="V169" t="s">
        <v>816</v>
      </c>
      <c r="X169">
        <v>491408</v>
      </c>
      <c r="Y169">
        <v>0</v>
      </c>
      <c r="AA169">
        <v>1</v>
      </c>
      <c r="AB169" s="31">
        <v>45735</v>
      </c>
      <c r="AC169" s="61">
        <v>0.62850694444444444</v>
      </c>
      <c r="AD169" t="s">
        <v>818</v>
      </c>
      <c r="AE169" s="31">
        <v>45736</v>
      </c>
      <c r="AF169" s="61">
        <v>0.6549652777777778</v>
      </c>
      <c r="AI169" t="s">
        <v>3760</v>
      </c>
      <c r="AR169">
        <v>1</v>
      </c>
    </row>
    <row r="170" spans="1:44" x14ac:dyDescent="0.25">
      <c r="A170" t="s">
        <v>31</v>
      </c>
      <c r="B170">
        <v>302</v>
      </c>
      <c r="C170">
        <v>200</v>
      </c>
      <c r="D170">
        <v>1918</v>
      </c>
      <c r="G170" t="s">
        <v>3762</v>
      </c>
      <c r="H170">
        <v>8933028000193</v>
      </c>
      <c r="I170" t="s">
        <v>3763</v>
      </c>
      <c r="J170" t="s">
        <v>3764</v>
      </c>
      <c r="K170" t="s">
        <v>3764</v>
      </c>
      <c r="L170" t="s">
        <v>3765</v>
      </c>
      <c r="P170" t="s">
        <v>3766</v>
      </c>
      <c r="Q170" t="s">
        <v>3767</v>
      </c>
      <c r="R170" t="s">
        <v>1699</v>
      </c>
      <c r="U170" t="s">
        <v>319</v>
      </c>
      <c r="V170" t="s">
        <v>3417</v>
      </c>
      <c r="X170">
        <v>4212</v>
      </c>
      <c r="Y170">
        <v>3564</v>
      </c>
      <c r="AA170">
        <v>5</v>
      </c>
      <c r="AB170" s="31">
        <v>45737</v>
      </c>
      <c r="AC170" s="61">
        <v>0.70013888888888887</v>
      </c>
      <c r="AD170" t="s">
        <v>795</v>
      </c>
      <c r="AE170" s="31">
        <v>45742</v>
      </c>
      <c r="AF170" s="61">
        <v>0.69468750000000001</v>
      </c>
      <c r="AG170" t="s">
        <v>796</v>
      </c>
      <c r="AI170" t="s">
        <v>3768</v>
      </c>
      <c r="AR170">
        <v>1</v>
      </c>
    </row>
    <row r="171" spans="1:44" x14ac:dyDescent="0.25">
      <c r="A171" t="s">
        <v>31</v>
      </c>
      <c r="B171">
        <v>306</v>
      </c>
      <c r="C171">
        <v>201</v>
      </c>
      <c r="D171">
        <v>1925</v>
      </c>
      <c r="G171" t="s">
        <v>3769</v>
      </c>
      <c r="H171">
        <v>5291214000188</v>
      </c>
      <c r="I171" t="s">
        <v>3770</v>
      </c>
      <c r="J171" t="s">
        <v>1540</v>
      </c>
      <c r="K171" t="s">
        <v>1540</v>
      </c>
      <c r="L171" t="s">
        <v>3771</v>
      </c>
      <c r="N171" t="s">
        <v>3772</v>
      </c>
      <c r="P171" t="s">
        <v>3773</v>
      </c>
      <c r="Q171" t="s">
        <v>3774</v>
      </c>
      <c r="R171" t="s">
        <v>1105</v>
      </c>
      <c r="U171" t="s">
        <v>319</v>
      </c>
      <c r="V171" t="s">
        <v>816</v>
      </c>
      <c r="X171">
        <v>415052</v>
      </c>
      <c r="Y171">
        <v>30294</v>
      </c>
      <c r="AA171">
        <v>121</v>
      </c>
      <c r="AB171" s="31">
        <v>45742</v>
      </c>
      <c r="AC171" s="61">
        <v>0.65071759259259254</v>
      </c>
      <c r="AD171" t="s">
        <v>818</v>
      </c>
      <c r="AE171" s="31">
        <v>45751</v>
      </c>
      <c r="AF171" s="61">
        <v>0.44199074074074068</v>
      </c>
      <c r="AH171">
        <v>0</v>
      </c>
      <c r="AI171" t="s">
        <v>1885</v>
      </c>
      <c r="AJ171" t="s">
        <v>1885</v>
      </c>
      <c r="AR171">
        <v>1</v>
      </c>
    </row>
    <row r="172" spans="1:44" x14ac:dyDescent="0.25">
      <c r="A172" t="s">
        <v>31</v>
      </c>
      <c r="B172">
        <v>307</v>
      </c>
      <c r="C172">
        <v>113</v>
      </c>
      <c r="D172">
        <v>1926</v>
      </c>
      <c r="G172" t="s">
        <v>3775</v>
      </c>
      <c r="I172" t="s">
        <v>65</v>
      </c>
      <c r="J172" t="s">
        <v>1252</v>
      </c>
      <c r="K172" t="s">
        <v>1252</v>
      </c>
      <c r="L172" t="s">
        <v>3472</v>
      </c>
      <c r="N172" t="s">
        <v>3329</v>
      </c>
      <c r="P172" t="s">
        <v>778</v>
      </c>
      <c r="U172" t="s">
        <v>319</v>
      </c>
      <c r="V172" t="s">
        <v>3417</v>
      </c>
      <c r="X172">
        <v>1600</v>
      </c>
      <c r="Y172">
        <v>1122183</v>
      </c>
      <c r="AA172">
        <v>69</v>
      </c>
      <c r="AB172" s="31">
        <v>45742</v>
      </c>
      <c r="AC172" s="61">
        <v>0.65554398148148152</v>
      </c>
      <c r="AD172" t="s">
        <v>795</v>
      </c>
      <c r="AE172" s="31">
        <v>45811</v>
      </c>
      <c r="AF172" s="61">
        <v>0.65164351851851854</v>
      </c>
      <c r="AG172" t="s">
        <v>796</v>
      </c>
      <c r="AI172" t="s">
        <v>3776</v>
      </c>
      <c r="AR172">
        <v>1</v>
      </c>
    </row>
    <row r="173" spans="1:44" x14ac:dyDescent="0.25">
      <c r="A173" t="s">
        <v>31</v>
      </c>
      <c r="B173">
        <v>308</v>
      </c>
      <c r="C173">
        <v>202</v>
      </c>
      <c r="D173">
        <v>1927</v>
      </c>
      <c r="G173" t="s">
        <v>3777</v>
      </c>
      <c r="H173">
        <v>16939440000149</v>
      </c>
      <c r="I173" t="s">
        <v>3778</v>
      </c>
      <c r="J173" t="s">
        <v>707</v>
      </c>
      <c r="K173" t="s">
        <v>707</v>
      </c>
      <c r="L173" t="s">
        <v>3779</v>
      </c>
      <c r="N173" t="s">
        <v>3780</v>
      </c>
      <c r="P173" t="s">
        <v>3781</v>
      </c>
      <c r="Q173" t="s">
        <v>3782</v>
      </c>
      <c r="R173" t="s">
        <v>790</v>
      </c>
      <c r="U173" t="s">
        <v>319</v>
      </c>
      <c r="V173" t="s">
        <v>816</v>
      </c>
      <c r="X173">
        <v>299691</v>
      </c>
      <c r="Y173">
        <v>0</v>
      </c>
      <c r="AA173">
        <v>2</v>
      </c>
      <c r="AB173" s="31">
        <v>45742</v>
      </c>
      <c r="AC173" s="61">
        <v>0.69520833333333332</v>
      </c>
      <c r="AD173" t="s">
        <v>818</v>
      </c>
      <c r="AE173" s="31">
        <v>45744</v>
      </c>
      <c r="AF173" s="61">
        <v>0.61129629629629634</v>
      </c>
      <c r="AI173" t="s">
        <v>3776</v>
      </c>
      <c r="AR173">
        <v>1</v>
      </c>
    </row>
    <row r="174" spans="1:44" x14ac:dyDescent="0.25">
      <c r="A174" t="s">
        <v>31</v>
      </c>
      <c r="B174">
        <v>309</v>
      </c>
      <c r="C174">
        <v>115</v>
      </c>
      <c r="D174">
        <v>1928</v>
      </c>
      <c r="G174" t="s">
        <v>3783</v>
      </c>
      <c r="I174" t="s">
        <v>3333</v>
      </c>
      <c r="J174" t="s">
        <v>1474</v>
      </c>
      <c r="K174" t="s">
        <v>1474</v>
      </c>
      <c r="L174" t="s">
        <v>3526</v>
      </c>
      <c r="N174" t="s">
        <v>3334</v>
      </c>
      <c r="P174" t="s">
        <v>778</v>
      </c>
      <c r="U174" t="s">
        <v>319</v>
      </c>
      <c r="V174" t="s">
        <v>3417</v>
      </c>
      <c r="AA174">
        <v>40</v>
      </c>
      <c r="AB174" s="31">
        <v>45742</v>
      </c>
      <c r="AC174" s="61">
        <v>0.7003935185185185</v>
      </c>
      <c r="AD174" t="s">
        <v>795</v>
      </c>
      <c r="AE174" s="31">
        <v>45782</v>
      </c>
      <c r="AF174" s="61">
        <v>0.66651620370370368</v>
      </c>
      <c r="AG174" t="s">
        <v>934</v>
      </c>
      <c r="AI174" t="s">
        <v>3724</v>
      </c>
      <c r="AR174">
        <v>1</v>
      </c>
    </row>
    <row r="175" spans="1:44" x14ac:dyDescent="0.25">
      <c r="A175" t="s">
        <v>31</v>
      </c>
      <c r="B175">
        <v>312</v>
      </c>
      <c r="C175">
        <v>197</v>
      </c>
      <c r="D175">
        <v>1943</v>
      </c>
      <c r="G175" t="s">
        <v>3784</v>
      </c>
      <c r="H175">
        <v>8616236000169</v>
      </c>
      <c r="I175" t="s">
        <v>3726</v>
      </c>
      <c r="J175" t="s">
        <v>704</v>
      </c>
      <c r="K175" t="s">
        <v>704</v>
      </c>
      <c r="L175" t="s">
        <v>3785</v>
      </c>
      <c r="N175" t="s">
        <v>3728</v>
      </c>
      <c r="P175" t="s">
        <v>3729</v>
      </c>
      <c r="Q175" t="s">
        <v>3687</v>
      </c>
      <c r="R175" t="s">
        <v>790</v>
      </c>
      <c r="U175" t="s">
        <v>319</v>
      </c>
      <c r="V175" t="s">
        <v>3417</v>
      </c>
      <c r="AA175">
        <v>5</v>
      </c>
      <c r="AB175" s="31">
        <v>45743</v>
      </c>
      <c r="AC175" s="61">
        <v>0.65775462962962961</v>
      </c>
      <c r="AD175" t="s">
        <v>795</v>
      </c>
      <c r="AE175" s="31">
        <v>45748</v>
      </c>
      <c r="AF175" s="61">
        <v>0.4075347222222222</v>
      </c>
      <c r="AG175" t="s">
        <v>934</v>
      </c>
      <c r="AI175" t="s">
        <v>3724</v>
      </c>
      <c r="AR175">
        <v>1</v>
      </c>
    </row>
    <row r="176" spans="1:44" x14ac:dyDescent="0.25">
      <c r="A176" t="s">
        <v>31</v>
      </c>
      <c r="B176">
        <v>320</v>
      </c>
      <c r="C176">
        <v>183</v>
      </c>
      <c r="D176">
        <v>1959</v>
      </c>
      <c r="G176" t="s">
        <v>3786</v>
      </c>
      <c r="H176">
        <v>3204281000192</v>
      </c>
      <c r="I176" t="s">
        <v>3594</v>
      </c>
      <c r="J176" t="s">
        <v>3787</v>
      </c>
      <c r="K176" t="s">
        <v>3787</v>
      </c>
      <c r="L176" t="s">
        <v>3596</v>
      </c>
      <c r="N176" t="s">
        <v>2617</v>
      </c>
      <c r="P176" t="s">
        <v>3597</v>
      </c>
      <c r="Q176" t="s">
        <v>2618</v>
      </c>
      <c r="R176" t="s">
        <v>790</v>
      </c>
      <c r="U176" t="s">
        <v>319</v>
      </c>
      <c r="V176" t="s">
        <v>816</v>
      </c>
      <c r="X176">
        <v>2730</v>
      </c>
      <c r="Y176">
        <v>0</v>
      </c>
      <c r="AA176">
        <v>0</v>
      </c>
      <c r="AB176" s="31">
        <v>45747</v>
      </c>
      <c r="AC176" s="61">
        <v>0.49092592592592588</v>
      </c>
      <c r="AD176" t="s">
        <v>818</v>
      </c>
      <c r="AE176" s="31">
        <v>45747</v>
      </c>
      <c r="AF176" s="61">
        <v>0.50187499999999996</v>
      </c>
      <c r="AI176" t="s">
        <v>3788</v>
      </c>
      <c r="AJ176" t="s">
        <v>3789</v>
      </c>
      <c r="AR176">
        <v>1</v>
      </c>
    </row>
    <row r="177" spans="1:44" x14ac:dyDescent="0.25">
      <c r="A177" t="s">
        <v>31</v>
      </c>
      <c r="B177">
        <v>324</v>
      </c>
      <c r="C177">
        <v>203</v>
      </c>
      <c r="D177">
        <v>1965</v>
      </c>
      <c r="G177" t="s">
        <v>3790</v>
      </c>
      <c r="H177">
        <v>11806036000183</v>
      </c>
      <c r="I177" t="s">
        <v>3791</v>
      </c>
      <c r="J177" t="s">
        <v>2600</v>
      </c>
      <c r="K177" t="s">
        <v>2600</v>
      </c>
      <c r="L177" t="s">
        <v>3792</v>
      </c>
      <c r="N177" t="s">
        <v>3793</v>
      </c>
      <c r="P177" t="s">
        <v>3794</v>
      </c>
      <c r="Q177" t="s">
        <v>3636</v>
      </c>
      <c r="R177" t="s">
        <v>1699</v>
      </c>
      <c r="U177" t="s">
        <v>319</v>
      </c>
      <c r="V177" t="s">
        <v>3417</v>
      </c>
      <c r="X177">
        <v>26200</v>
      </c>
      <c r="Y177">
        <v>3400</v>
      </c>
      <c r="AA177">
        <v>6</v>
      </c>
      <c r="AB177" s="31">
        <v>45748</v>
      </c>
      <c r="AC177" s="61">
        <v>0.40835648148148151</v>
      </c>
      <c r="AD177" t="s">
        <v>795</v>
      </c>
      <c r="AE177" s="31">
        <v>45754</v>
      </c>
      <c r="AF177" s="61">
        <v>0.4082175925925926</v>
      </c>
      <c r="AG177" t="s">
        <v>1358</v>
      </c>
      <c r="AI177" t="s">
        <v>3795</v>
      </c>
      <c r="AJ177" t="s">
        <v>3795</v>
      </c>
      <c r="AR177">
        <v>1</v>
      </c>
    </row>
    <row r="178" spans="1:44" x14ac:dyDescent="0.25">
      <c r="A178" t="s">
        <v>31</v>
      </c>
      <c r="B178">
        <v>325</v>
      </c>
      <c r="C178">
        <v>186</v>
      </c>
      <c r="D178">
        <v>1967</v>
      </c>
      <c r="G178" t="s">
        <v>3796</v>
      </c>
      <c r="H178">
        <v>10899939000193</v>
      </c>
      <c r="I178" t="s">
        <v>3625</v>
      </c>
      <c r="J178" t="s">
        <v>704</v>
      </c>
      <c r="K178" t="s">
        <v>704</v>
      </c>
      <c r="L178" t="s">
        <v>3626</v>
      </c>
      <c r="N178" t="s">
        <v>3627</v>
      </c>
      <c r="P178" t="s">
        <v>3628</v>
      </c>
      <c r="Q178" t="s">
        <v>3629</v>
      </c>
      <c r="R178" t="s">
        <v>932</v>
      </c>
      <c r="U178" t="s">
        <v>319</v>
      </c>
      <c r="V178" t="s">
        <v>816</v>
      </c>
      <c r="X178">
        <v>1701</v>
      </c>
      <c r="Y178">
        <v>0</v>
      </c>
      <c r="AA178">
        <v>66</v>
      </c>
      <c r="AB178" s="31">
        <v>45748</v>
      </c>
      <c r="AC178" s="61">
        <v>0.41013888888888889</v>
      </c>
      <c r="AD178" t="s">
        <v>818</v>
      </c>
      <c r="AE178" s="31">
        <v>45814</v>
      </c>
      <c r="AF178" s="61">
        <v>0.39609953703703699</v>
      </c>
      <c r="AI178" t="s">
        <v>3795</v>
      </c>
      <c r="AR178">
        <v>1</v>
      </c>
    </row>
    <row r="179" spans="1:44" x14ac:dyDescent="0.25">
      <c r="A179" t="s">
        <v>31</v>
      </c>
      <c r="B179">
        <v>326</v>
      </c>
      <c r="C179">
        <v>76</v>
      </c>
      <c r="D179">
        <v>1968</v>
      </c>
      <c r="G179" t="s">
        <v>3797</v>
      </c>
      <c r="I179" t="s">
        <v>225</v>
      </c>
      <c r="J179" t="s">
        <v>1115</v>
      </c>
      <c r="K179" t="s">
        <v>1115</v>
      </c>
      <c r="L179" t="s">
        <v>3623</v>
      </c>
      <c r="N179" t="s">
        <v>3233</v>
      </c>
      <c r="P179" t="s">
        <v>778</v>
      </c>
      <c r="Q179" t="s">
        <v>3234</v>
      </c>
      <c r="R179" t="s">
        <v>1699</v>
      </c>
      <c r="U179" t="s">
        <v>319</v>
      </c>
      <c r="V179" t="s">
        <v>3606</v>
      </c>
      <c r="AA179">
        <v>50</v>
      </c>
      <c r="AB179" s="31">
        <v>45748</v>
      </c>
      <c r="AC179" s="61">
        <v>0.41334490740740742</v>
      </c>
      <c r="AD179" t="s">
        <v>795</v>
      </c>
      <c r="AE179" s="31">
        <v>45798</v>
      </c>
      <c r="AF179" s="61">
        <v>0.53116898148148151</v>
      </c>
      <c r="AG179" t="s">
        <v>934</v>
      </c>
      <c r="AI179" t="s">
        <v>3798</v>
      </c>
      <c r="AJ179" t="s">
        <v>3798</v>
      </c>
      <c r="AR179">
        <v>1</v>
      </c>
    </row>
    <row r="180" spans="1:44" x14ac:dyDescent="0.25">
      <c r="A180" t="s">
        <v>31</v>
      </c>
      <c r="B180">
        <v>327</v>
      </c>
      <c r="C180">
        <v>187</v>
      </c>
      <c r="D180">
        <v>1969</v>
      </c>
      <c r="G180" t="s">
        <v>3799</v>
      </c>
      <c r="H180">
        <v>17063632000105</v>
      </c>
      <c r="I180" t="s">
        <v>3631</v>
      </c>
      <c r="J180" t="s">
        <v>3800</v>
      </c>
      <c r="K180" t="s">
        <v>3800</v>
      </c>
      <c r="L180" t="s">
        <v>3633</v>
      </c>
      <c r="N180" t="s">
        <v>3634</v>
      </c>
      <c r="P180" t="s">
        <v>3635</v>
      </c>
      <c r="Q180" t="s">
        <v>3636</v>
      </c>
      <c r="R180" t="s">
        <v>1699</v>
      </c>
      <c r="U180" t="s">
        <v>319</v>
      </c>
      <c r="V180" t="s">
        <v>3417</v>
      </c>
      <c r="X180">
        <v>3360</v>
      </c>
      <c r="Y180">
        <v>0</v>
      </c>
      <c r="AA180">
        <v>52</v>
      </c>
      <c r="AB180" s="31">
        <v>45748</v>
      </c>
      <c r="AC180" s="61">
        <v>0.47216435185185179</v>
      </c>
      <c r="AD180" t="s">
        <v>795</v>
      </c>
      <c r="AE180" s="31">
        <v>45800</v>
      </c>
      <c r="AF180" s="61">
        <v>0.5276967592592593</v>
      </c>
      <c r="AG180" t="s">
        <v>934</v>
      </c>
      <c r="AI180" t="s">
        <v>3795</v>
      </c>
      <c r="AR180">
        <v>1</v>
      </c>
    </row>
    <row r="181" spans="1:44" x14ac:dyDescent="0.25">
      <c r="A181" t="s">
        <v>31</v>
      </c>
      <c r="B181">
        <v>329</v>
      </c>
      <c r="C181">
        <v>182</v>
      </c>
      <c r="D181">
        <v>1973</v>
      </c>
      <c r="G181" t="s">
        <v>3801</v>
      </c>
      <c r="H181">
        <v>23873456000161</v>
      </c>
      <c r="I181" t="s">
        <v>3573</v>
      </c>
      <c r="J181" t="s">
        <v>3802</v>
      </c>
      <c r="K181" t="s">
        <v>3802</v>
      </c>
      <c r="L181" t="s">
        <v>3575</v>
      </c>
      <c r="N181" t="s">
        <v>3576</v>
      </c>
      <c r="P181" t="s">
        <v>3577</v>
      </c>
      <c r="Q181" t="s">
        <v>1837</v>
      </c>
      <c r="R181" t="s">
        <v>790</v>
      </c>
      <c r="U181" t="s">
        <v>319</v>
      </c>
      <c r="V181" t="s">
        <v>3417</v>
      </c>
      <c r="AA181">
        <v>33</v>
      </c>
      <c r="AB181" s="31">
        <v>45749</v>
      </c>
      <c r="AC181" s="61">
        <v>0.48545138888888889</v>
      </c>
      <c r="AD181" t="s">
        <v>795</v>
      </c>
      <c r="AE181" s="31">
        <v>45782</v>
      </c>
      <c r="AF181" s="61">
        <v>0.66695601851851849</v>
      </c>
      <c r="AG181" t="s">
        <v>934</v>
      </c>
      <c r="AI181" t="s">
        <v>1543</v>
      </c>
      <c r="AR181">
        <v>1</v>
      </c>
    </row>
    <row r="182" spans="1:44" x14ac:dyDescent="0.25">
      <c r="A182" t="s">
        <v>31</v>
      </c>
      <c r="B182">
        <v>330</v>
      </c>
      <c r="C182">
        <v>197</v>
      </c>
      <c r="D182">
        <v>1974</v>
      </c>
      <c r="G182" t="s">
        <v>3803</v>
      </c>
      <c r="H182">
        <v>8616236000169</v>
      </c>
      <c r="I182" t="s">
        <v>3726</v>
      </c>
      <c r="J182" t="s">
        <v>704</v>
      </c>
      <c r="K182" t="s">
        <v>704</v>
      </c>
      <c r="L182" t="s">
        <v>3727</v>
      </c>
      <c r="N182" t="s">
        <v>3728</v>
      </c>
      <c r="P182" t="s">
        <v>3729</v>
      </c>
      <c r="Q182" t="s">
        <v>3687</v>
      </c>
      <c r="R182" t="s">
        <v>790</v>
      </c>
      <c r="U182" t="s">
        <v>319</v>
      </c>
      <c r="V182" t="s">
        <v>816</v>
      </c>
      <c r="X182">
        <v>56880</v>
      </c>
      <c r="Y182">
        <v>68904</v>
      </c>
      <c r="AA182">
        <v>60</v>
      </c>
      <c r="AB182" s="31">
        <v>45750</v>
      </c>
      <c r="AC182" s="61">
        <v>0.50753472222222218</v>
      </c>
      <c r="AD182" t="s">
        <v>818</v>
      </c>
      <c r="AE182" s="31">
        <v>45810</v>
      </c>
      <c r="AF182" s="61">
        <v>0.50966435185185188</v>
      </c>
      <c r="AI182" t="s">
        <v>3804</v>
      </c>
      <c r="AJ182" t="s">
        <v>3804</v>
      </c>
      <c r="AR182">
        <v>1</v>
      </c>
    </row>
    <row r="183" spans="1:44" x14ac:dyDescent="0.25">
      <c r="A183" t="s">
        <v>31</v>
      </c>
      <c r="B183">
        <v>331</v>
      </c>
      <c r="C183">
        <v>136</v>
      </c>
      <c r="D183">
        <v>1975</v>
      </c>
      <c r="G183" t="s">
        <v>3805</v>
      </c>
      <c r="I183" t="s">
        <v>3382</v>
      </c>
      <c r="J183" t="s">
        <v>704</v>
      </c>
      <c r="K183" t="s">
        <v>704</v>
      </c>
      <c r="L183" t="s">
        <v>3806</v>
      </c>
      <c r="N183" t="s">
        <v>3384</v>
      </c>
      <c r="P183" t="s">
        <v>778</v>
      </c>
      <c r="U183" t="s">
        <v>319</v>
      </c>
      <c r="V183" t="s">
        <v>3417</v>
      </c>
      <c r="X183">
        <v>24276</v>
      </c>
      <c r="Y183">
        <v>0</v>
      </c>
      <c r="AA183">
        <v>20</v>
      </c>
      <c r="AB183" s="31">
        <v>45750</v>
      </c>
      <c r="AC183" s="61">
        <v>0.52722222222222226</v>
      </c>
      <c r="AD183" t="s">
        <v>795</v>
      </c>
      <c r="AE183" s="31">
        <v>45770</v>
      </c>
      <c r="AF183" s="61">
        <v>0.38817129629629632</v>
      </c>
      <c r="AG183" t="s">
        <v>934</v>
      </c>
      <c r="AI183" t="s">
        <v>3804</v>
      </c>
      <c r="AJ183" t="s">
        <v>3804</v>
      </c>
      <c r="AR183">
        <v>1</v>
      </c>
    </row>
    <row r="184" spans="1:44" x14ac:dyDescent="0.25">
      <c r="A184" t="s">
        <v>31</v>
      </c>
      <c r="B184">
        <v>332</v>
      </c>
      <c r="C184">
        <v>196</v>
      </c>
      <c r="D184">
        <v>1976</v>
      </c>
      <c r="G184" t="s">
        <v>3807</v>
      </c>
      <c r="H184">
        <v>32494222000102</v>
      </c>
      <c r="I184" t="s">
        <v>3715</v>
      </c>
      <c r="J184" t="s">
        <v>3808</v>
      </c>
      <c r="K184" t="s">
        <v>3808</v>
      </c>
      <c r="L184" t="s">
        <v>3717</v>
      </c>
      <c r="N184" t="s">
        <v>3718</v>
      </c>
      <c r="P184" t="s">
        <v>3719</v>
      </c>
      <c r="Q184" t="s">
        <v>3720</v>
      </c>
      <c r="R184" t="s">
        <v>790</v>
      </c>
      <c r="U184" t="s">
        <v>319</v>
      </c>
      <c r="V184" t="s">
        <v>816</v>
      </c>
      <c r="X184">
        <v>14200</v>
      </c>
      <c r="Y184">
        <v>3564</v>
      </c>
      <c r="AA184">
        <v>63</v>
      </c>
      <c r="AB184" s="31">
        <v>45750</v>
      </c>
      <c r="AC184" s="61">
        <v>0.64652777777777781</v>
      </c>
      <c r="AD184" t="s">
        <v>795</v>
      </c>
      <c r="AE184" s="31">
        <v>45813</v>
      </c>
      <c r="AF184" s="61">
        <v>0.43116898148148147</v>
      </c>
      <c r="AG184" t="s">
        <v>934</v>
      </c>
      <c r="AI184" t="s">
        <v>1672</v>
      </c>
      <c r="AJ184" t="s">
        <v>3809</v>
      </c>
      <c r="AR184">
        <v>1</v>
      </c>
    </row>
    <row r="185" spans="1:44" x14ac:dyDescent="0.25">
      <c r="A185" t="s">
        <v>31</v>
      </c>
      <c r="B185">
        <v>335</v>
      </c>
      <c r="C185">
        <v>204</v>
      </c>
      <c r="D185">
        <v>1979</v>
      </c>
      <c r="G185" t="s">
        <v>3810</v>
      </c>
      <c r="H185">
        <v>33071847000116</v>
      </c>
      <c r="I185" t="s">
        <v>3811</v>
      </c>
      <c r="J185" t="s">
        <v>3812</v>
      </c>
      <c r="K185" t="s">
        <v>3812</v>
      </c>
      <c r="L185" t="s">
        <v>3813</v>
      </c>
      <c r="N185" t="s">
        <v>3814</v>
      </c>
      <c r="P185" t="s">
        <v>3815</v>
      </c>
      <c r="Q185" t="s">
        <v>2589</v>
      </c>
      <c r="R185" t="s">
        <v>790</v>
      </c>
      <c r="U185" t="s">
        <v>319</v>
      </c>
      <c r="V185" t="s">
        <v>816</v>
      </c>
      <c r="X185">
        <v>720</v>
      </c>
      <c r="Y185">
        <v>0</v>
      </c>
      <c r="AA185">
        <v>0</v>
      </c>
      <c r="AB185" s="31">
        <v>45751</v>
      </c>
      <c r="AC185" s="61">
        <v>0.66421296296296295</v>
      </c>
      <c r="AD185" t="s">
        <v>818</v>
      </c>
      <c r="AE185" s="31">
        <v>45751</v>
      </c>
      <c r="AF185" s="61">
        <v>0.70851851851851855</v>
      </c>
      <c r="AI185" t="s">
        <v>1604</v>
      </c>
      <c r="AR185">
        <v>1</v>
      </c>
    </row>
    <row r="186" spans="1:44" x14ac:dyDescent="0.25">
      <c r="A186" t="s">
        <v>31</v>
      </c>
      <c r="B186">
        <v>337</v>
      </c>
      <c r="C186">
        <v>185</v>
      </c>
      <c r="D186">
        <v>1982</v>
      </c>
      <c r="G186" t="s">
        <v>3816</v>
      </c>
      <c r="H186">
        <v>51496785000176</v>
      </c>
      <c r="I186" t="s">
        <v>3599</v>
      </c>
      <c r="J186" t="s">
        <v>3600</v>
      </c>
      <c r="K186" t="s">
        <v>3600</v>
      </c>
      <c r="L186" t="s">
        <v>3601</v>
      </c>
      <c r="N186" t="s">
        <v>3602</v>
      </c>
      <c r="P186" t="s">
        <v>3603</v>
      </c>
      <c r="Q186" t="s">
        <v>847</v>
      </c>
      <c r="R186" t="s">
        <v>848</v>
      </c>
      <c r="U186" t="s">
        <v>319</v>
      </c>
      <c r="V186" t="s">
        <v>3417</v>
      </c>
      <c r="X186">
        <v>420</v>
      </c>
      <c r="Y186">
        <v>3564</v>
      </c>
      <c r="AA186">
        <v>10</v>
      </c>
      <c r="AB186" s="31">
        <v>45754</v>
      </c>
      <c r="AC186" s="61">
        <v>0.42759259259259258</v>
      </c>
      <c r="AD186" t="s">
        <v>795</v>
      </c>
      <c r="AE186" s="31">
        <v>45764</v>
      </c>
      <c r="AF186" s="61">
        <v>0.50528935185185186</v>
      </c>
      <c r="AG186" t="s">
        <v>3463</v>
      </c>
      <c r="AI186" t="s">
        <v>1576</v>
      </c>
      <c r="AJ186" t="s">
        <v>1603</v>
      </c>
      <c r="AR186">
        <v>1</v>
      </c>
    </row>
    <row r="187" spans="1:44" x14ac:dyDescent="0.25">
      <c r="A187" t="s">
        <v>31</v>
      </c>
      <c r="B187">
        <v>339</v>
      </c>
      <c r="C187">
        <v>183</v>
      </c>
      <c r="D187">
        <v>1615</v>
      </c>
      <c r="G187" t="s">
        <v>3817</v>
      </c>
      <c r="H187">
        <v>3204281000192</v>
      </c>
      <c r="I187" t="s">
        <v>3594</v>
      </c>
      <c r="J187" t="s">
        <v>3595</v>
      </c>
      <c r="K187" t="s">
        <v>3595</v>
      </c>
      <c r="L187" t="s">
        <v>3596</v>
      </c>
      <c r="N187" t="s">
        <v>2617</v>
      </c>
      <c r="P187" t="s">
        <v>3597</v>
      </c>
      <c r="Q187" t="s">
        <v>2618</v>
      </c>
      <c r="R187" t="s">
        <v>790</v>
      </c>
      <c r="U187" t="s">
        <v>319</v>
      </c>
      <c r="V187" t="s">
        <v>816</v>
      </c>
      <c r="X187">
        <v>1890</v>
      </c>
      <c r="Y187">
        <v>0</v>
      </c>
      <c r="AA187">
        <v>0</v>
      </c>
      <c r="AB187" s="31">
        <v>45755</v>
      </c>
      <c r="AC187" s="61">
        <v>0.64071759259259264</v>
      </c>
      <c r="AD187" t="s">
        <v>818</v>
      </c>
      <c r="AE187" s="31">
        <v>45755</v>
      </c>
      <c r="AF187" s="61">
        <v>0.65402777777777776</v>
      </c>
      <c r="AI187" t="s">
        <v>3798</v>
      </c>
      <c r="AR187">
        <v>1</v>
      </c>
    </row>
    <row r="188" spans="1:44" x14ac:dyDescent="0.25">
      <c r="A188" t="s">
        <v>31</v>
      </c>
      <c r="B188">
        <v>340</v>
      </c>
      <c r="C188">
        <v>205</v>
      </c>
      <c r="D188">
        <v>1984</v>
      </c>
      <c r="G188" t="s">
        <v>3818</v>
      </c>
      <c r="H188">
        <v>57464109000105</v>
      </c>
      <c r="I188" t="s">
        <v>3819</v>
      </c>
      <c r="J188" t="s">
        <v>3820</v>
      </c>
      <c r="K188" t="s">
        <v>3820</v>
      </c>
      <c r="L188" t="s">
        <v>3821</v>
      </c>
      <c r="M188">
        <v>11984320025</v>
      </c>
      <c r="N188" t="s">
        <v>3822</v>
      </c>
      <c r="P188" t="s">
        <v>3823</v>
      </c>
      <c r="Q188" t="s">
        <v>1094</v>
      </c>
      <c r="R188" t="s">
        <v>790</v>
      </c>
      <c r="U188" t="s">
        <v>319</v>
      </c>
      <c r="V188" t="s">
        <v>3417</v>
      </c>
      <c r="X188">
        <v>3360</v>
      </c>
      <c r="Y188">
        <v>7128</v>
      </c>
      <c r="AA188">
        <v>0</v>
      </c>
      <c r="AB188" s="31">
        <v>45755</v>
      </c>
      <c r="AC188" s="61">
        <v>0.65628472222222223</v>
      </c>
      <c r="AD188" t="s">
        <v>795</v>
      </c>
      <c r="AE188" s="31">
        <v>45755</v>
      </c>
      <c r="AF188" s="61">
        <v>0.694849537037037</v>
      </c>
      <c r="AG188" t="s">
        <v>3463</v>
      </c>
      <c r="AI188" t="s">
        <v>3804</v>
      </c>
      <c r="AJ188" t="s">
        <v>3804</v>
      </c>
      <c r="AR188">
        <v>1</v>
      </c>
    </row>
    <row r="189" spans="1:44" x14ac:dyDescent="0.25">
      <c r="A189" t="s">
        <v>31</v>
      </c>
      <c r="B189">
        <v>341</v>
      </c>
      <c r="C189">
        <v>170</v>
      </c>
      <c r="D189">
        <v>1985</v>
      </c>
      <c r="G189" t="s">
        <v>460</v>
      </c>
      <c r="H189">
        <v>4150555001304</v>
      </c>
      <c r="I189" t="s">
        <v>3477</v>
      </c>
      <c r="J189" t="s">
        <v>3478</v>
      </c>
      <c r="K189" t="s">
        <v>3478</v>
      </c>
      <c r="L189" t="s">
        <v>3569</v>
      </c>
      <c r="N189" t="s">
        <v>3480</v>
      </c>
      <c r="P189" t="s">
        <v>3481</v>
      </c>
      <c r="Q189" t="s">
        <v>3482</v>
      </c>
      <c r="R189" t="s">
        <v>1699</v>
      </c>
      <c r="U189" t="s">
        <v>319</v>
      </c>
      <c r="V189" t="s">
        <v>816</v>
      </c>
      <c r="X189">
        <v>838823</v>
      </c>
      <c r="Y189">
        <v>0</v>
      </c>
      <c r="AA189">
        <v>7</v>
      </c>
      <c r="AB189" s="31">
        <v>45757</v>
      </c>
      <c r="AC189" s="61">
        <v>0.37377314814814822</v>
      </c>
      <c r="AD189" t="s">
        <v>818</v>
      </c>
      <c r="AE189" s="31">
        <v>45764</v>
      </c>
      <c r="AF189" s="61">
        <v>0.41208333333333341</v>
      </c>
      <c r="AI189" t="s">
        <v>3824</v>
      </c>
      <c r="AR189">
        <v>1</v>
      </c>
    </row>
    <row r="190" spans="1:44" x14ac:dyDescent="0.25">
      <c r="A190" t="s">
        <v>31</v>
      </c>
      <c r="B190">
        <v>342</v>
      </c>
      <c r="C190">
        <v>206</v>
      </c>
      <c r="D190">
        <v>1987</v>
      </c>
      <c r="G190" t="s">
        <v>3825</v>
      </c>
      <c r="H190">
        <v>37075503000136</v>
      </c>
      <c r="I190" t="s">
        <v>3826</v>
      </c>
      <c r="J190" t="s">
        <v>1481</v>
      </c>
      <c r="K190" t="s">
        <v>1481</v>
      </c>
      <c r="L190" t="s">
        <v>1475</v>
      </c>
      <c r="N190" t="s">
        <v>1476</v>
      </c>
      <c r="P190" t="s">
        <v>3827</v>
      </c>
      <c r="Q190" t="s">
        <v>1477</v>
      </c>
      <c r="R190" t="s">
        <v>932</v>
      </c>
      <c r="U190" t="s">
        <v>319</v>
      </c>
      <c r="V190" t="s">
        <v>3417</v>
      </c>
      <c r="X190">
        <v>0</v>
      </c>
      <c r="Y190">
        <v>3564</v>
      </c>
      <c r="AA190">
        <v>4</v>
      </c>
      <c r="AB190" s="31">
        <v>45757</v>
      </c>
      <c r="AC190" s="61">
        <v>0.70687500000000003</v>
      </c>
      <c r="AD190" t="s">
        <v>795</v>
      </c>
      <c r="AE190" s="31">
        <v>45761</v>
      </c>
      <c r="AF190" s="61">
        <v>0.64089120370370367</v>
      </c>
      <c r="AG190" t="s">
        <v>3463</v>
      </c>
      <c r="AI190" t="s">
        <v>3824</v>
      </c>
      <c r="AJ190" t="s">
        <v>3824</v>
      </c>
      <c r="AR190">
        <v>1</v>
      </c>
    </row>
    <row r="191" spans="1:44" x14ac:dyDescent="0.25">
      <c r="A191" t="s">
        <v>31</v>
      </c>
      <c r="B191">
        <v>344</v>
      </c>
      <c r="C191">
        <v>134</v>
      </c>
      <c r="D191">
        <v>1989</v>
      </c>
      <c r="G191" t="s">
        <v>3828</v>
      </c>
      <c r="I191" t="s">
        <v>3377</v>
      </c>
      <c r="J191" t="s">
        <v>3829</v>
      </c>
      <c r="K191" t="s">
        <v>3829</v>
      </c>
      <c r="L191" t="s">
        <v>3830</v>
      </c>
      <c r="N191" t="s">
        <v>3379</v>
      </c>
      <c r="P191" t="s">
        <v>778</v>
      </c>
      <c r="U191" t="s">
        <v>319</v>
      </c>
      <c r="V191" t="s">
        <v>816</v>
      </c>
      <c r="X191">
        <v>1680</v>
      </c>
      <c r="Y191">
        <v>0</v>
      </c>
      <c r="AA191">
        <v>2</v>
      </c>
      <c r="AB191" s="31">
        <v>45761</v>
      </c>
      <c r="AC191" s="61">
        <v>0.46211805555555557</v>
      </c>
      <c r="AD191" t="s">
        <v>818</v>
      </c>
      <c r="AE191" s="31">
        <v>45763</v>
      </c>
      <c r="AF191" s="61">
        <v>0.43277777777777782</v>
      </c>
      <c r="AI191" t="s">
        <v>1619</v>
      </c>
      <c r="AR191">
        <v>1</v>
      </c>
    </row>
    <row r="192" spans="1:44" x14ac:dyDescent="0.25">
      <c r="A192" t="s">
        <v>31</v>
      </c>
      <c r="B192">
        <v>345</v>
      </c>
      <c r="C192">
        <v>171</v>
      </c>
      <c r="D192">
        <v>1990</v>
      </c>
      <c r="G192" t="s">
        <v>3663</v>
      </c>
      <c r="H192">
        <v>39955762000187</v>
      </c>
      <c r="I192" t="s">
        <v>3484</v>
      </c>
      <c r="J192" t="s">
        <v>3664</v>
      </c>
      <c r="K192" t="s">
        <v>3664</v>
      </c>
      <c r="L192" t="s">
        <v>3665</v>
      </c>
      <c r="N192" t="s">
        <v>3487</v>
      </c>
      <c r="P192" t="s">
        <v>3488</v>
      </c>
      <c r="Q192" t="s">
        <v>1094</v>
      </c>
      <c r="R192" t="s">
        <v>790</v>
      </c>
      <c r="U192" t="s">
        <v>319</v>
      </c>
      <c r="V192" t="s">
        <v>816</v>
      </c>
      <c r="X192">
        <v>491408</v>
      </c>
      <c r="Y192">
        <v>0</v>
      </c>
      <c r="AA192">
        <v>3</v>
      </c>
      <c r="AB192" s="31">
        <v>45761</v>
      </c>
      <c r="AC192" s="61">
        <v>0.64141203703703709</v>
      </c>
      <c r="AD192" t="s">
        <v>818</v>
      </c>
      <c r="AE192" s="31">
        <v>45764</v>
      </c>
      <c r="AF192" s="61">
        <v>0.67682870370370374</v>
      </c>
      <c r="AI192" t="s">
        <v>3831</v>
      </c>
      <c r="AR192">
        <v>1</v>
      </c>
    </row>
    <row r="193" spans="1:44" x14ac:dyDescent="0.25">
      <c r="A193" t="s">
        <v>31</v>
      </c>
      <c r="B193">
        <v>349</v>
      </c>
      <c r="C193">
        <v>202</v>
      </c>
      <c r="D193">
        <v>1995</v>
      </c>
      <c r="G193" t="s">
        <v>3777</v>
      </c>
      <c r="H193">
        <v>16939440000149</v>
      </c>
      <c r="I193" t="s">
        <v>3778</v>
      </c>
      <c r="J193" t="s">
        <v>3832</v>
      </c>
      <c r="K193" t="s">
        <v>3832</v>
      </c>
      <c r="L193" t="s">
        <v>3779</v>
      </c>
      <c r="N193" t="s">
        <v>3780</v>
      </c>
      <c r="P193" t="s">
        <v>3781</v>
      </c>
      <c r="Q193" t="s">
        <v>3782</v>
      </c>
      <c r="R193" t="s">
        <v>790</v>
      </c>
      <c r="U193" t="s">
        <v>319</v>
      </c>
      <c r="V193" t="s">
        <v>816</v>
      </c>
      <c r="X193">
        <v>2996</v>
      </c>
      <c r="Y193">
        <v>0</v>
      </c>
      <c r="AA193">
        <v>0</v>
      </c>
      <c r="AB193" s="31">
        <v>45763</v>
      </c>
      <c r="AC193" s="61">
        <v>0.63655092592592588</v>
      </c>
      <c r="AD193" t="s">
        <v>818</v>
      </c>
      <c r="AE193" s="31">
        <v>45763</v>
      </c>
      <c r="AF193" s="61">
        <v>0.63858796296296294</v>
      </c>
      <c r="AI193" t="s">
        <v>3833</v>
      </c>
      <c r="AR193">
        <v>1</v>
      </c>
    </row>
    <row r="194" spans="1:44" x14ac:dyDescent="0.25">
      <c r="A194" t="s">
        <v>31</v>
      </c>
      <c r="B194">
        <v>350</v>
      </c>
      <c r="C194">
        <v>130</v>
      </c>
      <c r="D194">
        <v>1996</v>
      </c>
      <c r="G194" t="s">
        <v>3834</v>
      </c>
      <c r="I194" t="s">
        <v>141</v>
      </c>
      <c r="J194" t="s">
        <v>3675</v>
      </c>
      <c r="K194" t="s">
        <v>3675</v>
      </c>
      <c r="L194" t="s">
        <v>3676</v>
      </c>
      <c r="N194" t="s">
        <v>3368</v>
      </c>
      <c r="P194" t="s">
        <v>778</v>
      </c>
      <c r="Q194" t="s">
        <v>923</v>
      </c>
      <c r="R194" t="s">
        <v>790</v>
      </c>
      <c r="U194" t="s">
        <v>319</v>
      </c>
      <c r="V194" t="s">
        <v>816</v>
      </c>
      <c r="X194">
        <v>447164</v>
      </c>
      <c r="Y194">
        <v>0</v>
      </c>
      <c r="AA194">
        <v>0</v>
      </c>
      <c r="AB194" s="31">
        <v>45764</v>
      </c>
      <c r="AC194" s="61">
        <v>0.40780092592592587</v>
      </c>
      <c r="AD194" t="s">
        <v>818</v>
      </c>
      <c r="AE194" s="31">
        <v>45764</v>
      </c>
      <c r="AF194" s="61">
        <v>0.5020486111111111</v>
      </c>
      <c r="AI194" t="s">
        <v>3835</v>
      </c>
      <c r="AR194">
        <v>1</v>
      </c>
    </row>
    <row r="195" spans="1:44" x14ac:dyDescent="0.25">
      <c r="A195" t="s">
        <v>31</v>
      </c>
      <c r="B195">
        <v>356</v>
      </c>
      <c r="C195">
        <v>197</v>
      </c>
      <c r="D195">
        <v>2006</v>
      </c>
      <c r="G195" t="s">
        <v>3836</v>
      </c>
      <c r="H195">
        <v>8616236000169</v>
      </c>
      <c r="I195" t="s">
        <v>3726</v>
      </c>
      <c r="J195" t="s">
        <v>704</v>
      </c>
      <c r="K195" t="s">
        <v>704</v>
      </c>
      <c r="L195" t="s">
        <v>3727</v>
      </c>
      <c r="N195" t="s">
        <v>3728</v>
      </c>
      <c r="P195" t="s">
        <v>3729</v>
      </c>
      <c r="Q195" t="s">
        <v>3687</v>
      </c>
      <c r="R195" t="s">
        <v>790</v>
      </c>
      <c r="U195" t="s">
        <v>319</v>
      </c>
      <c r="V195" t="s">
        <v>816</v>
      </c>
      <c r="X195">
        <v>1440</v>
      </c>
      <c r="Y195">
        <v>0</v>
      </c>
      <c r="AA195">
        <v>14</v>
      </c>
      <c r="AB195" s="31">
        <v>45770</v>
      </c>
      <c r="AC195" s="61">
        <v>0.63509259259259254</v>
      </c>
      <c r="AD195" t="s">
        <v>818</v>
      </c>
      <c r="AE195" s="31">
        <v>45784</v>
      </c>
      <c r="AF195" s="61">
        <v>0.66</v>
      </c>
      <c r="AI195" t="s">
        <v>3837</v>
      </c>
      <c r="AJ195" t="s">
        <v>3837</v>
      </c>
      <c r="AR195">
        <v>1</v>
      </c>
    </row>
    <row r="196" spans="1:44" x14ac:dyDescent="0.25">
      <c r="A196" t="s">
        <v>31</v>
      </c>
      <c r="B196">
        <v>357</v>
      </c>
      <c r="C196">
        <v>207</v>
      </c>
      <c r="D196">
        <v>2007</v>
      </c>
      <c r="G196" t="s">
        <v>3838</v>
      </c>
      <c r="H196">
        <v>43609706000168</v>
      </c>
      <c r="I196" t="s">
        <v>3839</v>
      </c>
      <c r="J196" t="s">
        <v>1804</v>
      </c>
      <c r="K196" t="s">
        <v>1804</v>
      </c>
      <c r="L196" t="s">
        <v>3840</v>
      </c>
      <c r="N196" t="s">
        <v>3841</v>
      </c>
      <c r="P196" t="s">
        <v>3842</v>
      </c>
      <c r="Q196" t="s">
        <v>3843</v>
      </c>
      <c r="R196" t="s">
        <v>932</v>
      </c>
      <c r="U196" t="s">
        <v>319</v>
      </c>
      <c r="V196" t="s">
        <v>816</v>
      </c>
      <c r="X196">
        <v>4000</v>
      </c>
      <c r="Y196">
        <v>0</v>
      </c>
      <c r="AA196">
        <v>1</v>
      </c>
      <c r="AB196" s="31">
        <v>45771</v>
      </c>
      <c r="AC196" s="61">
        <v>0.4306712962962963</v>
      </c>
      <c r="AD196" t="s">
        <v>818</v>
      </c>
      <c r="AE196" s="31">
        <v>45772</v>
      </c>
      <c r="AF196" s="61">
        <v>0.69015046296296301</v>
      </c>
      <c r="AI196" t="s">
        <v>1666</v>
      </c>
      <c r="AR196">
        <v>1</v>
      </c>
    </row>
    <row r="197" spans="1:44" x14ac:dyDescent="0.25">
      <c r="A197" t="s">
        <v>31</v>
      </c>
      <c r="B197">
        <v>363</v>
      </c>
      <c r="C197">
        <v>199</v>
      </c>
      <c r="D197">
        <v>2012</v>
      </c>
      <c r="G197" t="s">
        <v>3749</v>
      </c>
      <c r="H197">
        <v>50963243000101</v>
      </c>
      <c r="I197" t="s">
        <v>3750</v>
      </c>
      <c r="J197" t="s">
        <v>3844</v>
      </c>
      <c r="K197" t="s">
        <v>3844</v>
      </c>
      <c r="L197" t="s">
        <v>3752</v>
      </c>
      <c r="N197" t="s">
        <v>3753</v>
      </c>
      <c r="P197" t="s">
        <v>3754</v>
      </c>
      <c r="Q197" t="s">
        <v>1094</v>
      </c>
      <c r="R197" t="s">
        <v>790</v>
      </c>
      <c r="U197" t="s">
        <v>319</v>
      </c>
      <c r="V197" t="s">
        <v>816</v>
      </c>
      <c r="X197">
        <v>1890</v>
      </c>
      <c r="Y197">
        <v>0</v>
      </c>
      <c r="AA197">
        <v>0</v>
      </c>
      <c r="AB197" s="31">
        <v>45777</v>
      </c>
      <c r="AC197" s="61">
        <v>0.58546296296296296</v>
      </c>
      <c r="AD197" t="s">
        <v>818</v>
      </c>
      <c r="AE197" s="31">
        <v>45777</v>
      </c>
      <c r="AF197" s="61">
        <v>0.5869212962962963</v>
      </c>
      <c r="AI197" t="s">
        <v>3845</v>
      </c>
      <c r="AR197">
        <v>1</v>
      </c>
    </row>
    <row r="198" spans="1:44" x14ac:dyDescent="0.25">
      <c r="A198" t="s">
        <v>31</v>
      </c>
      <c r="B198">
        <v>364</v>
      </c>
      <c r="C198">
        <v>204</v>
      </c>
      <c r="D198">
        <v>2013</v>
      </c>
      <c r="G198" t="s">
        <v>3810</v>
      </c>
      <c r="H198">
        <v>33071847000116</v>
      </c>
      <c r="I198" t="s">
        <v>3811</v>
      </c>
      <c r="J198" t="s">
        <v>3846</v>
      </c>
      <c r="K198" t="s">
        <v>3846</v>
      </c>
      <c r="L198" t="s">
        <v>3813</v>
      </c>
      <c r="N198" t="s">
        <v>3814</v>
      </c>
      <c r="P198" t="s">
        <v>3815</v>
      </c>
      <c r="Q198" t="s">
        <v>2589</v>
      </c>
      <c r="R198" t="s">
        <v>790</v>
      </c>
      <c r="U198" t="s">
        <v>319</v>
      </c>
      <c r="V198" t="s">
        <v>816</v>
      </c>
      <c r="X198">
        <v>3360</v>
      </c>
      <c r="Y198">
        <v>0</v>
      </c>
      <c r="AA198">
        <v>0</v>
      </c>
      <c r="AB198" s="31">
        <v>45777</v>
      </c>
      <c r="AC198" s="61">
        <v>0.58721064814814816</v>
      </c>
      <c r="AD198" t="s">
        <v>818</v>
      </c>
      <c r="AE198" s="31">
        <v>45777</v>
      </c>
      <c r="AF198" s="61">
        <v>0.5879861111111111</v>
      </c>
      <c r="AI198" t="s">
        <v>3845</v>
      </c>
      <c r="AR198">
        <v>1</v>
      </c>
    </row>
    <row r="199" spans="1:44" x14ac:dyDescent="0.25">
      <c r="A199" t="s">
        <v>31</v>
      </c>
      <c r="B199">
        <v>365</v>
      </c>
      <c r="C199">
        <v>142</v>
      </c>
      <c r="D199">
        <v>2014</v>
      </c>
      <c r="G199" t="s">
        <v>3847</v>
      </c>
      <c r="I199" t="s">
        <v>3397</v>
      </c>
      <c r="J199" t="s">
        <v>3848</v>
      </c>
      <c r="K199" t="s">
        <v>3848</v>
      </c>
      <c r="L199" t="s">
        <v>3698</v>
      </c>
      <c r="N199" t="s">
        <v>3399</v>
      </c>
      <c r="P199" t="s">
        <v>778</v>
      </c>
      <c r="Q199" t="s">
        <v>3400</v>
      </c>
      <c r="R199" t="s">
        <v>1699</v>
      </c>
      <c r="U199" t="s">
        <v>319</v>
      </c>
      <c r="V199" t="s">
        <v>3417</v>
      </c>
      <c r="X199">
        <v>26200</v>
      </c>
      <c r="Y199">
        <v>3400</v>
      </c>
      <c r="AA199">
        <v>27</v>
      </c>
      <c r="AB199" s="31">
        <v>45777</v>
      </c>
      <c r="AC199" s="61">
        <v>0.58881944444444445</v>
      </c>
      <c r="AD199" t="s">
        <v>795</v>
      </c>
      <c r="AE199" s="31">
        <v>45804</v>
      </c>
      <c r="AF199" s="61">
        <v>0.79233796296296299</v>
      </c>
      <c r="AG199" t="s">
        <v>974</v>
      </c>
      <c r="AI199" t="s">
        <v>1374</v>
      </c>
      <c r="AJ199" t="s">
        <v>3845</v>
      </c>
      <c r="AR199">
        <v>1</v>
      </c>
    </row>
    <row r="200" spans="1:44" x14ac:dyDescent="0.25">
      <c r="A200" t="s">
        <v>31</v>
      </c>
      <c r="B200">
        <v>371</v>
      </c>
      <c r="C200">
        <v>178</v>
      </c>
      <c r="D200">
        <v>2021</v>
      </c>
      <c r="G200" t="s">
        <v>3849</v>
      </c>
      <c r="H200">
        <v>54124158000100</v>
      </c>
      <c r="I200" t="s">
        <v>3539</v>
      </c>
      <c r="J200" t="s">
        <v>1243</v>
      </c>
      <c r="K200" t="s">
        <v>1243</v>
      </c>
      <c r="L200" t="s">
        <v>3850</v>
      </c>
      <c r="N200" t="s">
        <v>3542</v>
      </c>
      <c r="P200" t="s">
        <v>3543</v>
      </c>
      <c r="Q200" t="s">
        <v>1837</v>
      </c>
      <c r="R200" t="s">
        <v>790</v>
      </c>
      <c r="U200" t="s">
        <v>319</v>
      </c>
      <c r="V200" t="s">
        <v>3417</v>
      </c>
      <c r="AA200">
        <v>18</v>
      </c>
      <c r="AB200" s="31">
        <v>45782</v>
      </c>
      <c r="AC200" s="61">
        <v>0.66790509259259256</v>
      </c>
      <c r="AD200" t="s">
        <v>795</v>
      </c>
      <c r="AE200" s="31">
        <v>45800</v>
      </c>
      <c r="AF200" s="61">
        <v>0.52974537037037039</v>
      </c>
      <c r="AG200" t="s">
        <v>796</v>
      </c>
      <c r="AI200" t="s">
        <v>3851</v>
      </c>
      <c r="AJ200" t="s">
        <v>3851</v>
      </c>
      <c r="AR200">
        <v>1</v>
      </c>
    </row>
    <row r="201" spans="1:44" x14ac:dyDescent="0.25">
      <c r="A201" t="s">
        <v>31</v>
      </c>
      <c r="B201">
        <v>372</v>
      </c>
      <c r="C201">
        <v>199</v>
      </c>
      <c r="D201">
        <v>2022</v>
      </c>
      <c r="G201" t="s">
        <v>3852</v>
      </c>
      <c r="H201">
        <v>50963243000101</v>
      </c>
      <c r="I201" t="s">
        <v>3750</v>
      </c>
      <c r="J201" t="s">
        <v>3853</v>
      </c>
      <c r="K201" t="s">
        <v>3853</v>
      </c>
      <c r="L201" t="s">
        <v>3752</v>
      </c>
      <c r="N201" t="s">
        <v>3753</v>
      </c>
      <c r="P201" t="s">
        <v>3754</v>
      </c>
      <c r="Q201" t="s">
        <v>1094</v>
      </c>
      <c r="R201" t="s">
        <v>790</v>
      </c>
      <c r="U201" t="s">
        <v>319</v>
      </c>
      <c r="V201" t="s">
        <v>3417</v>
      </c>
      <c r="X201">
        <v>0</v>
      </c>
      <c r="Y201">
        <v>1496</v>
      </c>
      <c r="AA201">
        <v>30</v>
      </c>
      <c r="AB201" s="31">
        <v>45783</v>
      </c>
      <c r="AC201" s="61">
        <v>0.48534722222222221</v>
      </c>
      <c r="AD201" t="s">
        <v>795</v>
      </c>
      <c r="AE201" s="31">
        <v>45813</v>
      </c>
      <c r="AF201" s="61">
        <v>0.47509259259259262</v>
      </c>
      <c r="AG201" t="s">
        <v>934</v>
      </c>
      <c r="AI201" t="s">
        <v>3854</v>
      </c>
      <c r="AJ201" t="s">
        <v>3855</v>
      </c>
      <c r="AR201">
        <v>1</v>
      </c>
    </row>
    <row r="202" spans="1:44" x14ac:dyDescent="0.25">
      <c r="A202" t="s">
        <v>31</v>
      </c>
      <c r="B202">
        <v>373</v>
      </c>
      <c r="C202">
        <v>178</v>
      </c>
      <c r="D202">
        <v>1614</v>
      </c>
      <c r="G202" t="s">
        <v>3591</v>
      </c>
      <c r="H202">
        <v>54124158000100</v>
      </c>
      <c r="I202" t="s">
        <v>3539</v>
      </c>
      <c r="J202" t="s">
        <v>1243</v>
      </c>
      <c r="K202" t="s">
        <v>1243</v>
      </c>
      <c r="L202" t="s">
        <v>3541</v>
      </c>
      <c r="N202" t="s">
        <v>3542</v>
      </c>
      <c r="P202" t="s">
        <v>3543</v>
      </c>
      <c r="Q202" t="s">
        <v>1837</v>
      </c>
      <c r="R202" t="s">
        <v>790</v>
      </c>
      <c r="U202" t="s">
        <v>319</v>
      </c>
      <c r="V202" t="s">
        <v>816</v>
      </c>
      <c r="X202">
        <v>44651</v>
      </c>
      <c r="Y202">
        <v>0</v>
      </c>
      <c r="AA202">
        <v>5</v>
      </c>
      <c r="AB202" s="31">
        <v>45784</v>
      </c>
      <c r="AC202" s="61">
        <v>0.51723379629629629</v>
      </c>
      <c r="AD202" t="s">
        <v>818</v>
      </c>
      <c r="AE202" s="31">
        <v>45789</v>
      </c>
      <c r="AF202" s="61">
        <v>0.39689814814814822</v>
      </c>
      <c r="AI202" t="s">
        <v>3856</v>
      </c>
      <c r="AR202">
        <v>1</v>
      </c>
    </row>
    <row r="203" spans="1:44" x14ac:dyDescent="0.25">
      <c r="A203" t="s">
        <v>31</v>
      </c>
      <c r="B203">
        <v>374</v>
      </c>
      <c r="C203">
        <v>134</v>
      </c>
      <c r="D203">
        <v>161</v>
      </c>
      <c r="G203" t="s">
        <v>3857</v>
      </c>
      <c r="I203" t="s">
        <v>3377</v>
      </c>
      <c r="J203" t="s">
        <v>3377</v>
      </c>
      <c r="K203" t="s">
        <v>3377</v>
      </c>
      <c r="L203">
        <v>11992475223</v>
      </c>
      <c r="N203" t="s">
        <v>3379</v>
      </c>
      <c r="P203" t="s">
        <v>778</v>
      </c>
      <c r="U203" t="s">
        <v>319</v>
      </c>
      <c r="V203" t="s">
        <v>3417</v>
      </c>
      <c r="AA203">
        <v>6</v>
      </c>
      <c r="AB203" s="31">
        <v>45785</v>
      </c>
      <c r="AC203" s="61">
        <v>0.64045138888888886</v>
      </c>
      <c r="AD203" t="s">
        <v>795</v>
      </c>
      <c r="AE203" s="31">
        <v>45791</v>
      </c>
      <c r="AF203" s="61">
        <v>0.4856712962962963</v>
      </c>
      <c r="AG203" t="s">
        <v>934</v>
      </c>
      <c r="AI203" t="s">
        <v>3858</v>
      </c>
      <c r="AR203">
        <v>1</v>
      </c>
    </row>
    <row r="204" spans="1:44" x14ac:dyDescent="0.25">
      <c r="A204" t="s">
        <v>31</v>
      </c>
      <c r="B204">
        <v>377</v>
      </c>
      <c r="C204">
        <v>123</v>
      </c>
      <c r="D204">
        <v>2026</v>
      </c>
      <c r="G204" t="s">
        <v>3859</v>
      </c>
      <c r="I204" t="s">
        <v>647</v>
      </c>
      <c r="J204" t="s">
        <v>3860</v>
      </c>
      <c r="K204" t="s">
        <v>3860</v>
      </c>
      <c r="L204" t="s">
        <v>3861</v>
      </c>
      <c r="N204" t="s">
        <v>3353</v>
      </c>
      <c r="P204" t="s">
        <v>778</v>
      </c>
      <c r="U204" t="s">
        <v>319</v>
      </c>
      <c r="V204" t="s">
        <v>816</v>
      </c>
      <c r="X204">
        <v>1428</v>
      </c>
      <c r="Y204">
        <v>550</v>
      </c>
      <c r="AA204">
        <v>17</v>
      </c>
      <c r="AB204" s="31">
        <v>45786</v>
      </c>
      <c r="AC204" s="61">
        <v>0.41125</v>
      </c>
      <c r="AD204" t="s">
        <v>818</v>
      </c>
      <c r="AE204" s="31">
        <v>45803</v>
      </c>
      <c r="AF204" s="61">
        <v>0.80402777777777779</v>
      </c>
      <c r="AI204" t="s">
        <v>3862</v>
      </c>
      <c r="AJ204" t="s">
        <v>3862</v>
      </c>
      <c r="AR204">
        <v>1</v>
      </c>
    </row>
    <row r="205" spans="1:44" x14ac:dyDescent="0.25">
      <c r="A205" t="s">
        <v>31</v>
      </c>
      <c r="B205">
        <v>378</v>
      </c>
      <c r="C205">
        <v>134</v>
      </c>
      <c r="D205">
        <v>2027</v>
      </c>
      <c r="G205" t="s">
        <v>3863</v>
      </c>
      <c r="I205" t="s">
        <v>3377</v>
      </c>
      <c r="J205" t="s">
        <v>3864</v>
      </c>
      <c r="K205" t="s">
        <v>3864</v>
      </c>
      <c r="L205" t="s">
        <v>3830</v>
      </c>
      <c r="N205" t="s">
        <v>3379</v>
      </c>
      <c r="P205" t="s">
        <v>778</v>
      </c>
      <c r="U205" t="s">
        <v>319</v>
      </c>
      <c r="V205" t="s">
        <v>3417</v>
      </c>
      <c r="AA205">
        <v>5</v>
      </c>
      <c r="AB205" s="31">
        <v>45786</v>
      </c>
      <c r="AC205" s="61">
        <v>0.60530092592592588</v>
      </c>
      <c r="AD205" t="s">
        <v>795</v>
      </c>
      <c r="AE205" s="31">
        <v>45791</v>
      </c>
      <c r="AF205" s="61">
        <v>0.48603009259259261</v>
      </c>
      <c r="AG205" t="s">
        <v>934</v>
      </c>
      <c r="AI205" t="s">
        <v>3862</v>
      </c>
      <c r="AJ205" t="s">
        <v>3856</v>
      </c>
      <c r="AR205">
        <v>1</v>
      </c>
    </row>
    <row r="206" spans="1:44" x14ac:dyDescent="0.25">
      <c r="A206" t="s">
        <v>31</v>
      </c>
      <c r="B206">
        <v>380</v>
      </c>
      <c r="C206">
        <v>122</v>
      </c>
      <c r="D206">
        <v>2029</v>
      </c>
      <c r="G206" t="s">
        <v>3865</v>
      </c>
      <c r="I206" t="s">
        <v>680</v>
      </c>
      <c r="J206" t="s">
        <v>3866</v>
      </c>
      <c r="K206" t="s">
        <v>3866</v>
      </c>
      <c r="L206" t="s">
        <v>3867</v>
      </c>
      <c r="N206" t="s">
        <v>3351</v>
      </c>
      <c r="P206" t="s">
        <v>778</v>
      </c>
      <c r="U206" t="s">
        <v>319</v>
      </c>
      <c r="V206" t="s">
        <v>3417</v>
      </c>
      <c r="X206">
        <v>2880</v>
      </c>
      <c r="Y206">
        <v>0</v>
      </c>
      <c r="AA206">
        <v>22</v>
      </c>
      <c r="AB206" s="31">
        <v>45789</v>
      </c>
      <c r="AC206" s="61">
        <v>0.42956018518518518</v>
      </c>
      <c r="AD206" t="s">
        <v>795</v>
      </c>
      <c r="AE206" s="31">
        <v>45811</v>
      </c>
      <c r="AF206" s="61">
        <v>0.5135763888888889</v>
      </c>
      <c r="AG206" t="s">
        <v>3463</v>
      </c>
      <c r="AI206" t="s">
        <v>3868</v>
      </c>
      <c r="AR206">
        <v>1</v>
      </c>
    </row>
    <row r="207" spans="1:44" x14ac:dyDescent="0.25">
      <c r="A207" t="s">
        <v>31</v>
      </c>
      <c r="B207">
        <v>381</v>
      </c>
      <c r="C207">
        <v>194</v>
      </c>
      <c r="D207">
        <v>2030</v>
      </c>
      <c r="G207" t="s">
        <v>233</v>
      </c>
      <c r="H207">
        <v>44580314000186</v>
      </c>
      <c r="I207" t="s">
        <v>3682</v>
      </c>
      <c r="J207" t="s">
        <v>704</v>
      </c>
      <c r="K207" t="s">
        <v>704</v>
      </c>
      <c r="L207" t="s">
        <v>3684</v>
      </c>
      <c r="N207" t="s">
        <v>3685</v>
      </c>
      <c r="P207" t="s">
        <v>3686</v>
      </c>
      <c r="Q207" t="s">
        <v>3687</v>
      </c>
      <c r="R207" t="s">
        <v>790</v>
      </c>
      <c r="U207" t="s">
        <v>319</v>
      </c>
      <c r="V207" t="s">
        <v>816</v>
      </c>
      <c r="X207">
        <v>2856</v>
      </c>
      <c r="Y207">
        <v>28512</v>
      </c>
      <c r="AA207">
        <v>28</v>
      </c>
      <c r="AB207" s="31">
        <v>45789</v>
      </c>
      <c r="AC207" s="61">
        <v>0.61649305555555556</v>
      </c>
      <c r="AD207" t="s">
        <v>818</v>
      </c>
      <c r="AE207" s="31">
        <v>45817</v>
      </c>
      <c r="AF207" s="61">
        <v>0.51645833333333335</v>
      </c>
      <c r="AI207" t="s">
        <v>3868</v>
      </c>
      <c r="AJ207" t="s">
        <v>3869</v>
      </c>
      <c r="AR207">
        <v>1</v>
      </c>
    </row>
    <row r="208" spans="1:44" x14ac:dyDescent="0.25">
      <c r="A208" t="s">
        <v>31</v>
      </c>
      <c r="B208">
        <v>386</v>
      </c>
      <c r="C208">
        <v>183</v>
      </c>
      <c r="D208">
        <v>2038</v>
      </c>
      <c r="G208" t="s">
        <v>3870</v>
      </c>
      <c r="H208">
        <v>3204281000192</v>
      </c>
      <c r="I208" t="s">
        <v>3594</v>
      </c>
      <c r="J208" t="s">
        <v>3595</v>
      </c>
      <c r="K208" t="s">
        <v>3595</v>
      </c>
      <c r="L208" t="s">
        <v>3596</v>
      </c>
      <c r="N208" t="s">
        <v>2617</v>
      </c>
      <c r="P208" t="s">
        <v>3597</v>
      </c>
      <c r="Q208" t="s">
        <v>2618</v>
      </c>
      <c r="R208" t="s">
        <v>790</v>
      </c>
      <c r="U208" t="s">
        <v>319</v>
      </c>
      <c r="V208" t="s">
        <v>816</v>
      </c>
      <c r="X208">
        <v>420</v>
      </c>
      <c r="Y208">
        <v>0</v>
      </c>
      <c r="AA208">
        <v>5</v>
      </c>
      <c r="AB208" s="31">
        <v>45791</v>
      </c>
      <c r="AC208" s="61">
        <v>0.63041666666666663</v>
      </c>
      <c r="AD208" t="s">
        <v>818</v>
      </c>
      <c r="AE208" s="31">
        <v>45796</v>
      </c>
      <c r="AF208" s="61">
        <v>0.37569444444444439</v>
      </c>
      <c r="AI208" t="s">
        <v>3871</v>
      </c>
      <c r="AJ208" t="s">
        <v>3872</v>
      </c>
      <c r="AR208">
        <v>1</v>
      </c>
    </row>
    <row r="209" spans="1:44" x14ac:dyDescent="0.25">
      <c r="A209" t="s">
        <v>31</v>
      </c>
      <c r="B209">
        <v>387</v>
      </c>
      <c r="C209">
        <v>197</v>
      </c>
      <c r="D209">
        <v>1888</v>
      </c>
      <c r="G209" t="s">
        <v>3873</v>
      </c>
      <c r="H209">
        <v>8616236000169</v>
      </c>
      <c r="I209" t="s">
        <v>3726</v>
      </c>
      <c r="J209" t="s">
        <v>704</v>
      </c>
      <c r="K209" t="s">
        <v>704</v>
      </c>
      <c r="L209" t="s">
        <v>3727</v>
      </c>
      <c r="N209" t="s">
        <v>3728</v>
      </c>
      <c r="P209" t="s">
        <v>3729</v>
      </c>
      <c r="Q209" t="s">
        <v>3687</v>
      </c>
      <c r="R209" t="s">
        <v>790</v>
      </c>
      <c r="U209" t="s">
        <v>319</v>
      </c>
      <c r="V209" t="s">
        <v>3417</v>
      </c>
      <c r="X209">
        <v>2880</v>
      </c>
      <c r="Y209">
        <v>0</v>
      </c>
      <c r="AA209">
        <v>19</v>
      </c>
      <c r="AB209" s="31">
        <v>45792</v>
      </c>
      <c r="AC209" s="61">
        <v>0.51618055555555553</v>
      </c>
      <c r="AD209" t="s">
        <v>795</v>
      </c>
      <c r="AE209" s="31">
        <v>45811</v>
      </c>
      <c r="AF209" s="61">
        <v>0.64978009259259262</v>
      </c>
      <c r="AG209" t="s">
        <v>796</v>
      </c>
      <c r="AI209" t="s">
        <v>3874</v>
      </c>
      <c r="AJ209" t="s">
        <v>1695</v>
      </c>
      <c r="AR209">
        <v>1</v>
      </c>
    </row>
    <row r="210" spans="1:44" x14ac:dyDescent="0.25">
      <c r="A210" t="s">
        <v>31</v>
      </c>
      <c r="B210">
        <v>388</v>
      </c>
      <c r="C210">
        <v>187</v>
      </c>
      <c r="D210">
        <v>2039</v>
      </c>
      <c r="G210" t="s">
        <v>3875</v>
      </c>
      <c r="H210">
        <v>17063632000105</v>
      </c>
      <c r="I210" t="s">
        <v>3631</v>
      </c>
      <c r="J210" t="s">
        <v>1966</v>
      </c>
      <c r="K210" t="s">
        <v>1966</v>
      </c>
      <c r="L210" t="s">
        <v>3633</v>
      </c>
      <c r="N210" t="s">
        <v>3634</v>
      </c>
      <c r="P210" t="s">
        <v>3635</v>
      </c>
      <c r="Q210" t="s">
        <v>3636</v>
      </c>
      <c r="R210" t="s">
        <v>1699</v>
      </c>
      <c r="U210" t="s">
        <v>319</v>
      </c>
      <c r="V210" t="s">
        <v>3417</v>
      </c>
      <c r="X210">
        <v>6300</v>
      </c>
      <c r="Y210">
        <v>0</v>
      </c>
      <c r="AA210">
        <v>8</v>
      </c>
      <c r="AB210" s="31">
        <v>45792</v>
      </c>
      <c r="AC210" s="61">
        <v>0.7066782407407407</v>
      </c>
      <c r="AD210" t="s">
        <v>795</v>
      </c>
      <c r="AE210" s="31">
        <v>45800</v>
      </c>
      <c r="AF210" s="61">
        <v>0.52802083333333338</v>
      </c>
      <c r="AG210" t="s">
        <v>934</v>
      </c>
      <c r="AI210" t="s">
        <v>3874</v>
      </c>
      <c r="AR210">
        <v>1</v>
      </c>
    </row>
    <row r="211" spans="1:44" x14ac:dyDescent="0.25">
      <c r="A211" t="s">
        <v>31</v>
      </c>
      <c r="B211">
        <v>389</v>
      </c>
      <c r="C211">
        <v>184</v>
      </c>
      <c r="D211">
        <v>2040</v>
      </c>
      <c r="G211" t="s">
        <v>3876</v>
      </c>
      <c r="H211">
        <v>11861121000144</v>
      </c>
      <c r="I211" t="s">
        <v>3877</v>
      </c>
      <c r="J211" t="s">
        <v>3878</v>
      </c>
      <c r="K211" t="s">
        <v>3878</v>
      </c>
      <c r="L211" t="s">
        <v>3879</v>
      </c>
      <c r="N211" t="s">
        <v>3880</v>
      </c>
      <c r="P211" t="s">
        <v>3881</v>
      </c>
      <c r="Q211" t="s">
        <v>1094</v>
      </c>
      <c r="R211" t="s">
        <v>790</v>
      </c>
      <c r="U211" t="s">
        <v>319</v>
      </c>
      <c r="V211" t="s">
        <v>781</v>
      </c>
      <c r="AA211">
        <v>6</v>
      </c>
      <c r="AB211" s="31">
        <v>45793</v>
      </c>
      <c r="AC211" s="61">
        <v>0.43585648148148148</v>
      </c>
      <c r="AD211" t="s">
        <v>795</v>
      </c>
      <c r="AE211" s="31">
        <v>45799</v>
      </c>
      <c r="AF211" s="61">
        <v>0.38090277777777781</v>
      </c>
      <c r="AG211" t="s">
        <v>934</v>
      </c>
      <c r="AJ211" t="s">
        <v>3882</v>
      </c>
      <c r="AR211">
        <v>1</v>
      </c>
    </row>
    <row r="212" spans="1:44" x14ac:dyDescent="0.25">
      <c r="A212" t="s">
        <v>31</v>
      </c>
      <c r="B212">
        <v>390</v>
      </c>
      <c r="C212">
        <v>148</v>
      </c>
      <c r="D212">
        <v>2041</v>
      </c>
      <c r="G212" t="s">
        <v>3883</v>
      </c>
      <c r="H212">
        <v>8530284000130</v>
      </c>
      <c r="I212" t="s">
        <v>3555</v>
      </c>
      <c r="J212" t="s">
        <v>2927</v>
      </c>
      <c r="K212" t="s">
        <v>2927</v>
      </c>
      <c r="L212" t="s">
        <v>3556</v>
      </c>
      <c r="N212" t="s">
        <v>3557</v>
      </c>
      <c r="P212" t="s">
        <v>778</v>
      </c>
      <c r="T212" t="s">
        <v>1718</v>
      </c>
      <c r="U212" t="s">
        <v>319</v>
      </c>
      <c r="V212" t="s">
        <v>3417</v>
      </c>
      <c r="X212">
        <v>2856</v>
      </c>
      <c r="Y212">
        <v>64152</v>
      </c>
      <c r="AA212">
        <v>101</v>
      </c>
      <c r="AB212" s="31">
        <v>45793</v>
      </c>
      <c r="AC212" s="61">
        <v>0.60055555555555551</v>
      </c>
      <c r="AD212" t="s">
        <v>795</v>
      </c>
      <c r="AE212" s="31">
        <v>45894</v>
      </c>
      <c r="AF212" s="61">
        <v>0.66383101851851856</v>
      </c>
      <c r="AG212" t="s">
        <v>3463</v>
      </c>
      <c r="AI212" t="s">
        <v>3884</v>
      </c>
      <c r="AJ212" t="s">
        <v>1885</v>
      </c>
      <c r="AR212">
        <v>1</v>
      </c>
    </row>
    <row r="213" spans="1:44" x14ac:dyDescent="0.25">
      <c r="A213" t="s">
        <v>31</v>
      </c>
      <c r="B213">
        <v>391</v>
      </c>
      <c r="C213">
        <v>210</v>
      </c>
      <c r="D213">
        <v>2042</v>
      </c>
      <c r="G213" t="s">
        <v>3885</v>
      </c>
      <c r="H213">
        <v>51781567000183</v>
      </c>
      <c r="I213" t="s">
        <v>3886</v>
      </c>
      <c r="J213" t="s">
        <v>3735</v>
      </c>
      <c r="K213" t="s">
        <v>3735</v>
      </c>
      <c r="L213" t="s">
        <v>3887</v>
      </c>
      <c r="N213" t="s">
        <v>3888</v>
      </c>
      <c r="P213" t="s">
        <v>3889</v>
      </c>
      <c r="Q213" t="s">
        <v>3890</v>
      </c>
      <c r="R213" t="s">
        <v>932</v>
      </c>
      <c r="U213" t="s">
        <v>319</v>
      </c>
      <c r="V213" t="s">
        <v>3417</v>
      </c>
      <c r="X213">
        <v>420</v>
      </c>
      <c r="Y213">
        <v>0</v>
      </c>
      <c r="AA213">
        <v>0</v>
      </c>
      <c r="AB213" s="31">
        <v>45793</v>
      </c>
      <c r="AC213" s="61">
        <v>0.61630787037037038</v>
      </c>
      <c r="AD213" t="s">
        <v>795</v>
      </c>
      <c r="AE213" s="31">
        <v>45793</v>
      </c>
      <c r="AF213" s="61">
        <v>0.62888888888888894</v>
      </c>
      <c r="AG213" t="s">
        <v>796</v>
      </c>
      <c r="AI213" t="s">
        <v>3891</v>
      </c>
      <c r="AR213">
        <v>1</v>
      </c>
    </row>
    <row r="214" spans="1:44" x14ac:dyDescent="0.25">
      <c r="A214" t="s">
        <v>31</v>
      </c>
      <c r="B214">
        <v>392</v>
      </c>
      <c r="C214">
        <v>209</v>
      </c>
      <c r="D214">
        <v>2043</v>
      </c>
      <c r="G214" t="s">
        <v>3892</v>
      </c>
      <c r="H214">
        <v>10682266000115</v>
      </c>
      <c r="I214" t="s">
        <v>3893</v>
      </c>
      <c r="J214" t="s">
        <v>3894</v>
      </c>
      <c r="K214" t="s">
        <v>3894</v>
      </c>
      <c r="L214" t="s">
        <v>3895</v>
      </c>
      <c r="N214" t="s">
        <v>3896</v>
      </c>
      <c r="P214" t="s">
        <v>3897</v>
      </c>
      <c r="Q214" t="s">
        <v>1596</v>
      </c>
      <c r="R214" t="s">
        <v>790</v>
      </c>
      <c r="U214" t="s">
        <v>319</v>
      </c>
      <c r="V214" t="s">
        <v>3606</v>
      </c>
      <c r="AA214">
        <v>7</v>
      </c>
      <c r="AB214" s="31">
        <v>45793</v>
      </c>
      <c r="AC214" s="61">
        <v>0.62921296296296292</v>
      </c>
      <c r="AD214" t="s">
        <v>795</v>
      </c>
      <c r="AE214" s="31">
        <v>45800</v>
      </c>
      <c r="AF214" s="61">
        <v>0.52667824074074077</v>
      </c>
      <c r="AG214" t="s">
        <v>796</v>
      </c>
      <c r="AJ214" t="s">
        <v>1730</v>
      </c>
      <c r="AK214" t="s">
        <v>1730</v>
      </c>
      <c r="AR214">
        <v>1</v>
      </c>
    </row>
    <row r="215" spans="1:44" x14ac:dyDescent="0.25">
      <c r="A215" t="s">
        <v>31</v>
      </c>
      <c r="B215">
        <v>393</v>
      </c>
      <c r="C215">
        <v>133</v>
      </c>
      <c r="D215">
        <v>2044</v>
      </c>
      <c r="G215" t="s">
        <v>3898</v>
      </c>
      <c r="I215" t="s">
        <v>625</v>
      </c>
      <c r="J215" t="s">
        <v>3899</v>
      </c>
      <c r="K215" t="s">
        <v>3899</v>
      </c>
      <c r="L215" t="s">
        <v>3584</v>
      </c>
      <c r="N215" t="s">
        <v>2207</v>
      </c>
      <c r="P215" t="s">
        <v>778</v>
      </c>
      <c r="T215" t="s">
        <v>1327</v>
      </c>
      <c r="U215" t="s">
        <v>319</v>
      </c>
      <c r="V215" t="s">
        <v>816</v>
      </c>
      <c r="X215">
        <v>0</v>
      </c>
      <c r="Y215">
        <v>325116</v>
      </c>
      <c r="AA215">
        <v>20</v>
      </c>
      <c r="AB215" s="31">
        <v>45793</v>
      </c>
      <c r="AC215" s="61">
        <v>0.68398148148148152</v>
      </c>
      <c r="AD215" t="s">
        <v>818</v>
      </c>
      <c r="AE215" s="31">
        <v>45813</v>
      </c>
      <c r="AF215" s="61">
        <v>0.47848379629629628</v>
      </c>
      <c r="AI215" t="s">
        <v>3900</v>
      </c>
      <c r="AJ215" t="s">
        <v>3901</v>
      </c>
      <c r="AR215">
        <v>1</v>
      </c>
    </row>
    <row r="216" spans="1:44" x14ac:dyDescent="0.25">
      <c r="A216" t="s">
        <v>31</v>
      </c>
      <c r="B216">
        <v>394</v>
      </c>
      <c r="C216">
        <v>208</v>
      </c>
      <c r="D216">
        <v>2045</v>
      </c>
      <c r="G216" t="s">
        <v>3902</v>
      </c>
      <c r="H216">
        <v>42830750000130</v>
      </c>
      <c r="I216" t="s">
        <v>3903</v>
      </c>
      <c r="J216" t="s">
        <v>3904</v>
      </c>
      <c r="K216" t="s">
        <v>3904</v>
      </c>
      <c r="L216" t="s">
        <v>3905</v>
      </c>
      <c r="N216" t="s">
        <v>4594</v>
      </c>
      <c r="P216" t="s">
        <v>3907</v>
      </c>
      <c r="Q216" t="s">
        <v>1094</v>
      </c>
      <c r="R216" t="s">
        <v>790</v>
      </c>
      <c r="U216" t="s">
        <v>319</v>
      </c>
      <c r="V216" t="s">
        <v>3417</v>
      </c>
      <c r="X216">
        <v>5040</v>
      </c>
      <c r="Y216">
        <v>0</v>
      </c>
      <c r="AA216">
        <v>18</v>
      </c>
      <c r="AB216" s="31">
        <v>45796</v>
      </c>
      <c r="AC216" s="61">
        <v>0.42694444444444452</v>
      </c>
      <c r="AD216" t="s">
        <v>795</v>
      </c>
      <c r="AE216" s="31">
        <v>45814</v>
      </c>
      <c r="AF216" s="61">
        <v>0.49690972222222218</v>
      </c>
      <c r="AG216" t="s">
        <v>3463</v>
      </c>
      <c r="AI216" t="s">
        <v>3901</v>
      </c>
      <c r="AJ216" t="s">
        <v>3871</v>
      </c>
      <c r="AR216">
        <v>1</v>
      </c>
    </row>
    <row r="217" spans="1:44" x14ac:dyDescent="0.25">
      <c r="A217" t="s">
        <v>31</v>
      </c>
      <c r="B217">
        <v>395</v>
      </c>
      <c r="C217">
        <v>179</v>
      </c>
      <c r="D217">
        <v>2046</v>
      </c>
      <c r="G217" t="s">
        <v>3908</v>
      </c>
      <c r="H217">
        <v>21736169000184</v>
      </c>
      <c r="I217" t="s">
        <v>3546</v>
      </c>
      <c r="J217" t="s">
        <v>3909</v>
      </c>
      <c r="K217" t="s">
        <v>3909</v>
      </c>
      <c r="L217" t="s">
        <v>3547</v>
      </c>
      <c r="N217" t="s">
        <v>3548</v>
      </c>
      <c r="P217" t="s">
        <v>3549</v>
      </c>
      <c r="Q217" t="s">
        <v>3550</v>
      </c>
      <c r="R217" t="s">
        <v>874</v>
      </c>
      <c r="U217" t="s">
        <v>319</v>
      </c>
      <c r="V217" t="s">
        <v>3417</v>
      </c>
      <c r="X217">
        <v>3360</v>
      </c>
      <c r="Y217">
        <v>7128</v>
      </c>
      <c r="AA217">
        <v>134</v>
      </c>
      <c r="AB217" s="31">
        <v>45796</v>
      </c>
      <c r="AC217" s="61">
        <v>0.46653935185185191</v>
      </c>
      <c r="AD217" t="s">
        <v>795</v>
      </c>
      <c r="AE217" s="31">
        <v>45930</v>
      </c>
      <c r="AF217" s="61">
        <v>0.38721064814814821</v>
      </c>
      <c r="AG217" t="s">
        <v>796</v>
      </c>
      <c r="AI217" t="s">
        <v>3910</v>
      </c>
      <c r="AJ217" t="s">
        <v>1885</v>
      </c>
      <c r="AR217">
        <v>1</v>
      </c>
    </row>
    <row r="218" spans="1:44" x14ac:dyDescent="0.25">
      <c r="A218" t="s">
        <v>31</v>
      </c>
      <c r="B218">
        <v>396</v>
      </c>
      <c r="C218">
        <v>211</v>
      </c>
      <c r="D218">
        <v>2047</v>
      </c>
      <c r="G218" t="s">
        <v>3911</v>
      </c>
      <c r="H218">
        <v>5691820000190</v>
      </c>
      <c r="I218" t="s">
        <v>3912</v>
      </c>
      <c r="J218" t="s">
        <v>1239</v>
      </c>
      <c r="K218" t="s">
        <v>1239</v>
      </c>
      <c r="L218" t="s">
        <v>3913</v>
      </c>
      <c r="N218" t="s">
        <v>3914</v>
      </c>
      <c r="P218" t="s">
        <v>3915</v>
      </c>
      <c r="Q218" t="s">
        <v>1026</v>
      </c>
      <c r="R218" t="s">
        <v>1027</v>
      </c>
      <c r="T218" t="s">
        <v>1718</v>
      </c>
      <c r="U218" t="s">
        <v>319</v>
      </c>
      <c r="V218" t="s">
        <v>816</v>
      </c>
      <c r="X218">
        <v>1123798</v>
      </c>
      <c r="Y218">
        <v>1404</v>
      </c>
      <c r="AA218">
        <v>52</v>
      </c>
      <c r="AB218" s="31">
        <v>45796</v>
      </c>
      <c r="AC218" s="61">
        <v>0.6614930555555556</v>
      </c>
      <c r="AD218" t="s">
        <v>818</v>
      </c>
      <c r="AE218" s="31">
        <v>45848</v>
      </c>
      <c r="AF218" s="61">
        <v>0.37546296296296289</v>
      </c>
      <c r="AI218" t="s">
        <v>3916</v>
      </c>
      <c r="AJ218" t="s">
        <v>1730</v>
      </c>
      <c r="AK218" t="s">
        <v>3916</v>
      </c>
      <c r="AR218">
        <v>1</v>
      </c>
    </row>
    <row r="219" spans="1:44" x14ac:dyDescent="0.25">
      <c r="A219" t="s">
        <v>31</v>
      </c>
      <c r="B219">
        <v>397</v>
      </c>
      <c r="C219">
        <v>149</v>
      </c>
      <c r="D219">
        <v>2048</v>
      </c>
      <c r="G219" t="s">
        <v>3644</v>
      </c>
      <c r="H219">
        <v>12418196000118</v>
      </c>
      <c r="I219" t="s">
        <v>3645</v>
      </c>
      <c r="J219" t="s">
        <v>3917</v>
      </c>
      <c r="K219" t="s">
        <v>3917</v>
      </c>
      <c r="L219" t="s">
        <v>3647</v>
      </c>
      <c r="N219" t="s">
        <v>3648</v>
      </c>
      <c r="P219" t="s">
        <v>778</v>
      </c>
      <c r="U219" t="s">
        <v>319</v>
      </c>
      <c r="V219" t="s">
        <v>3417</v>
      </c>
      <c r="X219">
        <v>1600</v>
      </c>
      <c r="Y219">
        <v>1939757</v>
      </c>
      <c r="AA219">
        <v>17</v>
      </c>
      <c r="AB219" s="31">
        <v>45796</v>
      </c>
      <c r="AC219" s="61">
        <v>0.68685185185185182</v>
      </c>
      <c r="AD219" t="s">
        <v>795</v>
      </c>
      <c r="AE219" s="31">
        <v>45813</v>
      </c>
      <c r="AF219" s="61">
        <v>0.43167824074074068</v>
      </c>
      <c r="AG219" t="s">
        <v>934</v>
      </c>
      <c r="AI219" t="s">
        <v>3901</v>
      </c>
      <c r="AJ219" t="s">
        <v>3900</v>
      </c>
      <c r="AR219">
        <v>1</v>
      </c>
    </row>
    <row r="220" spans="1:44" x14ac:dyDescent="0.25">
      <c r="A220" t="s">
        <v>31</v>
      </c>
      <c r="B220">
        <v>398</v>
      </c>
      <c r="C220">
        <v>98</v>
      </c>
      <c r="D220">
        <v>2049</v>
      </c>
      <c r="G220" t="s">
        <v>3918</v>
      </c>
      <c r="I220" t="s">
        <v>604</v>
      </c>
      <c r="J220" t="s">
        <v>1243</v>
      </c>
      <c r="K220" t="s">
        <v>1243</v>
      </c>
      <c r="N220" t="s">
        <v>3295</v>
      </c>
      <c r="P220" t="s">
        <v>778</v>
      </c>
      <c r="U220" t="s">
        <v>319</v>
      </c>
      <c r="V220" t="s">
        <v>3417</v>
      </c>
      <c r="AA220">
        <v>14</v>
      </c>
      <c r="AB220" s="31">
        <v>45797</v>
      </c>
      <c r="AC220" s="61">
        <v>0.40790509259259261</v>
      </c>
      <c r="AD220" t="s">
        <v>795</v>
      </c>
      <c r="AE220" s="31">
        <v>45811</v>
      </c>
      <c r="AF220" s="61">
        <v>0.65237268518518521</v>
      </c>
      <c r="AG220" t="s">
        <v>796</v>
      </c>
      <c r="AI220" t="s">
        <v>3919</v>
      </c>
      <c r="AJ220" t="s">
        <v>3920</v>
      </c>
      <c r="AR220">
        <v>1</v>
      </c>
    </row>
    <row r="221" spans="1:44" x14ac:dyDescent="0.25">
      <c r="A221" t="s">
        <v>31</v>
      </c>
      <c r="B221">
        <v>399</v>
      </c>
      <c r="C221">
        <v>180</v>
      </c>
      <c r="D221">
        <v>2052</v>
      </c>
      <c r="G221" t="s">
        <v>3921</v>
      </c>
      <c r="H221">
        <v>7287290000226</v>
      </c>
      <c r="I221" t="s">
        <v>3561</v>
      </c>
      <c r="J221" t="s">
        <v>3922</v>
      </c>
      <c r="K221" t="s">
        <v>3922</v>
      </c>
      <c r="L221" t="s">
        <v>3563</v>
      </c>
      <c r="N221" t="s">
        <v>3564</v>
      </c>
      <c r="P221" t="s">
        <v>3565</v>
      </c>
      <c r="Q221" t="s">
        <v>3566</v>
      </c>
      <c r="R221" t="s">
        <v>790</v>
      </c>
      <c r="U221" t="s">
        <v>319</v>
      </c>
      <c r="V221" t="s">
        <v>816</v>
      </c>
      <c r="X221">
        <v>840</v>
      </c>
      <c r="Y221">
        <v>0</v>
      </c>
      <c r="AA221">
        <v>0</v>
      </c>
      <c r="AB221" s="31">
        <v>45798</v>
      </c>
      <c r="AC221" s="61">
        <v>0.53145833333333337</v>
      </c>
      <c r="AD221" t="s">
        <v>818</v>
      </c>
      <c r="AE221" s="31">
        <v>45798</v>
      </c>
      <c r="AF221" s="61">
        <v>0.53222222222222226</v>
      </c>
      <c r="AI221" t="s">
        <v>3882</v>
      </c>
      <c r="AJ221" t="s">
        <v>3920</v>
      </c>
      <c r="AR221">
        <v>1</v>
      </c>
    </row>
    <row r="222" spans="1:44" x14ac:dyDescent="0.25">
      <c r="A222" t="s">
        <v>31</v>
      </c>
      <c r="B222">
        <v>400</v>
      </c>
      <c r="C222">
        <v>107</v>
      </c>
      <c r="D222">
        <v>2055</v>
      </c>
      <c r="G222" t="s">
        <v>3923</v>
      </c>
      <c r="H222">
        <v>7527737000297</v>
      </c>
      <c r="I222" t="s">
        <v>427</v>
      </c>
      <c r="J222" t="s">
        <v>914</v>
      </c>
      <c r="K222" t="s">
        <v>914</v>
      </c>
      <c r="N222" t="s">
        <v>3320</v>
      </c>
      <c r="P222" t="s">
        <v>778</v>
      </c>
      <c r="T222" t="s">
        <v>1718</v>
      </c>
      <c r="U222" t="s">
        <v>319</v>
      </c>
      <c r="V222" t="s">
        <v>781</v>
      </c>
      <c r="AA222">
        <v>132</v>
      </c>
      <c r="AB222" s="31">
        <v>45799</v>
      </c>
      <c r="AC222" s="61">
        <v>0.39634259259259258</v>
      </c>
      <c r="AD222" t="s">
        <v>795</v>
      </c>
      <c r="AE222" s="31">
        <v>45931</v>
      </c>
      <c r="AF222" s="61">
        <v>0.70456018518518515</v>
      </c>
      <c r="AG222" t="s">
        <v>1358</v>
      </c>
      <c r="AJ222" t="s">
        <v>3924</v>
      </c>
      <c r="AR222">
        <v>1</v>
      </c>
    </row>
    <row r="223" spans="1:44" x14ac:dyDescent="0.25">
      <c r="A223" t="s">
        <v>31</v>
      </c>
      <c r="B223">
        <v>401</v>
      </c>
      <c r="C223">
        <v>103</v>
      </c>
      <c r="D223">
        <v>2056</v>
      </c>
      <c r="G223" t="s">
        <v>3925</v>
      </c>
      <c r="H223">
        <v>12549273000179</v>
      </c>
      <c r="I223" t="s">
        <v>3309</v>
      </c>
      <c r="J223" t="s">
        <v>1804</v>
      </c>
      <c r="K223" t="s">
        <v>1804</v>
      </c>
      <c r="N223" t="s">
        <v>3312</v>
      </c>
      <c r="P223" t="s">
        <v>3313</v>
      </c>
      <c r="Q223" t="s">
        <v>1596</v>
      </c>
      <c r="R223" t="s">
        <v>790</v>
      </c>
      <c r="U223" t="s">
        <v>319</v>
      </c>
      <c r="V223" t="s">
        <v>816</v>
      </c>
      <c r="X223">
        <v>3780</v>
      </c>
      <c r="Y223">
        <v>0</v>
      </c>
      <c r="AA223">
        <v>13</v>
      </c>
      <c r="AB223" s="31">
        <v>45799</v>
      </c>
      <c r="AC223" s="61">
        <v>0.43107638888888888</v>
      </c>
      <c r="AD223" t="s">
        <v>818</v>
      </c>
      <c r="AE223" s="31">
        <v>45812</v>
      </c>
      <c r="AF223" s="61">
        <v>0.6988078703703704</v>
      </c>
      <c r="AI223" t="s">
        <v>3924</v>
      </c>
      <c r="AJ223" t="s">
        <v>1726</v>
      </c>
      <c r="AR223">
        <v>1</v>
      </c>
    </row>
    <row r="224" spans="1:44" x14ac:dyDescent="0.25">
      <c r="A224" t="s">
        <v>31</v>
      </c>
      <c r="B224">
        <v>402</v>
      </c>
      <c r="C224">
        <v>98</v>
      </c>
      <c r="D224">
        <v>2057</v>
      </c>
      <c r="G224" t="s">
        <v>3926</v>
      </c>
      <c r="I224" t="s">
        <v>604</v>
      </c>
      <c r="J224" t="s">
        <v>3927</v>
      </c>
      <c r="K224" t="s">
        <v>3927</v>
      </c>
      <c r="N224" t="s">
        <v>3295</v>
      </c>
      <c r="P224" t="s">
        <v>778</v>
      </c>
      <c r="U224" t="s">
        <v>319</v>
      </c>
      <c r="V224" t="s">
        <v>3417</v>
      </c>
      <c r="AA224">
        <v>1</v>
      </c>
      <c r="AB224" s="31">
        <v>45799</v>
      </c>
      <c r="AC224" s="61">
        <v>0.45256944444444452</v>
      </c>
      <c r="AD224" t="s">
        <v>795</v>
      </c>
      <c r="AE224" s="31">
        <v>45800</v>
      </c>
      <c r="AF224" s="61">
        <v>0.53533564814814816</v>
      </c>
      <c r="AG224" t="s">
        <v>1358</v>
      </c>
      <c r="AI224" t="s">
        <v>3924</v>
      </c>
      <c r="AJ224" t="s">
        <v>1726</v>
      </c>
      <c r="AR224">
        <v>1</v>
      </c>
    </row>
    <row r="225" spans="1:44" x14ac:dyDescent="0.25">
      <c r="A225" t="s">
        <v>31</v>
      </c>
      <c r="B225">
        <v>403</v>
      </c>
      <c r="C225">
        <v>76</v>
      </c>
      <c r="D225">
        <v>2059</v>
      </c>
      <c r="G225" t="s">
        <v>3928</v>
      </c>
      <c r="I225" t="s">
        <v>225</v>
      </c>
      <c r="J225" t="s">
        <v>3691</v>
      </c>
      <c r="K225" t="s">
        <v>3691</v>
      </c>
      <c r="L225" t="s">
        <v>3623</v>
      </c>
      <c r="N225" t="s">
        <v>3233</v>
      </c>
      <c r="P225" t="s">
        <v>778</v>
      </c>
      <c r="Q225" t="s">
        <v>3234</v>
      </c>
      <c r="R225" t="s">
        <v>1699</v>
      </c>
      <c r="U225" t="s">
        <v>319</v>
      </c>
      <c r="V225" t="s">
        <v>816</v>
      </c>
      <c r="X225">
        <v>1680</v>
      </c>
      <c r="Y225">
        <v>0</v>
      </c>
      <c r="AA225">
        <v>0</v>
      </c>
      <c r="AB225" s="31">
        <v>45804</v>
      </c>
      <c r="AC225" s="61">
        <v>0.78116898148148151</v>
      </c>
      <c r="AD225" t="s">
        <v>818</v>
      </c>
      <c r="AE225" s="31">
        <v>45804</v>
      </c>
      <c r="AF225" s="61">
        <v>0.78571759259259255</v>
      </c>
      <c r="AI225" t="s">
        <v>3929</v>
      </c>
      <c r="AJ225" t="s">
        <v>3929</v>
      </c>
      <c r="AR225">
        <v>1</v>
      </c>
    </row>
    <row r="226" spans="1:44" x14ac:dyDescent="0.25">
      <c r="A226" t="s">
        <v>31</v>
      </c>
      <c r="B226">
        <v>404</v>
      </c>
      <c r="C226">
        <v>107</v>
      </c>
      <c r="D226">
        <v>2060</v>
      </c>
      <c r="G226" t="s">
        <v>3930</v>
      </c>
      <c r="H226">
        <v>7527737000297</v>
      </c>
      <c r="I226" t="s">
        <v>427</v>
      </c>
      <c r="J226" t="s">
        <v>914</v>
      </c>
      <c r="K226" t="s">
        <v>914</v>
      </c>
      <c r="N226" t="s">
        <v>3320</v>
      </c>
      <c r="P226" t="s">
        <v>778</v>
      </c>
      <c r="U226" t="s">
        <v>319</v>
      </c>
      <c r="V226" t="s">
        <v>781</v>
      </c>
      <c r="AA226">
        <v>127</v>
      </c>
      <c r="AB226" s="31">
        <v>45804</v>
      </c>
      <c r="AC226" s="61">
        <v>0.79291666666666671</v>
      </c>
      <c r="AD226" t="s">
        <v>795</v>
      </c>
      <c r="AE226" s="31">
        <v>45931</v>
      </c>
      <c r="AF226" s="61">
        <v>0.70349537037037035</v>
      </c>
      <c r="AG226" t="s">
        <v>3463</v>
      </c>
      <c r="AR226">
        <v>1</v>
      </c>
    </row>
    <row r="227" spans="1:44" x14ac:dyDescent="0.25">
      <c r="A227" t="s">
        <v>31</v>
      </c>
      <c r="B227">
        <v>411</v>
      </c>
      <c r="C227">
        <v>103</v>
      </c>
      <c r="D227">
        <v>2074</v>
      </c>
      <c r="G227" t="s">
        <v>3931</v>
      </c>
      <c r="H227">
        <v>12549273000179</v>
      </c>
      <c r="I227" t="s">
        <v>3309</v>
      </c>
      <c r="J227" t="s">
        <v>3932</v>
      </c>
      <c r="K227" t="s">
        <v>3932</v>
      </c>
      <c r="L227" t="s">
        <v>3933</v>
      </c>
      <c r="N227" t="s">
        <v>3312</v>
      </c>
      <c r="P227" t="s">
        <v>3313</v>
      </c>
      <c r="Q227" t="s">
        <v>1596</v>
      </c>
      <c r="R227" t="s">
        <v>790</v>
      </c>
      <c r="T227" t="s">
        <v>1718</v>
      </c>
      <c r="U227" t="s">
        <v>319</v>
      </c>
      <c r="V227" t="s">
        <v>3417</v>
      </c>
      <c r="X227">
        <v>420</v>
      </c>
      <c r="Y227">
        <v>3564</v>
      </c>
      <c r="AA227">
        <v>29</v>
      </c>
      <c r="AB227" s="31">
        <v>45805</v>
      </c>
      <c r="AC227" s="61">
        <v>0.45006944444444452</v>
      </c>
      <c r="AD227" t="s">
        <v>795</v>
      </c>
      <c r="AE227" s="31">
        <v>45834</v>
      </c>
      <c r="AF227" s="61">
        <v>0.66600694444444442</v>
      </c>
      <c r="AG227" t="s">
        <v>3463</v>
      </c>
      <c r="AI227" t="s">
        <v>3934</v>
      </c>
      <c r="AJ227" t="s">
        <v>3934</v>
      </c>
      <c r="AR227">
        <v>1</v>
      </c>
    </row>
    <row r="228" spans="1:44" x14ac:dyDescent="0.25">
      <c r="A228" t="s">
        <v>31</v>
      </c>
      <c r="B228">
        <v>414</v>
      </c>
      <c r="C228">
        <v>187</v>
      </c>
      <c r="D228">
        <v>2102</v>
      </c>
      <c r="G228" t="s">
        <v>3935</v>
      </c>
      <c r="H228">
        <v>17063632000105</v>
      </c>
      <c r="I228" t="s">
        <v>3631</v>
      </c>
      <c r="J228" t="s">
        <v>3936</v>
      </c>
      <c r="K228" t="s">
        <v>3936</v>
      </c>
      <c r="L228" t="s">
        <v>3633</v>
      </c>
      <c r="N228" t="s">
        <v>3634</v>
      </c>
      <c r="P228" t="s">
        <v>3635</v>
      </c>
      <c r="Q228" t="s">
        <v>3636</v>
      </c>
      <c r="R228" t="s">
        <v>1699</v>
      </c>
      <c r="U228" t="s">
        <v>319</v>
      </c>
      <c r="V228" t="s">
        <v>3417</v>
      </c>
      <c r="X228">
        <v>4200</v>
      </c>
      <c r="Y228">
        <v>0</v>
      </c>
      <c r="AA228">
        <v>5</v>
      </c>
      <c r="AB228" s="31">
        <v>45806</v>
      </c>
      <c r="AC228" s="61">
        <v>0.6139930555555555</v>
      </c>
      <c r="AD228" t="s">
        <v>795</v>
      </c>
      <c r="AE228" s="31">
        <v>45811</v>
      </c>
      <c r="AF228" s="61">
        <v>0.64604166666666663</v>
      </c>
      <c r="AG228" t="s">
        <v>796</v>
      </c>
      <c r="AI228" t="s">
        <v>3937</v>
      </c>
      <c r="AR228">
        <v>1</v>
      </c>
    </row>
    <row r="229" spans="1:44" x14ac:dyDescent="0.25">
      <c r="A229" t="s">
        <v>31</v>
      </c>
      <c r="B229">
        <v>418</v>
      </c>
      <c r="C229">
        <v>196</v>
      </c>
      <c r="D229">
        <v>2143</v>
      </c>
      <c r="G229" t="s">
        <v>488</v>
      </c>
      <c r="H229">
        <v>32494222000102</v>
      </c>
      <c r="I229" t="s">
        <v>3715</v>
      </c>
      <c r="J229" t="s">
        <v>3716</v>
      </c>
      <c r="K229" t="s">
        <v>3716</v>
      </c>
      <c r="L229" t="s">
        <v>3717</v>
      </c>
      <c r="N229" t="s">
        <v>3718</v>
      </c>
      <c r="P229" t="s">
        <v>3719</v>
      </c>
      <c r="Q229" t="s">
        <v>3720</v>
      </c>
      <c r="R229" t="s">
        <v>790</v>
      </c>
      <c r="U229" t="s">
        <v>319</v>
      </c>
      <c r="V229" t="s">
        <v>3417</v>
      </c>
      <c r="X229">
        <v>1600</v>
      </c>
      <c r="Y229">
        <v>252621</v>
      </c>
      <c r="AA229">
        <v>4</v>
      </c>
      <c r="AB229" s="31">
        <v>45807</v>
      </c>
      <c r="AC229" s="61">
        <v>0.49321759259259262</v>
      </c>
      <c r="AD229" t="s">
        <v>795</v>
      </c>
      <c r="AE229" s="31">
        <v>45811</v>
      </c>
      <c r="AF229" s="61">
        <v>0.65384259259259259</v>
      </c>
      <c r="AG229" t="s">
        <v>3463</v>
      </c>
      <c r="AI229" t="s">
        <v>1590</v>
      </c>
      <c r="AJ229" t="s">
        <v>1590</v>
      </c>
      <c r="AR229">
        <v>1</v>
      </c>
    </row>
    <row r="230" spans="1:44" x14ac:dyDescent="0.25">
      <c r="A230" t="s">
        <v>31</v>
      </c>
      <c r="B230">
        <v>420</v>
      </c>
      <c r="C230">
        <v>73</v>
      </c>
      <c r="D230">
        <v>2145</v>
      </c>
      <c r="G230" t="s">
        <v>3938</v>
      </c>
      <c r="I230" t="s">
        <v>3218</v>
      </c>
      <c r="J230" t="s">
        <v>1474</v>
      </c>
      <c r="K230" t="s">
        <v>1474</v>
      </c>
      <c r="L230" t="s">
        <v>3939</v>
      </c>
      <c r="N230" t="s">
        <v>3220</v>
      </c>
      <c r="P230" t="s">
        <v>778</v>
      </c>
      <c r="U230" t="s">
        <v>319</v>
      </c>
      <c r="V230" t="s">
        <v>3417</v>
      </c>
      <c r="X230">
        <v>3024</v>
      </c>
      <c r="Y230">
        <v>3564</v>
      </c>
      <c r="AA230">
        <v>7</v>
      </c>
      <c r="AB230" s="31">
        <v>45807</v>
      </c>
      <c r="AC230" s="61">
        <v>0.59365740740740736</v>
      </c>
      <c r="AD230" t="s">
        <v>795</v>
      </c>
      <c r="AE230" s="31">
        <v>45814</v>
      </c>
      <c r="AF230" s="61">
        <v>0.47375</v>
      </c>
      <c r="AG230" t="s">
        <v>796</v>
      </c>
      <c r="AI230" t="s">
        <v>3940</v>
      </c>
      <c r="AJ230" t="s">
        <v>3940</v>
      </c>
      <c r="AR230">
        <v>1</v>
      </c>
    </row>
    <row r="231" spans="1:44" x14ac:dyDescent="0.25">
      <c r="A231" t="s">
        <v>31</v>
      </c>
      <c r="B231">
        <v>421</v>
      </c>
      <c r="C231">
        <v>148</v>
      </c>
      <c r="D231">
        <v>531</v>
      </c>
      <c r="G231" t="s">
        <v>3941</v>
      </c>
      <c r="H231">
        <v>8530284000130</v>
      </c>
      <c r="I231" t="s">
        <v>3555</v>
      </c>
      <c r="J231" t="s">
        <v>2927</v>
      </c>
      <c r="K231" t="s">
        <v>2927</v>
      </c>
      <c r="L231">
        <v>21987697145</v>
      </c>
      <c r="N231" t="s">
        <v>3557</v>
      </c>
      <c r="P231" t="s">
        <v>778</v>
      </c>
      <c r="U231" t="s">
        <v>319</v>
      </c>
      <c r="V231" t="s">
        <v>816</v>
      </c>
      <c r="X231">
        <v>714</v>
      </c>
      <c r="Y231">
        <v>32076</v>
      </c>
      <c r="AA231">
        <v>7</v>
      </c>
      <c r="AB231" s="31">
        <v>45807</v>
      </c>
      <c r="AC231" s="61">
        <v>0.61069444444444443</v>
      </c>
      <c r="AD231" t="s">
        <v>818</v>
      </c>
      <c r="AE231" s="31">
        <v>45814</v>
      </c>
      <c r="AF231" s="61">
        <v>0.70561342592592591</v>
      </c>
      <c r="AI231" t="s">
        <v>3916</v>
      </c>
      <c r="AJ231" t="s">
        <v>3940</v>
      </c>
      <c r="AR231">
        <v>1</v>
      </c>
    </row>
    <row r="232" spans="1:44" x14ac:dyDescent="0.25">
      <c r="A232" t="s">
        <v>31</v>
      </c>
      <c r="B232">
        <v>424</v>
      </c>
      <c r="C232">
        <v>122</v>
      </c>
      <c r="D232">
        <v>2180</v>
      </c>
      <c r="G232" t="s">
        <v>3865</v>
      </c>
      <c r="I232" t="s">
        <v>680</v>
      </c>
      <c r="J232" t="s">
        <v>680</v>
      </c>
      <c r="K232" t="s">
        <v>680</v>
      </c>
      <c r="L232" t="s">
        <v>3867</v>
      </c>
      <c r="N232" t="s">
        <v>3351</v>
      </c>
      <c r="P232" t="s">
        <v>778</v>
      </c>
      <c r="U232" t="s">
        <v>319</v>
      </c>
      <c r="V232" t="s">
        <v>816</v>
      </c>
      <c r="X232">
        <v>2000</v>
      </c>
      <c r="Y232">
        <v>0</v>
      </c>
      <c r="AA232">
        <v>0</v>
      </c>
      <c r="AB232" s="31">
        <v>45812</v>
      </c>
      <c r="AC232" s="61">
        <v>0.68781250000000005</v>
      </c>
      <c r="AD232" t="s">
        <v>818</v>
      </c>
      <c r="AE232" s="31">
        <v>45812</v>
      </c>
      <c r="AF232" s="61">
        <v>0.69079861111111107</v>
      </c>
      <c r="AI232" t="s">
        <v>3943</v>
      </c>
      <c r="AR232">
        <v>1</v>
      </c>
    </row>
    <row r="233" spans="1:44" x14ac:dyDescent="0.25">
      <c r="A233" t="s">
        <v>31</v>
      </c>
      <c r="B233">
        <v>427</v>
      </c>
      <c r="C233">
        <v>115</v>
      </c>
      <c r="D233">
        <v>2188</v>
      </c>
      <c r="G233" t="s">
        <v>3944</v>
      </c>
      <c r="I233" t="s">
        <v>3333</v>
      </c>
      <c r="J233" t="s">
        <v>3945</v>
      </c>
      <c r="K233" t="s">
        <v>3945</v>
      </c>
      <c r="L233" t="s">
        <v>3526</v>
      </c>
      <c r="N233" t="s">
        <v>3334</v>
      </c>
      <c r="P233" t="s">
        <v>778</v>
      </c>
      <c r="U233" t="s">
        <v>319</v>
      </c>
      <c r="V233" t="s">
        <v>3417</v>
      </c>
      <c r="AA233">
        <v>8</v>
      </c>
      <c r="AB233" s="31">
        <v>45813</v>
      </c>
      <c r="AC233" s="61">
        <v>0.61968749999999995</v>
      </c>
      <c r="AD233" t="s">
        <v>795</v>
      </c>
      <c r="AE233" s="31">
        <v>45821</v>
      </c>
      <c r="AF233" s="61">
        <v>0.69953703703703707</v>
      </c>
      <c r="AG233" t="s">
        <v>934</v>
      </c>
      <c r="AI233" t="s">
        <v>1854</v>
      </c>
      <c r="AJ233" t="s">
        <v>3946</v>
      </c>
      <c r="AR233">
        <v>1</v>
      </c>
    </row>
    <row r="234" spans="1:44" x14ac:dyDescent="0.25">
      <c r="A234" t="s">
        <v>31</v>
      </c>
      <c r="B234">
        <v>429</v>
      </c>
      <c r="C234">
        <v>119</v>
      </c>
      <c r="D234">
        <v>2191</v>
      </c>
      <c r="G234" t="s">
        <v>3947</v>
      </c>
      <c r="I234" t="s">
        <v>608</v>
      </c>
      <c r="J234" t="s">
        <v>844</v>
      </c>
      <c r="K234" t="s">
        <v>844</v>
      </c>
      <c r="L234" t="s">
        <v>3948</v>
      </c>
      <c r="N234" t="s">
        <v>3345</v>
      </c>
      <c r="P234" t="s">
        <v>778</v>
      </c>
      <c r="T234" t="s">
        <v>1419</v>
      </c>
      <c r="U234" t="s">
        <v>319</v>
      </c>
      <c r="V234" t="s">
        <v>3417</v>
      </c>
      <c r="X234">
        <v>26200</v>
      </c>
      <c r="Y234">
        <v>3400</v>
      </c>
      <c r="AA234">
        <v>102</v>
      </c>
      <c r="AB234" s="31">
        <v>45814</v>
      </c>
      <c r="AC234" s="61">
        <v>0.59260416666666671</v>
      </c>
      <c r="AD234" t="s">
        <v>795</v>
      </c>
      <c r="AE234" s="31">
        <v>45916</v>
      </c>
      <c r="AF234" s="61">
        <v>0.50366898148148154</v>
      </c>
      <c r="AG234" t="s">
        <v>934</v>
      </c>
      <c r="AR234">
        <v>1</v>
      </c>
    </row>
    <row r="235" spans="1:44" x14ac:dyDescent="0.25">
      <c r="A235" t="s">
        <v>31</v>
      </c>
      <c r="B235">
        <v>430</v>
      </c>
      <c r="C235">
        <v>134</v>
      </c>
      <c r="D235">
        <v>2192</v>
      </c>
      <c r="G235" t="s">
        <v>3949</v>
      </c>
      <c r="I235" t="s">
        <v>3377</v>
      </c>
      <c r="J235" t="s">
        <v>3950</v>
      </c>
      <c r="K235" t="s">
        <v>3950</v>
      </c>
      <c r="L235" t="s">
        <v>3830</v>
      </c>
      <c r="N235" t="s">
        <v>3379</v>
      </c>
      <c r="P235" t="s">
        <v>778</v>
      </c>
      <c r="T235" t="s">
        <v>1419</v>
      </c>
      <c r="U235" t="s">
        <v>319</v>
      </c>
      <c r="V235" t="s">
        <v>3417</v>
      </c>
      <c r="X235">
        <v>0</v>
      </c>
      <c r="Y235">
        <v>2016</v>
      </c>
      <c r="AA235">
        <v>81</v>
      </c>
      <c r="AB235" s="31">
        <v>45814</v>
      </c>
      <c r="AC235" s="61">
        <v>0.61868055555555557</v>
      </c>
      <c r="AD235" t="s">
        <v>795</v>
      </c>
      <c r="AE235" s="31">
        <v>45895</v>
      </c>
      <c r="AF235" s="61">
        <v>0.63534722222222217</v>
      </c>
      <c r="AG235" t="s">
        <v>934</v>
      </c>
      <c r="AI235" t="s">
        <v>3951</v>
      </c>
      <c r="AJ235" t="s">
        <v>3951</v>
      </c>
      <c r="AR235">
        <v>1</v>
      </c>
    </row>
    <row r="236" spans="1:44" x14ac:dyDescent="0.25">
      <c r="A236" t="s">
        <v>31</v>
      </c>
      <c r="B236">
        <v>432</v>
      </c>
      <c r="C236">
        <v>211</v>
      </c>
      <c r="D236">
        <v>2196</v>
      </c>
      <c r="G236" t="s">
        <v>3952</v>
      </c>
      <c r="H236">
        <v>5691820000190</v>
      </c>
      <c r="I236" t="s">
        <v>3912</v>
      </c>
      <c r="J236" t="s">
        <v>3953</v>
      </c>
      <c r="K236" t="s">
        <v>3953</v>
      </c>
      <c r="L236" t="s">
        <v>3913</v>
      </c>
      <c r="N236" t="s">
        <v>3914</v>
      </c>
      <c r="P236" t="s">
        <v>3915</v>
      </c>
      <c r="Q236" t="s">
        <v>1026</v>
      </c>
      <c r="R236" t="s">
        <v>1027</v>
      </c>
      <c r="U236" t="s">
        <v>319</v>
      </c>
      <c r="V236" t="s">
        <v>3417</v>
      </c>
      <c r="X236">
        <v>58143</v>
      </c>
      <c r="Y236">
        <v>0</v>
      </c>
      <c r="AA236">
        <v>3</v>
      </c>
      <c r="AB236" s="31">
        <v>45818</v>
      </c>
      <c r="AC236" s="61">
        <v>0.52453703703703702</v>
      </c>
      <c r="AD236" t="s">
        <v>795</v>
      </c>
      <c r="AE236" s="31">
        <v>45821</v>
      </c>
      <c r="AF236" s="61">
        <v>0.46098379629629632</v>
      </c>
      <c r="AG236" t="s">
        <v>3463</v>
      </c>
      <c r="AI236" t="s">
        <v>3954</v>
      </c>
      <c r="AR236">
        <v>1</v>
      </c>
    </row>
    <row r="237" spans="1:44" x14ac:dyDescent="0.25">
      <c r="A237" t="s">
        <v>31</v>
      </c>
      <c r="B237">
        <v>436</v>
      </c>
      <c r="C237">
        <v>207</v>
      </c>
      <c r="D237">
        <v>2201</v>
      </c>
      <c r="G237" t="s">
        <v>3955</v>
      </c>
      <c r="H237">
        <v>43609706000168</v>
      </c>
      <c r="I237" t="s">
        <v>3839</v>
      </c>
      <c r="J237" t="s">
        <v>3956</v>
      </c>
      <c r="K237" t="s">
        <v>3956</v>
      </c>
      <c r="L237" t="s">
        <v>3840</v>
      </c>
      <c r="N237" t="s">
        <v>3841</v>
      </c>
      <c r="P237" t="s">
        <v>3842</v>
      </c>
      <c r="Q237" t="s">
        <v>3843</v>
      </c>
      <c r="R237" t="s">
        <v>932</v>
      </c>
      <c r="T237" t="s">
        <v>1419</v>
      </c>
      <c r="U237" t="s">
        <v>319</v>
      </c>
      <c r="V237" t="s">
        <v>3417</v>
      </c>
      <c r="X237">
        <v>7140</v>
      </c>
      <c r="Y237">
        <v>0</v>
      </c>
      <c r="AA237">
        <v>12</v>
      </c>
      <c r="AB237" s="31">
        <v>45820</v>
      </c>
      <c r="AC237" s="61">
        <v>0.70355324074074077</v>
      </c>
      <c r="AD237" t="s">
        <v>795</v>
      </c>
      <c r="AE237" s="31">
        <v>45832</v>
      </c>
      <c r="AF237" s="61">
        <v>0.64807870370370368</v>
      </c>
      <c r="AG237" t="s">
        <v>934</v>
      </c>
      <c r="AI237" t="s">
        <v>3957</v>
      </c>
      <c r="AJ237" t="s">
        <v>3957</v>
      </c>
      <c r="AR237">
        <v>1</v>
      </c>
    </row>
    <row r="238" spans="1:44" x14ac:dyDescent="0.25">
      <c r="A238" t="s">
        <v>31</v>
      </c>
      <c r="B238">
        <v>437</v>
      </c>
      <c r="C238">
        <v>147</v>
      </c>
      <c r="D238">
        <v>2202</v>
      </c>
      <c r="G238" t="s">
        <v>3958</v>
      </c>
      <c r="H238">
        <v>7964558000136</v>
      </c>
      <c r="I238" t="s">
        <v>3430</v>
      </c>
      <c r="J238" t="s">
        <v>3959</v>
      </c>
      <c r="K238" t="s">
        <v>3959</v>
      </c>
      <c r="L238" t="s">
        <v>3515</v>
      </c>
      <c r="N238" t="s">
        <v>3433</v>
      </c>
      <c r="P238" t="s">
        <v>778</v>
      </c>
      <c r="T238" t="s">
        <v>1718</v>
      </c>
      <c r="U238" t="s">
        <v>319</v>
      </c>
      <c r="V238" t="s">
        <v>3417</v>
      </c>
      <c r="X238">
        <v>420</v>
      </c>
      <c r="Y238">
        <v>3564</v>
      </c>
      <c r="AA238">
        <v>52</v>
      </c>
      <c r="AB238" s="31">
        <v>45821</v>
      </c>
      <c r="AC238" s="61">
        <v>0.42613425925925918</v>
      </c>
      <c r="AD238" t="s">
        <v>795</v>
      </c>
      <c r="AE238" s="31">
        <v>45873</v>
      </c>
      <c r="AF238" s="61">
        <v>0.72765046296296299</v>
      </c>
      <c r="AG238" t="s">
        <v>1358</v>
      </c>
      <c r="AI238" t="s">
        <v>3960</v>
      </c>
      <c r="AJ238" t="s">
        <v>3960</v>
      </c>
      <c r="AR238">
        <v>1</v>
      </c>
    </row>
    <row r="239" spans="1:44" x14ac:dyDescent="0.25">
      <c r="A239" t="s">
        <v>31</v>
      </c>
      <c r="B239">
        <v>438</v>
      </c>
      <c r="C239">
        <v>182</v>
      </c>
      <c r="D239">
        <v>2203</v>
      </c>
      <c r="G239" t="s">
        <v>3961</v>
      </c>
      <c r="H239">
        <v>23873456000161</v>
      </c>
      <c r="I239" t="s">
        <v>3573</v>
      </c>
      <c r="J239" t="s">
        <v>3962</v>
      </c>
      <c r="K239" t="s">
        <v>3962</v>
      </c>
      <c r="L239" t="s">
        <v>3575</v>
      </c>
      <c r="N239" t="s">
        <v>3576</v>
      </c>
      <c r="P239" t="s">
        <v>3577</v>
      </c>
      <c r="Q239" t="s">
        <v>1837</v>
      </c>
      <c r="R239" t="s">
        <v>790</v>
      </c>
      <c r="T239" t="s">
        <v>1718</v>
      </c>
      <c r="U239" t="s">
        <v>319</v>
      </c>
      <c r="V239" t="s">
        <v>3417</v>
      </c>
      <c r="X239">
        <v>420</v>
      </c>
      <c r="Y239">
        <v>3564</v>
      </c>
      <c r="AA239">
        <v>10</v>
      </c>
      <c r="AB239" s="31">
        <v>45821</v>
      </c>
      <c r="AC239" s="61">
        <v>0.46237268518518521</v>
      </c>
      <c r="AD239" t="s">
        <v>795</v>
      </c>
      <c r="AE239" s="31">
        <v>45831</v>
      </c>
      <c r="AF239" s="61">
        <v>0.44872685185185179</v>
      </c>
      <c r="AG239" t="s">
        <v>934</v>
      </c>
      <c r="AI239" t="s">
        <v>3960</v>
      </c>
      <c r="AJ239" t="s">
        <v>3960</v>
      </c>
      <c r="AR239">
        <v>1</v>
      </c>
    </row>
    <row r="240" spans="1:44" x14ac:dyDescent="0.25">
      <c r="A240" t="s">
        <v>31</v>
      </c>
      <c r="B240">
        <v>439</v>
      </c>
      <c r="C240">
        <v>149</v>
      </c>
      <c r="D240">
        <v>2204</v>
      </c>
      <c r="G240" t="s">
        <v>3963</v>
      </c>
      <c r="H240">
        <v>12418196000118</v>
      </c>
      <c r="I240" t="s">
        <v>3645</v>
      </c>
      <c r="J240" t="s">
        <v>3688</v>
      </c>
      <c r="K240" t="s">
        <v>3688</v>
      </c>
      <c r="L240" t="s">
        <v>3647</v>
      </c>
      <c r="N240" t="s">
        <v>3648</v>
      </c>
      <c r="P240" t="s">
        <v>778</v>
      </c>
      <c r="T240" t="s">
        <v>1718</v>
      </c>
      <c r="U240" t="s">
        <v>319</v>
      </c>
      <c r="V240" t="s">
        <v>3606</v>
      </c>
      <c r="AA240">
        <v>13</v>
      </c>
      <c r="AB240" s="31">
        <v>45821</v>
      </c>
      <c r="AC240" s="61">
        <v>0.46744212962962961</v>
      </c>
      <c r="AD240" t="s">
        <v>795</v>
      </c>
      <c r="AE240" s="31">
        <v>45834</v>
      </c>
      <c r="AF240" s="61">
        <v>0.66707175925925921</v>
      </c>
      <c r="AG240" t="s">
        <v>3463</v>
      </c>
      <c r="AJ240" t="s">
        <v>3960</v>
      </c>
      <c r="AR240">
        <v>1</v>
      </c>
    </row>
    <row r="241" spans="1:44" x14ac:dyDescent="0.25">
      <c r="A241" t="s">
        <v>31</v>
      </c>
      <c r="B241">
        <v>440</v>
      </c>
      <c r="C241">
        <v>212</v>
      </c>
      <c r="D241">
        <v>2205</v>
      </c>
      <c r="G241" t="s">
        <v>3964</v>
      </c>
      <c r="H241">
        <v>54984976000175</v>
      </c>
      <c r="I241" t="s">
        <v>3965</v>
      </c>
      <c r="J241" t="s">
        <v>3966</v>
      </c>
      <c r="K241" t="s">
        <v>3966</v>
      </c>
      <c r="L241" t="s">
        <v>3967</v>
      </c>
      <c r="N241" t="s">
        <v>3968</v>
      </c>
      <c r="P241" t="s">
        <v>3969</v>
      </c>
      <c r="Q241" t="s">
        <v>1094</v>
      </c>
      <c r="R241" t="s">
        <v>790</v>
      </c>
      <c r="T241" t="s">
        <v>1718</v>
      </c>
      <c r="U241" t="s">
        <v>319</v>
      </c>
      <c r="V241" t="s">
        <v>816</v>
      </c>
      <c r="X241">
        <v>420</v>
      </c>
      <c r="Y241">
        <v>3564</v>
      </c>
      <c r="AA241">
        <v>10</v>
      </c>
      <c r="AB241" s="31">
        <v>45821</v>
      </c>
      <c r="AC241" s="61">
        <v>0.48508101851851848</v>
      </c>
      <c r="AD241" t="s">
        <v>795</v>
      </c>
      <c r="AE241" s="31">
        <v>45831</v>
      </c>
      <c r="AF241" s="61">
        <v>0.39015046296296302</v>
      </c>
      <c r="AG241" t="s">
        <v>934</v>
      </c>
      <c r="AI241" t="s">
        <v>3960</v>
      </c>
      <c r="AJ241" t="s">
        <v>3960</v>
      </c>
      <c r="AR241">
        <v>1</v>
      </c>
    </row>
    <row r="242" spans="1:44" x14ac:dyDescent="0.25">
      <c r="A242" t="s">
        <v>31</v>
      </c>
      <c r="B242">
        <v>442</v>
      </c>
      <c r="C242">
        <v>85</v>
      </c>
      <c r="D242">
        <v>2207</v>
      </c>
      <c r="G242" t="s">
        <v>3970</v>
      </c>
      <c r="I242" t="s">
        <v>3261</v>
      </c>
      <c r="J242" t="s">
        <v>3971</v>
      </c>
      <c r="K242" t="s">
        <v>3971</v>
      </c>
      <c r="L242" t="s">
        <v>3972</v>
      </c>
      <c r="N242" t="s">
        <v>3263</v>
      </c>
      <c r="P242" t="s">
        <v>778</v>
      </c>
      <c r="Q242" t="s">
        <v>3264</v>
      </c>
      <c r="U242" t="s">
        <v>319</v>
      </c>
      <c r="V242" t="s">
        <v>3417</v>
      </c>
      <c r="X242">
        <v>420</v>
      </c>
      <c r="Y242">
        <v>3564</v>
      </c>
      <c r="AA242">
        <v>71</v>
      </c>
      <c r="AB242" s="31">
        <v>45824</v>
      </c>
      <c r="AC242" s="61">
        <v>0.40819444444444453</v>
      </c>
      <c r="AD242" t="s">
        <v>795</v>
      </c>
      <c r="AE242" s="31">
        <v>45895</v>
      </c>
      <c r="AF242" s="61">
        <v>0.62921296296296292</v>
      </c>
      <c r="AG242" t="s">
        <v>3463</v>
      </c>
      <c r="AI242" t="s">
        <v>1769</v>
      </c>
      <c r="AJ242" t="s">
        <v>3973</v>
      </c>
      <c r="AR242">
        <v>1</v>
      </c>
    </row>
    <row r="243" spans="1:44" x14ac:dyDescent="0.25">
      <c r="A243" t="s">
        <v>31</v>
      </c>
      <c r="B243">
        <v>443</v>
      </c>
      <c r="C243">
        <v>108</v>
      </c>
      <c r="D243">
        <v>2208</v>
      </c>
      <c r="G243" t="s">
        <v>3974</v>
      </c>
      <c r="I243" t="s">
        <v>3321</v>
      </c>
      <c r="J243" t="s">
        <v>3975</v>
      </c>
      <c r="K243" t="s">
        <v>3975</v>
      </c>
      <c r="N243" t="s">
        <v>3322</v>
      </c>
      <c r="P243" t="s">
        <v>778</v>
      </c>
      <c r="U243" t="s">
        <v>319</v>
      </c>
      <c r="V243" t="s">
        <v>3417</v>
      </c>
      <c r="X243">
        <v>420</v>
      </c>
      <c r="Y243">
        <v>3564</v>
      </c>
      <c r="AA243">
        <v>2</v>
      </c>
      <c r="AB243" s="31">
        <v>45824</v>
      </c>
      <c r="AC243" s="61">
        <v>0.47565972222222219</v>
      </c>
      <c r="AD243" t="s">
        <v>795</v>
      </c>
      <c r="AE243" s="31">
        <v>45826</v>
      </c>
      <c r="AF243" s="61">
        <v>0.72990740740740745</v>
      </c>
      <c r="AG243" t="s">
        <v>3463</v>
      </c>
      <c r="AI243" t="s">
        <v>3973</v>
      </c>
      <c r="AJ243" t="s">
        <v>3973</v>
      </c>
      <c r="AR243">
        <v>1</v>
      </c>
    </row>
    <row r="244" spans="1:44" x14ac:dyDescent="0.25">
      <c r="A244" t="s">
        <v>31</v>
      </c>
      <c r="B244">
        <v>444</v>
      </c>
      <c r="C244">
        <v>137</v>
      </c>
      <c r="D244">
        <v>2209</v>
      </c>
      <c r="G244" t="s">
        <v>3976</v>
      </c>
      <c r="I244" t="s">
        <v>116</v>
      </c>
      <c r="J244" t="s">
        <v>704</v>
      </c>
      <c r="K244" t="s">
        <v>704</v>
      </c>
      <c r="L244" t="s">
        <v>3703</v>
      </c>
      <c r="N244" t="s">
        <v>3386</v>
      </c>
      <c r="P244" t="s">
        <v>778</v>
      </c>
      <c r="U244" t="s">
        <v>319</v>
      </c>
      <c r="V244" t="s">
        <v>3417</v>
      </c>
      <c r="X244">
        <v>420</v>
      </c>
      <c r="Y244">
        <v>3564</v>
      </c>
      <c r="AA244">
        <v>9</v>
      </c>
      <c r="AB244" s="31">
        <v>45824</v>
      </c>
      <c r="AC244" s="61">
        <v>0.48714120370370367</v>
      </c>
      <c r="AD244" t="s">
        <v>795</v>
      </c>
      <c r="AE244" s="31">
        <v>45833</v>
      </c>
      <c r="AF244" s="61">
        <v>0.46094907407407409</v>
      </c>
      <c r="AG244" t="s">
        <v>934</v>
      </c>
      <c r="AI244" t="s">
        <v>3973</v>
      </c>
      <c r="AJ244" t="s">
        <v>3973</v>
      </c>
      <c r="AR244">
        <v>1</v>
      </c>
    </row>
    <row r="245" spans="1:44" x14ac:dyDescent="0.25">
      <c r="A245" t="s">
        <v>31</v>
      </c>
      <c r="B245">
        <v>445</v>
      </c>
      <c r="C245">
        <v>116</v>
      </c>
      <c r="D245">
        <v>2211</v>
      </c>
      <c r="G245" t="s">
        <v>3977</v>
      </c>
      <c r="I245" t="s">
        <v>3335</v>
      </c>
      <c r="J245" t="s">
        <v>3978</v>
      </c>
      <c r="K245" t="s">
        <v>3978</v>
      </c>
      <c r="L245" t="s">
        <v>3979</v>
      </c>
      <c r="N245" t="s">
        <v>3337</v>
      </c>
      <c r="P245" t="s">
        <v>778</v>
      </c>
      <c r="Q245" t="s">
        <v>3338</v>
      </c>
      <c r="R245" t="s">
        <v>3339</v>
      </c>
      <c r="U245" t="s">
        <v>319</v>
      </c>
      <c r="V245" t="s">
        <v>816</v>
      </c>
      <c r="X245">
        <v>420</v>
      </c>
      <c r="Y245">
        <v>3564</v>
      </c>
      <c r="AA245">
        <v>39</v>
      </c>
      <c r="AB245" s="31">
        <v>45824</v>
      </c>
      <c r="AC245" s="61">
        <v>0.61697916666666663</v>
      </c>
      <c r="AD245" t="s">
        <v>795</v>
      </c>
      <c r="AE245" s="31">
        <v>45863</v>
      </c>
      <c r="AF245" s="61">
        <v>0.61900462962962965</v>
      </c>
      <c r="AG245" t="s">
        <v>934</v>
      </c>
      <c r="AI245" t="s">
        <v>3973</v>
      </c>
      <c r="AJ245" t="s">
        <v>3973</v>
      </c>
      <c r="AR245">
        <v>1</v>
      </c>
    </row>
    <row r="246" spans="1:44" x14ac:dyDescent="0.25">
      <c r="A246" t="s">
        <v>31</v>
      </c>
      <c r="B246">
        <v>446</v>
      </c>
      <c r="C246">
        <v>112</v>
      </c>
      <c r="D246">
        <v>2212</v>
      </c>
      <c r="G246" t="s">
        <v>3980</v>
      </c>
      <c r="I246" t="s">
        <v>3327</v>
      </c>
      <c r="J246" t="s">
        <v>3764</v>
      </c>
      <c r="K246" t="s">
        <v>3764</v>
      </c>
      <c r="N246" t="s">
        <v>3328</v>
      </c>
      <c r="P246" t="s">
        <v>778</v>
      </c>
      <c r="U246" t="s">
        <v>319</v>
      </c>
      <c r="V246" t="s">
        <v>816</v>
      </c>
      <c r="X246">
        <v>420</v>
      </c>
      <c r="Y246">
        <v>3564</v>
      </c>
      <c r="AA246">
        <v>2</v>
      </c>
      <c r="AB246" s="31">
        <v>45824</v>
      </c>
      <c r="AC246" s="61">
        <v>0.64842592592592596</v>
      </c>
      <c r="AD246" t="s">
        <v>795</v>
      </c>
      <c r="AE246" s="31">
        <v>45826</v>
      </c>
      <c r="AF246" s="61">
        <v>0.39716435185185178</v>
      </c>
      <c r="AG246" t="s">
        <v>3463</v>
      </c>
      <c r="AI246" t="s">
        <v>3973</v>
      </c>
      <c r="AJ246" t="s">
        <v>3973</v>
      </c>
      <c r="AR246">
        <v>1</v>
      </c>
    </row>
    <row r="247" spans="1:44" x14ac:dyDescent="0.25">
      <c r="A247" t="s">
        <v>31</v>
      </c>
      <c r="B247">
        <v>448</v>
      </c>
      <c r="C247">
        <v>153</v>
      </c>
      <c r="D247">
        <v>2214</v>
      </c>
      <c r="G247" t="s">
        <v>3981</v>
      </c>
      <c r="I247" t="s">
        <v>3451</v>
      </c>
      <c r="J247" t="s">
        <v>3982</v>
      </c>
      <c r="K247" t="s">
        <v>3982</v>
      </c>
      <c r="L247" t="s">
        <v>3983</v>
      </c>
      <c r="N247" t="s">
        <v>3454</v>
      </c>
      <c r="P247" t="s">
        <v>778</v>
      </c>
      <c r="U247" t="s">
        <v>319</v>
      </c>
      <c r="V247" t="s">
        <v>816</v>
      </c>
      <c r="X247">
        <v>420</v>
      </c>
      <c r="Y247">
        <v>3564</v>
      </c>
      <c r="AA247">
        <v>10</v>
      </c>
      <c r="AB247" s="31">
        <v>45824</v>
      </c>
      <c r="AC247" s="61">
        <v>0.73062499999999997</v>
      </c>
      <c r="AD247" t="s">
        <v>795</v>
      </c>
      <c r="AE247" s="31">
        <v>45834</v>
      </c>
      <c r="AF247" s="61">
        <v>0.48526620370370371</v>
      </c>
      <c r="AG247" t="s">
        <v>934</v>
      </c>
      <c r="AI247" t="s">
        <v>3973</v>
      </c>
      <c r="AJ247" t="s">
        <v>3973</v>
      </c>
      <c r="AR247">
        <v>1</v>
      </c>
    </row>
    <row r="248" spans="1:44" x14ac:dyDescent="0.25">
      <c r="A248" t="s">
        <v>31</v>
      </c>
      <c r="B248">
        <v>449</v>
      </c>
      <c r="C248">
        <v>134</v>
      </c>
      <c r="D248">
        <v>2215</v>
      </c>
      <c r="G248" t="s">
        <v>3984</v>
      </c>
      <c r="I248" t="s">
        <v>3377</v>
      </c>
      <c r="J248" t="s">
        <v>3985</v>
      </c>
      <c r="K248" t="s">
        <v>3985</v>
      </c>
      <c r="L248" t="s">
        <v>3830</v>
      </c>
      <c r="N248" t="s">
        <v>3379</v>
      </c>
      <c r="P248" t="s">
        <v>778</v>
      </c>
      <c r="U248" t="s">
        <v>319</v>
      </c>
      <c r="V248" t="s">
        <v>816</v>
      </c>
      <c r="X248">
        <v>1680</v>
      </c>
      <c r="Y248">
        <v>0</v>
      </c>
      <c r="AA248">
        <v>0</v>
      </c>
      <c r="AB248" s="31">
        <v>45826</v>
      </c>
      <c r="AC248" s="61">
        <v>0.39401620370370372</v>
      </c>
      <c r="AD248" t="s">
        <v>818</v>
      </c>
      <c r="AE248" s="31">
        <v>45826</v>
      </c>
      <c r="AF248" s="61">
        <v>0.39494212962962971</v>
      </c>
      <c r="AI248" t="s">
        <v>3986</v>
      </c>
      <c r="AR248">
        <v>1</v>
      </c>
    </row>
    <row r="249" spans="1:44" x14ac:dyDescent="0.25">
      <c r="A249" t="s">
        <v>31</v>
      </c>
      <c r="B249">
        <v>452</v>
      </c>
      <c r="C249">
        <v>134</v>
      </c>
      <c r="D249">
        <v>2215</v>
      </c>
      <c r="G249" t="s">
        <v>3987</v>
      </c>
      <c r="I249" t="s">
        <v>3377</v>
      </c>
      <c r="J249" t="s">
        <v>3985</v>
      </c>
      <c r="K249" t="s">
        <v>3985</v>
      </c>
      <c r="L249" t="s">
        <v>3830</v>
      </c>
      <c r="N249" t="s">
        <v>3379</v>
      </c>
      <c r="P249" t="s">
        <v>778</v>
      </c>
      <c r="U249" t="s">
        <v>319</v>
      </c>
      <c r="V249" t="s">
        <v>3409</v>
      </c>
      <c r="AA249">
        <v>8</v>
      </c>
      <c r="AB249" s="31">
        <v>45826</v>
      </c>
      <c r="AC249" s="61">
        <v>0.69927083333333329</v>
      </c>
      <c r="AD249" t="s">
        <v>795</v>
      </c>
      <c r="AE249" s="31">
        <v>45834</v>
      </c>
      <c r="AF249" s="61">
        <v>0.66675925925925927</v>
      </c>
      <c r="AG249" t="s">
        <v>3463</v>
      </c>
      <c r="AI249" t="s">
        <v>3986</v>
      </c>
      <c r="AJ249" t="s">
        <v>3986</v>
      </c>
      <c r="AR249">
        <v>1</v>
      </c>
    </row>
    <row r="250" spans="1:44" x14ac:dyDescent="0.25">
      <c r="A250" t="s">
        <v>31</v>
      </c>
      <c r="B250">
        <v>454</v>
      </c>
      <c r="C250">
        <v>170</v>
      </c>
      <c r="D250">
        <v>2220</v>
      </c>
      <c r="G250" t="s">
        <v>3988</v>
      </c>
      <c r="H250">
        <v>4150555001304</v>
      </c>
      <c r="I250" t="s">
        <v>3477</v>
      </c>
      <c r="J250" t="s">
        <v>3478</v>
      </c>
      <c r="K250" t="s">
        <v>3478</v>
      </c>
      <c r="L250" t="s">
        <v>3569</v>
      </c>
      <c r="N250" t="s">
        <v>3480</v>
      </c>
      <c r="P250" t="s">
        <v>3481</v>
      </c>
      <c r="Q250" t="s">
        <v>3482</v>
      </c>
      <c r="R250" t="s">
        <v>1699</v>
      </c>
      <c r="U250" t="s">
        <v>319</v>
      </c>
      <c r="V250" t="s">
        <v>816</v>
      </c>
      <c r="X250">
        <v>13000</v>
      </c>
      <c r="Y250">
        <v>64152</v>
      </c>
      <c r="AA250">
        <v>44</v>
      </c>
      <c r="AB250" s="31">
        <v>45832</v>
      </c>
      <c r="AC250" s="61">
        <v>0.41875000000000001</v>
      </c>
      <c r="AD250" t="s">
        <v>795</v>
      </c>
      <c r="AE250" s="31">
        <v>45876</v>
      </c>
      <c r="AF250" s="61">
        <v>0.48769675925925932</v>
      </c>
      <c r="AG250" t="s">
        <v>934</v>
      </c>
      <c r="AI250" t="s">
        <v>3989</v>
      </c>
      <c r="AJ250" t="s">
        <v>3989</v>
      </c>
      <c r="AR250">
        <v>1</v>
      </c>
    </row>
    <row r="251" spans="1:44" x14ac:dyDescent="0.25">
      <c r="A251" t="s">
        <v>31</v>
      </c>
      <c r="B251">
        <v>458</v>
      </c>
      <c r="C251">
        <v>170</v>
      </c>
      <c r="D251">
        <v>2233</v>
      </c>
      <c r="G251" t="s">
        <v>460</v>
      </c>
      <c r="H251">
        <v>4150555001304</v>
      </c>
      <c r="I251" t="s">
        <v>3477</v>
      </c>
      <c r="J251" t="s">
        <v>3478</v>
      </c>
      <c r="K251" t="s">
        <v>3478</v>
      </c>
      <c r="L251" t="s">
        <v>3569</v>
      </c>
      <c r="N251" t="s">
        <v>3480</v>
      </c>
      <c r="P251" t="s">
        <v>3481</v>
      </c>
      <c r="Q251" t="s">
        <v>3482</v>
      </c>
      <c r="R251" t="s">
        <v>1699</v>
      </c>
      <c r="U251" t="s">
        <v>319</v>
      </c>
      <c r="V251" t="s">
        <v>816</v>
      </c>
      <c r="X251">
        <v>838821</v>
      </c>
      <c r="Y251">
        <v>0</v>
      </c>
      <c r="AA251">
        <v>64</v>
      </c>
      <c r="AB251" s="31">
        <v>45832</v>
      </c>
      <c r="AC251" s="61">
        <v>0.64075231481481476</v>
      </c>
      <c r="AD251" t="s">
        <v>795</v>
      </c>
      <c r="AE251" s="31">
        <v>45896</v>
      </c>
      <c r="AF251" s="61">
        <v>0.65649305555555559</v>
      </c>
      <c r="AG251" t="s">
        <v>3463</v>
      </c>
      <c r="AI251" t="s">
        <v>3990</v>
      </c>
      <c r="AR251">
        <v>1</v>
      </c>
    </row>
    <row r="252" spans="1:44" x14ac:dyDescent="0.25">
      <c r="A252" t="s">
        <v>31</v>
      </c>
      <c r="B252">
        <v>459</v>
      </c>
      <c r="C252">
        <v>183</v>
      </c>
      <c r="D252">
        <v>2234</v>
      </c>
      <c r="G252" t="s">
        <v>3991</v>
      </c>
      <c r="H252">
        <v>3204281000192</v>
      </c>
      <c r="I252" t="s">
        <v>3594</v>
      </c>
      <c r="J252" t="s">
        <v>3595</v>
      </c>
      <c r="K252" t="s">
        <v>3595</v>
      </c>
      <c r="L252" t="s">
        <v>3596</v>
      </c>
      <c r="N252" t="s">
        <v>2617</v>
      </c>
      <c r="P252" t="s">
        <v>3597</v>
      </c>
      <c r="Q252" t="s">
        <v>2618</v>
      </c>
      <c r="R252" t="s">
        <v>790</v>
      </c>
      <c r="U252" t="s">
        <v>319</v>
      </c>
      <c r="V252" t="s">
        <v>3417</v>
      </c>
      <c r="X252">
        <v>420</v>
      </c>
      <c r="Y252">
        <v>3564</v>
      </c>
      <c r="AA252">
        <v>45</v>
      </c>
      <c r="AB252" s="31">
        <v>45832</v>
      </c>
      <c r="AC252" s="61">
        <v>0.65225694444444449</v>
      </c>
      <c r="AD252" t="s">
        <v>795</v>
      </c>
      <c r="AE252" s="31">
        <v>45877</v>
      </c>
      <c r="AF252" s="61">
        <v>0.42207175925925933</v>
      </c>
      <c r="AG252" t="s">
        <v>934</v>
      </c>
      <c r="AI252" t="s">
        <v>3989</v>
      </c>
      <c r="AJ252" t="s">
        <v>3989</v>
      </c>
      <c r="AR252">
        <v>1</v>
      </c>
    </row>
    <row r="253" spans="1:44" x14ac:dyDescent="0.25">
      <c r="A253" t="s">
        <v>31</v>
      </c>
      <c r="B253">
        <v>460</v>
      </c>
      <c r="C253">
        <v>88</v>
      </c>
      <c r="D253">
        <v>2235</v>
      </c>
      <c r="G253" t="s">
        <v>3992</v>
      </c>
      <c r="I253" t="s">
        <v>660</v>
      </c>
      <c r="J253" t="s">
        <v>1133</v>
      </c>
      <c r="K253" t="s">
        <v>1133</v>
      </c>
      <c r="L253" t="s">
        <v>3993</v>
      </c>
      <c r="N253" t="s">
        <v>3273</v>
      </c>
      <c r="P253" t="s">
        <v>778</v>
      </c>
      <c r="Q253" t="s">
        <v>3274</v>
      </c>
      <c r="R253" t="s">
        <v>932</v>
      </c>
      <c r="U253" t="s">
        <v>319</v>
      </c>
      <c r="V253" t="s">
        <v>816</v>
      </c>
      <c r="X253">
        <v>2100</v>
      </c>
      <c r="Y253">
        <v>0</v>
      </c>
      <c r="AA253">
        <v>0</v>
      </c>
      <c r="AB253" s="31">
        <v>45832</v>
      </c>
      <c r="AC253" s="61">
        <v>0.67142361111111115</v>
      </c>
      <c r="AD253" t="s">
        <v>818</v>
      </c>
      <c r="AE253" s="31">
        <v>45832</v>
      </c>
      <c r="AF253" s="61">
        <v>0.67877314814814815</v>
      </c>
      <c r="AI253" t="s">
        <v>3990</v>
      </c>
      <c r="AR253">
        <v>1</v>
      </c>
    </row>
    <row r="254" spans="1:44" x14ac:dyDescent="0.25">
      <c r="A254" t="s">
        <v>31</v>
      </c>
      <c r="B254">
        <v>461</v>
      </c>
      <c r="C254">
        <v>174</v>
      </c>
      <c r="D254">
        <v>2236</v>
      </c>
      <c r="G254" t="s">
        <v>3994</v>
      </c>
      <c r="H254">
        <v>45238441000164</v>
      </c>
      <c r="I254" t="s">
        <v>3507</v>
      </c>
      <c r="J254" t="s">
        <v>3995</v>
      </c>
      <c r="K254" t="s">
        <v>3995</v>
      </c>
      <c r="L254" t="s">
        <v>3509</v>
      </c>
      <c r="M254">
        <v>11973359869</v>
      </c>
      <c r="N254" t="s">
        <v>3510</v>
      </c>
      <c r="P254" t="s">
        <v>3511</v>
      </c>
      <c r="Q254" t="s">
        <v>1094</v>
      </c>
      <c r="R254" t="s">
        <v>790</v>
      </c>
      <c r="U254" t="s">
        <v>319</v>
      </c>
      <c r="V254" t="s">
        <v>816</v>
      </c>
      <c r="X254">
        <v>116661</v>
      </c>
      <c r="Y254">
        <v>0</v>
      </c>
      <c r="AA254">
        <v>0</v>
      </c>
      <c r="AB254" s="31">
        <v>45832</v>
      </c>
      <c r="AC254" s="61">
        <v>0.6791666666666667</v>
      </c>
      <c r="AD254" t="s">
        <v>818</v>
      </c>
      <c r="AE254" s="31">
        <v>45832</v>
      </c>
      <c r="AF254" s="61">
        <v>0.68104166666666666</v>
      </c>
      <c r="AI254" t="s">
        <v>3990</v>
      </c>
      <c r="AR254">
        <v>1</v>
      </c>
    </row>
    <row r="255" spans="1:44" x14ac:dyDescent="0.25">
      <c r="A255" t="s">
        <v>31</v>
      </c>
      <c r="B255">
        <v>464</v>
      </c>
      <c r="C255">
        <v>206</v>
      </c>
      <c r="D255">
        <v>2241</v>
      </c>
      <c r="G255" t="s">
        <v>3996</v>
      </c>
      <c r="H255">
        <v>37075503000136</v>
      </c>
      <c r="I255" t="s">
        <v>3826</v>
      </c>
      <c r="J255" t="s">
        <v>1474</v>
      </c>
      <c r="K255" t="s">
        <v>1474</v>
      </c>
      <c r="L255" t="s">
        <v>1475</v>
      </c>
      <c r="N255" t="s">
        <v>1476</v>
      </c>
      <c r="P255" t="s">
        <v>3827</v>
      </c>
      <c r="Q255" t="s">
        <v>1477</v>
      </c>
      <c r="R255" t="s">
        <v>932</v>
      </c>
      <c r="U255" t="s">
        <v>319</v>
      </c>
      <c r="V255" t="s">
        <v>3417</v>
      </c>
      <c r="AA255">
        <v>30</v>
      </c>
      <c r="AB255" s="31">
        <v>45833</v>
      </c>
      <c r="AC255" s="61">
        <v>0.45314814814814808</v>
      </c>
      <c r="AD255" t="s">
        <v>795</v>
      </c>
      <c r="AE255" s="31">
        <v>45863</v>
      </c>
      <c r="AF255" s="61">
        <v>0.4473611111111111</v>
      </c>
      <c r="AG255" t="s">
        <v>3463</v>
      </c>
      <c r="AI255" t="s">
        <v>3997</v>
      </c>
      <c r="AR255">
        <v>1</v>
      </c>
    </row>
    <row r="256" spans="1:44" x14ac:dyDescent="0.25">
      <c r="A256" t="s">
        <v>31</v>
      </c>
      <c r="B256">
        <v>465</v>
      </c>
      <c r="C256">
        <v>169</v>
      </c>
      <c r="D256">
        <v>2242</v>
      </c>
      <c r="G256" t="s">
        <v>3998</v>
      </c>
      <c r="H256">
        <v>11458315000101</v>
      </c>
      <c r="I256" t="s">
        <v>3465</v>
      </c>
      <c r="J256" t="s">
        <v>707</v>
      </c>
      <c r="K256" t="s">
        <v>707</v>
      </c>
      <c r="L256" t="s">
        <v>3467</v>
      </c>
      <c r="N256" t="s">
        <v>3468</v>
      </c>
      <c r="P256" t="s">
        <v>3469</v>
      </c>
      <c r="Q256" t="s">
        <v>3470</v>
      </c>
      <c r="R256" t="s">
        <v>790</v>
      </c>
      <c r="U256" t="s">
        <v>319</v>
      </c>
      <c r="V256" t="s">
        <v>816</v>
      </c>
      <c r="X256">
        <v>1701</v>
      </c>
      <c r="Y256">
        <v>32076</v>
      </c>
      <c r="AA256">
        <v>44</v>
      </c>
      <c r="AB256" s="31">
        <v>45833</v>
      </c>
      <c r="AC256" s="61">
        <v>0.50416666666666665</v>
      </c>
      <c r="AD256" t="s">
        <v>818</v>
      </c>
      <c r="AE256" s="31">
        <v>45877</v>
      </c>
      <c r="AF256" s="61">
        <v>0.60512731481481485</v>
      </c>
      <c r="AI256" t="s">
        <v>3997</v>
      </c>
      <c r="AJ256" t="s">
        <v>3999</v>
      </c>
      <c r="AR256">
        <v>1</v>
      </c>
    </row>
    <row r="257" spans="1:44" x14ac:dyDescent="0.25">
      <c r="A257" t="s">
        <v>31</v>
      </c>
      <c r="B257">
        <v>471</v>
      </c>
      <c r="C257">
        <v>133</v>
      </c>
      <c r="D257">
        <v>2279</v>
      </c>
      <c r="G257" t="s">
        <v>4000</v>
      </c>
      <c r="I257" t="s">
        <v>625</v>
      </c>
      <c r="J257" t="s">
        <v>3899</v>
      </c>
      <c r="K257" t="s">
        <v>3899</v>
      </c>
      <c r="L257" t="s">
        <v>3584</v>
      </c>
      <c r="N257" t="s">
        <v>2207</v>
      </c>
      <c r="P257" t="s">
        <v>778</v>
      </c>
      <c r="U257" t="s">
        <v>319</v>
      </c>
      <c r="V257" t="s">
        <v>3417</v>
      </c>
      <c r="X257">
        <v>840</v>
      </c>
      <c r="Y257">
        <v>0</v>
      </c>
      <c r="AA257">
        <v>63</v>
      </c>
      <c r="AB257" s="31">
        <v>45838</v>
      </c>
      <c r="AC257" s="61">
        <v>0.64850694444444446</v>
      </c>
      <c r="AD257" t="s">
        <v>795</v>
      </c>
      <c r="AE257" s="31">
        <v>45901</v>
      </c>
      <c r="AF257" s="61">
        <v>0.49880787037037039</v>
      </c>
      <c r="AG257" t="s">
        <v>796</v>
      </c>
      <c r="AI257" t="s">
        <v>1901</v>
      </c>
      <c r="AR257">
        <v>1</v>
      </c>
    </row>
    <row r="258" spans="1:44" x14ac:dyDescent="0.25">
      <c r="A258" t="s">
        <v>31</v>
      </c>
      <c r="B258">
        <v>472</v>
      </c>
      <c r="C258">
        <v>206</v>
      </c>
      <c r="D258">
        <v>2280</v>
      </c>
      <c r="G258" t="s">
        <v>4001</v>
      </c>
      <c r="H258">
        <v>37075503000136</v>
      </c>
      <c r="I258" t="s">
        <v>3826</v>
      </c>
      <c r="J258" t="s">
        <v>1474</v>
      </c>
      <c r="K258" t="s">
        <v>1474</v>
      </c>
      <c r="L258" t="s">
        <v>1475</v>
      </c>
      <c r="N258" t="s">
        <v>1476</v>
      </c>
      <c r="P258" t="s">
        <v>3827</v>
      </c>
      <c r="Q258" t="s">
        <v>1477</v>
      </c>
      <c r="R258" t="s">
        <v>932</v>
      </c>
      <c r="U258" t="s">
        <v>319</v>
      </c>
      <c r="V258" t="s">
        <v>816</v>
      </c>
      <c r="X258">
        <v>0</v>
      </c>
      <c r="Y258">
        <v>264</v>
      </c>
      <c r="AA258">
        <v>1</v>
      </c>
      <c r="AB258" s="31">
        <v>45838</v>
      </c>
      <c r="AC258" s="61">
        <v>0.67339120370370376</v>
      </c>
      <c r="AD258" t="s">
        <v>818</v>
      </c>
      <c r="AE258" s="31">
        <v>45839</v>
      </c>
      <c r="AF258" s="61">
        <v>0.64826388888888886</v>
      </c>
      <c r="AI258" t="s">
        <v>1866</v>
      </c>
      <c r="AJ258" t="s">
        <v>1866</v>
      </c>
      <c r="AR258">
        <v>1</v>
      </c>
    </row>
    <row r="259" spans="1:44" x14ac:dyDescent="0.25">
      <c r="A259" t="s">
        <v>31</v>
      </c>
      <c r="B259">
        <v>473</v>
      </c>
      <c r="C259">
        <v>154</v>
      </c>
      <c r="D259">
        <v>2296</v>
      </c>
      <c r="G259" t="s">
        <v>4002</v>
      </c>
      <c r="H259">
        <v>790751000159</v>
      </c>
      <c r="I259" t="s">
        <v>3456</v>
      </c>
      <c r="J259" t="s">
        <v>4003</v>
      </c>
      <c r="K259" t="s">
        <v>4003</v>
      </c>
      <c r="L259" t="s">
        <v>3580</v>
      </c>
      <c r="N259" t="s">
        <v>3459</v>
      </c>
      <c r="P259" t="s">
        <v>778</v>
      </c>
      <c r="U259" t="s">
        <v>319</v>
      </c>
      <c r="V259" t="s">
        <v>781</v>
      </c>
      <c r="AA259">
        <v>59</v>
      </c>
      <c r="AB259" s="31">
        <v>45839</v>
      </c>
      <c r="AC259" s="61">
        <v>0.65577546296296296</v>
      </c>
      <c r="AD259" t="s">
        <v>795</v>
      </c>
      <c r="AE259" s="31">
        <v>45898</v>
      </c>
      <c r="AF259" s="61">
        <v>0.68674768518518514</v>
      </c>
      <c r="AG259" t="s">
        <v>3463</v>
      </c>
      <c r="AR259">
        <v>1</v>
      </c>
    </row>
    <row r="260" spans="1:44" x14ac:dyDescent="0.25">
      <c r="A260" t="s">
        <v>31</v>
      </c>
      <c r="B260">
        <v>474</v>
      </c>
      <c r="C260">
        <v>203</v>
      </c>
      <c r="D260">
        <v>2298</v>
      </c>
      <c r="G260" t="s">
        <v>4004</v>
      </c>
      <c r="H260">
        <v>11806036000183</v>
      </c>
      <c r="I260" t="s">
        <v>3791</v>
      </c>
      <c r="J260" t="s">
        <v>2600</v>
      </c>
      <c r="K260" t="s">
        <v>2600</v>
      </c>
      <c r="L260" t="s">
        <v>3792</v>
      </c>
      <c r="N260" t="s">
        <v>3793</v>
      </c>
      <c r="P260" t="s">
        <v>3794</v>
      </c>
      <c r="Q260" t="s">
        <v>3636</v>
      </c>
      <c r="R260" t="s">
        <v>1699</v>
      </c>
      <c r="U260" t="s">
        <v>319</v>
      </c>
      <c r="V260" t="s">
        <v>3417</v>
      </c>
      <c r="AA260">
        <v>13</v>
      </c>
      <c r="AB260" s="31">
        <v>45841</v>
      </c>
      <c r="AC260" s="61">
        <v>0.67476851851851849</v>
      </c>
      <c r="AD260" t="s">
        <v>795</v>
      </c>
      <c r="AE260" s="31">
        <v>45854</v>
      </c>
      <c r="AF260" s="61">
        <v>0.45506944444444453</v>
      </c>
      <c r="AG260" t="s">
        <v>1358</v>
      </c>
      <c r="AI260" t="s">
        <v>1878</v>
      </c>
      <c r="AJ260" t="s">
        <v>4005</v>
      </c>
      <c r="AR260">
        <v>1</v>
      </c>
    </row>
    <row r="261" spans="1:44" x14ac:dyDescent="0.25">
      <c r="A261" t="s">
        <v>31</v>
      </c>
      <c r="B261">
        <v>476</v>
      </c>
      <c r="D261">
        <v>2323</v>
      </c>
      <c r="G261" t="s">
        <v>4006</v>
      </c>
      <c r="H261">
        <v>16939440000149</v>
      </c>
      <c r="J261" t="s">
        <v>4007</v>
      </c>
      <c r="K261" t="s">
        <v>4007</v>
      </c>
      <c r="L261" t="s">
        <v>3779</v>
      </c>
      <c r="N261" t="s">
        <v>3780</v>
      </c>
      <c r="P261" t="s">
        <v>778</v>
      </c>
      <c r="U261" t="s">
        <v>319</v>
      </c>
      <c r="V261" t="s">
        <v>816</v>
      </c>
      <c r="X261">
        <v>2880</v>
      </c>
      <c r="Y261">
        <v>0</v>
      </c>
      <c r="AA261">
        <v>0</v>
      </c>
      <c r="AB261" s="31">
        <v>45845</v>
      </c>
      <c r="AC261" s="61">
        <v>0.71598379629629627</v>
      </c>
      <c r="AD261" t="s">
        <v>818</v>
      </c>
      <c r="AE261" s="31">
        <v>45845</v>
      </c>
      <c r="AF261" s="61">
        <v>0.71729166666666666</v>
      </c>
      <c r="AI261" t="s">
        <v>4008</v>
      </c>
      <c r="AJ261" t="s">
        <v>4008</v>
      </c>
      <c r="AR261">
        <v>1</v>
      </c>
    </row>
    <row r="262" spans="1:44" x14ac:dyDescent="0.25">
      <c r="A262" t="s">
        <v>31</v>
      </c>
      <c r="B262">
        <v>477</v>
      </c>
      <c r="C262">
        <v>202</v>
      </c>
      <c r="D262">
        <v>2325</v>
      </c>
      <c r="G262" t="s">
        <v>4009</v>
      </c>
      <c r="H262">
        <v>16939440000149</v>
      </c>
      <c r="I262" t="s">
        <v>3778</v>
      </c>
      <c r="J262" t="s">
        <v>4007</v>
      </c>
      <c r="K262" t="s">
        <v>4007</v>
      </c>
      <c r="L262" t="s">
        <v>3779</v>
      </c>
      <c r="N262" t="s">
        <v>3780</v>
      </c>
      <c r="P262" t="s">
        <v>3781</v>
      </c>
      <c r="Q262" t="s">
        <v>3782</v>
      </c>
      <c r="R262" t="s">
        <v>790</v>
      </c>
      <c r="U262" t="s">
        <v>319</v>
      </c>
      <c r="V262" t="s">
        <v>816</v>
      </c>
      <c r="X262">
        <v>1440</v>
      </c>
      <c r="Y262">
        <v>0</v>
      </c>
      <c r="AA262">
        <v>0</v>
      </c>
      <c r="AB262" s="31">
        <v>45845</v>
      </c>
      <c r="AC262" s="61">
        <v>0.73579861111111111</v>
      </c>
      <c r="AD262" t="s">
        <v>818</v>
      </c>
      <c r="AE262" s="31">
        <v>45845</v>
      </c>
      <c r="AF262" s="61">
        <v>0.73719907407407403</v>
      </c>
      <c r="AI262" t="s">
        <v>4008</v>
      </c>
      <c r="AR262">
        <v>1</v>
      </c>
    </row>
    <row r="263" spans="1:44" x14ac:dyDescent="0.25">
      <c r="A263" t="s">
        <v>31</v>
      </c>
      <c r="B263">
        <v>478</v>
      </c>
      <c r="D263">
        <v>2326</v>
      </c>
      <c r="G263" t="s">
        <v>4010</v>
      </c>
      <c r="H263">
        <v>21922850000117</v>
      </c>
      <c r="J263" t="s">
        <v>4011</v>
      </c>
      <c r="K263" t="s">
        <v>4011</v>
      </c>
      <c r="L263" t="s">
        <v>4012</v>
      </c>
      <c r="P263" t="s">
        <v>778</v>
      </c>
      <c r="U263" t="s">
        <v>319</v>
      </c>
      <c r="V263" t="s">
        <v>816</v>
      </c>
      <c r="X263">
        <v>275352</v>
      </c>
      <c r="Y263">
        <v>0</v>
      </c>
      <c r="AA263">
        <v>0</v>
      </c>
      <c r="AB263" s="31">
        <v>45846</v>
      </c>
      <c r="AC263" s="61">
        <v>0.71418981481481481</v>
      </c>
      <c r="AD263" t="s">
        <v>818</v>
      </c>
      <c r="AE263" s="31">
        <v>45846</v>
      </c>
      <c r="AF263" s="61">
        <v>0.71649305555555554</v>
      </c>
      <c r="AI263" t="s">
        <v>4013</v>
      </c>
      <c r="AJ263" t="s">
        <v>4013</v>
      </c>
      <c r="AR263">
        <v>1</v>
      </c>
    </row>
    <row r="264" spans="1:44" x14ac:dyDescent="0.25">
      <c r="A264" t="s">
        <v>31</v>
      </c>
      <c r="B264">
        <v>479</v>
      </c>
      <c r="C264">
        <v>187</v>
      </c>
      <c r="D264">
        <v>2330</v>
      </c>
      <c r="G264" t="s">
        <v>439</v>
      </c>
      <c r="H264">
        <v>17063632000105</v>
      </c>
      <c r="I264" t="s">
        <v>3631</v>
      </c>
      <c r="J264" t="s">
        <v>4014</v>
      </c>
      <c r="K264" t="s">
        <v>4014</v>
      </c>
      <c r="L264" t="s">
        <v>3633</v>
      </c>
      <c r="N264" t="s">
        <v>3634</v>
      </c>
      <c r="P264" t="s">
        <v>3635</v>
      </c>
      <c r="Q264" t="s">
        <v>3636</v>
      </c>
      <c r="R264" t="s">
        <v>1699</v>
      </c>
      <c r="U264" t="s">
        <v>319</v>
      </c>
      <c r="V264" t="s">
        <v>816</v>
      </c>
      <c r="X264">
        <v>41275</v>
      </c>
      <c r="Y264">
        <v>0</v>
      </c>
      <c r="AA264">
        <v>2</v>
      </c>
      <c r="AB264" s="31">
        <v>45846</v>
      </c>
      <c r="AC264" s="61">
        <v>0.71885416666666668</v>
      </c>
      <c r="AD264" t="s">
        <v>818</v>
      </c>
      <c r="AE264" s="31">
        <v>45848</v>
      </c>
      <c r="AF264" s="61">
        <v>0.4230902777777778</v>
      </c>
      <c r="AI264" t="s">
        <v>4013</v>
      </c>
      <c r="AR264">
        <v>1</v>
      </c>
    </row>
    <row r="265" spans="1:44" x14ac:dyDescent="0.25">
      <c r="A265" t="s">
        <v>31</v>
      </c>
      <c r="B265">
        <v>480</v>
      </c>
      <c r="D265">
        <v>2331</v>
      </c>
      <c r="G265" t="s">
        <v>4015</v>
      </c>
      <c r="H265">
        <v>21922850000117</v>
      </c>
      <c r="J265" t="s">
        <v>4016</v>
      </c>
      <c r="K265" t="s">
        <v>4016</v>
      </c>
      <c r="L265" t="s">
        <v>4012</v>
      </c>
      <c r="P265" t="s">
        <v>778</v>
      </c>
      <c r="U265" t="s">
        <v>319</v>
      </c>
      <c r="V265" t="s">
        <v>816</v>
      </c>
      <c r="X265">
        <v>25200</v>
      </c>
      <c r="Y265">
        <v>68904</v>
      </c>
      <c r="AA265">
        <v>27</v>
      </c>
      <c r="AB265" s="31">
        <v>45846</v>
      </c>
      <c r="AC265" s="61">
        <v>0.71953703703703709</v>
      </c>
      <c r="AD265" t="s">
        <v>795</v>
      </c>
      <c r="AE265" s="31">
        <v>45873</v>
      </c>
      <c r="AF265" s="61">
        <v>0.4752777777777778</v>
      </c>
      <c r="AG265" t="s">
        <v>1358</v>
      </c>
      <c r="AI265" t="s">
        <v>4013</v>
      </c>
      <c r="AJ265" t="s">
        <v>4017</v>
      </c>
      <c r="AR265">
        <v>1</v>
      </c>
    </row>
    <row r="266" spans="1:44" x14ac:dyDescent="0.25">
      <c r="A266" t="s">
        <v>31</v>
      </c>
      <c r="B266">
        <v>481</v>
      </c>
      <c r="C266">
        <v>152</v>
      </c>
      <c r="D266">
        <v>2337</v>
      </c>
      <c r="G266" t="s">
        <v>4018</v>
      </c>
      <c r="I266" t="s">
        <v>3445</v>
      </c>
      <c r="J266" t="s">
        <v>3620</v>
      </c>
      <c r="K266" t="s">
        <v>3620</v>
      </c>
      <c r="L266" t="s">
        <v>3621</v>
      </c>
      <c r="N266" t="s">
        <v>3448</v>
      </c>
      <c r="P266" t="s">
        <v>778</v>
      </c>
      <c r="U266" t="s">
        <v>319</v>
      </c>
      <c r="V266" t="s">
        <v>3409</v>
      </c>
      <c r="AA266">
        <v>81</v>
      </c>
      <c r="AB266" s="31">
        <v>45849</v>
      </c>
      <c r="AC266" s="61">
        <v>0.64908564814814818</v>
      </c>
      <c r="AD266" t="s">
        <v>795</v>
      </c>
      <c r="AE266" s="31">
        <v>45930</v>
      </c>
      <c r="AF266" s="61">
        <v>0.39872685185185192</v>
      </c>
      <c r="AG266" t="s">
        <v>796</v>
      </c>
      <c r="AJ266" t="s">
        <v>4019</v>
      </c>
      <c r="AR266">
        <v>1</v>
      </c>
    </row>
    <row r="267" spans="1:44" x14ac:dyDescent="0.25">
      <c r="A267" t="s">
        <v>31</v>
      </c>
      <c r="B267">
        <v>482</v>
      </c>
      <c r="C267">
        <v>149</v>
      </c>
      <c r="D267">
        <v>2338</v>
      </c>
      <c r="G267" t="s">
        <v>4020</v>
      </c>
      <c r="H267">
        <v>12418196000118</v>
      </c>
      <c r="I267" t="s">
        <v>3645</v>
      </c>
      <c r="J267" t="s">
        <v>1115</v>
      </c>
      <c r="K267" t="s">
        <v>1115</v>
      </c>
      <c r="L267" t="s">
        <v>3647</v>
      </c>
      <c r="N267" t="s">
        <v>3648</v>
      </c>
      <c r="P267" t="s">
        <v>778</v>
      </c>
      <c r="U267" t="s">
        <v>319</v>
      </c>
      <c r="V267" t="s">
        <v>3417</v>
      </c>
      <c r="X267">
        <v>0</v>
      </c>
      <c r="Y267">
        <v>0</v>
      </c>
      <c r="AA267">
        <v>17</v>
      </c>
      <c r="AB267" s="31">
        <v>45849</v>
      </c>
      <c r="AC267" s="61">
        <v>0.65001157407407406</v>
      </c>
      <c r="AD267" t="s">
        <v>795</v>
      </c>
      <c r="AE267" s="31">
        <v>45866</v>
      </c>
      <c r="AF267" s="61">
        <v>0.72260416666666671</v>
      </c>
      <c r="AG267" t="s">
        <v>1358</v>
      </c>
      <c r="AI267" t="s">
        <v>4021</v>
      </c>
      <c r="AJ267" t="s">
        <v>4019</v>
      </c>
      <c r="AR267">
        <v>1</v>
      </c>
    </row>
    <row r="268" spans="1:44" x14ac:dyDescent="0.25">
      <c r="A268" t="s">
        <v>31</v>
      </c>
      <c r="B268">
        <v>483</v>
      </c>
      <c r="C268">
        <v>147</v>
      </c>
      <c r="D268">
        <v>2339</v>
      </c>
      <c r="G268" t="s">
        <v>4022</v>
      </c>
      <c r="H268">
        <v>7964558000136</v>
      </c>
      <c r="I268" t="s">
        <v>3430</v>
      </c>
      <c r="J268" t="s">
        <v>1317</v>
      </c>
      <c r="K268" t="s">
        <v>1317</v>
      </c>
      <c r="L268" t="s">
        <v>3515</v>
      </c>
      <c r="N268" t="s">
        <v>3433</v>
      </c>
      <c r="P268" t="s">
        <v>778</v>
      </c>
      <c r="U268" t="s">
        <v>319</v>
      </c>
      <c r="V268" t="s">
        <v>816</v>
      </c>
      <c r="AA268">
        <v>27</v>
      </c>
      <c r="AB268" s="31">
        <v>45849</v>
      </c>
      <c r="AC268" s="61">
        <v>0.65327546296296302</v>
      </c>
      <c r="AD268" t="s">
        <v>795</v>
      </c>
      <c r="AE268" s="31">
        <v>45876</v>
      </c>
      <c r="AF268" s="61">
        <v>0.59097222222222223</v>
      </c>
      <c r="AG268" t="s">
        <v>1358</v>
      </c>
      <c r="AI268" t="s">
        <v>4019</v>
      </c>
      <c r="AR268">
        <v>1</v>
      </c>
    </row>
    <row r="269" spans="1:44" x14ac:dyDescent="0.25">
      <c r="A269" t="s">
        <v>31</v>
      </c>
      <c r="B269">
        <v>489</v>
      </c>
      <c r="C269">
        <v>181</v>
      </c>
      <c r="D269">
        <v>2349</v>
      </c>
      <c r="G269" t="s">
        <v>4023</v>
      </c>
      <c r="H269">
        <v>43204189000147</v>
      </c>
      <c r="I269" t="s">
        <v>3612</v>
      </c>
      <c r="J269" t="s">
        <v>990</v>
      </c>
      <c r="K269" t="s">
        <v>990</v>
      </c>
      <c r="L269" t="s">
        <v>3613</v>
      </c>
      <c r="N269" t="s">
        <v>3614</v>
      </c>
      <c r="P269" t="s">
        <v>3615</v>
      </c>
      <c r="Q269" t="s">
        <v>3616</v>
      </c>
      <c r="R269" t="s">
        <v>790</v>
      </c>
      <c r="U269" t="s">
        <v>319</v>
      </c>
      <c r="V269" t="s">
        <v>816</v>
      </c>
      <c r="X269">
        <v>4320</v>
      </c>
      <c r="Y269">
        <v>0</v>
      </c>
      <c r="AA269">
        <v>0</v>
      </c>
      <c r="AB269" s="31">
        <v>45854</v>
      </c>
      <c r="AC269" s="61">
        <v>0.70699074074074075</v>
      </c>
      <c r="AD269" t="s">
        <v>818</v>
      </c>
      <c r="AE269" s="31">
        <v>45854</v>
      </c>
      <c r="AF269" s="61">
        <v>0.70780092592592592</v>
      </c>
      <c r="AI269" t="s">
        <v>4024</v>
      </c>
      <c r="AJ269" t="s">
        <v>4025</v>
      </c>
      <c r="AR269">
        <v>1</v>
      </c>
    </row>
    <row r="270" spans="1:44" x14ac:dyDescent="0.25">
      <c r="A270" t="s">
        <v>31</v>
      </c>
      <c r="B270">
        <v>490</v>
      </c>
      <c r="C270">
        <v>182</v>
      </c>
      <c r="D270">
        <v>2350</v>
      </c>
      <c r="G270" t="s">
        <v>4026</v>
      </c>
      <c r="H270">
        <v>23873456000161</v>
      </c>
      <c r="I270" t="s">
        <v>3573</v>
      </c>
      <c r="J270" t="s">
        <v>3802</v>
      </c>
      <c r="K270" t="s">
        <v>3802</v>
      </c>
      <c r="L270" t="s">
        <v>3575</v>
      </c>
      <c r="N270" t="s">
        <v>3576</v>
      </c>
      <c r="P270" t="s">
        <v>3577</v>
      </c>
      <c r="Q270" t="s">
        <v>1837</v>
      </c>
      <c r="R270" t="s">
        <v>790</v>
      </c>
      <c r="U270" t="s">
        <v>319</v>
      </c>
      <c r="V270" t="s">
        <v>816</v>
      </c>
      <c r="X270">
        <v>4200</v>
      </c>
      <c r="Y270">
        <v>0</v>
      </c>
      <c r="AA270">
        <v>6</v>
      </c>
      <c r="AB270" s="31">
        <v>45854</v>
      </c>
      <c r="AC270" s="61">
        <v>0.70843750000000005</v>
      </c>
      <c r="AD270" t="s">
        <v>818</v>
      </c>
      <c r="AE270" s="31">
        <v>45860</v>
      </c>
      <c r="AF270" s="61">
        <v>0.52978009259259262</v>
      </c>
      <c r="AI270" t="s">
        <v>4024</v>
      </c>
      <c r="AR270">
        <v>1</v>
      </c>
    </row>
    <row r="271" spans="1:44" x14ac:dyDescent="0.25">
      <c r="A271" t="s">
        <v>31</v>
      </c>
      <c r="B271">
        <v>491</v>
      </c>
      <c r="C271">
        <v>209</v>
      </c>
      <c r="D271">
        <v>2351</v>
      </c>
      <c r="G271" t="s">
        <v>4027</v>
      </c>
      <c r="H271">
        <v>10682266000115</v>
      </c>
      <c r="I271" t="s">
        <v>3893</v>
      </c>
      <c r="J271" t="s">
        <v>4028</v>
      </c>
      <c r="K271" t="s">
        <v>4028</v>
      </c>
      <c r="L271" t="s">
        <v>3895</v>
      </c>
      <c r="N271" t="s">
        <v>3896</v>
      </c>
      <c r="P271" t="s">
        <v>3897</v>
      </c>
      <c r="Q271" t="s">
        <v>1596</v>
      </c>
      <c r="R271" t="s">
        <v>790</v>
      </c>
      <c r="U271" t="s">
        <v>319</v>
      </c>
      <c r="V271" t="s">
        <v>816</v>
      </c>
      <c r="X271">
        <v>6720</v>
      </c>
      <c r="Y271">
        <v>0</v>
      </c>
      <c r="AA271">
        <v>15</v>
      </c>
      <c r="AB271" s="31">
        <v>45855</v>
      </c>
      <c r="AC271" s="61">
        <v>0.42640046296296302</v>
      </c>
      <c r="AD271" t="s">
        <v>818</v>
      </c>
      <c r="AE271" s="31">
        <v>45870</v>
      </c>
      <c r="AF271" s="61">
        <v>0.61040509259259257</v>
      </c>
      <c r="AI271" t="s">
        <v>4029</v>
      </c>
      <c r="AJ271" t="s">
        <v>1945</v>
      </c>
      <c r="AR271">
        <v>1</v>
      </c>
    </row>
    <row r="272" spans="1:44" x14ac:dyDescent="0.25">
      <c r="A272" t="s">
        <v>31</v>
      </c>
      <c r="B272">
        <v>492</v>
      </c>
      <c r="C272">
        <v>147</v>
      </c>
      <c r="D272">
        <v>848</v>
      </c>
      <c r="G272" t="s">
        <v>4030</v>
      </c>
      <c r="H272">
        <v>7964558000136</v>
      </c>
      <c r="I272" t="s">
        <v>3430</v>
      </c>
      <c r="J272" t="s">
        <v>3431</v>
      </c>
      <c r="K272" t="s">
        <v>3431</v>
      </c>
      <c r="L272" t="s">
        <v>3432</v>
      </c>
      <c r="N272" t="s">
        <v>3433</v>
      </c>
      <c r="P272" t="s">
        <v>778</v>
      </c>
      <c r="U272" t="s">
        <v>319</v>
      </c>
      <c r="V272" t="s">
        <v>3417</v>
      </c>
      <c r="X272">
        <v>716156</v>
      </c>
      <c r="Y272">
        <v>0</v>
      </c>
      <c r="AA272">
        <v>11</v>
      </c>
      <c r="AB272" s="31">
        <v>45855</v>
      </c>
      <c r="AC272" s="61">
        <v>0.43496527777777783</v>
      </c>
      <c r="AD272" t="s">
        <v>795</v>
      </c>
      <c r="AE272" s="31">
        <v>45866</v>
      </c>
      <c r="AF272" s="61">
        <v>0.5060069444444445</v>
      </c>
      <c r="AG272" t="s">
        <v>3463</v>
      </c>
      <c r="AI272" t="s">
        <v>4029</v>
      </c>
      <c r="AR272">
        <v>1</v>
      </c>
    </row>
    <row r="273" spans="1:44" x14ac:dyDescent="0.25">
      <c r="A273" t="s">
        <v>31</v>
      </c>
      <c r="B273">
        <v>498</v>
      </c>
      <c r="C273">
        <v>171</v>
      </c>
      <c r="D273">
        <v>2383</v>
      </c>
      <c r="G273" t="s">
        <v>3663</v>
      </c>
      <c r="H273">
        <v>39955762000187</v>
      </c>
      <c r="I273" t="s">
        <v>3484</v>
      </c>
      <c r="J273" t="s">
        <v>4031</v>
      </c>
      <c r="K273" t="s">
        <v>4031</v>
      </c>
      <c r="L273" t="s">
        <v>3665</v>
      </c>
      <c r="N273" t="s">
        <v>3487</v>
      </c>
      <c r="P273" t="s">
        <v>3488</v>
      </c>
      <c r="Q273" t="s">
        <v>1094</v>
      </c>
      <c r="R273" t="s">
        <v>790</v>
      </c>
      <c r="U273" t="s">
        <v>319</v>
      </c>
      <c r="V273" t="s">
        <v>816</v>
      </c>
      <c r="X273">
        <v>245704</v>
      </c>
      <c r="Y273">
        <v>0</v>
      </c>
      <c r="AA273">
        <v>0</v>
      </c>
      <c r="AB273" s="31">
        <v>45861</v>
      </c>
      <c r="AC273" s="61">
        <v>0.71406250000000004</v>
      </c>
      <c r="AD273" t="s">
        <v>818</v>
      </c>
      <c r="AE273" s="31">
        <v>45861</v>
      </c>
      <c r="AF273" s="61">
        <v>0.71575231481481483</v>
      </c>
      <c r="AI273" t="s">
        <v>4032</v>
      </c>
      <c r="AR273">
        <v>1</v>
      </c>
    </row>
    <row r="274" spans="1:44" x14ac:dyDescent="0.25">
      <c r="A274" t="s">
        <v>31</v>
      </c>
      <c r="B274">
        <v>499</v>
      </c>
      <c r="C274">
        <v>97</v>
      </c>
      <c r="D274">
        <v>2390</v>
      </c>
      <c r="G274" t="s">
        <v>4033</v>
      </c>
      <c r="H274">
        <v>22500484000170</v>
      </c>
      <c r="I274" t="s">
        <v>669</v>
      </c>
      <c r="J274" t="s">
        <v>4034</v>
      </c>
      <c r="K274" t="s">
        <v>4034</v>
      </c>
      <c r="L274" t="s">
        <v>4035</v>
      </c>
      <c r="N274" t="s">
        <v>3294</v>
      </c>
      <c r="P274" t="s">
        <v>778</v>
      </c>
      <c r="U274" t="s">
        <v>319</v>
      </c>
      <c r="V274" t="s">
        <v>816</v>
      </c>
      <c r="X274">
        <v>840</v>
      </c>
      <c r="Y274">
        <v>0</v>
      </c>
      <c r="AA274">
        <v>0</v>
      </c>
      <c r="AB274" s="31">
        <v>45862</v>
      </c>
      <c r="AC274" s="61">
        <v>0.58165509259259263</v>
      </c>
      <c r="AD274" t="s">
        <v>818</v>
      </c>
      <c r="AE274" s="31">
        <v>45862</v>
      </c>
      <c r="AF274" s="61">
        <v>0.65292824074074074</v>
      </c>
      <c r="AI274" t="s">
        <v>4036</v>
      </c>
      <c r="AR274">
        <v>1</v>
      </c>
    </row>
    <row r="275" spans="1:44" x14ac:dyDescent="0.25">
      <c r="A275" t="s">
        <v>31</v>
      </c>
      <c r="B275">
        <v>500</v>
      </c>
      <c r="C275">
        <v>96</v>
      </c>
      <c r="D275">
        <v>2391</v>
      </c>
      <c r="G275" t="s">
        <v>4037</v>
      </c>
      <c r="I275" t="s">
        <v>3291</v>
      </c>
      <c r="J275" t="s">
        <v>4038</v>
      </c>
      <c r="K275" t="s">
        <v>4038</v>
      </c>
      <c r="L275" t="s">
        <v>3672</v>
      </c>
      <c r="N275" t="s">
        <v>3293</v>
      </c>
      <c r="P275" t="s">
        <v>778</v>
      </c>
      <c r="U275" t="s">
        <v>319</v>
      </c>
      <c r="V275" t="s">
        <v>816</v>
      </c>
      <c r="X275">
        <v>1440</v>
      </c>
      <c r="Y275">
        <v>0</v>
      </c>
      <c r="AA275">
        <v>0</v>
      </c>
      <c r="AB275" s="31">
        <v>45862</v>
      </c>
      <c r="AC275" s="61">
        <v>0.62880787037037034</v>
      </c>
      <c r="AD275" t="s">
        <v>818</v>
      </c>
      <c r="AE275" s="31">
        <v>45862</v>
      </c>
      <c r="AF275" s="61">
        <v>0.63013888888888892</v>
      </c>
      <c r="AI275" t="s">
        <v>4036</v>
      </c>
      <c r="AR275">
        <v>1</v>
      </c>
    </row>
    <row r="276" spans="1:44" x14ac:dyDescent="0.25">
      <c r="A276" t="s">
        <v>31</v>
      </c>
      <c r="B276">
        <v>501</v>
      </c>
      <c r="C276">
        <v>147</v>
      </c>
      <c r="D276">
        <v>2392</v>
      </c>
      <c r="G276" t="s">
        <v>4039</v>
      </c>
      <c r="H276">
        <v>7964558000136</v>
      </c>
      <c r="I276" t="s">
        <v>3430</v>
      </c>
      <c r="J276" t="s">
        <v>704</v>
      </c>
      <c r="K276" t="s">
        <v>704</v>
      </c>
      <c r="L276" t="s">
        <v>3515</v>
      </c>
      <c r="N276" t="s">
        <v>3433</v>
      </c>
      <c r="P276" t="s">
        <v>778</v>
      </c>
      <c r="U276" t="s">
        <v>319</v>
      </c>
      <c r="V276" t="s">
        <v>816</v>
      </c>
      <c r="X276">
        <v>6720</v>
      </c>
      <c r="Y276">
        <v>0</v>
      </c>
      <c r="AA276">
        <v>0</v>
      </c>
      <c r="AB276" s="31">
        <v>45862</v>
      </c>
      <c r="AC276" s="61">
        <v>0.63891203703703703</v>
      </c>
      <c r="AD276" t="s">
        <v>818</v>
      </c>
      <c r="AE276" s="31">
        <v>45862</v>
      </c>
      <c r="AF276" s="61">
        <v>0.65201388888888889</v>
      </c>
      <c r="AI276" t="s">
        <v>4036</v>
      </c>
      <c r="AR276">
        <v>1</v>
      </c>
    </row>
    <row r="277" spans="1:44" x14ac:dyDescent="0.25">
      <c r="A277" t="s">
        <v>31</v>
      </c>
      <c r="B277">
        <v>502</v>
      </c>
      <c r="C277">
        <v>112</v>
      </c>
      <c r="D277">
        <v>2429</v>
      </c>
      <c r="G277" t="s">
        <v>4040</v>
      </c>
      <c r="I277" t="s">
        <v>3327</v>
      </c>
      <c r="J277" t="s">
        <v>704</v>
      </c>
      <c r="K277" t="s">
        <v>704</v>
      </c>
      <c r="N277" t="s">
        <v>3328</v>
      </c>
      <c r="P277" t="s">
        <v>778</v>
      </c>
      <c r="U277" t="s">
        <v>319</v>
      </c>
      <c r="V277" t="s">
        <v>3417</v>
      </c>
      <c r="X277">
        <v>1600</v>
      </c>
      <c r="Y277">
        <v>774415</v>
      </c>
      <c r="AA277">
        <v>34</v>
      </c>
      <c r="AB277" s="31">
        <v>45868</v>
      </c>
      <c r="AC277" s="61">
        <v>0.48775462962962962</v>
      </c>
      <c r="AD277" t="s">
        <v>795</v>
      </c>
      <c r="AE277" s="31">
        <v>45902</v>
      </c>
      <c r="AF277" s="61">
        <v>0.49239583333333331</v>
      </c>
      <c r="AG277" t="s">
        <v>867</v>
      </c>
      <c r="AI277" t="s">
        <v>4041</v>
      </c>
      <c r="AJ277" t="s">
        <v>4041</v>
      </c>
      <c r="AR277">
        <v>1</v>
      </c>
    </row>
    <row r="278" spans="1:44" x14ac:dyDescent="0.25">
      <c r="A278" t="s">
        <v>31</v>
      </c>
      <c r="B278">
        <v>511</v>
      </c>
      <c r="C278">
        <v>93</v>
      </c>
      <c r="D278">
        <v>986</v>
      </c>
      <c r="G278" t="s">
        <v>4042</v>
      </c>
      <c r="I278" t="s">
        <v>3285</v>
      </c>
      <c r="J278" t="s">
        <v>3490</v>
      </c>
      <c r="K278" t="s">
        <v>3490</v>
      </c>
      <c r="L278" t="s">
        <v>3491</v>
      </c>
      <c r="N278" t="s">
        <v>3286</v>
      </c>
      <c r="P278" t="s">
        <v>778</v>
      </c>
      <c r="U278" t="s">
        <v>319</v>
      </c>
      <c r="V278" t="s">
        <v>3417</v>
      </c>
      <c r="X278">
        <v>3360</v>
      </c>
      <c r="Y278">
        <v>7128</v>
      </c>
      <c r="AA278">
        <v>28</v>
      </c>
      <c r="AB278" s="31">
        <v>45870</v>
      </c>
      <c r="AC278" s="61">
        <v>0.65550925925925929</v>
      </c>
      <c r="AD278" t="s">
        <v>795</v>
      </c>
      <c r="AE278" s="31">
        <v>45898</v>
      </c>
      <c r="AF278" s="61">
        <v>0.60733796296296294</v>
      </c>
      <c r="AG278" t="s">
        <v>3463</v>
      </c>
      <c r="AI278" t="s">
        <v>4043</v>
      </c>
      <c r="AJ278" t="s">
        <v>4044</v>
      </c>
      <c r="AR278">
        <v>1</v>
      </c>
    </row>
    <row r="279" spans="1:44" x14ac:dyDescent="0.25">
      <c r="A279" t="s">
        <v>31</v>
      </c>
      <c r="B279">
        <v>512</v>
      </c>
      <c r="C279">
        <v>149</v>
      </c>
      <c r="D279">
        <v>2450</v>
      </c>
      <c r="G279" t="s">
        <v>4045</v>
      </c>
      <c r="H279">
        <v>12418196000118</v>
      </c>
      <c r="I279" t="s">
        <v>3645</v>
      </c>
      <c r="J279" t="s">
        <v>1115</v>
      </c>
      <c r="K279" t="s">
        <v>1115</v>
      </c>
      <c r="L279" t="s">
        <v>3647</v>
      </c>
      <c r="N279" t="s">
        <v>3648</v>
      </c>
      <c r="P279" t="s">
        <v>778</v>
      </c>
      <c r="U279" t="s">
        <v>319</v>
      </c>
      <c r="V279" t="s">
        <v>816</v>
      </c>
      <c r="X279">
        <v>3360</v>
      </c>
      <c r="Y279">
        <v>0</v>
      </c>
      <c r="AA279">
        <v>3</v>
      </c>
      <c r="AB279" s="31">
        <v>45873</v>
      </c>
      <c r="AC279" s="61">
        <v>0.43699074074074068</v>
      </c>
      <c r="AD279" t="s">
        <v>818</v>
      </c>
      <c r="AE279" s="31">
        <v>45876</v>
      </c>
      <c r="AF279" s="61">
        <v>0.64539351851851856</v>
      </c>
      <c r="AI279" t="s">
        <v>4046</v>
      </c>
      <c r="AR279">
        <v>1</v>
      </c>
    </row>
    <row r="280" spans="1:44" x14ac:dyDescent="0.25">
      <c r="A280" t="s">
        <v>31</v>
      </c>
      <c r="B280">
        <v>513</v>
      </c>
      <c r="C280">
        <v>150</v>
      </c>
      <c r="D280">
        <v>2451</v>
      </c>
      <c r="G280" t="s">
        <v>4047</v>
      </c>
      <c r="H280">
        <v>32258848000101</v>
      </c>
      <c r="I280" t="s">
        <v>3435</v>
      </c>
      <c r="J280" t="s">
        <v>1804</v>
      </c>
      <c r="K280" t="s">
        <v>1804</v>
      </c>
      <c r="L280" t="s">
        <v>3493</v>
      </c>
      <c r="N280" t="s">
        <v>3437</v>
      </c>
      <c r="P280" t="s">
        <v>778</v>
      </c>
      <c r="U280" t="s">
        <v>319</v>
      </c>
      <c r="V280" t="s">
        <v>816</v>
      </c>
      <c r="X280">
        <v>1680</v>
      </c>
      <c r="Y280">
        <v>0</v>
      </c>
      <c r="AA280">
        <v>3</v>
      </c>
      <c r="AB280" s="31">
        <v>45873</v>
      </c>
      <c r="AC280" s="61">
        <v>0.62299768518518517</v>
      </c>
      <c r="AD280" t="s">
        <v>818</v>
      </c>
      <c r="AE280" s="31">
        <v>45876</v>
      </c>
      <c r="AF280" s="61">
        <v>0.69701388888888893</v>
      </c>
      <c r="AI280" t="s">
        <v>4046</v>
      </c>
      <c r="AR280">
        <v>1</v>
      </c>
    </row>
    <row r="281" spans="1:44" x14ac:dyDescent="0.25">
      <c r="A281" t="s">
        <v>31</v>
      </c>
      <c r="B281">
        <v>514</v>
      </c>
      <c r="C281">
        <v>190</v>
      </c>
      <c r="D281">
        <v>1769</v>
      </c>
      <c r="G281" t="s">
        <v>4048</v>
      </c>
      <c r="H281">
        <v>18203215000175</v>
      </c>
      <c r="I281" t="s">
        <v>3690</v>
      </c>
      <c r="J281" t="s">
        <v>3691</v>
      </c>
      <c r="K281" t="s">
        <v>3691</v>
      </c>
      <c r="L281" t="s">
        <v>3692</v>
      </c>
      <c r="N281" t="s">
        <v>3693</v>
      </c>
      <c r="P281" t="s">
        <v>3694</v>
      </c>
      <c r="Q281" t="s">
        <v>3695</v>
      </c>
      <c r="R281" t="s">
        <v>790</v>
      </c>
      <c r="U281" t="s">
        <v>319</v>
      </c>
      <c r="V281" t="s">
        <v>816</v>
      </c>
      <c r="X281">
        <v>3024</v>
      </c>
      <c r="Y281">
        <v>605</v>
      </c>
      <c r="AA281">
        <v>14</v>
      </c>
      <c r="AB281" s="31">
        <v>45874</v>
      </c>
      <c r="AC281" s="61">
        <v>0.66400462962962958</v>
      </c>
      <c r="AD281" t="s">
        <v>818</v>
      </c>
      <c r="AE281" s="31">
        <v>45888</v>
      </c>
      <c r="AF281" s="61">
        <v>0.48135416666666669</v>
      </c>
      <c r="AI281" t="s">
        <v>1981</v>
      </c>
      <c r="AJ281" t="s">
        <v>1981</v>
      </c>
      <c r="AR281">
        <v>1</v>
      </c>
    </row>
    <row r="282" spans="1:44" x14ac:dyDescent="0.25">
      <c r="A282" t="s">
        <v>31</v>
      </c>
      <c r="B282">
        <v>515</v>
      </c>
      <c r="C282">
        <v>170</v>
      </c>
      <c r="D282">
        <v>2455</v>
      </c>
      <c r="G282" t="s">
        <v>4049</v>
      </c>
      <c r="H282">
        <v>4150555001304</v>
      </c>
      <c r="I282" t="s">
        <v>3477</v>
      </c>
      <c r="J282" t="s">
        <v>3478</v>
      </c>
      <c r="K282" t="s">
        <v>3478</v>
      </c>
      <c r="L282" t="s">
        <v>3569</v>
      </c>
      <c r="N282" t="s">
        <v>3480</v>
      </c>
      <c r="P282" t="s">
        <v>3481</v>
      </c>
      <c r="Q282" t="s">
        <v>3482</v>
      </c>
      <c r="R282" t="s">
        <v>1699</v>
      </c>
      <c r="U282" t="s">
        <v>319</v>
      </c>
      <c r="V282" t="s">
        <v>816</v>
      </c>
      <c r="X282">
        <v>1847759</v>
      </c>
      <c r="Y282">
        <v>1590</v>
      </c>
      <c r="AA282">
        <v>28</v>
      </c>
      <c r="AB282" s="31">
        <v>45876</v>
      </c>
      <c r="AC282" s="61">
        <v>0.48866898148148152</v>
      </c>
      <c r="AD282" t="s">
        <v>818</v>
      </c>
      <c r="AE282" s="31">
        <v>45904</v>
      </c>
      <c r="AF282" s="61">
        <v>0.71673611111111113</v>
      </c>
      <c r="AI282" t="s">
        <v>4050</v>
      </c>
      <c r="AR282">
        <v>1</v>
      </c>
    </row>
    <row r="283" spans="1:44" x14ac:dyDescent="0.25">
      <c r="A283" t="s">
        <v>31</v>
      </c>
      <c r="B283">
        <v>522</v>
      </c>
      <c r="C283">
        <v>149</v>
      </c>
      <c r="D283">
        <v>2460</v>
      </c>
      <c r="G283" t="s">
        <v>4051</v>
      </c>
      <c r="H283">
        <v>12418196000118</v>
      </c>
      <c r="I283" t="s">
        <v>3645</v>
      </c>
      <c r="J283" t="s">
        <v>4052</v>
      </c>
      <c r="K283" t="s">
        <v>4052</v>
      </c>
      <c r="L283" t="s">
        <v>3647</v>
      </c>
      <c r="N283" t="s">
        <v>3648</v>
      </c>
      <c r="P283" t="s">
        <v>778</v>
      </c>
      <c r="U283" t="s">
        <v>319</v>
      </c>
      <c r="V283" t="s">
        <v>3409</v>
      </c>
      <c r="AA283">
        <v>21</v>
      </c>
      <c r="AB283" s="31">
        <v>45877</v>
      </c>
      <c r="AC283" s="61">
        <v>0.51511574074074074</v>
      </c>
      <c r="AD283" t="s">
        <v>795</v>
      </c>
      <c r="AE283" s="31">
        <v>45898</v>
      </c>
      <c r="AF283" s="61">
        <v>0.68209490740740741</v>
      </c>
      <c r="AG283" t="s">
        <v>3463</v>
      </c>
      <c r="AJ283" t="s">
        <v>4043</v>
      </c>
      <c r="AR283">
        <v>1</v>
      </c>
    </row>
    <row r="284" spans="1:44" x14ac:dyDescent="0.25">
      <c r="A284" t="s">
        <v>31</v>
      </c>
      <c r="B284">
        <v>523</v>
      </c>
      <c r="C284">
        <v>183</v>
      </c>
      <c r="D284">
        <v>2461</v>
      </c>
      <c r="G284" t="s">
        <v>4053</v>
      </c>
      <c r="H284">
        <v>3204281000192</v>
      </c>
      <c r="I284" t="s">
        <v>3594</v>
      </c>
      <c r="J284" t="s">
        <v>3595</v>
      </c>
      <c r="K284" t="s">
        <v>3595</v>
      </c>
      <c r="L284" t="s">
        <v>3596</v>
      </c>
      <c r="N284" t="s">
        <v>2617</v>
      </c>
      <c r="P284" t="s">
        <v>3597</v>
      </c>
      <c r="Q284" t="s">
        <v>2618</v>
      </c>
      <c r="R284" t="s">
        <v>790</v>
      </c>
      <c r="U284" t="s">
        <v>319</v>
      </c>
      <c r="V284" t="s">
        <v>816</v>
      </c>
      <c r="X284">
        <v>26200</v>
      </c>
      <c r="Y284">
        <v>3400</v>
      </c>
      <c r="AA284">
        <v>43</v>
      </c>
      <c r="AB284" s="31">
        <v>45880</v>
      </c>
      <c r="AC284" s="61">
        <v>0.49128472222222219</v>
      </c>
      <c r="AD284" t="s">
        <v>795</v>
      </c>
      <c r="AE284" s="31">
        <v>45923</v>
      </c>
      <c r="AF284" s="61">
        <v>0.65136574074074072</v>
      </c>
      <c r="AG284" t="s">
        <v>974</v>
      </c>
      <c r="AI284" t="s">
        <v>1959</v>
      </c>
      <c r="AJ284" t="s">
        <v>1959</v>
      </c>
      <c r="AR284">
        <v>1</v>
      </c>
    </row>
    <row r="285" spans="1:44" x14ac:dyDescent="0.25">
      <c r="A285" t="s">
        <v>31</v>
      </c>
      <c r="B285">
        <v>524</v>
      </c>
      <c r="C285">
        <v>146</v>
      </c>
      <c r="D285">
        <v>2462</v>
      </c>
      <c r="G285" t="s">
        <v>4054</v>
      </c>
      <c r="I285" t="s">
        <v>3425</v>
      </c>
      <c r="J285" t="s">
        <v>3426</v>
      </c>
      <c r="K285" t="s">
        <v>3426</v>
      </c>
      <c r="L285" t="s">
        <v>3515</v>
      </c>
      <c r="N285" t="s">
        <v>3428</v>
      </c>
      <c r="P285" t="s">
        <v>778</v>
      </c>
      <c r="U285" t="s">
        <v>319</v>
      </c>
      <c r="V285" t="s">
        <v>3417</v>
      </c>
      <c r="X285">
        <v>3360</v>
      </c>
      <c r="Y285">
        <v>7128</v>
      </c>
      <c r="AA285">
        <v>14</v>
      </c>
      <c r="AB285" s="31">
        <v>45880</v>
      </c>
      <c r="AC285" s="61">
        <v>0.49332175925925931</v>
      </c>
      <c r="AD285" t="s">
        <v>795</v>
      </c>
      <c r="AE285" s="31">
        <v>45894</v>
      </c>
      <c r="AF285" s="61">
        <v>0.66289351851851852</v>
      </c>
      <c r="AG285" t="s">
        <v>3463</v>
      </c>
      <c r="AI285" t="s">
        <v>1959</v>
      </c>
      <c r="AJ285" t="s">
        <v>4055</v>
      </c>
      <c r="AR285">
        <v>1</v>
      </c>
    </row>
    <row r="286" spans="1:44" x14ac:dyDescent="0.25">
      <c r="A286" t="s">
        <v>31</v>
      </c>
      <c r="B286">
        <v>525</v>
      </c>
      <c r="C286">
        <v>202</v>
      </c>
      <c r="D286">
        <v>2467</v>
      </c>
      <c r="G286" t="s">
        <v>4056</v>
      </c>
      <c r="H286">
        <v>16939440000149</v>
      </c>
      <c r="I286" t="s">
        <v>3778</v>
      </c>
      <c r="J286" t="s">
        <v>707</v>
      </c>
      <c r="K286" t="s">
        <v>707</v>
      </c>
      <c r="L286" t="s">
        <v>3779</v>
      </c>
      <c r="N286" t="s">
        <v>3780</v>
      </c>
      <c r="P286" t="s">
        <v>3781</v>
      </c>
      <c r="Q286" t="s">
        <v>3782</v>
      </c>
      <c r="R286" t="s">
        <v>790</v>
      </c>
      <c r="U286" t="s">
        <v>319</v>
      </c>
      <c r="V286" t="s">
        <v>816</v>
      </c>
      <c r="X286">
        <v>6048</v>
      </c>
      <c r="Y286">
        <v>0</v>
      </c>
      <c r="AA286">
        <v>0</v>
      </c>
      <c r="AB286" s="31">
        <v>45887</v>
      </c>
      <c r="AC286" s="61">
        <v>0.39128472222222221</v>
      </c>
      <c r="AD286" t="s">
        <v>818</v>
      </c>
      <c r="AE286" s="31">
        <v>45887</v>
      </c>
      <c r="AF286" s="61">
        <v>0.39361111111111108</v>
      </c>
      <c r="AI286" t="s">
        <v>1959</v>
      </c>
      <c r="AR286">
        <v>1</v>
      </c>
    </row>
    <row r="287" spans="1:44" x14ac:dyDescent="0.25">
      <c r="A287" t="s">
        <v>31</v>
      </c>
      <c r="B287">
        <v>526</v>
      </c>
      <c r="C287">
        <v>186</v>
      </c>
      <c r="D287">
        <v>2468</v>
      </c>
      <c r="G287" t="s">
        <v>4057</v>
      </c>
      <c r="H287">
        <v>10899939000193</v>
      </c>
      <c r="I287" t="s">
        <v>3625</v>
      </c>
      <c r="J287" t="s">
        <v>704</v>
      </c>
      <c r="K287" t="s">
        <v>704</v>
      </c>
      <c r="L287" t="s">
        <v>3626</v>
      </c>
      <c r="N287" t="s">
        <v>3627</v>
      </c>
      <c r="P287" t="s">
        <v>3628</v>
      </c>
      <c r="Q287" t="s">
        <v>3629</v>
      </c>
      <c r="R287" t="s">
        <v>932</v>
      </c>
      <c r="U287" t="s">
        <v>319</v>
      </c>
      <c r="V287" t="s">
        <v>3417</v>
      </c>
      <c r="X287">
        <v>0</v>
      </c>
      <c r="Y287">
        <v>3564</v>
      </c>
      <c r="AA287">
        <v>28</v>
      </c>
      <c r="AB287" s="31">
        <v>45887</v>
      </c>
      <c r="AC287" s="61">
        <v>0.40155092592592601</v>
      </c>
      <c r="AD287" t="s">
        <v>795</v>
      </c>
      <c r="AE287" s="31">
        <v>45915</v>
      </c>
      <c r="AF287" s="61">
        <v>0.63196759259259261</v>
      </c>
      <c r="AG287" t="s">
        <v>934</v>
      </c>
      <c r="AI287" t="s">
        <v>2042</v>
      </c>
      <c r="AJ287" t="s">
        <v>2042</v>
      </c>
      <c r="AR287">
        <v>1</v>
      </c>
    </row>
    <row r="288" spans="1:44" x14ac:dyDescent="0.25">
      <c r="A288" t="s">
        <v>31</v>
      </c>
      <c r="B288">
        <v>527</v>
      </c>
      <c r="C288">
        <v>195</v>
      </c>
      <c r="D288">
        <v>2469</v>
      </c>
      <c r="G288" t="s">
        <v>4058</v>
      </c>
      <c r="H288">
        <v>49682710000138</v>
      </c>
      <c r="I288" t="s">
        <v>4059</v>
      </c>
      <c r="J288" t="s">
        <v>4060</v>
      </c>
      <c r="K288" t="s">
        <v>4060</v>
      </c>
      <c r="L288" t="s">
        <v>4061</v>
      </c>
      <c r="N288" t="s">
        <v>4062</v>
      </c>
      <c r="P288" t="s">
        <v>4063</v>
      </c>
      <c r="Q288" t="s">
        <v>1633</v>
      </c>
      <c r="R288" t="s">
        <v>848</v>
      </c>
      <c r="U288" t="s">
        <v>319</v>
      </c>
      <c r="V288" t="s">
        <v>816</v>
      </c>
      <c r="X288">
        <v>0</v>
      </c>
      <c r="Y288">
        <v>7524</v>
      </c>
      <c r="AA288">
        <v>7</v>
      </c>
      <c r="AB288" s="31">
        <v>45887</v>
      </c>
      <c r="AC288" s="61">
        <v>0.4024652777777778</v>
      </c>
      <c r="AD288" t="s">
        <v>818</v>
      </c>
      <c r="AE288" s="31">
        <v>45894</v>
      </c>
      <c r="AF288" s="61">
        <v>0.49158564814814809</v>
      </c>
      <c r="AI288" t="s">
        <v>4064</v>
      </c>
      <c r="AJ288" t="s">
        <v>4064</v>
      </c>
      <c r="AR288">
        <v>1</v>
      </c>
    </row>
    <row r="289" spans="1:44" x14ac:dyDescent="0.25">
      <c r="A289" t="s">
        <v>31</v>
      </c>
      <c r="B289">
        <v>528</v>
      </c>
      <c r="C289">
        <v>88</v>
      </c>
      <c r="D289">
        <v>2470</v>
      </c>
      <c r="G289" t="s">
        <v>4065</v>
      </c>
      <c r="I289" t="s">
        <v>660</v>
      </c>
      <c r="J289" t="s">
        <v>1133</v>
      </c>
      <c r="K289" t="s">
        <v>1133</v>
      </c>
      <c r="L289" t="s">
        <v>3993</v>
      </c>
      <c r="N289" t="s">
        <v>3273</v>
      </c>
      <c r="P289" t="s">
        <v>778</v>
      </c>
      <c r="Q289" t="s">
        <v>3274</v>
      </c>
      <c r="R289" t="s">
        <v>932</v>
      </c>
      <c r="U289" t="s">
        <v>319</v>
      </c>
      <c r="V289" t="s">
        <v>3417</v>
      </c>
      <c r="X289">
        <v>3360</v>
      </c>
      <c r="Y289">
        <v>7128</v>
      </c>
      <c r="AA289">
        <v>43</v>
      </c>
      <c r="AB289" s="31">
        <v>45887</v>
      </c>
      <c r="AC289" s="61">
        <v>0.43887731481481479</v>
      </c>
      <c r="AD289" t="s">
        <v>795</v>
      </c>
      <c r="AE289" s="31">
        <v>45930</v>
      </c>
      <c r="AF289" s="61">
        <v>0.38685185185185178</v>
      </c>
      <c r="AG289" t="s">
        <v>3463</v>
      </c>
      <c r="AI289" t="s">
        <v>2042</v>
      </c>
      <c r="AJ289" t="s">
        <v>2042</v>
      </c>
      <c r="AR289">
        <v>1</v>
      </c>
    </row>
    <row r="290" spans="1:44" x14ac:dyDescent="0.25">
      <c r="A290" t="s">
        <v>31</v>
      </c>
      <c r="B290">
        <v>529</v>
      </c>
      <c r="C290">
        <v>103</v>
      </c>
      <c r="D290">
        <v>2471</v>
      </c>
      <c r="G290" t="s">
        <v>4066</v>
      </c>
      <c r="H290">
        <v>12549273000179</v>
      </c>
      <c r="I290" t="s">
        <v>3309</v>
      </c>
      <c r="J290" t="s">
        <v>4067</v>
      </c>
      <c r="K290" t="s">
        <v>4067</v>
      </c>
      <c r="N290" t="s">
        <v>3312</v>
      </c>
      <c r="P290" t="s">
        <v>3313</v>
      </c>
      <c r="Q290" t="s">
        <v>1596</v>
      </c>
      <c r="R290" t="s">
        <v>790</v>
      </c>
      <c r="U290" t="s">
        <v>319</v>
      </c>
      <c r="V290" t="s">
        <v>3417</v>
      </c>
      <c r="X290">
        <v>420</v>
      </c>
      <c r="Y290">
        <v>3564</v>
      </c>
      <c r="AA290">
        <v>25</v>
      </c>
      <c r="AB290" s="31">
        <v>45887</v>
      </c>
      <c r="AC290" s="61">
        <v>0.52501157407407406</v>
      </c>
      <c r="AD290" t="s">
        <v>795</v>
      </c>
      <c r="AE290" s="31">
        <v>45912</v>
      </c>
      <c r="AF290" s="61">
        <v>0.71452546296296293</v>
      </c>
      <c r="AG290" t="s">
        <v>934</v>
      </c>
      <c r="AI290" t="s">
        <v>2042</v>
      </c>
      <c r="AJ290" t="s">
        <v>4068</v>
      </c>
      <c r="AR290">
        <v>1</v>
      </c>
    </row>
    <row r="291" spans="1:44" x14ac:dyDescent="0.25">
      <c r="A291" t="s">
        <v>31</v>
      </c>
      <c r="B291">
        <v>530</v>
      </c>
      <c r="C291">
        <v>154</v>
      </c>
      <c r="D291">
        <v>2472</v>
      </c>
      <c r="G291" t="s">
        <v>4069</v>
      </c>
      <c r="H291">
        <v>790751000159</v>
      </c>
      <c r="I291" t="s">
        <v>3456</v>
      </c>
      <c r="J291" t="s">
        <v>4003</v>
      </c>
      <c r="K291" t="s">
        <v>4003</v>
      </c>
      <c r="L291" t="s">
        <v>3580</v>
      </c>
      <c r="N291" t="s">
        <v>3459</v>
      </c>
      <c r="P291" t="s">
        <v>778</v>
      </c>
      <c r="U291" t="s">
        <v>319</v>
      </c>
      <c r="V291" t="s">
        <v>816</v>
      </c>
      <c r="X291">
        <v>5800</v>
      </c>
      <c r="Y291">
        <v>0</v>
      </c>
      <c r="AA291">
        <v>10</v>
      </c>
      <c r="AB291" s="31">
        <v>45887</v>
      </c>
      <c r="AC291" s="61">
        <v>0.59663194444444445</v>
      </c>
      <c r="AD291" t="s">
        <v>818</v>
      </c>
      <c r="AE291" s="31">
        <v>45897</v>
      </c>
      <c r="AF291" s="61">
        <v>0.6378125</v>
      </c>
      <c r="AI291" t="s">
        <v>4064</v>
      </c>
      <c r="AR291">
        <v>1</v>
      </c>
    </row>
    <row r="292" spans="1:44" x14ac:dyDescent="0.25">
      <c r="A292" t="s">
        <v>31</v>
      </c>
      <c r="B292">
        <v>533</v>
      </c>
      <c r="C292">
        <v>167</v>
      </c>
      <c r="D292">
        <v>2480</v>
      </c>
      <c r="G292" t="s">
        <v>4070</v>
      </c>
      <c r="H292">
        <v>7973104000121</v>
      </c>
      <c r="I292" t="s">
        <v>979</v>
      </c>
      <c r="J292" t="s">
        <v>952</v>
      </c>
      <c r="K292" t="s">
        <v>952</v>
      </c>
      <c r="L292" t="s">
        <v>4071</v>
      </c>
      <c r="N292" t="s">
        <v>982</v>
      </c>
      <c r="P292" t="s">
        <v>778</v>
      </c>
      <c r="Q292" t="s">
        <v>983</v>
      </c>
      <c r="R292" t="s">
        <v>932</v>
      </c>
      <c r="U292" t="s">
        <v>319</v>
      </c>
      <c r="V292" t="s">
        <v>781</v>
      </c>
      <c r="AA292">
        <v>23</v>
      </c>
      <c r="AB292" s="31">
        <v>45889</v>
      </c>
      <c r="AC292" s="61">
        <v>0.41270833333333329</v>
      </c>
      <c r="AD292" t="s">
        <v>795</v>
      </c>
      <c r="AE292" s="31">
        <v>45912</v>
      </c>
      <c r="AF292" s="61">
        <v>0.71810185185185182</v>
      </c>
      <c r="AG292" t="s">
        <v>934</v>
      </c>
      <c r="AR292">
        <v>1</v>
      </c>
    </row>
    <row r="293" spans="1:44" x14ac:dyDescent="0.25">
      <c r="A293" t="s">
        <v>31</v>
      </c>
      <c r="B293">
        <v>535</v>
      </c>
      <c r="C293">
        <v>175</v>
      </c>
      <c r="D293">
        <v>2483</v>
      </c>
      <c r="G293" t="s">
        <v>4072</v>
      </c>
      <c r="H293">
        <v>52362985000107</v>
      </c>
      <c r="I293" t="s">
        <v>3519</v>
      </c>
      <c r="J293" t="s">
        <v>4073</v>
      </c>
      <c r="K293" t="s">
        <v>4073</v>
      </c>
      <c r="L293" t="s">
        <v>4074</v>
      </c>
      <c r="N293" t="s">
        <v>3521</v>
      </c>
      <c r="P293" t="s">
        <v>3522</v>
      </c>
      <c r="Q293" t="s">
        <v>3523</v>
      </c>
      <c r="R293" t="s">
        <v>790</v>
      </c>
      <c r="U293" t="s">
        <v>319</v>
      </c>
      <c r="V293" t="s">
        <v>3417</v>
      </c>
      <c r="X293">
        <v>3360</v>
      </c>
      <c r="Y293">
        <v>0</v>
      </c>
      <c r="AA293">
        <v>41</v>
      </c>
      <c r="AB293" s="31">
        <v>45889</v>
      </c>
      <c r="AC293" s="61">
        <v>0.42591435185185178</v>
      </c>
      <c r="AD293" t="s">
        <v>795</v>
      </c>
      <c r="AE293" s="31">
        <v>45930</v>
      </c>
      <c r="AF293" s="61">
        <v>0.39935185185185179</v>
      </c>
      <c r="AG293" t="s">
        <v>796</v>
      </c>
      <c r="AJ293" t="s">
        <v>4075</v>
      </c>
      <c r="AR293">
        <v>1</v>
      </c>
    </row>
    <row r="294" spans="1:44" x14ac:dyDescent="0.25">
      <c r="A294" t="s">
        <v>31</v>
      </c>
      <c r="B294">
        <v>536</v>
      </c>
      <c r="D294">
        <v>2484</v>
      </c>
      <c r="G294" t="s">
        <v>4076</v>
      </c>
      <c r="H294">
        <v>8037413000152</v>
      </c>
      <c r="J294" t="s">
        <v>4077</v>
      </c>
      <c r="K294" t="s">
        <v>4077</v>
      </c>
      <c r="L294" t="s">
        <v>4078</v>
      </c>
      <c r="N294" t="s">
        <v>4079</v>
      </c>
      <c r="P294" t="s">
        <v>778</v>
      </c>
      <c r="U294" t="s">
        <v>319</v>
      </c>
      <c r="V294" t="s">
        <v>3417</v>
      </c>
      <c r="X294">
        <v>3360</v>
      </c>
      <c r="Y294">
        <v>7128</v>
      </c>
      <c r="AA294">
        <v>37</v>
      </c>
      <c r="AB294" s="31">
        <v>45889</v>
      </c>
      <c r="AC294" s="61">
        <v>0.43030092592592589</v>
      </c>
      <c r="AD294" t="s">
        <v>795</v>
      </c>
      <c r="AE294" s="31">
        <v>45926</v>
      </c>
      <c r="AF294" s="61">
        <v>0.67302083333333329</v>
      </c>
      <c r="AG294" t="s">
        <v>796</v>
      </c>
      <c r="AI294" t="s">
        <v>4080</v>
      </c>
      <c r="AR294">
        <v>1</v>
      </c>
    </row>
    <row r="295" spans="1:44" x14ac:dyDescent="0.25">
      <c r="A295" t="s">
        <v>31</v>
      </c>
      <c r="B295">
        <v>538</v>
      </c>
      <c r="C295">
        <v>132</v>
      </c>
      <c r="D295">
        <v>2489</v>
      </c>
      <c r="G295" t="s">
        <v>4081</v>
      </c>
      <c r="I295" t="s">
        <v>3373</v>
      </c>
      <c r="J295" t="s">
        <v>3588</v>
      </c>
      <c r="K295" t="s">
        <v>3588</v>
      </c>
      <c r="L295" t="s">
        <v>3553</v>
      </c>
      <c r="N295" t="s">
        <v>3375</v>
      </c>
      <c r="P295" t="s">
        <v>778</v>
      </c>
      <c r="U295" t="s">
        <v>319</v>
      </c>
      <c r="V295" t="s">
        <v>3417</v>
      </c>
      <c r="X295">
        <v>3360</v>
      </c>
      <c r="Y295">
        <v>7128</v>
      </c>
      <c r="AA295">
        <v>5</v>
      </c>
      <c r="AB295" s="31">
        <v>45889</v>
      </c>
      <c r="AC295" s="61">
        <v>0.46584490740740742</v>
      </c>
      <c r="AD295" t="s">
        <v>795</v>
      </c>
      <c r="AE295" s="31">
        <v>45894</v>
      </c>
      <c r="AF295" s="61">
        <v>0.70057870370370368</v>
      </c>
      <c r="AG295" t="s">
        <v>3463</v>
      </c>
      <c r="AI295" t="s">
        <v>4080</v>
      </c>
      <c r="AJ295" t="s">
        <v>4080</v>
      </c>
      <c r="AR295">
        <v>1</v>
      </c>
    </row>
    <row r="296" spans="1:44" x14ac:dyDescent="0.25">
      <c r="A296" t="s">
        <v>31</v>
      </c>
      <c r="B296">
        <v>541</v>
      </c>
      <c r="C296">
        <v>97</v>
      </c>
      <c r="D296">
        <v>2495</v>
      </c>
      <c r="G296" t="s">
        <v>4082</v>
      </c>
      <c r="H296">
        <v>22500484000170</v>
      </c>
      <c r="I296" t="s">
        <v>669</v>
      </c>
      <c r="J296" t="s">
        <v>4034</v>
      </c>
      <c r="K296" t="s">
        <v>4034</v>
      </c>
      <c r="L296" t="s">
        <v>4035</v>
      </c>
      <c r="N296" t="s">
        <v>3294</v>
      </c>
      <c r="P296" t="s">
        <v>778</v>
      </c>
      <c r="U296" t="s">
        <v>319</v>
      </c>
      <c r="V296" t="s">
        <v>816</v>
      </c>
      <c r="X296">
        <v>630</v>
      </c>
      <c r="Y296">
        <v>0</v>
      </c>
      <c r="AA296">
        <v>0</v>
      </c>
      <c r="AB296" s="31">
        <v>45889</v>
      </c>
      <c r="AC296" s="61">
        <v>0.69578703703703704</v>
      </c>
      <c r="AD296" t="s">
        <v>818</v>
      </c>
      <c r="AE296" s="31">
        <v>45889</v>
      </c>
      <c r="AF296" s="61">
        <v>0.69665509259259262</v>
      </c>
      <c r="AI296" t="s">
        <v>4080</v>
      </c>
      <c r="AR296">
        <v>1</v>
      </c>
    </row>
    <row r="297" spans="1:44" x14ac:dyDescent="0.25">
      <c r="A297" t="s">
        <v>31</v>
      </c>
      <c r="B297">
        <v>543</v>
      </c>
      <c r="C297">
        <v>179</v>
      </c>
      <c r="D297">
        <v>2500</v>
      </c>
      <c r="G297" t="s">
        <v>4083</v>
      </c>
      <c r="H297">
        <v>21736169000184</v>
      </c>
      <c r="I297" t="s">
        <v>3546</v>
      </c>
      <c r="J297" t="s">
        <v>1243</v>
      </c>
      <c r="K297" t="s">
        <v>1243</v>
      </c>
      <c r="L297" t="s">
        <v>3547</v>
      </c>
      <c r="N297" t="s">
        <v>3548</v>
      </c>
      <c r="P297" t="s">
        <v>3549</v>
      </c>
      <c r="Q297" t="s">
        <v>3550</v>
      </c>
      <c r="R297" t="s">
        <v>874</v>
      </c>
      <c r="U297" t="s">
        <v>319</v>
      </c>
      <c r="V297" t="s">
        <v>816</v>
      </c>
      <c r="X297">
        <v>4200</v>
      </c>
      <c r="Y297">
        <v>0</v>
      </c>
      <c r="AA297">
        <v>39</v>
      </c>
      <c r="AB297" s="31">
        <v>45890</v>
      </c>
      <c r="AC297" s="61">
        <v>0.4518287037037037</v>
      </c>
      <c r="AD297" t="s">
        <v>795</v>
      </c>
      <c r="AE297" s="31">
        <v>45929</v>
      </c>
      <c r="AF297" s="61">
        <v>0.44091435185185179</v>
      </c>
      <c r="AG297" t="s">
        <v>796</v>
      </c>
      <c r="AI297" t="s">
        <v>4084</v>
      </c>
      <c r="AR297">
        <v>1</v>
      </c>
    </row>
    <row r="298" spans="1:44" x14ac:dyDescent="0.25">
      <c r="A298" t="s">
        <v>31</v>
      </c>
      <c r="B298">
        <v>544</v>
      </c>
      <c r="C298">
        <v>76</v>
      </c>
      <c r="D298">
        <v>2501</v>
      </c>
      <c r="G298" t="s">
        <v>4085</v>
      </c>
      <c r="I298" t="s">
        <v>225</v>
      </c>
      <c r="J298" t="s">
        <v>4086</v>
      </c>
      <c r="K298" t="s">
        <v>4086</v>
      </c>
      <c r="L298" t="s">
        <v>3623</v>
      </c>
      <c r="N298" t="s">
        <v>3233</v>
      </c>
      <c r="P298" t="s">
        <v>778</v>
      </c>
      <c r="Q298" t="s">
        <v>3234</v>
      </c>
      <c r="R298" t="s">
        <v>1699</v>
      </c>
      <c r="U298" t="s">
        <v>319</v>
      </c>
      <c r="V298" t="s">
        <v>816</v>
      </c>
      <c r="X298">
        <v>1680</v>
      </c>
      <c r="Y298">
        <v>0</v>
      </c>
      <c r="AA298">
        <v>0</v>
      </c>
      <c r="AB298" s="31">
        <v>45890</v>
      </c>
      <c r="AC298" s="61">
        <v>0.4753472222222222</v>
      </c>
      <c r="AD298" t="s">
        <v>818</v>
      </c>
      <c r="AE298" s="31">
        <v>45890</v>
      </c>
      <c r="AF298" s="61">
        <v>0.66390046296296301</v>
      </c>
      <c r="AI298" t="s">
        <v>4084</v>
      </c>
      <c r="AR298">
        <v>1</v>
      </c>
    </row>
    <row r="299" spans="1:44" x14ac:dyDescent="0.25">
      <c r="A299" t="s">
        <v>31</v>
      </c>
      <c r="B299">
        <v>547</v>
      </c>
      <c r="C299">
        <v>76</v>
      </c>
      <c r="D299">
        <v>2503</v>
      </c>
      <c r="G299" t="s">
        <v>4087</v>
      </c>
      <c r="I299" t="s">
        <v>225</v>
      </c>
      <c r="J299" t="s">
        <v>3691</v>
      </c>
      <c r="K299" t="s">
        <v>3691</v>
      </c>
      <c r="L299" t="s">
        <v>3623</v>
      </c>
      <c r="N299" t="s">
        <v>3233</v>
      </c>
      <c r="P299" t="s">
        <v>778</v>
      </c>
      <c r="Q299" t="s">
        <v>3234</v>
      </c>
      <c r="R299" t="s">
        <v>1699</v>
      </c>
      <c r="U299" t="s">
        <v>319</v>
      </c>
      <c r="V299" t="s">
        <v>816</v>
      </c>
      <c r="X299">
        <v>1680</v>
      </c>
      <c r="Y299">
        <v>64152</v>
      </c>
      <c r="AA299">
        <v>21</v>
      </c>
      <c r="AB299" s="31">
        <v>45894</v>
      </c>
      <c r="AC299" s="61">
        <v>0.41486111111111112</v>
      </c>
      <c r="AD299" t="s">
        <v>818</v>
      </c>
      <c r="AE299" s="31">
        <v>45915</v>
      </c>
      <c r="AF299" s="61">
        <v>0.47063657407407411</v>
      </c>
      <c r="AI299" t="s">
        <v>2048</v>
      </c>
      <c r="AJ299" t="s">
        <v>2048</v>
      </c>
      <c r="AR299">
        <v>1</v>
      </c>
    </row>
    <row r="300" spans="1:44" x14ac:dyDescent="0.25">
      <c r="A300" t="s">
        <v>31</v>
      </c>
      <c r="B300">
        <v>548</v>
      </c>
      <c r="C300">
        <v>190</v>
      </c>
      <c r="D300">
        <v>2504</v>
      </c>
      <c r="G300" t="s">
        <v>4088</v>
      </c>
      <c r="H300">
        <v>18203215000175</v>
      </c>
      <c r="I300" t="s">
        <v>3690</v>
      </c>
      <c r="J300" t="s">
        <v>4089</v>
      </c>
      <c r="K300" t="s">
        <v>4089</v>
      </c>
      <c r="L300" t="s">
        <v>3692</v>
      </c>
      <c r="N300" t="s">
        <v>3693</v>
      </c>
      <c r="P300" t="s">
        <v>3694</v>
      </c>
      <c r="Q300" t="s">
        <v>3695</v>
      </c>
      <c r="R300" t="s">
        <v>790</v>
      </c>
      <c r="U300" t="s">
        <v>319</v>
      </c>
      <c r="V300" t="s">
        <v>816</v>
      </c>
      <c r="X300">
        <v>3360</v>
      </c>
      <c r="Y300">
        <v>0</v>
      </c>
      <c r="AA300">
        <v>9</v>
      </c>
      <c r="AB300" s="31">
        <v>45894</v>
      </c>
      <c r="AC300" s="61">
        <v>0.43626157407407412</v>
      </c>
      <c r="AD300" t="s">
        <v>818</v>
      </c>
      <c r="AE300" s="31">
        <v>45903</v>
      </c>
      <c r="AF300" s="61">
        <v>0.51253472222222218</v>
      </c>
      <c r="AI300" t="s">
        <v>2048</v>
      </c>
      <c r="AR300">
        <v>1</v>
      </c>
    </row>
    <row r="301" spans="1:44" x14ac:dyDescent="0.25">
      <c r="A301" t="s">
        <v>31</v>
      </c>
      <c r="B301">
        <v>549</v>
      </c>
      <c r="C301">
        <v>208</v>
      </c>
      <c r="D301">
        <v>2505</v>
      </c>
      <c r="G301" t="s">
        <v>4090</v>
      </c>
      <c r="H301">
        <v>42830750000130</v>
      </c>
      <c r="I301" t="s">
        <v>3903</v>
      </c>
      <c r="J301" t="s">
        <v>4091</v>
      </c>
      <c r="K301" t="s">
        <v>4091</v>
      </c>
      <c r="L301" t="s">
        <v>3905</v>
      </c>
      <c r="N301" t="s">
        <v>4594</v>
      </c>
      <c r="P301" t="s">
        <v>3907</v>
      </c>
      <c r="Q301" t="s">
        <v>1094</v>
      </c>
      <c r="R301" t="s">
        <v>790</v>
      </c>
      <c r="U301" t="s">
        <v>319</v>
      </c>
      <c r="V301" t="s">
        <v>3417</v>
      </c>
      <c r="X301">
        <v>3360</v>
      </c>
      <c r="Y301">
        <v>7128</v>
      </c>
      <c r="AA301">
        <v>7</v>
      </c>
      <c r="AB301" s="31">
        <v>45894</v>
      </c>
      <c r="AC301" s="61">
        <v>0.49232638888888891</v>
      </c>
      <c r="AD301" t="s">
        <v>795</v>
      </c>
      <c r="AE301" s="31">
        <v>45901</v>
      </c>
      <c r="AF301" s="61">
        <v>0.45027777777777778</v>
      </c>
      <c r="AG301" t="s">
        <v>934</v>
      </c>
      <c r="AI301" t="s">
        <v>2048</v>
      </c>
      <c r="AJ301" t="s">
        <v>2048</v>
      </c>
      <c r="AR301">
        <v>1</v>
      </c>
    </row>
    <row r="302" spans="1:44" x14ac:dyDescent="0.25">
      <c r="A302" t="s">
        <v>31</v>
      </c>
      <c r="B302">
        <v>551</v>
      </c>
      <c r="C302">
        <v>130</v>
      </c>
      <c r="D302">
        <v>2507</v>
      </c>
      <c r="G302" t="s">
        <v>4092</v>
      </c>
      <c r="I302" t="s">
        <v>141</v>
      </c>
      <c r="J302" t="s">
        <v>3675</v>
      </c>
      <c r="K302" t="s">
        <v>3675</v>
      </c>
      <c r="L302" t="s">
        <v>3676</v>
      </c>
      <c r="N302" t="s">
        <v>3368</v>
      </c>
      <c r="P302" t="s">
        <v>778</v>
      </c>
      <c r="Q302" t="s">
        <v>923</v>
      </c>
      <c r="R302" t="s">
        <v>790</v>
      </c>
      <c r="U302" t="s">
        <v>319</v>
      </c>
      <c r="V302" t="s">
        <v>816</v>
      </c>
      <c r="X302">
        <v>2000</v>
      </c>
      <c r="Y302">
        <v>0</v>
      </c>
      <c r="AA302">
        <v>0</v>
      </c>
      <c r="AB302" s="31">
        <v>45894</v>
      </c>
      <c r="AC302" s="61">
        <v>0.60696759259259259</v>
      </c>
      <c r="AD302" t="s">
        <v>818</v>
      </c>
      <c r="AE302" s="31">
        <v>45894</v>
      </c>
      <c r="AF302" s="61">
        <v>0.64976851851851847</v>
      </c>
      <c r="AI302" t="s">
        <v>2048</v>
      </c>
      <c r="AR302">
        <v>1</v>
      </c>
    </row>
    <row r="303" spans="1:44" x14ac:dyDescent="0.25">
      <c r="A303" t="s">
        <v>31</v>
      </c>
      <c r="B303">
        <v>554</v>
      </c>
      <c r="C303">
        <v>0</v>
      </c>
      <c r="D303">
        <v>2510</v>
      </c>
      <c r="G303" t="s">
        <v>4093</v>
      </c>
      <c r="H303">
        <v>49119936000125</v>
      </c>
      <c r="J303" t="s">
        <v>4094</v>
      </c>
      <c r="K303" t="s">
        <v>4094</v>
      </c>
      <c r="L303" t="s">
        <v>4095</v>
      </c>
      <c r="N303" t="s">
        <v>4096</v>
      </c>
      <c r="P303" t="s">
        <v>778</v>
      </c>
      <c r="U303" t="s">
        <v>319</v>
      </c>
      <c r="V303" t="s">
        <v>781</v>
      </c>
      <c r="AA303">
        <v>35</v>
      </c>
      <c r="AB303" s="31">
        <v>45895</v>
      </c>
      <c r="AC303" s="61">
        <v>0.47723379629629631</v>
      </c>
      <c r="AD303" t="s">
        <v>795</v>
      </c>
      <c r="AE303" s="31">
        <v>45930</v>
      </c>
      <c r="AF303" s="61">
        <v>0.69893518518518516</v>
      </c>
      <c r="AG303" t="s">
        <v>796</v>
      </c>
      <c r="AR303">
        <v>1</v>
      </c>
    </row>
    <row r="304" spans="1:44" x14ac:dyDescent="0.25">
      <c r="A304" t="s">
        <v>31</v>
      </c>
      <c r="B304">
        <v>555</v>
      </c>
      <c r="C304">
        <v>129</v>
      </c>
      <c r="D304">
        <v>2513</v>
      </c>
      <c r="G304" t="s">
        <v>3535</v>
      </c>
      <c r="I304" t="s">
        <v>679</v>
      </c>
      <c r="J304" t="s">
        <v>928</v>
      </c>
      <c r="K304" t="s">
        <v>928</v>
      </c>
      <c r="L304" t="s">
        <v>3537</v>
      </c>
      <c r="N304" t="s">
        <v>3366</v>
      </c>
      <c r="P304" t="s">
        <v>778</v>
      </c>
      <c r="U304" t="s">
        <v>319</v>
      </c>
      <c r="V304" t="s">
        <v>816</v>
      </c>
      <c r="X304">
        <v>50000</v>
      </c>
      <c r="Y304">
        <v>68904</v>
      </c>
      <c r="AA304">
        <v>21</v>
      </c>
      <c r="AB304" s="31">
        <v>45895</v>
      </c>
      <c r="AC304" s="61">
        <v>0.51844907407407403</v>
      </c>
      <c r="AD304" t="s">
        <v>818</v>
      </c>
      <c r="AE304" s="31">
        <v>45916</v>
      </c>
      <c r="AF304" s="61">
        <v>0.65458333333333329</v>
      </c>
      <c r="AI304" t="s">
        <v>4097</v>
      </c>
      <c r="AJ304" t="s">
        <v>4097</v>
      </c>
      <c r="AR304">
        <v>1</v>
      </c>
    </row>
    <row r="305" spans="1:44" x14ac:dyDescent="0.25">
      <c r="A305" t="s">
        <v>31</v>
      </c>
      <c r="B305">
        <v>556</v>
      </c>
      <c r="C305">
        <v>118</v>
      </c>
      <c r="D305">
        <v>2514</v>
      </c>
      <c r="G305" t="s">
        <v>4098</v>
      </c>
      <c r="I305" t="s">
        <v>686</v>
      </c>
      <c r="J305" t="s">
        <v>162</v>
      </c>
      <c r="K305" t="s">
        <v>162</v>
      </c>
      <c r="L305" t="s">
        <v>3609</v>
      </c>
      <c r="N305" t="s">
        <v>3343</v>
      </c>
      <c r="P305" t="s">
        <v>778</v>
      </c>
      <c r="U305" t="s">
        <v>319</v>
      </c>
      <c r="V305" t="s">
        <v>3417</v>
      </c>
      <c r="X305">
        <v>8400</v>
      </c>
      <c r="Y305">
        <v>0</v>
      </c>
      <c r="AA305">
        <v>23</v>
      </c>
      <c r="AB305" s="31">
        <v>45895</v>
      </c>
      <c r="AC305" s="61">
        <v>0.52089120370370368</v>
      </c>
      <c r="AD305" t="s">
        <v>795</v>
      </c>
      <c r="AE305" s="31">
        <v>45918</v>
      </c>
      <c r="AF305" s="61">
        <v>0.51217592592592598</v>
      </c>
      <c r="AG305" t="s">
        <v>934</v>
      </c>
      <c r="AI305" t="s">
        <v>4097</v>
      </c>
      <c r="AJ305" t="s">
        <v>4097</v>
      </c>
      <c r="AR305">
        <v>1</v>
      </c>
    </row>
    <row r="306" spans="1:44" x14ac:dyDescent="0.25">
      <c r="A306" t="s">
        <v>31</v>
      </c>
      <c r="B306">
        <v>560</v>
      </c>
      <c r="C306">
        <v>142</v>
      </c>
      <c r="D306">
        <v>2522</v>
      </c>
      <c r="G306" t="s">
        <v>4099</v>
      </c>
      <c r="I306" t="s">
        <v>3397</v>
      </c>
      <c r="J306" t="s">
        <v>2610</v>
      </c>
      <c r="K306" t="s">
        <v>2610</v>
      </c>
      <c r="L306" t="s">
        <v>3698</v>
      </c>
      <c r="N306" t="s">
        <v>3399</v>
      </c>
      <c r="P306" t="s">
        <v>778</v>
      </c>
      <c r="Q306" t="s">
        <v>3400</v>
      </c>
      <c r="R306" t="s">
        <v>1699</v>
      </c>
      <c r="U306" t="s">
        <v>319</v>
      </c>
      <c r="V306" t="s">
        <v>3417</v>
      </c>
      <c r="X306">
        <v>3360</v>
      </c>
      <c r="Y306">
        <v>7128</v>
      </c>
      <c r="AA306">
        <v>14</v>
      </c>
      <c r="AB306" s="31">
        <v>45898</v>
      </c>
      <c r="AC306" s="61">
        <v>0.67541666666666667</v>
      </c>
      <c r="AD306" t="s">
        <v>795</v>
      </c>
      <c r="AE306" s="31">
        <v>45912</v>
      </c>
      <c r="AF306" s="61">
        <v>0.71483796296296298</v>
      </c>
      <c r="AG306" t="s">
        <v>934</v>
      </c>
      <c r="AI306" t="s">
        <v>4100</v>
      </c>
      <c r="AJ306" t="s">
        <v>4100</v>
      </c>
      <c r="AR306">
        <v>1</v>
      </c>
    </row>
    <row r="307" spans="1:44" x14ac:dyDescent="0.25">
      <c r="A307" t="s">
        <v>31</v>
      </c>
      <c r="B307">
        <v>565</v>
      </c>
      <c r="C307">
        <v>185</v>
      </c>
      <c r="D307">
        <v>2537</v>
      </c>
      <c r="G307" t="s">
        <v>4101</v>
      </c>
      <c r="H307">
        <v>51496785000176</v>
      </c>
      <c r="I307" t="s">
        <v>3599</v>
      </c>
      <c r="J307" t="s">
        <v>3600</v>
      </c>
      <c r="K307" t="s">
        <v>3600</v>
      </c>
      <c r="L307" t="s">
        <v>3601</v>
      </c>
      <c r="N307" t="s">
        <v>3602</v>
      </c>
      <c r="P307" t="s">
        <v>3603</v>
      </c>
      <c r="Q307" t="s">
        <v>847</v>
      </c>
      <c r="R307" t="s">
        <v>848</v>
      </c>
      <c r="U307" t="s">
        <v>319</v>
      </c>
      <c r="V307" t="s">
        <v>816</v>
      </c>
      <c r="X307">
        <v>293842</v>
      </c>
      <c r="Y307">
        <v>0</v>
      </c>
      <c r="AA307">
        <v>3</v>
      </c>
      <c r="AB307" s="31">
        <v>45901</v>
      </c>
      <c r="AC307" s="61">
        <v>0.66069444444444447</v>
      </c>
      <c r="AD307" t="s">
        <v>818</v>
      </c>
      <c r="AE307" s="31">
        <v>45904</v>
      </c>
      <c r="AF307" s="61">
        <v>0.62457175925925923</v>
      </c>
      <c r="AI307" t="s">
        <v>4102</v>
      </c>
      <c r="AR307">
        <v>1</v>
      </c>
    </row>
    <row r="308" spans="1:44" x14ac:dyDescent="0.25">
      <c r="A308" t="s">
        <v>31</v>
      </c>
      <c r="B308">
        <v>568</v>
      </c>
      <c r="C308">
        <v>199</v>
      </c>
      <c r="D308">
        <v>2542</v>
      </c>
      <c r="G308" t="s">
        <v>4103</v>
      </c>
      <c r="H308">
        <v>50963243000101</v>
      </c>
      <c r="I308" t="s">
        <v>3750</v>
      </c>
      <c r="J308" t="s">
        <v>3844</v>
      </c>
      <c r="K308" t="s">
        <v>3844</v>
      </c>
      <c r="L308" t="s">
        <v>3752</v>
      </c>
      <c r="N308" t="s">
        <v>3753</v>
      </c>
      <c r="P308" t="s">
        <v>3754</v>
      </c>
      <c r="Q308" t="s">
        <v>1094</v>
      </c>
      <c r="R308" t="s">
        <v>790</v>
      </c>
      <c r="U308" t="s">
        <v>319</v>
      </c>
      <c r="V308" t="s">
        <v>816</v>
      </c>
      <c r="X308">
        <v>3024</v>
      </c>
      <c r="Y308">
        <v>0</v>
      </c>
      <c r="AA308">
        <v>1</v>
      </c>
      <c r="AB308" s="31">
        <v>45902</v>
      </c>
      <c r="AC308" s="61">
        <v>0.50137731481481485</v>
      </c>
      <c r="AD308" t="s">
        <v>818</v>
      </c>
      <c r="AE308" s="31">
        <v>45903</v>
      </c>
      <c r="AF308" s="61">
        <v>0.51120370370370372</v>
      </c>
      <c r="AI308" t="s">
        <v>2213</v>
      </c>
      <c r="AR308">
        <v>1</v>
      </c>
    </row>
    <row r="309" spans="1:44" x14ac:dyDescent="0.25">
      <c r="A309" t="s">
        <v>31</v>
      </c>
      <c r="B309">
        <v>569</v>
      </c>
      <c r="C309">
        <v>130</v>
      </c>
      <c r="D309">
        <v>2543</v>
      </c>
      <c r="G309" t="s">
        <v>4104</v>
      </c>
      <c r="I309" t="s">
        <v>141</v>
      </c>
      <c r="J309" t="s">
        <v>3675</v>
      </c>
      <c r="K309" t="s">
        <v>3675</v>
      </c>
      <c r="L309" t="s">
        <v>3676</v>
      </c>
      <c r="N309" t="s">
        <v>3368</v>
      </c>
      <c r="P309" t="s">
        <v>778</v>
      </c>
      <c r="Q309" t="s">
        <v>923</v>
      </c>
      <c r="R309" t="s">
        <v>790</v>
      </c>
      <c r="U309" t="s">
        <v>319</v>
      </c>
      <c r="V309" t="s">
        <v>816</v>
      </c>
      <c r="X309">
        <v>11340</v>
      </c>
      <c r="Y309">
        <v>42982</v>
      </c>
      <c r="AA309">
        <v>8</v>
      </c>
      <c r="AB309" s="31">
        <v>45903</v>
      </c>
      <c r="AC309" s="61">
        <v>0.4649537037037037</v>
      </c>
      <c r="AD309" t="s">
        <v>818</v>
      </c>
      <c r="AE309" s="31">
        <v>45911</v>
      </c>
      <c r="AF309" s="61">
        <v>0.42986111111111108</v>
      </c>
      <c r="AI309" t="s">
        <v>4105</v>
      </c>
      <c r="AJ309" t="s">
        <v>4105</v>
      </c>
      <c r="AR309">
        <v>1</v>
      </c>
    </row>
    <row r="310" spans="1:44" x14ac:dyDescent="0.25">
      <c r="A310" t="s">
        <v>31</v>
      </c>
      <c r="B310">
        <v>570</v>
      </c>
      <c r="C310">
        <v>122</v>
      </c>
      <c r="D310">
        <v>2544</v>
      </c>
      <c r="G310" t="s">
        <v>4106</v>
      </c>
      <c r="I310" t="s">
        <v>680</v>
      </c>
      <c r="J310" t="s">
        <v>680</v>
      </c>
      <c r="K310" t="s">
        <v>680</v>
      </c>
      <c r="L310" t="s">
        <v>3867</v>
      </c>
      <c r="N310" t="s">
        <v>3351</v>
      </c>
      <c r="P310" t="s">
        <v>778</v>
      </c>
      <c r="U310" t="s">
        <v>319</v>
      </c>
      <c r="V310" t="s">
        <v>816</v>
      </c>
      <c r="X310">
        <v>1008</v>
      </c>
      <c r="Y310">
        <v>0</v>
      </c>
      <c r="AA310">
        <v>0</v>
      </c>
      <c r="AB310" s="31">
        <v>45903</v>
      </c>
      <c r="AC310" s="61">
        <v>0.47706018518518523</v>
      </c>
      <c r="AD310" t="s">
        <v>818</v>
      </c>
      <c r="AE310" s="31">
        <v>45903</v>
      </c>
      <c r="AF310" s="61">
        <v>0.51025462962962964</v>
      </c>
      <c r="AI310" t="s">
        <v>4105</v>
      </c>
      <c r="AR310">
        <v>1</v>
      </c>
    </row>
    <row r="311" spans="1:44" x14ac:dyDescent="0.25">
      <c r="A311" t="s">
        <v>31</v>
      </c>
      <c r="B311">
        <v>571</v>
      </c>
      <c r="C311">
        <v>194</v>
      </c>
      <c r="D311">
        <v>2546</v>
      </c>
      <c r="G311" t="s">
        <v>4107</v>
      </c>
      <c r="H311">
        <v>44580314000186</v>
      </c>
      <c r="I311" t="s">
        <v>3682</v>
      </c>
      <c r="J311" t="s">
        <v>3683</v>
      </c>
      <c r="K311" t="s">
        <v>3683</v>
      </c>
      <c r="L311" t="s">
        <v>3684</v>
      </c>
      <c r="N311" t="s">
        <v>3685</v>
      </c>
      <c r="P311" t="s">
        <v>3686</v>
      </c>
      <c r="Q311" t="s">
        <v>3687</v>
      </c>
      <c r="R311" t="s">
        <v>790</v>
      </c>
      <c r="U311" t="s">
        <v>319</v>
      </c>
      <c r="V311" t="s">
        <v>816</v>
      </c>
      <c r="X311">
        <v>7200</v>
      </c>
      <c r="Y311">
        <v>0</v>
      </c>
      <c r="AA311">
        <v>0</v>
      </c>
      <c r="AB311" s="31">
        <v>45903</v>
      </c>
      <c r="AC311" s="61">
        <v>0.6932638888888889</v>
      </c>
      <c r="AD311" t="s">
        <v>818</v>
      </c>
      <c r="AE311" s="31">
        <v>45903</v>
      </c>
      <c r="AF311" s="61">
        <v>0.7319444444444444</v>
      </c>
      <c r="AI311" t="s">
        <v>4105</v>
      </c>
      <c r="AJ311" t="s">
        <v>4105</v>
      </c>
      <c r="AR311">
        <v>1</v>
      </c>
    </row>
    <row r="312" spans="1:44" x14ac:dyDescent="0.25">
      <c r="A312" t="s">
        <v>31</v>
      </c>
      <c r="B312">
        <v>572</v>
      </c>
      <c r="C312">
        <v>137</v>
      </c>
      <c r="D312">
        <v>2548</v>
      </c>
      <c r="G312" t="s">
        <v>3701</v>
      </c>
      <c r="I312" t="s">
        <v>116</v>
      </c>
      <c r="J312" t="s">
        <v>704</v>
      </c>
      <c r="K312" t="s">
        <v>704</v>
      </c>
      <c r="L312" t="s">
        <v>3703</v>
      </c>
      <c r="N312" t="s">
        <v>3386</v>
      </c>
      <c r="P312" t="s">
        <v>778</v>
      </c>
      <c r="U312" t="s">
        <v>319</v>
      </c>
      <c r="V312" t="s">
        <v>816</v>
      </c>
      <c r="X312">
        <v>0</v>
      </c>
      <c r="Y312">
        <v>55241</v>
      </c>
      <c r="AA312">
        <v>21</v>
      </c>
      <c r="AB312" s="31">
        <v>45908</v>
      </c>
      <c r="AC312" s="61">
        <v>0.42853009259259262</v>
      </c>
      <c r="AD312" t="s">
        <v>795</v>
      </c>
      <c r="AE312" s="31">
        <v>45929</v>
      </c>
      <c r="AF312" s="61">
        <v>0.3904050925925926</v>
      </c>
      <c r="AG312" t="s">
        <v>1358</v>
      </c>
      <c r="AI312" t="s">
        <v>4108</v>
      </c>
      <c r="AJ312" t="s">
        <v>4108</v>
      </c>
      <c r="AR312">
        <v>1</v>
      </c>
    </row>
    <row r="313" spans="1:44" x14ac:dyDescent="0.25">
      <c r="A313" t="s">
        <v>31</v>
      </c>
      <c r="B313">
        <v>573</v>
      </c>
      <c r="C313">
        <v>85</v>
      </c>
      <c r="D313">
        <v>2550</v>
      </c>
      <c r="G313" t="s">
        <v>4109</v>
      </c>
      <c r="I313" t="s">
        <v>3261</v>
      </c>
      <c r="J313" t="s">
        <v>3971</v>
      </c>
      <c r="K313" t="s">
        <v>3971</v>
      </c>
      <c r="L313" t="s">
        <v>3972</v>
      </c>
      <c r="N313" t="s">
        <v>3263</v>
      </c>
      <c r="P313" t="s">
        <v>778</v>
      </c>
      <c r="Q313" t="s">
        <v>3264</v>
      </c>
      <c r="U313" t="s">
        <v>319</v>
      </c>
      <c r="V313" t="s">
        <v>3417</v>
      </c>
      <c r="X313">
        <v>3360</v>
      </c>
      <c r="Y313">
        <v>3564</v>
      </c>
      <c r="AA313">
        <v>4</v>
      </c>
      <c r="AB313" s="31">
        <v>45908</v>
      </c>
      <c r="AC313" s="61">
        <v>0.69795138888888886</v>
      </c>
      <c r="AD313" t="s">
        <v>795</v>
      </c>
      <c r="AE313" s="31">
        <v>45912</v>
      </c>
      <c r="AF313" s="61">
        <v>0.44373842592592588</v>
      </c>
      <c r="AG313" t="s">
        <v>974</v>
      </c>
      <c r="AI313" t="s">
        <v>4108</v>
      </c>
      <c r="AJ313" t="s">
        <v>4108</v>
      </c>
      <c r="AR313">
        <v>1</v>
      </c>
    </row>
    <row r="314" spans="1:44" x14ac:dyDescent="0.25">
      <c r="A314" t="s">
        <v>31</v>
      </c>
      <c r="B314">
        <v>574</v>
      </c>
      <c r="C314">
        <v>159</v>
      </c>
      <c r="D314">
        <v>823</v>
      </c>
      <c r="G314" t="s">
        <v>4110</v>
      </c>
      <c r="H314">
        <v>43526090000161</v>
      </c>
      <c r="I314" t="s">
        <v>913</v>
      </c>
      <c r="J314" t="s">
        <v>914</v>
      </c>
      <c r="K314" t="s">
        <v>914</v>
      </c>
      <c r="L314">
        <v>11972961489</v>
      </c>
      <c r="N314" t="s">
        <v>916</v>
      </c>
      <c r="P314" t="s">
        <v>778</v>
      </c>
      <c r="Q314" t="s">
        <v>909</v>
      </c>
      <c r="R314" t="s">
        <v>790</v>
      </c>
      <c r="U314" t="s">
        <v>319</v>
      </c>
      <c r="V314" t="s">
        <v>3417</v>
      </c>
      <c r="X314">
        <v>3360</v>
      </c>
      <c r="Y314">
        <v>3564</v>
      </c>
      <c r="AA314">
        <v>21</v>
      </c>
      <c r="AB314" s="31">
        <v>45909</v>
      </c>
      <c r="AC314" s="61">
        <v>0.62616898148148148</v>
      </c>
      <c r="AD314" t="s">
        <v>795</v>
      </c>
      <c r="AE314" s="31">
        <v>45930</v>
      </c>
      <c r="AF314" s="61">
        <v>0.38518518518518519</v>
      </c>
      <c r="AG314" t="s">
        <v>934</v>
      </c>
      <c r="AI314" t="s">
        <v>2209</v>
      </c>
      <c r="AJ314" t="s">
        <v>2209</v>
      </c>
      <c r="AR314">
        <v>1</v>
      </c>
    </row>
    <row r="315" spans="1:44" x14ac:dyDescent="0.25">
      <c r="A315" t="s">
        <v>31</v>
      </c>
      <c r="B315">
        <v>579</v>
      </c>
      <c r="C315">
        <v>208</v>
      </c>
      <c r="D315">
        <v>2552</v>
      </c>
      <c r="G315" t="s">
        <v>4111</v>
      </c>
      <c r="H315">
        <v>42830750000130</v>
      </c>
      <c r="I315" t="s">
        <v>3903</v>
      </c>
      <c r="J315" t="s">
        <v>4091</v>
      </c>
      <c r="K315" t="s">
        <v>4091</v>
      </c>
      <c r="L315" t="s">
        <v>3905</v>
      </c>
      <c r="N315" t="s">
        <v>4594</v>
      </c>
      <c r="P315" t="s">
        <v>3907</v>
      </c>
      <c r="Q315" t="s">
        <v>1094</v>
      </c>
      <c r="R315" t="s">
        <v>790</v>
      </c>
      <c r="U315" t="s">
        <v>319</v>
      </c>
      <c r="V315" t="s">
        <v>3606</v>
      </c>
      <c r="AA315">
        <v>0</v>
      </c>
      <c r="AB315" s="31">
        <v>45911</v>
      </c>
      <c r="AC315" s="61">
        <v>0.43406250000000002</v>
      </c>
      <c r="AD315" t="s">
        <v>795</v>
      </c>
      <c r="AE315" s="31">
        <v>45911</v>
      </c>
      <c r="AF315" s="61">
        <v>0.4347685185185185</v>
      </c>
      <c r="AG315" t="s">
        <v>796</v>
      </c>
      <c r="AJ315" t="s">
        <v>2107</v>
      </c>
      <c r="AR315">
        <v>1</v>
      </c>
    </row>
    <row r="316" spans="1:44" x14ac:dyDescent="0.25">
      <c r="A316" t="s">
        <v>31</v>
      </c>
      <c r="B316">
        <v>580</v>
      </c>
      <c r="C316">
        <v>174</v>
      </c>
      <c r="D316">
        <v>2553</v>
      </c>
      <c r="G316" t="s">
        <v>4112</v>
      </c>
      <c r="H316">
        <v>45238441000164</v>
      </c>
      <c r="I316" t="s">
        <v>3507</v>
      </c>
      <c r="J316" t="s">
        <v>3995</v>
      </c>
      <c r="K316" t="s">
        <v>3995</v>
      </c>
      <c r="L316" t="s">
        <v>3509</v>
      </c>
      <c r="M316">
        <v>11973359869</v>
      </c>
      <c r="N316" t="s">
        <v>3510</v>
      </c>
      <c r="P316" t="s">
        <v>3511</v>
      </c>
      <c r="Q316" t="s">
        <v>1094</v>
      </c>
      <c r="R316" t="s">
        <v>790</v>
      </c>
      <c r="U316" t="s">
        <v>319</v>
      </c>
      <c r="V316" t="s">
        <v>816</v>
      </c>
      <c r="X316">
        <v>8064</v>
      </c>
      <c r="Y316">
        <v>0</v>
      </c>
      <c r="AA316">
        <v>40</v>
      </c>
      <c r="AB316" s="31">
        <v>45911</v>
      </c>
      <c r="AC316" s="61">
        <v>0.43517361111111108</v>
      </c>
      <c r="AD316" t="s">
        <v>818</v>
      </c>
      <c r="AE316" s="31">
        <v>45951</v>
      </c>
      <c r="AF316" s="61">
        <v>0.44538194444444451</v>
      </c>
      <c r="AI316" t="s">
        <v>4113</v>
      </c>
      <c r="AJ316" t="s">
        <v>2107</v>
      </c>
      <c r="AR316">
        <v>1</v>
      </c>
    </row>
    <row r="317" spans="1:44" x14ac:dyDescent="0.25">
      <c r="A317" t="s">
        <v>31</v>
      </c>
      <c r="B317">
        <v>581</v>
      </c>
      <c r="C317">
        <v>150</v>
      </c>
      <c r="D317">
        <v>2554</v>
      </c>
      <c r="G317" t="s">
        <v>4114</v>
      </c>
      <c r="H317">
        <v>32258848000101</v>
      </c>
      <c r="I317" t="s">
        <v>3435</v>
      </c>
      <c r="J317" t="s">
        <v>1540</v>
      </c>
      <c r="K317" t="s">
        <v>1540</v>
      </c>
      <c r="L317" t="s">
        <v>3493</v>
      </c>
      <c r="N317" t="s">
        <v>3437</v>
      </c>
      <c r="P317" t="s">
        <v>778</v>
      </c>
      <c r="U317" t="s">
        <v>319</v>
      </c>
      <c r="V317" t="s">
        <v>816</v>
      </c>
      <c r="X317">
        <v>7560</v>
      </c>
      <c r="Y317">
        <v>0</v>
      </c>
      <c r="AA317">
        <v>1</v>
      </c>
      <c r="AB317" s="31">
        <v>45911</v>
      </c>
      <c r="AC317" s="61">
        <v>0.43752314814814808</v>
      </c>
      <c r="AD317" t="s">
        <v>818</v>
      </c>
      <c r="AE317" s="31">
        <v>45912</v>
      </c>
      <c r="AF317" s="61">
        <v>0.44337962962962962</v>
      </c>
      <c r="AI317" t="s">
        <v>2129</v>
      </c>
      <c r="AJ317" t="s">
        <v>2107</v>
      </c>
      <c r="AR317">
        <v>1</v>
      </c>
    </row>
    <row r="318" spans="1:44" x14ac:dyDescent="0.25">
      <c r="A318" t="s">
        <v>31</v>
      </c>
      <c r="B318">
        <v>584</v>
      </c>
      <c r="C318">
        <v>211</v>
      </c>
      <c r="D318">
        <v>2556</v>
      </c>
      <c r="G318" t="s">
        <v>4115</v>
      </c>
      <c r="H318">
        <v>5691820000190</v>
      </c>
      <c r="I318" t="s">
        <v>3912</v>
      </c>
      <c r="J318" t="s">
        <v>3431</v>
      </c>
      <c r="K318" t="s">
        <v>3431</v>
      </c>
      <c r="L318" t="s">
        <v>3913</v>
      </c>
      <c r="N318" t="s">
        <v>3914</v>
      </c>
      <c r="P318" t="s">
        <v>3915</v>
      </c>
      <c r="Q318" t="s">
        <v>1026</v>
      </c>
      <c r="R318" t="s">
        <v>1027</v>
      </c>
      <c r="U318" t="s">
        <v>319</v>
      </c>
      <c r="V318" t="s">
        <v>816</v>
      </c>
      <c r="X318">
        <v>630</v>
      </c>
      <c r="Y318">
        <v>0</v>
      </c>
      <c r="AA318">
        <v>1</v>
      </c>
      <c r="AB318" s="31">
        <v>45911</v>
      </c>
      <c r="AC318" s="61">
        <v>0.7147337962962963</v>
      </c>
      <c r="AD318" t="s">
        <v>818</v>
      </c>
      <c r="AE318" s="31">
        <v>45912</v>
      </c>
      <c r="AF318" s="61">
        <v>0.42611111111111111</v>
      </c>
      <c r="AI318" t="s">
        <v>4116</v>
      </c>
      <c r="AR318">
        <v>1</v>
      </c>
    </row>
    <row r="319" spans="1:44" x14ac:dyDescent="0.25">
      <c r="A319" t="s">
        <v>31</v>
      </c>
      <c r="B319">
        <v>586</v>
      </c>
      <c r="C319">
        <v>113</v>
      </c>
      <c r="D319">
        <v>2558</v>
      </c>
      <c r="G319" t="s">
        <v>4117</v>
      </c>
      <c r="H319">
        <v>5588978000130</v>
      </c>
      <c r="I319" t="s">
        <v>65</v>
      </c>
      <c r="J319" t="s">
        <v>4118</v>
      </c>
      <c r="K319" t="s">
        <v>4118</v>
      </c>
      <c r="L319" t="s">
        <v>3472</v>
      </c>
      <c r="N319" t="s">
        <v>3329</v>
      </c>
      <c r="P319" t="s">
        <v>778</v>
      </c>
      <c r="U319" t="s">
        <v>319</v>
      </c>
      <c r="V319" t="s">
        <v>3417</v>
      </c>
      <c r="X319">
        <v>1696</v>
      </c>
      <c r="Y319">
        <v>0</v>
      </c>
      <c r="AA319">
        <v>14</v>
      </c>
      <c r="AB319" s="31">
        <v>45912</v>
      </c>
      <c r="AC319" s="61">
        <v>0.71891203703703699</v>
      </c>
      <c r="AD319" t="s">
        <v>795</v>
      </c>
      <c r="AE319" s="31">
        <v>45926</v>
      </c>
      <c r="AF319" s="61">
        <v>0.70046296296296295</v>
      </c>
      <c r="AG319" t="s">
        <v>796</v>
      </c>
      <c r="AI319" t="s">
        <v>4116</v>
      </c>
      <c r="AR319">
        <v>1</v>
      </c>
    </row>
    <row r="320" spans="1:44" x14ac:dyDescent="0.25">
      <c r="A320" t="s">
        <v>31</v>
      </c>
      <c r="B320">
        <v>588</v>
      </c>
      <c r="C320">
        <v>133</v>
      </c>
      <c r="D320">
        <v>2560</v>
      </c>
      <c r="G320" t="s">
        <v>4119</v>
      </c>
      <c r="H320">
        <v>9517464000144</v>
      </c>
      <c r="I320" t="s">
        <v>625</v>
      </c>
      <c r="J320" t="s">
        <v>3899</v>
      </c>
      <c r="K320" t="s">
        <v>3899</v>
      </c>
      <c r="L320" t="s">
        <v>3584</v>
      </c>
      <c r="N320" t="s">
        <v>2207</v>
      </c>
      <c r="P320" t="s">
        <v>778</v>
      </c>
      <c r="U320" t="s">
        <v>319</v>
      </c>
      <c r="V320" t="s">
        <v>3417</v>
      </c>
      <c r="X320">
        <v>7200</v>
      </c>
      <c r="Y320">
        <v>0</v>
      </c>
      <c r="AA320">
        <v>10</v>
      </c>
      <c r="AB320" s="31">
        <v>45915</v>
      </c>
      <c r="AC320" s="61">
        <v>0.66822916666666665</v>
      </c>
      <c r="AD320" t="s">
        <v>795</v>
      </c>
      <c r="AE320" s="31">
        <v>45925</v>
      </c>
      <c r="AF320" s="61">
        <v>0.72099537037037043</v>
      </c>
      <c r="AG320" t="s">
        <v>3463</v>
      </c>
      <c r="AI320" t="s">
        <v>2133</v>
      </c>
      <c r="AR320">
        <v>1</v>
      </c>
    </row>
    <row r="321" spans="1:44" x14ac:dyDescent="0.25">
      <c r="A321" t="s">
        <v>31</v>
      </c>
      <c r="B321">
        <v>591</v>
      </c>
      <c r="C321">
        <v>76</v>
      </c>
      <c r="D321">
        <v>2562</v>
      </c>
      <c r="G321" t="s">
        <v>4120</v>
      </c>
      <c r="H321">
        <v>43372158000103</v>
      </c>
      <c r="I321" t="s">
        <v>225</v>
      </c>
      <c r="J321" t="s">
        <v>4121</v>
      </c>
      <c r="K321" t="s">
        <v>4121</v>
      </c>
      <c r="L321" t="s">
        <v>3623</v>
      </c>
      <c r="N321" t="s">
        <v>3233</v>
      </c>
      <c r="P321" t="s">
        <v>778</v>
      </c>
      <c r="Q321" t="s">
        <v>3234</v>
      </c>
      <c r="R321" t="s">
        <v>1699</v>
      </c>
      <c r="U321" t="s">
        <v>319</v>
      </c>
      <c r="V321" t="s">
        <v>816</v>
      </c>
      <c r="X321">
        <v>59632</v>
      </c>
      <c r="Y321">
        <v>0</v>
      </c>
      <c r="AA321">
        <v>15</v>
      </c>
      <c r="AB321" s="31">
        <v>45916</v>
      </c>
      <c r="AC321" s="61">
        <v>0.65560185185185182</v>
      </c>
      <c r="AD321" t="s">
        <v>818</v>
      </c>
      <c r="AE321" s="31">
        <v>45931</v>
      </c>
      <c r="AF321" s="61">
        <v>0.40254629629629629</v>
      </c>
      <c r="AI321" t="s">
        <v>2142</v>
      </c>
      <c r="AR321">
        <v>1</v>
      </c>
    </row>
    <row r="322" spans="1:44" x14ac:dyDescent="0.25">
      <c r="A322" t="s">
        <v>31</v>
      </c>
      <c r="B322">
        <v>592</v>
      </c>
      <c r="C322">
        <v>201</v>
      </c>
      <c r="D322">
        <v>2566</v>
      </c>
      <c r="G322" t="s">
        <v>4122</v>
      </c>
      <c r="H322">
        <v>5291214000188</v>
      </c>
      <c r="I322" t="s">
        <v>3770</v>
      </c>
      <c r="J322" t="s">
        <v>4123</v>
      </c>
      <c r="K322" t="s">
        <v>4123</v>
      </c>
      <c r="L322" t="s">
        <v>4124</v>
      </c>
      <c r="N322" t="s">
        <v>3772</v>
      </c>
      <c r="P322" t="s">
        <v>3773</v>
      </c>
      <c r="Q322" t="s">
        <v>3774</v>
      </c>
      <c r="R322" t="s">
        <v>1105</v>
      </c>
      <c r="U322" t="s">
        <v>319</v>
      </c>
      <c r="V322" t="s">
        <v>3417</v>
      </c>
      <c r="X322">
        <v>3600</v>
      </c>
      <c r="Y322">
        <v>0</v>
      </c>
      <c r="AA322">
        <v>12</v>
      </c>
      <c r="AB322" s="31">
        <v>45918</v>
      </c>
      <c r="AC322" s="61">
        <v>0.42675925925925928</v>
      </c>
      <c r="AD322" t="s">
        <v>795</v>
      </c>
      <c r="AE322" s="31">
        <v>45930</v>
      </c>
      <c r="AF322" s="61">
        <v>0.38418981481481479</v>
      </c>
      <c r="AG322" t="s">
        <v>934</v>
      </c>
      <c r="AI322" t="s">
        <v>4125</v>
      </c>
      <c r="AJ322" t="s">
        <v>4125</v>
      </c>
      <c r="AR322">
        <v>1</v>
      </c>
    </row>
    <row r="323" spans="1:44" x14ac:dyDescent="0.25">
      <c r="A323" t="s">
        <v>31</v>
      </c>
      <c r="B323">
        <v>593</v>
      </c>
      <c r="C323">
        <v>141</v>
      </c>
      <c r="D323">
        <v>2567</v>
      </c>
      <c r="G323" t="s">
        <v>4126</v>
      </c>
      <c r="I323" t="s">
        <v>434</v>
      </c>
      <c r="J323" t="s">
        <v>914</v>
      </c>
      <c r="K323" t="s">
        <v>914</v>
      </c>
      <c r="L323" t="s">
        <v>4127</v>
      </c>
      <c r="N323" t="s">
        <v>3396</v>
      </c>
      <c r="P323" t="s">
        <v>778</v>
      </c>
      <c r="U323" t="s">
        <v>319</v>
      </c>
      <c r="V323" t="s">
        <v>3417</v>
      </c>
      <c r="X323">
        <v>1600</v>
      </c>
      <c r="Y323">
        <v>513518</v>
      </c>
      <c r="AA323">
        <v>8</v>
      </c>
      <c r="AB323" s="31">
        <v>45918</v>
      </c>
      <c r="AC323" s="61">
        <v>0.43583333333333341</v>
      </c>
      <c r="AD323" t="s">
        <v>795</v>
      </c>
      <c r="AE323" s="31">
        <v>45926</v>
      </c>
      <c r="AF323" s="61">
        <v>0.40023148148148152</v>
      </c>
      <c r="AG323" t="s">
        <v>934</v>
      </c>
      <c r="AI323" t="s">
        <v>4125</v>
      </c>
      <c r="AR323">
        <v>1</v>
      </c>
    </row>
    <row r="324" spans="1:44" x14ac:dyDescent="0.25">
      <c r="A324" t="s">
        <v>31</v>
      </c>
      <c r="B324">
        <v>594</v>
      </c>
      <c r="C324">
        <v>196</v>
      </c>
      <c r="D324">
        <v>2568</v>
      </c>
      <c r="G324" t="s">
        <v>4128</v>
      </c>
      <c r="H324">
        <v>32494222000102</v>
      </c>
      <c r="I324" t="s">
        <v>3715</v>
      </c>
      <c r="J324" t="s">
        <v>3808</v>
      </c>
      <c r="K324" t="s">
        <v>3808</v>
      </c>
      <c r="L324" t="s">
        <v>3717</v>
      </c>
      <c r="N324" t="s">
        <v>3718</v>
      </c>
      <c r="P324" t="s">
        <v>3719</v>
      </c>
      <c r="Q324" t="s">
        <v>3720</v>
      </c>
      <c r="R324" t="s">
        <v>790</v>
      </c>
      <c r="U324" t="s">
        <v>319</v>
      </c>
      <c r="V324" t="s">
        <v>816</v>
      </c>
      <c r="X324">
        <v>2880</v>
      </c>
      <c r="Y324">
        <v>32074</v>
      </c>
      <c r="AA324">
        <v>49</v>
      </c>
      <c r="AB324" s="31">
        <v>45918</v>
      </c>
      <c r="AC324" s="61">
        <v>0.46307870370370369</v>
      </c>
      <c r="AD324" t="s">
        <v>818</v>
      </c>
      <c r="AE324" s="31">
        <v>45953</v>
      </c>
      <c r="AF324" s="61">
        <v>0.40722222222222221</v>
      </c>
      <c r="AH324">
        <v>0</v>
      </c>
      <c r="AI324" t="s">
        <v>4125</v>
      </c>
      <c r="AJ324" t="s">
        <v>4125</v>
      </c>
      <c r="AR324">
        <v>1</v>
      </c>
    </row>
    <row r="325" spans="1:44" x14ac:dyDescent="0.25">
      <c r="A325" t="s">
        <v>31</v>
      </c>
      <c r="B325">
        <v>595</v>
      </c>
      <c r="C325">
        <v>153</v>
      </c>
      <c r="D325">
        <v>2569</v>
      </c>
      <c r="G325" t="s">
        <v>4129</v>
      </c>
      <c r="I325" t="s">
        <v>3451</v>
      </c>
      <c r="J325" t="s">
        <v>3982</v>
      </c>
      <c r="K325" t="s">
        <v>3982</v>
      </c>
      <c r="L325" t="s">
        <v>3983</v>
      </c>
      <c r="N325" t="s">
        <v>3454</v>
      </c>
      <c r="P325" t="s">
        <v>778</v>
      </c>
      <c r="U325" t="s">
        <v>319</v>
      </c>
      <c r="V325" t="s">
        <v>816</v>
      </c>
      <c r="X325">
        <v>21000</v>
      </c>
      <c r="Y325">
        <v>57024</v>
      </c>
      <c r="AA325">
        <v>39</v>
      </c>
      <c r="AB325" s="31">
        <v>45918</v>
      </c>
      <c r="AC325" s="61">
        <v>0.62599537037037034</v>
      </c>
      <c r="AD325" t="s">
        <v>818</v>
      </c>
      <c r="AE325" s="31">
        <v>45957</v>
      </c>
      <c r="AF325" s="61">
        <v>0.69543981481481476</v>
      </c>
      <c r="AI325" t="s">
        <v>4125</v>
      </c>
      <c r="AJ325" t="s">
        <v>4125</v>
      </c>
      <c r="AR325">
        <v>1</v>
      </c>
    </row>
    <row r="326" spans="1:44" x14ac:dyDescent="0.25">
      <c r="A326" t="s">
        <v>31</v>
      </c>
      <c r="B326">
        <v>596</v>
      </c>
      <c r="C326">
        <v>190</v>
      </c>
      <c r="D326">
        <v>2570</v>
      </c>
      <c r="G326" t="s">
        <v>4130</v>
      </c>
      <c r="H326">
        <v>18203215000175</v>
      </c>
      <c r="I326" t="s">
        <v>3690</v>
      </c>
      <c r="J326" t="s">
        <v>4131</v>
      </c>
      <c r="K326" t="s">
        <v>4131</v>
      </c>
      <c r="L326" t="s">
        <v>3692</v>
      </c>
      <c r="N326" t="s">
        <v>3693</v>
      </c>
      <c r="P326" t="s">
        <v>3694</v>
      </c>
      <c r="Q326" t="s">
        <v>3695</v>
      </c>
      <c r="R326" t="s">
        <v>790</v>
      </c>
      <c r="U326" t="s">
        <v>319</v>
      </c>
      <c r="V326" t="s">
        <v>816</v>
      </c>
      <c r="X326">
        <v>4320</v>
      </c>
      <c r="Y326">
        <v>0</v>
      </c>
      <c r="AA326">
        <v>0</v>
      </c>
      <c r="AB326" s="31">
        <v>45919</v>
      </c>
      <c r="AC326" s="61">
        <v>0.45946759259259262</v>
      </c>
      <c r="AD326" t="s">
        <v>818</v>
      </c>
      <c r="AE326" s="31">
        <v>45919</v>
      </c>
      <c r="AF326" s="61">
        <v>0.7117013888888889</v>
      </c>
      <c r="AI326" t="s">
        <v>4132</v>
      </c>
      <c r="AR326">
        <v>1</v>
      </c>
    </row>
    <row r="327" spans="1:44" x14ac:dyDescent="0.25">
      <c r="A327" t="s">
        <v>31</v>
      </c>
      <c r="B327">
        <v>598</v>
      </c>
      <c r="C327">
        <v>183</v>
      </c>
      <c r="D327">
        <v>2577</v>
      </c>
      <c r="G327" t="s">
        <v>4133</v>
      </c>
      <c r="H327">
        <v>3204281000192</v>
      </c>
      <c r="I327" t="s">
        <v>3594</v>
      </c>
      <c r="J327" t="s">
        <v>3595</v>
      </c>
      <c r="K327" t="s">
        <v>3595</v>
      </c>
      <c r="L327" t="s">
        <v>3596</v>
      </c>
      <c r="N327" t="s">
        <v>2617</v>
      </c>
      <c r="P327" t="s">
        <v>3597</v>
      </c>
      <c r="Q327" t="s">
        <v>2618</v>
      </c>
      <c r="R327" t="s">
        <v>790</v>
      </c>
      <c r="U327" t="s">
        <v>319</v>
      </c>
      <c r="V327" t="s">
        <v>3417</v>
      </c>
      <c r="X327">
        <v>3360</v>
      </c>
      <c r="Y327">
        <v>7128</v>
      </c>
      <c r="AA327">
        <v>7</v>
      </c>
      <c r="AB327" s="31">
        <v>45923</v>
      </c>
      <c r="AC327" s="61">
        <v>0.45662037037037029</v>
      </c>
      <c r="AD327" t="s">
        <v>795</v>
      </c>
      <c r="AE327" s="31">
        <v>45930</v>
      </c>
      <c r="AF327" s="61">
        <v>0.38368055555555558</v>
      </c>
      <c r="AG327" t="s">
        <v>1358</v>
      </c>
      <c r="AI327" t="s">
        <v>2154</v>
      </c>
      <c r="AJ327" t="s">
        <v>2154</v>
      </c>
      <c r="AR327">
        <v>1</v>
      </c>
    </row>
    <row r="328" spans="1:44" x14ac:dyDescent="0.25">
      <c r="A328" t="s">
        <v>31</v>
      </c>
      <c r="B328">
        <v>599</v>
      </c>
      <c r="C328">
        <v>150</v>
      </c>
      <c r="D328">
        <v>2578</v>
      </c>
      <c r="G328" t="s">
        <v>4134</v>
      </c>
      <c r="H328">
        <v>32258848000101</v>
      </c>
      <c r="I328" t="s">
        <v>3435</v>
      </c>
      <c r="J328" t="s">
        <v>1540</v>
      </c>
      <c r="K328" t="s">
        <v>1540</v>
      </c>
      <c r="L328" t="s">
        <v>3493</v>
      </c>
      <c r="N328" t="s">
        <v>3437</v>
      </c>
      <c r="P328" t="s">
        <v>778</v>
      </c>
      <c r="U328" t="s">
        <v>319</v>
      </c>
      <c r="V328" t="s">
        <v>816</v>
      </c>
      <c r="X328">
        <v>1440</v>
      </c>
      <c r="Y328">
        <v>0</v>
      </c>
      <c r="AA328">
        <v>0</v>
      </c>
      <c r="AB328" s="31">
        <v>45923</v>
      </c>
      <c r="AC328" s="61">
        <v>0.50372685185185184</v>
      </c>
      <c r="AD328" t="s">
        <v>818</v>
      </c>
      <c r="AE328" s="31">
        <v>45923</v>
      </c>
      <c r="AF328" s="61">
        <v>0.50454861111111116</v>
      </c>
      <c r="AI328" t="s">
        <v>2154</v>
      </c>
      <c r="AR328">
        <v>1</v>
      </c>
    </row>
    <row r="329" spans="1:44" x14ac:dyDescent="0.25">
      <c r="A329" t="s">
        <v>31</v>
      </c>
      <c r="B329">
        <v>605</v>
      </c>
      <c r="C329">
        <v>197</v>
      </c>
      <c r="D329">
        <v>2588</v>
      </c>
      <c r="G329" t="s">
        <v>4135</v>
      </c>
      <c r="H329">
        <v>8616236000169</v>
      </c>
      <c r="I329" t="s">
        <v>3726</v>
      </c>
      <c r="J329" t="s">
        <v>704</v>
      </c>
      <c r="K329" t="s">
        <v>704</v>
      </c>
      <c r="L329" t="s">
        <v>3727</v>
      </c>
      <c r="N329" t="s">
        <v>3728</v>
      </c>
      <c r="P329" t="s">
        <v>3729</v>
      </c>
      <c r="Q329" t="s">
        <v>3687</v>
      </c>
      <c r="R329" t="s">
        <v>790</v>
      </c>
      <c r="U329" t="s">
        <v>319</v>
      </c>
      <c r="V329" t="s">
        <v>816</v>
      </c>
      <c r="X329">
        <v>0</v>
      </c>
      <c r="Y329">
        <v>3564</v>
      </c>
      <c r="AA329">
        <v>5</v>
      </c>
      <c r="AB329" s="31">
        <v>45925</v>
      </c>
      <c r="AC329" s="61">
        <v>0.64129629629629625</v>
      </c>
      <c r="AD329" t="s">
        <v>818</v>
      </c>
      <c r="AE329" s="31">
        <v>45930</v>
      </c>
      <c r="AF329" s="61">
        <v>0.69265046296296295</v>
      </c>
      <c r="AI329" t="s">
        <v>4136</v>
      </c>
      <c r="AJ329" t="s">
        <v>4136</v>
      </c>
      <c r="AR329">
        <v>1</v>
      </c>
    </row>
    <row r="330" spans="1:44" x14ac:dyDescent="0.25">
      <c r="A330" t="s">
        <v>31</v>
      </c>
      <c r="B330">
        <v>606</v>
      </c>
      <c r="C330">
        <v>196</v>
      </c>
      <c r="D330">
        <v>2589</v>
      </c>
      <c r="G330" t="s">
        <v>4137</v>
      </c>
      <c r="H330">
        <v>32494222000102</v>
      </c>
      <c r="I330" t="s">
        <v>3715</v>
      </c>
      <c r="J330" t="s">
        <v>3716</v>
      </c>
      <c r="K330" t="s">
        <v>3716</v>
      </c>
      <c r="L330" t="s">
        <v>3717</v>
      </c>
      <c r="N330" t="s">
        <v>3718</v>
      </c>
      <c r="P330" t="s">
        <v>3719</v>
      </c>
      <c r="Q330" t="s">
        <v>3720</v>
      </c>
      <c r="R330" t="s">
        <v>790</v>
      </c>
      <c r="U330" t="s">
        <v>319</v>
      </c>
      <c r="V330" t="s">
        <v>3417</v>
      </c>
      <c r="X330">
        <v>7200</v>
      </c>
      <c r="Y330">
        <v>0</v>
      </c>
      <c r="AA330">
        <v>28</v>
      </c>
      <c r="AB330" s="31">
        <v>45925</v>
      </c>
      <c r="AC330" s="61">
        <v>0.66199074074074071</v>
      </c>
      <c r="AD330" t="s">
        <v>795</v>
      </c>
      <c r="AE330" s="31">
        <v>45953</v>
      </c>
      <c r="AF330" s="61">
        <v>0.40660879629629632</v>
      </c>
      <c r="AG330" t="s">
        <v>3463</v>
      </c>
      <c r="AI330" t="s">
        <v>4136</v>
      </c>
      <c r="AJ330" t="s">
        <v>4136</v>
      </c>
      <c r="AR330">
        <v>1</v>
      </c>
    </row>
    <row r="331" spans="1:44" x14ac:dyDescent="0.25">
      <c r="A331" t="s">
        <v>31</v>
      </c>
      <c r="B331">
        <v>612</v>
      </c>
      <c r="C331">
        <v>179</v>
      </c>
      <c r="D331">
        <v>2599</v>
      </c>
      <c r="G331" t="s">
        <v>4138</v>
      </c>
      <c r="H331">
        <v>21736169000184</v>
      </c>
      <c r="I331" t="s">
        <v>3546</v>
      </c>
      <c r="J331" t="s">
        <v>1243</v>
      </c>
      <c r="K331" t="s">
        <v>1243</v>
      </c>
      <c r="L331" t="s">
        <v>3547</v>
      </c>
      <c r="N331" t="s">
        <v>3548</v>
      </c>
      <c r="P331" t="s">
        <v>3549</v>
      </c>
      <c r="Q331" t="s">
        <v>3550</v>
      </c>
      <c r="R331" t="s">
        <v>874</v>
      </c>
      <c r="U331" t="s">
        <v>319</v>
      </c>
      <c r="V331" t="s">
        <v>816</v>
      </c>
      <c r="X331">
        <v>5040</v>
      </c>
      <c r="Y331">
        <v>0</v>
      </c>
      <c r="AA331">
        <v>2</v>
      </c>
      <c r="AB331" s="31">
        <v>45929</v>
      </c>
      <c r="AC331" s="61">
        <v>0.44142361111111111</v>
      </c>
      <c r="AD331" t="s">
        <v>818</v>
      </c>
      <c r="AE331" s="31">
        <v>45931</v>
      </c>
      <c r="AF331" s="61">
        <v>0.42006944444444438</v>
      </c>
      <c r="AI331" t="s">
        <v>4139</v>
      </c>
      <c r="AR331">
        <v>1</v>
      </c>
    </row>
    <row r="332" spans="1:44" x14ac:dyDescent="0.25">
      <c r="A332" t="s">
        <v>31</v>
      </c>
      <c r="B332">
        <v>617</v>
      </c>
      <c r="C332">
        <v>132</v>
      </c>
      <c r="D332">
        <v>2608</v>
      </c>
      <c r="G332" t="s">
        <v>3587</v>
      </c>
      <c r="I332" t="s">
        <v>3373</v>
      </c>
      <c r="J332" t="s">
        <v>3588</v>
      </c>
      <c r="K332" t="s">
        <v>3588</v>
      </c>
      <c r="L332" t="s">
        <v>3553</v>
      </c>
      <c r="N332" t="s">
        <v>3375</v>
      </c>
      <c r="P332" t="s">
        <v>778</v>
      </c>
      <c r="U332" t="s">
        <v>319</v>
      </c>
      <c r="V332" t="s">
        <v>3417</v>
      </c>
      <c r="X332">
        <v>14677</v>
      </c>
      <c r="Y332">
        <v>0</v>
      </c>
      <c r="AA332">
        <v>23</v>
      </c>
      <c r="AB332" s="31">
        <v>45930</v>
      </c>
      <c r="AC332" s="61">
        <v>0.39962962962962961</v>
      </c>
      <c r="AD332" t="s">
        <v>795</v>
      </c>
      <c r="AE332" s="31">
        <v>45953</v>
      </c>
      <c r="AF332" s="61">
        <v>0.4246064814814815</v>
      </c>
      <c r="AG332" t="s">
        <v>934</v>
      </c>
      <c r="AI332" t="s">
        <v>4140</v>
      </c>
      <c r="AR332">
        <v>1</v>
      </c>
    </row>
    <row r="333" spans="1:44" x14ac:dyDescent="0.25">
      <c r="A333" t="s">
        <v>31</v>
      </c>
      <c r="B333">
        <v>625</v>
      </c>
      <c r="C333">
        <v>119</v>
      </c>
      <c r="D333">
        <v>2620</v>
      </c>
      <c r="G333" t="s">
        <v>4141</v>
      </c>
      <c r="H333">
        <v>60963378000112</v>
      </c>
      <c r="I333" t="s">
        <v>608</v>
      </c>
      <c r="J333" t="s">
        <v>844</v>
      </c>
      <c r="K333" t="s">
        <v>844</v>
      </c>
      <c r="L333" t="s">
        <v>3948</v>
      </c>
      <c r="N333" t="s">
        <v>3345</v>
      </c>
      <c r="P333" t="s">
        <v>778</v>
      </c>
      <c r="U333" t="s">
        <v>319</v>
      </c>
      <c r="V333" t="s">
        <v>3417</v>
      </c>
      <c r="X333">
        <v>0</v>
      </c>
      <c r="Y333">
        <v>220373</v>
      </c>
      <c r="AA333">
        <v>44</v>
      </c>
      <c r="AB333" s="31">
        <v>45931</v>
      </c>
      <c r="AC333" s="61">
        <v>0.60418981481481482</v>
      </c>
      <c r="AD333" t="s">
        <v>795</v>
      </c>
      <c r="AE333" s="31">
        <v>45975</v>
      </c>
      <c r="AF333" s="61">
        <v>0.5134143518518518</v>
      </c>
      <c r="AG333" t="s">
        <v>3463</v>
      </c>
      <c r="AI333" t="s">
        <v>4142</v>
      </c>
      <c r="AR333">
        <v>1</v>
      </c>
    </row>
    <row r="334" spans="1:44" x14ac:dyDescent="0.25">
      <c r="A334" t="s">
        <v>31</v>
      </c>
      <c r="B334">
        <v>626</v>
      </c>
      <c r="C334">
        <v>150</v>
      </c>
      <c r="D334">
        <v>2621</v>
      </c>
      <c r="G334" t="s">
        <v>4143</v>
      </c>
      <c r="H334">
        <v>32258848000101</v>
      </c>
      <c r="I334" t="s">
        <v>3435</v>
      </c>
      <c r="J334" t="s">
        <v>1540</v>
      </c>
      <c r="K334" t="s">
        <v>1540</v>
      </c>
      <c r="L334" t="s">
        <v>3493</v>
      </c>
      <c r="N334" t="s">
        <v>3437</v>
      </c>
      <c r="P334" t="s">
        <v>778</v>
      </c>
      <c r="U334" t="s">
        <v>319</v>
      </c>
      <c r="V334" t="s">
        <v>816</v>
      </c>
      <c r="X334">
        <v>0</v>
      </c>
      <c r="Y334">
        <v>28512</v>
      </c>
      <c r="AA334">
        <v>20</v>
      </c>
      <c r="AB334" s="31">
        <v>45931</v>
      </c>
      <c r="AC334" s="61">
        <v>0.67376157407407411</v>
      </c>
      <c r="AD334" t="s">
        <v>818</v>
      </c>
      <c r="AE334" s="31">
        <v>45951</v>
      </c>
      <c r="AF334" s="61">
        <v>0.41662037037037042</v>
      </c>
      <c r="AI334" t="s">
        <v>4142</v>
      </c>
      <c r="AJ334" t="s">
        <v>4142</v>
      </c>
      <c r="AR334">
        <v>1</v>
      </c>
    </row>
    <row r="335" spans="1:44" x14ac:dyDescent="0.25">
      <c r="A335" t="s">
        <v>31</v>
      </c>
      <c r="B335">
        <v>627</v>
      </c>
      <c r="C335">
        <v>189</v>
      </c>
      <c r="D335">
        <v>2623</v>
      </c>
      <c r="G335" t="s">
        <v>4144</v>
      </c>
      <c r="H335">
        <v>10698565000148</v>
      </c>
      <c r="I335" t="s">
        <v>4145</v>
      </c>
      <c r="J335" t="s">
        <v>4146</v>
      </c>
      <c r="K335" t="s">
        <v>4146</v>
      </c>
      <c r="L335" t="s">
        <v>4147</v>
      </c>
      <c r="P335" t="s">
        <v>4148</v>
      </c>
      <c r="Q335" t="s">
        <v>4149</v>
      </c>
      <c r="R335" t="s">
        <v>4150</v>
      </c>
      <c r="U335" t="s">
        <v>319</v>
      </c>
      <c r="V335" t="s">
        <v>816</v>
      </c>
      <c r="X335">
        <v>700</v>
      </c>
      <c r="Y335">
        <v>0</v>
      </c>
      <c r="AA335">
        <v>5</v>
      </c>
      <c r="AB335" s="31">
        <v>45932</v>
      </c>
      <c r="AC335" s="61">
        <v>0.64900462962962968</v>
      </c>
      <c r="AD335" t="s">
        <v>818</v>
      </c>
      <c r="AE335" s="31">
        <v>45937</v>
      </c>
      <c r="AF335" s="61">
        <v>0.65004629629629629</v>
      </c>
      <c r="AI335" t="s">
        <v>4151</v>
      </c>
      <c r="AR335">
        <v>1</v>
      </c>
    </row>
    <row r="336" spans="1:44" x14ac:dyDescent="0.25">
      <c r="A336" t="s">
        <v>31</v>
      </c>
      <c r="B336">
        <v>629</v>
      </c>
      <c r="C336">
        <v>184</v>
      </c>
      <c r="D336">
        <v>2624</v>
      </c>
      <c r="G336" t="s">
        <v>453</v>
      </c>
      <c r="H336">
        <v>11861121000144</v>
      </c>
      <c r="I336" t="s">
        <v>3877</v>
      </c>
      <c r="J336" t="s">
        <v>4152</v>
      </c>
      <c r="K336" t="s">
        <v>4152</v>
      </c>
      <c r="L336" t="s">
        <v>3879</v>
      </c>
      <c r="N336" t="s">
        <v>3880</v>
      </c>
      <c r="P336" t="s">
        <v>3881</v>
      </c>
      <c r="Q336" t="s">
        <v>1094</v>
      </c>
      <c r="R336" t="s">
        <v>790</v>
      </c>
      <c r="U336" t="s">
        <v>319</v>
      </c>
      <c r="V336" t="s">
        <v>3417</v>
      </c>
      <c r="X336">
        <v>16200</v>
      </c>
      <c r="Y336">
        <v>2160</v>
      </c>
      <c r="AA336">
        <v>17</v>
      </c>
      <c r="AB336" s="31">
        <v>45933</v>
      </c>
      <c r="AC336" s="61">
        <v>0.61473379629629632</v>
      </c>
      <c r="AD336" t="s">
        <v>795</v>
      </c>
      <c r="AE336" s="31">
        <v>45950</v>
      </c>
      <c r="AF336" s="61">
        <v>0.46638888888888891</v>
      </c>
      <c r="AG336" t="s">
        <v>3463</v>
      </c>
      <c r="AI336" t="s">
        <v>4153</v>
      </c>
      <c r="AJ336" t="s">
        <v>4153</v>
      </c>
      <c r="AR336">
        <v>1</v>
      </c>
    </row>
    <row r="337" spans="1:44" x14ac:dyDescent="0.25">
      <c r="A337" t="s">
        <v>31</v>
      </c>
      <c r="B337">
        <v>630</v>
      </c>
      <c r="C337">
        <v>159</v>
      </c>
      <c r="D337">
        <v>2625</v>
      </c>
      <c r="G337" t="s">
        <v>4154</v>
      </c>
      <c r="H337">
        <v>43526090000161</v>
      </c>
      <c r="I337" t="s">
        <v>913</v>
      </c>
      <c r="J337" t="s">
        <v>4067</v>
      </c>
      <c r="K337" t="s">
        <v>4067</v>
      </c>
      <c r="L337" t="s">
        <v>4155</v>
      </c>
      <c r="N337" t="s">
        <v>916</v>
      </c>
      <c r="P337" t="s">
        <v>778</v>
      </c>
      <c r="Q337" t="s">
        <v>909</v>
      </c>
      <c r="R337" t="s">
        <v>790</v>
      </c>
      <c r="U337" t="s">
        <v>319</v>
      </c>
      <c r="V337" t="s">
        <v>3417</v>
      </c>
      <c r="X337">
        <v>420</v>
      </c>
      <c r="Y337">
        <v>3564</v>
      </c>
      <c r="AA337">
        <v>26</v>
      </c>
      <c r="AB337" s="31">
        <v>45933</v>
      </c>
      <c r="AC337" s="61">
        <v>0.67500000000000004</v>
      </c>
      <c r="AD337" t="s">
        <v>795</v>
      </c>
      <c r="AE337" s="31">
        <v>45959</v>
      </c>
      <c r="AF337" s="61">
        <v>0.44155092592592587</v>
      </c>
      <c r="AG337" t="s">
        <v>3463</v>
      </c>
      <c r="AI337" t="s">
        <v>4153</v>
      </c>
      <c r="AJ337" t="s">
        <v>4153</v>
      </c>
      <c r="AR337">
        <v>1</v>
      </c>
    </row>
    <row r="338" spans="1:44" x14ac:dyDescent="0.25">
      <c r="A338" t="s">
        <v>31</v>
      </c>
      <c r="B338">
        <v>631</v>
      </c>
      <c r="C338">
        <v>204</v>
      </c>
      <c r="D338">
        <v>2626</v>
      </c>
      <c r="G338" t="s">
        <v>4156</v>
      </c>
      <c r="H338">
        <v>33071847000116</v>
      </c>
      <c r="I338" t="s">
        <v>3811</v>
      </c>
      <c r="J338" t="s">
        <v>4157</v>
      </c>
      <c r="K338" t="s">
        <v>4157</v>
      </c>
      <c r="L338" t="s">
        <v>3813</v>
      </c>
      <c r="N338" t="s">
        <v>3814</v>
      </c>
      <c r="P338" t="s">
        <v>3815</v>
      </c>
      <c r="Q338" t="s">
        <v>2589</v>
      </c>
      <c r="R338" t="s">
        <v>790</v>
      </c>
      <c r="T338" t="s">
        <v>1419</v>
      </c>
      <c r="U338" t="s">
        <v>319</v>
      </c>
      <c r="V338" t="s">
        <v>3417</v>
      </c>
      <c r="X338">
        <v>29400</v>
      </c>
      <c r="Y338">
        <v>57024</v>
      </c>
      <c r="AA338">
        <v>101</v>
      </c>
      <c r="AB338" s="31">
        <v>45933</v>
      </c>
      <c r="AC338" s="61">
        <v>0.71627314814814813</v>
      </c>
      <c r="AD338" t="s">
        <v>795</v>
      </c>
      <c r="AE338" s="31">
        <v>46034</v>
      </c>
      <c r="AF338" s="61">
        <v>0.49495370370370367</v>
      </c>
      <c r="AG338" t="s">
        <v>934</v>
      </c>
      <c r="AI338" t="s">
        <v>4158</v>
      </c>
      <c r="AJ338" t="s">
        <v>2251</v>
      </c>
      <c r="AL338" t="s">
        <v>4159</v>
      </c>
      <c r="AR338">
        <v>1</v>
      </c>
    </row>
    <row r="339" spans="1:44" x14ac:dyDescent="0.25">
      <c r="A339" t="s">
        <v>31</v>
      </c>
      <c r="B339">
        <v>632</v>
      </c>
      <c r="D339">
        <v>2627</v>
      </c>
      <c r="G339" t="s">
        <v>4160</v>
      </c>
      <c r="H339">
        <v>8636039000101</v>
      </c>
      <c r="J339" t="s">
        <v>4161</v>
      </c>
      <c r="K339" t="s">
        <v>4161</v>
      </c>
      <c r="L339" t="s">
        <v>4162</v>
      </c>
      <c r="N339" t="s">
        <v>4163</v>
      </c>
      <c r="P339" t="s">
        <v>778</v>
      </c>
      <c r="U339" t="s">
        <v>319</v>
      </c>
      <c r="V339" t="s">
        <v>781</v>
      </c>
      <c r="AA339">
        <v>35</v>
      </c>
      <c r="AB339" s="31">
        <v>45936</v>
      </c>
      <c r="AC339" s="61">
        <v>0.49776620370370372</v>
      </c>
      <c r="AD339" t="s">
        <v>795</v>
      </c>
      <c r="AE339" s="31">
        <v>45971</v>
      </c>
      <c r="AF339" s="61">
        <v>0.67709490740740741</v>
      </c>
      <c r="AG339" t="s">
        <v>796</v>
      </c>
      <c r="AR339">
        <v>1</v>
      </c>
    </row>
    <row r="340" spans="1:44" x14ac:dyDescent="0.25">
      <c r="A340" t="s">
        <v>31</v>
      </c>
      <c r="B340">
        <v>633</v>
      </c>
      <c r="C340">
        <v>96</v>
      </c>
      <c r="D340">
        <v>2628</v>
      </c>
      <c r="G340" t="s">
        <v>4164</v>
      </c>
      <c r="H340">
        <v>44075830000153</v>
      </c>
      <c r="I340" t="s">
        <v>3291</v>
      </c>
      <c r="J340" t="s">
        <v>704</v>
      </c>
      <c r="K340" t="s">
        <v>704</v>
      </c>
      <c r="L340" t="s">
        <v>3672</v>
      </c>
      <c r="N340" t="s">
        <v>3293</v>
      </c>
      <c r="P340" t="s">
        <v>778</v>
      </c>
      <c r="U340" t="s">
        <v>319</v>
      </c>
      <c r="V340" t="s">
        <v>816</v>
      </c>
      <c r="X340">
        <v>1440</v>
      </c>
      <c r="Y340">
        <v>0</v>
      </c>
      <c r="AA340">
        <v>0</v>
      </c>
      <c r="AB340" s="31">
        <v>45936</v>
      </c>
      <c r="AC340" s="61">
        <v>0.64180555555555552</v>
      </c>
      <c r="AD340" t="s">
        <v>818</v>
      </c>
      <c r="AE340" s="31">
        <v>45936</v>
      </c>
      <c r="AF340" s="61">
        <v>0.64354166666666668</v>
      </c>
      <c r="AI340" t="s">
        <v>4165</v>
      </c>
      <c r="AR340">
        <v>1</v>
      </c>
    </row>
    <row r="341" spans="1:44" x14ac:dyDescent="0.25">
      <c r="A341" t="s">
        <v>31</v>
      </c>
      <c r="B341">
        <v>635</v>
      </c>
      <c r="D341">
        <v>2634</v>
      </c>
      <c r="E341" t="s">
        <v>4595</v>
      </c>
      <c r="G341" t="s">
        <v>4596</v>
      </c>
      <c r="H341">
        <v>21922850000117</v>
      </c>
      <c r="J341" t="s">
        <v>4169</v>
      </c>
      <c r="K341" t="s">
        <v>4169</v>
      </c>
      <c r="L341" t="s">
        <v>4597</v>
      </c>
      <c r="P341" t="s">
        <v>778</v>
      </c>
      <c r="T341" t="s">
        <v>1718</v>
      </c>
      <c r="U341" t="s">
        <v>319</v>
      </c>
      <c r="V341" t="s">
        <v>3417</v>
      </c>
      <c r="X341">
        <v>3360</v>
      </c>
      <c r="Y341">
        <v>7128</v>
      </c>
      <c r="AA341">
        <v>101</v>
      </c>
      <c r="AB341" s="31">
        <v>45940</v>
      </c>
      <c r="AC341" s="61">
        <v>0.43915509259259261</v>
      </c>
      <c r="AD341" t="s">
        <v>795</v>
      </c>
      <c r="AE341" s="31">
        <v>46041</v>
      </c>
      <c r="AF341" s="61">
        <v>0.45721064814814821</v>
      </c>
      <c r="AG341" t="s">
        <v>1358</v>
      </c>
      <c r="AI341" t="s">
        <v>2273</v>
      </c>
      <c r="AJ341" t="s">
        <v>2273</v>
      </c>
      <c r="AL341" t="s">
        <v>2590</v>
      </c>
      <c r="AR341">
        <v>1</v>
      </c>
    </row>
    <row r="342" spans="1:44" x14ac:dyDescent="0.25">
      <c r="A342" t="s">
        <v>31</v>
      </c>
      <c r="B342">
        <v>636</v>
      </c>
      <c r="C342">
        <v>187</v>
      </c>
      <c r="D342">
        <v>2638</v>
      </c>
      <c r="G342" t="s">
        <v>4173</v>
      </c>
      <c r="H342">
        <v>17063632000105</v>
      </c>
      <c r="I342" t="s">
        <v>3631</v>
      </c>
      <c r="J342" t="s">
        <v>4174</v>
      </c>
      <c r="K342" t="s">
        <v>4174</v>
      </c>
      <c r="L342" t="s">
        <v>3633</v>
      </c>
      <c r="N342" t="s">
        <v>3634</v>
      </c>
      <c r="P342" t="s">
        <v>3635</v>
      </c>
      <c r="Q342" t="s">
        <v>3636</v>
      </c>
      <c r="R342" t="s">
        <v>1699</v>
      </c>
      <c r="U342" t="s">
        <v>319</v>
      </c>
      <c r="V342" t="s">
        <v>3417</v>
      </c>
      <c r="X342">
        <v>3360</v>
      </c>
      <c r="Y342">
        <v>3564</v>
      </c>
      <c r="AA342">
        <v>53</v>
      </c>
      <c r="AB342" s="31">
        <v>45940</v>
      </c>
      <c r="AC342" s="61">
        <v>0.4409837962962963</v>
      </c>
      <c r="AD342" t="s">
        <v>795</v>
      </c>
      <c r="AE342" s="31">
        <v>45993</v>
      </c>
      <c r="AF342" s="61">
        <v>0.39199074074074081</v>
      </c>
      <c r="AG342" t="s">
        <v>934</v>
      </c>
      <c r="AI342" t="s">
        <v>4175</v>
      </c>
      <c r="AJ342" t="s">
        <v>4175</v>
      </c>
      <c r="AR342">
        <v>1</v>
      </c>
    </row>
    <row r="343" spans="1:44" x14ac:dyDescent="0.25">
      <c r="A343" t="s">
        <v>31</v>
      </c>
      <c r="B343">
        <v>637</v>
      </c>
      <c r="C343">
        <v>89</v>
      </c>
      <c r="D343">
        <v>2639</v>
      </c>
      <c r="G343" t="s">
        <v>4176</v>
      </c>
      <c r="I343" t="s">
        <v>3275</v>
      </c>
      <c r="J343" t="s">
        <v>4177</v>
      </c>
      <c r="K343" t="s">
        <v>4177</v>
      </c>
      <c r="L343" t="s">
        <v>4178</v>
      </c>
      <c r="N343" t="s">
        <v>3277</v>
      </c>
      <c r="P343" t="s">
        <v>778</v>
      </c>
      <c r="U343" t="s">
        <v>319</v>
      </c>
      <c r="V343" t="s">
        <v>3417</v>
      </c>
      <c r="AA343">
        <v>19</v>
      </c>
      <c r="AB343" s="31">
        <v>45940</v>
      </c>
      <c r="AC343" s="61">
        <v>0.44233796296296302</v>
      </c>
      <c r="AD343" t="s">
        <v>795</v>
      </c>
      <c r="AE343" s="31">
        <v>45959</v>
      </c>
      <c r="AF343" s="61">
        <v>0.44339120370370372</v>
      </c>
      <c r="AG343" t="s">
        <v>3463</v>
      </c>
      <c r="AI343" t="s">
        <v>4175</v>
      </c>
      <c r="AR343">
        <v>1</v>
      </c>
    </row>
    <row r="344" spans="1:44" x14ac:dyDescent="0.25">
      <c r="A344" t="s">
        <v>31</v>
      </c>
      <c r="B344">
        <v>646</v>
      </c>
      <c r="C344">
        <v>0</v>
      </c>
      <c r="D344">
        <v>2658</v>
      </c>
      <c r="G344" t="s">
        <v>4179</v>
      </c>
      <c r="H344">
        <v>55585815000171</v>
      </c>
      <c r="J344" t="s">
        <v>4180</v>
      </c>
      <c r="K344" t="s">
        <v>4180</v>
      </c>
      <c r="L344" t="s">
        <v>4181</v>
      </c>
      <c r="N344" t="s">
        <v>4182</v>
      </c>
      <c r="P344" t="s">
        <v>778</v>
      </c>
      <c r="U344" t="s">
        <v>319</v>
      </c>
      <c r="V344" t="s">
        <v>816</v>
      </c>
      <c r="X344">
        <v>378</v>
      </c>
      <c r="Y344">
        <v>3564</v>
      </c>
      <c r="AA344">
        <v>25</v>
      </c>
      <c r="AB344" s="31">
        <v>45947</v>
      </c>
      <c r="AC344" s="61">
        <v>0.45363425925925932</v>
      </c>
      <c r="AD344" t="s">
        <v>818</v>
      </c>
      <c r="AE344" s="31">
        <v>45972</v>
      </c>
      <c r="AF344" s="61">
        <v>0.50258101851851855</v>
      </c>
      <c r="AI344" t="s">
        <v>2008</v>
      </c>
      <c r="AJ344" t="s">
        <v>4183</v>
      </c>
      <c r="AR344">
        <v>1</v>
      </c>
    </row>
    <row r="345" spans="1:44" x14ac:dyDescent="0.25">
      <c r="A345" t="s">
        <v>31</v>
      </c>
      <c r="B345">
        <v>647</v>
      </c>
      <c r="C345">
        <v>206</v>
      </c>
      <c r="D345">
        <v>2662</v>
      </c>
      <c r="G345" t="s">
        <v>4184</v>
      </c>
      <c r="H345">
        <v>37075503000136</v>
      </c>
      <c r="I345" t="s">
        <v>3826</v>
      </c>
      <c r="J345" t="s">
        <v>1474</v>
      </c>
      <c r="K345" t="s">
        <v>1474</v>
      </c>
      <c r="L345" t="s">
        <v>1475</v>
      </c>
      <c r="N345" t="s">
        <v>1476</v>
      </c>
      <c r="P345" t="s">
        <v>3827</v>
      </c>
      <c r="Q345" t="s">
        <v>1477</v>
      </c>
      <c r="R345" t="s">
        <v>932</v>
      </c>
      <c r="U345" t="s">
        <v>319</v>
      </c>
      <c r="V345" t="s">
        <v>3417</v>
      </c>
      <c r="X345">
        <v>0</v>
      </c>
      <c r="Y345">
        <v>210</v>
      </c>
      <c r="AA345">
        <v>21</v>
      </c>
      <c r="AB345" s="31">
        <v>45950</v>
      </c>
      <c r="AC345" s="61">
        <v>0.42215277777777782</v>
      </c>
      <c r="AD345" t="s">
        <v>795</v>
      </c>
      <c r="AE345" s="31">
        <v>45971</v>
      </c>
      <c r="AF345" s="61">
        <v>0.67648148148148146</v>
      </c>
      <c r="AG345" t="s">
        <v>934</v>
      </c>
      <c r="AI345" t="s">
        <v>4185</v>
      </c>
      <c r="AJ345" t="s">
        <v>4185</v>
      </c>
      <c r="AR345">
        <v>1</v>
      </c>
    </row>
    <row r="346" spans="1:44" x14ac:dyDescent="0.25">
      <c r="A346" t="s">
        <v>31</v>
      </c>
      <c r="B346">
        <v>648</v>
      </c>
      <c r="C346">
        <v>206</v>
      </c>
      <c r="D346">
        <v>2663</v>
      </c>
      <c r="G346" t="s">
        <v>4186</v>
      </c>
      <c r="H346">
        <v>37075503000136</v>
      </c>
      <c r="I346" t="s">
        <v>3826</v>
      </c>
      <c r="J346" t="s">
        <v>1474</v>
      </c>
      <c r="K346" t="s">
        <v>1474</v>
      </c>
      <c r="L346" t="s">
        <v>1475</v>
      </c>
      <c r="N346" t="s">
        <v>1476</v>
      </c>
      <c r="P346" t="s">
        <v>3827</v>
      </c>
      <c r="Q346" t="s">
        <v>1477</v>
      </c>
      <c r="R346" t="s">
        <v>932</v>
      </c>
      <c r="U346" t="s">
        <v>319</v>
      </c>
      <c r="V346" t="s">
        <v>3417</v>
      </c>
      <c r="X346">
        <v>26200</v>
      </c>
      <c r="Y346">
        <v>3400</v>
      </c>
      <c r="AA346">
        <v>21</v>
      </c>
      <c r="AB346" s="31">
        <v>45950</v>
      </c>
      <c r="AC346" s="61">
        <v>0.42942129629629627</v>
      </c>
      <c r="AD346" t="s">
        <v>795</v>
      </c>
      <c r="AE346" s="31">
        <v>45971</v>
      </c>
      <c r="AF346" s="61">
        <v>0.67660879629629633</v>
      </c>
      <c r="AG346" t="s">
        <v>934</v>
      </c>
      <c r="AI346" t="s">
        <v>4185</v>
      </c>
      <c r="AJ346" t="s">
        <v>4185</v>
      </c>
      <c r="AR346">
        <v>1</v>
      </c>
    </row>
    <row r="347" spans="1:44" x14ac:dyDescent="0.25">
      <c r="A347" t="s">
        <v>31</v>
      </c>
      <c r="B347">
        <v>649</v>
      </c>
      <c r="C347">
        <v>124</v>
      </c>
      <c r="D347">
        <v>2664</v>
      </c>
      <c r="G347" t="s">
        <v>4187</v>
      </c>
      <c r="H347">
        <v>12121089000123</v>
      </c>
      <c r="I347" t="s">
        <v>3354</v>
      </c>
      <c r="J347" t="s">
        <v>4188</v>
      </c>
      <c r="K347" t="s">
        <v>4188</v>
      </c>
      <c r="N347" t="s">
        <v>3355</v>
      </c>
      <c r="P347" t="s">
        <v>778</v>
      </c>
      <c r="U347" t="s">
        <v>319</v>
      </c>
      <c r="V347" t="s">
        <v>3417</v>
      </c>
      <c r="X347">
        <v>8400</v>
      </c>
      <c r="Y347">
        <v>0</v>
      </c>
      <c r="AA347">
        <v>37</v>
      </c>
      <c r="AB347" s="31">
        <v>45950</v>
      </c>
      <c r="AC347" s="61">
        <v>0.47859953703703711</v>
      </c>
      <c r="AD347" t="s">
        <v>795</v>
      </c>
      <c r="AE347" s="31">
        <v>45987</v>
      </c>
      <c r="AF347" s="61">
        <v>0.505</v>
      </c>
      <c r="AG347" t="s">
        <v>796</v>
      </c>
      <c r="AI347" t="s">
        <v>4185</v>
      </c>
      <c r="AJ347" t="s">
        <v>2223</v>
      </c>
      <c r="AR347">
        <v>1</v>
      </c>
    </row>
    <row r="348" spans="1:44" x14ac:dyDescent="0.25">
      <c r="A348" t="s">
        <v>31</v>
      </c>
      <c r="B348">
        <v>650</v>
      </c>
      <c r="C348">
        <v>128</v>
      </c>
      <c r="D348">
        <v>2665</v>
      </c>
      <c r="G348" t="s">
        <v>4189</v>
      </c>
      <c r="H348">
        <v>8530284000130</v>
      </c>
      <c r="I348" t="s">
        <v>3363</v>
      </c>
      <c r="J348" t="s">
        <v>4190</v>
      </c>
      <c r="K348" t="s">
        <v>4190</v>
      </c>
      <c r="N348" t="s">
        <v>3364</v>
      </c>
      <c r="P348" t="s">
        <v>778</v>
      </c>
      <c r="U348" t="s">
        <v>319</v>
      </c>
      <c r="V348" t="s">
        <v>3417</v>
      </c>
      <c r="X348">
        <v>3360</v>
      </c>
      <c r="Y348">
        <v>7128</v>
      </c>
      <c r="AA348">
        <v>18</v>
      </c>
      <c r="AB348" s="31">
        <v>45950</v>
      </c>
      <c r="AC348" s="61">
        <v>0.52028935185185188</v>
      </c>
      <c r="AD348" t="s">
        <v>795</v>
      </c>
      <c r="AE348" s="31">
        <v>45968</v>
      </c>
      <c r="AF348" s="61">
        <v>0.41829861111111111</v>
      </c>
      <c r="AG348" t="s">
        <v>3463</v>
      </c>
      <c r="AI348" t="s">
        <v>4185</v>
      </c>
      <c r="AJ348" t="s">
        <v>4185</v>
      </c>
      <c r="AR348">
        <v>1</v>
      </c>
    </row>
    <row r="349" spans="1:44" x14ac:dyDescent="0.25">
      <c r="A349" t="s">
        <v>31</v>
      </c>
      <c r="B349">
        <v>651</v>
      </c>
      <c r="D349">
        <v>2666</v>
      </c>
      <c r="G349" t="s">
        <v>4191</v>
      </c>
      <c r="H349">
        <v>49119936000125</v>
      </c>
      <c r="J349" t="s">
        <v>4192</v>
      </c>
      <c r="K349" t="s">
        <v>4192</v>
      </c>
      <c r="L349" t="s">
        <v>4193</v>
      </c>
      <c r="N349" t="s">
        <v>4096</v>
      </c>
      <c r="P349" t="s">
        <v>778</v>
      </c>
      <c r="U349" t="s">
        <v>319</v>
      </c>
      <c r="V349" t="s">
        <v>3417</v>
      </c>
      <c r="X349">
        <v>0</v>
      </c>
      <c r="Y349">
        <v>2574</v>
      </c>
      <c r="AA349">
        <v>37</v>
      </c>
      <c r="AB349" s="31">
        <v>45950</v>
      </c>
      <c r="AC349" s="61">
        <v>0.73157407407407404</v>
      </c>
      <c r="AD349" t="s">
        <v>795</v>
      </c>
      <c r="AE349" s="31">
        <v>45987</v>
      </c>
      <c r="AF349" s="61">
        <v>0.49932870370370369</v>
      </c>
      <c r="AG349" t="s">
        <v>796</v>
      </c>
      <c r="AI349" t="s">
        <v>4185</v>
      </c>
      <c r="AJ349" t="s">
        <v>4185</v>
      </c>
      <c r="AR349">
        <v>1</v>
      </c>
    </row>
    <row r="350" spans="1:44" x14ac:dyDescent="0.25">
      <c r="A350" t="s">
        <v>31</v>
      </c>
      <c r="B350">
        <v>652</v>
      </c>
      <c r="C350">
        <v>203</v>
      </c>
      <c r="D350">
        <v>2667</v>
      </c>
      <c r="G350" t="s">
        <v>4194</v>
      </c>
      <c r="H350">
        <v>11806036000183</v>
      </c>
      <c r="I350" t="s">
        <v>3791</v>
      </c>
      <c r="J350" t="s">
        <v>2600</v>
      </c>
      <c r="K350" t="s">
        <v>2600</v>
      </c>
      <c r="L350" t="s">
        <v>3792</v>
      </c>
      <c r="N350" t="s">
        <v>3793</v>
      </c>
      <c r="P350" t="s">
        <v>3794</v>
      </c>
      <c r="Q350" t="s">
        <v>3636</v>
      </c>
      <c r="R350" t="s">
        <v>1699</v>
      </c>
      <c r="U350" t="s">
        <v>319</v>
      </c>
      <c r="V350" t="s">
        <v>3417</v>
      </c>
      <c r="X350">
        <v>2160</v>
      </c>
      <c r="Y350">
        <v>0</v>
      </c>
      <c r="AA350">
        <v>14</v>
      </c>
      <c r="AB350" s="31">
        <v>45951</v>
      </c>
      <c r="AC350" s="61">
        <v>0.48002314814814823</v>
      </c>
      <c r="AD350" t="s">
        <v>795</v>
      </c>
      <c r="AE350" s="31">
        <v>45965</v>
      </c>
      <c r="AF350" s="61">
        <v>0.50258101851851855</v>
      </c>
      <c r="AG350" t="s">
        <v>934</v>
      </c>
      <c r="AI350" t="s">
        <v>2297</v>
      </c>
      <c r="AJ350" t="s">
        <v>4195</v>
      </c>
      <c r="AR350">
        <v>1</v>
      </c>
    </row>
    <row r="351" spans="1:44" x14ac:dyDescent="0.25">
      <c r="A351" t="s">
        <v>31</v>
      </c>
      <c r="B351">
        <v>653</v>
      </c>
      <c r="D351">
        <v>2668</v>
      </c>
      <c r="E351" t="s">
        <v>4196</v>
      </c>
      <c r="G351" t="s">
        <v>4197</v>
      </c>
      <c r="H351">
        <v>38160619000136</v>
      </c>
      <c r="J351" t="s">
        <v>4198</v>
      </c>
      <c r="K351" t="s">
        <v>4198</v>
      </c>
      <c r="L351" t="s">
        <v>4199</v>
      </c>
      <c r="N351" t="s">
        <v>4200</v>
      </c>
      <c r="P351" t="s">
        <v>778</v>
      </c>
      <c r="T351" t="s">
        <v>1419</v>
      </c>
      <c r="U351" t="s">
        <v>319</v>
      </c>
      <c r="V351" t="s">
        <v>816</v>
      </c>
      <c r="X351">
        <v>16200</v>
      </c>
      <c r="Y351">
        <v>7128</v>
      </c>
      <c r="AA351">
        <v>176</v>
      </c>
      <c r="AB351" s="31">
        <v>45951</v>
      </c>
      <c r="AC351" s="61">
        <v>0.4896759259259259</v>
      </c>
      <c r="AD351" t="s">
        <v>782</v>
      </c>
      <c r="AE351" s="31"/>
      <c r="AF351" s="61"/>
      <c r="AI351" t="s">
        <v>4195</v>
      </c>
      <c r="AJ351" t="s">
        <v>4195</v>
      </c>
      <c r="AL351" t="s">
        <v>423</v>
      </c>
      <c r="AM351">
        <v>50</v>
      </c>
      <c r="AR351">
        <v>1</v>
      </c>
    </row>
    <row r="352" spans="1:44" x14ac:dyDescent="0.25">
      <c r="A352" t="s">
        <v>31</v>
      </c>
      <c r="B352">
        <v>654</v>
      </c>
      <c r="C352">
        <v>73</v>
      </c>
      <c r="D352">
        <v>2670</v>
      </c>
      <c r="G352" t="s">
        <v>4201</v>
      </c>
      <c r="I352" t="s">
        <v>3218</v>
      </c>
      <c r="J352" t="s">
        <v>1481</v>
      </c>
      <c r="K352" t="s">
        <v>1481</v>
      </c>
      <c r="L352" t="s">
        <v>3939</v>
      </c>
      <c r="N352" t="s">
        <v>3220</v>
      </c>
      <c r="P352" t="s">
        <v>778</v>
      </c>
      <c r="U352" t="s">
        <v>319</v>
      </c>
      <c r="V352" t="s">
        <v>3417</v>
      </c>
      <c r="X352">
        <v>1600</v>
      </c>
      <c r="Y352">
        <v>322193</v>
      </c>
      <c r="AA352">
        <v>19</v>
      </c>
      <c r="AB352" s="31">
        <v>45952</v>
      </c>
      <c r="AC352" s="61">
        <v>0.38269675925925928</v>
      </c>
      <c r="AD352" t="s">
        <v>795</v>
      </c>
      <c r="AE352" s="31">
        <v>45971</v>
      </c>
      <c r="AF352" s="61">
        <v>0.62304398148148143</v>
      </c>
      <c r="AG352" t="s">
        <v>3463</v>
      </c>
      <c r="AI352" t="s">
        <v>4195</v>
      </c>
      <c r="AJ352" t="s">
        <v>4202</v>
      </c>
      <c r="AR352">
        <v>1</v>
      </c>
    </row>
    <row r="353" spans="1:44" x14ac:dyDescent="0.25">
      <c r="A353" t="s">
        <v>31</v>
      </c>
      <c r="B353">
        <v>655</v>
      </c>
      <c r="C353">
        <v>107</v>
      </c>
      <c r="D353">
        <v>2671</v>
      </c>
      <c r="G353" t="s">
        <v>4203</v>
      </c>
      <c r="H353">
        <v>7527737000297</v>
      </c>
      <c r="I353" t="s">
        <v>427</v>
      </c>
      <c r="J353" t="s">
        <v>4204</v>
      </c>
      <c r="K353" t="s">
        <v>4204</v>
      </c>
      <c r="N353" t="s">
        <v>3320</v>
      </c>
      <c r="P353" t="s">
        <v>778</v>
      </c>
      <c r="U353" t="s">
        <v>319</v>
      </c>
      <c r="V353" t="s">
        <v>3417</v>
      </c>
      <c r="X353">
        <v>420</v>
      </c>
      <c r="Y353">
        <v>3564</v>
      </c>
      <c r="AA353">
        <v>26</v>
      </c>
      <c r="AB353" s="31">
        <v>45952</v>
      </c>
      <c r="AC353" s="61">
        <v>0.48693287037037042</v>
      </c>
      <c r="AD353" t="s">
        <v>795</v>
      </c>
      <c r="AE353" s="31">
        <v>45978</v>
      </c>
      <c r="AF353" s="61">
        <v>0.41158564814814808</v>
      </c>
      <c r="AG353" t="s">
        <v>934</v>
      </c>
      <c r="AI353" t="s">
        <v>4202</v>
      </c>
      <c r="AJ353" t="s">
        <v>4202</v>
      </c>
      <c r="AR353">
        <v>1</v>
      </c>
    </row>
    <row r="354" spans="1:44" x14ac:dyDescent="0.25">
      <c r="A354" t="s">
        <v>31</v>
      </c>
      <c r="B354">
        <v>658</v>
      </c>
      <c r="C354">
        <v>191</v>
      </c>
      <c r="D354">
        <v>2681</v>
      </c>
      <c r="G354" t="s">
        <v>4205</v>
      </c>
      <c r="H354">
        <v>18628799000120</v>
      </c>
      <c r="I354" t="s">
        <v>3734</v>
      </c>
      <c r="J354" t="s">
        <v>3735</v>
      </c>
      <c r="K354" t="s">
        <v>3735</v>
      </c>
      <c r="L354" t="s">
        <v>2216</v>
      </c>
      <c r="N354" t="s">
        <v>2217</v>
      </c>
      <c r="P354" t="s">
        <v>3736</v>
      </c>
      <c r="Q354" t="s">
        <v>1094</v>
      </c>
      <c r="R354" t="s">
        <v>790</v>
      </c>
      <c r="U354" t="s">
        <v>319</v>
      </c>
      <c r="V354" t="s">
        <v>816</v>
      </c>
      <c r="X354">
        <v>0</v>
      </c>
      <c r="Y354">
        <v>64159</v>
      </c>
      <c r="AA354">
        <v>2</v>
      </c>
      <c r="AB354" s="31">
        <v>45957</v>
      </c>
      <c r="AC354" s="61">
        <v>0.64555555555555555</v>
      </c>
      <c r="AD354" t="s">
        <v>818</v>
      </c>
      <c r="AE354" s="31">
        <v>45959</v>
      </c>
      <c r="AF354" s="61">
        <v>0.38715277777777779</v>
      </c>
      <c r="AI354" t="s">
        <v>4206</v>
      </c>
      <c r="AR354">
        <v>1</v>
      </c>
    </row>
    <row r="355" spans="1:44" x14ac:dyDescent="0.25">
      <c r="A355" t="s">
        <v>31</v>
      </c>
      <c r="B355">
        <v>660</v>
      </c>
      <c r="C355">
        <v>174</v>
      </c>
      <c r="D355">
        <v>2682</v>
      </c>
      <c r="G355" t="s">
        <v>4207</v>
      </c>
      <c r="H355">
        <v>45238441000164</v>
      </c>
      <c r="I355" t="s">
        <v>3507</v>
      </c>
      <c r="J355" t="s">
        <v>3995</v>
      </c>
      <c r="K355" t="s">
        <v>3995</v>
      </c>
      <c r="L355" t="s">
        <v>3509</v>
      </c>
      <c r="M355">
        <v>11973359869</v>
      </c>
      <c r="N355" t="s">
        <v>3510</v>
      </c>
      <c r="P355" t="s">
        <v>3511</v>
      </c>
      <c r="Q355" t="s">
        <v>1094</v>
      </c>
      <c r="R355" t="s">
        <v>790</v>
      </c>
      <c r="U355" t="s">
        <v>319</v>
      </c>
      <c r="V355" t="s">
        <v>816</v>
      </c>
      <c r="X355">
        <v>0</v>
      </c>
      <c r="Y355">
        <v>14256</v>
      </c>
      <c r="AA355">
        <v>0</v>
      </c>
      <c r="AB355" s="31">
        <v>45957</v>
      </c>
      <c r="AC355" s="61">
        <v>0.65339120370370374</v>
      </c>
      <c r="AD355" t="s">
        <v>818</v>
      </c>
      <c r="AE355" s="31">
        <v>45957</v>
      </c>
      <c r="AF355" s="61">
        <v>0.65457175925925926</v>
      </c>
      <c r="AI355" t="s">
        <v>4185</v>
      </c>
      <c r="AJ355" t="s">
        <v>4165</v>
      </c>
      <c r="AR355">
        <v>1</v>
      </c>
    </row>
    <row r="356" spans="1:44" x14ac:dyDescent="0.25">
      <c r="A356" t="s">
        <v>31</v>
      </c>
      <c r="B356">
        <v>661</v>
      </c>
      <c r="D356">
        <v>2683</v>
      </c>
      <c r="G356" t="s">
        <v>4208</v>
      </c>
      <c r="H356">
        <v>38160619000136</v>
      </c>
      <c r="J356" t="s">
        <v>4198</v>
      </c>
      <c r="K356" t="s">
        <v>4198</v>
      </c>
      <c r="L356" t="s">
        <v>4199</v>
      </c>
      <c r="N356" t="s">
        <v>4200</v>
      </c>
      <c r="P356" t="s">
        <v>778</v>
      </c>
      <c r="U356" t="s">
        <v>319</v>
      </c>
      <c r="V356" t="s">
        <v>816</v>
      </c>
      <c r="X356">
        <v>0</v>
      </c>
      <c r="Y356">
        <v>2586</v>
      </c>
      <c r="AA356">
        <v>1</v>
      </c>
      <c r="AB356" s="31">
        <v>45957</v>
      </c>
      <c r="AC356" s="61">
        <v>0.65902777777777777</v>
      </c>
      <c r="AD356" t="s">
        <v>818</v>
      </c>
      <c r="AE356" s="31">
        <v>45958</v>
      </c>
      <c r="AF356" s="61">
        <v>0.42133101851851851</v>
      </c>
      <c r="AI356" t="s">
        <v>4206</v>
      </c>
      <c r="AR356">
        <v>1</v>
      </c>
    </row>
    <row r="357" spans="1:44" x14ac:dyDescent="0.25">
      <c r="A357" t="s">
        <v>31</v>
      </c>
      <c r="B357">
        <v>663</v>
      </c>
      <c r="C357">
        <v>190</v>
      </c>
      <c r="D357">
        <v>2689</v>
      </c>
      <c r="G357" t="s">
        <v>4209</v>
      </c>
      <c r="H357">
        <v>18203215000175</v>
      </c>
      <c r="I357" t="s">
        <v>3690</v>
      </c>
      <c r="J357" t="s">
        <v>4210</v>
      </c>
      <c r="K357" t="s">
        <v>4210</v>
      </c>
      <c r="L357" t="s">
        <v>3692</v>
      </c>
      <c r="N357" t="s">
        <v>3693</v>
      </c>
      <c r="P357" t="s">
        <v>3694</v>
      </c>
      <c r="Q357" t="s">
        <v>3695</v>
      </c>
      <c r="R357" t="s">
        <v>790</v>
      </c>
      <c r="U357" t="s">
        <v>319</v>
      </c>
      <c r="V357" t="s">
        <v>816</v>
      </c>
      <c r="X357">
        <v>8400</v>
      </c>
      <c r="Y357">
        <v>0</v>
      </c>
      <c r="AA357">
        <v>0</v>
      </c>
      <c r="AB357" s="31">
        <v>45959</v>
      </c>
      <c r="AC357" s="61">
        <v>0.41988425925925932</v>
      </c>
      <c r="AD357" t="s">
        <v>818</v>
      </c>
      <c r="AE357" s="31">
        <v>45959</v>
      </c>
      <c r="AF357" s="61">
        <v>0.42054398148148148</v>
      </c>
      <c r="AI357" t="s">
        <v>4211</v>
      </c>
      <c r="AJ357" t="s">
        <v>4211</v>
      </c>
      <c r="AR357">
        <v>1</v>
      </c>
    </row>
    <row r="358" spans="1:44" x14ac:dyDescent="0.25">
      <c r="A358" t="s">
        <v>31</v>
      </c>
      <c r="B358">
        <v>664</v>
      </c>
      <c r="C358">
        <v>191</v>
      </c>
      <c r="D358">
        <v>2691</v>
      </c>
      <c r="G358" t="s">
        <v>4212</v>
      </c>
      <c r="H358">
        <v>18628799000120</v>
      </c>
      <c r="I358" t="s">
        <v>3734</v>
      </c>
      <c r="J358" t="s">
        <v>3735</v>
      </c>
      <c r="K358" t="s">
        <v>3735</v>
      </c>
      <c r="L358" t="s">
        <v>2216</v>
      </c>
      <c r="N358" t="s">
        <v>2217</v>
      </c>
      <c r="P358" t="s">
        <v>3736</v>
      </c>
      <c r="Q358" t="s">
        <v>1094</v>
      </c>
      <c r="R358" t="s">
        <v>790</v>
      </c>
      <c r="U358" t="s">
        <v>319</v>
      </c>
      <c r="V358" t="s">
        <v>3417</v>
      </c>
      <c r="X358">
        <v>26200</v>
      </c>
      <c r="Y358">
        <v>3400</v>
      </c>
      <c r="AA358">
        <v>36</v>
      </c>
      <c r="AB358" s="31">
        <v>45959</v>
      </c>
      <c r="AC358" s="61">
        <v>0.69269675925925922</v>
      </c>
      <c r="AD358" t="s">
        <v>795</v>
      </c>
      <c r="AE358" s="31">
        <v>45995</v>
      </c>
      <c r="AF358" s="61">
        <v>0.40078703703703711</v>
      </c>
      <c r="AG358" t="s">
        <v>796</v>
      </c>
      <c r="AI358" t="s">
        <v>4211</v>
      </c>
      <c r="AJ358" t="s">
        <v>4211</v>
      </c>
      <c r="AR358">
        <v>1</v>
      </c>
    </row>
    <row r="359" spans="1:44" x14ac:dyDescent="0.25">
      <c r="A359" t="s">
        <v>31</v>
      </c>
      <c r="B359">
        <v>668</v>
      </c>
      <c r="C359">
        <v>103</v>
      </c>
      <c r="D359">
        <v>2717</v>
      </c>
      <c r="G359" t="s">
        <v>4213</v>
      </c>
      <c r="H359">
        <v>12549273000179</v>
      </c>
      <c r="I359" t="s">
        <v>3309</v>
      </c>
      <c r="J359" t="s">
        <v>4067</v>
      </c>
      <c r="K359" t="s">
        <v>4067</v>
      </c>
      <c r="L359" t="s">
        <v>4214</v>
      </c>
      <c r="N359" t="s">
        <v>3312</v>
      </c>
      <c r="P359" t="s">
        <v>3313</v>
      </c>
      <c r="Q359" t="s">
        <v>1596</v>
      </c>
      <c r="R359" t="s">
        <v>790</v>
      </c>
      <c r="T359" t="s">
        <v>1581</v>
      </c>
      <c r="U359" t="s">
        <v>319</v>
      </c>
      <c r="V359" t="s">
        <v>3417</v>
      </c>
      <c r="X359">
        <v>1600</v>
      </c>
      <c r="Y359">
        <v>47183</v>
      </c>
      <c r="AA359">
        <v>82</v>
      </c>
      <c r="AB359" s="31">
        <v>45961</v>
      </c>
      <c r="AC359" s="61">
        <v>0.45398148148148149</v>
      </c>
      <c r="AD359" t="s">
        <v>795</v>
      </c>
      <c r="AE359" s="31">
        <v>46043</v>
      </c>
      <c r="AF359" s="61">
        <v>0.40621527777777777</v>
      </c>
      <c r="AG359" t="s">
        <v>3463</v>
      </c>
      <c r="AI359" t="s">
        <v>4215</v>
      </c>
      <c r="AJ359" t="s">
        <v>4206</v>
      </c>
      <c r="AL359" t="s">
        <v>2576</v>
      </c>
      <c r="AR359">
        <v>1</v>
      </c>
    </row>
    <row r="360" spans="1:44" x14ac:dyDescent="0.25">
      <c r="A360" t="s">
        <v>31</v>
      </c>
      <c r="B360">
        <v>670</v>
      </c>
      <c r="D360">
        <v>2719</v>
      </c>
      <c r="G360" t="s">
        <v>4216</v>
      </c>
      <c r="H360">
        <v>6946105000114</v>
      </c>
      <c r="J360" t="s">
        <v>4217</v>
      </c>
      <c r="K360" t="s">
        <v>4217</v>
      </c>
      <c r="L360" t="s">
        <v>4218</v>
      </c>
      <c r="N360" t="s">
        <v>4219</v>
      </c>
      <c r="P360" t="s">
        <v>778</v>
      </c>
      <c r="U360" t="s">
        <v>319</v>
      </c>
      <c r="V360" t="s">
        <v>816</v>
      </c>
      <c r="X360">
        <v>0</v>
      </c>
      <c r="Y360">
        <v>28512</v>
      </c>
      <c r="AA360">
        <v>19</v>
      </c>
      <c r="AB360" s="31">
        <v>45961</v>
      </c>
      <c r="AC360" s="61">
        <v>0.68109953703703707</v>
      </c>
      <c r="AD360" t="s">
        <v>818</v>
      </c>
      <c r="AE360" s="31">
        <v>45980</v>
      </c>
      <c r="AF360" s="61">
        <v>0.71309027777777778</v>
      </c>
      <c r="AI360" t="s">
        <v>4220</v>
      </c>
      <c r="AJ360" t="s">
        <v>4220</v>
      </c>
      <c r="AR360">
        <v>1</v>
      </c>
    </row>
    <row r="361" spans="1:44" x14ac:dyDescent="0.25">
      <c r="A361" t="s">
        <v>31</v>
      </c>
      <c r="B361">
        <v>671</v>
      </c>
      <c r="C361">
        <v>189</v>
      </c>
      <c r="D361">
        <v>2728</v>
      </c>
      <c r="G361" t="s">
        <v>4221</v>
      </c>
      <c r="H361">
        <v>10698565000148</v>
      </c>
      <c r="I361" t="s">
        <v>4145</v>
      </c>
      <c r="J361" t="s">
        <v>4146</v>
      </c>
      <c r="K361" t="s">
        <v>4146</v>
      </c>
      <c r="L361" t="s">
        <v>4147</v>
      </c>
      <c r="P361" t="s">
        <v>4148</v>
      </c>
      <c r="Q361" t="s">
        <v>4149</v>
      </c>
      <c r="R361" t="s">
        <v>4150</v>
      </c>
      <c r="U361" t="s">
        <v>319</v>
      </c>
      <c r="V361" t="s">
        <v>3417</v>
      </c>
      <c r="X361">
        <v>2040708</v>
      </c>
      <c r="Y361">
        <v>7128</v>
      </c>
      <c r="AA361">
        <v>30</v>
      </c>
      <c r="AB361" s="31">
        <v>45964</v>
      </c>
      <c r="AC361" s="61">
        <v>0.44855324074074082</v>
      </c>
      <c r="AD361" t="s">
        <v>795</v>
      </c>
      <c r="AE361" s="31">
        <v>45994</v>
      </c>
      <c r="AF361" s="61">
        <v>0.4256597222222222</v>
      </c>
      <c r="AG361" t="s">
        <v>3463</v>
      </c>
      <c r="AI361" t="s">
        <v>2324</v>
      </c>
      <c r="AJ361" t="s">
        <v>2324</v>
      </c>
      <c r="AR361">
        <v>1</v>
      </c>
    </row>
    <row r="362" spans="1:44" x14ac:dyDescent="0.25">
      <c r="A362" t="s">
        <v>31</v>
      </c>
      <c r="B362">
        <v>675</v>
      </c>
      <c r="C362">
        <v>159</v>
      </c>
      <c r="D362">
        <v>2742</v>
      </c>
      <c r="G362" t="s">
        <v>4222</v>
      </c>
      <c r="H362">
        <v>43526090000161</v>
      </c>
      <c r="I362" t="s">
        <v>913</v>
      </c>
      <c r="J362" t="s">
        <v>3860</v>
      </c>
      <c r="K362" t="s">
        <v>3860</v>
      </c>
      <c r="L362" t="s">
        <v>4155</v>
      </c>
      <c r="N362" t="s">
        <v>916</v>
      </c>
      <c r="P362" t="s">
        <v>778</v>
      </c>
      <c r="Q362" t="s">
        <v>909</v>
      </c>
      <c r="R362" t="s">
        <v>790</v>
      </c>
      <c r="U362" t="s">
        <v>319</v>
      </c>
      <c r="V362" t="s">
        <v>3417</v>
      </c>
      <c r="AA362">
        <v>25</v>
      </c>
      <c r="AB362" s="31">
        <v>45968</v>
      </c>
      <c r="AC362" s="61">
        <v>0.67895833333333333</v>
      </c>
      <c r="AD362" t="s">
        <v>795</v>
      </c>
      <c r="AE362" s="31">
        <v>45993</v>
      </c>
      <c r="AF362" s="61">
        <v>0.39473379629629629</v>
      </c>
      <c r="AG362" t="s">
        <v>796</v>
      </c>
      <c r="AI362" t="s">
        <v>4223</v>
      </c>
      <c r="AJ362" t="s">
        <v>4223</v>
      </c>
      <c r="AR362">
        <v>1</v>
      </c>
    </row>
    <row r="363" spans="1:44" x14ac:dyDescent="0.25">
      <c r="A363" t="s">
        <v>31</v>
      </c>
      <c r="B363">
        <v>676</v>
      </c>
      <c r="C363">
        <v>208</v>
      </c>
      <c r="D363">
        <v>2746</v>
      </c>
      <c r="G363" t="s">
        <v>4224</v>
      </c>
      <c r="H363">
        <v>42830750000130</v>
      </c>
      <c r="I363" t="s">
        <v>3903</v>
      </c>
      <c r="J363" t="s">
        <v>1804</v>
      </c>
      <c r="K363" t="s">
        <v>1804</v>
      </c>
      <c r="L363" t="s">
        <v>3905</v>
      </c>
      <c r="N363" t="s">
        <v>4594</v>
      </c>
      <c r="P363" t="s">
        <v>3907</v>
      </c>
      <c r="Q363" t="s">
        <v>1094</v>
      </c>
      <c r="R363" t="s">
        <v>790</v>
      </c>
      <c r="U363" t="s">
        <v>319</v>
      </c>
      <c r="V363" t="s">
        <v>3417</v>
      </c>
      <c r="X363">
        <v>0</v>
      </c>
      <c r="Y363">
        <v>308</v>
      </c>
      <c r="AA363">
        <v>30</v>
      </c>
      <c r="AB363" s="31">
        <v>45971</v>
      </c>
      <c r="AC363" s="61">
        <v>0.39951388888888889</v>
      </c>
      <c r="AD363" t="s">
        <v>795</v>
      </c>
      <c r="AE363" s="31">
        <v>46001</v>
      </c>
      <c r="AF363" s="61">
        <v>0.44709490740740743</v>
      </c>
      <c r="AG363" t="s">
        <v>796</v>
      </c>
      <c r="AI363" t="s">
        <v>2437</v>
      </c>
      <c r="AJ363" t="s">
        <v>2437</v>
      </c>
      <c r="AR363">
        <v>1</v>
      </c>
    </row>
    <row r="364" spans="1:44" x14ac:dyDescent="0.25">
      <c r="A364" t="s">
        <v>31</v>
      </c>
      <c r="B364">
        <v>677</v>
      </c>
      <c r="C364">
        <v>182</v>
      </c>
      <c r="D364">
        <v>2752</v>
      </c>
      <c r="G364" t="s">
        <v>4225</v>
      </c>
      <c r="H364">
        <v>23873456000161</v>
      </c>
      <c r="I364" t="s">
        <v>3573</v>
      </c>
      <c r="J364" t="s">
        <v>3574</v>
      </c>
      <c r="K364" t="s">
        <v>3574</v>
      </c>
      <c r="L364" t="s">
        <v>3575</v>
      </c>
      <c r="N364" t="s">
        <v>3576</v>
      </c>
      <c r="P364" t="s">
        <v>3577</v>
      </c>
      <c r="Q364" t="s">
        <v>1837</v>
      </c>
      <c r="R364" t="s">
        <v>790</v>
      </c>
      <c r="T364" t="s">
        <v>1718</v>
      </c>
      <c r="U364" t="s">
        <v>319</v>
      </c>
      <c r="V364" t="s">
        <v>781</v>
      </c>
      <c r="AA364">
        <v>63</v>
      </c>
      <c r="AB364" s="31">
        <v>45972</v>
      </c>
      <c r="AC364" s="61">
        <v>0.64833333333333332</v>
      </c>
      <c r="AD364" t="s">
        <v>795</v>
      </c>
      <c r="AE364" s="31">
        <v>46035</v>
      </c>
      <c r="AF364" s="61">
        <v>0.70446759259259262</v>
      </c>
      <c r="AG364" t="s">
        <v>796</v>
      </c>
      <c r="AR364">
        <v>1</v>
      </c>
    </row>
    <row r="365" spans="1:44" x14ac:dyDescent="0.25">
      <c r="A365" t="s">
        <v>31</v>
      </c>
      <c r="B365">
        <v>678</v>
      </c>
      <c r="C365">
        <v>182</v>
      </c>
      <c r="D365">
        <v>2753</v>
      </c>
      <c r="G365" t="s">
        <v>4226</v>
      </c>
      <c r="H365">
        <v>23873456000161</v>
      </c>
      <c r="I365" t="s">
        <v>3573</v>
      </c>
      <c r="J365" t="s">
        <v>3574</v>
      </c>
      <c r="K365" t="s">
        <v>3574</v>
      </c>
      <c r="L365" t="s">
        <v>3575</v>
      </c>
      <c r="N365" t="s">
        <v>3576</v>
      </c>
      <c r="P365" t="s">
        <v>3577</v>
      </c>
      <c r="Q365" t="s">
        <v>1837</v>
      </c>
      <c r="R365" t="s">
        <v>790</v>
      </c>
      <c r="T365" t="s">
        <v>1718</v>
      </c>
      <c r="U365" t="s">
        <v>319</v>
      </c>
      <c r="V365" t="s">
        <v>3417</v>
      </c>
      <c r="X365">
        <v>3360</v>
      </c>
      <c r="Y365">
        <v>3564</v>
      </c>
      <c r="AA365">
        <v>106</v>
      </c>
      <c r="AB365" s="31">
        <v>45972</v>
      </c>
      <c r="AC365" s="61">
        <v>0.64900462962962968</v>
      </c>
      <c r="AD365" t="s">
        <v>795</v>
      </c>
      <c r="AE365" s="31">
        <v>46078</v>
      </c>
      <c r="AF365" s="61">
        <v>0.46172453703703698</v>
      </c>
      <c r="AG365" t="s">
        <v>796</v>
      </c>
      <c r="AI365" t="s">
        <v>4227</v>
      </c>
      <c r="AJ365" t="s">
        <v>4227</v>
      </c>
      <c r="AL365" t="s">
        <v>2326</v>
      </c>
      <c r="AM365">
        <v>30</v>
      </c>
      <c r="AR365">
        <v>1</v>
      </c>
    </row>
    <row r="366" spans="1:44" x14ac:dyDescent="0.25">
      <c r="A366" t="s">
        <v>31</v>
      </c>
      <c r="B366">
        <v>679</v>
      </c>
      <c r="C366">
        <v>182</v>
      </c>
      <c r="D366">
        <v>2754</v>
      </c>
      <c r="G366" t="s">
        <v>4228</v>
      </c>
      <c r="H366">
        <v>23873456000161</v>
      </c>
      <c r="I366" t="s">
        <v>3573</v>
      </c>
      <c r="J366" t="s">
        <v>3574</v>
      </c>
      <c r="K366" t="s">
        <v>3574</v>
      </c>
      <c r="L366" t="s">
        <v>3575</v>
      </c>
      <c r="N366" t="s">
        <v>3576</v>
      </c>
      <c r="P366" t="s">
        <v>3577</v>
      </c>
      <c r="Q366" t="s">
        <v>1837</v>
      </c>
      <c r="R366" t="s">
        <v>790</v>
      </c>
      <c r="T366" t="s">
        <v>1718</v>
      </c>
      <c r="U366" t="s">
        <v>319</v>
      </c>
      <c r="V366" t="s">
        <v>3417</v>
      </c>
      <c r="X366">
        <v>25200</v>
      </c>
      <c r="Y366">
        <v>104544</v>
      </c>
      <c r="AA366">
        <v>79</v>
      </c>
      <c r="AB366" s="31">
        <v>45972</v>
      </c>
      <c r="AC366" s="61">
        <v>0.66282407407407407</v>
      </c>
      <c r="AD366" t="s">
        <v>795</v>
      </c>
      <c r="AE366" s="31">
        <v>46051</v>
      </c>
      <c r="AF366" s="61">
        <v>0.39392361111111113</v>
      </c>
      <c r="AG366" t="s">
        <v>796</v>
      </c>
      <c r="AI366" t="s">
        <v>2529</v>
      </c>
      <c r="AJ366" t="s">
        <v>2529</v>
      </c>
      <c r="AL366" t="s">
        <v>2891</v>
      </c>
      <c r="AR366">
        <v>1</v>
      </c>
    </row>
    <row r="367" spans="1:44" x14ac:dyDescent="0.25">
      <c r="A367" t="s">
        <v>31</v>
      </c>
      <c r="B367">
        <v>682</v>
      </c>
      <c r="C367">
        <v>206</v>
      </c>
      <c r="D367">
        <v>2758</v>
      </c>
      <c r="G367" t="s">
        <v>4229</v>
      </c>
      <c r="H367">
        <v>37075503000136</v>
      </c>
      <c r="I367" t="s">
        <v>3826</v>
      </c>
      <c r="J367" t="s">
        <v>1474</v>
      </c>
      <c r="K367" t="s">
        <v>1474</v>
      </c>
      <c r="L367" t="s">
        <v>1475</v>
      </c>
      <c r="N367" t="s">
        <v>1476</v>
      </c>
      <c r="P367" t="s">
        <v>3827</v>
      </c>
      <c r="Q367" t="s">
        <v>1477</v>
      </c>
      <c r="R367" t="s">
        <v>932</v>
      </c>
      <c r="U367" t="s">
        <v>319</v>
      </c>
      <c r="V367" t="s">
        <v>3417</v>
      </c>
      <c r="X367">
        <v>70875</v>
      </c>
      <c r="Y367">
        <v>0</v>
      </c>
      <c r="AA367">
        <v>19</v>
      </c>
      <c r="AB367" s="31">
        <v>45974</v>
      </c>
      <c r="AC367" s="61">
        <v>0.40334490740740742</v>
      </c>
      <c r="AD367" t="s">
        <v>795</v>
      </c>
      <c r="AE367" s="31">
        <v>45993</v>
      </c>
      <c r="AF367" s="61">
        <v>0.39771990740740742</v>
      </c>
      <c r="AG367" t="s">
        <v>796</v>
      </c>
      <c r="AI367" t="s">
        <v>4230</v>
      </c>
      <c r="AR367">
        <v>1</v>
      </c>
    </row>
    <row r="368" spans="1:44" x14ac:dyDescent="0.25">
      <c r="A368" t="s">
        <v>31</v>
      </c>
      <c r="B368">
        <v>683</v>
      </c>
      <c r="C368">
        <v>186</v>
      </c>
      <c r="D368">
        <v>2759</v>
      </c>
      <c r="G368" t="s">
        <v>4231</v>
      </c>
      <c r="H368">
        <v>10899939000193</v>
      </c>
      <c r="I368" t="s">
        <v>3625</v>
      </c>
      <c r="J368" t="s">
        <v>704</v>
      </c>
      <c r="K368" t="s">
        <v>704</v>
      </c>
      <c r="L368" t="s">
        <v>3626</v>
      </c>
      <c r="N368" t="s">
        <v>3627</v>
      </c>
      <c r="P368" t="s">
        <v>3628</v>
      </c>
      <c r="Q368" t="s">
        <v>3629</v>
      </c>
      <c r="R368" t="s">
        <v>932</v>
      </c>
      <c r="T368" t="s">
        <v>1704</v>
      </c>
      <c r="U368" t="s">
        <v>319</v>
      </c>
      <c r="V368" t="s">
        <v>816</v>
      </c>
      <c r="X368">
        <v>2856</v>
      </c>
      <c r="Y368">
        <v>60588</v>
      </c>
      <c r="AA368">
        <v>60</v>
      </c>
      <c r="AB368" s="31">
        <v>45974</v>
      </c>
      <c r="AC368" s="61">
        <v>0.44814814814814807</v>
      </c>
      <c r="AD368" t="s">
        <v>795</v>
      </c>
      <c r="AE368" s="31">
        <v>46034</v>
      </c>
      <c r="AF368" s="61">
        <v>0.46733796296296298</v>
      </c>
      <c r="AG368" t="s">
        <v>934</v>
      </c>
      <c r="AI368" t="s">
        <v>4230</v>
      </c>
      <c r="AL368" t="s">
        <v>2519</v>
      </c>
      <c r="AR368">
        <v>1</v>
      </c>
    </row>
    <row r="369" spans="1:44" x14ac:dyDescent="0.25">
      <c r="A369" t="s">
        <v>31</v>
      </c>
      <c r="B369">
        <v>687</v>
      </c>
      <c r="C369">
        <v>152</v>
      </c>
      <c r="D369">
        <v>2817</v>
      </c>
      <c r="G369" t="s">
        <v>4018</v>
      </c>
      <c r="I369" t="s">
        <v>3445</v>
      </c>
      <c r="J369" t="s">
        <v>4146</v>
      </c>
      <c r="K369" t="s">
        <v>4146</v>
      </c>
      <c r="L369" t="s">
        <v>3621</v>
      </c>
      <c r="N369" t="s">
        <v>3448</v>
      </c>
      <c r="P369" t="s">
        <v>778</v>
      </c>
      <c r="T369" t="s">
        <v>1718</v>
      </c>
      <c r="U369" t="s">
        <v>319</v>
      </c>
      <c r="V369" t="s">
        <v>816</v>
      </c>
      <c r="X369">
        <v>3360</v>
      </c>
      <c r="Y369">
        <v>7128</v>
      </c>
      <c r="AA369">
        <v>67</v>
      </c>
      <c r="AB369" s="31">
        <v>45978</v>
      </c>
      <c r="AC369" s="61">
        <v>0.72304398148148152</v>
      </c>
      <c r="AD369" t="s">
        <v>818</v>
      </c>
      <c r="AE369" s="31">
        <v>46045</v>
      </c>
      <c r="AF369" s="61">
        <v>0.71009259259259261</v>
      </c>
      <c r="AI369" t="s">
        <v>2273</v>
      </c>
      <c r="AJ369" t="s">
        <v>2273</v>
      </c>
      <c r="AL369" t="s">
        <v>2590</v>
      </c>
      <c r="AR369">
        <v>1</v>
      </c>
    </row>
    <row r="370" spans="1:44" x14ac:dyDescent="0.25">
      <c r="A370" t="s">
        <v>31</v>
      </c>
      <c r="B370">
        <v>688</v>
      </c>
      <c r="C370">
        <v>170</v>
      </c>
      <c r="D370">
        <v>2818</v>
      </c>
      <c r="G370" t="s">
        <v>460</v>
      </c>
      <c r="H370">
        <v>4150555001304</v>
      </c>
      <c r="I370" t="s">
        <v>3477</v>
      </c>
      <c r="J370" t="s">
        <v>3478</v>
      </c>
      <c r="K370" t="s">
        <v>3478</v>
      </c>
      <c r="L370" t="s">
        <v>3569</v>
      </c>
      <c r="N370" t="s">
        <v>3480</v>
      </c>
      <c r="P370" t="s">
        <v>3481</v>
      </c>
      <c r="Q370" t="s">
        <v>3482</v>
      </c>
      <c r="R370" t="s">
        <v>1699</v>
      </c>
      <c r="U370" t="s">
        <v>319</v>
      </c>
      <c r="V370" t="s">
        <v>816</v>
      </c>
      <c r="X370">
        <v>838823</v>
      </c>
      <c r="Y370">
        <v>0</v>
      </c>
      <c r="AA370">
        <v>8</v>
      </c>
      <c r="AB370" s="31">
        <v>45979</v>
      </c>
      <c r="AC370" s="61">
        <v>0.6174884259259259</v>
      </c>
      <c r="AD370" t="s">
        <v>818</v>
      </c>
      <c r="AE370" s="31">
        <v>45987</v>
      </c>
      <c r="AF370" s="61">
        <v>0.49862268518518521</v>
      </c>
      <c r="AI370" t="s">
        <v>4232</v>
      </c>
      <c r="AR370">
        <v>1</v>
      </c>
    </row>
    <row r="371" spans="1:44" x14ac:dyDescent="0.25">
      <c r="A371" t="s">
        <v>31</v>
      </c>
      <c r="B371">
        <v>689</v>
      </c>
      <c r="C371">
        <v>0</v>
      </c>
      <c r="D371">
        <v>2851</v>
      </c>
      <c r="G371" t="s">
        <v>4233</v>
      </c>
      <c r="J371" t="s">
        <v>4234</v>
      </c>
      <c r="K371" t="s">
        <v>4234</v>
      </c>
      <c r="L371" t="s">
        <v>4235</v>
      </c>
      <c r="N371" t="s">
        <v>4236</v>
      </c>
      <c r="P371" t="s">
        <v>778</v>
      </c>
      <c r="T371" t="s">
        <v>1718</v>
      </c>
      <c r="U371" t="s">
        <v>319</v>
      </c>
      <c r="V371" t="s">
        <v>3606</v>
      </c>
      <c r="AA371">
        <v>45</v>
      </c>
      <c r="AB371" s="31">
        <v>45985</v>
      </c>
      <c r="AC371" s="61">
        <v>0.38097222222222221</v>
      </c>
      <c r="AD371" t="s">
        <v>795</v>
      </c>
      <c r="AE371" s="31">
        <v>46030</v>
      </c>
      <c r="AF371" s="61">
        <v>0.49526620370370372</v>
      </c>
      <c r="AG371" t="s">
        <v>1358</v>
      </c>
      <c r="AJ371" t="s">
        <v>2433</v>
      </c>
      <c r="AL371" t="s">
        <v>2326</v>
      </c>
      <c r="AR371">
        <v>1</v>
      </c>
    </row>
    <row r="372" spans="1:44" x14ac:dyDescent="0.25">
      <c r="A372" t="s">
        <v>31</v>
      </c>
      <c r="B372">
        <v>691</v>
      </c>
      <c r="C372">
        <v>197</v>
      </c>
      <c r="D372">
        <v>2873</v>
      </c>
      <c r="G372" t="s">
        <v>4237</v>
      </c>
      <c r="H372">
        <v>8616236000169</v>
      </c>
      <c r="I372" t="s">
        <v>3726</v>
      </c>
      <c r="J372" t="s">
        <v>704</v>
      </c>
      <c r="K372" t="s">
        <v>704</v>
      </c>
      <c r="L372" t="s">
        <v>3727</v>
      </c>
      <c r="N372" t="s">
        <v>3728</v>
      </c>
      <c r="P372" t="s">
        <v>3729</v>
      </c>
      <c r="Q372" t="s">
        <v>3687</v>
      </c>
      <c r="R372" t="s">
        <v>790</v>
      </c>
      <c r="T372" t="s">
        <v>1419</v>
      </c>
      <c r="U372" t="s">
        <v>319</v>
      </c>
      <c r="V372" t="s">
        <v>3417</v>
      </c>
      <c r="X372">
        <v>3360</v>
      </c>
      <c r="Y372">
        <v>19642</v>
      </c>
      <c r="AA372">
        <v>141</v>
      </c>
      <c r="AB372" s="31">
        <v>45986</v>
      </c>
      <c r="AC372" s="61">
        <v>0.42895833333333327</v>
      </c>
      <c r="AD372" t="s">
        <v>782</v>
      </c>
      <c r="AE372" s="31"/>
      <c r="AF372" s="61"/>
      <c r="AI372" t="s">
        <v>4238</v>
      </c>
      <c r="AJ372" t="s">
        <v>4238</v>
      </c>
      <c r="AL372" t="s">
        <v>2519</v>
      </c>
      <c r="AM372">
        <v>50</v>
      </c>
      <c r="AR372">
        <v>1</v>
      </c>
    </row>
    <row r="373" spans="1:44" x14ac:dyDescent="0.25">
      <c r="A373" t="s">
        <v>31</v>
      </c>
      <c r="B373">
        <v>698</v>
      </c>
      <c r="C373">
        <v>148</v>
      </c>
      <c r="D373">
        <v>2888</v>
      </c>
      <c r="G373" t="s">
        <v>3554</v>
      </c>
      <c r="H373">
        <v>8530284000130</v>
      </c>
      <c r="I373" t="s">
        <v>3555</v>
      </c>
      <c r="J373" t="s">
        <v>4190</v>
      </c>
      <c r="K373" t="s">
        <v>4190</v>
      </c>
      <c r="L373" t="s">
        <v>3556</v>
      </c>
      <c r="N373" t="s">
        <v>3557</v>
      </c>
      <c r="P373" t="s">
        <v>778</v>
      </c>
      <c r="U373" t="s">
        <v>319</v>
      </c>
      <c r="V373" t="s">
        <v>3417</v>
      </c>
      <c r="X373">
        <v>1600</v>
      </c>
      <c r="Y373">
        <v>40193</v>
      </c>
      <c r="AA373">
        <v>16</v>
      </c>
      <c r="AB373" s="31">
        <v>45986</v>
      </c>
      <c r="AC373" s="61">
        <v>0.71763888888888894</v>
      </c>
      <c r="AD373" t="s">
        <v>795</v>
      </c>
      <c r="AE373" s="31">
        <v>46002</v>
      </c>
      <c r="AF373" s="61">
        <v>0.63847222222222222</v>
      </c>
      <c r="AG373" t="s">
        <v>3463</v>
      </c>
      <c r="AI373" t="s">
        <v>4238</v>
      </c>
      <c r="AJ373" t="s">
        <v>4238</v>
      </c>
      <c r="AR373">
        <v>1</v>
      </c>
    </row>
    <row r="374" spans="1:44" x14ac:dyDescent="0.25">
      <c r="A374" t="s">
        <v>31</v>
      </c>
      <c r="B374">
        <v>699</v>
      </c>
      <c r="C374">
        <v>172</v>
      </c>
      <c r="D374">
        <v>2889</v>
      </c>
      <c r="G374" t="s">
        <v>3500</v>
      </c>
      <c r="H374">
        <v>33561753000125</v>
      </c>
      <c r="I374" t="s">
        <v>3501</v>
      </c>
      <c r="J374" t="s">
        <v>4180</v>
      </c>
      <c r="K374" t="s">
        <v>4180</v>
      </c>
      <c r="L374" t="s">
        <v>3502</v>
      </c>
      <c r="N374" t="s">
        <v>3503</v>
      </c>
      <c r="P374" t="s">
        <v>3504</v>
      </c>
      <c r="Q374" t="s">
        <v>3505</v>
      </c>
      <c r="R374" t="s">
        <v>790</v>
      </c>
      <c r="U374" t="s">
        <v>319</v>
      </c>
      <c r="V374" t="s">
        <v>3417</v>
      </c>
      <c r="X374">
        <v>1680</v>
      </c>
      <c r="Y374">
        <v>3564</v>
      </c>
      <c r="AA374">
        <v>0</v>
      </c>
      <c r="AB374" s="31">
        <v>45986</v>
      </c>
      <c r="AC374" s="61">
        <v>0.71848379629629633</v>
      </c>
      <c r="AD374" t="s">
        <v>795</v>
      </c>
      <c r="AE374" s="31">
        <v>45986</v>
      </c>
      <c r="AF374" s="61">
        <v>0.72062499999999996</v>
      </c>
      <c r="AG374" t="s">
        <v>796</v>
      </c>
      <c r="AI374" t="s">
        <v>4238</v>
      </c>
      <c r="AJ374" t="s">
        <v>4238</v>
      </c>
      <c r="AR374">
        <v>1</v>
      </c>
    </row>
    <row r="375" spans="1:44" x14ac:dyDescent="0.25">
      <c r="A375" t="s">
        <v>31</v>
      </c>
      <c r="B375">
        <v>710</v>
      </c>
      <c r="C375">
        <v>149</v>
      </c>
      <c r="D375">
        <v>2901</v>
      </c>
      <c r="G375" t="s">
        <v>4020</v>
      </c>
      <c r="H375">
        <v>12418196000118</v>
      </c>
      <c r="I375" t="s">
        <v>3645</v>
      </c>
      <c r="J375" t="s">
        <v>1115</v>
      </c>
      <c r="K375" t="s">
        <v>1115</v>
      </c>
      <c r="L375" t="s">
        <v>3647</v>
      </c>
      <c r="N375" t="s">
        <v>3648</v>
      </c>
      <c r="P375" t="s">
        <v>778</v>
      </c>
      <c r="U375" t="s">
        <v>319</v>
      </c>
      <c r="V375" t="s">
        <v>816</v>
      </c>
      <c r="X375">
        <v>2856</v>
      </c>
      <c r="Y375">
        <v>60588</v>
      </c>
      <c r="AA375">
        <v>8</v>
      </c>
      <c r="AB375" s="31">
        <v>45987</v>
      </c>
      <c r="AC375" s="61">
        <v>0.50680555555555551</v>
      </c>
      <c r="AD375" t="s">
        <v>818</v>
      </c>
      <c r="AE375" s="31">
        <v>45995</v>
      </c>
      <c r="AF375" s="61">
        <v>0.38068287037037041</v>
      </c>
      <c r="AI375" t="s">
        <v>2392</v>
      </c>
      <c r="AJ375" t="s">
        <v>2392</v>
      </c>
      <c r="AR375">
        <v>1</v>
      </c>
    </row>
    <row r="376" spans="1:44" x14ac:dyDescent="0.25">
      <c r="A376" t="s">
        <v>31</v>
      </c>
      <c r="B376">
        <v>712</v>
      </c>
      <c r="D376">
        <v>2903</v>
      </c>
      <c r="G376" t="s">
        <v>4239</v>
      </c>
      <c r="H376">
        <v>6847915000113</v>
      </c>
      <c r="J376" t="s">
        <v>4240</v>
      </c>
      <c r="K376" t="s">
        <v>4240</v>
      </c>
      <c r="L376" t="s">
        <v>4241</v>
      </c>
      <c r="N376" t="s">
        <v>4242</v>
      </c>
      <c r="P376" t="s">
        <v>778</v>
      </c>
      <c r="T376" t="s">
        <v>1419</v>
      </c>
      <c r="U376" t="s">
        <v>319</v>
      </c>
      <c r="V376" t="s">
        <v>3417</v>
      </c>
      <c r="X376">
        <v>16200</v>
      </c>
      <c r="Y376">
        <v>2160</v>
      </c>
      <c r="AA376">
        <v>47</v>
      </c>
      <c r="AB376" s="31">
        <v>45987</v>
      </c>
      <c r="AC376" s="61">
        <v>0.67927083333333338</v>
      </c>
      <c r="AD376" t="s">
        <v>795</v>
      </c>
      <c r="AE376" s="31">
        <v>46034</v>
      </c>
      <c r="AF376" s="61">
        <v>0.47002314814814822</v>
      </c>
      <c r="AG376" t="s">
        <v>3463</v>
      </c>
      <c r="AI376" t="s">
        <v>4243</v>
      </c>
      <c r="AJ376" t="s">
        <v>4243</v>
      </c>
      <c r="AL376" t="s">
        <v>4244</v>
      </c>
      <c r="AR376">
        <v>1</v>
      </c>
    </row>
    <row r="377" spans="1:44" x14ac:dyDescent="0.25">
      <c r="A377" t="s">
        <v>31</v>
      </c>
      <c r="B377">
        <v>713</v>
      </c>
      <c r="C377">
        <v>208</v>
      </c>
      <c r="D377">
        <v>2905</v>
      </c>
      <c r="G377" t="s">
        <v>3902</v>
      </c>
      <c r="H377">
        <v>42830750000130</v>
      </c>
      <c r="I377" t="s">
        <v>3903</v>
      </c>
      <c r="J377" t="s">
        <v>4091</v>
      </c>
      <c r="K377" t="s">
        <v>4091</v>
      </c>
      <c r="L377" t="s">
        <v>3905</v>
      </c>
      <c r="N377" t="s">
        <v>4594</v>
      </c>
      <c r="P377" t="s">
        <v>3907</v>
      </c>
      <c r="Q377" t="s">
        <v>1094</v>
      </c>
      <c r="R377" t="s">
        <v>790</v>
      </c>
      <c r="T377" t="s">
        <v>1704</v>
      </c>
      <c r="U377" t="s">
        <v>319</v>
      </c>
      <c r="V377" t="s">
        <v>3409</v>
      </c>
      <c r="X377">
        <v>2100</v>
      </c>
      <c r="Y377">
        <v>0</v>
      </c>
      <c r="AA377">
        <v>43</v>
      </c>
      <c r="AB377" s="31">
        <v>45988</v>
      </c>
      <c r="AC377" s="61">
        <v>0.71693287037037035</v>
      </c>
      <c r="AD377" t="s">
        <v>795</v>
      </c>
      <c r="AE377" s="31">
        <v>46031</v>
      </c>
      <c r="AF377" s="61">
        <v>0.50325231481481481</v>
      </c>
      <c r="AG377" t="s">
        <v>796</v>
      </c>
      <c r="AI377" t="s">
        <v>4243</v>
      </c>
      <c r="AL377" t="s">
        <v>2326</v>
      </c>
      <c r="AR377">
        <v>1</v>
      </c>
    </row>
    <row r="378" spans="1:44" x14ac:dyDescent="0.25">
      <c r="A378" t="s">
        <v>31</v>
      </c>
      <c r="B378">
        <v>715</v>
      </c>
      <c r="C378">
        <v>191</v>
      </c>
      <c r="D378">
        <v>2911</v>
      </c>
      <c r="G378" t="s">
        <v>4245</v>
      </c>
      <c r="H378">
        <v>18628799000120</v>
      </c>
      <c r="I378" t="s">
        <v>3734</v>
      </c>
      <c r="J378" t="s">
        <v>3735</v>
      </c>
      <c r="K378" t="s">
        <v>3735</v>
      </c>
      <c r="L378" t="s">
        <v>2216</v>
      </c>
      <c r="N378" t="s">
        <v>2217</v>
      </c>
      <c r="P378" t="s">
        <v>3736</v>
      </c>
      <c r="Q378" t="s">
        <v>1094</v>
      </c>
      <c r="R378" t="s">
        <v>790</v>
      </c>
      <c r="U378" t="s">
        <v>319</v>
      </c>
      <c r="V378" t="s">
        <v>3417</v>
      </c>
      <c r="X378">
        <v>62091</v>
      </c>
      <c r="Y378">
        <v>0</v>
      </c>
      <c r="AA378">
        <v>5</v>
      </c>
      <c r="AB378" s="31">
        <v>45989</v>
      </c>
      <c r="AC378" s="61">
        <v>0.67053240740740738</v>
      </c>
      <c r="AD378" t="s">
        <v>795</v>
      </c>
      <c r="AE378" s="31">
        <v>45994</v>
      </c>
      <c r="AF378" s="61">
        <v>0.42509259259259258</v>
      </c>
      <c r="AG378" t="s">
        <v>796</v>
      </c>
      <c r="AR378">
        <v>1</v>
      </c>
    </row>
    <row r="379" spans="1:44" x14ac:dyDescent="0.25">
      <c r="A379" t="s">
        <v>31</v>
      </c>
      <c r="B379">
        <v>716</v>
      </c>
      <c r="D379">
        <v>2912</v>
      </c>
      <c r="G379" t="s">
        <v>4246</v>
      </c>
      <c r="H379">
        <v>38160619000136</v>
      </c>
      <c r="J379" t="s">
        <v>4198</v>
      </c>
      <c r="K379" t="s">
        <v>4198</v>
      </c>
      <c r="L379" t="s">
        <v>4199</v>
      </c>
      <c r="N379" t="s">
        <v>4200</v>
      </c>
      <c r="P379" t="s">
        <v>778</v>
      </c>
      <c r="U379" t="s">
        <v>319</v>
      </c>
      <c r="V379" t="s">
        <v>816</v>
      </c>
      <c r="X379">
        <v>714</v>
      </c>
      <c r="Y379">
        <v>0</v>
      </c>
      <c r="AA379">
        <v>0</v>
      </c>
      <c r="AB379" s="31">
        <v>45989</v>
      </c>
      <c r="AC379" s="61">
        <v>0.6887268518518519</v>
      </c>
      <c r="AD379" t="s">
        <v>818</v>
      </c>
      <c r="AE379" s="31">
        <v>45989</v>
      </c>
      <c r="AF379" s="61">
        <v>0.70133101851851853</v>
      </c>
      <c r="AI379" t="s">
        <v>4247</v>
      </c>
      <c r="AR379">
        <v>1</v>
      </c>
    </row>
    <row r="380" spans="1:44" x14ac:dyDescent="0.25">
      <c r="A380" t="s">
        <v>31</v>
      </c>
      <c r="B380">
        <v>720</v>
      </c>
      <c r="C380">
        <v>147</v>
      </c>
      <c r="D380">
        <v>2956</v>
      </c>
      <c r="G380" t="s">
        <v>4248</v>
      </c>
      <c r="H380">
        <v>7964558000136</v>
      </c>
      <c r="I380" t="s">
        <v>3430</v>
      </c>
      <c r="J380" t="s">
        <v>1317</v>
      </c>
      <c r="K380" t="s">
        <v>1317</v>
      </c>
      <c r="L380" t="s">
        <v>3515</v>
      </c>
      <c r="N380" t="s">
        <v>3433</v>
      </c>
      <c r="P380" t="s">
        <v>778</v>
      </c>
      <c r="T380" t="s">
        <v>1704</v>
      </c>
      <c r="U380" t="s">
        <v>319</v>
      </c>
      <c r="V380" t="s">
        <v>3606</v>
      </c>
      <c r="X380">
        <v>5040</v>
      </c>
      <c r="Y380">
        <v>114048</v>
      </c>
      <c r="AA380">
        <v>134</v>
      </c>
      <c r="AB380" s="31">
        <v>45993</v>
      </c>
      <c r="AC380" s="61">
        <v>0.49560185185185179</v>
      </c>
      <c r="AD380" t="s">
        <v>782</v>
      </c>
      <c r="AE380" s="31"/>
      <c r="AF380" s="61"/>
      <c r="AI380" t="s">
        <v>2452</v>
      </c>
      <c r="AJ380" t="s">
        <v>2452</v>
      </c>
      <c r="AL380" t="s">
        <v>2510</v>
      </c>
      <c r="AM380">
        <v>90</v>
      </c>
      <c r="AR380">
        <v>1</v>
      </c>
    </row>
    <row r="381" spans="1:44" x14ac:dyDescent="0.25">
      <c r="A381" t="s">
        <v>31</v>
      </c>
      <c r="B381">
        <v>721</v>
      </c>
      <c r="C381">
        <v>190</v>
      </c>
      <c r="D381">
        <v>2957</v>
      </c>
      <c r="G381" t="s">
        <v>4249</v>
      </c>
      <c r="H381">
        <v>18203215000175</v>
      </c>
      <c r="I381" t="s">
        <v>3690</v>
      </c>
      <c r="J381" t="s">
        <v>4210</v>
      </c>
      <c r="K381" t="s">
        <v>4210</v>
      </c>
      <c r="L381" t="s">
        <v>3692</v>
      </c>
      <c r="N381" t="s">
        <v>3693</v>
      </c>
      <c r="P381" t="s">
        <v>3694</v>
      </c>
      <c r="Q381" t="s">
        <v>3695</v>
      </c>
      <c r="R381" t="s">
        <v>790</v>
      </c>
      <c r="T381" t="s">
        <v>1704</v>
      </c>
      <c r="U381" t="s">
        <v>319</v>
      </c>
      <c r="V381" t="s">
        <v>816</v>
      </c>
      <c r="X381">
        <v>7000</v>
      </c>
      <c r="Y381">
        <v>0</v>
      </c>
      <c r="AA381">
        <v>8</v>
      </c>
      <c r="AB381" s="31">
        <v>45994</v>
      </c>
      <c r="AC381" s="61">
        <v>0.48918981481481483</v>
      </c>
      <c r="AD381" t="s">
        <v>818</v>
      </c>
      <c r="AE381" s="31">
        <v>46002</v>
      </c>
      <c r="AF381" s="61">
        <v>0.68612268518518515</v>
      </c>
      <c r="AI381" t="s">
        <v>2465</v>
      </c>
      <c r="AJ381" t="s">
        <v>2465</v>
      </c>
      <c r="AR381">
        <v>1</v>
      </c>
    </row>
    <row r="382" spans="1:44" x14ac:dyDescent="0.25">
      <c r="A382" t="s">
        <v>31</v>
      </c>
      <c r="B382">
        <v>722</v>
      </c>
      <c r="C382">
        <v>195</v>
      </c>
      <c r="D382">
        <v>2964</v>
      </c>
      <c r="G382" t="s">
        <v>4250</v>
      </c>
      <c r="H382">
        <v>49682710000138</v>
      </c>
      <c r="I382" t="s">
        <v>4059</v>
      </c>
      <c r="J382" t="s">
        <v>4060</v>
      </c>
      <c r="K382" t="s">
        <v>4060</v>
      </c>
      <c r="L382" t="s">
        <v>4061</v>
      </c>
      <c r="N382" t="s">
        <v>4062</v>
      </c>
      <c r="P382" t="s">
        <v>4063</v>
      </c>
      <c r="Q382" t="s">
        <v>1633</v>
      </c>
      <c r="R382" t="s">
        <v>848</v>
      </c>
      <c r="U382" t="s">
        <v>319</v>
      </c>
      <c r="V382" t="s">
        <v>816</v>
      </c>
      <c r="X382">
        <v>7200</v>
      </c>
      <c r="Y382">
        <v>0</v>
      </c>
      <c r="AA382">
        <v>0</v>
      </c>
      <c r="AB382" s="31">
        <v>45996</v>
      </c>
      <c r="AC382" s="61">
        <v>0.39057870370370368</v>
      </c>
      <c r="AD382" t="s">
        <v>818</v>
      </c>
      <c r="AE382" s="31">
        <v>45996</v>
      </c>
      <c r="AF382" s="61">
        <v>0.41447916666666668</v>
      </c>
      <c r="AI382" t="s">
        <v>2459</v>
      </c>
      <c r="AR382">
        <v>1</v>
      </c>
    </row>
    <row r="383" spans="1:44" x14ac:dyDescent="0.25">
      <c r="A383" t="s">
        <v>31</v>
      </c>
      <c r="B383">
        <v>723</v>
      </c>
      <c r="C383">
        <v>197</v>
      </c>
      <c r="D383">
        <v>2965</v>
      </c>
      <c r="G383" t="s">
        <v>4251</v>
      </c>
      <c r="H383">
        <v>8616236000169</v>
      </c>
      <c r="I383" t="s">
        <v>3726</v>
      </c>
      <c r="J383" t="s">
        <v>704</v>
      </c>
      <c r="K383" t="s">
        <v>704</v>
      </c>
      <c r="L383" t="s">
        <v>3727</v>
      </c>
      <c r="N383" t="s">
        <v>3728</v>
      </c>
      <c r="P383" t="s">
        <v>3729</v>
      </c>
      <c r="Q383" t="s">
        <v>3687</v>
      </c>
      <c r="R383" t="s">
        <v>790</v>
      </c>
      <c r="T383" t="s">
        <v>1581</v>
      </c>
      <c r="U383" t="s">
        <v>319</v>
      </c>
      <c r="V383" t="s">
        <v>816</v>
      </c>
      <c r="X383">
        <v>2856</v>
      </c>
      <c r="Y383">
        <v>60588</v>
      </c>
      <c r="AA383">
        <v>38</v>
      </c>
      <c r="AB383" s="31">
        <v>45996</v>
      </c>
      <c r="AC383" s="61">
        <v>0.70861111111111108</v>
      </c>
      <c r="AD383" t="s">
        <v>795</v>
      </c>
      <c r="AE383" s="31">
        <v>46034</v>
      </c>
      <c r="AF383" s="61">
        <v>0.46759259259259262</v>
      </c>
      <c r="AG383" t="s">
        <v>934</v>
      </c>
      <c r="AI383" t="s">
        <v>2459</v>
      </c>
      <c r="AJ383" t="s">
        <v>2459</v>
      </c>
      <c r="AL383" t="s">
        <v>2519</v>
      </c>
      <c r="AR383">
        <v>1</v>
      </c>
    </row>
    <row r="384" spans="1:44" x14ac:dyDescent="0.25">
      <c r="A384" t="s">
        <v>31</v>
      </c>
      <c r="B384">
        <v>724</v>
      </c>
      <c r="C384">
        <v>180</v>
      </c>
      <c r="D384">
        <v>2968</v>
      </c>
      <c r="G384" t="s">
        <v>4252</v>
      </c>
      <c r="H384">
        <v>7287290000226</v>
      </c>
      <c r="I384" t="s">
        <v>3561</v>
      </c>
      <c r="J384" t="s">
        <v>3922</v>
      </c>
      <c r="K384" t="s">
        <v>3922</v>
      </c>
      <c r="L384" t="s">
        <v>3563</v>
      </c>
      <c r="N384" t="s">
        <v>3564</v>
      </c>
      <c r="P384" t="s">
        <v>3565</v>
      </c>
      <c r="Q384" t="s">
        <v>3566</v>
      </c>
      <c r="R384" t="s">
        <v>790</v>
      </c>
      <c r="T384" t="s">
        <v>1419</v>
      </c>
      <c r="U384" t="s">
        <v>319</v>
      </c>
      <c r="V384" t="s">
        <v>3417</v>
      </c>
      <c r="X384">
        <v>669483</v>
      </c>
      <c r="Y384">
        <v>0</v>
      </c>
      <c r="AA384">
        <v>28</v>
      </c>
      <c r="AB384" s="31">
        <v>45999</v>
      </c>
      <c r="AC384" s="61">
        <v>0.47325231481481478</v>
      </c>
      <c r="AD384" t="s">
        <v>795</v>
      </c>
      <c r="AE384" s="31">
        <v>46027</v>
      </c>
      <c r="AF384" s="61">
        <v>0.60864583333333333</v>
      </c>
      <c r="AG384" t="s">
        <v>934</v>
      </c>
      <c r="AI384" t="s">
        <v>4253</v>
      </c>
      <c r="AL384" t="s">
        <v>2520</v>
      </c>
      <c r="AR384">
        <v>1</v>
      </c>
    </row>
    <row r="385" spans="1:44" x14ac:dyDescent="0.25">
      <c r="A385" t="s">
        <v>31</v>
      </c>
      <c r="B385">
        <v>738</v>
      </c>
      <c r="C385">
        <v>133</v>
      </c>
      <c r="D385">
        <v>2990</v>
      </c>
      <c r="G385" t="s">
        <v>4254</v>
      </c>
      <c r="H385">
        <v>9517464000144</v>
      </c>
      <c r="I385" t="s">
        <v>625</v>
      </c>
      <c r="J385" t="s">
        <v>4255</v>
      </c>
      <c r="K385" t="s">
        <v>4255</v>
      </c>
      <c r="L385" t="s">
        <v>3584</v>
      </c>
      <c r="N385" t="s">
        <v>2207</v>
      </c>
      <c r="P385" t="s">
        <v>778</v>
      </c>
      <c r="T385" t="s">
        <v>1704</v>
      </c>
      <c r="U385" t="s">
        <v>319</v>
      </c>
      <c r="V385" t="s">
        <v>816</v>
      </c>
      <c r="X385">
        <v>3570</v>
      </c>
      <c r="Y385">
        <v>0</v>
      </c>
      <c r="AA385">
        <v>1</v>
      </c>
      <c r="AB385" s="31">
        <v>46002</v>
      </c>
      <c r="AC385" s="61">
        <v>0.69379629629629624</v>
      </c>
      <c r="AD385" t="s">
        <v>818</v>
      </c>
      <c r="AE385" s="31">
        <v>46003</v>
      </c>
      <c r="AF385" s="61">
        <v>0.74067129629629624</v>
      </c>
      <c r="AI385" t="s">
        <v>4256</v>
      </c>
      <c r="AJ385" t="s">
        <v>4256</v>
      </c>
      <c r="AL385" t="s">
        <v>2326</v>
      </c>
      <c r="AR385">
        <v>1</v>
      </c>
    </row>
    <row r="386" spans="1:44" x14ac:dyDescent="0.25">
      <c r="A386" t="s">
        <v>31</v>
      </c>
      <c r="B386">
        <v>743</v>
      </c>
      <c r="D386">
        <v>2998</v>
      </c>
      <c r="G386" t="s">
        <v>4191</v>
      </c>
      <c r="H386">
        <v>49119936000125</v>
      </c>
      <c r="J386" t="s">
        <v>1288</v>
      </c>
      <c r="K386" t="s">
        <v>1288</v>
      </c>
      <c r="L386" t="s">
        <v>4193</v>
      </c>
      <c r="N386" t="s">
        <v>4096</v>
      </c>
      <c r="P386" t="s">
        <v>778</v>
      </c>
      <c r="T386" t="s">
        <v>1718</v>
      </c>
      <c r="U386" t="s">
        <v>319</v>
      </c>
      <c r="V386" t="s">
        <v>3417</v>
      </c>
      <c r="X386">
        <v>0</v>
      </c>
      <c r="Y386">
        <v>26136</v>
      </c>
      <c r="AA386">
        <v>33</v>
      </c>
      <c r="AB386" s="31">
        <v>46008</v>
      </c>
      <c r="AC386" s="61">
        <v>0.69160879629629635</v>
      </c>
      <c r="AD386" t="s">
        <v>795</v>
      </c>
      <c r="AE386" s="31">
        <v>46041</v>
      </c>
      <c r="AF386" s="61">
        <v>0.43174768518518519</v>
      </c>
      <c r="AG386" t="s">
        <v>934</v>
      </c>
      <c r="AI386" t="s">
        <v>4257</v>
      </c>
      <c r="AJ386" t="s">
        <v>4257</v>
      </c>
      <c r="AL386" t="s">
        <v>4257</v>
      </c>
      <c r="AR386">
        <v>1</v>
      </c>
    </row>
    <row r="387" spans="1:44" x14ac:dyDescent="0.25">
      <c r="A387" t="s">
        <v>31</v>
      </c>
      <c r="B387">
        <v>744</v>
      </c>
      <c r="C387">
        <v>134</v>
      </c>
      <c r="D387">
        <v>2999</v>
      </c>
      <c r="G387" t="s">
        <v>3863</v>
      </c>
      <c r="I387" t="s">
        <v>3377</v>
      </c>
      <c r="J387" t="s">
        <v>3985</v>
      </c>
      <c r="K387" t="s">
        <v>3985</v>
      </c>
      <c r="L387" t="s">
        <v>3830</v>
      </c>
      <c r="N387" t="s">
        <v>3379</v>
      </c>
      <c r="P387" t="s">
        <v>778</v>
      </c>
      <c r="U387" t="s">
        <v>319</v>
      </c>
      <c r="V387" t="s">
        <v>816</v>
      </c>
      <c r="X387">
        <v>9867</v>
      </c>
      <c r="Y387">
        <v>8000</v>
      </c>
      <c r="AA387">
        <v>21</v>
      </c>
      <c r="AB387" s="31">
        <v>46008</v>
      </c>
      <c r="AC387" s="61">
        <v>0.702662037037037</v>
      </c>
      <c r="AD387" t="s">
        <v>818</v>
      </c>
      <c r="AE387" s="31">
        <v>46029</v>
      </c>
      <c r="AF387" s="61">
        <v>0.45002314814814809</v>
      </c>
      <c r="AI387" t="s">
        <v>4257</v>
      </c>
      <c r="AJ387" t="s">
        <v>4258</v>
      </c>
      <c r="AL387" t="s">
        <v>4259</v>
      </c>
      <c r="AR387">
        <v>1</v>
      </c>
    </row>
    <row r="388" spans="1:44" x14ac:dyDescent="0.25">
      <c r="A388" t="s">
        <v>31</v>
      </c>
      <c r="B388">
        <v>745</v>
      </c>
      <c r="C388">
        <v>122</v>
      </c>
      <c r="D388">
        <v>137</v>
      </c>
      <c r="G388" t="s">
        <v>4260</v>
      </c>
      <c r="I388" t="s">
        <v>680</v>
      </c>
      <c r="J388" t="s">
        <v>680</v>
      </c>
      <c r="K388" t="s">
        <v>680</v>
      </c>
      <c r="L388">
        <v>1126751375</v>
      </c>
      <c r="N388" t="s">
        <v>3351</v>
      </c>
      <c r="P388" t="s">
        <v>778</v>
      </c>
      <c r="T388" t="s">
        <v>1718</v>
      </c>
      <c r="U388" t="s">
        <v>319</v>
      </c>
      <c r="V388" t="s">
        <v>3417</v>
      </c>
      <c r="X388">
        <v>3360</v>
      </c>
      <c r="Y388">
        <v>0</v>
      </c>
      <c r="AA388">
        <v>31</v>
      </c>
      <c r="AB388" s="31">
        <v>46010</v>
      </c>
      <c r="AC388" s="61">
        <v>0.45038194444444452</v>
      </c>
      <c r="AD388" t="s">
        <v>795</v>
      </c>
      <c r="AE388" s="31">
        <v>46041</v>
      </c>
      <c r="AF388" s="61">
        <v>0.37591435185185179</v>
      </c>
      <c r="AG388" t="s">
        <v>796</v>
      </c>
      <c r="AI388" t="s">
        <v>4261</v>
      </c>
      <c r="AJ388" t="s">
        <v>4262</v>
      </c>
      <c r="AL388" t="s">
        <v>4261</v>
      </c>
      <c r="AR388">
        <v>1</v>
      </c>
    </row>
    <row r="389" spans="1:44" x14ac:dyDescent="0.25">
      <c r="A389" t="s">
        <v>31</v>
      </c>
      <c r="B389">
        <v>751</v>
      </c>
      <c r="D389">
        <v>3019</v>
      </c>
      <c r="G389" t="s">
        <v>4263</v>
      </c>
      <c r="H389">
        <v>38160619000136</v>
      </c>
      <c r="J389" t="s">
        <v>4198</v>
      </c>
      <c r="K389" t="s">
        <v>4198</v>
      </c>
      <c r="L389" t="s">
        <v>4199</v>
      </c>
      <c r="N389" t="s">
        <v>4200</v>
      </c>
      <c r="P389" t="s">
        <v>778</v>
      </c>
      <c r="T389" t="s">
        <v>1718</v>
      </c>
      <c r="U389" t="s">
        <v>319</v>
      </c>
      <c r="V389" t="s">
        <v>3417</v>
      </c>
      <c r="X389">
        <v>13100</v>
      </c>
      <c r="Y389">
        <v>1700</v>
      </c>
      <c r="AA389">
        <v>62</v>
      </c>
      <c r="AB389" s="31">
        <v>46028</v>
      </c>
      <c r="AC389" s="61">
        <v>0.47716435185185191</v>
      </c>
      <c r="AD389" t="s">
        <v>795</v>
      </c>
      <c r="AE389" s="31">
        <v>46090</v>
      </c>
      <c r="AF389" s="61">
        <v>0.73898148148148146</v>
      </c>
      <c r="AG389" t="s">
        <v>796</v>
      </c>
      <c r="AI389" t="s">
        <v>4264</v>
      </c>
      <c r="AL389" t="s">
        <v>4264</v>
      </c>
      <c r="AM389">
        <v>30</v>
      </c>
      <c r="AR389">
        <v>1</v>
      </c>
    </row>
    <row r="390" spans="1:44" x14ac:dyDescent="0.25">
      <c r="A390" t="s">
        <v>31</v>
      </c>
      <c r="B390">
        <v>752</v>
      </c>
      <c r="C390">
        <v>0</v>
      </c>
      <c r="D390">
        <v>3020</v>
      </c>
      <c r="G390" t="s">
        <v>4265</v>
      </c>
      <c r="H390">
        <v>38160619000136</v>
      </c>
      <c r="J390" t="s">
        <v>4198</v>
      </c>
      <c r="K390" t="s">
        <v>4198</v>
      </c>
      <c r="L390" t="s">
        <v>4199</v>
      </c>
      <c r="N390" t="s">
        <v>4200</v>
      </c>
      <c r="P390" t="s">
        <v>778</v>
      </c>
      <c r="T390" t="s">
        <v>1718</v>
      </c>
      <c r="U390" t="s">
        <v>319</v>
      </c>
      <c r="V390" t="s">
        <v>781</v>
      </c>
      <c r="AA390">
        <v>37</v>
      </c>
      <c r="AB390" s="31">
        <v>46028</v>
      </c>
      <c r="AC390" s="61">
        <v>0.49056712962962962</v>
      </c>
      <c r="AD390" t="s">
        <v>795</v>
      </c>
      <c r="AE390" s="31">
        <v>46065</v>
      </c>
      <c r="AF390" s="61">
        <v>0.7333912037037037</v>
      </c>
      <c r="AG390" t="s">
        <v>796</v>
      </c>
      <c r="AL390" t="s">
        <v>4264</v>
      </c>
      <c r="AM390">
        <v>30</v>
      </c>
      <c r="AR390">
        <v>1</v>
      </c>
    </row>
    <row r="391" spans="1:44" x14ac:dyDescent="0.25">
      <c r="A391" t="s">
        <v>31</v>
      </c>
      <c r="B391">
        <v>753</v>
      </c>
      <c r="C391">
        <v>152</v>
      </c>
      <c r="D391">
        <v>3021</v>
      </c>
      <c r="E391" t="s">
        <v>4598</v>
      </c>
      <c r="G391" t="s">
        <v>3661</v>
      </c>
      <c r="I391" t="s">
        <v>3445</v>
      </c>
      <c r="J391" t="s">
        <v>4273</v>
      </c>
      <c r="K391" t="s">
        <v>4273</v>
      </c>
      <c r="L391" t="s">
        <v>3621</v>
      </c>
      <c r="N391" t="s">
        <v>3448</v>
      </c>
      <c r="P391" t="s">
        <v>778</v>
      </c>
      <c r="T391" t="s">
        <v>1718</v>
      </c>
      <c r="U391" t="s">
        <v>319</v>
      </c>
      <c r="V391" t="s">
        <v>3417</v>
      </c>
      <c r="X391">
        <v>12351</v>
      </c>
      <c r="Y391">
        <v>0</v>
      </c>
      <c r="AA391">
        <v>30</v>
      </c>
      <c r="AB391" s="31">
        <v>46028</v>
      </c>
      <c r="AC391" s="61">
        <v>0.50945601851851852</v>
      </c>
      <c r="AD391" t="s">
        <v>795</v>
      </c>
      <c r="AE391" s="31">
        <v>46058</v>
      </c>
      <c r="AF391" s="61">
        <v>0.60276620370370371</v>
      </c>
      <c r="AG391" t="s">
        <v>3463</v>
      </c>
      <c r="AI391" t="s">
        <v>4264</v>
      </c>
      <c r="AL391" t="s">
        <v>2990</v>
      </c>
      <c r="AR391">
        <v>1</v>
      </c>
    </row>
    <row r="392" spans="1:44" x14ac:dyDescent="0.25">
      <c r="A392" t="s">
        <v>31</v>
      </c>
      <c r="B392">
        <v>755</v>
      </c>
      <c r="C392">
        <v>194</v>
      </c>
      <c r="D392">
        <v>3043</v>
      </c>
      <c r="G392" t="s">
        <v>4277</v>
      </c>
      <c r="H392">
        <v>44580314000186</v>
      </c>
      <c r="I392" t="s">
        <v>3682</v>
      </c>
      <c r="J392" t="s">
        <v>704</v>
      </c>
      <c r="K392" t="s">
        <v>704</v>
      </c>
      <c r="L392" t="s">
        <v>3684</v>
      </c>
      <c r="N392" t="s">
        <v>3685</v>
      </c>
      <c r="P392" t="s">
        <v>3686</v>
      </c>
      <c r="Q392" t="s">
        <v>3687</v>
      </c>
      <c r="R392" t="s">
        <v>790</v>
      </c>
      <c r="T392" t="s">
        <v>1704</v>
      </c>
      <c r="U392" t="s">
        <v>319</v>
      </c>
      <c r="V392" t="s">
        <v>816</v>
      </c>
      <c r="X392">
        <v>8100</v>
      </c>
      <c r="Y392">
        <v>1080</v>
      </c>
      <c r="AA392">
        <v>37</v>
      </c>
      <c r="AB392" s="31">
        <v>46029</v>
      </c>
      <c r="AC392" s="61">
        <v>0.7151967592592593</v>
      </c>
      <c r="AD392" t="s">
        <v>818</v>
      </c>
      <c r="AE392" s="31">
        <v>46066</v>
      </c>
      <c r="AF392" s="61">
        <v>0.39057870370370368</v>
      </c>
      <c r="AI392" t="s">
        <v>4278</v>
      </c>
      <c r="AJ392" t="s">
        <v>4278</v>
      </c>
      <c r="AL392" t="s">
        <v>4278</v>
      </c>
      <c r="AM392">
        <v>90</v>
      </c>
      <c r="AR392">
        <v>1</v>
      </c>
    </row>
    <row r="393" spans="1:44" x14ac:dyDescent="0.25">
      <c r="A393" t="s">
        <v>31</v>
      </c>
      <c r="B393">
        <v>756</v>
      </c>
      <c r="C393">
        <v>194</v>
      </c>
      <c r="D393">
        <v>3044</v>
      </c>
      <c r="G393" t="s">
        <v>233</v>
      </c>
      <c r="H393">
        <v>44580314000186</v>
      </c>
      <c r="I393" t="s">
        <v>3682</v>
      </c>
      <c r="J393" t="s">
        <v>704</v>
      </c>
      <c r="K393" t="s">
        <v>704</v>
      </c>
      <c r="L393" t="s">
        <v>3684</v>
      </c>
      <c r="N393" t="s">
        <v>3685</v>
      </c>
      <c r="P393" t="s">
        <v>3686</v>
      </c>
      <c r="Q393" t="s">
        <v>3687</v>
      </c>
      <c r="R393" t="s">
        <v>790</v>
      </c>
      <c r="T393" t="s">
        <v>1718</v>
      </c>
      <c r="U393" t="s">
        <v>319</v>
      </c>
      <c r="V393" t="s">
        <v>816</v>
      </c>
      <c r="X393">
        <v>29400</v>
      </c>
      <c r="Y393">
        <v>0</v>
      </c>
      <c r="AA393">
        <v>98</v>
      </c>
      <c r="AB393" s="31">
        <v>46029</v>
      </c>
      <c r="AC393" s="61">
        <v>0.72042824074074074</v>
      </c>
      <c r="AD393" t="s">
        <v>782</v>
      </c>
      <c r="AE393" s="31"/>
      <c r="AF393" s="61"/>
      <c r="AI393" t="s">
        <v>4279</v>
      </c>
      <c r="AL393" t="s">
        <v>2591</v>
      </c>
      <c r="AM393">
        <v>30</v>
      </c>
      <c r="AR393">
        <v>1</v>
      </c>
    </row>
    <row r="394" spans="1:44" x14ac:dyDescent="0.25">
      <c r="A394" t="s">
        <v>31</v>
      </c>
      <c r="B394">
        <v>791</v>
      </c>
      <c r="C394">
        <v>182</v>
      </c>
      <c r="D394">
        <v>3085</v>
      </c>
      <c r="E394" t="s">
        <v>4599</v>
      </c>
      <c r="G394" t="s">
        <v>4600</v>
      </c>
      <c r="H394">
        <v>23873456000161</v>
      </c>
      <c r="I394" t="s">
        <v>3573</v>
      </c>
      <c r="J394" t="s">
        <v>3655</v>
      </c>
      <c r="K394" t="s">
        <v>3655</v>
      </c>
      <c r="L394" t="s">
        <v>3575</v>
      </c>
      <c r="N394" t="s">
        <v>3576</v>
      </c>
      <c r="P394" t="s">
        <v>3577</v>
      </c>
      <c r="Q394" t="s">
        <v>1837</v>
      </c>
      <c r="R394" t="s">
        <v>790</v>
      </c>
      <c r="U394" t="s">
        <v>319</v>
      </c>
      <c r="V394" t="s">
        <v>3417</v>
      </c>
      <c r="X394">
        <v>16200</v>
      </c>
      <c r="Y394">
        <v>7128</v>
      </c>
      <c r="AA394">
        <v>8</v>
      </c>
      <c r="AB394" s="31">
        <v>46035</v>
      </c>
      <c r="AC394" s="61">
        <v>0.70474537037037033</v>
      </c>
      <c r="AD394" t="s">
        <v>795</v>
      </c>
      <c r="AE394" s="31">
        <v>46043</v>
      </c>
      <c r="AF394" s="61">
        <v>0.3976736111111111</v>
      </c>
      <c r="AG394" t="s">
        <v>3463</v>
      </c>
      <c r="AI394" t="s">
        <v>2770</v>
      </c>
      <c r="AJ394" t="s">
        <v>2770</v>
      </c>
      <c r="AL394" t="s">
        <v>2770</v>
      </c>
      <c r="AR394">
        <v>1</v>
      </c>
    </row>
    <row r="395" spans="1:44" x14ac:dyDescent="0.25">
      <c r="A395" t="s">
        <v>31</v>
      </c>
      <c r="B395">
        <v>797</v>
      </c>
      <c r="C395">
        <v>103</v>
      </c>
      <c r="D395">
        <v>3089</v>
      </c>
      <c r="E395" t="s">
        <v>4601</v>
      </c>
      <c r="G395" t="s">
        <v>4602</v>
      </c>
      <c r="H395">
        <v>12549273000179</v>
      </c>
      <c r="I395" t="s">
        <v>3309</v>
      </c>
      <c r="J395" t="s">
        <v>4297</v>
      </c>
      <c r="K395" t="s">
        <v>4297</v>
      </c>
      <c r="N395" t="s">
        <v>3312</v>
      </c>
      <c r="P395" t="s">
        <v>3313</v>
      </c>
      <c r="Q395" t="s">
        <v>1596</v>
      </c>
      <c r="R395" t="s">
        <v>790</v>
      </c>
      <c r="T395" t="s">
        <v>1718</v>
      </c>
      <c r="U395" t="s">
        <v>319</v>
      </c>
      <c r="V395" t="s">
        <v>816</v>
      </c>
      <c r="X395">
        <v>3000</v>
      </c>
      <c r="Y395">
        <v>0</v>
      </c>
      <c r="AA395">
        <v>29</v>
      </c>
      <c r="AB395" s="31">
        <v>46036</v>
      </c>
      <c r="AC395" s="61">
        <v>0.4802777777777778</v>
      </c>
      <c r="AD395" t="s">
        <v>818</v>
      </c>
      <c r="AE395" s="31">
        <v>46065</v>
      </c>
      <c r="AF395" s="61">
        <v>0.67753472222222222</v>
      </c>
      <c r="AI395" t="s">
        <v>2808</v>
      </c>
      <c r="AJ395" t="s">
        <v>2770</v>
      </c>
      <c r="AL395" t="s">
        <v>4603</v>
      </c>
      <c r="AM395">
        <v>30</v>
      </c>
      <c r="AR395">
        <v>1</v>
      </c>
    </row>
    <row r="396" spans="1:44" x14ac:dyDescent="0.25">
      <c r="A396" t="s">
        <v>31</v>
      </c>
      <c r="B396">
        <v>798</v>
      </c>
      <c r="C396">
        <v>149</v>
      </c>
      <c r="D396">
        <v>3090</v>
      </c>
      <c r="E396" t="s">
        <v>4300</v>
      </c>
      <c r="G396" t="s">
        <v>4301</v>
      </c>
      <c r="H396">
        <v>12418196000118</v>
      </c>
      <c r="I396" t="s">
        <v>3645</v>
      </c>
      <c r="J396" t="s">
        <v>3878</v>
      </c>
      <c r="K396" t="s">
        <v>3878</v>
      </c>
      <c r="L396" t="s">
        <v>3647</v>
      </c>
      <c r="N396" t="s">
        <v>3648</v>
      </c>
      <c r="P396" t="s">
        <v>778</v>
      </c>
      <c r="U396" t="s">
        <v>319</v>
      </c>
      <c r="V396" t="s">
        <v>3606</v>
      </c>
      <c r="AA396">
        <v>0</v>
      </c>
      <c r="AB396" s="31">
        <v>46036</v>
      </c>
      <c r="AC396" s="61">
        <v>0.52998842592592588</v>
      </c>
      <c r="AD396" t="s">
        <v>795</v>
      </c>
      <c r="AE396" s="31">
        <v>46036</v>
      </c>
      <c r="AF396" s="61">
        <v>0.53285879629629629</v>
      </c>
      <c r="AG396" t="s">
        <v>1358</v>
      </c>
      <c r="AJ396" t="s">
        <v>2770</v>
      </c>
      <c r="AL396" t="s">
        <v>2808</v>
      </c>
      <c r="AR396">
        <v>1</v>
      </c>
    </row>
    <row r="397" spans="1:44" x14ac:dyDescent="0.25">
      <c r="A397" t="s">
        <v>31</v>
      </c>
      <c r="B397">
        <v>801</v>
      </c>
      <c r="C397">
        <v>211</v>
      </c>
      <c r="D397">
        <v>3097</v>
      </c>
      <c r="E397" t="s">
        <v>4302</v>
      </c>
      <c r="G397" t="s">
        <v>4303</v>
      </c>
      <c r="H397">
        <v>5691820000190</v>
      </c>
      <c r="I397" t="s">
        <v>3912</v>
      </c>
      <c r="J397" t="s">
        <v>3431</v>
      </c>
      <c r="K397" t="s">
        <v>3431</v>
      </c>
      <c r="L397" t="s">
        <v>3913</v>
      </c>
      <c r="N397" t="s">
        <v>3914</v>
      </c>
      <c r="P397" t="s">
        <v>3915</v>
      </c>
      <c r="Q397" t="s">
        <v>1026</v>
      </c>
      <c r="R397" t="s">
        <v>1027</v>
      </c>
      <c r="U397" t="s">
        <v>319</v>
      </c>
      <c r="V397" t="s">
        <v>816</v>
      </c>
      <c r="X397">
        <v>2310</v>
      </c>
      <c r="Y397">
        <v>0</v>
      </c>
      <c r="AA397">
        <v>4</v>
      </c>
      <c r="AB397" s="31">
        <v>46038</v>
      </c>
      <c r="AC397" s="61">
        <v>0.64081018518518518</v>
      </c>
      <c r="AD397" t="s">
        <v>818</v>
      </c>
      <c r="AE397" s="31">
        <v>46042</v>
      </c>
      <c r="AF397" s="61">
        <v>0.42754629629629631</v>
      </c>
      <c r="AI397" t="s">
        <v>4304</v>
      </c>
      <c r="AL397" t="s">
        <v>2829</v>
      </c>
      <c r="AR397">
        <v>1</v>
      </c>
    </row>
    <row r="398" spans="1:44" x14ac:dyDescent="0.25">
      <c r="A398" t="s">
        <v>31</v>
      </c>
      <c r="B398">
        <v>802</v>
      </c>
      <c r="C398">
        <v>208</v>
      </c>
      <c r="D398">
        <v>3098</v>
      </c>
      <c r="G398" t="s">
        <v>4305</v>
      </c>
      <c r="H398">
        <v>42830750000130</v>
      </c>
      <c r="I398" t="s">
        <v>3903</v>
      </c>
      <c r="J398" t="s">
        <v>1804</v>
      </c>
      <c r="K398" t="s">
        <v>1804</v>
      </c>
      <c r="L398" t="s">
        <v>3905</v>
      </c>
      <c r="N398" t="s">
        <v>4594</v>
      </c>
      <c r="P398" t="s">
        <v>3907</v>
      </c>
      <c r="Q398" t="s">
        <v>1094</v>
      </c>
      <c r="R398" t="s">
        <v>790</v>
      </c>
      <c r="U398" t="s">
        <v>319</v>
      </c>
      <c r="V398" t="s">
        <v>816</v>
      </c>
      <c r="X398">
        <v>2100</v>
      </c>
      <c r="Y398">
        <v>0</v>
      </c>
      <c r="AA398">
        <v>0</v>
      </c>
      <c r="AB398" s="31">
        <v>46038</v>
      </c>
      <c r="AC398" s="61">
        <v>0.64391203703703703</v>
      </c>
      <c r="AD398" t="s">
        <v>818</v>
      </c>
      <c r="AE398" s="31">
        <v>46038</v>
      </c>
      <c r="AF398" s="61">
        <v>0.67453703703703705</v>
      </c>
      <c r="AI398" t="s">
        <v>4304</v>
      </c>
      <c r="AL398" t="s">
        <v>4304</v>
      </c>
      <c r="AR398">
        <v>1</v>
      </c>
    </row>
    <row r="399" spans="1:44" x14ac:dyDescent="0.25">
      <c r="A399" t="s">
        <v>31</v>
      </c>
      <c r="B399">
        <v>806</v>
      </c>
      <c r="C399">
        <v>185</v>
      </c>
      <c r="D399">
        <v>3100</v>
      </c>
      <c r="G399" t="s">
        <v>4306</v>
      </c>
      <c r="H399">
        <v>51496785000176</v>
      </c>
      <c r="I399" t="s">
        <v>3599</v>
      </c>
      <c r="J399" t="s">
        <v>3600</v>
      </c>
      <c r="K399" t="s">
        <v>3600</v>
      </c>
      <c r="L399" t="s">
        <v>3601</v>
      </c>
      <c r="N399" t="s">
        <v>3602</v>
      </c>
      <c r="P399" t="s">
        <v>3603</v>
      </c>
      <c r="Q399" t="s">
        <v>847</v>
      </c>
      <c r="R399" t="s">
        <v>848</v>
      </c>
      <c r="T399" t="s">
        <v>1718</v>
      </c>
      <c r="U399" t="s">
        <v>319</v>
      </c>
      <c r="V399" t="s">
        <v>3417</v>
      </c>
      <c r="X399">
        <v>3360</v>
      </c>
      <c r="Y399">
        <v>7128</v>
      </c>
      <c r="AA399">
        <v>54</v>
      </c>
      <c r="AB399" s="31">
        <v>46038</v>
      </c>
      <c r="AC399" s="61">
        <v>0.69921296296296298</v>
      </c>
      <c r="AD399" t="s">
        <v>795</v>
      </c>
      <c r="AE399" s="31">
        <v>46092</v>
      </c>
      <c r="AF399" s="61">
        <v>0.48524305555555558</v>
      </c>
      <c r="AG399" t="s">
        <v>3463</v>
      </c>
      <c r="AI399" t="s">
        <v>4304</v>
      </c>
      <c r="AJ399" t="s">
        <v>4304</v>
      </c>
      <c r="AL399" t="s">
        <v>380</v>
      </c>
      <c r="AM399">
        <v>30</v>
      </c>
      <c r="AR399">
        <v>1</v>
      </c>
    </row>
    <row r="400" spans="1:44" x14ac:dyDescent="0.25">
      <c r="A400" t="s">
        <v>31</v>
      </c>
      <c r="B400">
        <v>807</v>
      </c>
      <c r="C400">
        <v>0</v>
      </c>
      <c r="D400">
        <v>3104</v>
      </c>
      <c r="E400" t="s">
        <v>4604</v>
      </c>
      <c r="G400" t="s">
        <v>4605</v>
      </c>
      <c r="H400">
        <v>82128935000201</v>
      </c>
      <c r="J400" t="s">
        <v>4314</v>
      </c>
      <c r="K400" t="s">
        <v>4314</v>
      </c>
      <c r="L400" t="s">
        <v>4315</v>
      </c>
      <c r="N400" t="s">
        <v>4316</v>
      </c>
      <c r="P400" t="s">
        <v>778</v>
      </c>
      <c r="S400" t="s">
        <v>2919</v>
      </c>
      <c r="U400" t="s">
        <v>4317</v>
      </c>
      <c r="V400" t="s">
        <v>4318</v>
      </c>
      <c r="AA400">
        <v>86</v>
      </c>
      <c r="AB400" s="31">
        <v>46041</v>
      </c>
      <c r="AC400" s="61">
        <v>0.36096064814814821</v>
      </c>
      <c r="AD400" t="s">
        <v>782</v>
      </c>
      <c r="AE400" s="31"/>
      <c r="AF400" s="61"/>
      <c r="AL400" t="s">
        <v>2829</v>
      </c>
      <c r="AR400">
        <v>1</v>
      </c>
    </row>
    <row r="401" spans="1:44" x14ac:dyDescent="0.25">
      <c r="A401" t="s">
        <v>31</v>
      </c>
      <c r="B401">
        <v>808</v>
      </c>
      <c r="C401">
        <v>0</v>
      </c>
      <c r="D401">
        <v>3105</v>
      </c>
      <c r="E401" t="s">
        <v>4606</v>
      </c>
      <c r="G401" t="s">
        <v>4607</v>
      </c>
      <c r="H401">
        <v>11247450000108</v>
      </c>
      <c r="J401" t="s">
        <v>1474</v>
      </c>
      <c r="K401" t="s">
        <v>1474</v>
      </c>
      <c r="L401" t="s">
        <v>4321</v>
      </c>
      <c r="N401" t="s">
        <v>4322</v>
      </c>
      <c r="P401" t="s">
        <v>778</v>
      </c>
      <c r="U401" t="s">
        <v>4317</v>
      </c>
      <c r="V401" t="s">
        <v>4318</v>
      </c>
      <c r="AA401">
        <v>86</v>
      </c>
      <c r="AB401" s="31">
        <v>46041</v>
      </c>
      <c r="AC401" s="61">
        <v>0.36554398148148148</v>
      </c>
      <c r="AD401" t="s">
        <v>782</v>
      </c>
      <c r="AE401" s="31"/>
      <c r="AF401" s="61"/>
      <c r="AL401" t="s">
        <v>2891</v>
      </c>
      <c r="AR401">
        <v>1</v>
      </c>
    </row>
    <row r="402" spans="1:44" x14ac:dyDescent="0.25">
      <c r="A402" t="s">
        <v>31</v>
      </c>
      <c r="B402">
        <v>809</v>
      </c>
      <c r="C402">
        <v>0</v>
      </c>
      <c r="D402">
        <v>3106</v>
      </c>
      <c r="E402" t="s">
        <v>4608</v>
      </c>
      <c r="G402" t="s">
        <v>4609</v>
      </c>
      <c r="H402">
        <v>32258848000101</v>
      </c>
      <c r="J402" t="s">
        <v>1540</v>
      </c>
      <c r="K402" t="s">
        <v>1540</v>
      </c>
      <c r="L402" t="s">
        <v>3493</v>
      </c>
      <c r="N402" t="s">
        <v>3437</v>
      </c>
      <c r="P402" t="s">
        <v>778</v>
      </c>
      <c r="U402" t="s">
        <v>4317</v>
      </c>
      <c r="V402" t="s">
        <v>4318</v>
      </c>
      <c r="AA402">
        <v>86</v>
      </c>
      <c r="AB402" s="31">
        <v>46041</v>
      </c>
      <c r="AC402" s="61">
        <v>0.36634259259259261</v>
      </c>
      <c r="AD402" t="s">
        <v>782</v>
      </c>
      <c r="AE402" s="31"/>
      <c r="AF402" s="61"/>
      <c r="AL402" t="s">
        <v>2890</v>
      </c>
      <c r="AR402">
        <v>1</v>
      </c>
    </row>
    <row r="403" spans="1:44" x14ac:dyDescent="0.25">
      <c r="A403" t="s">
        <v>44</v>
      </c>
      <c r="B403">
        <v>810</v>
      </c>
      <c r="C403">
        <v>0</v>
      </c>
      <c r="D403">
        <v>3107</v>
      </c>
      <c r="G403" t="s">
        <v>4325</v>
      </c>
      <c r="H403">
        <v>4150555000170</v>
      </c>
      <c r="J403" t="s">
        <v>4326</v>
      </c>
      <c r="K403" t="s">
        <v>4326</v>
      </c>
      <c r="L403" t="s">
        <v>4327</v>
      </c>
      <c r="N403" t="s">
        <v>4328</v>
      </c>
      <c r="P403" t="s">
        <v>778</v>
      </c>
      <c r="U403" t="s">
        <v>4317</v>
      </c>
      <c r="V403" t="s">
        <v>4329</v>
      </c>
      <c r="AA403">
        <v>86</v>
      </c>
      <c r="AB403" s="31">
        <v>46041</v>
      </c>
      <c r="AC403" s="61">
        <v>0.36829861111111112</v>
      </c>
      <c r="AD403" t="s">
        <v>782</v>
      </c>
      <c r="AE403" s="31"/>
      <c r="AF403" s="61"/>
      <c r="AL403" t="s">
        <v>4330</v>
      </c>
      <c r="AR403">
        <v>1</v>
      </c>
    </row>
    <row r="404" spans="1:44" x14ac:dyDescent="0.25">
      <c r="A404" t="s">
        <v>44</v>
      </c>
      <c r="B404">
        <v>811</v>
      </c>
      <c r="C404">
        <v>0</v>
      </c>
      <c r="D404">
        <v>3108</v>
      </c>
      <c r="G404" t="s">
        <v>4331</v>
      </c>
      <c r="H404">
        <v>16710794000117</v>
      </c>
      <c r="J404" t="s">
        <v>1540</v>
      </c>
      <c r="K404" t="s">
        <v>1540</v>
      </c>
      <c r="L404" t="s">
        <v>4332</v>
      </c>
      <c r="N404" t="s">
        <v>4333</v>
      </c>
      <c r="P404" t="s">
        <v>778</v>
      </c>
      <c r="U404" t="s">
        <v>4317</v>
      </c>
      <c r="V404" t="s">
        <v>4329</v>
      </c>
      <c r="AA404">
        <v>86</v>
      </c>
      <c r="AB404" s="31">
        <v>46041</v>
      </c>
      <c r="AC404" s="61">
        <v>0.37181712962962971</v>
      </c>
      <c r="AD404" t="s">
        <v>782</v>
      </c>
      <c r="AE404" s="31"/>
      <c r="AF404" s="61"/>
      <c r="AL404" t="s">
        <v>4330</v>
      </c>
      <c r="AR404">
        <v>1</v>
      </c>
    </row>
    <row r="405" spans="1:44" x14ac:dyDescent="0.25">
      <c r="A405" t="s">
        <v>44</v>
      </c>
      <c r="B405">
        <v>812</v>
      </c>
      <c r="C405">
        <v>0</v>
      </c>
      <c r="D405">
        <v>3109</v>
      </c>
      <c r="G405" t="s">
        <v>4334</v>
      </c>
      <c r="H405">
        <v>59262535000183</v>
      </c>
      <c r="J405" t="s">
        <v>4335</v>
      </c>
      <c r="K405" t="s">
        <v>4335</v>
      </c>
      <c r="L405" t="s">
        <v>4336</v>
      </c>
      <c r="N405" t="s">
        <v>4337</v>
      </c>
      <c r="P405" t="s">
        <v>778</v>
      </c>
      <c r="U405" t="s">
        <v>4317</v>
      </c>
      <c r="V405" t="s">
        <v>4329</v>
      </c>
      <c r="AA405">
        <v>86</v>
      </c>
      <c r="AB405" s="31">
        <v>46041</v>
      </c>
      <c r="AC405" s="61">
        <v>0.37361111111111112</v>
      </c>
      <c r="AD405" t="s">
        <v>782</v>
      </c>
      <c r="AE405" s="31"/>
      <c r="AF405" s="61"/>
      <c r="AL405" t="s">
        <v>4330</v>
      </c>
      <c r="AR405">
        <v>1</v>
      </c>
    </row>
    <row r="406" spans="1:44" x14ac:dyDescent="0.25">
      <c r="A406" t="s">
        <v>22</v>
      </c>
      <c r="B406">
        <v>813</v>
      </c>
      <c r="C406">
        <v>0</v>
      </c>
      <c r="D406">
        <v>3110</v>
      </c>
      <c r="G406" t="s">
        <v>4338</v>
      </c>
      <c r="H406">
        <v>8616236000169</v>
      </c>
      <c r="J406" t="s">
        <v>1499</v>
      </c>
      <c r="K406" t="s">
        <v>1499</v>
      </c>
      <c r="L406" t="s">
        <v>4339</v>
      </c>
      <c r="N406" t="s">
        <v>3728</v>
      </c>
      <c r="P406" t="s">
        <v>778</v>
      </c>
      <c r="U406" t="s">
        <v>4317</v>
      </c>
      <c r="V406" t="s">
        <v>4329</v>
      </c>
      <c r="AA406">
        <v>86</v>
      </c>
      <c r="AB406" s="31">
        <v>46041</v>
      </c>
      <c r="AC406" s="61">
        <v>0.37436342592592592</v>
      </c>
      <c r="AD406" t="s">
        <v>782</v>
      </c>
      <c r="AE406" s="31"/>
      <c r="AF406" s="61"/>
      <c r="AL406" t="s">
        <v>4330</v>
      </c>
      <c r="AR406">
        <v>1</v>
      </c>
    </row>
    <row r="407" spans="1:44" x14ac:dyDescent="0.25">
      <c r="A407" t="s">
        <v>22</v>
      </c>
      <c r="B407">
        <v>814</v>
      </c>
      <c r="C407">
        <v>0</v>
      </c>
      <c r="D407">
        <v>3114</v>
      </c>
      <c r="G407" t="s">
        <v>4340</v>
      </c>
      <c r="H407">
        <v>7527737000297</v>
      </c>
      <c r="J407" t="s">
        <v>4067</v>
      </c>
      <c r="K407" t="s">
        <v>4067</v>
      </c>
      <c r="L407" t="s">
        <v>4341</v>
      </c>
      <c r="N407" t="s">
        <v>4342</v>
      </c>
      <c r="P407" t="s">
        <v>778</v>
      </c>
      <c r="U407" t="s">
        <v>4317</v>
      </c>
      <c r="V407" t="s">
        <v>4329</v>
      </c>
      <c r="AA407">
        <v>86</v>
      </c>
      <c r="AB407" s="31">
        <v>46041</v>
      </c>
      <c r="AC407" s="61">
        <v>0.38780092592592591</v>
      </c>
      <c r="AD407" t="s">
        <v>782</v>
      </c>
      <c r="AE407" s="31"/>
      <c r="AF407" s="61"/>
      <c r="AL407" t="s">
        <v>4330</v>
      </c>
      <c r="AR407">
        <v>1</v>
      </c>
    </row>
    <row r="408" spans="1:44" x14ac:dyDescent="0.25">
      <c r="A408" t="s">
        <v>31</v>
      </c>
      <c r="B408">
        <v>815</v>
      </c>
      <c r="C408">
        <v>191</v>
      </c>
      <c r="D408">
        <v>3115</v>
      </c>
      <c r="E408" t="s">
        <v>4610</v>
      </c>
      <c r="G408" t="s">
        <v>4245</v>
      </c>
      <c r="H408">
        <v>18628799000120</v>
      </c>
      <c r="I408" t="s">
        <v>3734</v>
      </c>
      <c r="J408" t="s">
        <v>4346</v>
      </c>
      <c r="K408" t="s">
        <v>4346</v>
      </c>
      <c r="L408" t="s">
        <v>2216</v>
      </c>
      <c r="N408" t="s">
        <v>2217</v>
      </c>
      <c r="P408" t="s">
        <v>3736</v>
      </c>
      <c r="Q408" t="s">
        <v>1094</v>
      </c>
      <c r="R408" t="s">
        <v>790</v>
      </c>
      <c r="U408" t="s">
        <v>319</v>
      </c>
      <c r="V408" t="s">
        <v>816</v>
      </c>
      <c r="X408">
        <v>527518</v>
      </c>
      <c r="Y408">
        <v>0</v>
      </c>
      <c r="AA408">
        <v>9</v>
      </c>
      <c r="AB408" s="31">
        <v>46041</v>
      </c>
      <c r="AC408" s="61">
        <v>0.38818287037037041</v>
      </c>
      <c r="AD408" t="s">
        <v>818</v>
      </c>
      <c r="AE408" s="31">
        <v>46050</v>
      </c>
      <c r="AF408" s="61">
        <v>0.60274305555555552</v>
      </c>
      <c r="AI408" t="s">
        <v>4330</v>
      </c>
      <c r="AL408" t="s">
        <v>4349</v>
      </c>
      <c r="AR408">
        <v>1</v>
      </c>
    </row>
    <row r="409" spans="1:44" x14ac:dyDescent="0.25">
      <c r="A409" t="s">
        <v>31</v>
      </c>
      <c r="B409">
        <v>816</v>
      </c>
      <c r="C409">
        <v>184</v>
      </c>
      <c r="D409">
        <v>3116</v>
      </c>
      <c r="E409" t="s">
        <v>4611</v>
      </c>
      <c r="G409" t="s">
        <v>419</v>
      </c>
      <c r="H409">
        <v>11861121000144</v>
      </c>
      <c r="I409" t="s">
        <v>3877</v>
      </c>
      <c r="J409" t="s">
        <v>1401</v>
      </c>
      <c r="K409" t="s">
        <v>1401</v>
      </c>
      <c r="L409" t="s">
        <v>3879</v>
      </c>
      <c r="N409" t="s">
        <v>3880</v>
      </c>
      <c r="P409" t="s">
        <v>3881</v>
      </c>
      <c r="Q409" t="s">
        <v>1094</v>
      </c>
      <c r="R409" t="s">
        <v>790</v>
      </c>
      <c r="T409" t="s">
        <v>1718</v>
      </c>
      <c r="U409" t="s">
        <v>319</v>
      </c>
      <c r="V409" t="s">
        <v>3417</v>
      </c>
      <c r="X409">
        <v>6000</v>
      </c>
      <c r="Y409">
        <v>2000</v>
      </c>
      <c r="AA409">
        <v>86</v>
      </c>
      <c r="AB409" s="31">
        <v>46041</v>
      </c>
      <c r="AC409" s="61">
        <v>0.39466435185185178</v>
      </c>
      <c r="AD409" t="s">
        <v>782</v>
      </c>
      <c r="AE409" s="31"/>
      <c r="AF409" s="61"/>
      <c r="AI409" t="s">
        <v>420</v>
      </c>
      <c r="AJ409" t="s">
        <v>420</v>
      </c>
      <c r="AL409" t="s">
        <v>4612</v>
      </c>
      <c r="AM409">
        <v>30</v>
      </c>
      <c r="AQ409" t="s">
        <v>2922</v>
      </c>
      <c r="AR409">
        <v>1</v>
      </c>
    </row>
    <row r="410" spans="1:44" x14ac:dyDescent="0.25">
      <c r="A410" t="s">
        <v>31</v>
      </c>
      <c r="B410">
        <v>817</v>
      </c>
      <c r="C410">
        <v>208</v>
      </c>
      <c r="D410">
        <v>3117</v>
      </c>
      <c r="G410" t="s">
        <v>4351</v>
      </c>
      <c r="H410">
        <v>42830750000130</v>
      </c>
      <c r="I410" t="s">
        <v>3903</v>
      </c>
      <c r="J410" t="s">
        <v>4091</v>
      </c>
      <c r="K410" t="s">
        <v>4091</v>
      </c>
      <c r="L410" t="s">
        <v>3905</v>
      </c>
      <c r="N410" t="s">
        <v>4594</v>
      </c>
      <c r="P410" t="s">
        <v>3907</v>
      </c>
      <c r="Q410" t="s">
        <v>1094</v>
      </c>
      <c r="R410" t="s">
        <v>790</v>
      </c>
      <c r="T410" t="s">
        <v>1718</v>
      </c>
      <c r="U410" t="s">
        <v>319</v>
      </c>
      <c r="V410" t="s">
        <v>3606</v>
      </c>
      <c r="AA410">
        <v>86</v>
      </c>
      <c r="AB410" s="31">
        <v>46041</v>
      </c>
      <c r="AC410" s="61">
        <v>0.39607638888888891</v>
      </c>
      <c r="AD410" t="s">
        <v>782</v>
      </c>
      <c r="AE410" s="31"/>
      <c r="AF410" s="61"/>
      <c r="AJ410" t="s">
        <v>4613</v>
      </c>
      <c r="AL410" t="s">
        <v>4352</v>
      </c>
      <c r="AM410">
        <v>30</v>
      </c>
      <c r="AQ410" t="s">
        <v>2922</v>
      </c>
      <c r="AR410">
        <v>1</v>
      </c>
    </row>
    <row r="411" spans="1:44" x14ac:dyDescent="0.25">
      <c r="A411" t="s">
        <v>31</v>
      </c>
      <c r="B411">
        <v>822</v>
      </c>
      <c r="D411">
        <v>3121</v>
      </c>
      <c r="E411" t="s">
        <v>4614</v>
      </c>
      <c r="G411" t="s">
        <v>4354</v>
      </c>
      <c r="H411">
        <v>55585815000171</v>
      </c>
      <c r="J411" t="s">
        <v>4355</v>
      </c>
      <c r="K411" t="s">
        <v>4355</v>
      </c>
      <c r="L411" t="s">
        <v>4181</v>
      </c>
      <c r="N411" t="s">
        <v>4182</v>
      </c>
      <c r="P411" t="s">
        <v>778</v>
      </c>
      <c r="T411" t="s">
        <v>1419</v>
      </c>
      <c r="U411" t="s">
        <v>319</v>
      </c>
      <c r="V411" t="s">
        <v>3417</v>
      </c>
      <c r="X411">
        <v>4760</v>
      </c>
      <c r="Y411">
        <v>712</v>
      </c>
      <c r="AA411">
        <v>85</v>
      </c>
      <c r="AB411" s="31">
        <v>46042</v>
      </c>
      <c r="AC411" s="61">
        <v>0.36277777777777781</v>
      </c>
      <c r="AD411" t="s">
        <v>782</v>
      </c>
      <c r="AE411" s="31"/>
      <c r="AF411" s="61"/>
      <c r="AI411" t="s">
        <v>2891</v>
      </c>
      <c r="AJ411" t="s">
        <v>2829</v>
      </c>
      <c r="AL411" t="s">
        <v>4612</v>
      </c>
      <c r="AM411">
        <v>50</v>
      </c>
      <c r="AR411">
        <v>1</v>
      </c>
    </row>
    <row r="412" spans="1:44" x14ac:dyDescent="0.25">
      <c r="A412" t="s">
        <v>31</v>
      </c>
      <c r="B412">
        <v>824</v>
      </c>
      <c r="C412">
        <v>153</v>
      </c>
      <c r="D412">
        <v>3124</v>
      </c>
      <c r="G412" t="s">
        <v>4356</v>
      </c>
      <c r="I412" t="s">
        <v>3451</v>
      </c>
      <c r="J412" t="s">
        <v>3982</v>
      </c>
      <c r="K412" t="s">
        <v>3982</v>
      </c>
      <c r="L412" t="s">
        <v>3983</v>
      </c>
      <c r="N412" t="s">
        <v>3454</v>
      </c>
      <c r="P412" t="s">
        <v>778</v>
      </c>
      <c r="U412" t="s">
        <v>319</v>
      </c>
      <c r="V412" t="s">
        <v>816</v>
      </c>
      <c r="X412">
        <v>16779</v>
      </c>
      <c r="Y412">
        <v>0</v>
      </c>
      <c r="AA412">
        <v>1</v>
      </c>
      <c r="AB412" s="31">
        <v>46042</v>
      </c>
      <c r="AC412" s="61">
        <v>0.38716435185185177</v>
      </c>
      <c r="AD412" t="s">
        <v>818</v>
      </c>
      <c r="AE412" s="31">
        <v>46043</v>
      </c>
      <c r="AF412" s="61">
        <v>0.39550925925925928</v>
      </c>
      <c r="AI412" t="s">
        <v>4330</v>
      </c>
      <c r="AL412" t="s">
        <v>2576</v>
      </c>
      <c r="AR412">
        <v>1</v>
      </c>
    </row>
    <row r="413" spans="1:44" x14ac:dyDescent="0.25">
      <c r="A413" t="s">
        <v>31</v>
      </c>
      <c r="B413">
        <v>825</v>
      </c>
      <c r="C413">
        <v>0</v>
      </c>
      <c r="D413">
        <v>3125</v>
      </c>
      <c r="E413" t="s">
        <v>4615</v>
      </c>
      <c r="G413" t="s">
        <v>466</v>
      </c>
      <c r="H413">
        <v>9023754000131</v>
      </c>
      <c r="J413" t="s">
        <v>4360</v>
      </c>
      <c r="K413" t="s">
        <v>4360</v>
      </c>
      <c r="L413" t="s">
        <v>4361</v>
      </c>
      <c r="N413" t="s">
        <v>4362</v>
      </c>
      <c r="P413" t="s">
        <v>778</v>
      </c>
      <c r="S413" t="s">
        <v>2919</v>
      </c>
      <c r="U413" t="s">
        <v>4317</v>
      </c>
      <c r="V413" t="s">
        <v>4318</v>
      </c>
      <c r="AA413">
        <v>85</v>
      </c>
      <c r="AB413" s="31">
        <v>46042</v>
      </c>
      <c r="AC413" s="61">
        <v>0.419375</v>
      </c>
      <c r="AD413" t="s">
        <v>782</v>
      </c>
      <c r="AE413" s="31"/>
      <c r="AF413" s="61"/>
      <c r="AL413" t="s">
        <v>4407</v>
      </c>
      <c r="AR413">
        <v>1</v>
      </c>
    </row>
    <row r="414" spans="1:44" x14ac:dyDescent="0.25">
      <c r="A414" t="s">
        <v>31</v>
      </c>
      <c r="B414">
        <v>826</v>
      </c>
      <c r="C414">
        <v>0</v>
      </c>
      <c r="D414">
        <v>3126</v>
      </c>
      <c r="E414" t="s">
        <v>4616</v>
      </c>
      <c r="G414" t="s">
        <v>4372</v>
      </c>
      <c r="H414">
        <v>20353768000156</v>
      </c>
      <c r="J414" t="s">
        <v>4617</v>
      </c>
      <c r="K414" t="s">
        <v>4617</v>
      </c>
      <c r="L414" t="s">
        <v>4374</v>
      </c>
      <c r="N414" t="s">
        <v>4375</v>
      </c>
      <c r="P414" t="s">
        <v>778</v>
      </c>
      <c r="U414" t="s">
        <v>4317</v>
      </c>
      <c r="V414" t="s">
        <v>4318</v>
      </c>
      <c r="AA414">
        <v>85</v>
      </c>
      <c r="AB414" s="31">
        <v>46042</v>
      </c>
      <c r="AC414" s="61">
        <v>0.42237268518518523</v>
      </c>
      <c r="AD414" t="s">
        <v>782</v>
      </c>
      <c r="AE414" s="31"/>
      <c r="AF414" s="61"/>
      <c r="AL414" t="s">
        <v>2890</v>
      </c>
      <c r="AR414">
        <v>1</v>
      </c>
    </row>
    <row r="415" spans="1:44" x14ac:dyDescent="0.25">
      <c r="A415" t="s">
        <v>31</v>
      </c>
      <c r="B415">
        <v>827</v>
      </c>
      <c r="C415">
        <v>0</v>
      </c>
      <c r="D415">
        <v>3127</v>
      </c>
      <c r="E415" t="s">
        <v>4618</v>
      </c>
      <c r="G415" t="s">
        <v>4619</v>
      </c>
      <c r="H415">
        <v>5236564000141</v>
      </c>
      <c r="J415" t="s">
        <v>3922</v>
      </c>
      <c r="K415" t="s">
        <v>3922</v>
      </c>
      <c r="L415" t="s">
        <v>4379</v>
      </c>
      <c r="N415" t="s">
        <v>4380</v>
      </c>
      <c r="P415" t="s">
        <v>778</v>
      </c>
      <c r="U415" t="s">
        <v>4317</v>
      </c>
      <c r="V415" t="s">
        <v>4318</v>
      </c>
      <c r="AA415">
        <v>85</v>
      </c>
      <c r="AB415" s="31">
        <v>46042</v>
      </c>
      <c r="AC415" s="61">
        <v>0.42685185185185193</v>
      </c>
      <c r="AD415" t="s">
        <v>782</v>
      </c>
      <c r="AE415" s="31"/>
      <c r="AF415" s="61"/>
      <c r="AL415" t="s">
        <v>4407</v>
      </c>
      <c r="AR415">
        <v>1</v>
      </c>
    </row>
    <row r="416" spans="1:44" x14ac:dyDescent="0.25">
      <c r="A416" t="s">
        <v>31</v>
      </c>
      <c r="B416">
        <v>828</v>
      </c>
      <c r="C416">
        <v>0</v>
      </c>
      <c r="D416">
        <v>3128</v>
      </c>
      <c r="E416" t="s">
        <v>4620</v>
      </c>
      <c r="G416" t="s">
        <v>471</v>
      </c>
      <c r="H416">
        <v>10303813000104</v>
      </c>
      <c r="J416" t="s">
        <v>1243</v>
      </c>
      <c r="K416" t="s">
        <v>1243</v>
      </c>
      <c r="L416" t="s">
        <v>4621</v>
      </c>
      <c r="N416" t="s">
        <v>4384</v>
      </c>
      <c r="P416" t="s">
        <v>778</v>
      </c>
      <c r="U416" t="s">
        <v>4317</v>
      </c>
      <c r="V416" t="s">
        <v>4318</v>
      </c>
      <c r="AA416">
        <v>85</v>
      </c>
      <c r="AB416" s="31">
        <v>46042</v>
      </c>
      <c r="AC416" s="61">
        <v>0.43459490740740742</v>
      </c>
      <c r="AD416" t="s">
        <v>782</v>
      </c>
      <c r="AE416" s="31"/>
      <c r="AF416" s="61"/>
      <c r="AL416" t="s">
        <v>2890</v>
      </c>
      <c r="AR416">
        <v>1</v>
      </c>
    </row>
    <row r="417" spans="1:44" x14ac:dyDescent="0.25">
      <c r="A417" t="s">
        <v>31</v>
      </c>
      <c r="B417">
        <v>829</v>
      </c>
      <c r="C417">
        <v>0</v>
      </c>
      <c r="D417">
        <v>3130</v>
      </c>
      <c r="E417" t="s">
        <v>4622</v>
      </c>
      <c r="G417" t="s">
        <v>4623</v>
      </c>
      <c r="H417">
        <v>55585815000171</v>
      </c>
      <c r="J417" t="s">
        <v>914</v>
      </c>
      <c r="K417" t="s">
        <v>914</v>
      </c>
      <c r="L417" t="s">
        <v>4181</v>
      </c>
      <c r="N417" t="s">
        <v>4182</v>
      </c>
      <c r="P417" t="s">
        <v>778</v>
      </c>
      <c r="U417" t="s">
        <v>4317</v>
      </c>
      <c r="V417" t="s">
        <v>4318</v>
      </c>
      <c r="AA417">
        <v>85</v>
      </c>
      <c r="AB417" s="31">
        <v>46042</v>
      </c>
      <c r="AC417" s="61">
        <v>0.49190972222222218</v>
      </c>
      <c r="AD417" t="s">
        <v>782</v>
      </c>
      <c r="AE417" s="31"/>
      <c r="AF417" s="61"/>
      <c r="AL417" t="s">
        <v>4407</v>
      </c>
      <c r="AR417">
        <v>1</v>
      </c>
    </row>
    <row r="418" spans="1:44" x14ac:dyDescent="0.25">
      <c r="A418" t="s">
        <v>31</v>
      </c>
      <c r="B418">
        <v>830</v>
      </c>
      <c r="C418">
        <v>0</v>
      </c>
      <c r="D418">
        <v>3131</v>
      </c>
      <c r="E418" t="s">
        <v>4624</v>
      </c>
      <c r="G418" t="s">
        <v>3529</v>
      </c>
      <c r="H418">
        <v>34728104000139</v>
      </c>
      <c r="J418" t="s">
        <v>1474</v>
      </c>
      <c r="K418" t="s">
        <v>1474</v>
      </c>
      <c r="L418" t="s">
        <v>3531</v>
      </c>
      <c r="N418" t="s">
        <v>4399</v>
      </c>
      <c r="P418" t="s">
        <v>778</v>
      </c>
      <c r="U418" t="s">
        <v>4317</v>
      </c>
      <c r="V418" t="s">
        <v>4318</v>
      </c>
      <c r="AA418">
        <v>85</v>
      </c>
      <c r="AB418" s="31">
        <v>46042</v>
      </c>
      <c r="AC418" s="61">
        <v>0.49453703703703711</v>
      </c>
      <c r="AD418" t="s">
        <v>782</v>
      </c>
      <c r="AE418" s="31"/>
      <c r="AF418" s="61"/>
      <c r="AL418" t="s">
        <v>4625</v>
      </c>
      <c r="AR418">
        <v>1</v>
      </c>
    </row>
    <row r="419" spans="1:44" x14ac:dyDescent="0.25">
      <c r="A419" t="s">
        <v>22</v>
      </c>
      <c r="B419">
        <v>831</v>
      </c>
      <c r="C419">
        <v>0</v>
      </c>
      <c r="D419">
        <v>3132</v>
      </c>
      <c r="E419" t="s">
        <v>4626</v>
      </c>
      <c r="G419" t="s">
        <v>4403</v>
      </c>
      <c r="H419">
        <v>23085291000163</v>
      </c>
      <c r="J419" t="s">
        <v>3848</v>
      </c>
      <c r="K419" t="s">
        <v>3848</v>
      </c>
      <c r="L419" t="s">
        <v>4405</v>
      </c>
      <c r="N419" t="s">
        <v>3237</v>
      </c>
      <c r="P419" t="s">
        <v>778</v>
      </c>
      <c r="T419" t="s">
        <v>4406</v>
      </c>
      <c r="U419" t="s">
        <v>4317</v>
      </c>
      <c r="V419" t="s">
        <v>4318</v>
      </c>
      <c r="AA419">
        <v>85</v>
      </c>
      <c r="AB419" s="31">
        <v>46042</v>
      </c>
      <c r="AC419" s="61">
        <v>0.49695601851851851</v>
      </c>
      <c r="AD419" t="s">
        <v>782</v>
      </c>
      <c r="AE419" s="31"/>
      <c r="AF419" s="61"/>
      <c r="AL419" t="s">
        <v>4407</v>
      </c>
      <c r="AR419">
        <v>1</v>
      </c>
    </row>
    <row r="420" spans="1:44" x14ac:dyDescent="0.25">
      <c r="A420" t="s">
        <v>31</v>
      </c>
      <c r="B420">
        <v>832</v>
      </c>
      <c r="C420">
        <v>0</v>
      </c>
      <c r="D420">
        <v>3133</v>
      </c>
      <c r="E420" t="s">
        <v>4627</v>
      </c>
      <c r="G420" t="s">
        <v>4628</v>
      </c>
      <c r="H420">
        <v>35548485000137</v>
      </c>
      <c r="J420" t="s">
        <v>4411</v>
      </c>
      <c r="K420" t="s">
        <v>4411</v>
      </c>
      <c r="L420" t="s">
        <v>4412</v>
      </c>
      <c r="N420" t="s">
        <v>4413</v>
      </c>
      <c r="P420" t="s">
        <v>778</v>
      </c>
      <c r="U420" t="s">
        <v>4317</v>
      </c>
      <c r="V420" t="s">
        <v>4318</v>
      </c>
      <c r="AA420">
        <v>85</v>
      </c>
      <c r="AB420" s="31">
        <v>46042</v>
      </c>
      <c r="AC420" s="61">
        <v>0.49824074074074082</v>
      </c>
      <c r="AD420" t="s">
        <v>782</v>
      </c>
      <c r="AE420" s="31"/>
      <c r="AF420" s="61"/>
      <c r="AL420" t="s">
        <v>4407</v>
      </c>
      <c r="AR420">
        <v>1</v>
      </c>
    </row>
    <row r="421" spans="1:44" x14ac:dyDescent="0.25">
      <c r="A421" t="s">
        <v>44</v>
      </c>
      <c r="B421">
        <v>833</v>
      </c>
      <c r="C421">
        <v>0</v>
      </c>
      <c r="D421">
        <v>3134</v>
      </c>
      <c r="G421" t="s">
        <v>4414</v>
      </c>
      <c r="H421">
        <v>26699965000108</v>
      </c>
      <c r="J421" t="s">
        <v>4415</v>
      </c>
      <c r="K421" t="s">
        <v>4415</v>
      </c>
      <c r="L421" t="s">
        <v>4416</v>
      </c>
      <c r="N421" t="s">
        <v>4417</v>
      </c>
      <c r="P421" t="s">
        <v>778</v>
      </c>
      <c r="U421" t="s">
        <v>4317</v>
      </c>
      <c r="V421" t="s">
        <v>4329</v>
      </c>
      <c r="AA421">
        <v>85</v>
      </c>
      <c r="AB421" s="31">
        <v>46042</v>
      </c>
      <c r="AC421" s="61">
        <v>0.50177083333333339</v>
      </c>
      <c r="AD421" t="s">
        <v>782</v>
      </c>
      <c r="AE421" s="31"/>
      <c r="AF421" s="61"/>
      <c r="AL421" t="s">
        <v>4407</v>
      </c>
      <c r="AR421">
        <v>1</v>
      </c>
    </row>
    <row r="422" spans="1:44" x14ac:dyDescent="0.25">
      <c r="A422" t="s">
        <v>44</v>
      </c>
      <c r="B422">
        <v>834</v>
      </c>
      <c r="C422">
        <v>0</v>
      </c>
      <c r="D422">
        <v>3135</v>
      </c>
      <c r="G422" t="s">
        <v>4418</v>
      </c>
      <c r="H422">
        <v>2462686000168</v>
      </c>
      <c r="J422" t="s">
        <v>3530</v>
      </c>
      <c r="K422" t="s">
        <v>3530</v>
      </c>
      <c r="L422" t="s">
        <v>4419</v>
      </c>
      <c r="N422" t="s">
        <v>4420</v>
      </c>
      <c r="P422" t="s">
        <v>778</v>
      </c>
      <c r="U422" t="s">
        <v>4317</v>
      </c>
      <c r="V422" t="s">
        <v>4329</v>
      </c>
      <c r="AA422">
        <v>85</v>
      </c>
      <c r="AB422" s="31">
        <v>46042</v>
      </c>
      <c r="AC422" s="61">
        <v>0.50340277777777775</v>
      </c>
      <c r="AD422" t="s">
        <v>782</v>
      </c>
      <c r="AE422" s="31"/>
      <c r="AF422" s="61"/>
      <c r="AL422" t="s">
        <v>4407</v>
      </c>
      <c r="AR422">
        <v>1</v>
      </c>
    </row>
    <row r="423" spans="1:44" x14ac:dyDescent="0.25">
      <c r="A423" t="s">
        <v>44</v>
      </c>
      <c r="B423">
        <v>835</v>
      </c>
      <c r="C423">
        <v>0</v>
      </c>
      <c r="D423">
        <v>3136</v>
      </c>
      <c r="G423" t="s">
        <v>4421</v>
      </c>
      <c r="H423">
        <v>6959313000158</v>
      </c>
      <c r="J423" t="s">
        <v>4422</v>
      </c>
      <c r="K423" t="s">
        <v>4422</v>
      </c>
      <c r="L423" t="s">
        <v>4423</v>
      </c>
      <c r="N423" t="s">
        <v>4424</v>
      </c>
      <c r="P423" t="s">
        <v>778</v>
      </c>
      <c r="U423" t="s">
        <v>4317</v>
      </c>
      <c r="V423" t="s">
        <v>4329</v>
      </c>
      <c r="AA423">
        <v>85</v>
      </c>
      <c r="AB423" s="31">
        <v>46042</v>
      </c>
      <c r="AC423" s="61">
        <v>0.50469907407407411</v>
      </c>
      <c r="AD423" t="s">
        <v>782</v>
      </c>
      <c r="AE423" s="31"/>
      <c r="AF423" s="61"/>
      <c r="AL423" t="s">
        <v>4407</v>
      </c>
      <c r="AR423">
        <v>1</v>
      </c>
    </row>
    <row r="424" spans="1:44" x14ac:dyDescent="0.25">
      <c r="A424" t="s">
        <v>44</v>
      </c>
      <c r="B424">
        <v>836</v>
      </c>
      <c r="C424">
        <v>0</v>
      </c>
      <c r="D424">
        <v>3137</v>
      </c>
      <c r="G424" t="s">
        <v>4425</v>
      </c>
      <c r="H424">
        <v>14172069000107</v>
      </c>
      <c r="J424" t="s">
        <v>4426</v>
      </c>
      <c r="K424" t="s">
        <v>4426</v>
      </c>
      <c r="L424" t="s">
        <v>4427</v>
      </c>
      <c r="N424" t="s">
        <v>4428</v>
      </c>
      <c r="P424" t="s">
        <v>778</v>
      </c>
      <c r="U424" t="s">
        <v>4317</v>
      </c>
      <c r="V424" t="s">
        <v>4329</v>
      </c>
      <c r="AA424">
        <v>85</v>
      </c>
      <c r="AB424" s="31">
        <v>46042</v>
      </c>
      <c r="AC424" s="61">
        <v>0.50646990740740738</v>
      </c>
      <c r="AD424" t="s">
        <v>782</v>
      </c>
      <c r="AE424" s="31"/>
      <c r="AF424" s="61"/>
      <c r="AL424" t="s">
        <v>4407</v>
      </c>
      <c r="AR424">
        <v>1</v>
      </c>
    </row>
    <row r="425" spans="1:44" x14ac:dyDescent="0.25">
      <c r="A425" t="s">
        <v>44</v>
      </c>
      <c r="B425">
        <v>837</v>
      </c>
      <c r="C425">
        <v>0</v>
      </c>
      <c r="D425">
        <v>3138</v>
      </c>
      <c r="E425" t="s">
        <v>4629</v>
      </c>
      <c r="G425" t="s">
        <v>3239</v>
      </c>
      <c r="H425">
        <v>11458315000101</v>
      </c>
      <c r="J425" t="s">
        <v>4436</v>
      </c>
      <c r="K425" t="s">
        <v>4436</v>
      </c>
      <c r="L425" t="s">
        <v>4630</v>
      </c>
      <c r="N425" t="s">
        <v>3468</v>
      </c>
      <c r="P425" t="s">
        <v>778</v>
      </c>
      <c r="U425" t="s">
        <v>4317</v>
      </c>
      <c r="V425" t="s">
        <v>4437</v>
      </c>
      <c r="AA425">
        <v>85</v>
      </c>
      <c r="AB425" s="31">
        <v>46042</v>
      </c>
      <c r="AC425" s="61">
        <v>0.50835648148148149</v>
      </c>
      <c r="AD425" t="s">
        <v>782</v>
      </c>
      <c r="AE425" s="31"/>
      <c r="AF425" s="61"/>
      <c r="AL425" t="s">
        <v>4407</v>
      </c>
      <c r="AR425">
        <v>1</v>
      </c>
    </row>
    <row r="426" spans="1:44" x14ac:dyDescent="0.25">
      <c r="A426" t="s">
        <v>44</v>
      </c>
      <c r="B426">
        <v>838</v>
      </c>
      <c r="C426">
        <v>0</v>
      </c>
      <c r="D426">
        <v>3139</v>
      </c>
      <c r="E426" t="s">
        <v>4631</v>
      </c>
      <c r="G426" t="s">
        <v>4632</v>
      </c>
      <c r="H426">
        <v>7554218000137</v>
      </c>
      <c r="J426" t="s">
        <v>4445</v>
      </c>
      <c r="K426" t="s">
        <v>4445</v>
      </c>
      <c r="L426" t="s">
        <v>4446</v>
      </c>
      <c r="N426" t="s">
        <v>4447</v>
      </c>
      <c r="P426" t="s">
        <v>778</v>
      </c>
      <c r="U426" t="s">
        <v>4317</v>
      </c>
      <c r="V426" t="s">
        <v>4437</v>
      </c>
      <c r="AA426">
        <v>85</v>
      </c>
      <c r="AB426" s="31">
        <v>46042</v>
      </c>
      <c r="AC426" s="61">
        <v>0.50949074074074074</v>
      </c>
      <c r="AD426" t="s">
        <v>782</v>
      </c>
      <c r="AE426" s="31"/>
      <c r="AF426" s="61"/>
      <c r="AL426" t="s">
        <v>2576</v>
      </c>
      <c r="AR426">
        <v>1</v>
      </c>
    </row>
    <row r="427" spans="1:44" x14ac:dyDescent="0.25">
      <c r="A427" t="s">
        <v>44</v>
      </c>
      <c r="B427">
        <v>839</v>
      </c>
      <c r="C427">
        <v>0</v>
      </c>
      <c r="D427">
        <v>3140</v>
      </c>
      <c r="G427" t="s">
        <v>4448</v>
      </c>
      <c r="H427">
        <v>7044171000161</v>
      </c>
      <c r="J427" t="s">
        <v>4449</v>
      </c>
      <c r="K427" t="s">
        <v>4449</v>
      </c>
      <c r="L427" t="s">
        <v>4450</v>
      </c>
      <c r="N427" t="s">
        <v>4451</v>
      </c>
      <c r="P427" t="s">
        <v>778</v>
      </c>
      <c r="U427" t="s">
        <v>4317</v>
      </c>
      <c r="V427" t="s">
        <v>4329</v>
      </c>
      <c r="AA427">
        <v>85</v>
      </c>
      <c r="AB427" s="31">
        <v>46042</v>
      </c>
      <c r="AC427" s="61">
        <v>0.51048611111111108</v>
      </c>
      <c r="AD427" t="s">
        <v>782</v>
      </c>
      <c r="AE427" s="31"/>
      <c r="AF427" s="61"/>
      <c r="AL427" t="s">
        <v>4407</v>
      </c>
      <c r="AR427">
        <v>1</v>
      </c>
    </row>
    <row r="428" spans="1:44" x14ac:dyDescent="0.25">
      <c r="A428" t="s">
        <v>22</v>
      </c>
      <c r="B428">
        <v>840</v>
      </c>
      <c r="C428">
        <v>0</v>
      </c>
      <c r="D428">
        <v>3141</v>
      </c>
      <c r="G428" t="s">
        <v>4452</v>
      </c>
      <c r="H428">
        <v>6847915000202</v>
      </c>
      <c r="J428" t="s">
        <v>1804</v>
      </c>
      <c r="K428" t="s">
        <v>1804</v>
      </c>
      <c r="L428" t="s">
        <v>4453</v>
      </c>
      <c r="N428" t="s">
        <v>4242</v>
      </c>
      <c r="P428" t="s">
        <v>778</v>
      </c>
      <c r="U428" t="s">
        <v>4317</v>
      </c>
      <c r="V428" t="s">
        <v>4329</v>
      </c>
      <c r="AA428">
        <v>85</v>
      </c>
      <c r="AB428" s="31">
        <v>46042</v>
      </c>
      <c r="AC428" s="61">
        <v>0.58880787037037041</v>
      </c>
      <c r="AD428" t="s">
        <v>782</v>
      </c>
      <c r="AE428" s="31"/>
      <c r="AF428" s="61"/>
      <c r="AL428" t="s">
        <v>4407</v>
      </c>
      <c r="AR428">
        <v>1</v>
      </c>
    </row>
    <row r="429" spans="1:44" x14ac:dyDescent="0.25">
      <c r="A429" t="s">
        <v>22</v>
      </c>
      <c r="B429">
        <v>841</v>
      </c>
      <c r="C429">
        <v>0</v>
      </c>
      <c r="D429">
        <v>3142</v>
      </c>
      <c r="G429" t="s">
        <v>4454</v>
      </c>
      <c r="H429">
        <v>8636039000101</v>
      </c>
      <c r="J429" t="s">
        <v>4455</v>
      </c>
      <c r="K429" t="s">
        <v>4455</v>
      </c>
      <c r="L429" t="s">
        <v>4456</v>
      </c>
      <c r="N429" t="s">
        <v>4163</v>
      </c>
      <c r="P429" t="s">
        <v>778</v>
      </c>
      <c r="U429" t="s">
        <v>4317</v>
      </c>
      <c r="V429" t="s">
        <v>4329</v>
      </c>
      <c r="AA429">
        <v>85</v>
      </c>
      <c r="AB429" s="31">
        <v>46042</v>
      </c>
      <c r="AC429" s="61">
        <v>0.58991898148148147</v>
      </c>
      <c r="AD429" t="s">
        <v>782</v>
      </c>
      <c r="AE429" s="31"/>
      <c r="AF429" s="61"/>
      <c r="AL429" t="s">
        <v>4407</v>
      </c>
      <c r="AR429">
        <v>1</v>
      </c>
    </row>
    <row r="430" spans="1:44" x14ac:dyDescent="0.25">
      <c r="A430" t="s">
        <v>22</v>
      </c>
      <c r="B430">
        <v>842</v>
      </c>
      <c r="C430">
        <v>0</v>
      </c>
      <c r="D430">
        <v>3143</v>
      </c>
      <c r="G430" t="s">
        <v>4457</v>
      </c>
      <c r="H430">
        <v>7729393000118</v>
      </c>
      <c r="J430" t="s">
        <v>4458</v>
      </c>
      <c r="K430" t="s">
        <v>4458</v>
      </c>
      <c r="L430" t="s">
        <v>4459</v>
      </c>
      <c r="N430" t="s">
        <v>4460</v>
      </c>
      <c r="P430" t="s">
        <v>778</v>
      </c>
      <c r="U430" t="s">
        <v>4317</v>
      </c>
      <c r="V430" t="s">
        <v>4329</v>
      </c>
      <c r="AA430">
        <v>85</v>
      </c>
      <c r="AB430" s="31">
        <v>46042</v>
      </c>
      <c r="AC430" s="61">
        <v>0.59046296296296297</v>
      </c>
      <c r="AD430" t="s">
        <v>782</v>
      </c>
      <c r="AE430" s="31"/>
      <c r="AF430" s="61"/>
      <c r="AL430" t="s">
        <v>4407</v>
      </c>
      <c r="AR430">
        <v>1</v>
      </c>
    </row>
    <row r="431" spans="1:44" x14ac:dyDescent="0.25">
      <c r="A431" t="s">
        <v>22</v>
      </c>
      <c r="B431">
        <v>844</v>
      </c>
      <c r="C431">
        <v>0</v>
      </c>
      <c r="D431">
        <v>3145</v>
      </c>
      <c r="G431" t="s">
        <v>4461</v>
      </c>
      <c r="H431">
        <v>27914031000104</v>
      </c>
      <c r="J431" t="s">
        <v>3496</v>
      </c>
      <c r="K431" t="s">
        <v>3496</v>
      </c>
      <c r="L431" t="s">
        <v>3497</v>
      </c>
      <c r="N431" t="s">
        <v>3498</v>
      </c>
      <c r="P431" t="s">
        <v>778</v>
      </c>
      <c r="U431" t="s">
        <v>4317</v>
      </c>
      <c r="V431" t="s">
        <v>4329</v>
      </c>
      <c r="AA431">
        <v>85</v>
      </c>
      <c r="AB431" s="31">
        <v>46042</v>
      </c>
      <c r="AC431" s="61">
        <v>0.59171296296296294</v>
      </c>
      <c r="AD431" t="s">
        <v>782</v>
      </c>
      <c r="AE431" s="31"/>
      <c r="AF431" s="61"/>
      <c r="AL431" t="s">
        <v>4407</v>
      </c>
      <c r="AR431">
        <v>1</v>
      </c>
    </row>
    <row r="432" spans="1:44" x14ac:dyDescent="0.25">
      <c r="A432" t="s">
        <v>22</v>
      </c>
      <c r="B432">
        <v>845</v>
      </c>
      <c r="C432">
        <v>0</v>
      </c>
      <c r="D432">
        <v>3146</v>
      </c>
      <c r="E432" t="s">
        <v>4633</v>
      </c>
      <c r="G432" t="s">
        <v>4634</v>
      </c>
      <c r="H432">
        <v>43204189000147</v>
      </c>
      <c r="J432" t="s">
        <v>990</v>
      </c>
      <c r="K432" t="s">
        <v>990</v>
      </c>
      <c r="L432" t="s">
        <v>4635</v>
      </c>
      <c r="N432" t="s">
        <v>3614</v>
      </c>
      <c r="P432" t="s">
        <v>778</v>
      </c>
      <c r="U432" t="s">
        <v>4317</v>
      </c>
      <c r="V432" t="s">
        <v>4437</v>
      </c>
      <c r="AA432">
        <v>85</v>
      </c>
      <c r="AB432" s="31">
        <v>46042</v>
      </c>
      <c r="AC432" s="61">
        <v>0.59254629629629629</v>
      </c>
      <c r="AD432" t="s">
        <v>782</v>
      </c>
      <c r="AE432" s="31"/>
      <c r="AF432" s="61"/>
      <c r="AL432" t="s">
        <v>4407</v>
      </c>
      <c r="AR432">
        <v>1</v>
      </c>
    </row>
    <row r="433" spans="1:44" x14ac:dyDescent="0.25">
      <c r="A433" t="s">
        <v>22</v>
      </c>
      <c r="B433">
        <v>846</v>
      </c>
      <c r="C433">
        <v>0</v>
      </c>
      <c r="D433">
        <v>3147</v>
      </c>
      <c r="G433" t="s">
        <v>4464</v>
      </c>
      <c r="H433">
        <v>24435880000197</v>
      </c>
      <c r="J433" t="s">
        <v>4465</v>
      </c>
      <c r="K433" t="s">
        <v>4465</v>
      </c>
      <c r="L433" t="s">
        <v>4466</v>
      </c>
      <c r="N433" t="s">
        <v>4467</v>
      </c>
      <c r="P433" t="s">
        <v>778</v>
      </c>
      <c r="U433" t="s">
        <v>4317</v>
      </c>
      <c r="V433" t="s">
        <v>4329</v>
      </c>
      <c r="AA433">
        <v>85</v>
      </c>
      <c r="AB433" s="31">
        <v>46042</v>
      </c>
      <c r="AC433" s="61">
        <v>0.59587962962962959</v>
      </c>
      <c r="AD433" t="s">
        <v>782</v>
      </c>
      <c r="AE433" s="31"/>
      <c r="AF433" s="61"/>
      <c r="AL433" t="s">
        <v>4407</v>
      </c>
      <c r="AR433">
        <v>1</v>
      </c>
    </row>
    <row r="434" spans="1:44" x14ac:dyDescent="0.25">
      <c r="A434" t="s">
        <v>44</v>
      </c>
      <c r="B434">
        <v>852</v>
      </c>
      <c r="C434">
        <v>0</v>
      </c>
      <c r="D434">
        <v>3152</v>
      </c>
      <c r="G434" t="s">
        <v>508</v>
      </c>
      <c r="H434">
        <v>11119066000111</v>
      </c>
      <c r="J434" t="s">
        <v>4468</v>
      </c>
      <c r="K434" t="s">
        <v>4468</v>
      </c>
      <c r="L434" t="s">
        <v>4469</v>
      </c>
      <c r="N434" t="s">
        <v>4470</v>
      </c>
      <c r="P434" t="s">
        <v>778</v>
      </c>
      <c r="U434" t="s">
        <v>4317</v>
      </c>
      <c r="V434" t="s">
        <v>4437</v>
      </c>
      <c r="AA434">
        <v>84</v>
      </c>
      <c r="AB434" s="31">
        <v>46043</v>
      </c>
      <c r="AC434" s="61">
        <v>0.60939814814814819</v>
      </c>
      <c r="AD434" t="s">
        <v>782</v>
      </c>
      <c r="AE434" s="31"/>
      <c r="AF434" s="61"/>
      <c r="AL434" t="s">
        <v>4471</v>
      </c>
      <c r="AR434">
        <v>1</v>
      </c>
    </row>
    <row r="435" spans="1:44" x14ac:dyDescent="0.25">
      <c r="A435" t="s">
        <v>31</v>
      </c>
      <c r="B435">
        <v>855</v>
      </c>
      <c r="C435">
        <v>0</v>
      </c>
      <c r="D435">
        <v>3159</v>
      </c>
      <c r="G435" t="s">
        <v>4472</v>
      </c>
      <c r="H435">
        <v>56450877000309</v>
      </c>
      <c r="J435" t="s">
        <v>4473</v>
      </c>
      <c r="K435" t="s">
        <v>4473</v>
      </c>
      <c r="L435" t="s">
        <v>4474</v>
      </c>
      <c r="N435" t="s">
        <v>4475</v>
      </c>
      <c r="P435" t="s">
        <v>778</v>
      </c>
      <c r="U435" t="s">
        <v>4317</v>
      </c>
      <c r="V435" t="s">
        <v>4329</v>
      </c>
      <c r="AA435">
        <v>83</v>
      </c>
      <c r="AB435" s="31">
        <v>46044</v>
      </c>
      <c r="AC435" s="61">
        <v>0.68799768518518523</v>
      </c>
      <c r="AD435" t="s">
        <v>782</v>
      </c>
      <c r="AE435" s="31"/>
      <c r="AF435" s="61"/>
      <c r="AL435" t="s">
        <v>4476</v>
      </c>
      <c r="AR435">
        <v>1</v>
      </c>
    </row>
    <row r="436" spans="1:44" x14ac:dyDescent="0.25">
      <c r="A436" t="s">
        <v>31</v>
      </c>
      <c r="B436">
        <v>856</v>
      </c>
      <c r="C436">
        <v>0</v>
      </c>
      <c r="D436">
        <v>3160</v>
      </c>
      <c r="E436" t="s">
        <v>4477</v>
      </c>
      <c r="G436" t="s">
        <v>4478</v>
      </c>
      <c r="H436">
        <v>10294630000170</v>
      </c>
      <c r="J436" t="s">
        <v>4479</v>
      </c>
      <c r="K436" t="s">
        <v>4479</v>
      </c>
      <c r="L436" t="s">
        <v>4480</v>
      </c>
      <c r="N436" t="s">
        <v>4481</v>
      </c>
      <c r="P436" t="s">
        <v>778</v>
      </c>
      <c r="U436" t="s">
        <v>4317</v>
      </c>
      <c r="V436" t="s">
        <v>4437</v>
      </c>
      <c r="AA436">
        <v>83</v>
      </c>
      <c r="AB436" s="31">
        <v>46044</v>
      </c>
      <c r="AC436" s="61">
        <v>0.68909722222222225</v>
      </c>
      <c r="AD436" t="s">
        <v>782</v>
      </c>
      <c r="AE436" s="31"/>
      <c r="AF436" s="61"/>
      <c r="AL436" t="s">
        <v>2890</v>
      </c>
      <c r="AR436">
        <v>1</v>
      </c>
    </row>
    <row r="437" spans="1:44" x14ac:dyDescent="0.25">
      <c r="A437" t="s">
        <v>31</v>
      </c>
      <c r="B437">
        <v>857</v>
      </c>
      <c r="C437">
        <v>0</v>
      </c>
      <c r="D437">
        <v>3161</v>
      </c>
      <c r="E437" t="s">
        <v>4636</v>
      </c>
      <c r="G437" t="s">
        <v>4489</v>
      </c>
      <c r="H437">
        <v>56712607000159</v>
      </c>
      <c r="J437" t="s">
        <v>4637</v>
      </c>
      <c r="K437" t="s">
        <v>4637</v>
      </c>
      <c r="L437" t="s">
        <v>4491</v>
      </c>
      <c r="N437" t="s">
        <v>4492</v>
      </c>
      <c r="P437" t="s">
        <v>778</v>
      </c>
      <c r="U437" t="s">
        <v>4317</v>
      </c>
      <c r="V437" t="s">
        <v>4318</v>
      </c>
      <c r="AA437">
        <v>83</v>
      </c>
      <c r="AB437" s="31">
        <v>46044</v>
      </c>
      <c r="AC437" s="61">
        <v>0.68972222222222224</v>
      </c>
      <c r="AD437" t="s">
        <v>782</v>
      </c>
      <c r="AE437" s="31"/>
      <c r="AF437" s="61"/>
      <c r="AL437" t="s">
        <v>2890</v>
      </c>
      <c r="AR437">
        <v>1</v>
      </c>
    </row>
    <row r="438" spans="1:44" x14ac:dyDescent="0.25">
      <c r="A438" t="s">
        <v>31</v>
      </c>
      <c r="B438">
        <v>858</v>
      </c>
      <c r="C438">
        <v>0</v>
      </c>
      <c r="D438">
        <v>3162</v>
      </c>
      <c r="E438" t="s">
        <v>4493</v>
      </c>
      <c r="G438" t="s">
        <v>4494</v>
      </c>
      <c r="H438">
        <v>12549273000179</v>
      </c>
      <c r="J438" t="s">
        <v>1804</v>
      </c>
      <c r="K438" t="s">
        <v>1804</v>
      </c>
      <c r="L438" t="s">
        <v>4495</v>
      </c>
      <c r="N438" t="s">
        <v>4496</v>
      </c>
      <c r="P438" t="s">
        <v>778</v>
      </c>
      <c r="U438" t="s">
        <v>4317</v>
      </c>
      <c r="V438" t="s">
        <v>4318</v>
      </c>
      <c r="AA438">
        <v>83</v>
      </c>
      <c r="AB438" s="31">
        <v>46044</v>
      </c>
      <c r="AC438" s="61">
        <v>0.69061342592592589</v>
      </c>
      <c r="AD438" t="s">
        <v>782</v>
      </c>
      <c r="AE438" s="31"/>
      <c r="AF438" s="61"/>
      <c r="AL438" t="s">
        <v>2890</v>
      </c>
      <c r="AR438">
        <v>1</v>
      </c>
    </row>
    <row r="439" spans="1:44" x14ac:dyDescent="0.25">
      <c r="A439" t="s">
        <v>31</v>
      </c>
      <c r="B439">
        <v>859</v>
      </c>
      <c r="C439">
        <v>0</v>
      </c>
      <c r="D439">
        <v>3163</v>
      </c>
      <c r="G439" t="s">
        <v>4497</v>
      </c>
      <c r="H439">
        <v>3431924000130</v>
      </c>
      <c r="J439" t="s">
        <v>3691</v>
      </c>
      <c r="K439" t="s">
        <v>3691</v>
      </c>
      <c r="L439" t="s">
        <v>4498</v>
      </c>
      <c r="N439" t="s">
        <v>4499</v>
      </c>
      <c r="P439" t="s">
        <v>778</v>
      </c>
      <c r="U439" t="s">
        <v>4317</v>
      </c>
      <c r="V439" t="s">
        <v>4329</v>
      </c>
      <c r="AA439">
        <v>83</v>
      </c>
      <c r="AB439" s="31">
        <v>46044</v>
      </c>
      <c r="AC439" s="61">
        <v>0.69150462962962966</v>
      </c>
      <c r="AD439" t="s">
        <v>782</v>
      </c>
      <c r="AE439" s="31"/>
      <c r="AF439" s="61"/>
      <c r="AL439" t="s">
        <v>4476</v>
      </c>
      <c r="AR439">
        <v>1</v>
      </c>
    </row>
    <row r="440" spans="1:44" x14ac:dyDescent="0.25">
      <c r="A440" t="s">
        <v>31</v>
      </c>
      <c r="B440">
        <v>863</v>
      </c>
      <c r="C440">
        <v>203</v>
      </c>
      <c r="D440">
        <v>3168</v>
      </c>
      <c r="E440" t="s">
        <v>4500</v>
      </c>
      <c r="G440" t="s">
        <v>4501</v>
      </c>
      <c r="H440">
        <v>11806036000183</v>
      </c>
      <c r="I440" t="s">
        <v>3791</v>
      </c>
      <c r="J440" t="s">
        <v>2600</v>
      </c>
      <c r="K440" t="s">
        <v>2600</v>
      </c>
      <c r="L440" t="s">
        <v>3792</v>
      </c>
      <c r="N440" t="s">
        <v>3793</v>
      </c>
      <c r="P440" t="s">
        <v>3794</v>
      </c>
      <c r="Q440" t="s">
        <v>3636</v>
      </c>
      <c r="R440" t="s">
        <v>1699</v>
      </c>
      <c r="U440" t="s">
        <v>319</v>
      </c>
      <c r="V440" t="s">
        <v>816</v>
      </c>
      <c r="X440">
        <v>8100</v>
      </c>
      <c r="Y440">
        <v>1080</v>
      </c>
      <c r="AA440">
        <v>5</v>
      </c>
      <c r="AB440" s="31">
        <v>46045</v>
      </c>
      <c r="AC440" s="61">
        <v>0.67321759259259262</v>
      </c>
      <c r="AD440" t="s">
        <v>818</v>
      </c>
      <c r="AE440" s="31">
        <v>46050</v>
      </c>
      <c r="AF440" s="61">
        <v>0.60244212962962962</v>
      </c>
      <c r="AI440" t="s">
        <v>4278</v>
      </c>
      <c r="AJ440" t="s">
        <v>2920</v>
      </c>
      <c r="AL440" t="s">
        <v>2920</v>
      </c>
      <c r="AR440">
        <v>1</v>
      </c>
    </row>
    <row r="441" spans="1:44" x14ac:dyDescent="0.25">
      <c r="A441" t="s">
        <v>31</v>
      </c>
      <c r="B441">
        <v>875</v>
      </c>
      <c r="D441">
        <v>3181</v>
      </c>
      <c r="E441" t="s">
        <v>4638</v>
      </c>
      <c r="G441" t="s">
        <v>4619</v>
      </c>
      <c r="H441">
        <v>5236564000141</v>
      </c>
      <c r="J441" t="s">
        <v>4504</v>
      </c>
      <c r="K441" t="s">
        <v>4504</v>
      </c>
      <c r="L441" t="s">
        <v>4379</v>
      </c>
      <c r="N441" t="s">
        <v>4380</v>
      </c>
      <c r="P441" t="s">
        <v>778</v>
      </c>
      <c r="U441" t="s">
        <v>319</v>
      </c>
      <c r="V441" t="s">
        <v>3417</v>
      </c>
      <c r="X441">
        <v>1600</v>
      </c>
      <c r="Y441">
        <v>229519</v>
      </c>
      <c r="AA441">
        <v>9</v>
      </c>
      <c r="AB441" s="31">
        <v>46049</v>
      </c>
      <c r="AC441" s="61">
        <v>0.70740740740740737</v>
      </c>
      <c r="AD441" t="s">
        <v>795</v>
      </c>
      <c r="AE441" s="31">
        <v>46058</v>
      </c>
      <c r="AF441" s="61">
        <v>0.59599537037037043</v>
      </c>
      <c r="AG441" t="s">
        <v>3463</v>
      </c>
      <c r="AI441" t="s">
        <v>4639</v>
      </c>
      <c r="AJ441" t="s">
        <v>4639</v>
      </c>
      <c r="AL441" t="s">
        <v>382</v>
      </c>
      <c r="AR441">
        <v>1</v>
      </c>
    </row>
    <row r="442" spans="1:44" x14ac:dyDescent="0.25">
      <c r="A442" t="s">
        <v>31</v>
      </c>
      <c r="B442">
        <v>878</v>
      </c>
      <c r="C442">
        <v>206</v>
      </c>
      <c r="D442">
        <v>3189</v>
      </c>
      <c r="G442" t="s">
        <v>4508</v>
      </c>
      <c r="H442">
        <v>37075503000136</v>
      </c>
      <c r="I442" t="s">
        <v>3826</v>
      </c>
      <c r="J442" t="s">
        <v>1474</v>
      </c>
      <c r="K442" t="s">
        <v>1474</v>
      </c>
      <c r="L442" t="s">
        <v>1475</v>
      </c>
      <c r="N442" t="s">
        <v>1476</v>
      </c>
      <c r="P442" t="s">
        <v>3827</v>
      </c>
      <c r="Q442" t="s">
        <v>1477</v>
      </c>
      <c r="R442" t="s">
        <v>932</v>
      </c>
      <c r="U442" t="s">
        <v>319</v>
      </c>
      <c r="V442" t="s">
        <v>816</v>
      </c>
      <c r="X442">
        <v>7110</v>
      </c>
      <c r="Y442">
        <v>0</v>
      </c>
      <c r="AA442">
        <v>1</v>
      </c>
      <c r="AB442" s="31">
        <v>46050</v>
      </c>
      <c r="AC442" s="61">
        <v>0.72538194444444448</v>
      </c>
      <c r="AD442" t="s">
        <v>818</v>
      </c>
      <c r="AE442" s="31">
        <v>46051</v>
      </c>
      <c r="AF442" s="61">
        <v>0.38591435185185191</v>
      </c>
      <c r="AI442" t="s">
        <v>4509</v>
      </c>
      <c r="AL442" t="s">
        <v>4509</v>
      </c>
      <c r="AR442">
        <v>1</v>
      </c>
    </row>
    <row r="443" spans="1:44" x14ac:dyDescent="0.25">
      <c r="A443" t="s">
        <v>31</v>
      </c>
      <c r="B443">
        <v>880</v>
      </c>
      <c r="D443">
        <v>3194</v>
      </c>
      <c r="E443" t="s">
        <v>4640</v>
      </c>
      <c r="G443" t="s">
        <v>4511</v>
      </c>
      <c r="H443">
        <v>55585815000171</v>
      </c>
      <c r="J443" t="s">
        <v>914</v>
      </c>
      <c r="K443" t="s">
        <v>914</v>
      </c>
      <c r="L443" t="s">
        <v>4181</v>
      </c>
      <c r="N443" t="s">
        <v>4182</v>
      </c>
      <c r="P443" t="s">
        <v>778</v>
      </c>
      <c r="T443" t="s">
        <v>1419</v>
      </c>
      <c r="U443" t="s">
        <v>319</v>
      </c>
      <c r="V443" t="s">
        <v>3417</v>
      </c>
      <c r="X443">
        <v>8100</v>
      </c>
      <c r="Y443">
        <v>1080</v>
      </c>
      <c r="AA443">
        <v>76</v>
      </c>
      <c r="AB443" s="31">
        <v>46051</v>
      </c>
      <c r="AC443" s="61">
        <v>0.41949074074074072</v>
      </c>
      <c r="AD443" t="s">
        <v>782</v>
      </c>
      <c r="AE443" s="31"/>
      <c r="AF443" s="61"/>
      <c r="AI443" t="s">
        <v>4512</v>
      </c>
      <c r="AJ443" t="s">
        <v>4407</v>
      </c>
      <c r="AL443" t="s">
        <v>4612</v>
      </c>
      <c r="AM443">
        <v>50</v>
      </c>
      <c r="AR443">
        <v>1</v>
      </c>
    </row>
    <row r="444" spans="1:44" x14ac:dyDescent="0.25">
      <c r="A444" t="s">
        <v>31</v>
      </c>
      <c r="B444">
        <v>881</v>
      </c>
      <c r="C444">
        <v>0</v>
      </c>
      <c r="D444">
        <v>3195</v>
      </c>
      <c r="E444" t="s">
        <v>4641</v>
      </c>
      <c r="G444" t="s">
        <v>428</v>
      </c>
      <c r="H444">
        <v>55585815000171</v>
      </c>
      <c r="J444" t="s">
        <v>914</v>
      </c>
      <c r="K444" t="s">
        <v>914</v>
      </c>
      <c r="L444" t="s">
        <v>4181</v>
      </c>
      <c r="N444" t="s">
        <v>4182</v>
      </c>
      <c r="P444" t="s">
        <v>778</v>
      </c>
      <c r="T444" t="s">
        <v>1718</v>
      </c>
      <c r="U444" t="s">
        <v>319</v>
      </c>
      <c r="V444" t="s">
        <v>3417</v>
      </c>
      <c r="X444">
        <v>8400</v>
      </c>
      <c r="Y444">
        <v>0</v>
      </c>
      <c r="AA444">
        <v>76</v>
      </c>
      <c r="AB444" s="31">
        <v>46051</v>
      </c>
      <c r="AC444" s="61">
        <v>0.42379629629629628</v>
      </c>
      <c r="AD444" t="s">
        <v>782</v>
      </c>
      <c r="AE444" s="31"/>
      <c r="AF444" s="61"/>
      <c r="AI444" t="s">
        <v>403</v>
      </c>
      <c r="AJ444" t="s">
        <v>4407</v>
      </c>
      <c r="AK444" t="s">
        <v>4517</v>
      </c>
      <c r="AL444" t="s">
        <v>4612</v>
      </c>
      <c r="AM444">
        <v>30</v>
      </c>
      <c r="AQ444" t="s">
        <v>54</v>
      </c>
      <c r="AR444">
        <v>1</v>
      </c>
    </row>
    <row r="445" spans="1:44" x14ac:dyDescent="0.25">
      <c r="A445" t="s">
        <v>31</v>
      </c>
      <c r="B445">
        <v>896</v>
      </c>
      <c r="C445">
        <v>181</v>
      </c>
      <c r="D445">
        <v>3212</v>
      </c>
      <c r="E445" t="s">
        <v>4642</v>
      </c>
      <c r="G445" t="s">
        <v>435</v>
      </c>
      <c r="H445">
        <v>43204189000147</v>
      </c>
      <c r="I445" t="s">
        <v>3612</v>
      </c>
      <c r="J445" t="s">
        <v>990</v>
      </c>
      <c r="K445" t="s">
        <v>990</v>
      </c>
      <c r="L445" t="s">
        <v>3613</v>
      </c>
      <c r="N445" t="s">
        <v>3614</v>
      </c>
      <c r="P445" t="s">
        <v>3615</v>
      </c>
      <c r="Q445" t="s">
        <v>3616</v>
      </c>
      <c r="R445" t="s">
        <v>790</v>
      </c>
      <c r="U445" t="s">
        <v>319</v>
      </c>
      <c r="V445" t="s">
        <v>816</v>
      </c>
      <c r="X445">
        <v>1512</v>
      </c>
      <c r="Y445">
        <v>0</v>
      </c>
      <c r="AA445">
        <v>0</v>
      </c>
      <c r="AB445" s="31">
        <v>46055</v>
      </c>
      <c r="AC445" s="61">
        <v>0.4690509259259259</v>
      </c>
      <c r="AD445" t="s">
        <v>818</v>
      </c>
      <c r="AE445" s="31">
        <v>46055</v>
      </c>
      <c r="AF445" s="61">
        <v>0.47340277777777778</v>
      </c>
      <c r="AI445" t="s">
        <v>436</v>
      </c>
      <c r="AJ445" t="s">
        <v>436</v>
      </c>
      <c r="AL445" t="s">
        <v>436</v>
      </c>
      <c r="AR445">
        <v>1</v>
      </c>
    </row>
    <row r="446" spans="1:44" x14ac:dyDescent="0.25">
      <c r="A446" t="s">
        <v>31</v>
      </c>
      <c r="B446">
        <v>897</v>
      </c>
      <c r="C446">
        <v>133</v>
      </c>
      <c r="D446">
        <v>3213</v>
      </c>
      <c r="E446" t="s">
        <v>4643</v>
      </c>
      <c r="G446" t="s">
        <v>443</v>
      </c>
      <c r="H446">
        <v>9517464000144</v>
      </c>
      <c r="I446" t="s">
        <v>625</v>
      </c>
      <c r="J446" t="s">
        <v>4541</v>
      </c>
      <c r="K446" t="s">
        <v>4541</v>
      </c>
      <c r="L446" t="s">
        <v>3584</v>
      </c>
      <c r="N446" t="s">
        <v>2207</v>
      </c>
      <c r="P446" t="s">
        <v>778</v>
      </c>
      <c r="T446" t="s">
        <v>1419</v>
      </c>
      <c r="U446" t="s">
        <v>319</v>
      </c>
      <c r="V446" t="s">
        <v>3417</v>
      </c>
      <c r="X446">
        <v>13100</v>
      </c>
      <c r="Y446">
        <v>1900</v>
      </c>
      <c r="AA446">
        <v>72</v>
      </c>
      <c r="AB446" s="31">
        <v>46055</v>
      </c>
      <c r="AC446" s="61">
        <v>0.48864583333333328</v>
      </c>
      <c r="AD446" t="s">
        <v>782</v>
      </c>
      <c r="AE446" s="31"/>
      <c r="AF446" s="61"/>
      <c r="AI446" t="s">
        <v>436</v>
      </c>
      <c r="AJ446" t="s">
        <v>436</v>
      </c>
      <c r="AL446" t="s">
        <v>4644</v>
      </c>
      <c r="AM446">
        <v>50</v>
      </c>
      <c r="AQ446" t="s">
        <v>69</v>
      </c>
      <c r="AR446">
        <v>1</v>
      </c>
    </row>
    <row r="447" spans="1:44" x14ac:dyDescent="0.25">
      <c r="A447" t="s">
        <v>31</v>
      </c>
      <c r="B447">
        <v>899</v>
      </c>
      <c r="C447">
        <v>210</v>
      </c>
      <c r="D447">
        <v>3215</v>
      </c>
      <c r="E447" t="s">
        <v>4645</v>
      </c>
      <c r="G447" t="s">
        <v>476</v>
      </c>
      <c r="H447">
        <v>51781567000183</v>
      </c>
      <c r="I447" t="s">
        <v>3886</v>
      </c>
      <c r="J447" t="s">
        <v>1804</v>
      </c>
      <c r="K447" t="s">
        <v>1804</v>
      </c>
      <c r="L447" t="s">
        <v>3887</v>
      </c>
      <c r="N447" t="s">
        <v>3888</v>
      </c>
      <c r="P447" t="s">
        <v>3889</v>
      </c>
      <c r="Q447" t="s">
        <v>3890</v>
      </c>
      <c r="R447" t="s">
        <v>932</v>
      </c>
      <c r="T447" t="s">
        <v>1718</v>
      </c>
      <c r="U447" t="s">
        <v>319</v>
      </c>
      <c r="V447" t="s">
        <v>816</v>
      </c>
      <c r="X447">
        <v>8100</v>
      </c>
      <c r="Y447">
        <v>1080</v>
      </c>
      <c r="AA447">
        <v>29</v>
      </c>
      <c r="AB447" s="31">
        <v>46056</v>
      </c>
      <c r="AC447" s="61">
        <v>0.85563657407407412</v>
      </c>
      <c r="AD447" t="s">
        <v>795</v>
      </c>
      <c r="AE447" s="31">
        <v>46085</v>
      </c>
      <c r="AF447" s="61">
        <v>0.72565972222222219</v>
      </c>
      <c r="AG447" t="s">
        <v>3463</v>
      </c>
      <c r="AJ447" t="s">
        <v>382</v>
      </c>
      <c r="AL447" t="s">
        <v>4603</v>
      </c>
      <c r="AM447">
        <v>30</v>
      </c>
      <c r="AQ447" t="s">
        <v>52</v>
      </c>
      <c r="AR447">
        <v>1</v>
      </c>
    </row>
    <row r="448" spans="1:44" x14ac:dyDescent="0.25">
      <c r="A448" t="s">
        <v>31</v>
      </c>
      <c r="B448">
        <v>904</v>
      </c>
      <c r="D448">
        <v>3221</v>
      </c>
      <c r="E448" t="s">
        <v>4646</v>
      </c>
      <c r="G448" t="s">
        <v>448</v>
      </c>
      <c r="H448">
        <v>10303813000104</v>
      </c>
      <c r="J448" t="s">
        <v>4555</v>
      </c>
      <c r="K448" t="s">
        <v>4555</v>
      </c>
      <c r="L448" t="s">
        <v>4556</v>
      </c>
      <c r="N448" t="s">
        <v>4384</v>
      </c>
      <c r="P448" t="s">
        <v>778</v>
      </c>
      <c r="T448" t="s">
        <v>1704</v>
      </c>
      <c r="U448" t="s">
        <v>319</v>
      </c>
      <c r="V448" t="s">
        <v>816</v>
      </c>
      <c r="X448">
        <v>0</v>
      </c>
      <c r="Y448">
        <v>575</v>
      </c>
      <c r="AA448">
        <v>6</v>
      </c>
      <c r="AB448" s="31">
        <v>46058</v>
      </c>
      <c r="AC448" s="61">
        <v>0.38868055555555547</v>
      </c>
      <c r="AD448" t="s">
        <v>818</v>
      </c>
      <c r="AE448" s="31">
        <v>46064</v>
      </c>
      <c r="AF448" s="61">
        <v>0.37197916666666669</v>
      </c>
      <c r="AI448" t="s">
        <v>449</v>
      </c>
      <c r="AJ448" t="s">
        <v>4559</v>
      </c>
      <c r="AL448" t="s">
        <v>449</v>
      </c>
      <c r="AM448">
        <v>90</v>
      </c>
      <c r="AR448">
        <v>1</v>
      </c>
    </row>
    <row r="449" spans="1:44" x14ac:dyDescent="0.25">
      <c r="A449" t="s">
        <v>31</v>
      </c>
      <c r="B449">
        <v>905</v>
      </c>
      <c r="C449">
        <v>147</v>
      </c>
      <c r="D449">
        <v>3223</v>
      </c>
      <c r="G449" t="s">
        <v>456</v>
      </c>
      <c r="H449">
        <v>7964558000136</v>
      </c>
      <c r="I449" t="s">
        <v>3430</v>
      </c>
      <c r="J449" t="s">
        <v>3431</v>
      </c>
      <c r="K449" t="s">
        <v>3431</v>
      </c>
      <c r="L449" t="s">
        <v>3515</v>
      </c>
      <c r="N449" t="s">
        <v>3433</v>
      </c>
      <c r="P449" t="s">
        <v>778</v>
      </c>
      <c r="T449" t="s">
        <v>1718</v>
      </c>
      <c r="U449" t="s">
        <v>319</v>
      </c>
      <c r="V449" t="s">
        <v>3417</v>
      </c>
      <c r="X449">
        <v>1680</v>
      </c>
      <c r="Y449">
        <v>7128</v>
      </c>
      <c r="AA449">
        <v>18</v>
      </c>
      <c r="AB449" s="31">
        <v>46058</v>
      </c>
      <c r="AC449" s="61">
        <v>0.47660879629629632</v>
      </c>
      <c r="AD449" t="s">
        <v>795</v>
      </c>
      <c r="AE449" s="31">
        <v>46076</v>
      </c>
      <c r="AF449" s="61">
        <v>0.71887731481481476</v>
      </c>
      <c r="AG449" t="s">
        <v>796</v>
      </c>
      <c r="AI449" t="s">
        <v>449</v>
      </c>
      <c r="AJ449" t="s">
        <v>4559</v>
      </c>
      <c r="AL449" t="s">
        <v>449</v>
      </c>
      <c r="AM449">
        <v>30</v>
      </c>
      <c r="AR449">
        <v>1</v>
      </c>
    </row>
    <row r="450" spans="1:44" x14ac:dyDescent="0.25">
      <c r="A450" t="s">
        <v>31</v>
      </c>
      <c r="B450">
        <v>910</v>
      </c>
      <c r="D450">
        <v>3246</v>
      </c>
      <c r="E450" t="s">
        <v>4560</v>
      </c>
      <c r="G450" t="s">
        <v>4561</v>
      </c>
      <c r="H450">
        <v>55585815000171</v>
      </c>
      <c r="J450" t="s">
        <v>914</v>
      </c>
      <c r="K450" t="s">
        <v>914</v>
      </c>
      <c r="L450" t="s">
        <v>4181</v>
      </c>
      <c r="N450" t="s">
        <v>4182</v>
      </c>
      <c r="P450" t="s">
        <v>778</v>
      </c>
      <c r="U450" t="s">
        <v>319</v>
      </c>
      <c r="V450" t="s">
        <v>3606</v>
      </c>
      <c r="AA450">
        <v>63</v>
      </c>
      <c r="AB450" s="31">
        <v>46064</v>
      </c>
      <c r="AC450" s="61">
        <v>0.4114814814814815</v>
      </c>
      <c r="AD450" t="s">
        <v>782</v>
      </c>
      <c r="AE450" s="31"/>
      <c r="AF450" s="61"/>
      <c r="AJ450" t="s">
        <v>463</v>
      </c>
      <c r="AL450" t="s">
        <v>4613</v>
      </c>
      <c r="AM450">
        <v>30</v>
      </c>
      <c r="AQ450" t="s">
        <v>2922</v>
      </c>
      <c r="AR450">
        <v>1</v>
      </c>
    </row>
    <row r="451" spans="1:44" x14ac:dyDescent="0.25">
      <c r="A451" t="s">
        <v>31</v>
      </c>
      <c r="B451">
        <v>911</v>
      </c>
      <c r="D451">
        <v>3247</v>
      </c>
      <c r="E451" t="s">
        <v>4647</v>
      </c>
      <c r="G451" t="s">
        <v>4191</v>
      </c>
      <c r="H451">
        <v>49119936000125</v>
      </c>
      <c r="J451" t="s">
        <v>4565</v>
      </c>
      <c r="K451" t="s">
        <v>4565</v>
      </c>
      <c r="L451" t="s">
        <v>4193</v>
      </c>
      <c r="N451" t="s">
        <v>4096</v>
      </c>
      <c r="P451" t="s">
        <v>778</v>
      </c>
      <c r="U451" t="s">
        <v>319</v>
      </c>
      <c r="V451" t="s">
        <v>3417</v>
      </c>
      <c r="X451">
        <v>13100</v>
      </c>
      <c r="Y451">
        <v>1700</v>
      </c>
      <c r="AA451">
        <v>63</v>
      </c>
      <c r="AB451" s="31">
        <v>46064</v>
      </c>
      <c r="AC451" s="61">
        <v>0.41498842592592589</v>
      </c>
      <c r="AD451" t="s">
        <v>782</v>
      </c>
      <c r="AE451" s="31"/>
      <c r="AF451" s="61"/>
      <c r="AI451" t="s">
        <v>463</v>
      </c>
      <c r="AJ451" t="s">
        <v>403</v>
      </c>
      <c r="AK451" t="s">
        <v>458</v>
      </c>
      <c r="AL451" t="s">
        <v>4612</v>
      </c>
      <c r="AM451">
        <v>30</v>
      </c>
      <c r="AQ451" t="s">
        <v>69</v>
      </c>
      <c r="AR451">
        <v>1</v>
      </c>
    </row>
    <row r="452" spans="1:44" x14ac:dyDescent="0.25">
      <c r="A452" t="s">
        <v>31</v>
      </c>
      <c r="B452">
        <v>913</v>
      </c>
      <c r="C452">
        <v>173</v>
      </c>
      <c r="D452">
        <v>3251</v>
      </c>
      <c r="E452" t="s">
        <v>4648</v>
      </c>
      <c r="G452" t="s">
        <v>468</v>
      </c>
      <c r="H452">
        <v>27914031000104</v>
      </c>
      <c r="I452" t="s">
        <v>3495</v>
      </c>
      <c r="J452" t="s">
        <v>3496</v>
      </c>
      <c r="K452" t="s">
        <v>3496</v>
      </c>
      <c r="L452" t="s">
        <v>3497</v>
      </c>
      <c r="N452" t="s">
        <v>3498</v>
      </c>
      <c r="P452" t="s">
        <v>3499</v>
      </c>
      <c r="Q452" t="s">
        <v>2489</v>
      </c>
      <c r="R452" t="s">
        <v>790</v>
      </c>
      <c r="U452" t="s">
        <v>319</v>
      </c>
      <c r="V452" t="s">
        <v>3417</v>
      </c>
      <c r="X452">
        <v>1680</v>
      </c>
      <c r="Y452">
        <v>7128</v>
      </c>
      <c r="AA452">
        <v>48</v>
      </c>
      <c r="AB452" s="31">
        <v>46064</v>
      </c>
      <c r="AC452" s="61">
        <v>0.42258101851851848</v>
      </c>
      <c r="AD452" t="s">
        <v>795</v>
      </c>
      <c r="AE452" s="31">
        <v>46112</v>
      </c>
      <c r="AF452" s="61">
        <v>0.66119212962962959</v>
      </c>
      <c r="AG452" t="s">
        <v>796</v>
      </c>
      <c r="AI452" t="s">
        <v>449</v>
      </c>
      <c r="AJ452" t="s">
        <v>449</v>
      </c>
      <c r="AL452" t="s">
        <v>4649</v>
      </c>
      <c r="AM452">
        <v>30</v>
      </c>
      <c r="AQ452" t="s">
        <v>2605</v>
      </c>
      <c r="AR452">
        <v>1</v>
      </c>
    </row>
    <row r="453" spans="1:44" x14ac:dyDescent="0.25">
      <c r="A453" t="s">
        <v>31</v>
      </c>
      <c r="B453">
        <v>914</v>
      </c>
      <c r="C453">
        <v>147</v>
      </c>
      <c r="D453">
        <v>3252</v>
      </c>
      <c r="E453" t="s">
        <v>4571</v>
      </c>
      <c r="G453" t="s">
        <v>473</v>
      </c>
      <c r="H453">
        <v>7964558000136</v>
      </c>
      <c r="I453" t="s">
        <v>3430</v>
      </c>
      <c r="J453" t="s">
        <v>3431</v>
      </c>
      <c r="K453" t="s">
        <v>3431</v>
      </c>
      <c r="L453" t="s">
        <v>3515</v>
      </c>
      <c r="N453" t="s">
        <v>3433</v>
      </c>
      <c r="P453" t="s">
        <v>778</v>
      </c>
      <c r="U453" t="s">
        <v>319</v>
      </c>
      <c r="V453" t="s">
        <v>3417</v>
      </c>
      <c r="X453">
        <v>1680</v>
      </c>
      <c r="Y453">
        <v>7128</v>
      </c>
      <c r="AA453">
        <v>63</v>
      </c>
      <c r="AB453" s="31">
        <v>46064</v>
      </c>
      <c r="AC453" s="61">
        <v>0.42469907407407409</v>
      </c>
      <c r="AD453" t="s">
        <v>782</v>
      </c>
      <c r="AE453" s="31"/>
      <c r="AF453" s="61"/>
      <c r="AI453" t="s">
        <v>403</v>
      </c>
      <c r="AJ453" t="s">
        <v>4572</v>
      </c>
      <c r="AL453" t="s">
        <v>4644</v>
      </c>
      <c r="AM453">
        <v>30</v>
      </c>
      <c r="AQ453" t="s">
        <v>2605</v>
      </c>
      <c r="AR453">
        <v>1</v>
      </c>
    </row>
    <row r="454" spans="1:44" x14ac:dyDescent="0.25">
      <c r="A454" t="s">
        <v>31</v>
      </c>
      <c r="B454">
        <v>916</v>
      </c>
      <c r="C454">
        <v>196</v>
      </c>
      <c r="D454">
        <v>3254</v>
      </c>
      <c r="E454" t="s">
        <v>4650</v>
      </c>
      <c r="G454" t="s">
        <v>478</v>
      </c>
      <c r="H454">
        <v>32494222000102</v>
      </c>
      <c r="I454" t="s">
        <v>3715</v>
      </c>
      <c r="J454" t="s">
        <v>3716</v>
      </c>
      <c r="K454" t="s">
        <v>3716</v>
      </c>
      <c r="L454" t="s">
        <v>3717</v>
      </c>
      <c r="N454" t="s">
        <v>3718</v>
      </c>
      <c r="P454" t="s">
        <v>3719</v>
      </c>
      <c r="Q454" t="s">
        <v>3720</v>
      </c>
      <c r="R454" t="s">
        <v>790</v>
      </c>
      <c r="U454" t="s">
        <v>319</v>
      </c>
      <c r="V454" t="s">
        <v>3417</v>
      </c>
      <c r="X454">
        <v>8100</v>
      </c>
      <c r="Y454">
        <v>1080</v>
      </c>
      <c r="AA454">
        <v>63</v>
      </c>
      <c r="AB454" s="31">
        <v>46064</v>
      </c>
      <c r="AC454" s="61">
        <v>0.45479166666666659</v>
      </c>
      <c r="AD454" t="s">
        <v>782</v>
      </c>
      <c r="AE454" s="31"/>
      <c r="AF454" s="61"/>
      <c r="AI454" t="s">
        <v>463</v>
      </c>
      <c r="AJ454" t="s">
        <v>452</v>
      </c>
      <c r="AL454" t="s">
        <v>463</v>
      </c>
      <c r="AM454">
        <v>30</v>
      </c>
      <c r="AQ454" t="s">
        <v>52</v>
      </c>
      <c r="AR454">
        <v>1</v>
      </c>
    </row>
    <row r="455" spans="1:44" x14ac:dyDescent="0.25">
      <c r="A455" t="s">
        <v>31</v>
      </c>
      <c r="B455">
        <v>917</v>
      </c>
      <c r="C455">
        <v>196</v>
      </c>
      <c r="D455">
        <v>3255</v>
      </c>
      <c r="E455" t="s">
        <v>4651</v>
      </c>
      <c r="G455" t="s">
        <v>4577</v>
      </c>
      <c r="H455">
        <v>32494222000102</v>
      </c>
      <c r="I455" t="s">
        <v>3715</v>
      </c>
      <c r="J455" t="s">
        <v>3716</v>
      </c>
      <c r="K455" t="s">
        <v>3716</v>
      </c>
      <c r="L455" t="s">
        <v>3717</v>
      </c>
      <c r="N455" t="s">
        <v>3718</v>
      </c>
      <c r="P455" t="s">
        <v>3719</v>
      </c>
      <c r="Q455" t="s">
        <v>3720</v>
      </c>
      <c r="R455" t="s">
        <v>790</v>
      </c>
      <c r="U455" t="s">
        <v>319</v>
      </c>
      <c r="V455" t="s">
        <v>816</v>
      </c>
      <c r="X455">
        <v>9000</v>
      </c>
      <c r="Y455">
        <v>0</v>
      </c>
      <c r="AA455">
        <v>15</v>
      </c>
      <c r="AB455" s="31">
        <v>46064</v>
      </c>
      <c r="AC455" s="61">
        <v>0.45805555555555549</v>
      </c>
      <c r="AD455" t="s">
        <v>818</v>
      </c>
      <c r="AE455" s="31">
        <v>46079</v>
      </c>
      <c r="AF455" s="61">
        <v>0.72291666666666665</v>
      </c>
      <c r="AI455" t="s">
        <v>484</v>
      </c>
      <c r="AJ455" t="s">
        <v>452</v>
      </c>
      <c r="AL455" t="s">
        <v>4568</v>
      </c>
      <c r="AM455">
        <v>60</v>
      </c>
      <c r="AQ455" t="s">
        <v>4581</v>
      </c>
      <c r="AR455">
        <v>1</v>
      </c>
    </row>
    <row r="456" spans="1:44" x14ac:dyDescent="0.25">
      <c r="A456" t="s">
        <v>31</v>
      </c>
      <c r="B456">
        <v>918</v>
      </c>
      <c r="C456">
        <v>196</v>
      </c>
      <c r="D456">
        <v>3256</v>
      </c>
      <c r="E456" t="s">
        <v>4652</v>
      </c>
      <c r="G456" t="s">
        <v>488</v>
      </c>
      <c r="H456">
        <v>32494222000102</v>
      </c>
      <c r="I456" t="s">
        <v>3715</v>
      </c>
      <c r="J456" t="s">
        <v>3716</v>
      </c>
      <c r="K456" t="s">
        <v>3716</v>
      </c>
      <c r="L456" t="s">
        <v>3717</v>
      </c>
      <c r="N456" t="s">
        <v>3718</v>
      </c>
      <c r="P456" t="s">
        <v>3719</v>
      </c>
      <c r="Q456" t="s">
        <v>3720</v>
      </c>
      <c r="R456" t="s">
        <v>790</v>
      </c>
      <c r="U456" t="s">
        <v>319</v>
      </c>
      <c r="V456" t="s">
        <v>816</v>
      </c>
      <c r="X456">
        <v>1600</v>
      </c>
      <c r="Y456">
        <v>31504</v>
      </c>
      <c r="AA456">
        <v>63</v>
      </c>
      <c r="AB456" s="31">
        <v>46064</v>
      </c>
      <c r="AC456" s="61">
        <v>0.4621527777777778</v>
      </c>
      <c r="AD456" t="s">
        <v>782</v>
      </c>
      <c r="AE456" s="31"/>
      <c r="AF456" s="61"/>
      <c r="AI456" t="s">
        <v>463</v>
      </c>
      <c r="AJ456" t="s">
        <v>452</v>
      </c>
      <c r="AL456" t="s">
        <v>463</v>
      </c>
      <c r="AM456">
        <v>30</v>
      </c>
      <c r="AQ456" t="s">
        <v>53</v>
      </c>
      <c r="AR456">
        <v>1</v>
      </c>
    </row>
    <row r="457" spans="1:44" x14ac:dyDescent="0.25">
      <c r="A457" t="s">
        <v>31</v>
      </c>
      <c r="B457">
        <v>939</v>
      </c>
      <c r="C457">
        <v>207</v>
      </c>
      <c r="D457">
        <v>3272</v>
      </c>
      <c r="E457" t="s">
        <v>4653</v>
      </c>
      <c r="G457" t="s">
        <v>492</v>
      </c>
      <c r="H457">
        <v>43609706000168</v>
      </c>
      <c r="I457" t="s">
        <v>3839</v>
      </c>
      <c r="J457" t="s">
        <v>1804</v>
      </c>
      <c r="K457" t="s">
        <v>1804</v>
      </c>
      <c r="L457" t="s">
        <v>3840</v>
      </c>
      <c r="N457" t="s">
        <v>3841</v>
      </c>
      <c r="P457" t="s">
        <v>3842</v>
      </c>
      <c r="Q457" t="s">
        <v>3843</v>
      </c>
      <c r="R457" t="s">
        <v>932</v>
      </c>
      <c r="U457" t="s">
        <v>319</v>
      </c>
      <c r="V457" t="s">
        <v>3417</v>
      </c>
      <c r="X457">
        <v>13100</v>
      </c>
      <c r="Y457">
        <v>1700</v>
      </c>
      <c r="AA457">
        <v>57</v>
      </c>
      <c r="AB457" s="31">
        <v>46070</v>
      </c>
      <c r="AC457" s="61">
        <v>0.41354166666666659</v>
      </c>
      <c r="AD457" t="s">
        <v>782</v>
      </c>
      <c r="AE457" s="31"/>
      <c r="AF457" s="61"/>
      <c r="AI457" t="s">
        <v>493</v>
      </c>
      <c r="AL457" t="s">
        <v>4654</v>
      </c>
      <c r="AM457">
        <v>30</v>
      </c>
      <c r="AQ457" t="s">
        <v>69</v>
      </c>
      <c r="AR457">
        <v>1</v>
      </c>
    </row>
    <row r="458" spans="1:44" x14ac:dyDescent="0.25">
      <c r="A458" t="s">
        <v>31</v>
      </c>
      <c r="B458">
        <v>940</v>
      </c>
      <c r="C458">
        <v>170</v>
      </c>
      <c r="D458">
        <v>3273</v>
      </c>
      <c r="G458" t="s">
        <v>496</v>
      </c>
      <c r="H458">
        <v>4150555001304</v>
      </c>
      <c r="I458" t="s">
        <v>3477</v>
      </c>
      <c r="J458" t="s">
        <v>4585</v>
      </c>
      <c r="K458" t="s">
        <v>4585</v>
      </c>
      <c r="L458" t="s">
        <v>3569</v>
      </c>
      <c r="N458" t="s">
        <v>3480</v>
      </c>
      <c r="P458" t="s">
        <v>3481</v>
      </c>
      <c r="Q458" t="s">
        <v>3482</v>
      </c>
      <c r="R458" t="s">
        <v>1699</v>
      </c>
      <c r="U458" t="s">
        <v>319</v>
      </c>
      <c r="V458" t="s">
        <v>816</v>
      </c>
      <c r="X458">
        <v>1512</v>
      </c>
      <c r="Y458">
        <v>0</v>
      </c>
      <c r="AA458">
        <v>8</v>
      </c>
      <c r="AB458" s="31">
        <v>46070</v>
      </c>
      <c r="AC458" s="61">
        <v>0.41755787037037029</v>
      </c>
      <c r="AD458" t="s">
        <v>818</v>
      </c>
      <c r="AE458" s="31">
        <v>46078</v>
      </c>
      <c r="AF458" s="61">
        <v>0.65865740740740741</v>
      </c>
      <c r="AI458" t="s">
        <v>497</v>
      </c>
      <c r="AL458" t="s">
        <v>480</v>
      </c>
      <c r="AM458">
        <v>30</v>
      </c>
      <c r="AQ458" t="s">
        <v>318</v>
      </c>
      <c r="AR458">
        <v>1</v>
      </c>
    </row>
    <row r="459" spans="1:44" x14ac:dyDescent="0.25">
      <c r="A459" t="s">
        <v>31</v>
      </c>
      <c r="B459">
        <v>941</v>
      </c>
      <c r="C459">
        <v>181</v>
      </c>
      <c r="D459">
        <v>3274</v>
      </c>
      <c r="E459" t="s">
        <v>4655</v>
      </c>
      <c r="G459" t="s">
        <v>499</v>
      </c>
      <c r="H459">
        <v>43204189000147</v>
      </c>
      <c r="I459" t="s">
        <v>3612</v>
      </c>
      <c r="J459" t="s">
        <v>990</v>
      </c>
      <c r="K459" t="s">
        <v>990</v>
      </c>
      <c r="L459" t="s">
        <v>3613</v>
      </c>
      <c r="N459" t="s">
        <v>3614</v>
      </c>
      <c r="P459" t="s">
        <v>3615</v>
      </c>
      <c r="Q459" t="s">
        <v>3616</v>
      </c>
      <c r="R459" t="s">
        <v>790</v>
      </c>
      <c r="U459" t="s">
        <v>319</v>
      </c>
      <c r="V459" t="s">
        <v>3417</v>
      </c>
      <c r="X459">
        <v>1600</v>
      </c>
      <c r="Y459">
        <v>384454</v>
      </c>
      <c r="AA459">
        <v>22</v>
      </c>
      <c r="AB459" s="31">
        <v>46070</v>
      </c>
      <c r="AC459" s="61">
        <v>0.42311342592592588</v>
      </c>
      <c r="AD459" t="s">
        <v>795</v>
      </c>
      <c r="AE459" s="31">
        <v>46092</v>
      </c>
      <c r="AF459" s="61">
        <v>0.48651620370370369</v>
      </c>
      <c r="AG459" t="s">
        <v>3463</v>
      </c>
      <c r="AI459" t="s">
        <v>500</v>
      </c>
      <c r="AJ459" t="s">
        <v>480</v>
      </c>
      <c r="AL459" t="s">
        <v>480</v>
      </c>
      <c r="AM459">
        <v>30</v>
      </c>
      <c r="AQ459" t="s">
        <v>53</v>
      </c>
      <c r="AR459">
        <v>1</v>
      </c>
    </row>
    <row r="460" spans="1:44" x14ac:dyDescent="0.25">
      <c r="A460" t="s">
        <v>31</v>
      </c>
      <c r="B460">
        <v>942</v>
      </c>
      <c r="C460">
        <v>103</v>
      </c>
      <c r="D460">
        <v>3275</v>
      </c>
      <c r="E460" t="s">
        <v>4586</v>
      </c>
      <c r="G460" t="s">
        <v>4587</v>
      </c>
      <c r="H460">
        <v>12549273000179</v>
      </c>
      <c r="I460" t="s">
        <v>3309</v>
      </c>
      <c r="J460" t="s">
        <v>1804</v>
      </c>
      <c r="K460" t="s">
        <v>1804</v>
      </c>
      <c r="N460" t="s">
        <v>3312</v>
      </c>
      <c r="P460" t="s">
        <v>3313</v>
      </c>
      <c r="Q460" t="s">
        <v>1596</v>
      </c>
      <c r="R460" t="s">
        <v>790</v>
      </c>
      <c r="U460" t="s">
        <v>319</v>
      </c>
      <c r="V460" t="s">
        <v>3606</v>
      </c>
      <c r="AA460">
        <v>57</v>
      </c>
      <c r="AB460" s="31">
        <v>46070</v>
      </c>
      <c r="AC460" s="61">
        <v>0.43594907407407413</v>
      </c>
      <c r="AD460" t="s">
        <v>782</v>
      </c>
      <c r="AE460" s="31"/>
      <c r="AF460" s="61"/>
      <c r="AJ460" t="s">
        <v>497</v>
      </c>
      <c r="AL460" t="s">
        <v>497</v>
      </c>
      <c r="AM460">
        <v>30</v>
      </c>
      <c r="AQ460" t="s">
        <v>2922</v>
      </c>
      <c r="AR460">
        <v>1</v>
      </c>
    </row>
    <row r="461" spans="1:44" x14ac:dyDescent="0.25">
      <c r="A461" t="s">
        <v>31</v>
      </c>
      <c r="B461">
        <v>943</v>
      </c>
      <c r="C461">
        <v>149</v>
      </c>
      <c r="D461">
        <v>3276</v>
      </c>
      <c r="G461" t="s">
        <v>502</v>
      </c>
      <c r="H461">
        <v>12418196000118</v>
      </c>
      <c r="I461" t="s">
        <v>3645</v>
      </c>
      <c r="J461" t="s">
        <v>844</v>
      </c>
      <c r="K461" t="s">
        <v>844</v>
      </c>
      <c r="L461" t="s">
        <v>3647</v>
      </c>
      <c r="N461" t="s">
        <v>3648</v>
      </c>
      <c r="P461" t="s">
        <v>778</v>
      </c>
      <c r="U461" t="s">
        <v>319</v>
      </c>
      <c r="V461" t="s">
        <v>816</v>
      </c>
      <c r="X461">
        <v>8400</v>
      </c>
      <c r="Y461">
        <v>0</v>
      </c>
      <c r="AA461">
        <v>8</v>
      </c>
      <c r="AB461" s="31">
        <v>46070</v>
      </c>
      <c r="AC461" s="61">
        <v>0.6010416666666667</v>
      </c>
      <c r="AD461" t="s">
        <v>818</v>
      </c>
      <c r="AE461" s="31">
        <v>46078</v>
      </c>
      <c r="AF461" s="61">
        <v>0.68366898148148147</v>
      </c>
      <c r="AI461" t="s">
        <v>497</v>
      </c>
      <c r="AJ461" t="s">
        <v>480</v>
      </c>
      <c r="AL461" t="s">
        <v>380</v>
      </c>
      <c r="AM461">
        <v>30</v>
      </c>
      <c r="AQ461" t="s">
        <v>318</v>
      </c>
      <c r="AR461">
        <v>1</v>
      </c>
    </row>
    <row r="462" spans="1:44" x14ac:dyDescent="0.25">
      <c r="A462" t="s">
        <v>31</v>
      </c>
      <c r="B462">
        <v>944</v>
      </c>
      <c r="C462">
        <v>149</v>
      </c>
      <c r="D462">
        <v>3277</v>
      </c>
      <c r="E462" t="s">
        <v>4589</v>
      </c>
      <c r="G462" t="s">
        <v>504</v>
      </c>
      <c r="H462">
        <v>12418196000118</v>
      </c>
      <c r="I462" t="s">
        <v>3645</v>
      </c>
      <c r="J462" t="s">
        <v>844</v>
      </c>
      <c r="K462" t="s">
        <v>844</v>
      </c>
      <c r="L462" t="s">
        <v>3647</v>
      </c>
      <c r="N462" t="s">
        <v>3648</v>
      </c>
      <c r="P462" t="s">
        <v>778</v>
      </c>
      <c r="U462" t="s">
        <v>319</v>
      </c>
      <c r="V462" t="s">
        <v>3417</v>
      </c>
      <c r="X462">
        <v>1680</v>
      </c>
      <c r="Y462">
        <v>0</v>
      </c>
      <c r="AA462">
        <v>2</v>
      </c>
      <c r="AB462" s="31">
        <v>46070</v>
      </c>
      <c r="AC462" s="61">
        <v>0.63858796296296294</v>
      </c>
      <c r="AD462" t="s">
        <v>795</v>
      </c>
      <c r="AE462" s="31">
        <v>46072</v>
      </c>
      <c r="AF462" s="61">
        <v>0.46702546296296299</v>
      </c>
      <c r="AG462" t="s">
        <v>796</v>
      </c>
      <c r="AI462" t="s">
        <v>497</v>
      </c>
      <c r="AJ462" t="s">
        <v>480</v>
      </c>
      <c r="AL462" t="s">
        <v>497</v>
      </c>
      <c r="AM462">
        <v>30</v>
      </c>
      <c r="AQ462" t="s">
        <v>318</v>
      </c>
      <c r="AR462">
        <v>1</v>
      </c>
    </row>
    <row r="463" spans="1:44" x14ac:dyDescent="0.25">
      <c r="A463" t="s">
        <v>31</v>
      </c>
      <c r="B463">
        <v>947</v>
      </c>
      <c r="C463">
        <v>194</v>
      </c>
      <c r="D463">
        <v>3281</v>
      </c>
      <c r="E463" t="s">
        <v>4590</v>
      </c>
      <c r="G463" t="s">
        <v>506</v>
      </c>
      <c r="H463">
        <v>44580314000186</v>
      </c>
      <c r="I463" t="s">
        <v>3682</v>
      </c>
      <c r="J463" t="s">
        <v>4411</v>
      </c>
      <c r="K463" t="s">
        <v>4411</v>
      </c>
      <c r="L463" t="s">
        <v>4591</v>
      </c>
      <c r="N463" t="s">
        <v>3685</v>
      </c>
      <c r="P463" t="s">
        <v>3686</v>
      </c>
      <c r="Q463" t="s">
        <v>3687</v>
      </c>
      <c r="R463" t="s">
        <v>790</v>
      </c>
      <c r="U463" t="s">
        <v>319</v>
      </c>
      <c r="V463" t="s">
        <v>816</v>
      </c>
      <c r="X463">
        <v>3024</v>
      </c>
      <c r="Y463">
        <v>1080</v>
      </c>
      <c r="AA463">
        <v>56</v>
      </c>
      <c r="AB463" s="31">
        <v>46071</v>
      </c>
      <c r="AC463" s="61">
        <v>0.39603009259259259</v>
      </c>
      <c r="AD463" t="s">
        <v>782</v>
      </c>
      <c r="AE463" s="31"/>
      <c r="AF463" s="61"/>
      <c r="AI463" t="s">
        <v>507</v>
      </c>
      <c r="AJ463" t="s">
        <v>480</v>
      </c>
      <c r="AL463" t="s">
        <v>507</v>
      </c>
      <c r="AM463">
        <v>50</v>
      </c>
      <c r="AQ463" t="s">
        <v>52</v>
      </c>
      <c r="AR463">
        <v>1</v>
      </c>
    </row>
    <row r="464" spans="1:44" x14ac:dyDescent="0.25">
      <c r="A464" t="s">
        <v>31</v>
      </c>
      <c r="B464">
        <v>954</v>
      </c>
      <c r="C464">
        <v>159</v>
      </c>
      <c r="D464">
        <v>3285</v>
      </c>
      <c r="E464" t="s">
        <v>4656</v>
      </c>
      <c r="G464" t="s">
        <v>255</v>
      </c>
      <c r="H464">
        <v>43526090000161</v>
      </c>
      <c r="I464" t="s">
        <v>913</v>
      </c>
      <c r="J464" t="s">
        <v>4657</v>
      </c>
      <c r="K464" t="s">
        <v>4657</v>
      </c>
      <c r="L464" t="s">
        <v>4155</v>
      </c>
      <c r="N464" t="s">
        <v>916</v>
      </c>
      <c r="P464" t="s">
        <v>778</v>
      </c>
      <c r="Q464" t="s">
        <v>909</v>
      </c>
      <c r="R464" t="s">
        <v>790</v>
      </c>
      <c r="U464" t="s">
        <v>319</v>
      </c>
      <c r="V464" t="s">
        <v>816</v>
      </c>
      <c r="X464">
        <v>8100</v>
      </c>
      <c r="Y464">
        <v>1080</v>
      </c>
      <c r="AA464">
        <v>55</v>
      </c>
      <c r="AB464" s="31">
        <v>46072</v>
      </c>
      <c r="AC464" s="61">
        <v>0.67166666666666663</v>
      </c>
      <c r="AD464" t="s">
        <v>782</v>
      </c>
      <c r="AE464" s="31"/>
      <c r="AF464" s="61"/>
      <c r="AI464" t="s">
        <v>393</v>
      </c>
      <c r="AJ464" t="s">
        <v>393</v>
      </c>
      <c r="AL464" t="s">
        <v>4658</v>
      </c>
      <c r="AM464">
        <v>30</v>
      </c>
      <c r="AQ464" t="s">
        <v>4659</v>
      </c>
      <c r="AR464">
        <v>1</v>
      </c>
    </row>
    <row r="465" spans="1:44" x14ac:dyDescent="0.25">
      <c r="A465" t="s">
        <v>31</v>
      </c>
      <c r="B465">
        <v>955</v>
      </c>
      <c r="D465">
        <v>3289</v>
      </c>
      <c r="E465" t="s">
        <v>4660</v>
      </c>
      <c r="G465" t="s">
        <v>508</v>
      </c>
      <c r="H465">
        <v>11119066000111</v>
      </c>
      <c r="J465" t="s">
        <v>4661</v>
      </c>
      <c r="K465" t="s">
        <v>4661</v>
      </c>
      <c r="L465" t="s">
        <v>4662</v>
      </c>
      <c r="N465" t="s">
        <v>4470</v>
      </c>
      <c r="P465" t="s">
        <v>778</v>
      </c>
      <c r="U465" t="s">
        <v>319</v>
      </c>
      <c r="V465" t="s">
        <v>816</v>
      </c>
      <c r="X465">
        <v>420</v>
      </c>
      <c r="Y465">
        <v>3564</v>
      </c>
      <c r="AA465">
        <v>6</v>
      </c>
      <c r="AB465" s="31">
        <v>46073</v>
      </c>
      <c r="AC465" s="61">
        <v>0.52296296296296296</v>
      </c>
      <c r="AD465" t="s">
        <v>818</v>
      </c>
      <c r="AE465" s="31">
        <v>46079</v>
      </c>
      <c r="AF465" s="61">
        <v>0.72277777777777774</v>
      </c>
      <c r="AI465" t="s">
        <v>401</v>
      </c>
      <c r="AJ465" t="s">
        <v>401</v>
      </c>
      <c r="AL465" t="s">
        <v>401</v>
      </c>
      <c r="AM465">
        <v>30</v>
      </c>
      <c r="AQ465" t="s">
        <v>2605</v>
      </c>
      <c r="AR465">
        <v>1</v>
      </c>
    </row>
    <row r="466" spans="1:44" x14ac:dyDescent="0.25">
      <c r="A466" t="s">
        <v>31</v>
      </c>
      <c r="B466">
        <v>957</v>
      </c>
      <c r="C466">
        <v>186</v>
      </c>
      <c r="D466">
        <v>3291</v>
      </c>
      <c r="E466" t="s">
        <v>4663</v>
      </c>
      <c r="G466" t="s">
        <v>482</v>
      </c>
      <c r="H466">
        <v>10899939000193</v>
      </c>
      <c r="I466" t="s">
        <v>3625</v>
      </c>
      <c r="J466" t="s">
        <v>704</v>
      </c>
      <c r="K466" t="s">
        <v>704</v>
      </c>
      <c r="L466" t="s">
        <v>3626</v>
      </c>
      <c r="N466" t="s">
        <v>3627</v>
      </c>
      <c r="P466" t="s">
        <v>3628</v>
      </c>
      <c r="Q466" t="s">
        <v>3629</v>
      </c>
      <c r="R466" t="s">
        <v>932</v>
      </c>
      <c r="U466" t="s">
        <v>319</v>
      </c>
      <c r="V466" t="s">
        <v>3417</v>
      </c>
      <c r="X466">
        <v>13100</v>
      </c>
      <c r="Y466">
        <v>1700</v>
      </c>
      <c r="AA466">
        <v>54</v>
      </c>
      <c r="AB466" s="31">
        <v>46073</v>
      </c>
      <c r="AC466" s="61">
        <v>0.73730324074074072</v>
      </c>
      <c r="AD466" t="s">
        <v>782</v>
      </c>
      <c r="AE466" s="31"/>
      <c r="AF466" s="61"/>
      <c r="AI466" t="s">
        <v>4664</v>
      </c>
      <c r="AJ466" t="s">
        <v>4664</v>
      </c>
      <c r="AL466" t="s">
        <v>4665</v>
      </c>
      <c r="AM466">
        <v>30</v>
      </c>
      <c r="AQ466" t="s">
        <v>69</v>
      </c>
      <c r="AR466">
        <v>1</v>
      </c>
    </row>
    <row r="467" spans="1:44" x14ac:dyDescent="0.25">
      <c r="A467" t="s">
        <v>31</v>
      </c>
      <c r="B467">
        <v>958</v>
      </c>
      <c r="C467">
        <v>142</v>
      </c>
      <c r="D467">
        <v>3292</v>
      </c>
      <c r="E467" t="s">
        <v>4666</v>
      </c>
      <c r="G467" t="s">
        <v>509</v>
      </c>
      <c r="H467">
        <v>1101123000181</v>
      </c>
      <c r="I467" t="s">
        <v>3397</v>
      </c>
      <c r="J467" t="s">
        <v>2610</v>
      </c>
      <c r="K467" t="s">
        <v>2610</v>
      </c>
      <c r="L467" t="s">
        <v>3698</v>
      </c>
      <c r="N467" t="s">
        <v>3399</v>
      </c>
      <c r="P467" t="s">
        <v>778</v>
      </c>
      <c r="Q467" t="s">
        <v>3400</v>
      </c>
      <c r="R467" t="s">
        <v>1699</v>
      </c>
      <c r="U467" t="s">
        <v>319</v>
      </c>
      <c r="V467" t="s">
        <v>3417</v>
      </c>
      <c r="X467">
        <v>32400</v>
      </c>
      <c r="Y467">
        <v>14256</v>
      </c>
      <c r="AA467">
        <v>11</v>
      </c>
      <c r="AB467" s="31">
        <v>46073</v>
      </c>
      <c r="AC467" s="61">
        <v>0.74099537037037033</v>
      </c>
      <c r="AD467" t="s">
        <v>795</v>
      </c>
      <c r="AE467" s="31">
        <v>46084</v>
      </c>
      <c r="AF467" s="61">
        <v>0.525787037037037</v>
      </c>
      <c r="AG467" t="s">
        <v>3463</v>
      </c>
      <c r="AI467" t="s">
        <v>401</v>
      </c>
      <c r="AJ467" t="s">
        <v>401</v>
      </c>
      <c r="AL467" t="s">
        <v>401</v>
      </c>
      <c r="AM467">
        <v>30</v>
      </c>
      <c r="AQ467" t="s">
        <v>2605</v>
      </c>
      <c r="AR467">
        <v>1</v>
      </c>
    </row>
    <row r="468" spans="1:44" x14ac:dyDescent="0.25">
      <c r="A468" t="s">
        <v>31</v>
      </c>
      <c r="B468">
        <v>970</v>
      </c>
      <c r="C468">
        <v>0</v>
      </c>
      <c r="D468">
        <v>3307</v>
      </c>
      <c r="E468" t="s">
        <v>4667</v>
      </c>
      <c r="G468" t="s">
        <v>466</v>
      </c>
      <c r="H468">
        <v>9023754000131</v>
      </c>
      <c r="J468" t="s">
        <v>4360</v>
      </c>
      <c r="K468" t="s">
        <v>4360</v>
      </c>
      <c r="L468" t="s">
        <v>4361</v>
      </c>
      <c r="N468" t="s">
        <v>4362</v>
      </c>
      <c r="P468" t="s">
        <v>778</v>
      </c>
      <c r="U468" t="s">
        <v>319</v>
      </c>
      <c r="V468" t="s">
        <v>3417</v>
      </c>
      <c r="X468">
        <v>0</v>
      </c>
      <c r="Y468">
        <v>5775</v>
      </c>
      <c r="AA468">
        <v>49</v>
      </c>
      <c r="AB468" s="31">
        <v>46078</v>
      </c>
      <c r="AC468" s="61">
        <v>0.41778935185185179</v>
      </c>
      <c r="AD468" t="s">
        <v>782</v>
      </c>
      <c r="AE468" s="31"/>
      <c r="AF468" s="61"/>
      <c r="AI468" t="s">
        <v>4668</v>
      </c>
      <c r="AJ468" t="s">
        <v>4669</v>
      </c>
      <c r="AL468" t="s">
        <v>4664</v>
      </c>
      <c r="AM468">
        <v>30</v>
      </c>
      <c r="AQ468" t="s">
        <v>2605</v>
      </c>
      <c r="AR468">
        <v>1</v>
      </c>
    </row>
    <row r="469" spans="1:44" x14ac:dyDescent="0.25">
      <c r="A469" t="s">
        <v>31</v>
      </c>
      <c r="B469">
        <v>975</v>
      </c>
      <c r="C469">
        <v>190</v>
      </c>
      <c r="D469">
        <v>3313</v>
      </c>
      <c r="G469" t="s">
        <v>510</v>
      </c>
      <c r="H469">
        <v>18203215000175</v>
      </c>
      <c r="I469" t="s">
        <v>3690</v>
      </c>
      <c r="J469" t="s">
        <v>4670</v>
      </c>
      <c r="K469" t="s">
        <v>4670</v>
      </c>
      <c r="L469" t="s">
        <v>3692</v>
      </c>
      <c r="N469" t="s">
        <v>3693</v>
      </c>
      <c r="P469" t="s">
        <v>3694</v>
      </c>
      <c r="Q469" t="s">
        <v>3695</v>
      </c>
      <c r="R469" t="s">
        <v>790</v>
      </c>
      <c r="U469" t="s">
        <v>319</v>
      </c>
      <c r="V469" t="s">
        <v>816</v>
      </c>
      <c r="X469">
        <v>1680</v>
      </c>
      <c r="Y469">
        <v>3564</v>
      </c>
      <c r="AA469">
        <v>20</v>
      </c>
      <c r="AB469" s="31">
        <v>46079</v>
      </c>
      <c r="AC469" s="61">
        <v>0.52194444444444443</v>
      </c>
      <c r="AD469" t="s">
        <v>818</v>
      </c>
      <c r="AE469" s="31">
        <v>46099</v>
      </c>
      <c r="AF469" s="61">
        <v>0.62033564814814812</v>
      </c>
      <c r="AI469" t="s">
        <v>511</v>
      </c>
      <c r="AJ469" t="s">
        <v>511</v>
      </c>
      <c r="AL469" t="s">
        <v>395</v>
      </c>
      <c r="AM469">
        <v>30</v>
      </c>
      <c r="AQ469" t="s">
        <v>2605</v>
      </c>
      <c r="AR469">
        <v>1</v>
      </c>
    </row>
    <row r="470" spans="1:44" x14ac:dyDescent="0.25">
      <c r="A470" t="s">
        <v>31</v>
      </c>
      <c r="B470">
        <v>986</v>
      </c>
      <c r="C470">
        <v>147</v>
      </c>
      <c r="D470">
        <v>3333</v>
      </c>
      <c r="G470" t="s">
        <v>4671</v>
      </c>
      <c r="H470">
        <v>7964558000136</v>
      </c>
      <c r="I470" t="s">
        <v>3430</v>
      </c>
      <c r="J470" t="s">
        <v>3679</v>
      </c>
      <c r="K470" t="s">
        <v>3679</v>
      </c>
      <c r="L470" t="s">
        <v>3515</v>
      </c>
      <c r="N470" t="s">
        <v>3433</v>
      </c>
      <c r="P470" t="s">
        <v>778</v>
      </c>
      <c r="U470" t="s">
        <v>319</v>
      </c>
      <c r="V470" t="s">
        <v>3417</v>
      </c>
      <c r="X470">
        <v>6000</v>
      </c>
      <c r="Y470">
        <v>2000</v>
      </c>
      <c r="AA470">
        <v>47</v>
      </c>
      <c r="AB470" s="31">
        <v>46080</v>
      </c>
      <c r="AC470" s="61">
        <v>0.66025462962962966</v>
      </c>
      <c r="AD470" t="s">
        <v>782</v>
      </c>
      <c r="AE470" s="31"/>
      <c r="AF470" s="61"/>
      <c r="AJ470" t="s">
        <v>4672</v>
      </c>
      <c r="AL470" t="s">
        <v>4672</v>
      </c>
      <c r="AM470">
        <v>30</v>
      </c>
      <c r="AQ470" t="s">
        <v>2922</v>
      </c>
      <c r="AR470">
        <v>1</v>
      </c>
    </row>
    <row r="471" spans="1:44" x14ac:dyDescent="0.25">
      <c r="A471" t="s">
        <v>31</v>
      </c>
      <c r="B471">
        <v>988</v>
      </c>
      <c r="C471">
        <v>0</v>
      </c>
      <c r="D471">
        <v>3336</v>
      </c>
      <c r="G471" t="s">
        <v>4673</v>
      </c>
      <c r="H471">
        <v>40082701000131</v>
      </c>
      <c r="J471" t="s">
        <v>4674</v>
      </c>
      <c r="K471" t="s">
        <v>4674</v>
      </c>
      <c r="L471" t="s">
        <v>1531</v>
      </c>
      <c r="N471" t="s">
        <v>1532</v>
      </c>
      <c r="P471" t="s">
        <v>778</v>
      </c>
      <c r="U471" t="s">
        <v>319</v>
      </c>
      <c r="V471" t="s">
        <v>781</v>
      </c>
      <c r="AA471">
        <v>14</v>
      </c>
      <c r="AB471" s="31">
        <v>46084</v>
      </c>
      <c r="AC471" s="61">
        <v>0.65028935185185188</v>
      </c>
      <c r="AD471" t="s">
        <v>795</v>
      </c>
      <c r="AE471" s="31">
        <v>46098</v>
      </c>
      <c r="AF471" s="61">
        <v>0.71456018518518516</v>
      </c>
      <c r="AG471" t="s">
        <v>796</v>
      </c>
      <c r="AL471" t="s">
        <v>4675</v>
      </c>
      <c r="AM471">
        <v>30</v>
      </c>
      <c r="AQ471" t="s">
        <v>321</v>
      </c>
      <c r="AR471">
        <v>1</v>
      </c>
    </row>
    <row r="472" spans="1:44" x14ac:dyDescent="0.25">
      <c r="A472" t="s">
        <v>31</v>
      </c>
      <c r="B472">
        <v>989</v>
      </c>
      <c r="C472">
        <v>154</v>
      </c>
      <c r="D472">
        <v>3337</v>
      </c>
      <c r="E472" t="s">
        <v>4676</v>
      </c>
      <c r="G472" t="s">
        <v>486</v>
      </c>
      <c r="H472">
        <v>790751000159</v>
      </c>
      <c r="I472" t="s">
        <v>3456</v>
      </c>
      <c r="J472" t="s">
        <v>1540</v>
      </c>
      <c r="K472" t="s">
        <v>1540</v>
      </c>
      <c r="L472" t="s">
        <v>3580</v>
      </c>
      <c r="N472" t="s">
        <v>3459</v>
      </c>
      <c r="P472" t="s">
        <v>778</v>
      </c>
      <c r="U472" t="s">
        <v>319</v>
      </c>
      <c r="V472" t="s">
        <v>3417</v>
      </c>
      <c r="X472">
        <v>6000</v>
      </c>
      <c r="Y472">
        <v>2000</v>
      </c>
      <c r="AA472">
        <v>43</v>
      </c>
      <c r="AB472" s="31">
        <v>46084</v>
      </c>
      <c r="AC472" s="61">
        <v>0.69407407407407407</v>
      </c>
      <c r="AD472" t="s">
        <v>782</v>
      </c>
      <c r="AE472" s="31"/>
      <c r="AF472" s="61"/>
      <c r="AI472" t="s">
        <v>4675</v>
      </c>
      <c r="AJ472" t="s">
        <v>4675</v>
      </c>
      <c r="AL472" t="s">
        <v>4644</v>
      </c>
      <c r="AM472">
        <v>30</v>
      </c>
      <c r="AQ472" t="s">
        <v>2922</v>
      </c>
      <c r="AR472">
        <v>1</v>
      </c>
    </row>
    <row r="473" spans="1:44" x14ac:dyDescent="0.25">
      <c r="A473" t="s">
        <v>31</v>
      </c>
      <c r="B473">
        <v>992</v>
      </c>
      <c r="C473">
        <v>170</v>
      </c>
      <c r="D473">
        <v>3340</v>
      </c>
      <c r="G473" t="s">
        <v>460</v>
      </c>
      <c r="H473">
        <v>4150555001304</v>
      </c>
      <c r="I473" t="s">
        <v>3477</v>
      </c>
      <c r="J473" t="s">
        <v>3477</v>
      </c>
      <c r="K473" t="s">
        <v>3477</v>
      </c>
      <c r="L473" t="s">
        <v>3569</v>
      </c>
      <c r="N473" t="s">
        <v>3480</v>
      </c>
      <c r="P473" t="s">
        <v>3481</v>
      </c>
      <c r="Q473" t="s">
        <v>3482</v>
      </c>
      <c r="R473" t="s">
        <v>1699</v>
      </c>
      <c r="U473" t="s">
        <v>319</v>
      </c>
      <c r="V473" t="s">
        <v>816</v>
      </c>
      <c r="X473">
        <v>74718</v>
      </c>
      <c r="Y473">
        <v>0</v>
      </c>
      <c r="AA473">
        <v>13</v>
      </c>
      <c r="AB473" s="31">
        <v>46085</v>
      </c>
      <c r="AC473" s="61">
        <v>0.71363425925925927</v>
      </c>
      <c r="AD473" t="s">
        <v>818</v>
      </c>
      <c r="AE473" s="31">
        <v>46098</v>
      </c>
      <c r="AF473" s="61">
        <v>0.46490740740740738</v>
      </c>
      <c r="AI473" t="s">
        <v>4677</v>
      </c>
      <c r="AL473" t="s">
        <v>4677</v>
      </c>
      <c r="AM473">
        <v>100</v>
      </c>
      <c r="AQ473" t="s">
        <v>2605</v>
      </c>
      <c r="AR473">
        <v>1</v>
      </c>
    </row>
    <row r="474" spans="1:44" x14ac:dyDescent="0.25">
      <c r="A474" t="s">
        <v>31</v>
      </c>
      <c r="B474">
        <v>998</v>
      </c>
      <c r="C474">
        <v>129</v>
      </c>
      <c r="D474">
        <v>3359</v>
      </c>
      <c r="E474" t="s">
        <v>4678</v>
      </c>
      <c r="G474" t="s">
        <v>490</v>
      </c>
      <c r="H474">
        <v>2867917000113</v>
      </c>
      <c r="I474" t="s">
        <v>679</v>
      </c>
      <c r="J474" t="s">
        <v>679</v>
      </c>
      <c r="K474" t="s">
        <v>679</v>
      </c>
      <c r="L474" t="s">
        <v>3537</v>
      </c>
      <c r="N474" t="s">
        <v>3366</v>
      </c>
      <c r="P474" t="s">
        <v>778</v>
      </c>
      <c r="U474" t="s">
        <v>319</v>
      </c>
      <c r="V474" t="s">
        <v>3417</v>
      </c>
      <c r="X474">
        <v>1680</v>
      </c>
      <c r="Y474">
        <v>3564</v>
      </c>
      <c r="AA474">
        <v>37</v>
      </c>
      <c r="AB474" s="31">
        <v>46090</v>
      </c>
      <c r="AC474" s="61">
        <v>0.72798611111111111</v>
      </c>
      <c r="AD474" t="s">
        <v>782</v>
      </c>
      <c r="AE474" s="31"/>
      <c r="AF474" s="61"/>
      <c r="AI474" t="s">
        <v>4679</v>
      </c>
      <c r="AJ474" t="s">
        <v>4679</v>
      </c>
      <c r="AL474" t="s">
        <v>4679</v>
      </c>
      <c r="AM474">
        <v>30</v>
      </c>
      <c r="AQ474" t="s">
        <v>2605</v>
      </c>
      <c r="AR474">
        <v>1</v>
      </c>
    </row>
    <row r="475" spans="1:44" x14ac:dyDescent="0.25">
      <c r="A475" t="s">
        <v>31</v>
      </c>
      <c r="B475">
        <v>1010</v>
      </c>
      <c r="C475">
        <v>141</v>
      </c>
      <c r="D475">
        <v>3366</v>
      </c>
      <c r="G475" t="s">
        <v>434</v>
      </c>
      <c r="I475" t="s">
        <v>434</v>
      </c>
      <c r="J475" t="s">
        <v>434</v>
      </c>
      <c r="K475" t="s">
        <v>434</v>
      </c>
      <c r="L475" t="s">
        <v>4127</v>
      </c>
      <c r="N475" t="s">
        <v>3396</v>
      </c>
      <c r="P475" t="s">
        <v>778</v>
      </c>
      <c r="U475" t="s">
        <v>319</v>
      </c>
      <c r="V475" t="s">
        <v>816</v>
      </c>
      <c r="X475">
        <v>1600</v>
      </c>
      <c r="Y475">
        <v>34428</v>
      </c>
      <c r="AA475">
        <v>8</v>
      </c>
      <c r="AB475" s="31">
        <v>46092</v>
      </c>
      <c r="AC475" s="61">
        <v>0.47452546296296289</v>
      </c>
      <c r="AD475" t="s">
        <v>818</v>
      </c>
      <c r="AE475" s="31">
        <v>46100</v>
      </c>
      <c r="AF475" s="61">
        <v>0.6378935185185185</v>
      </c>
      <c r="AI475" t="s">
        <v>4680</v>
      </c>
      <c r="AL475" t="s">
        <v>4680</v>
      </c>
      <c r="AM475">
        <v>30</v>
      </c>
      <c r="AQ475" t="s">
        <v>53</v>
      </c>
      <c r="AR475">
        <v>1</v>
      </c>
    </row>
    <row r="476" spans="1:44" x14ac:dyDescent="0.25">
      <c r="A476" t="s">
        <v>31</v>
      </c>
      <c r="B476">
        <v>1028</v>
      </c>
      <c r="D476">
        <v>3398</v>
      </c>
      <c r="G476" t="s">
        <v>471</v>
      </c>
      <c r="H476">
        <v>10303813000104</v>
      </c>
      <c r="J476" t="s">
        <v>1243</v>
      </c>
      <c r="K476" t="s">
        <v>1243</v>
      </c>
      <c r="L476" t="s">
        <v>4556</v>
      </c>
      <c r="N476" t="s">
        <v>4384</v>
      </c>
      <c r="P476" t="s">
        <v>778</v>
      </c>
      <c r="U476" t="s">
        <v>319</v>
      </c>
      <c r="V476" t="s">
        <v>816</v>
      </c>
      <c r="X476">
        <v>2100</v>
      </c>
      <c r="Y476">
        <v>0</v>
      </c>
      <c r="AA476">
        <v>0</v>
      </c>
      <c r="AB476" s="31">
        <v>46098</v>
      </c>
      <c r="AC476" s="61">
        <v>0.62350694444444443</v>
      </c>
      <c r="AD476" t="s">
        <v>818</v>
      </c>
      <c r="AE476" s="31">
        <v>46098</v>
      </c>
      <c r="AF476" s="61">
        <v>0.71381944444444445</v>
      </c>
      <c r="AI476" t="s">
        <v>4681</v>
      </c>
      <c r="AL476" t="s">
        <v>4682</v>
      </c>
      <c r="AM476">
        <v>29</v>
      </c>
      <c r="AQ476" t="s">
        <v>63</v>
      </c>
      <c r="AR476">
        <v>1</v>
      </c>
    </row>
    <row r="477" spans="1:44" x14ac:dyDescent="0.25">
      <c r="A477" t="s">
        <v>31</v>
      </c>
      <c r="B477">
        <v>1036</v>
      </c>
      <c r="C477">
        <v>184</v>
      </c>
      <c r="D477">
        <v>3406</v>
      </c>
      <c r="E477" t="s">
        <v>4683</v>
      </c>
      <c r="G477" t="s">
        <v>453</v>
      </c>
      <c r="H477">
        <v>11861121000144</v>
      </c>
      <c r="I477" t="s">
        <v>3877</v>
      </c>
      <c r="J477" t="s">
        <v>3877</v>
      </c>
      <c r="K477" t="s">
        <v>3877</v>
      </c>
      <c r="L477" t="s">
        <v>3879</v>
      </c>
      <c r="N477" t="s">
        <v>3880</v>
      </c>
      <c r="P477" t="s">
        <v>3881</v>
      </c>
      <c r="Q477" t="s">
        <v>1094</v>
      </c>
      <c r="R477" t="s">
        <v>790</v>
      </c>
      <c r="U477" t="s">
        <v>319</v>
      </c>
      <c r="V477" t="s">
        <v>3417</v>
      </c>
      <c r="X477">
        <v>8100</v>
      </c>
      <c r="Y477">
        <v>1080</v>
      </c>
      <c r="AA477">
        <v>27</v>
      </c>
      <c r="AB477" s="31">
        <v>46100</v>
      </c>
      <c r="AC477" s="61">
        <v>0.42835648148148148</v>
      </c>
      <c r="AD477" t="s">
        <v>782</v>
      </c>
      <c r="AE477" s="31"/>
      <c r="AF477" s="61"/>
      <c r="AI477" t="s">
        <v>4684</v>
      </c>
      <c r="AJ477" t="s">
        <v>4684</v>
      </c>
      <c r="AK477" t="s">
        <v>4649</v>
      </c>
      <c r="AL477" t="s">
        <v>4649</v>
      </c>
      <c r="AM477">
        <v>30</v>
      </c>
      <c r="AQ477" t="s">
        <v>52</v>
      </c>
      <c r="AR477">
        <v>1</v>
      </c>
    </row>
    <row r="478" spans="1:44" x14ac:dyDescent="0.25">
      <c r="A478" t="s">
        <v>31</v>
      </c>
      <c r="B478">
        <v>1039</v>
      </c>
      <c r="C478">
        <v>97</v>
      </c>
      <c r="D478">
        <v>3407</v>
      </c>
      <c r="E478" t="s">
        <v>4685</v>
      </c>
      <c r="G478" t="s">
        <v>494</v>
      </c>
      <c r="H478">
        <v>22500484000170</v>
      </c>
      <c r="I478" t="s">
        <v>669</v>
      </c>
      <c r="J478" t="s">
        <v>669</v>
      </c>
      <c r="K478" t="s">
        <v>669</v>
      </c>
      <c r="L478" t="s">
        <v>4035</v>
      </c>
      <c r="N478" t="s">
        <v>3294</v>
      </c>
      <c r="P478" t="s">
        <v>778</v>
      </c>
      <c r="U478" t="s">
        <v>319</v>
      </c>
      <c r="V478" t="s">
        <v>816</v>
      </c>
      <c r="X478">
        <v>4200</v>
      </c>
      <c r="Y478">
        <v>0</v>
      </c>
      <c r="AA478">
        <v>26</v>
      </c>
      <c r="AB478" s="31">
        <v>46100</v>
      </c>
      <c r="AC478" s="61">
        <v>0.68789351851851854</v>
      </c>
      <c r="AD478" t="s">
        <v>795</v>
      </c>
      <c r="AE478" s="31">
        <v>46126</v>
      </c>
      <c r="AF478" s="61">
        <v>0.70424768518518521</v>
      </c>
      <c r="AG478" t="s">
        <v>796</v>
      </c>
      <c r="AI478" t="s">
        <v>4684</v>
      </c>
      <c r="AL478" t="s">
        <v>4684</v>
      </c>
      <c r="AM478">
        <v>30</v>
      </c>
      <c r="AQ478" t="s">
        <v>318</v>
      </c>
      <c r="AR478">
        <v>1</v>
      </c>
    </row>
    <row r="479" spans="1:44" x14ac:dyDescent="0.25">
      <c r="A479" t="s">
        <v>31</v>
      </c>
      <c r="B479">
        <v>1043</v>
      </c>
      <c r="C479">
        <v>149</v>
      </c>
      <c r="D479">
        <v>3415</v>
      </c>
      <c r="E479" t="s">
        <v>4686</v>
      </c>
      <c r="G479" t="s">
        <v>498</v>
      </c>
      <c r="H479">
        <v>12418196000118</v>
      </c>
      <c r="I479" t="s">
        <v>3645</v>
      </c>
      <c r="J479" t="s">
        <v>3645</v>
      </c>
      <c r="K479" t="s">
        <v>3645</v>
      </c>
      <c r="L479" t="s">
        <v>3647</v>
      </c>
      <c r="N479" t="s">
        <v>3648</v>
      </c>
      <c r="P479" t="s">
        <v>778</v>
      </c>
      <c r="U479" t="s">
        <v>319</v>
      </c>
      <c r="V479" t="s">
        <v>3417</v>
      </c>
      <c r="X479">
        <v>25200</v>
      </c>
      <c r="Y479">
        <v>104544</v>
      </c>
      <c r="AA479">
        <v>23</v>
      </c>
      <c r="AB479" s="31">
        <v>46104</v>
      </c>
      <c r="AC479" s="61">
        <v>0.45837962962962958</v>
      </c>
      <c r="AD479" t="s">
        <v>782</v>
      </c>
      <c r="AE479" s="31"/>
      <c r="AF479" s="61"/>
      <c r="AI479" t="s">
        <v>4687</v>
      </c>
      <c r="AL479" t="s">
        <v>4687</v>
      </c>
      <c r="AM479">
        <v>30</v>
      </c>
      <c r="AN479">
        <v>140</v>
      </c>
      <c r="AQ479" t="s">
        <v>2605</v>
      </c>
      <c r="AR479">
        <v>1</v>
      </c>
    </row>
    <row r="480" spans="1:44" x14ac:dyDescent="0.25">
      <c r="A480" t="s">
        <v>31</v>
      </c>
      <c r="B480">
        <v>1048</v>
      </c>
      <c r="C480">
        <v>137</v>
      </c>
      <c r="D480">
        <v>3418</v>
      </c>
      <c r="E480" t="s">
        <v>4688</v>
      </c>
      <c r="G480" t="s">
        <v>501</v>
      </c>
      <c r="I480" t="s">
        <v>116</v>
      </c>
      <c r="J480" t="s">
        <v>116</v>
      </c>
      <c r="K480" t="s">
        <v>116</v>
      </c>
      <c r="L480" t="s">
        <v>3703</v>
      </c>
      <c r="N480" t="s">
        <v>3386</v>
      </c>
      <c r="P480" t="s">
        <v>778</v>
      </c>
      <c r="U480" t="s">
        <v>319</v>
      </c>
      <c r="V480" t="s">
        <v>816</v>
      </c>
      <c r="X480">
        <v>0</v>
      </c>
      <c r="Y480">
        <v>4752</v>
      </c>
      <c r="AA480">
        <v>8</v>
      </c>
      <c r="AB480" s="31">
        <v>46105</v>
      </c>
      <c r="AC480" s="61">
        <v>0.67633101851851851</v>
      </c>
      <c r="AD480" t="s">
        <v>818</v>
      </c>
      <c r="AE480" s="31">
        <v>46113</v>
      </c>
      <c r="AF480" s="61">
        <v>0.40630787037037042</v>
      </c>
      <c r="AI480" t="s">
        <v>4689</v>
      </c>
      <c r="AL480" t="s">
        <v>4649</v>
      </c>
      <c r="AM480">
        <v>30</v>
      </c>
      <c r="AQ480" t="s">
        <v>2605</v>
      </c>
      <c r="AR480">
        <v>1</v>
      </c>
    </row>
    <row r="481" spans="1:44" x14ac:dyDescent="0.25">
      <c r="A481" t="s">
        <v>31</v>
      </c>
      <c r="B481">
        <v>1056</v>
      </c>
      <c r="C481">
        <v>210</v>
      </c>
      <c r="D481">
        <v>3431</v>
      </c>
      <c r="E481" t="s">
        <v>4690</v>
      </c>
      <c r="G481" t="s">
        <v>476</v>
      </c>
      <c r="H481">
        <v>51781567000183</v>
      </c>
      <c r="I481" t="s">
        <v>3886</v>
      </c>
      <c r="J481" t="s">
        <v>3886</v>
      </c>
      <c r="K481" t="s">
        <v>3886</v>
      </c>
      <c r="L481" t="s">
        <v>3887</v>
      </c>
      <c r="N481" t="s">
        <v>3888</v>
      </c>
      <c r="P481" t="s">
        <v>3889</v>
      </c>
      <c r="Q481" t="s">
        <v>3890</v>
      </c>
      <c r="R481" t="s">
        <v>932</v>
      </c>
      <c r="U481" t="s">
        <v>319</v>
      </c>
      <c r="V481" t="s">
        <v>816</v>
      </c>
      <c r="X481">
        <v>0</v>
      </c>
      <c r="Y481">
        <v>1080</v>
      </c>
      <c r="AA481">
        <v>4</v>
      </c>
      <c r="AB481" s="31">
        <v>46108</v>
      </c>
      <c r="AC481" s="61">
        <v>0.6171875</v>
      </c>
      <c r="AD481" t="s">
        <v>818</v>
      </c>
      <c r="AE481" s="31">
        <v>46112</v>
      </c>
      <c r="AF481" s="61">
        <v>0.64339120370370373</v>
      </c>
      <c r="AI481" t="s">
        <v>4691</v>
      </c>
      <c r="AL481" t="s">
        <v>4691</v>
      </c>
      <c r="AM481">
        <v>30</v>
      </c>
      <c r="AQ481" t="s">
        <v>52</v>
      </c>
      <c r="AR481">
        <v>1</v>
      </c>
    </row>
    <row r="482" spans="1:44" x14ac:dyDescent="0.25">
      <c r="A482" t="s">
        <v>31</v>
      </c>
      <c r="B482">
        <v>1057</v>
      </c>
      <c r="C482">
        <v>187</v>
      </c>
      <c r="D482">
        <v>3432</v>
      </c>
      <c r="E482" t="s">
        <v>4692</v>
      </c>
      <c r="G482" t="s">
        <v>439</v>
      </c>
      <c r="H482">
        <v>17063632000105</v>
      </c>
      <c r="I482" t="s">
        <v>3631</v>
      </c>
      <c r="J482" t="s">
        <v>3631</v>
      </c>
      <c r="K482" t="s">
        <v>3631</v>
      </c>
      <c r="L482" t="s">
        <v>3633</v>
      </c>
      <c r="N482" t="s">
        <v>3634</v>
      </c>
      <c r="P482" t="s">
        <v>3635</v>
      </c>
      <c r="Q482" t="s">
        <v>3636</v>
      </c>
      <c r="R482" t="s">
        <v>1699</v>
      </c>
      <c r="U482" t="s">
        <v>319</v>
      </c>
      <c r="V482" t="s">
        <v>816</v>
      </c>
      <c r="X482">
        <v>861975</v>
      </c>
      <c r="Y482">
        <v>0</v>
      </c>
      <c r="AA482">
        <v>10</v>
      </c>
      <c r="AB482" s="31">
        <v>46108</v>
      </c>
      <c r="AC482" s="61">
        <v>0.63226851851851851</v>
      </c>
      <c r="AD482" t="s">
        <v>795</v>
      </c>
      <c r="AE482" s="31">
        <v>46118</v>
      </c>
      <c r="AF482" s="61">
        <v>0.69535879629629627</v>
      </c>
      <c r="AG482" t="s">
        <v>934</v>
      </c>
      <c r="AI482" t="s">
        <v>4691</v>
      </c>
      <c r="AL482" t="s">
        <v>4691</v>
      </c>
      <c r="AM482">
        <v>30</v>
      </c>
      <c r="AQ482" t="s">
        <v>2605</v>
      </c>
      <c r="AR482">
        <v>1</v>
      </c>
    </row>
    <row r="483" spans="1:44" x14ac:dyDescent="0.25">
      <c r="A483" t="s">
        <v>31</v>
      </c>
      <c r="B483">
        <v>1058</v>
      </c>
      <c r="C483">
        <v>208</v>
      </c>
      <c r="D483">
        <v>3436</v>
      </c>
      <c r="E483" t="s">
        <v>4693</v>
      </c>
      <c r="G483" t="s">
        <v>503</v>
      </c>
      <c r="H483">
        <v>42830750000130</v>
      </c>
      <c r="I483" t="s">
        <v>3903</v>
      </c>
      <c r="J483" t="s">
        <v>3903</v>
      </c>
      <c r="K483" t="s">
        <v>3903</v>
      </c>
      <c r="L483" t="s">
        <v>3905</v>
      </c>
      <c r="N483" t="s">
        <v>4594</v>
      </c>
      <c r="P483" t="s">
        <v>3907</v>
      </c>
      <c r="Q483" t="s">
        <v>1094</v>
      </c>
      <c r="R483" t="s">
        <v>790</v>
      </c>
      <c r="U483" t="s">
        <v>319</v>
      </c>
      <c r="V483" t="s">
        <v>816</v>
      </c>
      <c r="X483">
        <v>1680</v>
      </c>
      <c r="Y483">
        <v>7128</v>
      </c>
      <c r="AA483">
        <v>19</v>
      </c>
      <c r="AB483" s="31">
        <v>46108</v>
      </c>
      <c r="AC483" s="61">
        <v>0.6628356481481481</v>
      </c>
      <c r="AD483" t="s">
        <v>782</v>
      </c>
      <c r="AE483" s="31"/>
      <c r="AF483" s="61"/>
      <c r="AI483" t="s">
        <v>4691</v>
      </c>
      <c r="AL483" t="s">
        <v>4649</v>
      </c>
      <c r="AM483">
        <v>30</v>
      </c>
      <c r="AQ483" t="s">
        <v>2605</v>
      </c>
      <c r="AR483">
        <v>1</v>
      </c>
    </row>
    <row r="484" spans="1:44" x14ac:dyDescent="0.25">
      <c r="A484" t="s">
        <v>31</v>
      </c>
      <c r="B484">
        <v>1070</v>
      </c>
      <c r="C484">
        <v>211</v>
      </c>
      <c r="D484">
        <v>3473</v>
      </c>
      <c r="E484" t="s">
        <v>4694</v>
      </c>
      <c r="G484" t="s">
        <v>505</v>
      </c>
      <c r="H484">
        <v>5691820000190</v>
      </c>
      <c r="I484" t="s">
        <v>3912</v>
      </c>
      <c r="J484" t="s">
        <v>3912</v>
      </c>
      <c r="K484" t="s">
        <v>3912</v>
      </c>
      <c r="L484" t="s">
        <v>3913</v>
      </c>
      <c r="N484" t="s">
        <v>3914</v>
      </c>
      <c r="P484" t="s">
        <v>3915</v>
      </c>
      <c r="Q484" t="s">
        <v>1026</v>
      </c>
      <c r="R484" t="s">
        <v>1027</v>
      </c>
      <c r="U484" t="s">
        <v>319</v>
      </c>
      <c r="V484" t="s">
        <v>816</v>
      </c>
      <c r="X484">
        <v>13100</v>
      </c>
      <c r="Y484">
        <v>1700</v>
      </c>
      <c r="AA484">
        <v>15</v>
      </c>
      <c r="AB484" s="31">
        <v>46112</v>
      </c>
      <c r="AC484" s="61">
        <v>0.69315972222222222</v>
      </c>
      <c r="AD484" t="s">
        <v>782</v>
      </c>
      <c r="AE484" s="31"/>
      <c r="AF484" s="61"/>
      <c r="AI484" t="s">
        <v>4695</v>
      </c>
      <c r="AJ484" t="s">
        <v>4695</v>
      </c>
      <c r="AL484" t="s">
        <v>4695</v>
      </c>
      <c r="AM484">
        <v>30</v>
      </c>
      <c r="AQ484" t="s">
        <v>69</v>
      </c>
      <c r="AR484">
        <v>1</v>
      </c>
    </row>
    <row r="485" spans="1:44" x14ac:dyDescent="0.25">
      <c r="A485" t="s">
        <v>31</v>
      </c>
      <c r="B485">
        <v>1071</v>
      </c>
      <c r="C485">
        <v>185</v>
      </c>
      <c r="D485">
        <v>3475</v>
      </c>
      <c r="G485" t="s">
        <v>441</v>
      </c>
      <c r="H485">
        <v>51496785000176</v>
      </c>
      <c r="I485" t="s">
        <v>3599</v>
      </c>
      <c r="J485" t="s">
        <v>3599</v>
      </c>
      <c r="K485" t="s">
        <v>3599</v>
      </c>
      <c r="L485" t="s">
        <v>3601</v>
      </c>
      <c r="N485" t="s">
        <v>3602</v>
      </c>
      <c r="P485" t="s">
        <v>3603</v>
      </c>
      <c r="Q485" t="s">
        <v>847</v>
      </c>
      <c r="R485" t="s">
        <v>848</v>
      </c>
      <c r="U485" t="s">
        <v>319</v>
      </c>
      <c r="V485" t="s">
        <v>816</v>
      </c>
      <c r="AA485">
        <v>12</v>
      </c>
      <c r="AB485" s="31">
        <v>46113</v>
      </c>
      <c r="AC485" s="61">
        <v>0.4354513888888889</v>
      </c>
      <c r="AD485" t="s">
        <v>818</v>
      </c>
      <c r="AE485" s="31">
        <v>46125</v>
      </c>
      <c r="AF485" s="61">
        <v>0.49717592592592591</v>
      </c>
      <c r="AI485" t="s">
        <v>4696</v>
      </c>
      <c r="AJ485" t="s">
        <v>4696</v>
      </c>
      <c r="AL485" t="s">
        <v>4696</v>
      </c>
      <c r="AM485">
        <v>30</v>
      </c>
      <c r="AQ485" t="s">
        <v>2605</v>
      </c>
      <c r="AR485">
        <v>1</v>
      </c>
    </row>
    <row r="486" spans="1:44" x14ac:dyDescent="0.25">
      <c r="A486" t="s">
        <v>31</v>
      </c>
      <c r="B486">
        <v>1108</v>
      </c>
      <c r="C486">
        <v>107</v>
      </c>
      <c r="D486">
        <v>3537</v>
      </c>
      <c r="E486" t="s">
        <v>4697</v>
      </c>
      <c r="G486" t="s">
        <v>427</v>
      </c>
      <c r="H486">
        <v>7527737000297</v>
      </c>
      <c r="I486" t="s">
        <v>427</v>
      </c>
      <c r="J486" t="s">
        <v>427</v>
      </c>
      <c r="K486" t="s">
        <v>427</v>
      </c>
      <c r="N486" t="s">
        <v>3320</v>
      </c>
      <c r="P486" t="s">
        <v>778</v>
      </c>
      <c r="U486" t="s">
        <v>319</v>
      </c>
      <c r="V486" t="s">
        <v>3417</v>
      </c>
      <c r="X486">
        <v>420</v>
      </c>
      <c r="Y486">
        <v>3564</v>
      </c>
      <c r="AA486">
        <v>1</v>
      </c>
      <c r="AB486" s="31">
        <v>46126</v>
      </c>
      <c r="AC486" s="61">
        <v>0.65339120370370374</v>
      </c>
      <c r="AD486" t="s">
        <v>782</v>
      </c>
      <c r="AE486" s="31"/>
      <c r="AF486" s="61"/>
      <c r="AI486" t="s">
        <v>4698</v>
      </c>
      <c r="AJ486" t="s">
        <v>4698</v>
      </c>
      <c r="AL486" t="s">
        <v>4698</v>
      </c>
      <c r="AM486">
        <v>30</v>
      </c>
      <c r="AQ486" t="s">
        <v>2605</v>
      </c>
      <c r="AR486">
        <v>1</v>
      </c>
    </row>
    <row r="487" spans="1:44" x14ac:dyDescent="0.25">
      <c r="A487" t="s">
        <v>31</v>
      </c>
      <c r="B487">
        <v>1109</v>
      </c>
      <c r="C487">
        <v>190</v>
      </c>
      <c r="D487">
        <v>3538</v>
      </c>
      <c r="G487" t="s">
        <v>447</v>
      </c>
      <c r="H487">
        <v>18203215000175</v>
      </c>
      <c r="I487" t="s">
        <v>3690</v>
      </c>
      <c r="J487" t="s">
        <v>3690</v>
      </c>
      <c r="K487" t="s">
        <v>3690</v>
      </c>
      <c r="L487" t="s">
        <v>3692</v>
      </c>
      <c r="N487" t="s">
        <v>3693</v>
      </c>
      <c r="P487" t="s">
        <v>3694</v>
      </c>
      <c r="Q487" t="s">
        <v>3695</v>
      </c>
      <c r="R487" t="s">
        <v>790</v>
      </c>
      <c r="U487" t="s">
        <v>319</v>
      </c>
      <c r="V487" t="s">
        <v>3606</v>
      </c>
      <c r="X487">
        <v>6000</v>
      </c>
      <c r="Y487">
        <v>2000</v>
      </c>
      <c r="AA487">
        <v>1</v>
      </c>
      <c r="AB487" s="31">
        <v>46126</v>
      </c>
      <c r="AC487" s="61">
        <v>0.65795138888888893</v>
      </c>
      <c r="AD487" t="s">
        <v>782</v>
      </c>
      <c r="AE487" s="31"/>
      <c r="AF487" s="61"/>
      <c r="AI487" t="s">
        <v>4698</v>
      </c>
      <c r="AJ487" t="s">
        <v>4698</v>
      </c>
      <c r="AL487" t="s">
        <v>4698</v>
      </c>
      <c r="AM487">
        <v>30</v>
      </c>
      <c r="AQ487" t="s">
        <v>2922</v>
      </c>
      <c r="AR487">
        <v>1</v>
      </c>
    </row>
    <row r="488" spans="1:44" x14ac:dyDescent="0.25">
      <c r="A488" t="s">
        <v>31</v>
      </c>
      <c r="B488">
        <v>1110</v>
      </c>
      <c r="C488">
        <v>190</v>
      </c>
      <c r="D488">
        <v>3539</v>
      </c>
      <c r="E488" t="s">
        <v>4699</v>
      </c>
      <c r="G488" t="s">
        <v>4700</v>
      </c>
      <c r="H488">
        <v>18203215000175</v>
      </c>
      <c r="I488" t="s">
        <v>3690</v>
      </c>
      <c r="J488" t="s">
        <v>3690</v>
      </c>
      <c r="K488" t="s">
        <v>3690</v>
      </c>
      <c r="L488" t="s">
        <v>3692</v>
      </c>
      <c r="N488" t="s">
        <v>3693</v>
      </c>
      <c r="P488" t="s">
        <v>3694</v>
      </c>
      <c r="Q488" t="s">
        <v>3695</v>
      </c>
      <c r="R488" t="s">
        <v>790</v>
      </c>
      <c r="U488" t="s">
        <v>319</v>
      </c>
      <c r="V488" t="s">
        <v>3606</v>
      </c>
      <c r="X488">
        <v>8100</v>
      </c>
      <c r="Y488">
        <v>1080</v>
      </c>
      <c r="AA488">
        <v>1</v>
      </c>
      <c r="AB488" s="31">
        <v>46126</v>
      </c>
      <c r="AC488" s="61">
        <v>0.65972222222222221</v>
      </c>
      <c r="AD488" t="s">
        <v>782</v>
      </c>
      <c r="AE488" s="31"/>
      <c r="AF488" s="61"/>
      <c r="AJ488" t="s">
        <v>4698</v>
      </c>
      <c r="AL488" t="s">
        <v>4698</v>
      </c>
      <c r="AM488">
        <v>30</v>
      </c>
      <c r="AQ488" t="s">
        <v>52</v>
      </c>
      <c r="AR488">
        <v>1</v>
      </c>
    </row>
    <row r="489" spans="1:44" x14ac:dyDescent="0.25">
      <c r="A489" t="s">
        <v>31</v>
      </c>
      <c r="B489">
        <v>1111</v>
      </c>
      <c r="C489">
        <v>190</v>
      </c>
      <c r="D489">
        <v>3540</v>
      </c>
      <c r="E489" t="s">
        <v>4701</v>
      </c>
      <c r="G489" t="s">
        <v>4702</v>
      </c>
      <c r="H489">
        <v>18203215000175</v>
      </c>
      <c r="I489" t="s">
        <v>3690</v>
      </c>
      <c r="J489" t="s">
        <v>3690</v>
      </c>
      <c r="K489" t="s">
        <v>3690</v>
      </c>
      <c r="L489" t="s">
        <v>3692</v>
      </c>
      <c r="N489" t="s">
        <v>3693</v>
      </c>
      <c r="P489" t="s">
        <v>3694</v>
      </c>
      <c r="Q489" t="s">
        <v>3695</v>
      </c>
      <c r="R489" t="s">
        <v>790</v>
      </c>
      <c r="U489" t="s">
        <v>319</v>
      </c>
      <c r="V489" t="s">
        <v>3606</v>
      </c>
      <c r="X489">
        <v>0</v>
      </c>
      <c r="Y489">
        <v>68904</v>
      </c>
      <c r="AA489">
        <v>1</v>
      </c>
      <c r="AB489" s="31">
        <v>46126</v>
      </c>
      <c r="AC489" s="61">
        <v>0.66122685185185182</v>
      </c>
      <c r="AD489" t="s">
        <v>782</v>
      </c>
      <c r="AE489" s="31"/>
      <c r="AF489" s="61"/>
      <c r="AL489" t="s">
        <v>4698</v>
      </c>
      <c r="AM489">
        <v>28</v>
      </c>
      <c r="AQ489" t="s">
        <v>2605</v>
      </c>
      <c r="AR489">
        <v>1</v>
      </c>
    </row>
    <row r="490" spans="1:44" x14ac:dyDescent="0.25">
      <c r="A490" t="s">
        <v>31</v>
      </c>
      <c r="B490">
        <v>1112</v>
      </c>
      <c r="C490">
        <v>108</v>
      </c>
      <c r="D490">
        <v>3541</v>
      </c>
      <c r="G490" t="s">
        <v>455</v>
      </c>
      <c r="I490" t="s">
        <v>3321</v>
      </c>
      <c r="J490" t="s">
        <v>3321</v>
      </c>
      <c r="K490" t="s">
        <v>3321</v>
      </c>
      <c r="N490" t="s">
        <v>3322</v>
      </c>
      <c r="P490" t="s">
        <v>778</v>
      </c>
      <c r="U490" t="s">
        <v>319</v>
      </c>
      <c r="V490" t="s">
        <v>3417</v>
      </c>
      <c r="X490">
        <v>6000</v>
      </c>
      <c r="Y490">
        <v>2000</v>
      </c>
      <c r="AA490">
        <v>1</v>
      </c>
      <c r="AB490" s="31">
        <v>46126</v>
      </c>
      <c r="AC490" s="61">
        <v>0.66817129629629635</v>
      </c>
      <c r="AD490" t="s">
        <v>782</v>
      </c>
      <c r="AE490" s="31"/>
      <c r="AF490" s="61"/>
      <c r="AI490" t="s">
        <v>4698</v>
      </c>
      <c r="AJ490" t="s">
        <v>4698</v>
      </c>
      <c r="AL490" t="s">
        <v>4698</v>
      </c>
      <c r="AM490">
        <v>30</v>
      </c>
      <c r="AQ490" t="s">
        <v>2922</v>
      </c>
      <c r="AR490">
        <v>1</v>
      </c>
    </row>
    <row r="491" spans="1:44" x14ac:dyDescent="0.25">
      <c r="A491" t="s">
        <v>31</v>
      </c>
      <c r="B491">
        <v>1115</v>
      </c>
      <c r="C491">
        <v>141</v>
      </c>
      <c r="D491">
        <v>3550</v>
      </c>
      <c r="G491" t="s">
        <v>434</v>
      </c>
      <c r="I491" t="s">
        <v>434</v>
      </c>
      <c r="J491" t="s">
        <v>434</v>
      </c>
      <c r="K491" t="s">
        <v>434</v>
      </c>
      <c r="L491" t="s">
        <v>4127</v>
      </c>
      <c r="N491" t="s">
        <v>3396</v>
      </c>
      <c r="P491" t="s">
        <v>778</v>
      </c>
      <c r="U491" t="s">
        <v>319</v>
      </c>
      <c r="V491" t="s">
        <v>3417</v>
      </c>
      <c r="X491">
        <v>420</v>
      </c>
      <c r="Y491">
        <v>0</v>
      </c>
      <c r="AA491">
        <v>0</v>
      </c>
      <c r="AB491" s="31">
        <v>46127</v>
      </c>
      <c r="AC491" s="61">
        <v>0.50359953703703708</v>
      </c>
      <c r="AD491" t="s">
        <v>782</v>
      </c>
      <c r="AE491" s="31"/>
      <c r="AF491" s="61"/>
      <c r="AI491" t="s">
        <v>4703</v>
      </c>
      <c r="AL491" t="s">
        <v>4703</v>
      </c>
      <c r="AM491">
        <v>30</v>
      </c>
      <c r="AQ491" t="s">
        <v>318</v>
      </c>
      <c r="AR491">
        <v>1</v>
      </c>
    </row>
  </sheetData>
  <pageMargins left="0.511811024" right="0.511811024" top="0.78740157499999996" bottom="0.78740157499999996" header="0.31496062000000002" footer="0.3149606200000000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Y606"/>
  <sheetViews>
    <sheetView topLeftCell="A2" workbookViewId="0">
      <selection activeCell="E22" sqref="E22"/>
    </sheetView>
  </sheetViews>
  <sheetFormatPr defaultRowHeight="15" x14ac:dyDescent="0.25"/>
  <cols>
    <col min="1" max="1" width="17.85546875" bestFit="1" customWidth="1"/>
    <col min="2" max="2" width="17.7109375" bestFit="1" customWidth="1"/>
    <col min="3" max="3" width="12.140625" bestFit="1" customWidth="1"/>
    <col min="4" max="4" width="12.7109375" bestFit="1" customWidth="1"/>
    <col min="5" max="6" width="80.85546875" bestFit="1" customWidth="1"/>
    <col min="7" max="7" width="72.7109375" bestFit="1" customWidth="1"/>
    <col min="8" max="8" width="12" bestFit="1" customWidth="1"/>
    <col min="9" max="9" width="27.42578125" bestFit="1" customWidth="1"/>
    <col min="10" max="11" width="80.85546875" bestFit="1" customWidth="1"/>
    <col min="12" max="12" width="41.7109375" bestFit="1" customWidth="1"/>
    <col min="13" max="13" width="20" bestFit="1" customWidth="1"/>
    <col min="14" max="14" width="42.7109375" bestFit="1" customWidth="1"/>
    <col min="15" max="15" width="17.85546875" bestFit="1" customWidth="1"/>
    <col min="16" max="16" width="32.140625" bestFit="1" customWidth="1"/>
    <col min="17" max="17" width="22.140625" bestFit="1" customWidth="1"/>
    <col min="18" max="18" width="24.28515625" bestFit="1" customWidth="1"/>
    <col min="19" max="19" width="13.28515625" bestFit="1" customWidth="1"/>
    <col min="20" max="20" width="24.42578125" bestFit="1" customWidth="1"/>
    <col min="21" max="21" width="19" bestFit="1" customWidth="1"/>
    <col min="22" max="22" width="21.140625" bestFit="1" customWidth="1"/>
    <col min="23" max="23" width="63.28515625" bestFit="1" customWidth="1"/>
    <col min="24" max="24" width="17.42578125" bestFit="1" customWidth="1"/>
    <col min="25" max="25" width="32.28515625" bestFit="1" customWidth="1"/>
    <col min="26" max="26" width="33" bestFit="1" customWidth="1"/>
    <col min="27" max="27" width="29.85546875" bestFit="1" customWidth="1"/>
    <col min="28" max="28" width="12.28515625" bestFit="1" customWidth="1"/>
    <col min="29" max="29" width="14.42578125" bestFit="1" customWidth="1"/>
    <col min="30" max="30" width="27.28515625" bestFit="1" customWidth="1"/>
    <col min="31" max="31" width="17.85546875" bestFit="1" customWidth="1"/>
    <col min="32" max="32" width="17.140625" bestFit="1" customWidth="1"/>
    <col min="33" max="33" width="17.28515625" bestFit="1" customWidth="1"/>
    <col min="34" max="34" width="16.7109375" bestFit="1" customWidth="1"/>
    <col min="35" max="35" width="8.7109375" bestFit="1" customWidth="1"/>
    <col min="36" max="36" width="21.85546875" bestFit="1" customWidth="1"/>
    <col min="37" max="37" width="22.140625" bestFit="1" customWidth="1"/>
    <col min="38" max="38" width="33.7109375" bestFit="1" customWidth="1"/>
    <col min="39" max="39" width="80.85546875" bestFit="1" customWidth="1"/>
    <col min="40" max="40" width="20.5703125" bestFit="1" customWidth="1"/>
    <col min="41" max="41" width="15.5703125" bestFit="1" customWidth="1"/>
    <col min="42" max="42" width="18.28515625" bestFit="1" customWidth="1"/>
    <col min="43" max="44" width="20.42578125" bestFit="1" customWidth="1"/>
    <col min="45" max="45" width="17.28515625" bestFit="1" customWidth="1"/>
    <col min="46" max="46" width="14.28515625" bestFit="1" customWidth="1"/>
    <col min="47" max="47" width="8.28515625" bestFit="1" customWidth="1"/>
    <col min="48" max="48" width="35" bestFit="1" customWidth="1"/>
    <col min="49" max="49" width="12.28515625" bestFit="1" customWidth="1"/>
    <col min="50" max="50" width="17.28515625" bestFit="1" customWidth="1"/>
    <col min="51" max="51" width="7.28515625" bestFit="1" customWidth="1"/>
  </cols>
  <sheetData>
    <row r="1" spans="1:51" x14ac:dyDescent="0.25">
      <c r="A1" t="s">
        <v>212</v>
      </c>
      <c r="B1" t="s">
        <v>731</v>
      </c>
      <c r="C1" t="s">
        <v>732</v>
      </c>
      <c r="D1" t="s">
        <v>733</v>
      </c>
      <c r="E1" t="s">
        <v>734</v>
      </c>
      <c r="F1" t="s">
        <v>735</v>
      </c>
      <c r="G1" t="s">
        <v>736</v>
      </c>
      <c r="H1" t="s">
        <v>40</v>
      </c>
      <c r="I1" t="s">
        <v>737</v>
      </c>
      <c r="J1" t="s">
        <v>738</v>
      </c>
      <c r="K1" t="s">
        <v>4592</v>
      </c>
      <c r="L1" t="s">
        <v>739</v>
      </c>
      <c r="M1" t="s">
        <v>740</v>
      </c>
      <c r="N1" t="s">
        <v>741</v>
      </c>
      <c r="O1" t="s">
        <v>742</v>
      </c>
      <c r="P1" t="s">
        <v>743</v>
      </c>
      <c r="Q1" t="s">
        <v>744</v>
      </c>
      <c r="R1" t="s">
        <v>745</v>
      </c>
      <c r="S1" t="s">
        <v>746</v>
      </c>
      <c r="T1" t="s">
        <v>747</v>
      </c>
      <c r="U1" t="s">
        <v>748</v>
      </c>
      <c r="V1" t="s">
        <v>749</v>
      </c>
      <c r="W1" t="s">
        <v>750</v>
      </c>
      <c r="X1" t="s">
        <v>751</v>
      </c>
      <c r="Y1" t="s">
        <v>752</v>
      </c>
      <c r="Z1" t="s">
        <v>753</v>
      </c>
      <c r="AA1" t="s">
        <v>754</v>
      </c>
      <c r="AB1" t="s">
        <v>755</v>
      </c>
      <c r="AC1" t="s">
        <v>756</v>
      </c>
      <c r="AD1" t="s">
        <v>757</v>
      </c>
      <c r="AE1" t="s">
        <v>758</v>
      </c>
      <c r="AF1" t="s">
        <v>759</v>
      </c>
      <c r="AG1" t="s">
        <v>760</v>
      </c>
      <c r="AH1" t="s">
        <v>761</v>
      </c>
      <c r="AI1" t="s">
        <v>762</v>
      </c>
      <c r="AJ1" t="s">
        <v>763</v>
      </c>
      <c r="AK1" t="s">
        <v>764</v>
      </c>
      <c r="AL1" t="s">
        <v>765</v>
      </c>
      <c r="AM1" t="s">
        <v>766</v>
      </c>
      <c r="AN1" t="s">
        <v>767</v>
      </c>
      <c r="AO1" t="s">
        <v>249</v>
      </c>
      <c r="AP1" t="s">
        <v>768</v>
      </c>
      <c r="AQ1" t="s">
        <v>214</v>
      </c>
      <c r="AR1" t="s">
        <v>769</v>
      </c>
      <c r="AS1" t="s">
        <v>770</v>
      </c>
      <c r="AT1" t="s">
        <v>260</v>
      </c>
      <c r="AU1" t="s">
        <v>258</v>
      </c>
      <c r="AV1" t="s">
        <v>771</v>
      </c>
      <c r="AW1" t="s">
        <v>257</v>
      </c>
      <c r="AX1" t="s">
        <v>772</v>
      </c>
      <c r="AY1" t="s">
        <v>4593</v>
      </c>
    </row>
    <row r="2" spans="1:51" x14ac:dyDescent="0.25">
      <c r="A2" t="s">
        <v>22</v>
      </c>
      <c r="B2">
        <v>87</v>
      </c>
      <c r="D2">
        <v>548</v>
      </c>
      <c r="G2" t="s">
        <v>774</v>
      </c>
      <c r="J2" t="s">
        <v>775</v>
      </c>
      <c r="K2" t="s">
        <v>775</v>
      </c>
      <c r="L2">
        <v>16997181604</v>
      </c>
      <c r="N2" t="s">
        <v>777</v>
      </c>
      <c r="Q2" t="s">
        <v>778</v>
      </c>
      <c r="W2" t="s">
        <v>779</v>
      </c>
      <c r="X2" t="s">
        <v>780</v>
      </c>
      <c r="Y2" t="s">
        <v>781</v>
      </c>
      <c r="AA2" s="31"/>
      <c r="AB2">
        <v>0</v>
      </c>
      <c r="AC2">
        <v>27562</v>
      </c>
      <c r="AD2">
        <v>505</v>
      </c>
      <c r="AE2" t="s">
        <v>22</v>
      </c>
      <c r="AF2" s="31">
        <v>45622</v>
      </c>
      <c r="AG2" s="61">
        <v>0.72627314814814814</v>
      </c>
      <c r="AI2" t="s">
        <v>782</v>
      </c>
      <c r="AJ2" s="31"/>
      <c r="AK2" s="61"/>
      <c r="AP2" t="s">
        <v>22</v>
      </c>
      <c r="AS2" s="31"/>
      <c r="AY2">
        <v>1</v>
      </c>
    </row>
    <row r="3" spans="1:51" x14ac:dyDescent="0.25">
      <c r="A3" t="s">
        <v>44</v>
      </c>
      <c r="B3">
        <v>88</v>
      </c>
      <c r="D3">
        <v>269</v>
      </c>
      <c r="F3" t="s">
        <v>783</v>
      </c>
      <c r="G3" t="s">
        <v>784</v>
      </c>
      <c r="H3">
        <v>24870219000100</v>
      </c>
      <c r="J3" t="s">
        <v>785</v>
      </c>
      <c r="K3" t="s">
        <v>4704</v>
      </c>
      <c r="L3">
        <v>16997246190</v>
      </c>
      <c r="N3" t="s">
        <v>787</v>
      </c>
      <c r="P3" t="s">
        <v>788</v>
      </c>
      <c r="Q3" t="s">
        <v>778</v>
      </c>
      <c r="R3" t="s">
        <v>789</v>
      </c>
      <c r="S3" t="s">
        <v>790</v>
      </c>
      <c r="T3" t="s">
        <v>791</v>
      </c>
      <c r="W3" t="s">
        <v>792</v>
      </c>
      <c r="X3" t="s">
        <v>780</v>
      </c>
      <c r="Y3" t="s">
        <v>793</v>
      </c>
      <c r="AA3" s="31"/>
      <c r="AD3">
        <v>55</v>
      </c>
      <c r="AE3" t="s">
        <v>794</v>
      </c>
      <c r="AF3" s="31">
        <v>45623</v>
      </c>
      <c r="AG3" s="61">
        <v>0.60320601851851852</v>
      </c>
      <c r="AI3" t="s">
        <v>795</v>
      </c>
      <c r="AJ3" s="31">
        <v>45678</v>
      </c>
      <c r="AK3" s="61">
        <v>0.49710648148148151</v>
      </c>
      <c r="AL3" t="s">
        <v>796</v>
      </c>
      <c r="AM3" t="s">
        <v>797</v>
      </c>
      <c r="AN3" t="s">
        <v>798</v>
      </c>
      <c r="AO3" t="s">
        <v>799</v>
      </c>
      <c r="AP3" t="s">
        <v>794</v>
      </c>
      <c r="AQ3" t="s">
        <v>798</v>
      </c>
      <c r="AS3" s="31"/>
      <c r="AY3">
        <v>1</v>
      </c>
    </row>
    <row r="4" spans="1:51" x14ac:dyDescent="0.25">
      <c r="A4" t="s">
        <v>22</v>
      </c>
      <c r="B4">
        <v>89</v>
      </c>
      <c r="D4">
        <v>439</v>
      </c>
      <c r="E4" t="s">
        <v>800</v>
      </c>
      <c r="G4" t="s">
        <v>801</v>
      </c>
      <c r="H4">
        <v>51921277000198</v>
      </c>
      <c r="J4" t="s">
        <v>802</v>
      </c>
      <c r="K4" t="s">
        <v>802</v>
      </c>
      <c r="L4" t="s">
        <v>803</v>
      </c>
      <c r="N4" t="s">
        <v>804</v>
      </c>
      <c r="Q4" t="s">
        <v>778</v>
      </c>
      <c r="T4" t="s">
        <v>805</v>
      </c>
      <c r="W4" t="s">
        <v>806</v>
      </c>
      <c r="X4" t="s">
        <v>780</v>
      </c>
      <c r="Y4" t="s">
        <v>807</v>
      </c>
      <c r="AA4" s="31"/>
      <c r="AD4">
        <v>63</v>
      </c>
      <c r="AE4" t="s">
        <v>594</v>
      </c>
      <c r="AF4" s="31">
        <v>45623</v>
      </c>
      <c r="AG4" s="61">
        <v>0.6035300925925926</v>
      </c>
      <c r="AI4" t="s">
        <v>795</v>
      </c>
      <c r="AJ4" s="31">
        <v>45686</v>
      </c>
      <c r="AK4" s="61">
        <v>4.445601851851852E-2</v>
      </c>
      <c r="AL4" t="s">
        <v>808</v>
      </c>
      <c r="AN4" t="s">
        <v>798</v>
      </c>
      <c r="AP4" t="s">
        <v>594</v>
      </c>
      <c r="AS4" s="31"/>
      <c r="AY4">
        <v>1</v>
      </c>
    </row>
    <row r="5" spans="1:51" x14ac:dyDescent="0.25">
      <c r="A5" t="s">
        <v>44</v>
      </c>
      <c r="B5">
        <v>90</v>
      </c>
      <c r="D5">
        <v>372</v>
      </c>
      <c r="E5" t="s">
        <v>809</v>
      </c>
      <c r="G5" t="s">
        <v>810</v>
      </c>
      <c r="H5">
        <v>1740627000575</v>
      </c>
      <c r="J5" t="s">
        <v>811</v>
      </c>
      <c r="K5" t="s">
        <v>811</v>
      </c>
      <c r="L5" t="s">
        <v>812</v>
      </c>
      <c r="N5" t="s">
        <v>813</v>
      </c>
      <c r="Q5" t="s">
        <v>778</v>
      </c>
      <c r="T5" t="s">
        <v>814</v>
      </c>
      <c r="W5" t="s">
        <v>815</v>
      </c>
      <c r="X5" t="s">
        <v>780</v>
      </c>
      <c r="Y5" t="s">
        <v>816</v>
      </c>
      <c r="Z5" t="s">
        <v>817</v>
      </c>
      <c r="AA5" s="31"/>
      <c r="AB5">
        <v>14416</v>
      </c>
      <c r="AC5">
        <v>18072</v>
      </c>
      <c r="AD5">
        <v>266</v>
      </c>
      <c r="AE5" t="s">
        <v>594</v>
      </c>
      <c r="AF5" s="31">
        <v>45623</v>
      </c>
      <c r="AG5" s="61">
        <v>0.64762731481481484</v>
      </c>
      <c r="AI5" t="s">
        <v>818</v>
      </c>
      <c r="AJ5" s="31">
        <v>45889</v>
      </c>
      <c r="AK5" s="61">
        <v>0.4010185185185185</v>
      </c>
      <c r="AN5" t="s">
        <v>819</v>
      </c>
      <c r="AO5" t="s">
        <v>820</v>
      </c>
      <c r="AP5" t="s">
        <v>594</v>
      </c>
      <c r="AQ5" t="s">
        <v>821</v>
      </c>
      <c r="AR5" t="s">
        <v>820</v>
      </c>
      <c r="AS5" s="31"/>
      <c r="AY5">
        <v>1</v>
      </c>
    </row>
    <row r="6" spans="1:51" x14ac:dyDescent="0.25">
      <c r="A6" t="s">
        <v>44</v>
      </c>
      <c r="B6">
        <v>91</v>
      </c>
      <c r="D6">
        <v>502</v>
      </c>
      <c r="E6" t="s">
        <v>822</v>
      </c>
      <c r="G6" t="s">
        <v>823</v>
      </c>
      <c r="H6">
        <v>8196258000117</v>
      </c>
      <c r="J6" t="s">
        <v>824</v>
      </c>
      <c r="K6" t="s">
        <v>824</v>
      </c>
      <c r="L6" t="s">
        <v>825</v>
      </c>
      <c r="N6" t="s">
        <v>826</v>
      </c>
      <c r="Q6" t="s">
        <v>778</v>
      </c>
      <c r="T6" t="s">
        <v>814</v>
      </c>
      <c r="W6" t="s">
        <v>827</v>
      </c>
      <c r="X6" t="s">
        <v>780</v>
      </c>
      <c r="Y6" t="s">
        <v>793</v>
      </c>
      <c r="AA6" s="31"/>
      <c r="AD6">
        <v>55</v>
      </c>
      <c r="AE6" t="s">
        <v>594</v>
      </c>
      <c r="AF6" s="31">
        <v>45623</v>
      </c>
      <c r="AG6" s="61">
        <v>0.64908564814814818</v>
      </c>
      <c r="AI6" t="s">
        <v>795</v>
      </c>
      <c r="AJ6" s="31">
        <v>45678</v>
      </c>
      <c r="AK6" s="61">
        <v>0.49982638888888892</v>
      </c>
      <c r="AL6" t="s">
        <v>796</v>
      </c>
      <c r="AM6" t="s">
        <v>797</v>
      </c>
      <c r="AN6" t="s">
        <v>828</v>
      </c>
      <c r="AO6" t="s">
        <v>829</v>
      </c>
      <c r="AP6" t="s">
        <v>594</v>
      </c>
      <c r="AQ6" t="s">
        <v>830</v>
      </c>
      <c r="AS6" s="31"/>
      <c r="AY6">
        <v>1</v>
      </c>
    </row>
    <row r="7" spans="1:51" x14ac:dyDescent="0.25">
      <c r="A7" t="s">
        <v>44</v>
      </c>
      <c r="B7">
        <v>92</v>
      </c>
      <c r="D7">
        <v>360</v>
      </c>
      <c r="E7" t="s">
        <v>831</v>
      </c>
      <c r="F7" t="s">
        <v>832</v>
      </c>
      <c r="G7" t="s">
        <v>833</v>
      </c>
      <c r="H7">
        <v>32364538000171</v>
      </c>
      <c r="J7" t="s">
        <v>834</v>
      </c>
      <c r="K7" t="s">
        <v>834</v>
      </c>
      <c r="L7" t="s">
        <v>835</v>
      </c>
      <c r="N7" t="s">
        <v>836</v>
      </c>
      <c r="Q7" t="s">
        <v>778</v>
      </c>
      <c r="R7" t="s">
        <v>837</v>
      </c>
      <c r="S7" t="s">
        <v>790</v>
      </c>
      <c r="T7" t="s">
        <v>805</v>
      </c>
      <c r="W7" t="s">
        <v>838</v>
      </c>
      <c r="X7" t="s">
        <v>780</v>
      </c>
      <c r="Y7" t="s">
        <v>807</v>
      </c>
      <c r="AA7" s="31"/>
      <c r="AB7">
        <v>2496</v>
      </c>
      <c r="AD7">
        <v>62</v>
      </c>
      <c r="AE7" t="s">
        <v>594</v>
      </c>
      <c r="AF7" s="31">
        <v>45623</v>
      </c>
      <c r="AG7" s="61">
        <v>0.6508680555555556</v>
      </c>
      <c r="AI7" t="s">
        <v>795</v>
      </c>
      <c r="AJ7" s="31">
        <v>45685</v>
      </c>
      <c r="AK7" s="61">
        <v>0.64828703703703705</v>
      </c>
      <c r="AL7" t="s">
        <v>796</v>
      </c>
      <c r="AM7" t="s">
        <v>839</v>
      </c>
      <c r="AN7" t="s">
        <v>840</v>
      </c>
      <c r="AO7" t="s">
        <v>841</v>
      </c>
      <c r="AP7" t="s">
        <v>594</v>
      </c>
      <c r="AQ7" t="s">
        <v>821</v>
      </c>
      <c r="AS7" s="31"/>
      <c r="AY7">
        <v>1</v>
      </c>
    </row>
    <row r="8" spans="1:51" x14ac:dyDescent="0.25">
      <c r="A8" t="s">
        <v>22</v>
      </c>
      <c r="B8">
        <v>93</v>
      </c>
      <c r="D8">
        <v>598</v>
      </c>
      <c r="E8" t="s">
        <v>842</v>
      </c>
      <c r="G8" t="s">
        <v>843</v>
      </c>
      <c r="H8">
        <v>3375396000492</v>
      </c>
      <c r="J8" t="s">
        <v>844</v>
      </c>
      <c r="K8" t="s">
        <v>844</v>
      </c>
      <c r="L8">
        <v>21964236193</v>
      </c>
      <c r="N8" t="s">
        <v>846</v>
      </c>
      <c r="Q8" t="s">
        <v>778</v>
      </c>
      <c r="R8" t="s">
        <v>847</v>
      </c>
      <c r="S8" t="s">
        <v>848</v>
      </c>
      <c r="T8" t="s">
        <v>791</v>
      </c>
      <c r="W8" t="s">
        <v>849</v>
      </c>
      <c r="X8" t="s">
        <v>780</v>
      </c>
      <c r="Y8" t="s">
        <v>807</v>
      </c>
      <c r="AA8" s="31"/>
      <c r="AB8">
        <v>0</v>
      </c>
      <c r="AC8">
        <v>0</v>
      </c>
      <c r="AD8">
        <v>61</v>
      </c>
      <c r="AE8" t="s">
        <v>22</v>
      </c>
      <c r="AF8" s="31">
        <v>45624</v>
      </c>
      <c r="AG8" s="61">
        <v>0.36658564814814809</v>
      </c>
      <c r="AI8" t="s">
        <v>795</v>
      </c>
      <c r="AJ8" s="31">
        <v>45685</v>
      </c>
      <c r="AK8" s="61">
        <v>0.69954861111111111</v>
      </c>
      <c r="AL8" t="s">
        <v>796</v>
      </c>
      <c r="AM8" t="s">
        <v>850</v>
      </c>
      <c r="AP8" t="s">
        <v>22</v>
      </c>
      <c r="AS8" s="31"/>
      <c r="AY8">
        <v>1</v>
      </c>
    </row>
    <row r="9" spans="1:51" x14ac:dyDescent="0.25">
      <c r="A9" t="s">
        <v>44</v>
      </c>
      <c r="B9">
        <v>94</v>
      </c>
      <c r="D9">
        <v>378</v>
      </c>
      <c r="F9" t="s">
        <v>851</v>
      </c>
      <c r="G9" t="s">
        <v>852</v>
      </c>
      <c r="H9">
        <v>11650898000160</v>
      </c>
      <c r="J9" t="s">
        <v>853</v>
      </c>
      <c r="K9" t="s">
        <v>853</v>
      </c>
      <c r="L9">
        <v>1935815351</v>
      </c>
      <c r="N9" t="s">
        <v>855</v>
      </c>
      <c r="P9" t="s">
        <v>856</v>
      </c>
      <c r="Q9" t="s">
        <v>778</v>
      </c>
      <c r="T9" t="s">
        <v>791</v>
      </c>
      <c r="W9" t="s">
        <v>792</v>
      </c>
      <c r="X9" t="s">
        <v>780</v>
      </c>
      <c r="Y9" t="s">
        <v>857</v>
      </c>
      <c r="AA9" s="31"/>
      <c r="AB9">
        <v>0</v>
      </c>
      <c r="AC9">
        <v>0</v>
      </c>
      <c r="AD9">
        <v>61</v>
      </c>
      <c r="AE9" t="s">
        <v>794</v>
      </c>
      <c r="AF9" s="31">
        <v>45624</v>
      </c>
      <c r="AG9" s="61">
        <v>0.62634259259259262</v>
      </c>
      <c r="AI9" t="s">
        <v>795</v>
      </c>
      <c r="AJ9" s="31">
        <v>45685</v>
      </c>
      <c r="AK9" s="61">
        <v>0.58120370370370367</v>
      </c>
      <c r="AL9" t="s">
        <v>858</v>
      </c>
      <c r="AM9" t="s">
        <v>859</v>
      </c>
      <c r="AN9" t="s">
        <v>860</v>
      </c>
      <c r="AP9" t="s">
        <v>794</v>
      </c>
      <c r="AS9" s="31"/>
      <c r="AY9">
        <v>1</v>
      </c>
    </row>
    <row r="10" spans="1:51" x14ac:dyDescent="0.25">
      <c r="A10" t="s">
        <v>22</v>
      </c>
      <c r="B10">
        <v>95</v>
      </c>
      <c r="D10">
        <v>778</v>
      </c>
      <c r="E10" t="s">
        <v>861</v>
      </c>
      <c r="G10" t="s">
        <v>862</v>
      </c>
      <c r="H10">
        <v>15211327000180</v>
      </c>
      <c r="J10" t="s">
        <v>863</v>
      </c>
      <c r="K10" t="s">
        <v>863</v>
      </c>
      <c r="L10">
        <v>38991275338</v>
      </c>
      <c r="N10" t="s">
        <v>865</v>
      </c>
      <c r="Q10" t="s">
        <v>778</v>
      </c>
      <c r="T10" t="s">
        <v>791</v>
      </c>
      <c r="W10" t="s">
        <v>866</v>
      </c>
      <c r="X10" t="s">
        <v>780</v>
      </c>
      <c r="Y10" t="s">
        <v>793</v>
      </c>
      <c r="AA10" s="31"/>
      <c r="AD10">
        <v>39</v>
      </c>
      <c r="AE10" t="s">
        <v>22</v>
      </c>
      <c r="AF10" s="31">
        <v>45625</v>
      </c>
      <c r="AG10" s="61">
        <v>0.58859953703703705</v>
      </c>
      <c r="AI10" t="s">
        <v>795</v>
      </c>
      <c r="AJ10" s="31">
        <v>45664</v>
      </c>
      <c r="AK10" s="61">
        <v>0.70936342592592594</v>
      </c>
      <c r="AL10" t="s">
        <v>867</v>
      </c>
      <c r="AP10" t="s">
        <v>594</v>
      </c>
      <c r="AQ10" t="s">
        <v>868</v>
      </c>
      <c r="AS10" s="31"/>
      <c r="AY10">
        <v>1</v>
      </c>
    </row>
    <row r="11" spans="1:51" x14ac:dyDescent="0.25">
      <c r="A11" t="s">
        <v>44</v>
      </c>
      <c r="B11">
        <v>96</v>
      </c>
      <c r="C11">
        <v>155</v>
      </c>
      <c r="D11">
        <v>812</v>
      </c>
      <c r="G11" t="s">
        <v>869</v>
      </c>
      <c r="H11">
        <v>13609763000186</v>
      </c>
      <c r="I11" t="s">
        <v>870</v>
      </c>
      <c r="J11" t="s">
        <v>870</v>
      </c>
      <c r="K11" t="s">
        <v>870</v>
      </c>
      <c r="L11">
        <v>7532217777</v>
      </c>
      <c r="N11" t="s">
        <v>872</v>
      </c>
      <c r="Q11" t="s">
        <v>778</v>
      </c>
      <c r="R11" t="s">
        <v>873</v>
      </c>
      <c r="S11" t="s">
        <v>874</v>
      </c>
      <c r="T11" t="s">
        <v>791</v>
      </c>
      <c r="W11" t="s">
        <v>875</v>
      </c>
      <c r="X11" t="s">
        <v>780</v>
      </c>
      <c r="Y11" t="s">
        <v>816</v>
      </c>
      <c r="Z11" t="s">
        <v>817</v>
      </c>
      <c r="AA11" s="31">
        <v>45688</v>
      </c>
      <c r="AB11">
        <v>8479884</v>
      </c>
      <c r="AC11">
        <v>630984</v>
      </c>
      <c r="AD11">
        <v>62</v>
      </c>
      <c r="AE11" t="s">
        <v>22</v>
      </c>
      <c r="AF11" s="31">
        <v>45627</v>
      </c>
      <c r="AG11" s="61">
        <v>0.85458333333333336</v>
      </c>
      <c r="AI11" t="s">
        <v>818</v>
      </c>
      <c r="AJ11" s="31">
        <v>45689</v>
      </c>
      <c r="AK11" s="61">
        <v>6.9525462962962969E-2</v>
      </c>
      <c r="AO11" t="s">
        <v>876</v>
      </c>
      <c r="AP11" t="s">
        <v>44</v>
      </c>
      <c r="AQ11" t="s">
        <v>876</v>
      </c>
      <c r="AS11" s="31"/>
      <c r="AY11">
        <v>1</v>
      </c>
    </row>
    <row r="12" spans="1:51" x14ac:dyDescent="0.25">
      <c r="A12" t="s">
        <v>44</v>
      </c>
      <c r="B12">
        <v>97</v>
      </c>
      <c r="C12">
        <v>155</v>
      </c>
      <c r="D12">
        <v>813</v>
      </c>
      <c r="G12" t="s">
        <v>877</v>
      </c>
      <c r="H12">
        <v>13609763000186</v>
      </c>
      <c r="I12" t="s">
        <v>870</v>
      </c>
      <c r="J12" t="s">
        <v>878</v>
      </c>
      <c r="K12" t="s">
        <v>878</v>
      </c>
      <c r="L12">
        <v>75981337574</v>
      </c>
      <c r="N12" t="s">
        <v>872</v>
      </c>
      <c r="Q12" t="s">
        <v>778</v>
      </c>
      <c r="R12" t="s">
        <v>873</v>
      </c>
      <c r="S12" t="s">
        <v>874</v>
      </c>
      <c r="W12" t="s">
        <v>880</v>
      </c>
      <c r="X12" t="s">
        <v>780</v>
      </c>
      <c r="Y12" t="s">
        <v>807</v>
      </c>
      <c r="AA12" s="31"/>
      <c r="AD12">
        <v>82</v>
      </c>
      <c r="AE12" t="s">
        <v>22</v>
      </c>
      <c r="AF12" s="31">
        <v>45627</v>
      </c>
      <c r="AG12" s="61">
        <v>0.8545949074074074</v>
      </c>
      <c r="AI12" t="s">
        <v>795</v>
      </c>
      <c r="AJ12" s="31">
        <v>45709</v>
      </c>
      <c r="AK12" s="61">
        <v>0.5092592592592593</v>
      </c>
      <c r="AL12" t="s">
        <v>858</v>
      </c>
      <c r="AM12" t="s">
        <v>881</v>
      </c>
      <c r="AO12" t="s">
        <v>876</v>
      </c>
      <c r="AQ12" t="s">
        <v>876</v>
      </c>
      <c r="AS12" s="31"/>
      <c r="AY12">
        <v>1</v>
      </c>
    </row>
    <row r="13" spans="1:51" x14ac:dyDescent="0.25">
      <c r="A13" t="s">
        <v>44</v>
      </c>
      <c r="B13">
        <v>98</v>
      </c>
      <c r="C13">
        <v>156</v>
      </c>
      <c r="D13">
        <v>816</v>
      </c>
      <c r="G13" t="s">
        <v>882</v>
      </c>
      <c r="H13">
        <v>3921447000272</v>
      </c>
      <c r="I13" t="s">
        <v>627</v>
      </c>
      <c r="J13" t="s">
        <v>883</v>
      </c>
      <c r="K13" t="s">
        <v>883</v>
      </c>
      <c r="L13">
        <v>11912422620</v>
      </c>
      <c r="N13" t="s">
        <v>885</v>
      </c>
      <c r="Q13" t="s">
        <v>778</v>
      </c>
      <c r="R13" t="s">
        <v>886</v>
      </c>
      <c r="S13" t="s">
        <v>790</v>
      </c>
      <c r="W13" t="s">
        <v>887</v>
      </c>
      <c r="X13" t="s">
        <v>780</v>
      </c>
      <c r="Y13" t="s">
        <v>816</v>
      </c>
      <c r="AA13" s="31"/>
      <c r="AB13">
        <v>532332</v>
      </c>
      <c r="AC13">
        <v>292918</v>
      </c>
      <c r="AD13">
        <v>110</v>
      </c>
      <c r="AE13" t="s">
        <v>22</v>
      </c>
      <c r="AF13" s="31">
        <v>45627</v>
      </c>
      <c r="AG13" s="61">
        <v>0.8545949074074074</v>
      </c>
      <c r="AI13" t="s">
        <v>818</v>
      </c>
      <c r="AJ13" s="31">
        <v>45737</v>
      </c>
      <c r="AK13" s="61">
        <v>0.45113425925925932</v>
      </c>
      <c r="AO13" t="s">
        <v>888</v>
      </c>
      <c r="AQ13" t="s">
        <v>889</v>
      </c>
      <c r="AR13" t="s">
        <v>890</v>
      </c>
      <c r="AS13" s="31"/>
      <c r="AY13">
        <v>1</v>
      </c>
    </row>
    <row r="14" spans="1:51" x14ac:dyDescent="0.25">
      <c r="A14" t="s">
        <v>44</v>
      </c>
      <c r="B14">
        <v>99</v>
      </c>
      <c r="C14">
        <v>157</v>
      </c>
      <c r="D14">
        <v>818</v>
      </c>
      <c r="G14" t="s">
        <v>891</v>
      </c>
      <c r="H14">
        <v>55773964000164</v>
      </c>
      <c r="I14" t="s">
        <v>892</v>
      </c>
      <c r="J14" t="s">
        <v>844</v>
      </c>
      <c r="K14" t="s">
        <v>844</v>
      </c>
      <c r="L14">
        <v>19974093075</v>
      </c>
      <c r="N14" t="s">
        <v>894</v>
      </c>
      <c r="Q14" t="s">
        <v>778</v>
      </c>
      <c r="R14" t="s">
        <v>895</v>
      </c>
      <c r="S14" t="s">
        <v>790</v>
      </c>
      <c r="W14" t="s">
        <v>896</v>
      </c>
      <c r="X14" t="s">
        <v>780</v>
      </c>
      <c r="Y14" t="s">
        <v>897</v>
      </c>
      <c r="AA14" s="31"/>
      <c r="AD14">
        <v>11</v>
      </c>
      <c r="AE14" t="s">
        <v>22</v>
      </c>
      <c r="AF14" s="31">
        <v>45627</v>
      </c>
      <c r="AG14" s="61">
        <v>0.8545949074074074</v>
      </c>
      <c r="AI14" t="s">
        <v>795</v>
      </c>
      <c r="AJ14" s="31">
        <v>45638</v>
      </c>
      <c r="AK14" s="61">
        <v>0.41818287037037039</v>
      </c>
      <c r="AL14" t="s">
        <v>898</v>
      </c>
      <c r="AM14" t="s">
        <v>899</v>
      </c>
      <c r="AS14" s="31"/>
      <c r="AY14">
        <v>1</v>
      </c>
    </row>
    <row r="15" spans="1:51" x14ac:dyDescent="0.25">
      <c r="A15" t="s">
        <v>44</v>
      </c>
      <c r="B15">
        <v>100</v>
      </c>
      <c r="C15">
        <v>156</v>
      </c>
      <c r="D15">
        <v>816</v>
      </c>
      <c r="G15" t="s">
        <v>900</v>
      </c>
      <c r="H15">
        <v>3921447000272</v>
      </c>
      <c r="I15" t="s">
        <v>627</v>
      </c>
      <c r="J15" t="s">
        <v>883</v>
      </c>
      <c r="K15" t="s">
        <v>883</v>
      </c>
      <c r="L15">
        <v>11912422620</v>
      </c>
      <c r="N15" t="s">
        <v>885</v>
      </c>
      <c r="Q15" t="s">
        <v>778</v>
      </c>
      <c r="R15" t="s">
        <v>886</v>
      </c>
      <c r="S15" t="s">
        <v>790</v>
      </c>
      <c r="W15" t="s">
        <v>901</v>
      </c>
      <c r="X15" t="s">
        <v>780</v>
      </c>
      <c r="Y15" t="s">
        <v>816</v>
      </c>
      <c r="AA15" s="31"/>
      <c r="AB15">
        <v>1600</v>
      </c>
      <c r="AC15">
        <v>256119</v>
      </c>
      <c r="AD15">
        <v>110</v>
      </c>
      <c r="AE15" t="s">
        <v>22</v>
      </c>
      <c r="AF15" s="31">
        <v>45627</v>
      </c>
      <c r="AG15" s="61">
        <v>0.8545949074074074</v>
      </c>
      <c r="AI15" t="s">
        <v>795</v>
      </c>
      <c r="AJ15" s="31">
        <v>45737</v>
      </c>
      <c r="AK15" s="61">
        <v>0.43179398148148151</v>
      </c>
      <c r="AL15" t="s">
        <v>796</v>
      </c>
      <c r="AM15" t="s">
        <v>902</v>
      </c>
      <c r="AO15" t="s">
        <v>888</v>
      </c>
      <c r="AQ15" t="s">
        <v>903</v>
      </c>
      <c r="AR15" t="s">
        <v>890</v>
      </c>
      <c r="AS15" s="31"/>
      <c r="AY15">
        <v>1</v>
      </c>
    </row>
    <row r="16" spans="1:51" x14ac:dyDescent="0.25">
      <c r="A16" t="s">
        <v>44</v>
      </c>
      <c r="B16">
        <v>101</v>
      </c>
      <c r="C16">
        <v>158</v>
      </c>
      <c r="D16">
        <v>821</v>
      </c>
      <c r="G16" t="s">
        <v>904</v>
      </c>
      <c r="H16">
        <v>4207648000194</v>
      </c>
      <c r="I16" t="s">
        <v>905</v>
      </c>
      <c r="J16" t="s">
        <v>906</v>
      </c>
      <c r="K16" t="s">
        <v>906</v>
      </c>
      <c r="L16">
        <v>11993739551</v>
      </c>
      <c r="N16" t="s">
        <v>908</v>
      </c>
      <c r="Q16" t="s">
        <v>778</v>
      </c>
      <c r="R16" t="s">
        <v>909</v>
      </c>
      <c r="S16" t="s">
        <v>790</v>
      </c>
      <c r="W16" t="s">
        <v>838</v>
      </c>
      <c r="X16" t="s">
        <v>780</v>
      </c>
      <c r="Y16" t="s">
        <v>807</v>
      </c>
      <c r="AA16" s="31">
        <v>45688</v>
      </c>
      <c r="AB16">
        <v>3928</v>
      </c>
      <c r="AD16">
        <v>51</v>
      </c>
      <c r="AE16" t="s">
        <v>22</v>
      </c>
      <c r="AF16" s="31">
        <v>45627</v>
      </c>
      <c r="AG16" s="61">
        <v>0.8545949074074074</v>
      </c>
      <c r="AI16" t="s">
        <v>795</v>
      </c>
      <c r="AJ16" s="31">
        <v>45678</v>
      </c>
      <c r="AK16" s="61">
        <v>0.49775462962962957</v>
      </c>
      <c r="AL16" t="s">
        <v>796</v>
      </c>
      <c r="AM16" t="s">
        <v>797</v>
      </c>
      <c r="AN16" t="s">
        <v>910</v>
      </c>
      <c r="AO16" t="s">
        <v>911</v>
      </c>
      <c r="AP16" t="s">
        <v>594</v>
      </c>
      <c r="AQ16" t="s">
        <v>911</v>
      </c>
      <c r="AS16" s="31"/>
      <c r="AY16">
        <v>1</v>
      </c>
    </row>
    <row r="17" spans="1:51" x14ac:dyDescent="0.25">
      <c r="A17" t="s">
        <v>44</v>
      </c>
      <c r="B17">
        <v>102</v>
      </c>
      <c r="C17">
        <v>159</v>
      </c>
      <c r="D17">
        <v>823</v>
      </c>
      <c r="G17" t="s">
        <v>912</v>
      </c>
      <c r="H17">
        <v>43526090000161</v>
      </c>
      <c r="I17" t="s">
        <v>913</v>
      </c>
      <c r="J17" t="s">
        <v>914</v>
      </c>
      <c r="K17" t="s">
        <v>914</v>
      </c>
      <c r="L17">
        <v>11972961489</v>
      </c>
      <c r="N17" t="s">
        <v>916</v>
      </c>
      <c r="Q17" t="s">
        <v>778</v>
      </c>
      <c r="R17" t="s">
        <v>909</v>
      </c>
      <c r="S17" t="s">
        <v>790</v>
      </c>
      <c r="W17" t="s">
        <v>896</v>
      </c>
      <c r="X17" t="s">
        <v>780</v>
      </c>
      <c r="Y17" t="s">
        <v>816</v>
      </c>
      <c r="AA17" s="31">
        <v>45632</v>
      </c>
      <c r="AB17">
        <v>49012</v>
      </c>
      <c r="AD17">
        <v>18</v>
      </c>
      <c r="AE17" t="s">
        <v>22</v>
      </c>
      <c r="AF17" s="31">
        <v>45627</v>
      </c>
      <c r="AG17" s="61">
        <v>0.8545949074074074</v>
      </c>
      <c r="AI17" t="s">
        <v>818</v>
      </c>
      <c r="AJ17" s="31">
        <v>45645</v>
      </c>
      <c r="AK17" s="61">
        <v>0.61006944444444444</v>
      </c>
      <c r="AO17" t="s">
        <v>917</v>
      </c>
      <c r="AQ17" t="s">
        <v>918</v>
      </c>
      <c r="AS17" s="31"/>
      <c r="AY17">
        <v>1</v>
      </c>
    </row>
    <row r="18" spans="1:51" x14ac:dyDescent="0.25">
      <c r="A18" t="s">
        <v>44</v>
      </c>
      <c r="B18">
        <v>103</v>
      </c>
      <c r="C18">
        <v>160</v>
      </c>
      <c r="D18">
        <v>825</v>
      </c>
      <c r="G18" t="s">
        <v>919</v>
      </c>
      <c r="H18">
        <v>4949701000122</v>
      </c>
      <c r="I18" t="s">
        <v>595</v>
      </c>
      <c r="J18" t="s">
        <v>920</v>
      </c>
      <c r="K18" t="s">
        <v>920</v>
      </c>
      <c r="L18">
        <v>11998367755</v>
      </c>
      <c r="N18" t="s">
        <v>922</v>
      </c>
      <c r="Q18" t="s">
        <v>778</v>
      </c>
      <c r="R18" t="s">
        <v>923</v>
      </c>
      <c r="S18" t="s">
        <v>790</v>
      </c>
      <c r="W18" t="s">
        <v>875</v>
      </c>
      <c r="X18" t="s">
        <v>780</v>
      </c>
      <c r="Y18" t="s">
        <v>816</v>
      </c>
      <c r="Z18" t="s">
        <v>817</v>
      </c>
      <c r="AA18" s="31">
        <v>45688</v>
      </c>
      <c r="AB18">
        <v>46854</v>
      </c>
      <c r="AC18">
        <v>348312</v>
      </c>
      <c r="AD18">
        <v>54</v>
      </c>
      <c r="AE18" t="s">
        <v>22</v>
      </c>
      <c r="AF18" s="31">
        <v>45627</v>
      </c>
      <c r="AG18" s="61">
        <v>0.8545949074074074</v>
      </c>
      <c r="AI18" t="s">
        <v>818</v>
      </c>
      <c r="AJ18" s="31">
        <v>45681</v>
      </c>
      <c r="AK18" s="61">
        <v>0.50578703703703709</v>
      </c>
      <c r="AO18" t="s">
        <v>924</v>
      </c>
      <c r="AQ18" t="s">
        <v>924</v>
      </c>
      <c r="AR18" t="s">
        <v>925</v>
      </c>
      <c r="AS18" s="31"/>
      <c r="AY18">
        <v>1</v>
      </c>
    </row>
    <row r="19" spans="1:51" x14ac:dyDescent="0.25">
      <c r="A19" t="s">
        <v>44</v>
      </c>
      <c r="B19">
        <v>104</v>
      </c>
      <c r="C19">
        <v>161</v>
      </c>
      <c r="D19">
        <v>843</v>
      </c>
      <c r="G19" t="s">
        <v>926</v>
      </c>
      <c r="H19">
        <v>2609426000172</v>
      </c>
      <c r="I19" t="s">
        <v>927</v>
      </c>
      <c r="J19" t="s">
        <v>928</v>
      </c>
      <c r="K19" t="s">
        <v>928</v>
      </c>
      <c r="L19">
        <v>47991450725</v>
      </c>
      <c r="N19" t="s">
        <v>930</v>
      </c>
      <c r="Q19" t="s">
        <v>778</v>
      </c>
      <c r="R19" t="s">
        <v>931</v>
      </c>
      <c r="S19" t="s">
        <v>932</v>
      </c>
      <c r="T19" t="s">
        <v>933</v>
      </c>
      <c r="W19" t="s">
        <v>896</v>
      </c>
      <c r="X19" t="s">
        <v>780</v>
      </c>
      <c r="Y19" t="s">
        <v>807</v>
      </c>
      <c r="AA19" s="31"/>
      <c r="AD19">
        <v>120</v>
      </c>
      <c r="AE19" t="s">
        <v>22</v>
      </c>
      <c r="AF19" s="31">
        <v>45627</v>
      </c>
      <c r="AG19" s="61">
        <v>0.8545949074074074</v>
      </c>
      <c r="AI19" t="s">
        <v>795</v>
      </c>
      <c r="AJ19" s="31">
        <v>45747</v>
      </c>
      <c r="AK19" s="61">
        <v>0.6567708333333333</v>
      </c>
      <c r="AL19" t="s">
        <v>934</v>
      </c>
      <c r="AM19" t="s">
        <v>935</v>
      </c>
      <c r="AO19" t="s">
        <v>936</v>
      </c>
      <c r="AQ19" t="s">
        <v>937</v>
      </c>
      <c r="AS19" s="31"/>
      <c r="AY19">
        <v>1</v>
      </c>
    </row>
    <row r="20" spans="1:51" x14ac:dyDescent="0.25">
      <c r="A20" t="s">
        <v>44</v>
      </c>
      <c r="B20">
        <v>105</v>
      </c>
      <c r="C20">
        <v>162</v>
      </c>
      <c r="D20">
        <v>829</v>
      </c>
      <c r="G20" t="s">
        <v>938</v>
      </c>
      <c r="H20">
        <v>17545517000169</v>
      </c>
      <c r="I20" t="s">
        <v>939</v>
      </c>
      <c r="J20" t="s">
        <v>940</v>
      </c>
      <c r="K20" t="s">
        <v>940</v>
      </c>
      <c r="L20">
        <v>19997264646</v>
      </c>
      <c r="N20" t="s">
        <v>942</v>
      </c>
      <c r="Q20" t="s">
        <v>778</v>
      </c>
      <c r="R20" t="s">
        <v>943</v>
      </c>
      <c r="S20" t="s">
        <v>790</v>
      </c>
      <c r="W20" t="s">
        <v>944</v>
      </c>
      <c r="X20" t="s">
        <v>780</v>
      </c>
      <c r="Y20" t="s">
        <v>807</v>
      </c>
      <c r="AA20" s="31"/>
      <c r="AD20">
        <v>58</v>
      </c>
      <c r="AE20" t="s">
        <v>22</v>
      </c>
      <c r="AF20" s="31">
        <v>45627</v>
      </c>
      <c r="AG20" s="61">
        <v>0.8545949074074074</v>
      </c>
      <c r="AI20" t="s">
        <v>795</v>
      </c>
      <c r="AJ20" s="31">
        <v>45685</v>
      </c>
      <c r="AK20" s="61">
        <v>0.6466898148148148</v>
      </c>
      <c r="AL20" t="s">
        <v>796</v>
      </c>
      <c r="AM20" t="s">
        <v>797</v>
      </c>
      <c r="AN20" t="s">
        <v>945</v>
      </c>
      <c r="AO20" t="s">
        <v>946</v>
      </c>
      <c r="AP20" t="s">
        <v>594</v>
      </c>
      <c r="AQ20" t="s">
        <v>947</v>
      </c>
      <c r="AS20" s="31"/>
      <c r="AY20">
        <v>1</v>
      </c>
    </row>
    <row r="21" spans="1:51" x14ac:dyDescent="0.25">
      <c r="A21" t="s">
        <v>44</v>
      </c>
      <c r="B21">
        <v>106</v>
      </c>
      <c r="C21">
        <v>162</v>
      </c>
      <c r="D21">
        <v>829</v>
      </c>
      <c r="G21" t="s">
        <v>948</v>
      </c>
      <c r="H21">
        <v>17545517000169</v>
      </c>
      <c r="I21" t="s">
        <v>939</v>
      </c>
      <c r="J21" t="s">
        <v>940</v>
      </c>
      <c r="K21" t="s">
        <v>940</v>
      </c>
      <c r="L21">
        <v>19997264646</v>
      </c>
      <c r="N21" t="s">
        <v>942</v>
      </c>
      <c r="Q21" t="s">
        <v>778</v>
      </c>
      <c r="R21" t="s">
        <v>943</v>
      </c>
      <c r="S21" t="s">
        <v>790</v>
      </c>
      <c r="W21" t="s">
        <v>949</v>
      </c>
      <c r="X21" t="s">
        <v>780</v>
      </c>
      <c r="Y21" t="s">
        <v>807</v>
      </c>
      <c r="AA21" s="31"/>
      <c r="AD21">
        <v>58</v>
      </c>
      <c r="AE21" t="s">
        <v>22</v>
      </c>
      <c r="AF21" s="31">
        <v>45627</v>
      </c>
      <c r="AG21" s="61">
        <v>0.8545949074074074</v>
      </c>
      <c r="AI21" t="s">
        <v>795</v>
      </c>
      <c r="AJ21" s="31">
        <v>45685</v>
      </c>
      <c r="AK21" s="61">
        <v>0.64710648148148153</v>
      </c>
      <c r="AL21" t="s">
        <v>796</v>
      </c>
      <c r="AM21" t="s">
        <v>797</v>
      </c>
      <c r="AN21" t="s">
        <v>945</v>
      </c>
      <c r="AO21" t="s">
        <v>946</v>
      </c>
      <c r="AP21" t="s">
        <v>594</v>
      </c>
      <c r="AQ21" t="s">
        <v>947</v>
      </c>
      <c r="AS21" s="31"/>
      <c r="AY21">
        <v>1</v>
      </c>
    </row>
    <row r="22" spans="1:51" x14ac:dyDescent="0.25">
      <c r="A22" t="s">
        <v>44</v>
      </c>
      <c r="B22">
        <v>107</v>
      </c>
      <c r="C22">
        <v>163</v>
      </c>
      <c r="D22">
        <v>832</v>
      </c>
      <c r="G22" t="s">
        <v>950</v>
      </c>
      <c r="H22">
        <v>5861238000125</v>
      </c>
      <c r="I22" t="s">
        <v>951</v>
      </c>
      <c r="J22" t="s">
        <v>952</v>
      </c>
      <c r="K22" t="s">
        <v>952</v>
      </c>
      <c r="L22">
        <v>6735659555</v>
      </c>
      <c r="N22" t="s">
        <v>954</v>
      </c>
      <c r="Q22" t="s">
        <v>778</v>
      </c>
      <c r="R22" t="s">
        <v>955</v>
      </c>
      <c r="S22" t="s">
        <v>956</v>
      </c>
      <c r="W22" t="s">
        <v>591</v>
      </c>
      <c r="X22" t="s">
        <v>780</v>
      </c>
      <c r="Y22" t="s">
        <v>807</v>
      </c>
      <c r="AA22" s="31"/>
      <c r="AD22">
        <v>58</v>
      </c>
      <c r="AE22" t="s">
        <v>22</v>
      </c>
      <c r="AF22" s="31">
        <v>45627</v>
      </c>
      <c r="AG22" s="61">
        <v>0.8545949074074074</v>
      </c>
      <c r="AI22" t="s">
        <v>795</v>
      </c>
      <c r="AJ22" s="31">
        <v>45685</v>
      </c>
      <c r="AK22" s="61">
        <v>0.64769675925925929</v>
      </c>
      <c r="AL22" t="s">
        <v>934</v>
      </c>
      <c r="AO22" t="s">
        <v>957</v>
      </c>
      <c r="AQ22" t="s">
        <v>957</v>
      </c>
      <c r="AS22" s="31"/>
      <c r="AY22">
        <v>1</v>
      </c>
    </row>
    <row r="23" spans="1:51" x14ac:dyDescent="0.25">
      <c r="A23" t="s">
        <v>44</v>
      </c>
      <c r="B23">
        <v>108</v>
      </c>
      <c r="C23">
        <v>160</v>
      </c>
      <c r="D23">
        <v>825</v>
      </c>
      <c r="G23" t="s">
        <v>958</v>
      </c>
      <c r="H23">
        <v>4949701000122</v>
      </c>
      <c r="I23" t="s">
        <v>595</v>
      </c>
      <c r="J23" t="s">
        <v>920</v>
      </c>
      <c r="K23" t="s">
        <v>920</v>
      </c>
      <c r="L23">
        <v>11998367755</v>
      </c>
      <c r="N23" t="s">
        <v>922</v>
      </c>
      <c r="Q23" t="s">
        <v>778</v>
      </c>
      <c r="R23" t="s">
        <v>923</v>
      </c>
      <c r="S23" t="s">
        <v>790</v>
      </c>
      <c r="W23" t="s">
        <v>880</v>
      </c>
      <c r="X23" t="s">
        <v>780</v>
      </c>
      <c r="Y23" t="s">
        <v>816</v>
      </c>
      <c r="Z23" t="s">
        <v>959</v>
      </c>
      <c r="AA23" s="31">
        <v>45688</v>
      </c>
      <c r="AB23">
        <v>1600</v>
      </c>
      <c r="AC23">
        <v>224819</v>
      </c>
      <c r="AD23">
        <v>60</v>
      </c>
      <c r="AE23" t="s">
        <v>22</v>
      </c>
      <c r="AF23" s="31">
        <v>45627</v>
      </c>
      <c r="AG23" s="61">
        <v>0.8545949074074074</v>
      </c>
      <c r="AI23" t="s">
        <v>818</v>
      </c>
      <c r="AJ23" s="31">
        <v>45687</v>
      </c>
      <c r="AK23" s="61">
        <v>0.39712962962962961</v>
      </c>
      <c r="AO23" t="s">
        <v>960</v>
      </c>
      <c r="AQ23" t="s">
        <v>961</v>
      </c>
      <c r="AR23" t="s">
        <v>925</v>
      </c>
      <c r="AS23" s="31"/>
      <c r="AY23">
        <v>1</v>
      </c>
    </row>
    <row r="24" spans="1:51" x14ac:dyDescent="0.25">
      <c r="A24" t="s">
        <v>44</v>
      </c>
      <c r="B24">
        <v>109</v>
      </c>
      <c r="C24">
        <v>164</v>
      </c>
      <c r="D24">
        <v>835</v>
      </c>
      <c r="G24" t="s">
        <v>962</v>
      </c>
      <c r="H24">
        <v>2531826000102</v>
      </c>
      <c r="I24" t="s">
        <v>963</v>
      </c>
      <c r="J24" t="s">
        <v>964</v>
      </c>
      <c r="K24" t="s">
        <v>964</v>
      </c>
      <c r="L24">
        <v>75991975073</v>
      </c>
      <c r="N24" t="s">
        <v>966</v>
      </c>
      <c r="Q24" t="s">
        <v>778</v>
      </c>
      <c r="R24" t="s">
        <v>873</v>
      </c>
      <c r="S24" t="s">
        <v>874</v>
      </c>
      <c r="W24" t="s">
        <v>896</v>
      </c>
      <c r="X24" t="s">
        <v>780</v>
      </c>
      <c r="Y24" t="s">
        <v>857</v>
      </c>
      <c r="AA24" s="31"/>
      <c r="AD24">
        <v>18</v>
      </c>
      <c r="AE24" t="s">
        <v>22</v>
      </c>
      <c r="AF24" s="31">
        <v>45627</v>
      </c>
      <c r="AG24" s="61">
        <v>0.8545949074074074</v>
      </c>
      <c r="AI24" t="s">
        <v>795</v>
      </c>
      <c r="AJ24" s="31">
        <v>45645</v>
      </c>
      <c r="AK24" s="61">
        <v>0.63103009259259257</v>
      </c>
      <c r="AL24" t="s">
        <v>898</v>
      </c>
      <c r="AM24" t="s">
        <v>967</v>
      </c>
      <c r="AO24" t="s">
        <v>799</v>
      </c>
      <c r="AQ24" t="s">
        <v>798</v>
      </c>
      <c r="AS24" s="31"/>
      <c r="AY24">
        <v>1</v>
      </c>
    </row>
    <row r="25" spans="1:51" x14ac:dyDescent="0.25">
      <c r="A25" t="s">
        <v>44</v>
      </c>
      <c r="B25">
        <v>110</v>
      </c>
      <c r="C25">
        <v>165</v>
      </c>
      <c r="D25">
        <v>836</v>
      </c>
      <c r="G25" t="s">
        <v>968</v>
      </c>
      <c r="H25">
        <v>29341068000116</v>
      </c>
      <c r="I25" t="s">
        <v>969</v>
      </c>
      <c r="J25" t="s">
        <v>969</v>
      </c>
      <c r="K25" t="s">
        <v>969</v>
      </c>
      <c r="L25">
        <v>62991561717</v>
      </c>
      <c r="N25" t="s">
        <v>971</v>
      </c>
      <c r="Q25" t="s">
        <v>778</v>
      </c>
      <c r="R25" t="s">
        <v>972</v>
      </c>
      <c r="S25" t="s">
        <v>973</v>
      </c>
      <c r="W25" t="s">
        <v>896</v>
      </c>
      <c r="X25" t="s">
        <v>780</v>
      </c>
      <c r="Y25" t="s">
        <v>793</v>
      </c>
      <c r="AA25" s="31"/>
      <c r="AD25">
        <v>57</v>
      </c>
      <c r="AE25" t="s">
        <v>22</v>
      </c>
      <c r="AF25" s="31">
        <v>45627</v>
      </c>
      <c r="AG25" s="61">
        <v>0.8545949074074074</v>
      </c>
      <c r="AI25" t="s">
        <v>795</v>
      </c>
      <c r="AJ25" s="31">
        <v>45684</v>
      </c>
      <c r="AK25" s="61">
        <v>0.4944560185185185</v>
      </c>
      <c r="AL25" t="s">
        <v>974</v>
      </c>
      <c r="AM25" t="s">
        <v>975</v>
      </c>
      <c r="AO25" t="s">
        <v>799</v>
      </c>
      <c r="AQ25" t="s">
        <v>798</v>
      </c>
      <c r="AS25" s="31"/>
      <c r="AY25">
        <v>1</v>
      </c>
    </row>
    <row r="26" spans="1:51" x14ac:dyDescent="0.25">
      <c r="A26" t="s">
        <v>44</v>
      </c>
      <c r="B26">
        <v>111</v>
      </c>
      <c r="C26">
        <v>165</v>
      </c>
      <c r="D26">
        <v>837</v>
      </c>
      <c r="G26" t="s">
        <v>976</v>
      </c>
      <c r="H26">
        <v>29341068000116</v>
      </c>
      <c r="I26" t="s">
        <v>969</v>
      </c>
      <c r="J26" t="s">
        <v>977</v>
      </c>
      <c r="K26" t="s">
        <v>977</v>
      </c>
      <c r="L26">
        <v>62991561717</v>
      </c>
      <c r="N26" t="s">
        <v>971</v>
      </c>
      <c r="Q26" t="s">
        <v>778</v>
      </c>
      <c r="R26" t="s">
        <v>972</v>
      </c>
      <c r="S26" t="s">
        <v>973</v>
      </c>
      <c r="W26" t="s">
        <v>901</v>
      </c>
      <c r="X26" t="s">
        <v>780</v>
      </c>
      <c r="Y26" t="s">
        <v>793</v>
      </c>
      <c r="AA26" s="31"/>
      <c r="AD26">
        <v>57</v>
      </c>
      <c r="AE26" t="s">
        <v>22</v>
      </c>
      <c r="AF26" s="31">
        <v>45627</v>
      </c>
      <c r="AG26" s="61">
        <v>0.8545949074074074</v>
      </c>
      <c r="AI26" t="s">
        <v>795</v>
      </c>
      <c r="AJ26" s="31">
        <v>45684</v>
      </c>
      <c r="AK26" s="61">
        <v>0.49512731481481481</v>
      </c>
      <c r="AL26" t="s">
        <v>974</v>
      </c>
      <c r="AM26" t="s">
        <v>975</v>
      </c>
      <c r="AO26" t="s">
        <v>799</v>
      </c>
      <c r="AQ26" t="s">
        <v>798</v>
      </c>
      <c r="AS26" s="31"/>
      <c r="AY26">
        <v>1</v>
      </c>
    </row>
    <row r="27" spans="1:51" x14ac:dyDescent="0.25">
      <c r="A27" t="s">
        <v>44</v>
      </c>
      <c r="B27">
        <v>113</v>
      </c>
      <c r="C27">
        <v>167</v>
      </c>
      <c r="D27">
        <v>842</v>
      </c>
      <c r="G27" t="s">
        <v>978</v>
      </c>
      <c r="H27">
        <v>7973104000121</v>
      </c>
      <c r="I27" t="s">
        <v>979</v>
      </c>
      <c r="J27" t="s">
        <v>980</v>
      </c>
      <c r="K27" t="s">
        <v>980</v>
      </c>
      <c r="L27">
        <v>47999949301</v>
      </c>
      <c r="N27" t="s">
        <v>982</v>
      </c>
      <c r="Q27" t="s">
        <v>778</v>
      </c>
      <c r="R27" t="s">
        <v>983</v>
      </c>
      <c r="S27" t="s">
        <v>932</v>
      </c>
      <c r="W27" t="s">
        <v>984</v>
      </c>
      <c r="X27" t="s">
        <v>780</v>
      </c>
      <c r="Y27" t="s">
        <v>807</v>
      </c>
      <c r="AA27" s="31"/>
      <c r="AD27">
        <v>81</v>
      </c>
      <c r="AE27" t="s">
        <v>22</v>
      </c>
      <c r="AF27" s="31">
        <v>45627</v>
      </c>
      <c r="AG27" s="61">
        <v>0.85460648148148144</v>
      </c>
      <c r="AI27" t="s">
        <v>795</v>
      </c>
      <c r="AJ27" s="31">
        <v>45708</v>
      </c>
      <c r="AK27" s="61">
        <v>0.47692129629629632</v>
      </c>
      <c r="AL27" t="s">
        <v>796</v>
      </c>
      <c r="AM27" t="s">
        <v>985</v>
      </c>
      <c r="AO27" t="s">
        <v>986</v>
      </c>
      <c r="AS27" s="31"/>
      <c r="AY27">
        <v>1</v>
      </c>
    </row>
    <row r="28" spans="1:51" x14ac:dyDescent="0.25">
      <c r="A28" t="s">
        <v>44</v>
      </c>
      <c r="B28">
        <v>114</v>
      </c>
      <c r="C28">
        <v>161</v>
      </c>
      <c r="D28">
        <v>827</v>
      </c>
      <c r="G28" t="s">
        <v>987</v>
      </c>
      <c r="H28">
        <v>2609426000172</v>
      </c>
      <c r="I28" t="s">
        <v>927</v>
      </c>
      <c r="J28" t="s">
        <v>928</v>
      </c>
      <c r="K28" t="s">
        <v>928</v>
      </c>
      <c r="L28">
        <v>47991450725</v>
      </c>
      <c r="N28" t="s">
        <v>930</v>
      </c>
      <c r="Q28" t="s">
        <v>778</v>
      </c>
      <c r="R28" t="s">
        <v>931</v>
      </c>
      <c r="S28" t="s">
        <v>932</v>
      </c>
      <c r="T28" t="s">
        <v>933</v>
      </c>
      <c r="W28" t="s">
        <v>901</v>
      </c>
      <c r="X28" t="s">
        <v>780</v>
      </c>
      <c r="Y28" t="s">
        <v>807</v>
      </c>
      <c r="AA28" s="31"/>
      <c r="AD28">
        <v>120</v>
      </c>
      <c r="AE28" t="s">
        <v>22</v>
      </c>
      <c r="AF28" s="31">
        <v>45627</v>
      </c>
      <c r="AG28" s="61">
        <v>0.85460648148148144</v>
      </c>
      <c r="AI28" t="s">
        <v>795</v>
      </c>
      <c r="AJ28" s="31">
        <v>45747</v>
      </c>
      <c r="AK28" s="61">
        <v>0.65732638888888884</v>
      </c>
      <c r="AL28" t="s">
        <v>934</v>
      </c>
      <c r="AM28" t="s">
        <v>988</v>
      </c>
      <c r="AO28" t="s">
        <v>936</v>
      </c>
      <c r="AQ28" t="s">
        <v>937</v>
      </c>
      <c r="AS28" s="31"/>
      <c r="AY28">
        <v>1</v>
      </c>
    </row>
    <row r="29" spans="1:51" x14ac:dyDescent="0.25">
      <c r="A29" t="s">
        <v>44</v>
      </c>
      <c r="B29">
        <v>116</v>
      </c>
      <c r="D29">
        <v>847</v>
      </c>
      <c r="G29" t="s">
        <v>989</v>
      </c>
      <c r="H29">
        <v>58151616000143</v>
      </c>
      <c r="J29" t="s">
        <v>990</v>
      </c>
      <c r="K29" t="s">
        <v>990</v>
      </c>
      <c r="L29">
        <v>19993040768</v>
      </c>
      <c r="N29" t="s">
        <v>992</v>
      </c>
      <c r="Q29" t="s">
        <v>778</v>
      </c>
      <c r="R29" t="s">
        <v>993</v>
      </c>
      <c r="S29" t="s">
        <v>932</v>
      </c>
      <c r="W29" t="s">
        <v>994</v>
      </c>
      <c r="X29" t="s">
        <v>780</v>
      </c>
      <c r="Y29" t="s">
        <v>816</v>
      </c>
      <c r="Z29" t="s">
        <v>995</v>
      </c>
      <c r="AA29" s="31">
        <v>45688</v>
      </c>
      <c r="AB29">
        <v>4736912</v>
      </c>
      <c r="AC29">
        <v>98326</v>
      </c>
      <c r="AD29">
        <v>53</v>
      </c>
      <c r="AE29" t="s">
        <v>44</v>
      </c>
      <c r="AF29" s="31">
        <v>45628</v>
      </c>
      <c r="AG29" s="61">
        <v>0.39987268518518521</v>
      </c>
      <c r="AI29" t="s">
        <v>818</v>
      </c>
      <c r="AJ29" s="31">
        <v>45681</v>
      </c>
      <c r="AK29" s="61">
        <v>0.47471064814814817</v>
      </c>
      <c r="AO29" t="s">
        <v>996</v>
      </c>
      <c r="AP29" t="s">
        <v>44</v>
      </c>
      <c r="AQ29" t="s">
        <v>997</v>
      </c>
      <c r="AS29" s="31"/>
      <c r="AY29">
        <v>1</v>
      </c>
    </row>
    <row r="30" spans="1:51" x14ac:dyDescent="0.25">
      <c r="A30" t="s">
        <v>44</v>
      </c>
      <c r="B30">
        <v>118</v>
      </c>
      <c r="D30">
        <v>851</v>
      </c>
      <c r="G30" t="s">
        <v>998</v>
      </c>
      <c r="H30">
        <v>64582232000188</v>
      </c>
      <c r="J30" t="s">
        <v>999</v>
      </c>
      <c r="K30" t="s">
        <v>999</v>
      </c>
      <c r="L30">
        <v>11981337574</v>
      </c>
      <c r="N30" t="s">
        <v>1001</v>
      </c>
      <c r="Q30" t="s">
        <v>778</v>
      </c>
      <c r="X30" t="s">
        <v>780</v>
      </c>
      <c r="Y30" t="s">
        <v>807</v>
      </c>
      <c r="AA30" s="31">
        <v>45688</v>
      </c>
      <c r="AB30">
        <v>202945</v>
      </c>
      <c r="AD30">
        <v>64</v>
      </c>
      <c r="AE30" t="s">
        <v>44</v>
      </c>
      <c r="AF30" s="31">
        <v>45630</v>
      </c>
      <c r="AG30" s="61">
        <v>0.49253472222222222</v>
      </c>
      <c r="AI30" t="s">
        <v>795</v>
      </c>
      <c r="AJ30" s="31">
        <v>45694</v>
      </c>
      <c r="AK30" s="61">
        <v>0.66188657407407403</v>
      </c>
      <c r="AL30" t="s">
        <v>858</v>
      </c>
      <c r="AM30" t="s">
        <v>1002</v>
      </c>
      <c r="AN30" t="s">
        <v>830</v>
      </c>
      <c r="AO30" t="s">
        <v>1003</v>
      </c>
      <c r="AP30" t="s">
        <v>44</v>
      </c>
      <c r="AQ30" t="s">
        <v>996</v>
      </c>
      <c r="AS30" s="31"/>
      <c r="AY30">
        <v>1</v>
      </c>
    </row>
    <row r="31" spans="1:51" x14ac:dyDescent="0.25">
      <c r="A31" t="s">
        <v>44</v>
      </c>
      <c r="B31">
        <v>122</v>
      </c>
      <c r="D31">
        <v>855</v>
      </c>
      <c r="E31" t="s">
        <v>1004</v>
      </c>
      <c r="G31" t="s">
        <v>1005</v>
      </c>
      <c r="H31">
        <v>8520654000158</v>
      </c>
      <c r="J31" t="s">
        <v>1006</v>
      </c>
      <c r="K31" t="s">
        <v>1006</v>
      </c>
      <c r="L31">
        <v>19999128074</v>
      </c>
      <c r="N31" t="s">
        <v>1008</v>
      </c>
      <c r="Q31" t="s">
        <v>778</v>
      </c>
      <c r="T31" t="s">
        <v>791</v>
      </c>
      <c r="W31" t="s">
        <v>1009</v>
      </c>
      <c r="X31" t="s">
        <v>780</v>
      </c>
      <c r="Y31" t="s">
        <v>816</v>
      </c>
      <c r="Z31" t="s">
        <v>817</v>
      </c>
      <c r="AA31" s="31">
        <v>46112</v>
      </c>
      <c r="AB31">
        <v>33920</v>
      </c>
      <c r="AC31">
        <v>37684</v>
      </c>
      <c r="AD31">
        <v>497</v>
      </c>
      <c r="AE31" t="s">
        <v>594</v>
      </c>
      <c r="AF31" s="31">
        <v>45630</v>
      </c>
      <c r="AG31" s="61">
        <v>0.61173611111111115</v>
      </c>
      <c r="AI31" t="s">
        <v>782</v>
      </c>
      <c r="AJ31" s="31"/>
      <c r="AK31" s="61"/>
      <c r="AN31" t="s">
        <v>997</v>
      </c>
      <c r="AO31" t="s">
        <v>1010</v>
      </c>
      <c r="AP31" t="s">
        <v>44</v>
      </c>
      <c r="AQ31" t="s">
        <v>1011</v>
      </c>
      <c r="AR31" t="s">
        <v>1010</v>
      </c>
      <c r="AS31" s="31">
        <v>46049</v>
      </c>
      <c r="AT31">
        <v>80</v>
      </c>
      <c r="AY31">
        <v>1</v>
      </c>
    </row>
    <row r="32" spans="1:51" x14ac:dyDescent="0.25">
      <c r="A32" t="s">
        <v>44</v>
      </c>
      <c r="B32">
        <v>125</v>
      </c>
      <c r="D32">
        <v>860</v>
      </c>
      <c r="G32" t="s">
        <v>1013</v>
      </c>
      <c r="J32" t="s">
        <v>1014</v>
      </c>
      <c r="K32" t="s">
        <v>1014</v>
      </c>
      <c r="L32">
        <v>19993040768</v>
      </c>
      <c r="N32" t="s">
        <v>992</v>
      </c>
      <c r="Q32" t="s">
        <v>778</v>
      </c>
      <c r="W32" t="s">
        <v>994</v>
      </c>
      <c r="X32" t="s">
        <v>780</v>
      </c>
      <c r="Y32" t="s">
        <v>816</v>
      </c>
      <c r="AA32" s="31">
        <v>45688</v>
      </c>
      <c r="AB32">
        <v>1600</v>
      </c>
      <c r="AC32">
        <v>157626</v>
      </c>
      <c r="AD32">
        <v>49</v>
      </c>
      <c r="AE32" t="s">
        <v>44</v>
      </c>
      <c r="AF32" s="31">
        <v>45632</v>
      </c>
      <c r="AG32" s="61">
        <v>0.68636574074074075</v>
      </c>
      <c r="AI32" t="s">
        <v>818</v>
      </c>
      <c r="AJ32" s="31">
        <v>45681</v>
      </c>
      <c r="AK32" s="61">
        <v>0.48759259259259258</v>
      </c>
      <c r="AO32" t="s">
        <v>996</v>
      </c>
      <c r="AQ32" t="s">
        <v>829</v>
      </c>
      <c r="AS32" s="31"/>
      <c r="AY32">
        <v>1</v>
      </c>
    </row>
    <row r="33" spans="1:51" x14ac:dyDescent="0.25">
      <c r="A33" t="s">
        <v>44</v>
      </c>
      <c r="B33">
        <v>127</v>
      </c>
      <c r="D33">
        <v>981</v>
      </c>
      <c r="G33" t="s">
        <v>1015</v>
      </c>
      <c r="H33">
        <v>48885921000105</v>
      </c>
      <c r="J33" t="s">
        <v>1016</v>
      </c>
      <c r="K33" t="s">
        <v>1016</v>
      </c>
      <c r="L33" t="s">
        <v>1017</v>
      </c>
      <c r="N33" t="s">
        <v>1018</v>
      </c>
      <c r="Q33" t="s">
        <v>778</v>
      </c>
      <c r="T33" t="s">
        <v>791</v>
      </c>
      <c r="X33" t="s">
        <v>780</v>
      </c>
      <c r="Y33" t="s">
        <v>816</v>
      </c>
      <c r="AA33" s="31">
        <v>45657</v>
      </c>
      <c r="AB33">
        <v>450</v>
      </c>
      <c r="AD33">
        <v>2</v>
      </c>
      <c r="AE33" t="s">
        <v>44</v>
      </c>
      <c r="AF33" s="31">
        <v>45636</v>
      </c>
      <c r="AG33" s="61">
        <v>0.44290509259259259</v>
      </c>
      <c r="AI33" t="s">
        <v>818</v>
      </c>
      <c r="AJ33" s="31">
        <v>45638</v>
      </c>
      <c r="AK33" s="61">
        <v>0.67709490740740741</v>
      </c>
      <c r="AN33" t="s">
        <v>1019</v>
      </c>
      <c r="AO33" t="s">
        <v>1020</v>
      </c>
      <c r="AP33" t="s">
        <v>44</v>
      </c>
      <c r="AQ33" t="s">
        <v>996</v>
      </c>
      <c r="AR33" t="s">
        <v>1021</v>
      </c>
      <c r="AS33" s="31"/>
      <c r="AY33">
        <v>1</v>
      </c>
    </row>
    <row r="34" spans="1:51" x14ac:dyDescent="0.25">
      <c r="A34" t="s">
        <v>44</v>
      </c>
      <c r="B34">
        <v>130</v>
      </c>
      <c r="D34">
        <v>987</v>
      </c>
      <c r="G34" t="s">
        <v>1022</v>
      </c>
      <c r="H34">
        <v>5691820000190</v>
      </c>
      <c r="J34" t="s">
        <v>1023</v>
      </c>
      <c r="K34" t="s">
        <v>1023</v>
      </c>
      <c r="L34">
        <v>54996596274</v>
      </c>
      <c r="N34" t="s">
        <v>1025</v>
      </c>
      <c r="Q34" t="s">
        <v>778</v>
      </c>
      <c r="R34" t="s">
        <v>1026</v>
      </c>
      <c r="S34" t="s">
        <v>1027</v>
      </c>
      <c r="W34" t="s">
        <v>994</v>
      </c>
      <c r="X34" t="s">
        <v>780</v>
      </c>
      <c r="Y34" t="s">
        <v>816</v>
      </c>
      <c r="AA34" s="31">
        <v>45688</v>
      </c>
      <c r="AB34">
        <v>0</v>
      </c>
      <c r="AC34">
        <v>3564</v>
      </c>
      <c r="AD34">
        <v>43</v>
      </c>
      <c r="AE34" t="s">
        <v>44</v>
      </c>
      <c r="AF34" s="31">
        <v>45638</v>
      </c>
      <c r="AG34" s="61">
        <v>0.38504629629629628</v>
      </c>
      <c r="AI34" t="s">
        <v>818</v>
      </c>
      <c r="AJ34" s="31">
        <v>45681</v>
      </c>
      <c r="AK34" s="61">
        <v>0.46354166666666669</v>
      </c>
      <c r="AN34" t="s">
        <v>821</v>
      </c>
      <c r="AO34" t="s">
        <v>821</v>
      </c>
      <c r="AP34" t="s">
        <v>44</v>
      </c>
      <c r="AQ34" t="s">
        <v>821</v>
      </c>
      <c r="AS34" s="31"/>
      <c r="AY34">
        <v>1</v>
      </c>
    </row>
    <row r="35" spans="1:51" x14ac:dyDescent="0.25">
      <c r="A35" t="s">
        <v>44</v>
      </c>
      <c r="B35">
        <v>131</v>
      </c>
      <c r="D35">
        <v>990</v>
      </c>
      <c r="G35" t="s">
        <v>1028</v>
      </c>
      <c r="J35" t="s">
        <v>1029</v>
      </c>
      <c r="K35" t="s">
        <v>1029</v>
      </c>
      <c r="L35">
        <v>16997486376</v>
      </c>
      <c r="N35" t="s">
        <v>1031</v>
      </c>
      <c r="Q35" t="s">
        <v>778</v>
      </c>
      <c r="X35" t="s">
        <v>780</v>
      </c>
      <c r="Y35" t="s">
        <v>857</v>
      </c>
      <c r="AA35" s="31"/>
      <c r="AB35">
        <v>37964</v>
      </c>
      <c r="AD35">
        <v>7</v>
      </c>
      <c r="AE35" t="s">
        <v>44</v>
      </c>
      <c r="AF35" s="31">
        <v>45638</v>
      </c>
      <c r="AG35" s="61">
        <v>0.45196759259259262</v>
      </c>
      <c r="AI35" t="s">
        <v>795</v>
      </c>
      <c r="AJ35" s="31">
        <v>45645</v>
      </c>
      <c r="AK35" s="61">
        <v>0.40232638888888889</v>
      </c>
      <c r="AL35" t="s">
        <v>974</v>
      </c>
      <c r="AM35" t="s">
        <v>1032</v>
      </c>
      <c r="AO35" t="s">
        <v>1033</v>
      </c>
      <c r="AQ35" t="s">
        <v>1021</v>
      </c>
      <c r="AR35" t="s">
        <v>1033</v>
      </c>
      <c r="AS35" s="31"/>
      <c r="AY35">
        <v>1</v>
      </c>
    </row>
    <row r="36" spans="1:51" x14ac:dyDescent="0.25">
      <c r="A36" t="s">
        <v>44</v>
      </c>
      <c r="B36">
        <v>135</v>
      </c>
      <c r="D36">
        <v>996</v>
      </c>
      <c r="G36" t="s">
        <v>1034</v>
      </c>
      <c r="J36" t="s">
        <v>1035</v>
      </c>
      <c r="K36" t="s">
        <v>1035</v>
      </c>
      <c r="L36">
        <v>11988839646</v>
      </c>
      <c r="N36" t="s">
        <v>1037</v>
      </c>
      <c r="Q36" t="s">
        <v>778</v>
      </c>
      <c r="W36" t="s">
        <v>994</v>
      </c>
      <c r="X36" t="s">
        <v>780</v>
      </c>
      <c r="Y36" t="s">
        <v>816</v>
      </c>
      <c r="AA36" s="31"/>
      <c r="AB36">
        <v>28832</v>
      </c>
      <c r="AC36">
        <v>110248</v>
      </c>
      <c r="AD36">
        <v>83</v>
      </c>
      <c r="AE36" t="s">
        <v>44</v>
      </c>
      <c r="AF36" s="31">
        <v>45638</v>
      </c>
      <c r="AG36" s="61">
        <v>0.72285879629629635</v>
      </c>
      <c r="AI36" t="s">
        <v>795</v>
      </c>
      <c r="AJ36" s="31">
        <v>45721</v>
      </c>
      <c r="AK36" s="61">
        <v>0.46725694444444438</v>
      </c>
      <c r="AL36" t="s">
        <v>796</v>
      </c>
      <c r="AM36" t="s">
        <v>1038</v>
      </c>
      <c r="AO36" t="s">
        <v>1039</v>
      </c>
      <c r="AS36" s="31"/>
      <c r="AY36">
        <v>1</v>
      </c>
    </row>
    <row r="37" spans="1:51" x14ac:dyDescent="0.25">
      <c r="A37" t="s">
        <v>44</v>
      </c>
      <c r="B37">
        <v>138</v>
      </c>
      <c r="D37">
        <v>1103</v>
      </c>
      <c r="G37" t="s">
        <v>1040</v>
      </c>
      <c r="H37">
        <v>54734384000103</v>
      </c>
      <c r="J37" t="s">
        <v>1041</v>
      </c>
      <c r="K37" t="s">
        <v>1041</v>
      </c>
      <c r="L37">
        <v>17997793113</v>
      </c>
      <c r="N37" t="s">
        <v>1043</v>
      </c>
      <c r="Q37" t="s">
        <v>778</v>
      </c>
      <c r="W37" t="s">
        <v>994</v>
      </c>
      <c r="X37" t="s">
        <v>780</v>
      </c>
      <c r="Y37" t="s">
        <v>807</v>
      </c>
      <c r="AA37" s="31"/>
      <c r="AB37">
        <v>49588</v>
      </c>
      <c r="AD37">
        <v>23</v>
      </c>
      <c r="AE37" t="s">
        <v>44</v>
      </c>
      <c r="AF37" s="31">
        <v>45643</v>
      </c>
      <c r="AG37" s="61">
        <v>0.51571759259259264</v>
      </c>
      <c r="AI37" t="s">
        <v>795</v>
      </c>
      <c r="AJ37" s="31">
        <v>45666</v>
      </c>
      <c r="AK37" s="61">
        <v>0.6648263888888889</v>
      </c>
      <c r="AL37" t="s">
        <v>796</v>
      </c>
      <c r="AM37" t="s">
        <v>1044</v>
      </c>
      <c r="AO37" t="s">
        <v>1045</v>
      </c>
      <c r="AQ37" t="s">
        <v>1033</v>
      </c>
      <c r="AS37" s="31"/>
      <c r="AY37">
        <v>1</v>
      </c>
    </row>
    <row r="38" spans="1:51" x14ac:dyDescent="0.25">
      <c r="A38" t="s">
        <v>44</v>
      </c>
      <c r="B38">
        <v>139</v>
      </c>
      <c r="D38">
        <v>1113</v>
      </c>
      <c r="G38" t="s">
        <v>1046</v>
      </c>
      <c r="J38" t="s">
        <v>1047</v>
      </c>
      <c r="K38" t="s">
        <v>1047</v>
      </c>
      <c r="L38">
        <v>11991297401</v>
      </c>
      <c r="N38" t="s">
        <v>1049</v>
      </c>
      <c r="Q38" t="s">
        <v>778</v>
      </c>
      <c r="X38" t="s">
        <v>780</v>
      </c>
      <c r="Y38" t="s">
        <v>793</v>
      </c>
      <c r="AA38" s="31">
        <v>45688</v>
      </c>
      <c r="AB38">
        <v>168592</v>
      </c>
      <c r="AC38">
        <v>6426</v>
      </c>
      <c r="AD38">
        <v>40</v>
      </c>
      <c r="AE38" t="s">
        <v>44</v>
      </c>
      <c r="AF38" s="31">
        <v>45645</v>
      </c>
      <c r="AG38" s="61">
        <v>0.40438657407407408</v>
      </c>
      <c r="AI38" t="s">
        <v>795</v>
      </c>
      <c r="AJ38" s="31">
        <v>45685</v>
      </c>
      <c r="AK38" s="61">
        <v>0.60306712962962961</v>
      </c>
      <c r="AL38" t="s">
        <v>934</v>
      </c>
      <c r="AM38" t="s">
        <v>1050</v>
      </c>
      <c r="AN38" t="s">
        <v>1003</v>
      </c>
      <c r="AO38" t="s">
        <v>1003</v>
      </c>
      <c r="AQ38" t="s">
        <v>1003</v>
      </c>
      <c r="AS38" s="31"/>
      <c r="AY38">
        <v>1</v>
      </c>
    </row>
    <row r="39" spans="1:51" x14ac:dyDescent="0.25">
      <c r="A39" t="s">
        <v>44</v>
      </c>
      <c r="B39">
        <v>140</v>
      </c>
      <c r="D39">
        <v>1114</v>
      </c>
      <c r="G39" t="s">
        <v>1051</v>
      </c>
      <c r="J39" t="s">
        <v>1052</v>
      </c>
      <c r="K39" t="s">
        <v>1052</v>
      </c>
      <c r="L39">
        <v>17997793113</v>
      </c>
      <c r="N39" t="s">
        <v>1043</v>
      </c>
      <c r="Q39" t="s">
        <v>778</v>
      </c>
      <c r="X39" t="s">
        <v>780</v>
      </c>
      <c r="Y39" t="s">
        <v>816</v>
      </c>
      <c r="Z39" t="s">
        <v>995</v>
      </c>
      <c r="AA39" s="31">
        <v>45688</v>
      </c>
      <c r="AB39">
        <v>4587892</v>
      </c>
      <c r="AC39">
        <v>628168</v>
      </c>
      <c r="AD39">
        <v>36</v>
      </c>
      <c r="AE39" t="s">
        <v>44</v>
      </c>
      <c r="AF39" s="31">
        <v>45645</v>
      </c>
      <c r="AG39" s="61">
        <v>0.41775462962962961</v>
      </c>
      <c r="AI39" t="s">
        <v>818</v>
      </c>
      <c r="AJ39" s="31">
        <v>45681</v>
      </c>
      <c r="AK39" s="61">
        <v>0.51848379629629626</v>
      </c>
      <c r="AO39" t="s">
        <v>1053</v>
      </c>
      <c r="AQ39" t="s">
        <v>1054</v>
      </c>
      <c r="AR39" t="s">
        <v>1055</v>
      </c>
      <c r="AS39" s="31"/>
      <c r="AY39">
        <v>1</v>
      </c>
    </row>
    <row r="40" spans="1:51" x14ac:dyDescent="0.25">
      <c r="A40" t="s">
        <v>44</v>
      </c>
      <c r="B40">
        <v>141</v>
      </c>
      <c r="C40">
        <v>159</v>
      </c>
      <c r="D40">
        <v>1115</v>
      </c>
      <c r="G40" t="s">
        <v>1056</v>
      </c>
      <c r="H40">
        <v>43526090000161</v>
      </c>
      <c r="I40" t="s">
        <v>913</v>
      </c>
      <c r="J40" t="s">
        <v>1057</v>
      </c>
      <c r="K40" t="s">
        <v>1057</v>
      </c>
      <c r="L40">
        <v>11972961489</v>
      </c>
      <c r="N40" t="s">
        <v>916</v>
      </c>
      <c r="Q40" t="s">
        <v>778</v>
      </c>
      <c r="R40" t="s">
        <v>909</v>
      </c>
      <c r="S40" t="s">
        <v>790</v>
      </c>
      <c r="X40" t="s">
        <v>780</v>
      </c>
      <c r="Y40" t="s">
        <v>816</v>
      </c>
      <c r="Z40" t="s">
        <v>959</v>
      </c>
      <c r="AA40" s="31">
        <v>45688</v>
      </c>
      <c r="AB40">
        <v>1600</v>
      </c>
      <c r="AC40">
        <v>2500</v>
      </c>
      <c r="AD40">
        <v>42</v>
      </c>
      <c r="AE40" t="s">
        <v>44</v>
      </c>
      <c r="AF40" s="31">
        <v>45645</v>
      </c>
      <c r="AG40" s="61">
        <v>0.61128472222222219</v>
      </c>
      <c r="AI40" t="s">
        <v>818</v>
      </c>
      <c r="AJ40" s="31">
        <v>45685</v>
      </c>
      <c r="AK40" s="61">
        <v>0.68137731481481478</v>
      </c>
      <c r="AM40">
        <v>0</v>
      </c>
      <c r="AN40" t="s">
        <v>1039</v>
      </c>
      <c r="AO40" t="s">
        <v>1059</v>
      </c>
      <c r="AS40" s="31"/>
      <c r="AY40">
        <v>1</v>
      </c>
    </row>
    <row r="41" spans="1:51" x14ac:dyDescent="0.25">
      <c r="A41" t="s">
        <v>44</v>
      </c>
      <c r="B41">
        <v>142</v>
      </c>
      <c r="D41">
        <v>1117</v>
      </c>
      <c r="G41" t="s">
        <v>1060</v>
      </c>
      <c r="J41" t="s">
        <v>1061</v>
      </c>
      <c r="K41" t="s">
        <v>1061</v>
      </c>
      <c r="L41">
        <v>17997793113</v>
      </c>
      <c r="N41" t="s">
        <v>1043</v>
      </c>
      <c r="Q41" t="s">
        <v>778</v>
      </c>
      <c r="X41" t="s">
        <v>780</v>
      </c>
      <c r="Y41" t="s">
        <v>816</v>
      </c>
      <c r="AA41" s="31">
        <v>45688</v>
      </c>
      <c r="AB41">
        <v>1600</v>
      </c>
      <c r="AC41">
        <v>243721</v>
      </c>
      <c r="AD41">
        <v>35</v>
      </c>
      <c r="AE41" t="s">
        <v>44</v>
      </c>
      <c r="AF41" s="31">
        <v>45646</v>
      </c>
      <c r="AG41" s="61">
        <v>0.60428240740740746</v>
      </c>
      <c r="AI41" t="s">
        <v>818</v>
      </c>
      <c r="AJ41" s="31">
        <v>45681</v>
      </c>
      <c r="AK41" s="61">
        <v>0.58530092592592597</v>
      </c>
      <c r="AO41" t="s">
        <v>1053</v>
      </c>
      <c r="AQ41" t="s">
        <v>1054</v>
      </c>
      <c r="AR41" t="s">
        <v>1055</v>
      </c>
      <c r="AS41" s="31"/>
      <c r="AY41">
        <v>1</v>
      </c>
    </row>
    <row r="42" spans="1:51" x14ac:dyDescent="0.25">
      <c r="A42" t="s">
        <v>22</v>
      </c>
      <c r="B42">
        <v>144</v>
      </c>
      <c r="D42">
        <v>181</v>
      </c>
      <c r="E42" t="s">
        <v>1062</v>
      </c>
      <c r="G42" t="s">
        <v>1063</v>
      </c>
      <c r="H42">
        <v>27805256000122</v>
      </c>
      <c r="J42" t="s">
        <v>1064</v>
      </c>
      <c r="K42" t="s">
        <v>1064</v>
      </c>
      <c r="L42" t="s">
        <v>1065</v>
      </c>
      <c r="Q42" t="s">
        <v>778</v>
      </c>
      <c r="R42" t="s">
        <v>1066</v>
      </c>
      <c r="S42" t="s">
        <v>1067</v>
      </c>
      <c r="T42" t="s">
        <v>1068</v>
      </c>
      <c r="W42" t="s">
        <v>1069</v>
      </c>
      <c r="X42" t="s">
        <v>780</v>
      </c>
      <c r="Y42" t="s">
        <v>816</v>
      </c>
      <c r="Z42" t="s">
        <v>817</v>
      </c>
      <c r="AA42" s="31"/>
      <c r="AB42">
        <v>146772</v>
      </c>
      <c r="AC42">
        <v>1102804</v>
      </c>
      <c r="AD42">
        <v>154</v>
      </c>
      <c r="AE42" t="s">
        <v>22</v>
      </c>
      <c r="AF42" s="31">
        <v>45664</v>
      </c>
      <c r="AG42" s="61">
        <v>0.70750000000000002</v>
      </c>
      <c r="AI42" t="s">
        <v>818</v>
      </c>
      <c r="AJ42" s="31">
        <v>45686</v>
      </c>
      <c r="AK42" s="61">
        <v>4.5011574074074072E-2</v>
      </c>
      <c r="AM42">
        <v>0</v>
      </c>
      <c r="AO42" t="s">
        <v>1070</v>
      </c>
      <c r="AP42" t="s">
        <v>22</v>
      </c>
      <c r="AQ42" t="s">
        <v>1070</v>
      </c>
      <c r="AS42" s="31"/>
      <c r="AY42">
        <v>1</v>
      </c>
    </row>
    <row r="43" spans="1:51" x14ac:dyDescent="0.25">
      <c r="A43" t="s">
        <v>22</v>
      </c>
      <c r="B43">
        <v>145</v>
      </c>
      <c r="D43">
        <v>12</v>
      </c>
      <c r="E43" t="s">
        <v>1071</v>
      </c>
      <c r="F43" t="s">
        <v>1072</v>
      </c>
      <c r="G43" t="s">
        <v>1073</v>
      </c>
      <c r="H43">
        <v>22752240000185</v>
      </c>
      <c r="J43" t="s">
        <v>1074</v>
      </c>
      <c r="K43" t="s">
        <v>1074</v>
      </c>
      <c r="L43" t="s">
        <v>1075</v>
      </c>
      <c r="N43" t="s">
        <v>1076</v>
      </c>
      <c r="Q43" t="s">
        <v>778</v>
      </c>
      <c r="R43" t="s">
        <v>1077</v>
      </c>
      <c r="T43" t="s">
        <v>791</v>
      </c>
      <c r="W43" t="s">
        <v>806</v>
      </c>
      <c r="X43" t="s">
        <v>780</v>
      </c>
      <c r="Y43" t="s">
        <v>807</v>
      </c>
      <c r="AA43" s="31"/>
      <c r="AD43">
        <v>38</v>
      </c>
      <c r="AE43" t="s">
        <v>22</v>
      </c>
      <c r="AF43" s="31">
        <v>45664</v>
      </c>
      <c r="AG43" s="61">
        <v>0.73380787037037032</v>
      </c>
      <c r="AI43" t="s">
        <v>795</v>
      </c>
      <c r="AJ43" s="31">
        <v>45702</v>
      </c>
      <c r="AK43" s="61">
        <v>0.64967592592592593</v>
      </c>
      <c r="AL43" t="s">
        <v>796</v>
      </c>
      <c r="AQ43" t="s">
        <v>960</v>
      </c>
      <c r="AS43" s="31"/>
      <c r="AY43">
        <v>1</v>
      </c>
    </row>
    <row r="44" spans="1:51" x14ac:dyDescent="0.25">
      <c r="A44" t="s">
        <v>44</v>
      </c>
      <c r="B44">
        <v>148</v>
      </c>
      <c r="D44">
        <v>270</v>
      </c>
      <c r="E44" t="s">
        <v>1078</v>
      </c>
      <c r="F44" t="s">
        <v>1079</v>
      </c>
      <c r="G44" t="s">
        <v>1080</v>
      </c>
      <c r="H44">
        <v>45723541000186</v>
      </c>
      <c r="J44" t="s">
        <v>1081</v>
      </c>
      <c r="K44" t="s">
        <v>1081</v>
      </c>
      <c r="L44">
        <v>1147188700</v>
      </c>
      <c r="N44" t="s">
        <v>1083</v>
      </c>
      <c r="P44" t="s">
        <v>1084</v>
      </c>
      <c r="Q44" t="s">
        <v>778</v>
      </c>
      <c r="R44" t="s">
        <v>1085</v>
      </c>
      <c r="S44" t="s">
        <v>790</v>
      </c>
      <c r="T44" t="s">
        <v>791</v>
      </c>
      <c r="W44" t="s">
        <v>1086</v>
      </c>
      <c r="X44" t="s">
        <v>780</v>
      </c>
      <c r="Y44" t="s">
        <v>807</v>
      </c>
      <c r="AA44" s="31"/>
      <c r="AB44">
        <v>16960</v>
      </c>
      <c r="AC44">
        <v>4714</v>
      </c>
      <c r="AD44">
        <v>72</v>
      </c>
      <c r="AE44" t="s">
        <v>794</v>
      </c>
      <c r="AF44" s="31">
        <v>45665</v>
      </c>
      <c r="AG44" s="61">
        <v>0.46423611111111113</v>
      </c>
      <c r="AI44" t="s">
        <v>795</v>
      </c>
      <c r="AJ44" s="31">
        <v>45737</v>
      </c>
      <c r="AK44" s="61">
        <v>0.43061342592592589</v>
      </c>
      <c r="AL44" t="s">
        <v>858</v>
      </c>
      <c r="AM44" t="s">
        <v>1087</v>
      </c>
      <c r="AO44" t="s">
        <v>1088</v>
      </c>
      <c r="AP44" t="s">
        <v>794</v>
      </c>
      <c r="AQ44" t="s">
        <v>1089</v>
      </c>
      <c r="AR44" t="s">
        <v>1088</v>
      </c>
      <c r="AS44" s="31"/>
      <c r="AY44">
        <v>1</v>
      </c>
    </row>
    <row r="45" spans="1:51" x14ac:dyDescent="0.25">
      <c r="A45" t="s">
        <v>44</v>
      </c>
      <c r="B45">
        <v>151</v>
      </c>
      <c r="D45">
        <v>1540</v>
      </c>
      <c r="G45" t="s">
        <v>1090</v>
      </c>
      <c r="H45">
        <v>21733807000103</v>
      </c>
      <c r="J45" t="s">
        <v>1091</v>
      </c>
      <c r="K45" t="s">
        <v>1091</v>
      </c>
      <c r="L45" t="s">
        <v>1092</v>
      </c>
      <c r="N45" t="s">
        <v>1093</v>
      </c>
      <c r="Q45" t="s">
        <v>778</v>
      </c>
      <c r="R45" t="s">
        <v>1094</v>
      </c>
      <c r="S45" t="s">
        <v>790</v>
      </c>
      <c r="X45" t="s">
        <v>780</v>
      </c>
      <c r="Y45" t="s">
        <v>807</v>
      </c>
      <c r="AA45" s="31"/>
      <c r="AB45">
        <v>4830624</v>
      </c>
      <c r="AC45">
        <v>384549</v>
      </c>
      <c r="AD45">
        <v>43</v>
      </c>
      <c r="AE45" t="s">
        <v>44</v>
      </c>
      <c r="AF45" s="31">
        <v>45666</v>
      </c>
      <c r="AG45" s="61">
        <v>0.66763888888888889</v>
      </c>
      <c r="AI45" t="s">
        <v>795</v>
      </c>
      <c r="AJ45" s="31">
        <v>45709</v>
      </c>
      <c r="AK45" s="61">
        <v>0.60252314814814811</v>
      </c>
      <c r="AL45" t="s">
        <v>934</v>
      </c>
      <c r="AM45" t="s">
        <v>1095</v>
      </c>
      <c r="AO45" t="s">
        <v>1088</v>
      </c>
      <c r="AQ45" t="s">
        <v>1096</v>
      </c>
      <c r="AR45" t="s">
        <v>1039</v>
      </c>
      <c r="AS45" s="31"/>
      <c r="AY45">
        <v>1</v>
      </c>
    </row>
    <row r="46" spans="1:51" x14ac:dyDescent="0.25">
      <c r="A46" t="s">
        <v>22</v>
      </c>
      <c r="B46">
        <v>154</v>
      </c>
      <c r="C46">
        <v>177</v>
      </c>
      <c r="D46">
        <v>1546</v>
      </c>
      <c r="G46" t="s">
        <v>1097</v>
      </c>
      <c r="H46">
        <v>58636773000149</v>
      </c>
      <c r="I46" t="s">
        <v>1098</v>
      </c>
      <c r="J46" t="s">
        <v>1099</v>
      </c>
      <c r="K46" t="s">
        <v>1099</v>
      </c>
      <c r="L46" t="s">
        <v>1100</v>
      </c>
      <c r="N46" t="s">
        <v>1101</v>
      </c>
      <c r="O46" t="s">
        <v>1102</v>
      </c>
      <c r="Q46" t="s">
        <v>1103</v>
      </c>
      <c r="R46" t="s">
        <v>1104</v>
      </c>
      <c r="S46" t="s">
        <v>1105</v>
      </c>
      <c r="T46" t="s">
        <v>814</v>
      </c>
      <c r="U46" t="s">
        <v>814</v>
      </c>
      <c r="W46" t="s">
        <v>1106</v>
      </c>
      <c r="X46" t="s">
        <v>780</v>
      </c>
      <c r="Y46" t="s">
        <v>807</v>
      </c>
      <c r="Z46" t="s">
        <v>817</v>
      </c>
      <c r="AA46" s="31"/>
      <c r="AB46">
        <v>5689656</v>
      </c>
      <c r="AC46">
        <v>259936</v>
      </c>
      <c r="AD46">
        <v>151</v>
      </c>
      <c r="AE46" t="s">
        <v>794</v>
      </c>
      <c r="AF46" s="31">
        <v>45667</v>
      </c>
      <c r="AG46" s="61">
        <v>0.50881944444444449</v>
      </c>
      <c r="AI46" t="s">
        <v>795</v>
      </c>
      <c r="AJ46" s="31">
        <v>45818</v>
      </c>
      <c r="AK46" s="61">
        <v>0.61144675925925929</v>
      </c>
      <c r="AL46" t="s">
        <v>858</v>
      </c>
      <c r="AN46" t="s">
        <v>1107</v>
      </c>
      <c r="AO46" t="s">
        <v>960</v>
      </c>
      <c r="AP46" t="s">
        <v>22</v>
      </c>
      <c r="AQ46" t="s">
        <v>1107</v>
      </c>
      <c r="AS46" s="31"/>
      <c r="AY46">
        <v>1</v>
      </c>
    </row>
    <row r="47" spans="1:51" x14ac:dyDescent="0.25">
      <c r="A47" t="s">
        <v>22</v>
      </c>
      <c r="B47">
        <v>155</v>
      </c>
      <c r="D47">
        <v>1547</v>
      </c>
      <c r="G47" t="s">
        <v>1108</v>
      </c>
      <c r="J47" t="s">
        <v>1109</v>
      </c>
      <c r="K47" t="s">
        <v>1109</v>
      </c>
      <c r="L47">
        <v>21995977179</v>
      </c>
      <c r="N47" t="s">
        <v>1111</v>
      </c>
      <c r="Q47" t="s">
        <v>778</v>
      </c>
      <c r="X47" t="s">
        <v>780</v>
      </c>
      <c r="Y47" t="s">
        <v>857</v>
      </c>
      <c r="AA47" s="31"/>
      <c r="AD47">
        <v>18</v>
      </c>
      <c r="AE47" t="s">
        <v>22</v>
      </c>
      <c r="AF47" s="31">
        <v>45667</v>
      </c>
      <c r="AG47" s="61">
        <v>0.61699074074074078</v>
      </c>
      <c r="AI47" t="s">
        <v>795</v>
      </c>
      <c r="AJ47" s="31">
        <v>45685</v>
      </c>
      <c r="AK47" s="61">
        <v>0.70386574074074071</v>
      </c>
      <c r="AL47" t="s">
        <v>796</v>
      </c>
      <c r="AM47" t="s">
        <v>1112</v>
      </c>
      <c r="AO47" t="s">
        <v>1113</v>
      </c>
      <c r="AP47" t="s">
        <v>22</v>
      </c>
      <c r="AQ47" t="s">
        <v>1113</v>
      </c>
      <c r="AS47" s="31"/>
      <c r="AY47">
        <v>1</v>
      </c>
    </row>
    <row r="48" spans="1:51" x14ac:dyDescent="0.25">
      <c r="A48" t="s">
        <v>22</v>
      </c>
      <c r="B48">
        <v>164</v>
      </c>
      <c r="D48">
        <v>1582</v>
      </c>
      <c r="G48" t="s">
        <v>1114</v>
      </c>
      <c r="H48">
        <v>2675142000184</v>
      </c>
      <c r="J48" t="s">
        <v>1115</v>
      </c>
      <c r="K48" t="s">
        <v>1115</v>
      </c>
      <c r="L48" t="s">
        <v>1116</v>
      </c>
      <c r="N48" t="s">
        <v>1117</v>
      </c>
      <c r="Q48" t="s">
        <v>778</v>
      </c>
      <c r="R48" t="s">
        <v>923</v>
      </c>
      <c r="T48" t="s">
        <v>814</v>
      </c>
      <c r="W48" t="s">
        <v>1118</v>
      </c>
      <c r="X48" t="s">
        <v>780</v>
      </c>
      <c r="Y48" t="s">
        <v>807</v>
      </c>
      <c r="AA48" s="31"/>
      <c r="AD48">
        <v>65</v>
      </c>
      <c r="AE48" t="s">
        <v>794</v>
      </c>
      <c r="AF48" s="31">
        <v>45672</v>
      </c>
      <c r="AG48" s="61">
        <v>0.73280092592592594</v>
      </c>
      <c r="AI48" t="s">
        <v>795</v>
      </c>
      <c r="AJ48" s="31">
        <v>45737</v>
      </c>
      <c r="AK48" s="61">
        <v>0.60968750000000005</v>
      </c>
      <c r="AL48" t="s">
        <v>1119</v>
      </c>
      <c r="AN48" t="s">
        <v>1120</v>
      </c>
      <c r="AO48" t="s">
        <v>960</v>
      </c>
      <c r="AP48" t="s">
        <v>794</v>
      </c>
      <c r="AQ48" t="s">
        <v>1121</v>
      </c>
      <c r="AS48" s="31"/>
      <c r="AY48">
        <v>1</v>
      </c>
    </row>
    <row r="49" spans="1:51" x14ac:dyDescent="0.25">
      <c r="A49" t="s">
        <v>44</v>
      </c>
      <c r="B49">
        <v>166</v>
      </c>
      <c r="D49">
        <v>745</v>
      </c>
      <c r="F49" t="s">
        <v>1122</v>
      </c>
      <c r="G49" t="s">
        <v>1123</v>
      </c>
      <c r="H49">
        <v>48314771000180</v>
      </c>
      <c r="J49" t="s">
        <v>1124</v>
      </c>
      <c r="K49" t="s">
        <v>1124</v>
      </c>
      <c r="L49">
        <v>11984587496</v>
      </c>
      <c r="N49" t="s">
        <v>1126</v>
      </c>
      <c r="P49" t="s">
        <v>1127</v>
      </c>
      <c r="Q49" t="s">
        <v>778</v>
      </c>
      <c r="W49" t="s">
        <v>1128</v>
      </c>
      <c r="X49" t="s">
        <v>780</v>
      </c>
      <c r="Y49" t="s">
        <v>857</v>
      </c>
      <c r="AA49" s="31"/>
      <c r="AD49">
        <v>36</v>
      </c>
      <c r="AE49" t="s">
        <v>794</v>
      </c>
      <c r="AF49" s="31">
        <v>45673</v>
      </c>
      <c r="AG49" s="61">
        <v>0.46156249999999999</v>
      </c>
      <c r="AI49" t="s">
        <v>795</v>
      </c>
      <c r="AJ49" s="31">
        <v>45709</v>
      </c>
      <c r="AK49" s="61">
        <v>0.50829861111111108</v>
      </c>
      <c r="AL49" t="s">
        <v>796</v>
      </c>
      <c r="AM49" t="s">
        <v>1129</v>
      </c>
      <c r="AN49" t="s">
        <v>1130</v>
      </c>
      <c r="AP49" t="s">
        <v>794</v>
      </c>
      <c r="AQ49" t="s">
        <v>1131</v>
      </c>
      <c r="AS49" s="31"/>
      <c r="AY49">
        <v>1</v>
      </c>
    </row>
    <row r="50" spans="1:51" x14ac:dyDescent="0.25">
      <c r="A50" t="s">
        <v>22</v>
      </c>
      <c r="B50">
        <v>167</v>
      </c>
      <c r="D50">
        <v>1599</v>
      </c>
      <c r="G50" t="s">
        <v>1132</v>
      </c>
      <c r="J50" t="s">
        <v>1133</v>
      </c>
      <c r="K50" t="s">
        <v>1133</v>
      </c>
      <c r="L50">
        <v>11975126999</v>
      </c>
      <c r="N50" t="s">
        <v>1111</v>
      </c>
      <c r="Q50" t="s">
        <v>778</v>
      </c>
      <c r="T50" t="s">
        <v>933</v>
      </c>
      <c r="W50" t="s">
        <v>1135</v>
      </c>
      <c r="X50" t="s">
        <v>780</v>
      </c>
      <c r="Y50" t="s">
        <v>807</v>
      </c>
      <c r="Z50" t="s">
        <v>817</v>
      </c>
      <c r="AA50" s="31">
        <v>45808</v>
      </c>
      <c r="AB50">
        <v>46000</v>
      </c>
      <c r="AC50">
        <v>308546</v>
      </c>
      <c r="AD50">
        <v>82</v>
      </c>
      <c r="AE50" t="s">
        <v>22</v>
      </c>
      <c r="AF50" s="31">
        <v>45673</v>
      </c>
      <c r="AG50" s="61">
        <v>0.58497685185185189</v>
      </c>
      <c r="AI50" t="s">
        <v>795</v>
      </c>
      <c r="AJ50" s="31">
        <v>45755</v>
      </c>
      <c r="AK50" s="61">
        <v>0.39619212962962957</v>
      </c>
      <c r="AL50" t="s">
        <v>858</v>
      </c>
      <c r="AO50" t="s">
        <v>1136</v>
      </c>
      <c r="AP50" t="s">
        <v>22</v>
      </c>
      <c r="AQ50" t="s">
        <v>1136</v>
      </c>
      <c r="AS50" s="31"/>
      <c r="AY50">
        <v>1</v>
      </c>
    </row>
    <row r="51" spans="1:51" x14ac:dyDescent="0.25">
      <c r="A51" t="s">
        <v>44</v>
      </c>
      <c r="B51">
        <v>169</v>
      </c>
      <c r="D51">
        <v>735</v>
      </c>
      <c r="F51" t="s">
        <v>1137</v>
      </c>
      <c r="G51" t="s">
        <v>1138</v>
      </c>
      <c r="H51">
        <v>16941656000149</v>
      </c>
      <c r="J51" t="s">
        <v>1139</v>
      </c>
      <c r="K51" t="s">
        <v>1317</v>
      </c>
      <c r="L51">
        <v>11956368569</v>
      </c>
      <c r="N51" t="s">
        <v>1141</v>
      </c>
      <c r="P51" t="s">
        <v>1142</v>
      </c>
      <c r="Q51" t="s">
        <v>778</v>
      </c>
      <c r="X51" t="s">
        <v>780</v>
      </c>
      <c r="Y51" t="s">
        <v>793</v>
      </c>
      <c r="AA51" s="31"/>
      <c r="AB51">
        <v>16700</v>
      </c>
      <c r="AC51">
        <v>18186</v>
      </c>
      <c r="AD51">
        <v>6</v>
      </c>
      <c r="AE51" t="s">
        <v>794</v>
      </c>
      <c r="AF51" s="31">
        <v>45673</v>
      </c>
      <c r="AG51" s="61">
        <v>0.71754629629629629</v>
      </c>
      <c r="AI51" t="s">
        <v>795</v>
      </c>
      <c r="AJ51" s="31">
        <v>45679</v>
      </c>
      <c r="AK51" s="61">
        <v>0.50843749999999999</v>
      </c>
      <c r="AL51" t="s">
        <v>796</v>
      </c>
      <c r="AM51" t="s">
        <v>1143</v>
      </c>
      <c r="AN51" t="s">
        <v>1144</v>
      </c>
      <c r="AO51" t="s">
        <v>1145</v>
      </c>
      <c r="AP51" t="s">
        <v>794</v>
      </c>
      <c r="AQ51" t="s">
        <v>1146</v>
      </c>
      <c r="AS51" s="31"/>
      <c r="AY51">
        <v>1</v>
      </c>
    </row>
    <row r="52" spans="1:51" x14ac:dyDescent="0.25">
      <c r="A52" t="s">
        <v>44</v>
      </c>
      <c r="B52">
        <v>174</v>
      </c>
      <c r="D52">
        <v>734</v>
      </c>
      <c r="F52" t="s">
        <v>1147</v>
      </c>
      <c r="G52" t="s">
        <v>1148</v>
      </c>
      <c r="H52">
        <v>66559436000123</v>
      </c>
      <c r="J52" t="s">
        <v>1149</v>
      </c>
      <c r="K52" t="s">
        <v>1149</v>
      </c>
      <c r="L52">
        <v>1155237947</v>
      </c>
      <c r="N52" t="s">
        <v>1151</v>
      </c>
      <c r="P52" t="s">
        <v>1152</v>
      </c>
      <c r="Q52" t="s">
        <v>778</v>
      </c>
      <c r="X52" t="s">
        <v>780</v>
      </c>
      <c r="Y52" t="s">
        <v>781</v>
      </c>
      <c r="AA52" s="31"/>
      <c r="AD52">
        <v>31</v>
      </c>
      <c r="AE52" t="s">
        <v>794</v>
      </c>
      <c r="AF52" s="31">
        <v>45678</v>
      </c>
      <c r="AG52" s="61">
        <v>0.4437962962962963</v>
      </c>
      <c r="AI52" t="s">
        <v>795</v>
      </c>
      <c r="AJ52" s="31">
        <v>45709</v>
      </c>
      <c r="AK52" s="61">
        <v>0.45508101851851851</v>
      </c>
      <c r="AL52" t="s">
        <v>796</v>
      </c>
      <c r="AM52" t="s">
        <v>1153</v>
      </c>
      <c r="AN52" t="s">
        <v>1154</v>
      </c>
      <c r="AP52" t="s">
        <v>794</v>
      </c>
      <c r="AQ52" t="s">
        <v>1155</v>
      </c>
      <c r="AS52" s="31"/>
      <c r="AY52">
        <v>1</v>
      </c>
    </row>
    <row r="53" spans="1:51" x14ac:dyDescent="0.25">
      <c r="A53" t="s">
        <v>44</v>
      </c>
      <c r="B53">
        <v>178</v>
      </c>
      <c r="D53">
        <v>1619</v>
      </c>
      <c r="G53" t="s">
        <v>1156</v>
      </c>
      <c r="H53">
        <v>2306559000331</v>
      </c>
      <c r="J53" t="s">
        <v>1157</v>
      </c>
      <c r="K53" t="s">
        <v>1157</v>
      </c>
      <c r="L53">
        <v>44999065000</v>
      </c>
      <c r="N53" t="s">
        <v>1159</v>
      </c>
      <c r="Q53" t="s">
        <v>778</v>
      </c>
      <c r="X53" t="s">
        <v>780</v>
      </c>
      <c r="Y53" t="s">
        <v>807</v>
      </c>
      <c r="Z53" t="s">
        <v>817</v>
      </c>
      <c r="AA53" s="31"/>
      <c r="AB53">
        <v>11520</v>
      </c>
      <c r="AC53">
        <v>14114</v>
      </c>
      <c r="AD53">
        <v>30</v>
      </c>
      <c r="AE53" t="s">
        <v>44</v>
      </c>
      <c r="AF53" s="31">
        <v>45679</v>
      </c>
      <c r="AG53" s="61">
        <v>0.51081018518518517</v>
      </c>
      <c r="AI53" t="s">
        <v>795</v>
      </c>
      <c r="AJ53" s="31">
        <v>45709</v>
      </c>
      <c r="AK53" s="61">
        <v>0.50973379629629634</v>
      </c>
      <c r="AL53" t="s">
        <v>974</v>
      </c>
      <c r="AM53" t="s">
        <v>1160</v>
      </c>
      <c r="AO53" t="s">
        <v>1145</v>
      </c>
      <c r="AQ53" t="s">
        <v>1161</v>
      </c>
      <c r="AS53" s="31"/>
      <c r="AY53">
        <v>1</v>
      </c>
    </row>
    <row r="54" spans="1:51" x14ac:dyDescent="0.25">
      <c r="A54" t="s">
        <v>44</v>
      </c>
      <c r="B54">
        <v>179</v>
      </c>
      <c r="D54">
        <v>1621</v>
      </c>
      <c r="G54" t="s">
        <v>1162</v>
      </c>
      <c r="J54" t="s">
        <v>1163</v>
      </c>
      <c r="K54" t="s">
        <v>1163</v>
      </c>
      <c r="L54">
        <v>65984636358</v>
      </c>
      <c r="N54" t="s">
        <v>1165</v>
      </c>
      <c r="Q54" t="s">
        <v>778</v>
      </c>
      <c r="X54" t="s">
        <v>780</v>
      </c>
      <c r="Y54" t="s">
        <v>793</v>
      </c>
      <c r="Z54" t="s">
        <v>817</v>
      </c>
      <c r="AA54" s="31"/>
      <c r="AB54">
        <v>61056</v>
      </c>
      <c r="AC54">
        <v>625045</v>
      </c>
      <c r="AD54">
        <v>14</v>
      </c>
      <c r="AE54" t="s">
        <v>44</v>
      </c>
      <c r="AF54" s="31">
        <v>45680</v>
      </c>
      <c r="AG54" s="61">
        <v>0.39780092592592592</v>
      </c>
      <c r="AI54" t="s">
        <v>795</v>
      </c>
      <c r="AJ54" s="31">
        <v>45694</v>
      </c>
      <c r="AK54" s="61">
        <v>0.66874999999999996</v>
      </c>
      <c r="AL54" t="s">
        <v>867</v>
      </c>
      <c r="AM54" t="s">
        <v>1166</v>
      </c>
      <c r="AO54" t="s">
        <v>1167</v>
      </c>
      <c r="AQ54" t="s">
        <v>1168</v>
      </c>
      <c r="AR54" t="s">
        <v>1167</v>
      </c>
      <c r="AS54" s="31"/>
      <c r="AY54">
        <v>1</v>
      </c>
    </row>
    <row r="55" spans="1:51" x14ac:dyDescent="0.25">
      <c r="A55" t="s">
        <v>44</v>
      </c>
      <c r="B55">
        <v>183</v>
      </c>
      <c r="D55">
        <v>1631</v>
      </c>
      <c r="G55" t="s">
        <v>1169</v>
      </c>
      <c r="J55" t="s">
        <v>1170</v>
      </c>
      <c r="K55" t="s">
        <v>1170</v>
      </c>
      <c r="L55">
        <v>54981117994</v>
      </c>
      <c r="N55" t="s">
        <v>1172</v>
      </c>
      <c r="Q55" t="s">
        <v>778</v>
      </c>
      <c r="T55" t="s">
        <v>1068</v>
      </c>
      <c r="X55" t="s">
        <v>780</v>
      </c>
      <c r="Y55" t="s">
        <v>816</v>
      </c>
      <c r="Z55" t="s">
        <v>817</v>
      </c>
      <c r="AA55" s="31"/>
      <c r="AB55">
        <v>16960</v>
      </c>
      <c r="AC55">
        <v>863104</v>
      </c>
      <c r="AD55">
        <v>103</v>
      </c>
      <c r="AE55" t="s">
        <v>44</v>
      </c>
      <c r="AF55" s="31">
        <v>45681</v>
      </c>
      <c r="AG55" s="61">
        <v>0.4445486111111111</v>
      </c>
      <c r="AI55" t="s">
        <v>818</v>
      </c>
      <c r="AJ55" s="31">
        <v>45784</v>
      </c>
      <c r="AK55" s="61">
        <v>0.37054398148148149</v>
      </c>
      <c r="AO55" t="s">
        <v>890</v>
      </c>
      <c r="AQ55" t="s">
        <v>1168</v>
      </c>
      <c r="AS55" s="31"/>
      <c r="AY55">
        <v>1</v>
      </c>
    </row>
    <row r="56" spans="1:51" x14ac:dyDescent="0.25">
      <c r="A56" t="s">
        <v>44</v>
      </c>
      <c r="B56">
        <v>187</v>
      </c>
      <c r="D56">
        <v>1642</v>
      </c>
      <c r="G56" t="s">
        <v>1173</v>
      </c>
      <c r="J56" t="s">
        <v>1174</v>
      </c>
      <c r="K56" t="s">
        <v>1174</v>
      </c>
      <c r="L56">
        <v>16997631389</v>
      </c>
      <c r="N56" t="s">
        <v>1176</v>
      </c>
      <c r="Q56" t="s">
        <v>778</v>
      </c>
      <c r="X56" t="s">
        <v>780</v>
      </c>
      <c r="Y56" t="s">
        <v>857</v>
      </c>
      <c r="AA56" s="31"/>
      <c r="AD56">
        <v>49</v>
      </c>
      <c r="AE56" t="s">
        <v>44</v>
      </c>
      <c r="AF56" s="31">
        <v>45684</v>
      </c>
      <c r="AG56" s="61">
        <v>0.62056712962962968</v>
      </c>
      <c r="AI56" t="s">
        <v>795</v>
      </c>
      <c r="AJ56" s="31">
        <v>45733</v>
      </c>
      <c r="AK56" s="61">
        <v>0.41342592592592592</v>
      </c>
      <c r="AL56" t="s">
        <v>796</v>
      </c>
      <c r="AM56" t="s">
        <v>1177</v>
      </c>
      <c r="AQ56" t="s">
        <v>1167</v>
      </c>
      <c r="AS56" s="31"/>
      <c r="AY56">
        <v>1</v>
      </c>
    </row>
    <row r="57" spans="1:51" x14ac:dyDescent="0.25">
      <c r="A57" t="s">
        <v>44</v>
      </c>
      <c r="B57">
        <v>188</v>
      </c>
      <c r="D57">
        <v>1643</v>
      </c>
      <c r="G57" t="s">
        <v>1178</v>
      </c>
      <c r="J57" t="s">
        <v>1179</v>
      </c>
      <c r="K57" t="s">
        <v>1179</v>
      </c>
      <c r="L57">
        <v>11999279928</v>
      </c>
      <c r="N57" t="s">
        <v>1093</v>
      </c>
      <c r="Q57" t="s">
        <v>778</v>
      </c>
      <c r="X57" t="s">
        <v>780</v>
      </c>
      <c r="Y57" t="s">
        <v>807</v>
      </c>
      <c r="AA57" s="31"/>
      <c r="AB57">
        <v>1600</v>
      </c>
      <c r="AC57">
        <v>314528</v>
      </c>
      <c r="AD57">
        <v>25</v>
      </c>
      <c r="AE57" t="s">
        <v>44</v>
      </c>
      <c r="AF57" s="31">
        <v>45684</v>
      </c>
      <c r="AG57" s="61">
        <v>0.65873842592592591</v>
      </c>
      <c r="AI57" t="s">
        <v>795</v>
      </c>
      <c r="AJ57" s="31">
        <v>45709</v>
      </c>
      <c r="AK57" s="61">
        <v>0.60328703703703701</v>
      </c>
      <c r="AL57" t="s">
        <v>934</v>
      </c>
      <c r="AO57" t="s">
        <v>1145</v>
      </c>
      <c r="AQ57" t="s">
        <v>1096</v>
      </c>
      <c r="AS57" s="31"/>
      <c r="AY57">
        <v>1</v>
      </c>
    </row>
    <row r="58" spans="1:51" x14ac:dyDescent="0.25">
      <c r="A58" t="s">
        <v>44</v>
      </c>
      <c r="B58">
        <v>191</v>
      </c>
      <c r="D58">
        <v>1651</v>
      </c>
      <c r="G58" t="s">
        <v>1181</v>
      </c>
      <c r="J58" t="s">
        <v>1163</v>
      </c>
      <c r="K58" t="s">
        <v>1163</v>
      </c>
      <c r="L58">
        <v>65984636358</v>
      </c>
      <c r="N58" t="s">
        <v>1165</v>
      </c>
      <c r="Q58" t="s">
        <v>778</v>
      </c>
      <c r="X58" t="s">
        <v>780</v>
      </c>
      <c r="Y58" t="s">
        <v>793</v>
      </c>
      <c r="AA58" s="31"/>
      <c r="AB58">
        <v>1600</v>
      </c>
      <c r="AC58">
        <v>4063</v>
      </c>
      <c r="AD58">
        <v>9</v>
      </c>
      <c r="AE58" t="s">
        <v>44</v>
      </c>
      <c r="AF58" s="31">
        <v>45685</v>
      </c>
      <c r="AG58" s="61">
        <v>0.62687499999999996</v>
      </c>
      <c r="AI58" t="s">
        <v>795</v>
      </c>
      <c r="AJ58" s="31">
        <v>45694</v>
      </c>
      <c r="AK58" s="61">
        <v>0.66998842592592589</v>
      </c>
      <c r="AL58" t="s">
        <v>867</v>
      </c>
      <c r="AM58" t="s">
        <v>1166</v>
      </c>
      <c r="AS58" s="31"/>
      <c r="AY58">
        <v>1</v>
      </c>
    </row>
    <row r="59" spans="1:51" x14ac:dyDescent="0.25">
      <c r="A59" t="s">
        <v>22</v>
      </c>
      <c r="B59">
        <v>193</v>
      </c>
      <c r="D59">
        <v>1608</v>
      </c>
      <c r="G59" t="s">
        <v>1182</v>
      </c>
      <c r="H59">
        <v>2142286000175</v>
      </c>
      <c r="J59" t="s">
        <v>1183</v>
      </c>
      <c r="K59" t="s">
        <v>1183</v>
      </c>
      <c r="L59" t="s">
        <v>1184</v>
      </c>
      <c r="N59" t="s">
        <v>1185</v>
      </c>
      <c r="Q59" t="s">
        <v>778</v>
      </c>
      <c r="R59" t="s">
        <v>923</v>
      </c>
      <c r="T59" t="s">
        <v>814</v>
      </c>
      <c r="W59" t="s">
        <v>1186</v>
      </c>
      <c r="X59" t="s">
        <v>780</v>
      </c>
      <c r="Y59" t="s">
        <v>807</v>
      </c>
      <c r="AA59" s="31"/>
      <c r="AD59">
        <v>9</v>
      </c>
      <c r="AE59" t="s">
        <v>22</v>
      </c>
      <c r="AF59" s="31">
        <v>45685</v>
      </c>
      <c r="AG59" s="61">
        <v>0.69854166666666662</v>
      </c>
      <c r="AI59" t="s">
        <v>795</v>
      </c>
      <c r="AJ59" s="31">
        <v>45694</v>
      </c>
      <c r="AK59" s="61">
        <v>0.72714120370370372</v>
      </c>
      <c r="AL59" t="s">
        <v>867</v>
      </c>
      <c r="AO59" t="s">
        <v>1187</v>
      </c>
      <c r="AQ59" t="s">
        <v>1187</v>
      </c>
      <c r="AS59" s="31"/>
      <c r="AY59">
        <v>1</v>
      </c>
    </row>
    <row r="60" spans="1:51" x14ac:dyDescent="0.25">
      <c r="A60" t="s">
        <v>22</v>
      </c>
      <c r="B60">
        <v>195</v>
      </c>
      <c r="D60">
        <v>1603</v>
      </c>
      <c r="G60" t="s">
        <v>1188</v>
      </c>
      <c r="J60" t="s">
        <v>1189</v>
      </c>
      <c r="K60" t="s">
        <v>1189</v>
      </c>
      <c r="L60" t="s">
        <v>1190</v>
      </c>
      <c r="N60" t="s">
        <v>1111</v>
      </c>
      <c r="Q60" t="s">
        <v>778</v>
      </c>
      <c r="T60" t="s">
        <v>1191</v>
      </c>
      <c r="X60" t="s">
        <v>780</v>
      </c>
      <c r="Y60" t="s">
        <v>807</v>
      </c>
      <c r="AA60" s="31"/>
      <c r="AD60">
        <v>9</v>
      </c>
      <c r="AE60" t="s">
        <v>22</v>
      </c>
      <c r="AF60" s="31">
        <v>45685</v>
      </c>
      <c r="AG60" s="61">
        <v>0.71567129629629633</v>
      </c>
      <c r="AI60" t="s">
        <v>795</v>
      </c>
      <c r="AJ60" s="31">
        <v>45694</v>
      </c>
      <c r="AK60" s="61">
        <v>0.73074074074074069</v>
      </c>
      <c r="AL60" t="s">
        <v>858</v>
      </c>
      <c r="AO60" t="s">
        <v>1187</v>
      </c>
      <c r="AQ60" t="s">
        <v>1187</v>
      </c>
      <c r="AS60" s="31"/>
      <c r="AY60">
        <v>1</v>
      </c>
    </row>
    <row r="61" spans="1:51" x14ac:dyDescent="0.25">
      <c r="A61" t="s">
        <v>22</v>
      </c>
      <c r="B61">
        <v>196</v>
      </c>
      <c r="D61">
        <v>1596</v>
      </c>
      <c r="F61" t="s">
        <v>1192</v>
      </c>
      <c r="G61" t="s">
        <v>1193</v>
      </c>
      <c r="H61">
        <v>56884678000139</v>
      </c>
      <c r="J61" t="s">
        <v>1194</v>
      </c>
      <c r="K61" t="s">
        <v>1194</v>
      </c>
      <c r="L61" t="s">
        <v>1195</v>
      </c>
      <c r="N61" t="s">
        <v>1196</v>
      </c>
      <c r="Q61" t="s">
        <v>778</v>
      </c>
      <c r="R61" t="s">
        <v>1197</v>
      </c>
      <c r="S61" t="s">
        <v>790</v>
      </c>
      <c r="T61" t="s">
        <v>1191</v>
      </c>
      <c r="W61" t="s">
        <v>1198</v>
      </c>
      <c r="X61" t="s">
        <v>780</v>
      </c>
      <c r="Y61" t="s">
        <v>807</v>
      </c>
      <c r="AA61" s="31"/>
      <c r="AD61">
        <v>1</v>
      </c>
      <c r="AE61" t="s">
        <v>22</v>
      </c>
      <c r="AF61" s="31">
        <v>45685</v>
      </c>
      <c r="AG61" s="61">
        <v>0.71672453703703709</v>
      </c>
      <c r="AI61" t="s">
        <v>795</v>
      </c>
      <c r="AJ61" s="31">
        <v>45686</v>
      </c>
      <c r="AK61" s="61">
        <v>4.1851851851851848E-2</v>
      </c>
      <c r="AL61" t="s">
        <v>867</v>
      </c>
      <c r="AO61" t="s">
        <v>1187</v>
      </c>
      <c r="AP61" t="s">
        <v>22</v>
      </c>
      <c r="AQ61" t="s">
        <v>1187</v>
      </c>
      <c r="AS61" s="31"/>
      <c r="AY61">
        <v>1</v>
      </c>
    </row>
    <row r="62" spans="1:51" x14ac:dyDescent="0.25">
      <c r="A62" t="s">
        <v>22</v>
      </c>
      <c r="B62">
        <v>197</v>
      </c>
      <c r="D62">
        <v>1598</v>
      </c>
      <c r="G62" t="s">
        <v>1199</v>
      </c>
      <c r="J62" t="s">
        <v>1200</v>
      </c>
      <c r="K62" t="s">
        <v>1200</v>
      </c>
      <c r="L62" t="s">
        <v>1201</v>
      </c>
      <c r="N62" t="s">
        <v>1111</v>
      </c>
      <c r="Q62" t="s">
        <v>778</v>
      </c>
      <c r="T62" t="s">
        <v>1191</v>
      </c>
      <c r="W62" t="s">
        <v>1198</v>
      </c>
      <c r="X62" t="s">
        <v>780</v>
      </c>
      <c r="Y62" t="s">
        <v>807</v>
      </c>
      <c r="AA62" s="31"/>
      <c r="AD62">
        <v>1</v>
      </c>
      <c r="AE62" t="s">
        <v>22</v>
      </c>
      <c r="AF62" s="31">
        <v>45685</v>
      </c>
      <c r="AG62" s="61">
        <v>0.71711805555555552</v>
      </c>
      <c r="AI62" t="s">
        <v>795</v>
      </c>
      <c r="AJ62" s="31">
        <v>45686</v>
      </c>
      <c r="AK62" s="61">
        <v>4.3159722222222217E-2</v>
      </c>
      <c r="AL62" t="s">
        <v>867</v>
      </c>
      <c r="AO62" t="s">
        <v>1187</v>
      </c>
      <c r="AQ62" t="s">
        <v>1187</v>
      </c>
      <c r="AS62" s="31"/>
      <c r="AY62">
        <v>1</v>
      </c>
    </row>
    <row r="63" spans="1:51" x14ac:dyDescent="0.25">
      <c r="A63" t="s">
        <v>22</v>
      </c>
      <c r="B63">
        <v>198</v>
      </c>
      <c r="D63">
        <v>1600</v>
      </c>
      <c r="G63" t="s">
        <v>1202</v>
      </c>
      <c r="J63" t="s">
        <v>1203</v>
      </c>
      <c r="K63" t="s">
        <v>1203</v>
      </c>
      <c r="L63" t="s">
        <v>1204</v>
      </c>
      <c r="N63" t="s">
        <v>1205</v>
      </c>
      <c r="Q63" t="s">
        <v>778</v>
      </c>
      <c r="R63" t="s">
        <v>1206</v>
      </c>
      <c r="T63" t="s">
        <v>814</v>
      </c>
      <c r="W63" t="s">
        <v>1198</v>
      </c>
      <c r="X63" t="s">
        <v>780</v>
      </c>
      <c r="Y63" t="s">
        <v>807</v>
      </c>
      <c r="AA63" s="31"/>
      <c r="AD63">
        <v>1</v>
      </c>
      <c r="AE63" t="s">
        <v>22</v>
      </c>
      <c r="AF63" s="31">
        <v>45685</v>
      </c>
      <c r="AG63" s="61">
        <v>0.71755787037037033</v>
      </c>
      <c r="AI63" t="s">
        <v>795</v>
      </c>
      <c r="AJ63" s="31">
        <v>45686</v>
      </c>
      <c r="AK63" s="61">
        <v>4.5671296296296293E-2</v>
      </c>
      <c r="AL63" t="s">
        <v>867</v>
      </c>
      <c r="AO63" t="s">
        <v>1187</v>
      </c>
      <c r="AQ63" t="s">
        <v>1187</v>
      </c>
      <c r="AS63" s="31"/>
      <c r="AY63">
        <v>1</v>
      </c>
    </row>
    <row r="64" spans="1:51" x14ac:dyDescent="0.25">
      <c r="A64" t="s">
        <v>22</v>
      </c>
      <c r="B64">
        <v>199</v>
      </c>
      <c r="D64">
        <v>1623</v>
      </c>
      <c r="E64" t="s">
        <v>1207</v>
      </c>
      <c r="G64" t="s">
        <v>1208</v>
      </c>
      <c r="J64" t="s">
        <v>1209</v>
      </c>
      <c r="K64" t="s">
        <v>1209</v>
      </c>
      <c r="L64">
        <v>81988636626</v>
      </c>
      <c r="N64" t="s">
        <v>1211</v>
      </c>
      <c r="Q64" t="s">
        <v>778</v>
      </c>
      <c r="R64" t="s">
        <v>1212</v>
      </c>
      <c r="T64" t="s">
        <v>1068</v>
      </c>
      <c r="W64" t="s">
        <v>1068</v>
      </c>
      <c r="X64" t="s">
        <v>780</v>
      </c>
      <c r="Y64" t="s">
        <v>807</v>
      </c>
      <c r="AA64" s="31"/>
      <c r="AD64">
        <v>9</v>
      </c>
      <c r="AE64" t="s">
        <v>22</v>
      </c>
      <c r="AF64" s="31">
        <v>45685</v>
      </c>
      <c r="AG64" s="61">
        <v>0.71810185185185182</v>
      </c>
      <c r="AI64" t="s">
        <v>795</v>
      </c>
      <c r="AJ64" s="31">
        <v>45694</v>
      </c>
      <c r="AK64" s="61">
        <v>0.73619212962962965</v>
      </c>
      <c r="AL64" t="s">
        <v>867</v>
      </c>
      <c r="AO64" t="s">
        <v>1187</v>
      </c>
      <c r="AR64" t="s">
        <v>1187</v>
      </c>
      <c r="AS64" s="31"/>
      <c r="AY64">
        <v>1</v>
      </c>
    </row>
    <row r="65" spans="1:51" x14ac:dyDescent="0.25">
      <c r="A65" t="s">
        <v>44</v>
      </c>
      <c r="B65">
        <v>200</v>
      </c>
      <c r="D65">
        <v>1660</v>
      </c>
      <c r="G65" t="s">
        <v>1213</v>
      </c>
      <c r="J65" t="s">
        <v>1214</v>
      </c>
      <c r="K65" t="s">
        <v>1214</v>
      </c>
      <c r="L65">
        <v>1935513873</v>
      </c>
      <c r="N65" t="s">
        <v>1216</v>
      </c>
      <c r="Q65" t="s">
        <v>778</v>
      </c>
      <c r="X65" t="s">
        <v>780</v>
      </c>
      <c r="Y65" t="s">
        <v>897</v>
      </c>
      <c r="AA65" s="31"/>
      <c r="AD65">
        <v>51</v>
      </c>
      <c r="AE65" t="s">
        <v>44</v>
      </c>
      <c r="AF65" s="31">
        <v>45686</v>
      </c>
      <c r="AG65" s="61">
        <v>0.39648148148148149</v>
      </c>
      <c r="AI65" t="s">
        <v>795</v>
      </c>
      <c r="AJ65" s="31">
        <v>45737</v>
      </c>
      <c r="AK65" s="61">
        <v>0.61332175925925925</v>
      </c>
      <c r="AL65" t="s">
        <v>858</v>
      </c>
      <c r="AM65" t="s">
        <v>1217</v>
      </c>
      <c r="AQ65" t="s">
        <v>1059</v>
      </c>
      <c r="AS65" s="31"/>
      <c r="AY65">
        <v>1</v>
      </c>
    </row>
    <row r="66" spans="1:51" x14ac:dyDescent="0.25">
      <c r="A66" t="s">
        <v>22</v>
      </c>
      <c r="B66">
        <v>201</v>
      </c>
      <c r="D66">
        <v>198</v>
      </c>
      <c r="F66" t="s">
        <v>1218</v>
      </c>
      <c r="G66" t="s">
        <v>1219</v>
      </c>
      <c r="H66">
        <v>13474916000125</v>
      </c>
      <c r="J66" t="s">
        <v>1220</v>
      </c>
      <c r="K66" t="s">
        <v>1220</v>
      </c>
      <c r="L66">
        <v>13997252966</v>
      </c>
      <c r="N66" t="s">
        <v>1222</v>
      </c>
      <c r="P66" t="s">
        <v>1223</v>
      </c>
      <c r="Q66" t="s">
        <v>778</v>
      </c>
      <c r="R66" t="s">
        <v>1224</v>
      </c>
      <c r="S66" t="s">
        <v>790</v>
      </c>
      <c r="T66" t="s">
        <v>791</v>
      </c>
      <c r="W66" t="s">
        <v>1225</v>
      </c>
      <c r="X66" t="s">
        <v>780</v>
      </c>
      <c r="Y66" t="s">
        <v>857</v>
      </c>
      <c r="AA66" s="31"/>
      <c r="AD66">
        <v>8</v>
      </c>
      <c r="AE66" t="s">
        <v>794</v>
      </c>
      <c r="AF66" s="31">
        <v>45686</v>
      </c>
      <c r="AG66" s="61">
        <v>0.49991898148148151</v>
      </c>
      <c r="AI66" t="s">
        <v>795</v>
      </c>
      <c r="AJ66" s="31">
        <v>45694</v>
      </c>
      <c r="AK66" s="61">
        <v>0.57891203703703709</v>
      </c>
      <c r="AL66" t="s">
        <v>1226</v>
      </c>
      <c r="AN66" t="s">
        <v>1227</v>
      </c>
      <c r="AP66" t="s">
        <v>794</v>
      </c>
      <c r="AQ66" t="s">
        <v>1228</v>
      </c>
      <c r="AS66" s="31"/>
      <c r="AY66">
        <v>1</v>
      </c>
    </row>
    <row r="67" spans="1:51" x14ac:dyDescent="0.25">
      <c r="A67" t="s">
        <v>44</v>
      </c>
      <c r="B67">
        <v>202</v>
      </c>
      <c r="D67">
        <v>1665</v>
      </c>
      <c r="G67" t="s">
        <v>1229</v>
      </c>
      <c r="J67" t="s">
        <v>1230</v>
      </c>
      <c r="K67" t="s">
        <v>1230</v>
      </c>
      <c r="L67">
        <v>11988839646</v>
      </c>
      <c r="N67" t="s">
        <v>1037</v>
      </c>
      <c r="Q67" t="s">
        <v>778</v>
      </c>
      <c r="X67" t="s">
        <v>780</v>
      </c>
      <c r="Y67" t="s">
        <v>816</v>
      </c>
      <c r="AA67" s="31"/>
      <c r="AB67">
        <v>1600</v>
      </c>
      <c r="AC67">
        <v>1824</v>
      </c>
      <c r="AD67">
        <v>34</v>
      </c>
      <c r="AE67" t="s">
        <v>44</v>
      </c>
      <c r="AF67" s="31">
        <v>45687</v>
      </c>
      <c r="AG67" s="61">
        <v>0.41543981481481479</v>
      </c>
      <c r="AI67" t="s">
        <v>795</v>
      </c>
      <c r="AJ67" s="31">
        <v>45721</v>
      </c>
      <c r="AK67" s="61">
        <v>0.46659722222222222</v>
      </c>
      <c r="AL67" t="s">
        <v>796</v>
      </c>
      <c r="AM67" t="s">
        <v>1231</v>
      </c>
      <c r="AO67" t="s">
        <v>1039</v>
      </c>
      <c r="AS67" s="31"/>
      <c r="AY67">
        <v>1</v>
      </c>
    </row>
    <row r="68" spans="1:51" x14ac:dyDescent="0.25">
      <c r="A68" t="s">
        <v>44</v>
      </c>
      <c r="B68">
        <v>203</v>
      </c>
      <c r="D68">
        <v>1666</v>
      </c>
      <c r="G68" t="s">
        <v>1232</v>
      </c>
      <c r="J68" t="s">
        <v>1233</v>
      </c>
      <c r="K68" t="s">
        <v>1233</v>
      </c>
      <c r="L68">
        <v>11967327458</v>
      </c>
      <c r="N68" t="s">
        <v>1235</v>
      </c>
      <c r="Q68" t="s">
        <v>778</v>
      </c>
      <c r="X68" t="s">
        <v>780</v>
      </c>
      <c r="Y68" t="s">
        <v>857</v>
      </c>
      <c r="AA68" s="31"/>
      <c r="AD68">
        <v>22</v>
      </c>
      <c r="AE68" t="s">
        <v>44</v>
      </c>
      <c r="AF68" s="31">
        <v>45687</v>
      </c>
      <c r="AG68" s="61">
        <v>0.45832175925925928</v>
      </c>
      <c r="AI68" t="s">
        <v>795</v>
      </c>
      <c r="AJ68" s="31">
        <v>45709</v>
      </c>
      <c r="AK68" s="61">
        <v>0.50681712962962966</v>
      </c>
      <c r="AL68" t="s">
        <v>858</v>
      </c>
      <c r="AM68" t="s">
        <v>1236</v>
      </c>
      <c r="AQ68" t="s">
        <v>1237</v>
      </c>
      <c r="AS68" s="31"/>
      <c r="AY68">
        <v>1</v>
      </c>
    </row>
    <row r="69" spans="1:51" x14ac:dyDescent="0.25">
      <c r="A69" t="s">
        <v>44</v>
      </c>
      <c r="B69">
        <v>204</v>
      </c>
      <c r="D69">
        <v>1669</v>
      </c>
      <c r="G69" t="s">
        <v>1238</v>
      </c>
      <c r="J69" t="s">
        <v>1239</v>
      </c>
      <c r="K69" t="s">
        <v>1239</v>
      </c>
      <c r="L69">
        <v>47988469270</v>
      </c>
      <c r="N69" t="s">
        <v>1241</v>
      </c>
      <c r="Q69" t="s">
        <v>778</v>
      </c>
      <c r="X69" t="s">
        <v>780</v>
      </c>
      <c r="Y69" t="s">
        <v>781</v>
      </c>
      <c r="AA69" s="31"/>
      <c r="AB69">
        <v>837998</v>
      </c>
      <c r="AC69">
        <v>516364</v>
      </c>
      <c r="AD69">
        <v>0</v>
      </c>
      <c r="AE69" t="s">
        <v>22</v>
      </c>
      <c r="AF69" s="31">
        <v>45689</v>
      </c>
      <c r="AG69" s="61">
        <v>7.4224537037037033E-2</v>
      </c>
      <c r="AI69" t="s">
        <v>818</v>
      </c>
      <c r="AJ69" s="31">
        <v>45689</v>
      </c>
      <c r="AK69" s="61">
        <v>0.14140046296296299</v>
      </c>
      <c r="AS69" s="31"/>
      <c r="AY69">
        <v>1</v>
      </c>
    </row>
    <row r="70" spans="1:51" x14ac:dyDescent="0.25">
      <c r="A70" t="s">
        <v>22</v>
      </c>
      <c r="B70">
        <v>205</v>
      </c>
      <c r="D70">
        <v>1670</v>
      </c>
      <c r="G70" t="s">
        <v>1242</v>
      </c>
      <c r="J70" t="s">
        <v>1243</v>
      </c>
      <c r="K70" t="s">
        <v>1243</v>
      </c>
      <c r="L70">
        <v>75999540838</v>
      </c>
      <c r="N70" t="s">
        <v>1245</v>
      </c>
      <c r="Q70" t="s">
        <v>778</v>
      </c>
      <c r="X70" t="s">
        <v>780</v>
      </c>
      <c r="Y70" t="s">
        <v>816</v>
      </c>
      <c r="AA70" s="31"/>
      <c r="AB70">
        <v>299984</v>
      </c>
      <c r="AC70">
        <v>0</v>
      </c>
      <c r="AD70">
        <v>0</v>
      </c>
      <c r="AE70" t="s">
        <v>22</v>
      </c>
      <c r="AF70" s="31">
        <v>45689</v>
      </c>
      <c r="AG70" s="61">
        <v>9.1087962962962968E-2</v>
      </c>
      <c r="AI70" t="s">
        <v>818</v>
      </c>
      <c r="AJ70" s="31">
        <v>45689</v>
      </c>
      <c r="AK70" s="61">
        <v>9.9201388888888895E-2</v>
      </c>
      <c r="AO70" t="s">
        <v>888</v>
      </c>
      <c r="AP70" t="s">
        <v>22</v>
      </c>
      <c r="AQ70" t="s">
        <v>888</v>
      </c>
      <c r="AS70" s="31"/>
      <c r="AY70">
        <v>1</v>
      </c>
    </row>
    <row r="71" spans="1:51" x14ac:dyDescent="0.25">
      <c r="A71" t="s">
        <v>22</v>
      </c>
      <c r="B71">
        <v>206</v>
      </c>
      <c r="D71">
        <v>1671</v>
      </c>
      <c r="G71" t="s">
        <v>1246</v>
      </c>
      <c r="J71" t="s">
        <v>1247</v>
      </c>
      <c r="K71" t="s">
        <v>1247</v>
      </c>
      <c r="L71">
        <v>55479993859</v>
      </c>
      <c r="N71" t="s">
        <v>1249</v>
      </c>
      <c r="Q71" t="s">
        <v>778</v>
      </c>
      <c r="X71" t="s">
        <v>780</v>
      </c>
      <c r="Y71" t="s">
        <v>816</v>
      </c>
      <c r="AA71" s="31"/>
      <c r="AB71">
        <v>1936</v>
      </c>
      <c r="AC71">
        <v>0</v>
      </c>
      <c r="AD71">
        <v>0</v>
      </c>
      <c r="AE71" t="s">
        <v>22</v>
      </c>
      <c r="AF71" s="31">
        <v>45689</v>
      </c>
      <c r="AG71" s="61">
        <v>9.2152777777777778E-2</v>
      </c>
      <c r="AI71" t="s">
        <v>818</v>
      </c>
      <c r="AJ71" s="31">
        <v>45689</v>
      </c>
      <c r="AK71" s="61">
        <v>9.7048611111111113E-2</v>
      </c>
      <c r="AO71" t="s">
        <v>1250</v>
      </c>
      <c r="AP71" t="s">
        <v>22</v>
      </c>
      <c r="AQ71" t="s">
        <v>1250</v>
      </c>
      <c r="AS71" s="31"/>
      <c r="AY71">
        <v>1</v>
      </c>
    </row>
    <row r="72" spans="1:51" x14ac:dyDescent="0.25">
      <c r="A72" t="s">
        <v>22</v>
      </c>
      <c r="B72">
        <v>207</v>
      </c>
      <c r="D72">
        <v>1672</v>
      </c>
      <c r="G72" t="s">
        <v>1251</v>
      </c>
      <c r="J72" t="s">
        <v>1252</v>
      </c>
      <c r="K72" t="s">
        <v>1252</v>
      </c>
      <c r="N72" t="s">
        <v>1253</v>
      </c>
      <c r="Q72" t="s">
        <v>778</v>
      </c>
      <c r="X72" t="s">
        <v>780</v>
      </c>
      <c r="Y72" t="s">
        <v>816</v>
      </c>
      <c r="AA72" s="31"/>
      <c r="AB72">
        <v>6160</v>
      </c>
      <c r="AC72">
        <v>0</v>
      </c>
      <c r="AD72">
        <v>0</v>
      </c>
      <c r="AE72" t="s">
        <v>22</v>
      </c>
      <c r="AF72" s="31">
        <v>45689</v>
      </c>
      <c r="AG72" s="61">
        <v>9.2499999999999999E-2</v>
      </c>
      <c r="AI72" t="s">
        <v>818</v>
      </c>
      <c r="AJ72" s="31">
        <v>45689</v>
      </c>
      <c r="AK72" s="61">
        <v>9.7812499999999997E-2</v>
      </c>
      <c r="AO72" t="s">
        <v>1254</v>
      </c>
      <c r="AP72" t="s">
        <v>22</v>
      </c>
      <c r="AQ72" t="s">
        <v>1254</v>
      </c>
      <c r="AS72" s="31"/>
      <c r="AY72">
        <v>1</v>
      </c>
    </row>
    <row r="73" spans="1:51" x14ac:dyDescent="0.25">
      <c r="A73" t="s">
        <v>22</v>
      </c>
      <c r="B73">
        <v>208</v>
      </c>
      <c r="D73">
        <v>1673</v>
      </c>
      <c r="G73" t="s">
        <v>1255</v>
      </c>
      <c r="J73" t="s">
        <v>678</v>
      </c>
      <c r="K73" t="s">
        <v>678</v>
      </c>
      <c r="N73" t="s">
        <v>1256</v>
      </c>
      <c r="Q73" t="s">
        <v>778</v>
      </c>
      <c r="X73" t="s">
        <v>780</v>
      </c>
      <c r="Y73" t="s">
        <v>816</v>
      </c>
      <c r="AA73" s="31"/>
      <c r="AB73">
        <v>486308</v>
      </c>
      <c r="AC73">
        <v>3564</v>
      </c>
      <c r="AD73">
        <v>0</v>
      </c>
      <c r="AE73" t="s">
        <v>22</v>
      </c>
      <c r="AF73" s="31">
        <v>45689</v>
      </c>
      <c r="AG73" s="61">
        <v>9.331018518518519E-2</v>
      </c>
      <c r="AI73" t="s">
        <v>818</v>
      </c>
      <c r="AJ73" s="31">
        <v>45689</v>
      </c>
      <c r="AK73" s="61">
        <v>9.6041666666666664E-2</v>
      </c>
      <c r="AO73" t="s">
        <v>1070</v>
      </c>
      <c r="AP73" t="s">
        <v>22</v>
      </c>
      <c r="AQ73" t="s">
        <v>1070</v>
      </c>
      <c r="AS73" s="31"/>
      <c r="AY73">
        <v>1</v>
      </c>
    </row>
    <row r="74" spans="1:51" x14ac:dyDescent="0.25">
      <c r="A74" t="s">
        <v>44</v>
      </c>
      <c r="B74">
        <v>209</v>
      </c>
      <c r="D74">
        <v>1710</v>
      </c>
      <c r="G74" t="s">
        <v>1257</v>
      </c>
      <c r="J74" t="s">
        <v>1258</v>
      </c>
      <c r="K74" t="s">
        <v>1258</v>
      </c>
      <c r="L74">
        <v>11999804489</v>
      </c>
      <c r="N74" t="s">
        <v>1260</v>
      </c>
      <c r="Q74" t="s">
        <v>778</v>
      </c>
      <c r="T74" t="s">
        <v>1068</v>
      </c>
      <c r="X74" t="s">
        <v>780</v>
      </c>
      <c r="Y74" t="s">
        <v>857</v>
      </c>
      <c r="Z74" t="s">
        <v>817</v>
      </c>
      <c r="AA74" s="31"/>
      <c r="AD74">
        <v>68</v>
      </c>
      <c r="AE74" t="s">
        <v>44</v>
      </c>
      <c r="AF74" s="31">
        <v>45694</v>
      </c>
      <c r="AG74" s="61">
        <v>0.4337152777777778</v>
      </c>
      <c r="AI74" t="s">
        <v>795</v>
      </c>
      <c r="AJ74" s="31">
        <v>45762</v>
      </c>
      <c r="AK74" s="61">
        <v>0.69322916666666667</v>
      </c>
      <c r="AL74" t="s">
        <v>796</v>
      </c>
      <c r="AM74" t="s">
        <v>1261</v>
      </c>
      <c r="AQ74" t="s">
        <v>1262</v>
      </c>
      <c r="AS74" s="31"/>
      <c r="AY74">
        <v>1</v>
      </c>
    </row>
    <row r="75" spans="1:51" x14ac:dyDescent="0.25">
      <c r="A75" t="s">
        <v>44</v>
      </c>
      <c r="B75">
        <v>210</v>
      </c>
      <c r="D75">
        <v>1711</v>
      </c>
      <c r="G75" t="s">
        <v>1263</v>
      </c>
      <c r="H75">
        <v>12792269000137</v>
      </c>
      <c r="J75" t="s">
        <v>624</v>
      </c>
      <c r="K75" t="s">
        <v>624</v>
      </c>
      <c r="L75">
        <v>11983334304</v>
      </c>
      <c r="N75" t="s">
        <v>1265</v>
      </c>
      <c r="Q75" t="s">
        <v>778</v>
      </c>
      <c r="W75" t="s">
        <v>1266</v>
      </c>
      <c r="X75" t="s">
        <v>780</v>
      </c>
      <c r="Y75" t="s">
        <v>816</v>
      </c>
      <c r="Z75" t="s">
        <v>995</v>
      </c>
      <c r="AA75" s="31"/>
      <c r="AB75">
        <v>65920</v>
      </c>
      <c r="AC75">
        <v>481924</v>
      </c>
      <c r="AD75">
        <v>25</v>
      </c>
      <c r="AE75" t="s">
        <v>44</v>
      </c>
      <c r="AF75" s="31">
        <v>45694</v>
      </c>
      <c r="AG75" s="61">
        <v>0.45374999999999999</v>
      </c>
      <c r="AI75" t="s">
        <v>818</v>
      </c>
      <c r="AJ75" s="31">
        <v>45719</v>
      </c>
      <c r="AK75" s="61">
        <v>0.4811111111111111</v>
      </c>
      <c r="AO75" t="s">
        <v>1262</v>
      </c>
      <c r="AQ75" t="s">
        <v>1262</v>
      </c>
      <c r="AR75" t="s">
        <v>1267</v>
      </c>
      <c r="AS75" s="31"/>
      <c r="AY75">
        <v>1</v>
      </c>
    </row>
    <row r="76" spans="1:51" x14ac:dyDescent="0.25">
      <c r="A76" t="s">
        <v>44</v>
      </c>
      <c r="B76">
        <v>211</v>
      </c>
      <c r="D76">
        <v>1712</v>
      </c>
      <c r="G76" t="s">
        <v>1268</v>
      </c>
      <c r="J76" t="s">
        <v>1269</v>
      </c>
      <c r="K76" t="s">
        <v>1269</v>
      </c>
      <c r="L76">
        <v>11983334304</v>
      </c>
      <c r="N76" t="s">
        <v>1265</v>
      </c>
      <c r="Q76" t="s">
        <v>778</v>
      </c>
      <c r="W76" t="s">
        <v>1266</v>
      </c>
      <c r="X76" t="s">
        <v>780</v>
      </c>
      <c r="Y76" t="s">
        <v>816</v>
      </c>
      <c r="AA76" s="31"/>
      <c r="AB76">
        <v>1600</v>
      </c>
      <c r="AC76">
        <v>25908</v>
      </c>
      <c r="AD76">
        <v>14</v>
      </c>
      <c r="AE76" t="s">
        <v>44</v>
      </c>
      <c r="AF76" s="31">
        <v>45694</v>
      </c>
      <c r="AG76" s="61">
        <v>0.48604166666666659</v>
      </c>
      <c r="AI76" t="s">
        <v>795</v>
      </c>
      <c r="AJ76" s="31">
        <v>45708</v>
      </c>
      <c r="AK76" s="61">
        <v>0.66526620370370371</v>
      </c>
      <c r="AL76" t="s">
        <v>858</v>
      </c>
      <c r="AM76" t="s">
        <v>1270</v>
      </c>
      <c r="AO76" t="s">
        <v>1262</v>
      </c>
      <c r="AQ76" t="s">
        <v>1262</v>
      </c>
      <c r="AR76" t="s">
        <v>1267</v>
      </c>
      <c r="AS76" s="31"/>
      <c r="AY76">
        <v>1</v>
      </c>
    </row>
    <row r="77" spans="1:51" x14ac:dyDescent="0.25">
      <c r="A77" t="s">
        <v>44</v>
      </c>
      <c r="B77">
        <v>212</v>
      </c>
      <c r="D77">
        <v>1713</v>
      </c>
      <c r="G77" t="s">
        <v>1271</v>
      </c>
      <c r="J77" t="s">
        <v>1272</v>
      </c>
      <c r="K77" t="s">
        <v>1272</v>
      </c>
      <c r="L77">
        <v>1935479372</v>
      </c>
      <c r="N77" t="s">
        <v>1274</v>
      </c>
      <c r="Q77" t="s">
        <v>778</v>
      </c>
      <c r="T77" t="s">
        <v>1068</v>
      </c>
      <c r="X77" t="s">
        <v>780</v>
      </c>
      <c r="Y77" t="s">
        <v>857</v>
      </c>
      <c r="Z77" t="s">
        <v>817</v>
      </c>
      <c r="AA77" s="31"/>
      <c r="AD77">
        <v>60</v>
      </c>
      <c r="AE77" t="s">
        <v>44</v>
      </c>
      <c r="AF77" s="31">
        <v>45694</v>
      </c>
      <c r="AG77" s="61">
        <v>0.5163078703703704</v>
      </c>
      <c r="AI77" t="s">
        <v>795</v>
      </c>
      <c r="AJ77" s="31">
        <v>45754</v>
      </c>
      <c r="AK77" s="61">
        <v>0.4931828703703704</v>
      </c>
      <c r="AL77" t="s">
        <v>796</v>
      </c>
      <c r="AM77" t="s">
        <v>1275</v>
      </c>
      <c r="AQ77" t="s">
        <v>1262</v>
      </c>
      <c r="AS77" s="31"/>
      <c r="AY77">
        <v>1</v>
      </c>
    </row>
    <row r="78" spans="1:51" x14ac:dyDescent="0.25">
      <c r="A78" t="s">
        <v>44</v>
      </c>
      <c r="B78">
        <v>213</v>
      </c>
      <c r="D78">
        <v>1714</v>
      </c>
      <c r="G78" t="s">
        <v>1276</v>
      </c>
      <c r="J78" t="s">
        <v>1277</v>
      </c>
      <c r="K78" t="s">
        <v>1277</v>
      </c>
      <c r="L78">
        <v>1168296999</v>
      </c>
      <c r="N78" t="s">
        <v>1279</v>
      </c>
      <c r="Q78" t="s">
        <v>778</v>
      </c>
      <c r="X78" t="s">
        <v>780</v>
      </c>
      <c r="Y78" t="s">
        <v>897</v>
      </c>
      <c r="AA78" s="31"/>
      <c r="AB78">
        <v>14400</v>
      </c>
      <c r="AC78">
        <v>18034</v>
      </c>
      <c r="AD78">
        <v>43</v>
      </c>
      <c r="AE78" t="s">
        <v>44</v>
      </c>
      <c r="AF78" s="31">
        <v>45694</v>
      </c>
      <c r="AG78" s="61">
        <v>0.52555555555555555</v>
      </c>
      <c r="AI78" t="s">
        <v>795</v>
      </c>
      <c r="AJ78" s="31">
        <v>45737</v>
      </c>
      <c r="AK78" s="61">
        <v>0.60868055555555556</v>
      </c>
      <c r="AL78" t="s">
        <v>858</v>
      </c>
      <c r="AM78" t="s">
        <v>1280</v>
      </c>
      <c r="AO78" t="s">
        <v>1281</v>
      </c>
      <c r="AQ78" t="s">
        <v>1262</v>
      </c>
      <c r="AS78" s="31"/>
      <c r="AY78">
        <v>1</v>
      </c>
    </row>
    <row r="79" spans="1:51" x14ac:dyDescent="0.25">
      <c r="A79" t="s">
        <v>22</v>
      </c>
      <c r="B79">
        <v>214</v>
      </c>
      <c r="D79">
        <v>1661</v>
      </c>
      <c r="G79" t="s">
        <v>1282</v>
      </c>
      <c r="J79" t="s">
        <v>914</v>
      </c>
      <c r="K79" t="s">
        <v>914</v>
      </c>
      <c r="L79" t="s">
        <v>1283</v>
      </c>
      <c r="N79" t="s">
        <v>1284</v>
      </c>
      <c r="Q79" t="s">
        <v>778</v>
      </c>
      <c r="R79" t="s">
        <v>1285</v>
      </c>
      <c r="T79" t="s">
        <v>814</v>
      </c>
      <c r="X79" t="s">
        <v>780</v>
      </c>
      <c r="Y79" t="s">
        <v>807</v>
      </c>
      <c r="AA79" s="31"/>
      <c r="AD79">
        <v>0</v>
      </c>
      <c r="AE79" t="s">
        <v>22</v>
      </c>
      <c r="AF79" s="31">
        <v>45694</v>
      </c>
      <c r="AG79" s="61">
        <v>0.57986111111111116</v>
      </c>
      <c r="AI79" t="s">
        <v>795</v>
      </c>
      <c r="AJ79" s="31">
        <v>45694</v>
      </c>
      <c r="AK79" s="61">
        <v>0.72984953703703703</v>
      </c>
      <c r="AL79" t="s">
        <v>867</v>
      </c>
      <c r="AO79" t="s">
        <v>1286</v>
      </c>
      <c r="AQ79" t="s">
        <v>1286</v>
      </c>
      <c r="AS79" s="31"/>
      <c r="AY79">
        <v>1</v>
      </c>
    </row>
    <row r="80" spans="1:51" x14ac:dyDescent="0.25">
      <c r="A80" t="s">
        <v>22</v>
      </c>
      <c r="B80">
        <v>215</v>
      </c>
      <c r="D80">
        <v>1715</v>
      </c>
      <c r="G80" t="s">
        <v>1287</v>
      </c>
      <c r="J80" t="s">
        <v>1288</v>
      </c>
      <c r="K80" t="s">
        <v>1288</v>
      </c>
      <c r="L80" t="s">
        <v>1289</v>
      </c>
      <c r="N80" t="s">
        <v>1290</v>
      </c>
      <c r="Q80" t="s">
        <v>778</v>
      </c>
      <c r="T80" t="s">
        <v>814</v>
      </c>
      <c r="W80" t="s">
        <v>1291</v>
      </c>
      <c r="X80" t="s">
        <v>780</v>
      </c>
      <c r="Y80" t="s">
        <v>807</v>
      </c>
      <c r="AA80" s="31"/>
      <c r="AB80">
        <v>43740</v>
      </c>
      <c r="AC80">
        <v>158239</v>
      </c>
      <c r="AD80">
        <v>13</v>
      </c>
      <c r="AE80" t="s">
        <v>22</v>
      </c>
      <c r="AF80" s="31">
        <v>45694</v>
      </c>
      <c r="AG80" s="61">
        <v>0.58037037037037043</v>
      </c>
      <c r="AI80" t="s">
        <v>795</v>
      </c>
      <c r="AJ80" s="31">
        <v>45707</v>
      </c>
      <c r="AK80" s="61">
        <v>0.38752314814814809</v>
      </c>
      <c r="AL80" t="s">
        <v>867</v>
      </c>
      <c r="AO80" t="s">
        <v>1292</v>
      </c>
      <c r="AQ80" t="s">
        <v>1293</v>
      </c>
      <c r="AS80" s="31"/>
      <c r="AY80">
        <v>1</v>
      </c>
    </row>
    <row r="81" spans="1:51" x14ac:dyDescent="0.25">
      <c r="A81" t="s">
        <v>22</v>
      </c>
      <c r="B81">
        <v>219</v>
      </c>
      <c r="D81">
        <v>1720</v>
      </c>
      <c r="G81" t="s">
        <v>1294</v>
      </c>
      <c r="J81" t="s">
        <v>1295</v>
      </c>
      <c r="K81" t="s">
        <v>1295</v>
      </c>
      <c r="L81">
        <v>11951945790</v>
      </c>
      <c r="N81" t="s">
        <v>1297</v>
      </c>
      <c r="Q81" t="s">
        <v>778</v>
      </c>
      <c r="X81" t="s">
        <v>780</v>
      </c>
      <c r="Y81" t="s">
        <v>816</v>
      </c>
      <c r="AA81" s="31"/>
      <c r="AB81">
        <v>14400</v>
      </c>
      <c r="AC81">
        <v>122984</v>
      </c>
      <c r="AD81">
        <v>8</v>
      </c>
      <c r="AE81" t="s">
        <v>22</v>
      </c>
      <c r="AF81" s="31">
        <v>45694</v>
      </c>
      <c r="AG81" s="61">
        <v>0.73803240740740739</v>
      </c>
      <c r="AI81" t="s">
        <v>818</v>
      </c>
      <c r="AJ81" s="31">
        <v>45702</v>
      </c>
      <c r="AK81" s="61">
        <v>0.46967592592592589</v>
      </c>
      <c r="AO81" t="s">
        <v>1293</v>
      </c>
      <c r="AP81" t="s">
        <v>22</v>
      </c>
      <c r="AQ81" t="s">
        <v>1293</v>
      </c>
      <c r="AS81" s="31"/>
      <c r="AY81">
        <v>1</v>
      </c>
    </row>
    <row r="82" spans="1:51" x14ac:dyDescent="0.25">
      <c r="A82" t="s">
        <v>44</v>
      </c>
      <c r="B82">
        <v>230</v>
      </c>
      <c r="D82">
        <v>1734</v>
      </c>
      <c r="G82" t="s">
        <v>1298</v>
      </c>
      <c r="J82" t="s">
        <v>1299</v>
      </c>
      <c r="K82" t="s">
        <v>1299</v>
      </c>
      <c r="L82">
        <v>21968201725</v>
      </c>
      <c r="N82" t="s">
        <v>1301</v>
      </c>
      <c r="Q82" t="s">
        <v>778</v>
      </c>
      <c r="T82" t="s">
        <v>1068</v>
      </c>
      <c r="W82" t="s">
        <v>1302</v>
      </c>
      <c r="X82" t="s">
        <v>780</v>
      </c>
      <c r="Y82" t="s">
        <v>816</v>
      </c>
      <c r="Z82" t="s">
        <v>817</v>
      </c>
      <c r="AA82" s="31"/>
      <c r="AB82">
        <v>56000</v>
      </c>
      <c r="AC82">
        <v>2101739</v>
      </c>
      <c r="AD82">
        <v>161</v>
      </c>
      <c r="AE82" t="s">
        <v>44</v>
      </c>
      <c r="AF82" s="31">
        <v>45698</v>
      </c>
      <c r="AG82" s="61">
        <v>0.32956018518518521</v>
      </c>
      <c r="AI82" t="s">
        <v>795</v>
      </c>
      <c r="AJ82" s="31">
        <v>45859</v>
      </c>
      <c r="AK82" s="61">
        <v>0.40759259259259262</v>
      </c>
      <c r="AL82" t="s">
        <v>796</v>
      </c>
      <c r="AM82" t="s">
        <v>1303</v>
      </c>
      <c r="AO82" t="s">
        <v>1304</v>
      </c>
      <c r="AQ82" t="s">
        <v>1305</v>
      </c>
      <c r="AS82" s="31"/>
      <c r="AY82">
        <v>1</v>
      </c>
    </row>
    <row r="83" spans="1:51" x14ac:dyDescent="0.25">
      <c r="A83" t="s">
        <v>22</v>
      </c>
      <c r="B83">
        <v>231</v>
      </c>
      <c r="D83">
        <v>1733</v>
      </c>
      <c r="E83" t="s">
        <v>1306</v>
      </c>
      <c r="F83" t="s">
        <v>1307</v>
      </c>
      <c r="G83" t="s">
        <v>1308</v>
      </c>
      <c r="H83">
        <v>14936505000258</v>
      </c>
      <c r="J83" t="s">
        <v>1309</v>
      </c>
      <c r="K83" t="s">
        <v>1309</v>
      </c>
      <c r="L83" t="s">
        <v>1310</v>
      </c>
      <c r="N83" t="s">
        <v>1311</v>
      </c>
      <c r="Q83" t="s">
        <v>778</v>
      </c>
      <c r="R83" t="s">
        <v>1312</v>
      </c>
      <c r="S83" t="s">
        <v>790</v>
      </c>
      <c r="T83" t="s">
        <v>1068</v>
      </c>
      <c r="W83" t="s">
        <v>1068</v>
      </c>
      <c r="X83" t="s">
        <v>780</v>
      </c>
      <c r="Y83" t="s">
        <v>897</v>
      </c>
      <c r="AA83" s="31"/>
      <c r="AD83">
        <v>38</v>
      </c>
      <c r="AE83" t="s">
        <v>794</v>
      </c>
      <c r="AF83" s="31">
        <v>45699</v>
      </c>
      <c r="AG83" s="61">
        <v>0.65057870370370374</v>
      </c>
      <c r="AI83" t="s">
        <v>795</v>
      </c>
      <c r="AJ83" s="31">
        <v>45737</v>
      </c>
      <c r="AK83" s="61">
        <v>0.63589120370370367</v>
      </c>
      <c r="AL83" t="s">
        <v>1226</v>
      </c>
      <c r="AM83" t="s">
        <v>1313</v>
      </c>
      <c r="AN83" t="s">
        <v>1314</v>
      </c>
      <c r="AP83" t="s">
        <v>794</v>
      </c>
      <c r="AQ83" t="s">
        <v>1315</v>
      </c>
      <c r="AS83" s="31"/>
      <c r="AY83">
        <v>1</v>
      </c>
    </row>
    <row r="84" spans="1:51" x14ac:dyDescent="0.25">
      <c r="A84" t="s">
        <v>22</v>
      </c>
      <c r="B84">
        <v>232</v>
      </c>
      <c r="D84">
        <v>1704</v>
      </c>
      <c r="G84" t="s">
        <v>1316</v>
      </c>
      <c r="H84">
        <v>29432229000187</v>
      </c>
      <c r="J84" t="s">
        <v>1317</v>
      </c>
      <c r="K84" t="s">
        <v>1317</v>
      </c>
      <c r="L84" t="s">
        <v>1318</v>
      </c>
      <c r="N84" t="s">
        <v>1319</v>
      </c>
      <c r="Q84" t="s">
        <v>778</v>
      </c>
      <c r="T84" t="s">
        <v>805</v>
      </c>
      <c r="W84" t="s">
        <v>1320</v>
      </c>
      <c r="X84" t="s">
        <v>780</v>
      </c>
      <c r="Y84" t="s">
        <v>897</v>
      </c>
      <c r="AA84" s="31"/>
      <c r="AD84">
        <v>42</v>
      </c>
      <c r="AE84" t="s">
        <v>794</v>
      </c>
      <c r="AF84" s="31">
        <v>45700</v>
      </c>
      <c r="AG84" s="61">
        <v>0.45228009259259261</v>
      </c>
      <c r="AI84" t="s">
        <v>795</v>
      </c>
      <c r="AJ84" s="31">
        <v>45742</v>
      </c>
      <c r="AK84" s="61">
        <v>0.73261574074074076</v>
      </c>
      <c r="AL84" t="s">
        <v>867</v>
      </c>
      <c r="AN84" t="s">
        <v>1321</v>
      </c>
      <c r="AP84" t="s">
        <v>794</v>
      </c>
      <c r="AQ84" t="s">
        <v>1322</v>
      </c>
      <c r="AS84" s="31"/>
      <c r="AY84">
        <v>1</v>
      </c>
    </row>
    <row r="85" spans="1:51" x14ac:dyDescent="0.25">
      <c r="A85" t="s">
        <v>44</v>
      </c>
      <c r="B85">
        <v>233</v>
      </c>
      <c r="D85">
        <v>1747</v>
      </c>
      <c r="G85" t="s">
        <v>1323</v>
      </c>
      <c r="J85" t="s">
        <v>1324</v>
      </c>
      <c r="K85" t="s">
        <v>1324</v>
      </c>
      <c r="L85">
        <v>14996930353</v>
      </c>
      <c r="N85" t="s">
        <v>1326</v>
      </c>
      <c r="Q85" t="s">
        <v>778</v>
      </c>
      <c r="W85" t="s">
        <v>1327</v>
      </c>
      <c r="X85" t="s">
        <v>780</v>
      </c>
      <c r="Y85" t="s">
        <v>816</v>
      </c>
      <c r="AA85" s="31"/>
      <c r="AB85">
        <v>60534</v>
      </c>
      <c r="AC85">
        <v>27562</v>
      </c>
      <c r="AD85">
        <v>18</v>
      </c>
      <c r="AE85" t="s">
        <v>44</v>
      </c>
      <c r="AF85" s="31">
        <v>45701</v>
      </c>
      <c r="AG85" s="61">
        <v>0.4293865740740741</v>
      </c>
      <c r="AI85" t="s">
        <v>818</v>
      </c>
      <c r="AJ85" s="31">
        <v>45719</v>
      </c>
      <c r="AK85" s="61">
        <v>0.4816435185185185</v>
      </c>
      <c r="AO85" t="s">
        <v>1328</v>
      </c>
      <c r="AQ85" t="s">
        <v>1305</v>
      </c>
      <c r="AS85" s="31"/>
      <c r="AY85">
        <v>1</v>
      </c>
    </row>
    <row r="86" spans="1:51" x14ac:dyDescent="0.25">
      <c r="A86" t="s">
        <v>44</v>
      </c>
      <c r="B86">
        <v>234</v>
      </c>
      <c r="D86">
        <v>1748</v>
      </c>
      <c r="G86" t="s">
        <v>1329</v>
      </c>
      <c r="H86">
        <v>26981837000152</v>
      </c>
      <c r="J86" t="s">
        <v>1330</v>
      </c>
      <c r="K86" t="s">
        <v>1330</v>
      </c>
      <c r="L86" t="s">
        <v>1331</v>
      </c>
      <c r="N86" t="s">
        <v>1332</v>
      </c>
      <c r="Q86" t="s">
        <v>778</v>
      </c>
      <c r="R86" t="s">
        <v>1333</v>
      </c>
      <c r="S86" t="s">
        <v>1334</v>
      </c>
      <c r="W86" t="s">
        <v>1327</v>
      </c>
      <c r="X86" t="s">
        <v>780</v>
      </c>
      <c r="Y86" t="s">
        <v>793</v>
      </c>
      <c r="AA86" s="31"/>
      <c r="AB86">
        <v>40440</v>
      </c>
      <c r="AC86">
        <v>340574</v>
      </c>
      <c r="AD86">
        <v>11</v>
      </c>
      <c r="AE86" t="s">
        <v>44</v>
      </c>
      <c r="AF86" s="31">
        <v>45701</v>
      </c>
      <c r="AG86" s="61">
        <v>0.45105324074074082</v>
      </c>
      <c r="AI86" t="s">
        <v>795</v>
      </c>
      <c r="AJ86" s="31">
        <v>45712</v>
      </c>
      <c r="AK86" s="61">
        <v>0.69750000000000001</v>
      </c>
      <c r="AL86" t="s">
        <v>867</v>
      </c>
      <c r="AM86" t="s">
        <v>1335</v>
      </c>
      <c r="AO86" t="s">
        <v>1328</v>
      </c>
      <c r="AQ86" t="s">
        <v>1336</v>
      </c>
      <c r="AS86" s="31"/>
      <c r="AY86">
        <v>1</v>
      </c>
    </row>
    <row r="87" spans="1:51" x14ac:dyDescent="0.25">
      <c r="A87" t="s">
        <v>44</v>
      </c>
      <c r="B87">
        <v>235</v>
      </c>
      <c r="D87">
        <v>1750</v>
      </c>
      <c r="G87" t="s">
        <v>1337</v>
      </c>
      <c r="H87">
        <v>43530585000164</v>
      </c>
      <c r="J87" t="s">
        <v>1338</v>
      </c>
      <c r="K87" t="s">
        <v>1338</v>
      </c>
      <c r="L87" t="s">
        <v>1339</v>
      </c>
      <c r="N87" t="s">
        <v>1340</v>
      </c>
      <c r="Q87" t="s">
        <v>778</v>
      </c>
      <c r="R87" t="s">
        <v>1341</v>
      </c>
      <c r="S87" t="s">
        <v>932</v>
      </c>
      <c r="W87" t="s">
        <v>1327</v>
      </c>
      <c r="X87" t="s">
        <v>780</v>
      </c>
      <c r="Y87" t="s">
        <v>793</v>
      </c>
      <c r="AA87" s="31"/>
      <c r="AB87">
        <v>4663152</v>
      </c>
      <c r="AC87">
        <v>15528</v>
      </c>
      <c r="AD87">
        <v>11</v>
      </c>
      <c r="AE87" t="s">
        <v>44</v>
      </c>
      <c r="AF87" s="31">
        <v>45701</v>
      </c>
      <c r="AG87" s="61">
        <v>0.46368055555555548</v>
      </c>
      <c r="AI87" t="s">
        <v>795</v>
      </c>
      <c r="AJ87" s="31">
        <v>45712</v>
      </c>
      <c r="AK87" s="61">
        <v>0.71800925925925929</v>
      </c>
      <c r="AL87" t="s">
        <v>867</v>
      </c>
      <c r="AM87" t="s">
        <v>1342</v>
      </c>
      <c r="AO87" t="s">
        <v>1343</v>
      </c>
      <c r="AQ87" t="s">
        <v>1336</v>
      </c>
      <c r="AS87" s="31"/>
      <c r="AY87">
        <v>1</v>
      </c>
    </row>
    <row r="88" spans="1:51" x14ac:dyDescent="0.25">
      <c r="A88" t="s">
        <v>44</v>
      </c>
      <c r="B88">
        <v>236</v>
      </c>
      <c r="D88">
        <v>1754</v>
      </c>
      <c r="G88" t="s">
        <v>1344</v>
      </c>
      <c r="H88">
        <v>43530585000164</v>
      </c>
      <c r="J88" t="s">
        <v>1345</v>
      </c>
      <c r="K88" t="s">
        <v>1345</v>
      </c>
      <c r="L88" t="s">
        <v>1339</v>
      </c>
      <c r="N88" t="s">
        <v>1340</v>
      </c>
      <c r="Q88" t="s">
        <v>778</v>
      </c>
      <c r="R88" t="s">
        <v>1341</v>
      </c>
      <c r="S88" t="s">
        <v>932</v>
      </c>
      <c r="W88" t="s">
        <v>1327</v>
      </c>
      <c r="X88" t="s">
        <v>780</v>
      </c>
      <c r="Y88" t="s">
        <v>793</v>
      </c>
      <c r="AA88" s="31"/>
      <c r="AB88">
        <v>23580</v>
      </c>
      <c r="AC88">
        <v>3060</v>
      </c>
      <c r="AD88">
        <v>11</v>
      </c>
      <c r="AE88" t="s">
        <v>44</v>
      </c>
      <c r="AF88" s="31">
        <v>45701</v>
      </c>
      <c r="AG88" s="61">
        <v>0.46849537037037042</v>
      </c>
      <c r="AI88" t="s">
        <v>795</v>
      </c>
      <c r="AJ88" s="31">
        <v>45712</v>
      </c>
      <c r="AK88" s="61">
        <v>0.71834490740740742</v>
      </c>
      <c r="AL88" t="s">
        <v>867</v>
      </c>
      <c r="AM88" t="s">
        <v>1342</v>
      </c>
      <c r="AO88" t="s">
        <v>1343</v>
      </c>
      <c r="AQ88" t="s">
        <v>1336</v>
      </c>
      <c r="AS88" s="31"/>
      <c r="AY88">
        <v>1</v>
      </c>
    </row>
    <row r="89" spans="1:51" x14ac:dyDescent="0.25">
      <c r="A89" t="s">
        <v>44</v>
      </c>
      <c r="B89">
        <v>237</v>
      </c>
      <c r="D89">
        <v>1758</v>
      </c>
      <c r="G89" t="s">
        <v>1346</v>
      </c>
      <c r="H89">
        <v>12182313000197</v>
      </c>
      <c r="J89" t="s">
        <v>1347</v>
      </c>
      <c r="K89" t="s">
        <v>1347</v>
      </c>
      <c r="L89" t="s">
        <v>1348</v>
      </c>
      <c r="N89" t="s">
        <v>1349</v>
      </c>
      <c r="Q89" t="s">
        <v>778</v>
      </c>
      <c r="R89" t="s">
        <v>1350</v>
      </c>
      <c r="S89" t="s">
        <v>874</v>
      </c>
      <c r="T89" t="s">
        <v>1068</v>
      </c>
      <c r="W89" t="s">
        <v>1327</v>
      </c>
      <c r="X89" t="s">
        <v>780</v>
      </c>
      <c r="Y89" t="s">
        <v>793</v>
      </c>
      <c r="Z89" t="s">
        <v>817</v>
      </c>
      <c r="AA89" s="31"/>
      <c r="AB89">
        <v>85500</v>
      </c>
      <c r="AC89">
        <v>769354</v>
      </c>
      <c r="AD89">
        <v>62</v>
      </c>
      <c r="AE89" t="s">
        <v>44</v>
      </c>
      <c r="AF89" s="31">
        <v>45701</v>
      </c>
      <c r="AG89" s="61">
        <v>0.47734953703703698</v>
      </c>
      <c r="AI89" t="s">
        <v>795</v>
      </c>
      <c r="AJ89" s="31">
        <v>45763</v>
      </c>
      <c r="AK89" s="61">
        <v>0.39438657407407413</v>
      </c>
      <c r="AL89" t="s">
        <v>796</v>
      </c>
      <c r="AM89" t="s">
        <v>1351</v>
      </c>
      <c r="AO89" t="s">
        <v>1352</v>
      </c>
      <c r="AQ89" t="s">
        <v>1305</v>
      </c>
      <c r="AS89" s="31"/>
      <c r="AY89">
        <v>1</v>
      </c>
    </row>
    <row r="90" spans="1:51" x14ac:dyDescent="0.25">
      <c r="A90" t="s">
        <v>22</v>
      </c>
      <c r="B90">
        <v>242</v>
      </c>
      <c r="D90">
        <v>1746</v>
      </c>
      <c r="G90" t="s">
        <v>1353</v>
      </c>
      <c r="H90">
        <v>865166000170</v>
      </c>
      <c r="J90" t="s">
        <v>1354</v>
      </c>
      <c r="K90" t="s">
        <v>1354</v>
      </c>
      <c r="L90" t="s">
        <v>1355</v>
      </c>
      <c r="N90" t="s">
        <v>1356</v>
      </c>
      <c r="Q90" t="s">
        <v>778</v>
      </c>
      <c r="R90" t="s">
        <v>1104</v>
      </c>
      <c r="T90" t="s">
        <v>814</v>
      </c>
      <c r="W90" t="s">
        <v>1357</v>
      </c>
      <c r="X90" t="s">
        <v>780</v>
      </c>
      <c r="Y90" t="s">
        <v>807</v>
      </c>
      <c r="AA90" s="31"/>
      <c r="AD90">
        <v>25</v>
      </c>
      <c r="AE90" t="s">
        <v>22</v>
      </c>
      <c r="AF90" s="31">
        <v>45701</v>
      </c>
      <c r="AG90" s="61">
        <v>0.73598379629629629</v>
      </c>
      <c r="AI90" t="s">
        <v>795</v>
      </c>
      <c r="AJ90" s="31">
        <v>45726</v>
      </c>
      <c r="AK90" s="61">
        <v>0.73435185185185181</v>
      </c>
      <c r="AL90" t="s">
        <v>1358</v>
      </c>
      <c r="AP90" t="s">
        <v>22</v>
      </c>
      <c r="AQ90" t="s">
        <v>1359</v>
      </c>
      <c r="AS90" s="31"/>
      <c r="AY90">
        <v>1</v>
      </c>
    </row>
    <row r="91" spans="1:51" x14ac:dyDescent="0.25">
      <c r="A91" t="s">
        <v>22</v>
      </c>
      <c r="B91">
        <v>245</v>
      </c>
      <c r="D91">
        <v>1763</v>
      </c>
      <c r="G91" t="s">
        <v>1360</v>
      </c>
      <c r="H91">
        <v>30164963000191</v>
      </c>
      <c r="J91" t="s">
        <v>1361</v>
      </c>
      <c r="K91" t="s">
        <v>1361</v>
      </c>
      <c r="L91" t="s">
        <v>1362</v>
      </c>
      <c r="N91" t="s">
        <v>1363</v>
      </c>
      <c r="Q91" t="s">
        <v>778</v>
      </c>
      <c r="R91" t="s">
        <v>923</v>
      </c>
      <c r="T91" t="s">
        <v>814</v>
      </c>
      <c r="W91" t="s">
        <v>1291</v>
      </c>
      <c r="X91" t="s">
        <v>780</v>
      </c>
      <c r="Y91" t="s">
        <v>816</v>
      </c>
      <c r="AA91" s="31"/>
      <c r="AB91">
        <v>46332</v>
      </c>
      <c r="AC91">
        <v>257546</v>
      </c>
      <c r="AD91">
        <v>35</v>
      </c>
      <c r="AE91" t="s">
        <v>22</v>
      </c>
      <c r="AF91" s="31">
        <v>45702</v>
      </c>
      <c r="AG91" s="61">
        <v>0.46055555555555561</v>
      </c>
      <c r="AI91" t="s">
        <v>818</v>
      </c>
      <c r="AJ91" s="31">
        <v>45737</v>
      </c>
      <c r="AK91" s="61">
        <v>0.61858796296296292</v>
      </c>
      <c r="AO91" t="s">
        <v>1364</v>
      </c>
      <c r="AP91" t="s">
        <v>22</v>
      </c>
      <c r="AQ91" t="s">
        <v>1359</v>
      </c>
      <c r="AS91" s="31"/>
      <c r="AY91">
        <v>1</v>
      </c>
    </row>
    <row r="92" spans="1:51" x14ac:dyDescent="0.25">
      <c r="A92" t="s">
        <v>22</v>
      </c>
      <c r="B92">
        <v>246</v>
      </c>
      <c r="D92">
        <v>1768</v>
      </c>
      <c r="G92" t="s">
        <v>1365</v>
      </c>
      <c r="J92" t="s">
        <v>1366</v>
      </c>
      <c r="K92" t="s">
        <v>1366</v>
      </c>
      <c r="L92">
        <v>11951945790</v>
      </c>
      <c r="N92" t="s">
        <v>1297</v>
      </c>
      <c r="Q92" t="s">
        <v>778</v>
      </c>
      <c r="X92" t="s">
        <v>780</v>
      </c>
      <c r="Y92" t="s">
        <v>816</v>
      </c>
      <c r="AA92" s="31"/>
      <c r="AB92">
        <v>0</v>
      </c>
      <c r="AC92">
        <v>3062</v>
      </c>
      <c r="AD92">
        <v>0</v>
      </c>
      <c r="AE92" t="s">
        <v>22</v>
      </c>
      <c r="AF92" s="31">
        <v>45702</v>
      </c>
      <c r="AG92" s="61">
        <v>0.4742939814814815</v>
      </c>
      <c r="AI92" t="s">
        <v>818</v>
      </c>
      <c r="AJ92" s="31">
        <v>45702</v>
      </c>
      <c r="AK92" s="61">
        <v>0.47730324074074082</v>
      </c>
      <c r="AO92" t="s">
        <v>1328</v>
      </c>
      <c r="AP92" t="s">
        <v>22</v>
      </c>
      <c r="AQ92" t="s">
        <v>1328</v>
      </c>
      <c r="AS92" s="31"/>
      <c r="AY92">
        <v>1</v>
      </c>
    </row>
    <row r="93" spans="1:51" x14ac:dyDescent="0.25">
      <c r="A93" t="s">
        <v>22</v>
      </c>
      <c r="B93">
        <v>248</v>
      </c>
      <c r="D93">
        <v>1770</v>
      </c>
      <c r="G93" t="s">
        <v>1367</v>
      </c>
      <c r="J93" t="s">
        <v>1368</v>
      </c>
      <c r="K93" t="s">
        <v>1368</v>
      </c>
      <c r="L93">
        <v>11941743784</v>
      </c>
      <c r="N93" t="s">
        <v>1370</v>
      </c>
      <c r="Q93" t="s">
        <v>778</v>
      </c>
      <c r="T93" t="s">
        <v>1068</v>
      </c>
      <c r="W93" t="s">
        <v>1327</v>
      </c>
      <c r="X93" t="s">
        <v>780</v>
      </c>
      <c r="Y93" t="s">
        <v>807</v>
      </c>
      <c r="Z93" t="s">
        <v>817</v>
      </c>
      <c r="AA93" s="31"/>
      <c r="AB93">
        <v>64600</v>
      </c>
      <c r="AC93">
        <v>199064</v>
      </c>
      <c r="AD93">
        <v>53</v>
      </c>
      <c r="AE93" t="s">
        <v>22</v>
      </c>
      <c r="AF93" s="31">
        <v>45702</v>
      </c>
      <c r="AG93" s="61">
        <v>0.67921296296296296</v>
      </c>
      <c r="AI93" t="s">
        <v>795</v>
      </c>
      <c r="AJ93" s="31">
        <v>45755</v>
      </c>
      <c r="AK93" s="61">
        <v>0.37805555555555548</v>
      </c>
      <c r="AL93" t="s">
        <v>858</v>
      </c>
      <c r="AO93" t="s">
        <v>1343</v>
      </c>
      <c r="AQ93" t="s">
        <v>1328</v>
      </c>
      <c r="AS93" s="31"/>
      <c r="AY93">
        <v>1</v>
      </c>
    </row>
    <row r="94" spans="1:51" x14ac:dyDescent="0.25">
      <c r="A94" t="s">
        <v>22</v>
      </c>
      <c r="B94">
        <v>249</v>
      </c>
      <c r="D94">
        <v>1771</v>
      </c>
      <c r="G94" t="s">
        <v>1371</v>
      </c>
      <c r="J94" t="s">
        <v>1372</v>
      </c>
      <c r="K94" t="s">
        <v>1372</v>
      </c>
      <c r="L94">
        <v>11996600206</v>
      </c>
      <c r="N94" t="s">
        <v>1111</v>
      </c>
      <c r="Q94" t="s">
        <v>778</v>
      </c>
      <c r="T94" t="s">
        <v>933</v>
      </c>
      <c r="W94" t="s">
        <v>1327</v>
      </c>
      <c r="X94" t="s">
        <v>780</v>
      </c>
      <c r="Y94" t="s">
        <v>807</v>
      </c>
      <c r="Z94" t="s">
        <v>817</v>
      </c>
      <c r="AA94" s="31"/>
      <c r="AB94">
        <v>16000</v>
      </c>
      <c r="AC94">
        <v>3724</v>
      </c>
      <c r="AD94">
        <v>116</v>
      </c>
      <c r="AE94" t="s">
        <v>22</v>
      </c>
      <c r="AF94" s="31">
        <v>45702</v>
      </c>
      <c r="AG94" s="61">
        <v>0.68333333333333335</v>
      </c>
      <c r="AI94" t="s">
        <v>795</v>
      </c>
      <c r="AJ94" s="31">
        <v>45818</v>
      </c>
      <c r="AK94" s="61">
        <v>0.61789351851851848</v>
      </c>
      <c r="AL94" t="s">
        <v>858</v>
      </c>
      <c r="AO94" t="s">
        <v>1374</v>
      </c>
      <c r="AP94" t="s">
        <v>22</v>
      </c>
      <c r="AQ94" t="s">
        <v>1343</v>
      </c>
      <c r="AS94" s="31"/>
      <c r="AY94">
        <v>1</v>
      </c>
    </row>
    <row r="95" spans="1:51" x14ac:dyDescent="0.25">
      <c r="A95" t="s">
        <v>22</v>
      </c>
      <c r="B95">
        <v>250</v>
      </c>
      <c r="D95">
        <v>1772</v>
      </c>
      <c r="G95" t="s">
        <v>1375</v>
      </c>
      <c r="J95" t="s">
        <v>1239</v>
      </c>
      <c r="K95" t="s">
        <v>1239</v>
      </c>
      <c r="L95">
        <v>11981721166</v>
      </c>
      <c r="N95" t="s">
        <v>1111</v>
      </c>
      <c r="Q95" t="s">
        <v>778</v>
      </c>
      <c r="T95" t="s">
        <v>1068</v>
      </c>
      <c r="W95" t="s">
        <v>1377</v>
      </c>
      <c r="X95" t="s">
        <v>780</v>
      </c>
      <c r="Y95" t="s">
        <v>857</v>
      </c>
      <c r="Z95" t="s">
        <v>817</v>
      </c>
      <c r="AA95" s="31">
        <v>46935</v>
      </c>
      <c r="AD95">
        <v>208</v>
      </c>
      <c r="AE95" t="s">
        <v>22</v>
      </c>
      <c r="AF95" s="31">
        <v>45702</v>
      </c>
      <c r="AG95" s="61">
        <v>0.68557870370370366</v>
      </c>
      <c r="AI95" t="s">
        <v>795</v>
      </c>
      <c r="AJ95" s="31">
        <v>45910</v>
      </c>
      <c r="AK95" s="61">
        <v>0.6743055555555556</v>
      </c>
      <c r="AL95" t="s">
        <v>796</v>
      </c>
      <c r="AP95" t="s">
        <v>22</v>
      </c>
      <c r="AQ95" t="s">
        <v>1378</v>
      </c>
      <c r="AS95" s="31"/>
      <c r="AY95">
        <v>1</v>
      </c>
    </row>
    <row r="96" spans="1:51" x14ac:dyDescent="0.25">
      <c r="A96" t="s">
        <v>22</v>
      </c>
      <c r="B96">
        <v>253</v>
      </c>
      <c r="D96">
        <v>1776</v>
      </c>
      <c r="G96" t="s">
        <v>1379</v>
      </c>
      <c r="J96" t="s">
        <v>1380</v>
      </c>
      <c r="K96" t="s">
        <v>1380</v>
      </c>
      <c r="L96">
        <v>31984513164</v>
      </c>
      <c r="N96" t="s">
        <v>1111</v>
      </c>
      <c r="Q96" t="s">
        <v>778</v>
      </c>
      <c r="T96" t="s">
        <v>1068</v>
      </c>
      <c r="W96" t="s">
        <v>1382</v>
      </c>
      <c r="X96" t="s">
        <v>780</v>
      </c>
      <c r="Y96" t="s">
        <v>807</v>
      </c>
      <c r="Z96" t="s">
        <v>817</v>
      </c>
      <c r="AA96" s="31">
        <v>46037</v>
      </c>
      <c r="AB96">
        <v>48000</v>
      </c>
      <c r="AC96">
        <v>1690959</v>
      </c>
      <c r="AD96">
        <v>299</v>
      </c>
      <c r="AE96" t="s">
        <v>22</v>
      </c>
      <c r="AF96" s="31">
        <v>45702</v>
      </c>
      <c r="AG96" s="61">
        <v>0.72782407407407412</v>
      </c>
      <c r="AI96" t="s">
        <v>795</v>
      </c>
      <c r="AJ96" s="31">
        <v>46001</v>
      </c>
      <c r="AK96" s="61">
        <v>0.71494212962962966</v>
      </c>
      <c r="AL96" t="s">
        <v>858</v>
      </c>
      <c r="AO96" t="s">
        <v>1383</v>
      </c>
      <c r="AP96" t="s">
        <v>22</v>
      </c>
      <c r="AQ96" t="s">
        <v>1359</v>
      </c>
      <c r="AS96" s="31"/>
      <c r="AY96">
        <v>1</v>
      </c>
    </row>
    <row r="97" spans="1:51" x14ac:dyDescent="0.25">
      <c r="A97" t="s">
        <v>22</v>
      </c>
      <c r="B97">
        <v>254</v>
      </c>
      <c r="D97">
        <v>1777</v>
      </c>
      <c r="G97" t="s">
        <v>1384</v>
      </c>
      <c r="J97" t="s">
        <v>1385</v>
      </c>
      <c r="K97" t="s">
        <v>1385</v>
      </c>
      <c r="L97">
        <v>11947392525</v>
      </c>
      <c r="N97" t="s">
        <v>1111</v>
      </c>
      <c r="Q97" t="s">
        <v>778</v>
      </c>
      <c r="T97" t="s">
        <v>1068</v>
      </c>
      <c r="W97" t="s">
        <v>1327</v>
      </c>
      <c r="X97" t="s">
        <v>780</v>
      </c>
      <c r="Y97" t="s">
        <v>897</v>
      </c>
      <c r="Z97" t="s">
        <v>817</v>
      </c>
      <c r="AA97" s="31"/>
      <c r="AD97">
        <v>40</v>
      </c>
      <c r="AE97" t="s">
        <v>22</v>
      </c>
      <c r="AF97" s="31">
        <v>45702</v>
      </c>
      <c r="AG97" s="61">
        <v>0.73282407407407413</v>
      </c>
      <c r="AI97" t="s">
        <v>795</v>
      </c>
      <c r="AJ97" s="31">
        <v>45742</v>
      </c>
      <c r="AK97" s="61">
        <v>0.72969907407407408</v>
      </c>
      <c r="AL97" t="s">
        <v>1226</v>
      </c>
      <c r="AQ97" t="s">
        <v>1359</v>
      </c>
      <c r="AS97" s="31"/>
      <c r="AY97">
        <v>1</v>
      </c>
    </row>
    <row r="98" spans="1:51" x14ac:dyDescent="0.25">
      <c r="A98" t="s">
        <v>22</v>
      </c>
      <c r="B98">
        <v>255</v>
      </c>
      <c r="D98">
        <v>1778</v>
      </c>
      <c r="G98" t="s">
        <v>1387</v>
      </c>
      <c r="J98" t="s">
        <v>1388</v>
      </c>
      <c r="K98" t="s">
        <v>1388</v>
      </c>
      <c r="L98">
        <v>54981340574</v>
      </c>
      <c r="N98" t="s">
        <v>1111</v>
      </c>
      <c r="Q98" t="s">
        <v>778</v>
      </c>
      <c r="T98" t="s">
        <v>1068</v>
      </c>
      <c r="W98" t="s">
        <v>1327</v>
      </c>
      <c r="X98" t="s">
        <v>780</v>
      </c>
      <c r="Y98" t="s">
        <v>897</v>
      </c>
      <c r="Z98" t="s">
        <v>817</v>
      </c>
      <c r="AA98" s="31"/>
      <c r="AD98">
        <v>116</v>
      </c>
      <c r="AE98" t="s">
        <v>22</v>
      </c>
      <c r="AF98" s="31">
        <v>45702</v>
      </c>
      <c r="AG98" s="61">
        <v>0.73409722222222218</v>
      </c>
      <c r="AI98" t="s">
        <v>795</v>
      </c>
      <c r="AJ98" s="31">
        <v>45818</v>
      </c>
      <c r="AK98" s="61">
        <v>0.61849537037037039</v>
      </c>
      <c r="AL98" t="s">
        <v>796</v>
      </c>
      <c r="AQ98" t="s">
        <v>1378</v>
      </c>
      <c r="AS98" s="31"/>
      <c r="AY98">
        <v>1</v>
      </c>
    </row>
    <row r="99" spans="1:51" x14ac:dyDescent="0.25">
      <c r="A99" t="s">
        <v>22</v>
      </c>
      <c r="B99">
        <v>256</v>
      </c>
      <c r="D99">
        <v>1781</v>
      </c>
      <c r="G99" t="s">
        <v>1390</v>
      </c>
      <c r="J99" t="s">
        <v>1391</v>
      </c>
      <c r="K99" t="s">
        <v>1391</v>
      </c>
      <c r="L99">
        <v>38998346343</v>
      </c>
      <c r="N99" t="s">
        <v>1393</v>
      </c>
      <c r="Q99" t="s">
        <v>778</v>
      </c>
      <c r="T99" t="s">
        <v>933</v>
      </c>
      <c r="X99" t="s">
        <v>780</v>
      </c>
      <c r="Y99" t="s">
        <v>857</v>
      </c>
      <c r="Z99" t="s">
        <v>817</v>
      </c>
      <c r="AA99" s="31"/>
      <c r="AD99">
        <v>37</v>
      </c>
      <c r="AE99" t="s">
        <v>22</v>
      </c>
      <c r="AF99" s="31">
        <v>45705</v>
      </c>
      <c r="AG99" s="61">
        <v>0.51423611111111112</v>
      </c>
      <c r="AI99" t="s">
        <v>795</v>
      </c>
      <c r="AJ99" s="31">
        <v>45742</v>
      </c>
      <c r="AK99" s="61">
        <v>0.73364583333333333</v>
      </c>
      <c r="AL99" t="s">
        <v>858</v>
      </c>
      <c r="AO99" t="s">
        <v>1378</v>
      </c>
      <c r="AP99" t="s">
        <v>22</v>
      </c>
      <c r="AQ99" t="s">
        <v>1378</v>
      </c>
      <c r="AS99" s="31"/>
      <c r="AY99">
        <v>1</v>
      </c>
    </row>
    <row r="100" spans="1:51" x14ac:dyDescent="0.25">
      <c r="A100" t="s">
        <v>22</v>
      </c>
      <c r="B100">
        <v>257</v>
      </c>
      <c r="D100">
        <v>1780</v>
      </c>
      <c r="G100" t="s">
        <v>1394</v>
      </c>
      <c r="J100" t="s">
        <v>1395</v>
      </c>
      <c r="K100" t="s">
        <v>1395</v>
      </c>
      <c r="L100" t="s">
        <v>1396</v>
      </c>
      <c r="N100" t="s">
        <v>1397</v>
      </c>
      <c r="Q100" t="s">
        <v>778</v>
      </c>
      <c r="R100" t="s">
        <v>1398</v>
      </c>
      <c r="T100" t="s">
        <v>814</v>
      </c>
      <c r="W100" t="s">
        <v>1399</v>
      </c>
      <c r="X100" t="s">
        <v>780</v>
      </c>
      <c r="Y100" t="s">
        <v>807</v>
      </c>
      <c r="Z100" t="s">
        <v>817</v>
      </c>
      <c r="AA100" s="31"/>
      <c r="AB100">
        <v>1234935</v>
      </c>
      <c r="AC100">
        <v>833725</v>
      </c>
      <c r="AD100">
        <v>113</v>
      </c>
      <c r="AE100" t="s">
        <v>22</v>
      </c>
      <c r="AF100" s="31">
        <v>45705</v>
      </c>
      <c r="AG100" s="61">
        <v>0.53861111111111115</v>
      </c>
      <c r="AI100" t="s">
        <v>795</v>
      </c>
      <c r="AJ100" s="31">
        <v>45818</v>
      </c>
      <c r="AK100" s="61">
        <v>0.60993055555555553</v>
      </c>
      <c r="AL100" t="s">
        <v>974</v>
      </c>
      <c r="AO100" t="s">
        <v>1378</v>
      </c>
      <c r="AP100" t="s">
        <v>22</v>
      </c>
      <c r="AQ100" t="s">
        <v>1378</v>
      </c>
      <c r="AS100" s="31"/>
      <c r="AY100">
        <v>1</v>
      </c>
    </row>
    <row r="101" spans="1:51" x14ac:dyDescent="0.25">
      <c r="A101" t="s">
        <v>22</v>
      </c>
      <c r="B101">
        <v>258</v>
      </c>
      <c r="D101">
        <v>1782</v>
      </c>
      <c r="G101" t="s">
        <v>1400</v>
      </c>
      <c r="J101" t="s">
        <v>1401</v>
      </c>
      <c r="K101" t="s">
        <v>1401</v>
      </c>
      <c r="L101">
        <v>73999081706</v>
      </c>
      <c r="N101" t="s">
        <v>1403</v>
      </c>
      <c r="Q101" t="s">
        <v>778</v>
      </c>
      <c r="W101" t="s">
        <v>1327</v>
      </c>
      <c r="X101" t="s">
        <v>780</v>
      </c>
      <c r="Y101" t="s">
        <v>807</v>
      </c>
      <c r="AA101" s="31"/>
      <c r="AD101">
        <v>21</v>
      </c>
      <c r="AE101" t="s">
        <v>22</v>
      </c>
      <c r="AF101" s="31">
        <v>45705</v>
      </c>
      <c r="AG101" s="61">
        <v>0.54</v>
      </c>
      <c r="AI101" t="s">
        <v>795</v>
      </c>
      <c r="AJ101" s="31">
        <v>45726</v>
      </c>
      <c r="AK101" s="61">
        <v>0.73636574074074079</v>
      </c>
      <c r="AL101" t="s">
        <v>867</v>
      </c>
      <c r="AO101" t="s">
        <v>1378</v>
      </c>
      <c r="AP101" t="s">
        <v>22</v>
      </c>
      <c r="AQ101" t="s">
        <v>1378</v>
      </c>
      <c r="AS101" s="31"/>
      <c r="AY101">
        <v>1</v>
      </c>
    </row>
    <row r="102" spans="1:51" x14ac:dyDescent="0.25">
      <c r="A102" t="s">
        <v>22</v>
      </c>
      <c r="B102">
        <v>259</v>
      </c>
      <c r="D102">
        <v>1783</v>
      </c>
      <c r="G102" t="s">
        <v>1404</v>
      </c>
      <c r="J102" t="s">
        <v>1405</v>
      </c>
      <c r="K102" t="s">
        <v>1405</v>
      </c>
      <c r="L102">
        <v>11997681796</v>
      </c>
      <c r="N102" t="s">
        <v>1111</v>
      </c>
      <c r="Q102" t="s">
        <v>778</v>
      </c>
      <c r="T102" t="s">
        <v>1068</v>
      </c>
      <c r="W102" t="s">
        <v>1407</v>
      </c>
      <c r="X102" t="s">
        <v>780</v>
      </c>
      <c r="Y102" t="s">
        <v>897</v>
      </c>
      <c r="Z102" t="s">
        <v>817</v>
      </c>
      <c r="AA102" s="31"/>
      <c r="AD102">
        <v>75</v>
      </c>
      <c r="AE102" t="s">
        <v>22</v>
      </c>
      <c r="AF102" s="31">
        <v>45705</v>
      </c>
      <c r="AG102" s="61">
        <v>0.55487268518518518</v>
      </c>
      <c r="AI102" t="s">
        <v>795</v>
      </c>
      <c r="AJ102" s="31">
        <v>45780</v>
      </c>
      <c r="AK102" s="61">
        <v>0.45906249999999998</v>
      </c>
      <c r="AL102" t="s">
        <v>796</v>
      </c>
      <c r="AP102" t="s">
        <v>22</v>
      </c>
      <c r="AQ102" t="s">
        <v>1408</v>
      </c>
      <c r="AS102" s="31"/>
      <c r="AY102">
        <v>1</v>
      </c>
    </row>
    <row r="103" spans="1:51" x14ac:dyDescent="0.25">
      <c r="A103" t="s">
        <v>22</v>
      </c>
      <c r="B103">
        <v>260</v>
      </c>
      <c r="D103">
        <v>1785</v>
      </c>
      <c r="G103" t="s">
        <v>1409</v>
      </c>
      <c r="J103" t="s">
        <v>1410</v>
      </c>
      <c r="K103" t="s">
        <v>1410</v>
      </c>
      <c r="L103">
        <v>11964237222</v>
      </c>
      <c r="N103" t="s">
        <v>1111</v>
      </c>
      <c r="Q103" t="s">
        <v>778</v>
      </c>
      <c r="T103" t="s">
        <v>1068</v>
      </c>
      <c r="W103" t="s">
        <v>1266</v>
      </c>
      <c r="X103" t="s">
        <v>780</v>
      </c>
      <c r="Y103" t="s">
        <v>897</v>
      </c>
      <c r="Z103" t="s">
        <v>817</v>
      </c>
      <c r="AA103" s="31"/>
      <c r="AD103">
        <v>37</v>
      </c>
      <c r="AE103" t="s">
        <v>22</v>
      </c>
      <c r="AF103" s="31">
        <v>45705</v>
      </c>
      <c r="AG103" s="61">
        <v>0.55835648148148154</v>
      </c>
      <c r="AI103" t="s">
        <v>795</v>
      </c>
      <c r="AJ103" s="31">
        <v>45742</v>
      </c>
      <c r="AK103" s="61">
        <v>0.73165509259259254</v>
      </c>
      <c r="AL103" t="s">
        <v>867</v>
      </c>
      <c r="AP103" t="s">
        <v>22</v>
      </c>
      <c r="AQ103" t="s">
        <v>1408</v>
      </c>
      <c r="AS103" s="31"/>
      <c r="AY103">
        <v>1</v>
      </c>
    </row>
    <row r="104" spans="1:51" x14ac:dyDescent="0.25">
      <c r="A104" t="s">
        <v>44</v>
      </c>
      <c r="B104">
        <v>261</v>
      </c>
      <c r="D104">
        <v>1786</v>
      </c>
      <c r="G104" t="s">
        <v>1412</v>
      </c>
      <c r="J104" t="s">
        <v>1413</v>
      </c>
      <c r="K104" t="s">
        <v>1413</v>
      </c>
      <c r="L104">
        <v>49991999161</v>
      </c>
      <c r="N104" t="s">
        <v>1340</v>
      </c>
      <c r="Q104" t="s">
        <v>778</v>
      </c>
      <c r="W104" t="s">
        <v>1327</v>
      </c>
      <c r="X104" t="s">
        <v>780</v>
      </c>
      <c r="Y104" t="s">
        <v>793</v>
      </c>
      <c r="AA104" s="31"/>
      <c r="AB104">
        <v>1600</v>
      </c>
      <c r="AC104">
        <v>2101</v>
      </c>
      <c r="AD104">
        <v>7</v>
      </c>
      <c r="AE104" t="s">
        <v>44</v>
      </c>
      <c r="AF104" s="31">
        <v>45705</v>
      </c>
      <c r="AG104" s="61">
        <v>0.62410879629629634</v>
      </c>
      <c r="AI104" t="s">
        <v>795</v>
      </c>
      <c r="AJ104" s="31">
        <v>45712</v>
      </c>
      <c r="AK104" s="61">
        <v>0.71869212962962958</v>
      </c>
      <c r="AL104" t="s">
        <v>867</v>
      </c>
      <c r="AM104" t="s">
        <v>1342</v>
      </c>
      <c r="AO104" t="s">
        <v>1343</v>
      </c>
      <c r="AQ104" t="s">
        <v>1336</v>
      </c>
      <c r="AS104" s="31"/>
      <c r="AY104">
        <v>1</v>
      </c>
    </row>
    <row r="105" spans="1:51" x14ac:dyDescent="0.25">
      <c r="A105" t="s">
        <v>22</v>
      </c>
      <c r="B105">
        <v>263</v>
      </c>
      <c r="D105">
        <v>1790</v>
      </c>
      <c r="E105" t="s">
        <v>1415</v>
      </c>
      <c r="G105" t="s">
        <v>1416</v>
      </c>
      <c r="J105" t="s">
        <v>1417</v>
      </c>
      <c r="K105" t="s">
        <v>1417</v>
      </c>
      <c r="L105">
        <v>11914779683</v>
      </c>
      <c r="N105" t="s">
        <v>1111</v>
      </c>
      <c r="Q105" t="s">
        <v>778</v>
      </c>
      <c r="T105" t="s">
        <v>791</v>
      </c>
      <c r="W105" t="s">
        <v>1419</v>
      </c>
      <c r="X105" t="s">
        <v>780</v>
      </c>
      <c r="Y105" t="s">
        <v>793</v>
      </c>
      <c r="Z105" t="s">
        <v>817</v>
      </c>
      <c r="AA105" s="31">
        <v>46053</v>
      </c>
      <c r="AD105">
        <v>364</v>
      </c>
      <c r="AE105" t="s">
        <v>22</v>
      </c>
      <c r="AF105" s="31">
        <v>45706</v>
      </c>
      <c r="AG105" s="61">
        <v>0.41710648148148149</v>
      </c>
      <c r="AI105" t="s">
        <v>795</v>
      </c>
      <c r="AJ105" s="31">
        <v>46070</v>
      </c>
      <c r="AK105" s="61">
        <v>0.60356481481481483</v>
      </c>
      <c r="AL105" t="s">
        <v>796</v>
      </c>
      <c r="AM105" t="s">
        <v>1420</v>
      </c>
      <c r="AO105" t="s">
        <v>1421</v>
      </c>
      <c r="AP105" t="s">
        <v>22</v>
      </c>
      <c r="AQ105" t="s">
        <v>1422</v>
      </c>
      <c r="AR105" t="s">
        <v>1422</v>
      </c>
      <c r="AS105" s="31">
        <v>46045</v>
      </c>
      <c r="AT105">
        <v>50</v>
      </c>
      <c r="AY105">
        <v>1</v>
      </c>
    </row>
    <row r="106" spans="1:51" x14ac:dyDescent="0.25">
      <c r="A106" t="s">
        <v>44</v>
      </c>
      <c r="B106">
        <v>266</v>
      </c>
      <c r="D106">
        <v>1866</v>
      </c>
      <c r="G106" t="s">
        <v>1424</v>
      </c>
      <c r="H106">
        <v>8652421000109</v>
      </c>
      <c r="J106" t="s">
        <v>1425</v>
      </c>
      <c r="K106" t="s">
        <v>1425</v>
      </c>
      <c r="L106" t="s">
        <v>1426</v>
      </c>
      <c r="N106" t="s">
        <v>1427</v>
      </c>
      <c r="Q106" t="s">
        <v>778</v>
      </c>
      <c r="R106" t="s">
        <v>1428</v>
      </c>
      <c r="S106" t="s">
        <v>1027</v>
      </c>
      <c r="X106" t="s">
        <v>780</v>
      </c>
      <c r="Y106" t="s">
        <v>897</v>
      </c>
      <c r="AA106" s="31"/>
      <c r="AB106">
        <v>14400</v>
      </c>
      <c r="AC106">
        <v>18034</v>
      </c>
      <c r="AD106">
        <v>30</v>
      </c>
      <c r="AE106" t="s">
        <v>44</v>
      </c>
      <c r="AF106" s="31">
        <v>45707</v>
      </c>
      <c r="AG106" s="61">
        <v>0.70996527777777774</v>
      </c>
      <c r="AI106" t="s">
        <v>795</v>
      </c>
      <c r="AJ106" s="31">
        <v>45737</v>
      </c>
      <c r="AK106" s="61">
        <v>0.61376157407407406</v>
      </c>
      <c r="AL106" t="s">
        <v>858</v>
      </c>
      <c r="AM106" t="s">
        <v>1429</v>
      </c>
      <c r="AO106" t="s">
        <v>1430</v>
      </c>
      <c r="AQ106" t="s">
        <v>1430</v>
      </c>
      <c r="AS106" s="31"/>
      <c r="AY106">
        <v>1</v>
      </c>
    </row>
    <row r="107" spans="1:51" x14ac:dyDescent="0.25">
      <c r="A107" t="s">
        <v>44</v>
      </c>
      <c r="B107">
        <v>267</v>
      </c>
      <c r="D107">
        <v>1871</v>
      </c>
      <c r="G107" t="s">
        <v>1431</v>
      </c>
      <c r="H107">
        <v>21969045000149</v>
      </c>
      <c r="J107" t="s">
        <v>1432</v>
      </c>
      <c r="K107" t="s">
        <v>1432</v>
      </c>
      <c r="L107" t="s">
        <v>1433</v>
      </c>
      <c r="N107" t="s">
        <v>1434</v>
      </c>
      <c r="Q107" t="s">
        <v>778</v>
      </c>
      <c r="R107" t="s">
        <v>1435</v>
      </c>
      <c r="S107" t="s">
        <v>790</v>
      </c>
      <c r="T107" t="s">
        <v>1068</v>
      </c>
      <c r="W107" t="s">
        <v>1266</v>
      </c>
      <c r="X107" t="s">
        <v>780</v>
      </c>
      <c r="Y107" t="s">
        <v>816</v>
      </c>
      <c r="Z107" t="s">
        <v>817</v>
      </c>
      <c r="AA107" s="31"/>
      <c r="AB107">
        <v>88000</v>
      </c>
      <c r="AC107">
        <v>450432</v>
      </c>
      <c r="AD107">
        <v>64</v>
      </c>
      <c r="AE107" t="s">
        <v>44</v>
      </c>
      <c r="AF107" s="31">
        <v>45707</v>
      </c>
      <c r="AG107" s="61">
        <v>0.71253472222222225</v>
      </c>
      <c r="AI107" t="s">
        <v>818</v>
      </c>
      <c r="AJ107" s="31">
        <v>45771</v>
      </c>
      <c r="AK107" s="61">
        <v>0.50746527777777772</v>
      </c>
      <c r="AO107" t="s">
        <v>1436</v>
      </c>
      <c r="AS107" s="31"/>
      <c r="AY107">
        <v>1</v>
      </c>
    </row>
    <row r="108" spans="1:51" x14ac:dyDescent="0.25">
      <c r="A108" t="s">
        <v>44</v>
      </c>
      <c r="B108">
        <v>268</v>
      </c>
      <c r="D108">
        <v>1874</v>
      </c>
      <c r="G108" t="s">
        <v>1437</v>
      </c>
      <c r="H108">
        <v>52556578000122</v>
      </c>
      <c r="J108" t="s">
        <v>1438</v>
      </c>
      <c r="K108" t="s">
        <v>1438</v>
      </c>
      <c r="L108" t="s">
        <v>1439</v>
      </c>
      <c r="N108" t="s">
        <v>1440</v>
      </c>
      <c r="Q108" t="s">
        <v>778</v>
      </c>
      <c r="R108" t="s">
        <v>1441</v>
      </c>
      <c r="S108" t="s">
        <v>790</v>
      </c>
      <c r="T108" t="s">
        <v>1068</v>
      </c>
      <c r="W108" t="s">
        <v>1266</v>
      </c>
      <c r="X108" t="s">
        <v>780</v>
      </c>
      <c r="Y108" t="s">
        <v>897</v>
      </c>
      <c r="Z108" t="s">
        <v>817</v>
      </c>
      <c r="AA108" s="31"/>
      <c r="AD108">
        <v>54</v>
      </c>
      <c r="AE108" t="s">
        <v>44</v>
      </c>
      <c r="AF108" s="31">
        <v>45708</v>
      </c>
      <c r="AG108" s="61">
        <v>0.44270833333333331</v>
      </c>
      <c r="AI108" t="s">
        <v>795</v>
      </c>
      <c r="AJ108" s="31">
        <v>45762</v>
      </c>
      <c r="AK108" s="61">
        <v>0.69423611111111116</v>
      </c>
      <c r="AL108" t="s">
        <v>796</v>
      </c>
      <c r="AM108" t="s">
        <v>1442</v>
      </c>
      <c r="AS108" s="31"/>
      <c r="AY108">
        <v>1</v>
      </c>
    </row>
    <row r="109" spans="1:51" x14ac:dyDescent="0.25">
      <c r="A109" t="s">
        <v>44</v>
      </c>
      <c r="B109">
        <v>270</v>
      </c>
      <c r="C109">
        <v>167</v>
      </c>
      <c r="D109">
        <v>1880</v>
      </c>
      <c r="G109" t="s">
        <v>1443</v>
      </c>
      <c r="H109">
        <v>7973104000121</v>
      </c>
      <c r="I109" t="s">
        <v>979</v>
      </c>
      <c r="J109" t="s">
        <v>1444</v>
      </c>
      <c r="K109" t="s">
        <v>1444</v>
      </c>
      <c r="L109">
        <v>47999949301</v>
      </c>
      <c r="N109" t="s">
        <v>982</v>
      </c>
      <c r="Q109" t="s">
        <v>778</v>
      </c>
      <c r="R109" t="s">
        <v>983</v>
      </c>
      <c r="S109" t="s">
        <v>932</v>
      </c>
      <c r="X109" t="s">
        <v>780</v>
      </c>
      <c r="Y109" t="s">
        <v>816</v>
      </c>
      <c r="AA109" s="31"/>
      <c r="AB109">
        <v>0</v>
      </c>
      <c r="AC109">
        <v>49896</v>
      </c>
      <c r="AD109">
        <v>11</v>
      </c>
      <c r="AE109" t="s">
        <v>44</v>
      </c>
      <c r="AF109" s="31">
        <v>45708</v>
      </c>
      <c r="AG109" s="61">
        <v>0.48841435185185178</v>
      </c>
      <c r="AI109" t="s">
        <v>818</v>
      </c>
      <c r="AJ109" s="31">
        <v>45719</v>
      </c>
      <c r="AK109" s="61">
        <v>0.48200231481481481</v>
      </c>
      <c r="AO109" t="s">
        <v>1436</v>
      </c>
      <c r="AS109" s="31"/>
      <c r="AY109">
        <v>1</v>
      </c>
    </row>
    <row r="110" spans="1:51" x14ac:dyDescent="0.25">
      <c r="A110" t="s">
        <v>44</v>
      </c>
      <c r="B110">
        <v>272</v>
      </c>
      <c r="D110">
        <v>1882</v>
      </c>
      <c r="G110" t="s">
        <v>1445</v>
      </c>
      <c r="J110" t="s">
        <v>1445</v>
      </c>
      <c r="K110" t="s">
        <v>1445</v>
      </c>
      <c r="L110">
        <v>31987570994</v>
      </c>
      <c r="N110" t="s">
        <v>1447</v>
      </c>
      <c r="Q110" t="s">
        <v>778</v>
      </c>
      <c r="T110" t="s">
        <v>1068</v>
      </c>
      <c r="W110" t="s">
        <v>1327</v>
      </c>
      <c r="X110" t="s">
        <v>780</v>
      </c>
      <c r="Y110" t="s">
        <v>897</v>
      </c>
      <c r="Z110" t="s">
        <v>817</v>
      </c>
      <c r="AA110" s="31"/>
      <c r="AD110">
        <v>50</v>
      </c>
      <c r="AE110" t="s">
        <v>44</v>
      </c>
      <c r="AF110" s="31">
        <v>45712</v>
      </c>
      <c r="AG110" s="61">
        <v>0.39177083333333329</v>
      </c>
      <c r="AI110" t="s">
        <v>795</v>
      </c>
      <c r="AJ110" s="31">
        <v>45762</v>
      </c>
      <c r="AK110" s="61">
        <v>0.69267361111111114</v>
      </c>
      <c r="AL110" t="s">
        <v>796</v>
      </c>
      <c r="AM110" t="s">
        <v>1448</v>
      </c>
      <c r="AQ110" t="s">
        <v>1262</v>
      </c>
      <c r="AS110" s="31"/>
      <c r="AY110">
        <v>1</v>
      </c>
    </row>
    <row r="111" spans="1:51" x14ac:dyDescent="0.25">
      <c r="A111" t="s">
        <v>31</v>
      </c>
      <c r="B111">
        <v>273</v>
      </c>
      <c r="D111">
        <v>1883</v>
      </c>
      <c r="G111" t="s">
        <v>1449</v>
      </c>
      <c r="J111" t="s">
        <v>1450</v>
      </c>
      <c r="K111" t="s">
        <v>1450</v>
      </c>
      <c r="L111">
        <v>11991554630</v>
      </c>
      <c r="N111" t="s">
        <v>1452</v>
      </c>
      <c r="Q111" t="s">
        <v>778</v>
      </c>
      <c r="T111" t="s">
        <v>1068</v>
      </c>
      <c r="X111" t="s">
        <v>780</v>
      </c>
      <c r="Y111" t="s">
        <v>816</v>
      </c>
      <c r="Z111" t="s">
        <v>817</v>
      </c>
      <c r="AA111" s="31"/>
      <c r="AB111">
        <v>55440</v>
      </c>
      <c r="AC111">
        <v>560465</v>
      </c>
      <c r="AD111">
        <v>39</v>
      </c>
      <c r="AE111" t="s">
        <v>31</v>
      </c>
      <c r="AF111" s="31">
        <v>45712</v>
      </c>
      <c r="AG111" s="61">
        <v>0.66232638888888884</v>
      </c>
      <c r="AI111" t="s">
        <v>795</v>
      </c>
      <c r="AJ111" s="31">
        <v>45751</v>
      </c>
      <c r="AK111" s="61">
        <v>0.64483796296296292</v>
      </c>
      <c r="AL111" t="s">
        <v>867</v>
      </c>
      <c r="AO111" t="s">
        <v>1453</v>
      </c>
      <c r="AP111" t="s">
        <v>31</v>
      </c>
      <c r="AQ111" t="s">
        <v>1454</v>
      </c>
      <c r="AR111" t="s">
        <v>1455</v>
      </c>
      <c r="AS111" s="31"/>
      <c r="AY111">
        <v>1</v>
      </c>
    </row>
    <row r="112" spans="1:51" x14ac:dyDescent="0.25">
      <c r="A112" t="s">
        <v>44</v>
      </c>
      <c r="B112">
        <v>277</v>
      </c>
      <c r="D112">
        <v>1887</v>
      </c>
      <c r="G112" t="s">
        <v>1456</v>
      </c>
      <c r="J112" t="s">
        <v>1457</v>
      </c>
      <c r="K112" t="s">
        <v>1457</v>
      </c>
      <c r="L112">
        <v>19997023116</v>
      </c>
      <c r="N112" t="s">
        <v>1459</v>
      </c>
      <c r="Q112" t="s">
        <v>778</v>
      </c>
      <c r="X112" t="s">
        <v>780</v>
      </c>
      <c r="Y112" t="s">
        <v>816</v>
      </c>
      <c r="AA112" s="31"/>
      <c r="AB112">
        <v>0</v>
      </c>
      <c r="AC112">
        <v>3564</v>
      </c>
      <c r="AD112">
        <v>5</v>
      </c>
      <c r="AE112" t="s">
        <v>44</v>
      </c>
      <c r="AF112" s="31">
        <v>45714</v>
      </c>
      <c r="AG112" s="61">
        <v>0.38343749999999999</v>
      </c>
      <c r="AI112" t="s">
        <v>818</v>
      </c>
      <c r="AJ112" s="31">
        <v>45719</v>
      </c>
      <c r="AK112" s="61">
        <v>0.48221064814814812</v>
      </c>
      <c r="AO112" t="s">
        <v>1460</v>
      </c>
      <c r="AS112" s="31"/>
      <c r="AY112">
        <v>1</v>
      </c>
    </row>
    <row r="113" spans="1:51" x14ac:dyDescent="0.25">
      <c r="A113" t="s">
        <v>44</v>
      </c>
      <c r="B113">
        <v>279</v>
      </c>
      <c r="D113">
        <v>1890</v>
      </c>
      <c r="G113" t="s">
        <v>1461</v>
      </c>
      <c r="J113" t="s">
        <v>1462</v>
      </c>
      <c r="K113" t="s">
        <v>1462</v>
      </c>
      <c r="L113">
        <v>14997530243</v>
      </c>
      <c r="N113" t="s">
        <v>1111</v>
      </c>
      <c r="Q113" t="s">
        <v>778</v>
      </c>
      <c r="X113" t="s">
        <v>780</v>
      </c>
      <c r="Y113" t="s">
        <v>897</v>
      </c>
      <c r="AA113" s="31"/>
      <c r="AD113">
        <v>2</v>
      </c>
      <c r="AE113" t="s">
        <v>22</v>
      </c>
      <c r="AF113" s="31">
        <v>45714</v>
      </c>
      <c r="AG113" s="61">
        <v>0.73251157407407408</v>
      </c>
      <c r="AI113" t="s">
        <v>795</v>
      </c>
      <c r="AJ113" s="31">
        <v>45716</v>
      </c>
      <c r="AK113" s="61">
        <v>0.71136574074074077</v>
      </c>
      <c r="AL113" t="s">
        <v>1226</v>
      </c>
      <c r="AM113" t="s">
        <v>1464</v>
      </c>
      <c r="AP113" t="s">
        <v>44</v>
      </c>
      <c r="AS113" s="31"/>
      <c r="AY113">
        <v>1</v>
      </c>
    </row>
    <row r="114" spans="1:51" x14ac:dyDescent="0.25">
      <c r="A114" t="s">
        <v>44</v>
      </c>
      <c r="B114">
        <v>281</v>
      </c>
      <c r="D114">
        <v>1892</v>
      </c>
      <c r="G114" t="s">
        <v>1465</v>
      </c>
      <c r="J114" t="s">
        <v>1466</v>
      </c>
      <c r="K114" t="s">
        <v>1466</v>
      </c>
      <c r="L114">
        <v>17996266839</v>
      </c>
      <c r="N114" t="s">
        <v>1468</v>
      </c>
      <c r="Q114" t="s">
        <v>778</v>
      </c>
      <c r="T114" t="s">
        <v>1068</v>
      </c>
      <c r="X114" t="s">
        <v>780</v>
      </c>
      <c r="Y114" t="s">
        <v>816</v>
      </c>
      <c r="Z114" t="s">
        <v>817</v>
      </c>
      <c r="AA114" s="31"/>
      <c r="AB114">
        <v>0</v>
      </c>
      <c r="AC114">
        <v>449635</v>
      </c>
      <c r="AD114">
        <v>55</v>
      </c>
      <c r="AE114" t="s">
        <v>44</v>
      </c>
      <c r="AF114" s="31">
        <v>45716</v>
      </c>
      <c r="AG114" s="61">
        <v>0.42606481481481479</v>
      </c>
      <c r="AI114" t="s">
        <v>818</v>
      </c>
      <c r="AJ114" s="31">
        <v>45771</v>
      </c>
      <c r="AK114" s="61">
        <v>0.50797453703703699</v>
      </c>
      <c r="AO114" t="s">
        <v>1383</v>
      </c>
      <c r="AQ114" t="s">
        <v>1460</v>
      </c>
      <c r="AS114" s="31"/>
      <c r="AY114">
        <v>1</v>
      </c>
    </row>
    <row r="115" spans="1:51" x14ac:dyDescent="0.25">
      <c r="A115" t="s">
        <v>44</v>
      </c>
      <c r="B115">
        <v>282</v>
      </c>
      <c r="D115">
        <v>1894</v>
      </c>
      <c r="G115" t="s">
        <v>1469</v>
      </c>
      <c r="J115" t="s">
        <v>1470</v>
      </c>
      <c r="K115" t="s">
        <v>1470</v>
      </c>
      <c r="L115">
        <v>75981412000</v>
      </c>
      <c r="N115" t="s">
        <v>1472</v>
      </c>
      <c r="Q115" t="s">
        <v>778</v>
      </c>
      <c r="T115" t="s">
        <v>1068</v>
      </c>
      <c r="X115" t="s">
        <v>780</v>
      </c>
      <c r="Y115" t="s">
        <v>793</v>
      </c>
      <c r="Z115" t="s">
        <v>817</v>
      </c>
      <c r="AA115" s="31"/>
      <c r="AB115">
        <v>1600</v>
      </c>
      <c r="AC115">
        <v>5</v>
      </c>
      <c r="AD115">
        <v>47</v>
      </c>
      <c r="AE115" t="s">
        <v>44</v>
      </c>
      <c r="AF115" s="31">
        <v>45716</v>
      </c>
      <c r="AG115" s="61">
        <v>0.70343750000000005</v>
      </c>
      <c r="AI115" t="s">
        <v>795</v>
      </c>
      <c r="AJ115" s="31">
        <v>45763</v>
      </c>
      <c r="AK115" s="61">
        <v>0.3946527777777778</v>
      </c>
      <c r="AL115" t="s">
        <v>796</v>
      </c>
      <c r="AM115" t="s">
        <v>1351</v>
      </c>
      <c r="AO115" t="s">
        <v>1352</v>
      </c>
      <c r="AQ115" t="s">
        <v>1305</v>
      </c>
      <c r="AS115" s="31"/>
      <c r="AY115">
        <v>1</v>
      </c>
    </row>
    <row r="116" spans="1:51" x14ac:dyDescent="0.25">
      <c r="A116" t="s">
        <v>31</v>
      </c>
      <c r="B116">
        <v>283</v>
      </c>
      <c r="D116">
        <v>1895</v>
      </c>
      <c r="G116" t="s">
        <v>1473</v>
      </c>
      <c r="H116">
        <v>37075503000136</v>
      </c>
      <c r="J116" t="s">
        <v>1474</v>
      </c>
      <c r="K116" t="s">
        <v>1474</v>
      </c>
      <c r="L116" t="s">
        <v>1475</v>
      </c>
      <c r="N116" t="s">
        <v>1476</v>
      </c>
      <c r="Q116" t="s">
        <v>778</v>
      </c>
      <c r="R116" t="s">
        <v>1477</v>
      </c>
      <c r="S116" t="s">
        <v>932</v>
      </c>
      <c r="X116" t="s">
        <v>780</v>
      </c>
      <c r="Y116" t="s">
        <v>816</v>
      </c>
      <c r="AA116" s="31"/>
      <c r="AB116">
        <v>63000</v>
      </c>
      <c r="AC116">
        <v>211328</v>
      </c>
      <c r="AD116">
        <v>20</v>
      </c>
      <c r="AE116" t="s">
        <v>31</v>
      </c>
      <c r="AF116" s="31">
        <v>45720</v>
      </c>
      <c r="AG116" s="61">
        <v>0.40530092592592593</v>
      </c>
      <c r="AI116" t="s">
        <v>818</v>
      </c>
      <c r="AJ116" s="31">
        <v>45740</v>
      </c>
      <c r="AK116" s="61">
        <v>0.80163194444444441</v>
      </c>
      <c r="AO116" t="s">
        <v>1478</v>
      </c>
      <c r="AP116" t="s">
        <v>31</v>
      </c>
      <c r="AS116" s="31"/>
      <c r="AY116">
        <v>1</v>
      </c>
    </row>
    <row r="117" spans="1:51" x14ac:dyDescent="0.25">
      <c r="A117" t="s">
        <v>31</v>
      </c>
      <c r="B117">
        <v>284</v>
      </c>
      <c r="D117">
        <v>1897</v>
      </c>
      <c r="G117" t="s">
        <v>1479</v>
      </c>
      <c r="H117">
        <v>37075503000136</v>
      </c>
      <c r="J117" t="s">
        <v>1474</v>
      </c>
      <c r="K117" t="s">
        <v>1474</v>
      </c>
      <c r="L117" t="s">
        <v>1475</v>
      </c>
      <c r="N117" t="s">
        <v>1476</v>
      </c>
      <c r="Q117" t="s">
        <v>778</v>
      </c>
      <c r="R117" t="s">
        <v>1477</v>
      </c>
      <c r="S117" t="s">
        <v>932</v>
      </c>
      <c r="T117" t="s">
        <v>1068</v>
      </c>
      <c r="X117" t="s">
        <v>780</v>
      </c>
      <c r="Y117" t="s">
        <v>816</v>
      </c>
      <c r="AA117" s="31"/>
      <c r="AB117">
        <v>1600</v>
      </c>
      <c r="AC117">
        <v>287073</v>
      </c>
      <c r="AD117">
        <v>22</v>
      </c>
      <c r="AE117" t="s">
        <v>31</v>
      </c>
      <c r="AF117" s="31">
        <v>45720</v>
      </c>
      <c r="AG117" s="61">
        <v>0.63810185185185186</v>
      </c>
      <c r="AI117" t="s">
        <v>818</v>
      </c>
      <c r="AJ117" s="31">
        <v>45742</v>
      </c>
      <c r="AK117" s="61">
        <v>0.4453125</v>
      </c>
      <c r="AO117" t="s">
        <v>1478</v>
      </c>
      <c r="AP117" t="s">
        <v>31</v>
      </c>
      <c r="AQ117" t="s">
        <v>1478</v>
      </c>
      <c r="AS117" s="31"/>
      <c r="AY117">
        <v>1</v>
      </c>
    </row>
    <row r="118" spans="1:51" x14ac:dyDescent="0.25">
      <c r="A118" t="s">
        <v>31</v>
      </c>
      <c r="B118">
        <v>286</v>
      </c>
      <c r="D118">
        <v>1900</v>
      </c>
      <c r="G118" t="s">
        <v>1480</v>
      </c>
      <c r="H118">
        <v>37075503000136</v>
      </c>
      <c r="J118" t="s">
        <v>1481</v>
      </c>
      <c r="K118" t="s">
        <v>1481</v>
      </c>
      <c r="L118">
        <v>5196199231</v>
      </c>
      <c r="N118" t="s">
        <v>1476</v>
      </c>
      <c r="Q118" t="s">
        <v>778</v>
      </c>
      <c r="R118" t="s">
        <v>1477</v>
      </c>
      <c r="S118" t="s">
        <v>932</v>
      </c>
      <c r="T118" t="s">
        <v>791</v>
      </c>
      <c r="X118" t="s">
        <v>780</v>
      </c>
      <c r="Y118" t="s">
        <v>807</v>
      </c>
      <c r="Z118" t="s">
        <v>817</v>
      </c>
      <c r="AA118" s="31"/>
      <c r="AB118">
        <v>23580</v>
      </c>
      <c r="AC118">
        <v>1800</v>
      </c>
      <c r="AD118">
        <v>65</v>
      </c>
      <c r="AE118" t="s">
        <v>31</v>
      </c>
      <c r="AF118" s="31">
        <v>45726</v>
      </c>
      <c r="AG118" s="61">
        <v>0.63922453703703708</v>
      </c>
      <c r="AI118" t="s">
        <v>795</v>
      </c>
      <c r="AJ118" s="31">
        <v>45791</v>
      </c>
      <c r="AK118" s="61">
        <v>0.48103009259259261</v>
      </c>
      <c r="AL118" t="s">
        <v>934</v>
      </c>
      <c r="AO118" t="s">
        <v>1483</v>
      </c>
      <c r="AP118" t="s">
        <v>31</v>
      </c>
      <c r="AQ118" t="s">
        <v>1483</v>
      </c>
      <c r="AS118" s="31"/>
      <c r="AY118">
        <v>1</v>
      </c>
    </row>
    <row r="119" spans="1:51" x14ac:dyDescent="0.25">
      <c r="A119" t="s">
        <v>22</v>
      </c>
      <c r="B119">
        <v>287</v>
      </c>
      <c r="D119">
        <v>1902</v>
      </c>
      <c r="G119" t="s">
        <v>1484</v>
      </c>
      <c r="H119">
        <v>7764744000202</v>
      </c>
      <c r="J119" t="s">
        <v>1485</v>
      </c>
      <c r="K119" t="s">
        <v>1485</v>
      </c>
      <c r="L119">
        <v>11997802621</v>
      </c>
      <c r="N119" t="s">
        <v>1487</v>
      </c>
      <c r="Q119" t="s">
        <v>778</v>
      </c>
      <c r="T119" t="s">
        <v>791</v>
      </c>
      <c r="W119" t="s">
        <v>1488</v>
      </c>
      <c r="X119" t="s">
        <v>780</v>
      </c>
      <c r="Y119" t="s">
        <v>807</v>
      </c>
      <c r="Z119" t="s">
        <v>817</v>
      </c>
      <c r="AA119" s="31"/>
      <c r="AB119">
        <v>16000</v>
      </c>
      <c r="AC119">
        <v>68607</v>
      </c>
      <c r="AD119">
        <v>54</v>
      </c>
      <c r="AE119" t="s">
        <v>22</v>
      </c>
      <c r="AF119" s="31">
        <v>45726</v>
      </c>
      <c r="AG119" s="61">
        <v>0.69724537037037038</v>
      </c>
      <c r="AI119" t="s">
        <v>795</v>
      </c>
      <c r="AJ119" s="31">
        <v>45780</v>
      </c>
      <c r="AK119" s="61">
        <v>0.44266203703703699</v>
      </c>
      <c r="AL119" t="s">
        <v>974</v>
      </c>
      <c r="AO119" t="s">
        <v>1489</v>
      </c>
      <c r="AP119" t="s">
        <v>22</v>
      </c>
      <c r="AQ119" t="s">
        <v>1490</v>
      </c>
      <c r="AR119" t="s">
        <v>1491</v>
      </c>
      <c r="AS119" s="31"/>
      <c r="AY119">
        <v>1</v>
      </c>
    </row>
    <row r="120" spans="1:51" x14ac:dyDescent="0.25">
      <c r="A120" t="s">
        <v>44</v>
      </c>
      <c r="B120">
        <v>291</v>
      </c>
      <c r="D120">
        <v>1904</v>
      </c>
      <c r="G120" t="s">
        <v>1492</v>
      </c>
      <c r="J120" t="s">
        <v>1493</v>
      </c>
      <c r="K120" t="s">
        <v>1493</v>
      </c>
      <c r="L120">
        <v>7199841895</v>
      </c>
      <c r="N120" t="s">
        <v>1495</v>
      </c>
      <c r="Q120" t="s">
        <v>778</v>
      </c>
      <c r="T120" t="s">
        <v>1496</v>
      </c>
      <c r="X120" t="s">
        <v>780</v>
      </c>
      <c r="Y120" t="s">
        <v>816</v>
      </c>
      <c r="Z120" t="s">
        <v>817</v>
      </c>
      <c r="AA120" s="31"/>
      <c r="AB120">
        <v>12720</v>
      </c>
      <c r="AC120">
        <v>1764</v>
      </c>
      <c r="AD120">
        <v>47</v>
      </c>
      <c r="AE120" t="s">
        <v>44</v>
      </c>
      <c r="AF120" s="31">
        <v>45729</v>
      </c>
      <c r="AG120" s="61">
        <v>0.59673611111111113</v>
      </c>
      <c r="AI120" t="s">
        <v>818</v>
      </c>
      <c r="AJ120" s="31">
        <v>45776</v>
      </c>
      <c r="AK120" s="61">
        <v>0.60798611111111112</v>
      </c>
      <c r="AO120" t="s">
        <v>1497</v>
      </c>
      <c r="AQ120" t="s">
        <v>1497</v>
      </c>
      <c r="AS120" s="31"/>
      <c r="AY120">
        <v>1</v>
      </c>
    </row>
    <row r="121" spans="1:51" x14ac:dyDescent="0.25">
      <c r="A121" t="s">
        <v>22</v>
      </c>
      <c r="B121">
        <v>293</v>
      </c>
      <c r="D121">
        <v>1907</v>
      </c>
      <c r="G121" t="s">
        <v>1498</v>
      </c>
      <c r="J121" t="s">
        <v>1499</v>
      </c>
      <c r="K121" t="s">
        <v>1499</v>
      </c>
      <c r="L121" t="s">
        <v>1500</v>
      </c>
      <c r="N121" t="s">
        <v>1501</v>
      </c>
      <c r="Q121" t="s">
        <v>778</v>
      </c>
      <c r="R121" t="s">
        <v>1502</v>
      </c>
      <c r="T121" t="s">
        <v>814</v>
      </c>
      <c r="W121" t="s">
        <v>1198</v>
      </c>
      <c r="X121" t="s">
        <v>780</v>
      </c>
      <c r="Y121" t="s">
        <v>857</v>
      </c>
      <c r="Z121" t="s">
        <v>817</v>
      </c>
      <c r="AA121" s="31"/>
      <c r="AD121">
        <v>21</v>
      </c>
      <c r="AE121" t="s">
        <v>22</v>
      </c>
      <c r="AF121" s="31">
        <v>45733</v>
      </c>
      <c r="AG121" s="61">
        <v>0.37027777777777782</v>
      </c>
      <c r="AI121" t="s">
        <v>795</v>
      </c>
      <c r="AJ121" s="31">
        <v>45754</v>
      </c>
      <c r="AK121" s="61">
        <v>0.58361111111111108</v>
      </c>
      <c r="AL121" t="s">
        <v>858</v>
      </c>
      <c r="AO121" t="s">
        <v>1503</v>
      </c>
      <c r="AQ121" t="s">
        <v>1503</v>
      </c>
      <c r="AS121" s="31"/>
      <c r="AY121">
        <v>1</v>
      </c>
    </row>
    <row r="122" spans="1:51" x14ac:dyDescent="0.25">
      <c r="A122" t="s">
        <v>22</v>
      </c>
      <c r="B122">
        <v>294</v>
      </c>
      <c r="D122">
        <v>1908</v>
      </c>
      <c r="G122" t="s">
        <v>1504</v>
      </c>
      <c r="J122" t="s">
        <v>1505</v>
      </c>
      <c r="K122" t="s">
        <v>1505</v>
      </c>
      <c r="L122">
        <v>31995069963</v>
      </c>
      <c r="N122" t="s">
        <v>1111</v>
      </c>
      <c r="Q122" t="s">
        <v>778</v>
      </c>
      <c r="T122" t="s">
        <v>1191</v>
      </c>
      <c r="X122" t="s">
        <v>780</v>
      </c>
      <c r="Y122" t="s">
        <v>857</v>
      </c>
      <c r="Z122" t="s">
        <v>817</v>
      </c>
      <c r="AA122" s="31"/>
      <c r="AD122">
        <v>21</v>
      </c>
      <c r="AE122" t="s">
        <v>22</v>
      </c>
      <c r="AF122" s="31">
        <v>45733</v>
      </c>
      <c r="AG122" s="61">
        <v>0.37392361111111111</v>
      </c>
      <c r="AI122" t="s">
        <v>795</v>
      </c>
      <c r="AJ122" s="31">
        <v>45754</v>
      </c>
      <c r="AK122" s="61">
        <v>0.49223379629629632</v>
      </c>
      <c r="AL122" t="s">
        <v>858</v>
      </c>
      <c r="AO122" t="s">
        <v>1503</v>
      </c>
      <c r="AP122" t="s">
        <v>22</v>
      </c>
      <c r="AQ122" t="s">
        <v>1503</v>
      </c>
      <c r="AS122" s="31"/>
      <c r="AY122">
        <v>1</v>
      </c>
    </row>
    <row r="123" spans="1:51" x14ac:dyDescent="0.25">
      <c r="A123" t="s">
        <v>44</v>
      </c>
      <c r="B123">
        <v>295</v>
      </c>
      <c r="D123">
        <v>1909</v>
      </c>
      <c r="G123" t="s">
        <v>1507</v>
      </c>
      <c r="J123" t="s">
        <v>1508</v>
      </c>
      <c r="K123" t="s">
        <v>1508</v>
      </c>
      <c r="L123">
        <v>21996127685</v>
      </c>
      <c r="N123" t="s">
        <v>1510</v>
      </c>
      <c r="Q123" t="s">
        <v>778</v>
      </c>
      <c r="T123" t="s">
        <v>933</v>
      </c>
      <c r="X123" t="s">
        <v>780</v>
      </c>
      <c r="Y123" t="s">
        <v>807</v>
      </c>
      <c r="Z123" t="s">
        <v>817</v>
      </c>
      <c r="AA123" s="31"/>
      <c r="AB123">
        <v>79920</v>
      </c>
      <c r="AC123">
        <v>33813</v>
      </c>
      <c r="AD123">
        <v>59</v>
      </c>
      <c r="AE123" t="s">
        <v>44</v>
      </c>
      <c r="AF123" s="31">
        <v>45733</v>
      </c>
      <c r="AG123" s="61">
        <v>0.52471064814814816</v>
      </c>
      <c r="AI123" t="s">
        <v>795</v>
      </c>
      <c r="AJ123" s="31">
        <v>45792</v>
      </c>
      <c r="AK123" s="61">
        <v>0.68163194444444442</v>
      </c>
      <c r="AL123" t="s">
        <v>796</v>
      </c>
      <c r="AM123" t="s">
        <v>797</v>
      </c>
      <c r="AO123" t="s">
        <v>1511</v>
      </c>
      <c r="AQ123" t="s">
        <v>1512</v>
      </c>
      <c r="AS123" s="31"/>
      <c r="AY123">
        <v>1</v>
      </c>
    </row>
    <row r="124" spans="1:51" x14ac:dyDescent="0.25">
      <c r="A124" t="s">
        <v>44</v>
      </c>
      <c r="B124">
        <v>298</v>
      </c>
      <c r="D124">
        <v>1913</v>
      </c>
      <c r="G124" t="s">
        <v>1513</v>
      </c>
      <c r="J124" t="s">
        <v>1514</v>
      </c>
      <c r="K124" t="s">
        <v>1514</v>
      </c>
      <c r="L124">
        <v>21996127685</v>
      </c>
      <c r="N124" t="s">
        <v>1515</v>
      </c>
      <c r="Q124" t="s">
        <v>778</v>
      </c>
      <c r="T124" t="s">
        <v>933</v>
      </c>
      <c r="X124" t="s">
        <v>780</v>
      </c>
      <c r="Y124" t="s">
        <v>807</v>
      </c>
      <c r="Z124" t="s">
        <v>817</v>
      </c>
      <c r="AA124" s="31"/>
      <c r="AB124">
        <v>1600</v>
      </c>
      <c r="AC124">
        <v>3196</v>
      </c>
      <c r="AD124">
        <v>58</v>
      </c>
      <c r="AE124" t="s">
        <v>44</v>
      </c>
      <c r="AF124" s="31">
        <v>45734</v>
      </c>
      <c r="AG124" s="61">
        <v>0.62533564814814813</v>
      </c>
      <c r="AI124" t="s">
        <v>795</v>
      </c>
      <c r="AJ124" s="31">
        <v>45792</v>
      </c>
      <c r="AK124" s="61">
        <v>0.68206018518518519</v>
      </c>
      <c r="AL124" t="s">
        <v>796</v>
      </c>
      <c r="AM124" t="s">
        <v>797</v>
      </c>
      <c r="AO124" t="s">
        <v>1511</v>
      </c>
      <c r="AQ124" t="s">
        <v>1512</v>
      </c>
      <c r="AS124" s="31"/>
      <c r="AY124">
        <v>1</v>
      </c>
    </row>
    <row r="125" spans="1:51" x14ac:dyDescent="0.25">
      <c r="A125" t="s">
        <v>44</v>
      </c>
      <c r="B125">
        <v>301</v>
      </c>
      <c r="D125">
        <v>1916</v>
      </c>
      <c r="G125" t="s">
        <v>1516</v>
      </c>
      <c r="J125" t="s">
        <v>1517</v>
      </c>
      <c r="K125" t="s">
        <v>1517</v>
      </c>
      <c r="L125">
        <v>19997023116</v>
      </c>
      <c r="N125" t="s">
        <v>1459</v>
      </c>
      <c r="Q125" t="s">
        <v>778</v>
      </c>
      <c r="T125" t="s">
        <v>791</v>
      </c>
      <c r="X125" t="s">
        <v>780</v>
      </c>
      <c r="Y125" t="s">
        <v>816</v>
      </c>
      <c r="AA125" s="31"/>
      <c r="AB125">
        <v>2339208</v>
      </c>
      <c r="AC125">
        <v>0</v>
      </c>
      <c r="AD125">
        <v>13</v>
      </c>
      <c r="AE125" t="s">
        <v>44</v>
      </c>
      <c r="AF125" s="31">
        <v>45736</v>
      </c>
      <c r="AG125" s="61">
        <v>0.61819444444444449</v>
      </c>
      <c r="AI125" t="s">
        <v>818</v>
      </c>
      <c r="AJ125" s="31">
        <v>45749</v>
      </c>
      <c r="AK125" s="61">
        <v>0.42002314814814817</v>
      </c>
      <c r="AO125" t="s">
        <v>1518</v>
      </c>
      <c r="AS125" s="31"/>
      <c r="AY125">
        <v>1</v>
      </c>
    </row>
    <row r="126" spans="1:51" x14ac:dyDescent="0.25">
      <c r="A126" t="s">
        <v>44</v>
      </c>
      <c r="B126">
        <v>303</v>
      </c>
      <c r="D126">
        <v>1919</v>
      </c>
      <c r="G126" t="s">
        <v>1519</v>
      </c>
      <c r="J126" t="s">
        <v>1520</v>
      </c>
      <c r="K126" t="s">
        <v>1520</v>
      </c>
      <c r="L126" t="s">
        <v>1521</v>
      </c>
      <c r="N126" t="s">
        <v>1522</v>
      </c>
      <c r="Q126" t="s">
        <v>778</v>
      </c>
      <c r="R126" t="s">
        <v>1523</v>
      </c>
      <c r="T126" t="s">
        <v>814</v>
      </c>
      <c r="W126" t="s">
        <v>1186</v>
      </c>
      <c r="X126" t="s">
        <v>780</v>
      </c>
      <c r="Y126" t="s">
        <v>816</v>
      </c>
      <c r="Z126" t="s">
        <v>817</v>
      </c>
      <c r="AA126" s="31"/>
      <c r="AB126">
        <v>583848</v>
      </c>
      <c r="AC126">
        <v>229112</v>
      </c>
      <c r="AD126">
        <v>57</v>
      </c>
      <c r="AE126" t="s">
        <v>22</v>
      </c>
      <c r="AF126" s="31">
        <v>45741</v>
      </c>
      <c r="AG126" s="61">
        <v>0.38427083333333328</v>
      </c>
      <c r="AI126" t="s">
        <v>818</v>
      </c>
      <c r="AJ126" s="31">
        <v>45798</v>
      </c>
      <c r="AK126" s="61">
        <v>0.37590277777777781</v>
      </c>
      <c r="AO126" t="s">
        <v>1524</v>
      </c>
      <c r="AQ126" t="s">
        <v>1525</v>
      </c>
      <c r="AR126" t="s">
        <v>1524</v>
      </c>
      <c r="AS126" s="31"/>
      <c r="AY126">
        <v>1</v>
      </c>
    </row>
    <row r="127" spans="1:51" x14ac:dyDescent="0.25">
      <c r="A127" t="s">
        <v>44</v>
      </c>
      <c r="B127">
        <v>304</v>
      </c>
      <c r="D127">
        <v>1922</v>
      </c>
      <c r="G127" t="s">
        <v>1526</v>
      </c>
      <c r="J127" t="s">
        <v>1527</v>
      </c>
      <c r="K127" t="s">
        <v>1527</v>
      </c>
      <c r="L127">
        <v>19997023116</v>
      </c>
      <c r="N127" t="s">
        <v>1459</v>
      </c>
      <c r="Q127" t="s">
        <v>778</v>
      </c>
      <c r="X127" t="s">
        <v>780</v>
      </c>
      <c r="Y127" t="s">
        <v>816</v>
      </c>
      <c r="AA127" s="31"/>
      <c r="AB127">
        <v>0</v>
      </c>
      <c r="AC127">
        <v>14256</v>
      </c>
      <c r="AD127">
        <v>0</v>
      </c>
      <c r="AE127" t="s">
        <v>44</v>
      </c>
      <c r="AF127" s="31">
        <v>45742</v>
      </c>
      <c r="AG127" s="61">
        <v>0.51811342592592591</v>
      </c>
      <c r="AI127" t="s">
        <v>818</v>
      </c>
      <c r="AJ127" s="31">
        <v>45742</v>
      </c>
      <c r="AK127" s="61">
        <v>0.51986111111111111</v>
      </c>
      <c r="AO127" t="s">
        <v>1528</v>
      </c>
      <c r="AS127" s="31"/>
      <c r="AY127">
        <v>1</v>
      </c>
    </row>
    <row r="128" spans="1:51" x14ac:dyDescent="0.25">
      <c r="A128" t="s">
        <v>44</v>
      </c>
      <c r="B128">
        <v>305</v>
      </c>
      <c r="D128">
        <v>1923</v>
      </c>
      <c r="G128" t="s">
        <v>1529</v>
      </c>
      <c r="H128">
        <v>49695060000165</v>
      </c>
      <c r="J128" t="s">
        <v>1530</v>
      </c>
      <c r="K128" t="s">
        <v>1530</v>
      </c>
      <c r="L128" t="s">
        <v>1531</v>
      </c>
      <c r="N128" t="s">
        <v>1532</v>
      </c>
      <c r="Q128" t="s">
        <v>778</v>
      </c>
      <c r="R128" t="s">
        <v>1094</v>
      </c>
      <c r="S128" t="s">
        <v>790</v>
      </c>
      <c r="T128" t="s">
        <v>1191</v>
      </c>
      <c r="X128" t="s">
        <v>780</v>
      </c>
      <c r="Y128" t="s">
        <v>793</v>
      </c>
      <c r="Z128" t="s">
        <v>817</v>
      </c>
      <c r="AA128" s="31"/>
      <c r="AB128">
        <v>64448</v>
      </c>
      <c r="AC128">
        <v>159326</v>
      </c>
      <c r="AD128">
        <v>50</v>
      </c>
      <c r="AE128" t="s">
        <v>44</v>
      </c>
      <c r="AF128" s="31">
        <v>45742</v>
      </c>
      <c r="AG128" s="61">
        <v>0.53810185185185189</v>
      </c>
      <c r="AI128" t="s">
        <v>795</v>
      </c>
      <c r="AJ128" s="31">
        <v>45792</v>
      </c>
      <c r="AK128" s="61">
        <v>0.64240740740740743</v>
      </c>
      <c r="AL128" t="s">
        <v>796</v>
      </c>
      <c r="AM128" t="s">
        <v>1533</v>
      </c>
      <c r="AO128" t="s">
        <v>1525</v>
      </c>
      <c r="AQ128" t="s">
        <v>1528</v>
      </c>
      <c r="AS128" s="31"/>
      <c r="AY128">
        <v>1</v>
      </c>
    </row>
    <row r="129" spans="1:51" x14ac:dyDescent="0.25">
      <c r="A129" t="s">
        <v>44</v>
      </c>
      <c r="B129">
        <v>311</v>
      </c>
      <c r="D129">
        <v>1942</v>
      </c>
      <c r="G129" t="s">
        <v>1534</v>
      </c>
      <c r="J129" t="s">
        <v>642</v>
      </c>
      <c r="K129" t="s">
        <v>642</v>
      </c>
      <c r="L129">
        <v>47991900625</v>
      </c>
      <c r="N129" t="s">
        <v>1536</v>
      </c>
      <c r="Q129" t="s">
        <v>778</v>
      </c>
      <c r="X129" t="s">
        <v>780</v>
      </c>
      <c r="Y129" t="s">
        <v>816</v>
      </c>
      <c r="Z129" t="s">
        <v>1537</v>
      </c>
      <c r="AA129" s="31"/>
      <c r="AB129">
        <v>16960</v>
      </c>
      <c r="AC129">
        <v>10810</v>
      </c>
      <c r="AD129">
        <v>43</v>
      </c>
      <c r="AE129" t="s">
        <v>44</v>
      </c>
      <c r="AF129" s="31">
        <v>45743</v>
      </c>
      <c r="AG129" s="61">
        <v>0.53383101851851855</v>
      </c>
      <c r="AI129" t="s">
        <v>818</v>
      </c>
      <c r="AJ129" s="31">
        <v>45786</v>
      </c>
      <c r="AK129" s="61">
        <v>0.50201388888888887</v>
      </c>
      <c r="AO129" t="s">
        <v>1524</v>
      </c>
      <c r="AQ129" t="s">
        <v>1525</v>
      </c>
      <c r="AR129" t="s">
        <v>1538</v>
      </c>
      <c r="AS129" s="31"/>
      <c r="AY129">
        <v>1</v>
      </c>
    </row>
    <row r="130" spans="1:51" x14ac:dyDescent="0.25">
      <c r="A130" t="s">
        <v>22</v>
      </c>
      <c r="B130">
        <v>313</v>
      </c>
      <c r="D130">
        <v>1944</v>
      </c>
      <c r="G130" t="s">
        <v>1539</v>
      </c>
      <c r="H130">
        <v>1787082000129</v>
      </c>
      <c r="J130" t="s">
        <v>1540</v>
      </c>
      <c r="K130" t="s">
        <v>1540</v>
      </c>
      <c r="L130" t="s">
        <v>1541</v>
      </c>
      <c r="N130" t="s">
        <v>1542</v>
      </c>
      <c r="Q130" t="s">
        <v>778</v>
      </c>
      <c r="T130" t="s">
        <v>933</v>
      </c>
      <c r="W130" t="s">
        <v>1488</v>
      </c>
      <c r="X130" t="s">
        <v>780</v>
      </c>
      <c r="Y130" t="s">
        <v>816</v>
      </c>
      <c r="Z130" t="s">
        <v>817</v>
      </c>
      <c r="AA130" s="31">
        <v>46904</v>
      </c>
      <c r="AB130">
        <v>51200</v>
      </c>
      <c r="AC130">
        <v>42262</v>
      </c>
      <c r="AD130">
        <v>75</v>
      </c>
      <c r="AE130" t="s">
        <v>22</v>
      </c>
      <c r="AF130" s="31">
        <v>45743</v>
      </c>
      <c r="AG130" s="61">
        <v>0.66615740740740736</v>
      </c>
      <c r="AI130" t="s">
        <v>795</v>
      </c>
      <c r="AJ130" s="31">
        <v>45818</v>
      </c>
      <c r="AK130" s="61">
        <v>0.51120370370370372</v>
      </c>
      <c r="AL130" t="s">
        <v>867</v>
      </c>
      <c r="AO130" t="s">
        <v>1374</v>
      </c>
      <c r="AP130" t="s">
        <v>22</v>
      </c>
      <c r="AQ130" t="s">
        <v>1543</v>
      </c>
      <c r="AS130" s="31"/>
      <c r="AY130">
        <v>1</v>
      </c>
    </row>
    <row r="131" spans="1:51" x14ac:dyDescent="0.25">
      <c r="A131" t="s">
        <v>22</v>
      </c>
      <c r="B131">
        <v>314</v>
      </c>
      <c r="D131">
        <v>1948</v>
      </c>
      <c r="G131" t="s">
        <v>1544</v>
      </c>
      <c r="J131" t="s">
        <v>1462</v>
      </c>
      <c r="K131" t="s">
        <v>1462</v>
      </c>
      <c r="L131">
        <v>12991051939</v>
      </c>
      <c r="N131" t="s">
        <v>1111</v>
      </c>
      <c r="Q131" t="s">
        <v>778</v>
      </c>
      <c r="X131" t="s">
        <v>780</v>
      </c>
      <c r="Y131" t="s">
        <v>897</v>
      </c>
      <c r="AA131" s="31"/>
      <c r="AD131">
        <v>10</v>
      </c>
      <c r="AE131" t="s">
        <v>22</v>
      </c>
      <c r="AF131" s="31">
        <v>45744</v>
      </c>
      <c r="AG131" s="61">
        <v>0.46645833333333331</v>
      </c>
      <c r="AI131" t="s">
        <v>795</v>
      </c>
      <c r="AJ131" s="31">
        <v>45754</v>
      </c>
      <c r="AK131" s="61">
        <v>0.60836805555555551</v>
      </c>
      <c r="AL131" t="s">
        <v>1226</v>
      </c>
      <c r="AP131" t="s">
        <v>22</v>
      </c>
      <c r="AQ131" t="s">
        <v>1546</v>
      </c>
      <c r="AS131" s="31"/>
      <c r="AY131">
        <v>1</v>
      </c>
    </row>
    <row r="132" spans="1:51" x14ac:dyDescent="0.25">
      <c r="A132" t="s">
        <v>44</v>
      </c>
      <c r="B132">
        <v>315</v>
      </c>
      <c r="D132">
        <v>1949</v>
      </c>
      <c r="G132" t="s">
        <v>1547</v>
      </c>
      <c r="J132" t="s">
        <v>1548</v>
      </c>
      <c r="K132" t="s">
        <v>1548</v>
      </c>
      <c r="L132">
        <v>62993609476</v>
      </c>
      <c r="N132" t="s">
        <v>1522</v>
      </c>
      <c r="Q132" t="s">
        <v>778</v>
      </c>
      <c r="X132" t="s">
        <v>780</v>
      </c>
      <c r="Y132" t="s">
        <v>816</v>
      </c>
      <c r="Z132" t="s">
        <v>995</v>
      </c>
      <c r="AA132" s="31"/>
      <c r="AB132">
        <v>1600</v>
      </c>
      <c r="AC132">
        <v>180443</v>
      </c>
      <c r="AD132">
        <v>54</v>
      </c>
      <c r="AE132" t="s">
        <v>44</v>
      </c>
      <c r="AF132" s="31">
        <v>45744</v>
      </c>
      <c r="AG132" s="61">
        <v>0.49288194444444439</v>
      </c>
      <c r="AI132" t="s">
        <v>818</v>
      </c>
      <c r="AJ132" s="31">
        <v>45798</v>
      </c>
      <c r="AK132" s="61">
        <v>0.37681712962962971</v>
      </c>
      <c r="AO132" t="s">
        <v>1524</v>
      </c>
      <c r="AQ132" t="s">
        <v>1525</v>
      </c>
      <c r="AS132" s="31"/>
      <c r="AY132">
        <v>1</v>
      </c>
    </row>
    <row r="133" spans="1:51" x14ac:dyDescent="0.25">
      <c r="A133" t="s">
        <v>44</v>
      </c>
      <c r="B133">
        <v>316</v>
      </c>
      <c r="D133">
        <v>1950</v>
      </c>
      <c r="G133" t="s">
        <v>1550</v>
      </c>
      <c r="H133">
        <v>49695060000165</v>
      </c>
      <c r="J133" t="s">
        <v>1551</v>
      </c>
      <c r="K133" t="s">
        <v>1551</v>
      </c>
      <c r="L133" t="s">
        <v>1531</v>
      </c>
      <c r="N133" t="s">
        <v>1532</v>
      </c>
      <c r="Q133" t="s">
        <v>778</v>
      </c>
      <c r="R133" t="s">
        <v>1094</v>
      </c>
      <c r="S133" t="s">
        <v>790</v>
      </c>
      <c r="X133" t="s">
        <v>780</v>
      </c>
      <c r="Y133" t="s">
        <v>793</v>
      </c>
      <c r="AA133" s="31"/>
      <c r="AB133">
        <v>1600</v>
      </c>
      <c r="AC133">
        <v>2178</v>
      </c>
      <c r="AD133">
        <v>48</v>
      </c>
      <c r="AE133" t="s">
        <v>44</v>
      </c>
      <c r="AF133" s="31">
        <v>45744</v>
      </c>
      <c r="AG133" s="61">
        <v>0.62916666666666665</v>
      </c>
      <c r="AI133" t="s">
        <v>795</v>
      </c>
      <c r="AJ133" s="31">
        <v>45792</v>
      </c>
      <c r="AK133" s="61">
        <v>0.64351851851851849</v>
      </c>
      <c r="AL133" t="s">
        <v>796</v>
      </c>
      <c r="AM133" t="s">
        <v>1533</v>
      </c>
      <c r="AN133" t="s">
        <v>1528</v>
      </c>
      <c r="AO133" t="s">
        <v>1528</v>
      </c>
      <c r="AQ133" t="s">
        <v>1528</v>
      </c>
      <c r="AS133" s="31"/>
      <c r="AY133">
        <v>1</v>
      </c>
    </row>
    <row r="134" spans="1:51" x14ac:dyDescent="0.25">
      <c r="A134" t="s">
        <v>44</v>
      </c>
      <c r="B134">
        <v>317</v>
      </c>
      <c r="D134">
        <v>1952</v>
      </c>
      <c r="G134" t="s">
        <v>1552</v>
      </c>
      <c r="H134">
        <v>8652421000109</v>
      </c>
      <c r="J134" t="s">
        <v>1553</v>
      </c>
      <c r="K134" t="s">
        <v>1553</v>
      </c>
      <c r="L134" t="s">
        <v>1554</v>
      </c>
      <c r="N134" t="s">
        <v>1427</v>
      </c>
      <c r="Q134" t="s">
        <v>778</v>
      </c>
      <c r="R134" t="s">
        <v>1428</v>
      </c>
      <c r="S134" t="s">
        <v>1027</v>
      </c>
      <c r="X134" t="s">
        <v>780</v>
      </c>
      <c r="Y134" t="s">
        <v>807</v>
      </c>
      <c r="AA134" s="31"/>
      <c r="AB134">
        <v>74860</v>
      </c>
      <c r="AC134">
        <v>641932</v>
      </c>
      <c r="AD134">
        <v>48</v>
      </c>
      <c r="AE134" t="s">
        <v>44</v>
      </c>
      <c r="AF134" s="31">
        <v>45744</v>
      </c>
      <c r="AG134" s="61">
        <v>0.65123842592592596</v>
      </c>
      <c r="AI134" t="s">
        <v>795</v>
      </c>
      <c r="AJ134" s="31">
        <v>45792</v>
      </c>
      <c r="AK134" s="61">
        <v>0.48288194444444438</v>
      </c>
      <c r="AL134" t="s">
        <v>796</v>
      </c>
      <c r="AM134" t="s">
        <v>1555</v>
      </c>
      <c r="AO134" t="s">
        <v>1524</v>
      </c>
      <c r="AQ134" t="s">
        <v>1556</v>
      </c>
      <c r="AS134" s="31"/>
      <c r="AY134">
        <v>1</v>
      </c>
    </row>
    <row r="135" spans="1:51" x14ac:dyDescent="0.25">
      <c r="A135" t="s">
        <v>44</v>
      </c>
      <c r="B135">
        <v>318</v>
      </c>
      <c r="D135">
        <v>1957</v>
      </c>
      <c r="G135" t="s">
        <v>1557</v>
      </c>
      <c r="H135">
        <v>8652421000109</v>
      </c>
      <c r="J135" t="s">
        <v>1558</v>
      </c>
      <c r="K135" t="s">
        <v>1558</v>
      </c>
      <c r="L135">
        <v>43991395000</v>
      </c>
      <c r="N135" t="s">
        <v>1427</v>
      </c>
      <c r="Q135" t="s">
        <v>778</v>
      </c>
      <c r="X135" t="s">
        <v>780</v>
      </c>
      <c r="Y135" t="s">
        <v>793</v>
      </c>
      <c r="AA135" s="31"/>
      <c r="AD135">
        <v>19</v>
      </c>
      <c r="AE135" t="s">
        <v>44</v>
      </c>
      <c r="AF135" s="31">
        <v>45744</v>
      </c>
      <c r="AG135" s="61">
        <v>0.65327546296296302</v>
      </c>
      <c r="AI135" t="s">
        <v>795</v>
      </c>
      <c r="AJ135" s="31">
        <v>45763</v>
      </c>
      <c r="AK135" s="61">
        <v>0.40211805555555558</v>
      </c>
      <c r="AL135" t="s">
        <v>796</v>
      </c>
      <c r="AM135" t="s">
        <v>1560</v>
      </c>
      <c r="AO135" t="s">
        <v>1524</v>
      </c>
      <c r="AQ135" t="s">
        <v>1556</v>
      </c>
      <c r="AS135" s="31"/>
      <c r="AY135">
        <v>1</v>
      </c>
    </row>
    <row r="136" spans="1:51" x14ac:dyDescent="0.25">
      <c r="A136" t="s">
        <v>44</v>
      </c>
      <c r="B136">
        <v>319</v>
      </c>
      <c r="D136">
        <v>1958</v>
      </c>
      <c r="G136" t="s">
        <v>1561</v>
      </c>
      <c r="J136" t="s">
        <v>1562</v>
      </c>
      <c r="K136" t="s">
        <v>1562</v>
      </c>
      <c r="L136">
        <v>54996596274</v>
      </c>
      <c r="N136" t="s">
        <v>1025</v>
      </c>
      <c r="Q136" t="s">
        <v>778</v>
      </c>
      <c r="X136" t="s">
        <v>780</v>
      </c>
      <c r="Y136" t="s">
        <v>816</v>
      </c>
      <c r="AA136" s="31"/>
      <c r="AB136">
        <v>1760013</v>
      </c>
      <c r="AC136">
        <v>0</v>
      </c>
      <c r="AD136">
        <v>0</v>
      </c>
      <c r="AE136" t="s">
        <v>44</v>
      </c>
      <c r="AF136" s="31">
        <v>45747</v>
      </c>
      <c r="AG136" s="61">
        <v>0.47290509259259261</v>
      </c>
      <c r="AI136" t="s">
        <v>818</v>
      </c>
      <c r="AJ136" s="31">
        <v>45747</v>
      </c>
      <c r="AK136" s="61">
        <v>0.48357638888888888</v>
      </c>
      <c r="AO136" t="s">
        <v>1497</v>
      </c>
      <c r="AS136" s="31"/>
      <c r="AY136">
        <v>1</v>
      </c>
    </row>
    <row r="137" spans="1:51" x14ac:dyDescent="0.25">
      <c r="A137" t="s">
        <v>44</v>
      </c>
      <c r="B137">
        <v>321</v>
      </c>
      <c r="D137">
        <v>1961</v>
      </c>
      <c r="G137" t="s">
        <v>1557</v>
      </c>
      <c r="J137" t="s">
        <v>1558</v>
      </c>
      <c r="K137" t="s">
        <v>1558</v>
      </c>
      <c r="L137">
        <v>5537446412</v>
      </c>
      <c r="N137" t="s">
        <v>1427</v>
      </c>
      <c r="Q137" t="s">
        <v>778</v>
      </c>
      <c r="X137" t="s">
        <v>780</v>
      </c>
      <c r="Y137" t="s">
        <v>807</v>
      </c>
      <c r="AA137" s="31"/>
      <c r="AB137">
        <v>1600</v>
      </c>
      <c r="AC137">
        <v>462522</v>
      </c>
      <c r="AD137">
        <v>45</v>
      </c>
      <c r="AE137" t="s">
        <v>44</v>
      </c>
      <c r="AF137" s="31">
        <v>45747</v>
      </c>
      <c r="AG137" s="61">
        <v>0.63219907407407405</v>
      </c>
      <c r="AI137" t="s">
        <v>795</v>
      </c>
      <c r="AJ137" s="31">
        <v>45792</v>
      </c>
      <c r="AK137" s="61">
        <v>0.48388888888888892</v>
      </c>
      <c r="AL137" t="s">
        <v>796</v>
      </c>
      <c r="AM137" t="s">
        <v>1555</v>
      </c>
      <c r="AO137" t="s">
        <v>1524</v>
      </c>
      <c r="AQ137" t="s">
        <v>1556</v>
      </c>
      <c r="AS137" s="31"/>
      <c r="AY137">
        <v>1</v>
      </c>
    </row>
    <row r="138" spans="1:51" x14ac:dyDescent="0.25">
      <c r="A138" t="s">
        <v>44</v>
      </c>
      <c r="B138">
        <v>322</v>
      </c>
      <c r="D138">
        <v>1962</v>
      </c>
      <c r="G138" t="s">
        <v>1564</v>
      </c>
      <c r="J138" t="s">
        <v>1565</v>
      </c>
      <c r="K138" t="s">
        <v>1565</v>
      </c>
      <c r="L138">
        <v>19993040768</v>
      </c>
      <c r="N138" t="s">
        <v>992</v>
      </c>
      <c r="Q138" t="s">
        <v>778</v>
      </c>
      <c r="X138" t="s">
        <v>780</v>
      </c>
      <c r="Y138" t="s">
        <v>816</v>
      </c>
      <c r="AA138" s="31"/>
      <c r="AB138">
        <v>0</v>
      </c>
      <c r="AC138">
        <v>30002</v>
      </c>
      <c r="AD138">
        <v>24</v>
      </c>
      <c r="AE138" t="s">
        <v>44</v>
      </c>
      <c r="AF138" s="31">
        <v>45747</v>
      </c>
      <c r="AG138" s="61">
        <v>0.69299768518518523</v>
      </c>
      <c r="AI138" t="s">
        <v>818</v>
      </c>
      <c r="AJ138" s="31">
        <v>45771</v>
      </c>
      <c r="AK138" s="61">
        <v>0.50261574074074078</v>
      </c>
      <c r="AO138" t="s">
        <v>1524</v>
      </c>
      <c r="AS138" s="31"/>
      <c r="AY138">
        <v>1</v>
      </c>
    </row>
    <row r="139" spans="1:51" x14ac:dyDescent="0.25">
      <c r="A139" t="s">
        <v>44</v>
      </c>
      <c r="B139">
        <v>323</v>
      </c>
      <c r="D139">
        <v>1963</v>
      </c>
      <c r="G139" t="s">
        <v>1566</v>
      </c>
      <c r="J139" t="s">
        <v>1567</v>
      </c>
      <c r="K139" t="s">
        <v>1567</v>
      </c>
      <c r="L139">
        <v>21964397621</v>
      </c>
      <c r="N139" t="s">
        <v>1569</v>
      </c>
      <c r="Q139" t="s">
        <v>778</v>
      </c>
      <c r="X139" t="s">
        <v>780</v>
      </c>
      <c r="Y139" t="s">
        <v>793</v>
      </c>
      <c r="AA139" s="31"/>
      <c r="AB139">
        <v>16960</v>
      </c>
      <c r="AC139">
        <v>1980</v>
      </c>
      <c r="AD139">
        <v>64</v>
      </c>
      <c r="AE139" t="s">
        <v>44</v>
      </c>
      <c r="AF139" s="31">
        <v>45747</v>
      </c>
      <c r="AG139" s="61">
        <v>0.70123842592592589</v>
      </c>
      <c r="AI139" t="s">
        <v>795</v>
      </c>
      <c r="AJ139" s="31">
        <v>45811</v>
      </c>
      <c r="AK139" s="61">
        <v>0.46266203703703701</v>
      </c>
      <c r="AL139" t="s">
        <v>858</v>
      </c>
      <c r="AM139" t="s">
        <v>1570</v>
      </c>
      <c r="AO139" t="s">
        <v>1524</v>
      </c>
      <c r="AQ139" t="s">
        <v>1524</v>
      </c>
      <c r="AS139" s="31"/>
      <c r="AY139">
        <v>1</v>
      </c>
    </row>
    <row r="140" spans="1:51" x14ac:dyDescent="0.25">
      <c r="A140" t="s">
        <v>44</v>
      </c>
      <c r="B140">
        <v>328</v>
      </c>
      <c r="D140">
        <v>1970</v>
      </c>
      <c r="G140" t="s">
        <v>1571</v>
      </c>
      <c r="J140" t="s">
        <v>1572</v>
      </c>
      <c r="K140" t="s">
        <v>1572</v>
      </c>
      <c r="L140">
        <v>11983264135</v>
      </c>
      <c r="N140" t="s">
        <v>1574</v>
      </c>
      <c r="Q140" t="s">
        <v>778</v>
      </c>
      <c r="X140" t="s">
        <v>780</v>
      </c>
      <c r="Y140" t="s">
        <v>897</v>
      </c>
      <c r="AA140" s="31"/>
      <c r="AD140">
        <v>71</v>
      </c>
      <c r="AE140" t="s">
        <v>44</v>
      </c>
      <c r="AF140" s="31">
        <v>45748</v>
      </c>
      <c r="AG140" s="61">
        <v>0.6648263888888889</v>
      </c>
      <c r="AI140" t="s">
        <v>795</v>
      </c>
      <c r="AJ140" s="31">
        <v>45819</v>
      </c>
      <c r="AK140" s="61">
        <v>0.60791666666666666</v>
      </c>
      <c r="AL140" t="s">
        <v>796</v>
      </c>
      <c r="AM140" t="s">
        <v>1575</v>
      </c>
      <c r="AN140" t="s">
        <v>1576</v>
      </c>
      <c r="AS140" s="31"/>
      <c r="AY140">
        <v>1</v>
      </c>
    </row>
    <row r="141" spans="1:51" x14ac:dyDescent="0.25">
      <c r="A141" t="s">
        <v>44</v>
      </c>
      <c r="B141">
        <v>333</v>
      </c>
      <c r="D141">
        <v>1977</v>
      </c>
      <c r="G141" t="s">
        <v>1577</v>
      </c>
      <c r="H141">
        <v>32921219000110</v>
      </c>
      <c r="J141" t="s">
        <v>1578</v>
      </c>
      <c r="K141" t="s">
        <v>1578</v>
      </c>
      <c r="L141">
        <v>11910695515</v>
      </c>
      <c r="N141" t="s">
        <v>1580</v>
      </c>
      <c r="Q141" t="s">
        <v>778</v>
      </c>
      <c r="W141" t="s">
        <v>1581</v>
      </c>
      <c r="X141" t="s">
        <v>780</v>
      </c>
      <c r="Y141" t="s">
        <v>807</v>
      </c>
      <c r="AA141" s="31"/>
      <c r="AB141">
        <v>69112</v>
      </c>
      <c r="AC141">
        <v>318388</v>
      </c>
      <c r="AD141">
        <v>88</v>
      </c>
      <c r="AE141" t="s">
        <v>44</v>
      </c>
      <c r="AF141" s="31">
        <v>45750</v>
      </c>
      <c r="AG141" s="61">
        <v>0.66128472222222223</v>
      </c>
      <c r="AI141" t="s">
        <v>795</v>
      </c>
      <c r="AJ141" s="31">
        <v>45838</v>
      </c>
      <c r="AK141" s="61">
        <v>0.63310185185185186</v>
      </c>
      <c r="AL141" t="s">
        <v>934</v>
      </c>
      <c r="AM141" t="s">
        <v>1582</v>
      </c>
      <c r="AO141" t="s">
        <v>1583</v>
      </c>
      <c r="AP141" t="s">
        <v>44</v>
      </c>
      <c r="AQ141" t="s">
        <v>1583</v>
      </c>
      <c r="AR141" t="s">
        <v>1584</v>
      </c>
      <c r="AS141" s="31"/>
      <c r="AY141">
        <v>1</v>
      </c>
    </row>
    <row r="142" spans="1:51" x14ac:dyDescent="0.25">
      <c r="A142" t="s">
        <v>31</v>
      </c>
      <c r="B142">
        <v>334</v>
      </c>
      <c r="D142">
        <v>1978</v>
      </c>
      <c r="G142" t="s">
        <v>1585</v>
      </c>
      <c r="H142">
        <v>55940574000131</v>
      </c>
      <c r="J142" t="s">
        <v>1586</v>
      </c>
      <c r="K142" t="s">
        <v>1586</v>
      </c>
      <c r="L142">
        <v>16994380062</v>
      </c>
      <c r="N142" t="s">
        <v>1588</v>
      </c>
      <c r="Q142" t="s">
        <v>778</v>
      </c>
      <c r="T142" t="s">
        <v>933</v>
      </c>
      <c r="W142" t="s">
        <v>1581</v>
      </c>
      <c r="X142" t="s">
        <v>780</v>
      </c>
      <c r="Y142" t="s">
        <v>807</v>
      </c>
      <c r="Z142" t="s">
        <v>995</v>
      </c>
      <c r="AA142" s="31">
        <v>46053</v>
      </c>
      <c r="AD142">
        <v>228</v>
      </c>
      <c r="AE142" t="s">
        <v>31</v>
      </c>
      <c r="AF142" s="31">
        <v>45751</v>
      </c>
      <c r="AG142" s="61">
        <v>0.64585648148148145</v>
      </c>
      <c r="AI142" t="s">
        <v>795</v>
      </c>
      <c r="AJ142" s="31">
        <v>45979</v>
      </c>
      <c r="AK142" s="61">
        <v>0.39087962962962958</v>
      </c>
      <c r="AL142" t="s">
        <v>796</v>
      </c>
      <c r="AO142" t="s">
        <v>1589</v>
      </c>
      <c r="AP142" t="s">
        <v>31</v>
      </c>
      <c r="AQ142" t="s">
        <v>1590</v>
      </c>
      <c r="AR142" t="s">
        <v>1591</v>
      </c>
      <c r="AS142" s="31"/>
      <c r="AY142">
        <v>1</v>
      </c>
    </row>
    <row r="143" spans="1:51" x14ac:dyDescent="0.25">
      <c r="A143" t="s">
        <v>44</v>
      </c>
      <c r="B143">
        <v>336</v>
      </c>
      <c r="D143">
        <v>1980</v>
      </c>
      <c r="G143" t="s">
        <v>1592</v>
      </c>
      <c r="H143">
        <v>56262451000151</v>
      </c>
      <c r="J143" t="s">
        <v>1593</v>
      </c>
      <c r="K143" t="s">
        <v>1593</v>
      </c>
      <c r="L143" t="s">
        <v>1594</v>
      </c>
      <c r="N143" t="s">
        <v>1595</v>
      </c>
      <c r="Q143" t="s">
        <v>778</v>
      </c>
      <c r="R143" t="s">
        <v>1596</v>
      </c>
      <c r="S143" t="s">
        <v>790</v>
      </c>
      <c r="X143" t="s">
        <v>780</v>
      </c>
      <c r="Y143" t="s">
        <v>807</v>
      </c>
      <c r="AA143" s="31"/>
      <c r="AB143">
        <v>110486</v>
      </c>
      <c r="AC143">
        <v>704412</v>
      </c>
      <c r="AD143">
        <v>16</v>
      </c>
      <c r="AE143" t="s">
        <v>44</v>
      </c>
      <c r="AF143" s="31">
        <v>45754</v>
      </c>
      <c r="AG143" s="61">
        <v>0.42481481481481481</v>
      </c>
      <c r="AI143" t="s">
        <v>795</v>
      </c>
      <c r="AJ143" s="31">
        <v>45770</v>
      </c>
      <c r="AK143" s="61">
        <v>0.62724537037037043</v>
      </c>
      <c r="AL143" t="s">
        <v>934</v>
      </c>
      <c r="AM143" t="s">
        <v>1597</v>
      </c>
      <c r="AN143" t="s">
        <v>1598</v>
      </c>
      <c r="AO143" t="s">
        <v>1576</v>
      </c>
      <c r="AS143" s="31"/>
      <c r="AY143">
        <v>1</v>
      </c>
    </row>
    <row r="144" spans="1:51" x14ac:dyDescent="0.25">
      <c r="A144" t="s">
        <v>22</v>
      </c>
      <c r="B144">
        <v>338</v>
      </c>
      <c r="D144">
        <v>1983</v>
      </c>
      <c r="G144" t="s">
        <v>1599</v>
      </c>
      <c r="H144">
        <v>750764000102</v>
      </c>
      <c r="J144" t="s">
        <v>1600</v>
      </c>
      <c r="K144" t="s">
        <v>1600</v>
      </c>
      <c r="L144">
        <v>4834332503</v>
      </c>
      <c r="N144" t="s">
        <v>1602</v>
      </c>
      <c r="Q144" t="s">
        <v>778</v>
      </c>
      <c r="X144" t="s">
        <v>780</v>
      </c>
      <c r="Y144" t="s">
        <v>807</v>
      </c>
      <c r="AA144" s="31"/>
      <c r="AB144">
        <v>50000</v>
      </c>
      <c r="AC144">
        <v>30502</v>
      </c>
      <c r="AD144">
        <v>26</v>
      </c>
      <c r="AE144" t="s">
        <v>22</v>
      </c>
      <c r="AF144" s="31">
        <v>45754</v>
      </c>
      <c r="AG144" s="61">
        <v>0.60024305555555557</v>
      </c>
      <c r="AI144" t="s">
        <v>795</v>
      </c>
      <c r="AJ144" s="31">
        <v>45780</v>
      </c>
      <c r="AK144" s="61">
        <v>0.44513888888888892</v>
      </c>
      <c r="AL144" t="s">
        <v>867</v>
      </c>
      <c r="AO144" t="s">
        <v>1603</v>
      </c>
      <c r="AP144" t="s">
        <v>22</v>
      </c>
      <c r="AQ144" t="s">
        <v>1604</v>
      </c>
      <c r="AS144" s="31"/>
      <c r="AY144">
        <v>1</v>
      </c>
    </row>
    <row r="145" spans="1:51" x14ac:dyDescent="0.25">
      <c r="A145" t="s">
        <v>44</v>
      </c>
      <c r="B145">
        <v>343</v>
      </c>
      <c r="D145">
        <v>1988</v>
      </c>
      <c r="G145" t="s">
        <v>1605</v>
      </c>
      <c r="J145" t="s">
        <v>1606</v>
      </c>
      <c r="K145" t="s">
        <v>1606</v>
      </c>
      <c r="L145">
        <v>11940062281</v>
      </c>
      <c r="N145" t="s">
        <v>1608</v>
      </c>
      <c r="Q145" t="s">
        <v>778</v>
      </c>
      <c r="X145" t="s">
        <v>780</v>
      </c>
      <c r="Y145" t="s">
        <v>793</v>
      </c>
      <c r="AA145" s="31"/>
      <c r="AB145">
        <v>32400</v>
      </c>
      <c r="AC145">
        <v>104544</v>
      </c>
      <c r="AD145">
        <v>34</v>
      </c>
      <c r="AE145" t="s">
        <v>44</v>
      </c>
      <c r="AF145" s="31">
        <v>45758</v>
      </c>
      <c r="AG145" s="61">
        <v>0.4972685185185185</v>
      </c>
      <c r="AI145" t="s">
        <v>795</v>
      </c>
      <c r="AJ145" s="31">
        <v>45792</v>
      </c>
      <c r="AK145" s="61">
        <v>0.47031250000000002</v>
      </c>
      <c r="AL145" t="s">
        <v>796</v>
      </c>
      <c r="AM145" t="s">
        <v>1609</v>
      </c>
      <c r="AO145" t="s">
        <v>1610</v>
      </c>
      <c r="AQ145" t="s">
        <v>1610</v>
      </c>
      <c r="AS145" s="31"/>
      <c r="AY145">
        <v>1</v>
      </c>
    </row>
    <row r="146" spans="1:51" x14ac:dyDescent="0.25">
      <c r="A146" t="s">
        <v>44</v>
      </c>
      <c r="B146">
        <v>346</v>
      </c>
      <c r="D146">
        <v>1991</v>
      </c>
      <c r="G146" t="s">
        <v>1611</v>
      </c>
      <c r="J146" t="s">
        <v>1612</v>
      </c>
      <c r="K146" t="s">
        <v>1612</v>
      </c>
      <c r="L146">
        <v>11965745182</v>
      </c>
      <c r="N146" t="s">
        <v>1614</v>
      </c>
      <c r="Q146" t="s">
        <v>778</v>
      </c>
      <c r="W146" t="s">
        <v>1615</v>
      </c>
      <c r="X146" t="s">
        <v>780</v>
      </c>
      <c r="Y146" t="s">
        <v>816</v>
      </c>
      <c r="AA146" s="31">
        <v>46053</v>
      </c>
      <c r="AB146">
        <v>51306</v>
      </c>
      <c r="AC146">
        <v>2700</v>
      </c>
      <c r="AD146">
        <v>296</v>
      </c>
      <c r="AE146" t="s">
        <v>44</v>
      </c>
      <c r="AF146" s="31">
        <v>45762</v>
      </c>
      <c r="AG146" s="61">
        <v>0.62379629629629629</v>
      </c>
      <c r="AI146" t="s">
        <v>818</v>
      </c>
      <c r="AJ146" s="31">
        <v>45783</v>
      </c>
      <c r="AK146" s="61">
        <v>0.48605324074074069</v>
      </c>
      <c r="AM146">
        <v>0</v>
      </c>
      <c r="AO146" t="s">
        <v>888</v>
      </c>
      <c r="AQ146" t="s">
        <v>888</v>
      </c>
      <c r="AS146" s="31">
        <v>46028</v>
      </c>
      <c r="AY146">
        <v>1</v>
      </c>
    </row>
    <row r="147" spans="1:51" x14ac:dyDescent="0.25">
      <c r="A147" t="s">
        <v>44</v>
      </c>
      <c r="B147">
        <v>347</v>
      </c>
      <c r="D147">
        <v>1992</v>
      </c>
      <c r="G147" t="s">
        <v>1616</v>
      </c>
      <c r="J147" t="s">
        <v>1617</v>
      </c>
      <c r="K147" t="s">
        <v>1617</v>
      </c>
      <c r="L147">
        <v>11965745182</v>
      </c>
      <c r="N147" t="s">
        <v>1614</v>
      </c>
      <c r="Q147" t="s">
        <v>778</v>
      </c>
      <c r="X147" t="s">
        <v>780</v>
      </c>
      <c r="Y147" t="s">
        <v>807</v>
      </c>
      <c r="AA147" s="31"/>
      <c r="AB147">
        <v>15216</v>
      </c>
      <c r="AC147">
        <v>37684</v>
      </c>
      <c r="AD147">
        <v>21</v>
      </c>
      <c r="AE147" t="s">
        <v>44</v>
      </c>
      <c r="AF147" s="31">
        <v>45762</v>
      </c>
      <c r="AG147" s="61">
        <v>0.62471064814814814</v>
      </c>
      <c r="AI147" t="s">
        <v>795</v>
      </c>
      <c r="AJ147" s="31">
        <v>45783</v>
      </c>
      <c r="AK147" s="61">
        <v>0.4869560185185185</v>
      </c>
      <c r="AL147" t="s">
        <v>867</v>
      </c>
      <c r="AM147" t="s">
        <v>1618</v>
      </c>
      <c r="AO147" t="s">
        <v>1584</v>
      </c>
      <c r="AQ147" t="s">
        <v>1619</v>
      </c>
      <c r="AS147" s="31"/>
      <c r="AY147">
        <v>1</v>
      </c>
    </row>
    <row r="148" spans="1:51" x14ac:dyDescent="0.25">
      <c r="A148" t="s">
        <v>44</v>
      </c>
      <c r="B148">
        <v>348</v>
      </c>
      <c r="D148">
        <v>1993</v>
      </c>
      <c r="G148" t="s">
        <v>1620</v>
      </c>
      <c r="J148" t="s">
        <v>1621</v>
      </c>
      <c r="K148" t="s">
        <v>1621</v>
      </c>
      <c r="L148">
        <v>11997371774</v>
      </c>
      <c r="N148" t="s">
        <v>1623</v>
      </c>
      <c r="Q148" t="s">
        <v>778</v>
      </c>
      <c r="X148" t="s">
        <v>780</v>
      </c>
      <c r="Y148" t="s">
        <v>816</v>
      </c>
      <c r="Z148" t="s">
        <v>995</v>
      </c>
      <c r="AA148" s="31"/>
      <c r="AB148">
        <v>15264</v>
      </c>
      <c r="AC148">
        <v>8210</v>
      </c>
      <c r="AD148">
        <v>22</v>
      </c>
      <c r="AE148" t="s">
        <v>44</v>
      </c>
      <c r="AF148" s="31">
        <v>45762</v>
      </c>
      <c r="AG148" s="61">
        <v>0.7232291666666667</v>
      </c>
      <c r="AI148" t="s">
        <v>818</v>
      </c>
      <c r="AJ148" s="31">
        <v>45784</v>
      </c>
      <c r="AK148" s="61">
        <v>0.37145833333333328</v>
      </c>
      <c r="AO148" t="s">
        <v>1624</v>
      </c>
      <c r="AS148" s="31"/>
      <c r="AY148">
        <v>1</v>
      </c>
    </row>
    <row r="149" spans="1:51" x14ac:dyDescent="0.25">
      <c r="A149" t="s">
        <v>44</v>
      </c>
      <c r="B149">
        <v>351</v>
      </c>
      <c r="D149">
        <v>1997</v>
      </c>
      <c r="G149" t="s">
        <v>1625</v>
      </c>
      <c r="H149">
        <v>56262451000151</v>
      </c>
      <c r="J149" t="s">
        <v>1626</v>
      </c>
      <c r="K149" t="s">
        <v>1626</v>
      </c>
      <c r="L149" t="s">
        <v>1594</v>
      </c>
      <c r="N149" t="s">
        <v>1595</v>
      </c>
      <c r="Q149" t="s">
        <v>778</v>
      </c>
      <c r="R149" t="s">
        <v>1596</v>
      </c>
      <c r="S149" t="s">
        <v>790</v>
      </c>
      <c r="X149" t="s">
        <v>780</v>
      </c>
      <c r="Y149" t="s">
        <v>807</v>
      </c>
      <c r="AA149" s="31"/>
      <c r="AB149">
        <v>1620001</v>
      </c>
      <c r="AC149">
        <v>3400</v>
      </c>
      <c r="AD149">
        <v>6</v>
      </c>
      <c r="AE149" t="s">
        <v>44</v>
      </c>
      <c r="AF149" s="31">
        <v>45764</v>
      </c>
      <c r="AG149" s="61">
        <v>0.43085648148148148</v>
      </c>
      <c r="AI149" t="s">
        <v>795</v>
      </c>
      <c r="AJ149" s="31">
        <v>45770</v>
      </c>
      <c r="AK149" s="61">
        <v>0.62804398148148144</v>
      </c>
      <c r="AL149" t="s">
        <v>934</v>
      </c>
      <c r="AM149" t="s">
        <v>1597</v>
      </c>
      <c r="AO149" t="s">
        <v>1598</v>
      </c>
      <c r="AQ149" t="s">
        <v>1576</v>
      </c>
      <c r="AS149" s="31"/>
      <c r="AY149">
        <v>1</v>
      </c>
    </row>
    <row r="150" spans="1:51" x14ac:dyDescent="0.25">
      <c r="A150" t="s">
        <v>44</v>
      </c>
      <c r="B150">
        <v>352</v>
      </c>
      <c r="D150">
        <v>1999</v>
      </c>
      <c r="G150" t="s">
        <v>1627</v>
      </c>
      <c r="J150" t="s">
        <v>1628</v>
      </c>
      <c r="K150" t="s">
        <v>1628</v>
      </c>
      <c r="L150">
        <v>11949590732</v>
      </c>
      <c r="N150" t="s">
        <v>1595</v>
      </c>
      <c r="Q150" t="s">
        <v>778</v>
      </c>
      <c r="X150" t="s">
        <v>780</v>
      </c>
      <c r="Y150" t="s">
        <v>807</v>
      </c>
      <c r="AA150" s="31"/>
      <c r="AB150">
        <v>16200</v>
      </c>
      <c r="AC150">
        <v>2160</v>
      </c>
      <c r="AD150">
        <v>6</v>
      </c>
      <c r="AE150" t="s">
        <v>44</v>
      </c>
      <c r="AF150" s="31">
        <v>45764</v>
      </c>
      <c r="AG150" s="61">
        <v>0.46605324074074073</v>
      </c>
      <c r="AI150" t="s">
        <v>795</v>
      </c>
      <c r="AJ150" s="31">
        <v>45770</v>
      </c>
      <c r="AK150" s="61">
        <v>0.62869212962962961</v>
      </c>
      <c r="AL150" t="s">
        <v>934</v>
      </c>
      <c r="AM150" t="s">
        <v>1597</v>
      </c>
      <c r="AO150" t="s">
        <v>1598</v>
      </c>
      <c r="AQ150" t="s">
        <v>1576</v>
      </c>
      <c r="AS150" s="31"/>
      <c r="AY150">
        <v>1</v>
      </c>
    </row>
    <row r="151" spans="1:51" x14ac:dyDescent="0.25">
      <c r="A151" t="s">
        <v>44</v>
      </c>
      <c r="B151">
        <v>353</v>
      </c>
      <c r="D151">
        <v>2000</v>
      </c>
      <c r="G151" t="s">
        <v>1630</v>
      </c>
      <c r="H151">
        <v>8678467000105</v>
      </c>
      <c r="J151" t="s">
        <v>1631</v>
      </c>
      <c r="K151" t="s">
        <v>1631</v>
      </c>
      <c r="L151" t="s">
        <v>1632</v>
      </c>
      <c r="Q151" t="s">
        <v>778</v>
      </c>
      <c r="R151" t="s">
        <v>1633</v>
      </c>
      <c r="S151" t="s">
        <v>848</v>
      </c>
      <c r="W151" t="s">
        <v>1419</v>
      </c>
      <c r="X151" t="s">
        <v>780</v>
      </c>
      <c r="Y151" t="s">
        <v>807</v>
      </c>
      <c r="AA151" s="31"/>
      <c r="AB151">
        <v>5667184</v>
      </c>
      <c r="AC151">
        <v>539533</v>
      </c>
      <c r="AD151">
        <v>68</v>
      </c>
      <c r="AE151" t="s">
        <v>44</v>
      </c>
      <c r="AF151" s="31">
        <v>45764</v>
      </c>
      <c r="AG151" s="61">
        <v>0.51119212962962968</v>
      </c>
      <c r="AI151" t="s">
        <v>795</v>
      </c>
      <c r="AJ151" s="31">
        <v>45832</v>
      </c>
      <c r="AK151" s="61">
        <v>0.4964351851851852</v>
      </c>
      <c r="AL151" t="s">
        <v>934</v>
      </c>
      <c r="AM151" t="s">
        <v>1634</v>
      </c>
      <c r="AO151" t="s">
        <v>1583</v>
      </c>
      <c r="AQ151" t="s">
        <v>1583</v>
      </c>
      <c r="AS151" s="31"/>
      <c r="AY151">
        <v>1</v>
      </c>
    </row>
    <row r="152" spans="1:51" x14ac:dyDescent="0.25">
      <c r="A152" t="s">
        <v>44</v>
      </c>
      <c r="B152">
        <v>354</v>
      </c>
      <c r="D152">
        <v>2002</v>
      </c>
      <c r="G152" t="s">
        <v>1635</v>
      </c>
      <c r="H152">
        <v>8678467000105</v>
      </c>
      <c r="J152" t="s">
        <v>1636</v>
      </c>
      <c r="K152" t="s">
        <v>1636</v>
      </c>
      <c r="L152" t="s">
        <v>1632</v>
      </c>
      <c r="Q152" t="s">
        <v>778</v>
      </c>
      <c r="R152" t="s">
        <v>1633</v>
      </c>
      <c r="S152" t="s">
        <v>848</v>
      </c>
      <c r="W152" t="s">
        <v>1419</v>
      </c>
      <c r="X152" t="s">
        <v>780</v>
      </c>
      <c r="Y152" t="s">
        <v>807</v>
      </c>
      <c r="AA152" s="31"/>
      <c r="AB152">
        <v>1600</v>
      </c>
      <c r="AC152">
        <v>28747</v>
      </c>
      <c r="AD152">
        <v>68</v>
      </c>
      <c r="AE152" t="s">
        <v>44</v>
      </c>
      <c r="AF152" s="31">
        <v>45764</v>
      </c>
      <c r="AG152" s="61">
        <v>0.59777777777777774</v>
      </c>
      <c r="AI152" t="s">
        <v>795</v>
      </c>
      <c r="AJ152" s="31">
        <v>45832</v>
      </c>
      <c r="AK152" s="61">
        <v>0.49752314814814808</v>
      </c>
      <c r="AL152" t="s">
        <v>934</v>
      </c>
      <c r="AM152" t="s">
        <v>1637</v>
      </c>
      <c r="AO152" t="s">
        <v>1583</v>
      </c>
      <c r="AQ152" t="s">
        <v>1583</v>
      </c>
      <c r="AS152" s="31"/>
      <c r="AY152">
        <v>1</v>
      </c>
    </row>
    <row r="153" spans="1:51" x14ac:dyDescent="0.25">
      <c r="A153" t="s">
        <v>44</v>
      </c>
      <c r="B153">
        <v>355</v>
      </c>
      <c r="D153">
        <v>2004</v>
      </c>
      <c r="G153" t="s">
        <v>1638</v>
      </c>
      <c r="J153" t="s">
        <v>1639</v>
      </c>
      <c r="K153" t="s">
        <v>1639</v>
      </c>
      <c r="L153">
        <v>11910695515</v>
      </c>
      <c r="N153" t="s">
        <v>1640</v>
      </c>
      <c r="Q153" t="s">
        <v>778</v>
      </c>
      <c r="W153" t="s">
        <v>1581</v>
      </c>
      <c r="X153" t="s">
        <v>780</v>
      </c>
      <c r="Y153" t="s">
        <v>807</v>
      </c>
      <c r="AA153" s="31"/>
      <c r="AB153">
        <v>1600</v>
      </c>
      <c r="AC153">
        <v>32107</v>
      </c>
      <c r="AD153">
        <v>74</v>
      </c>
      <c r="AE153" t="s">
        <v>44</v>
      </c>
      <c r="AF153" s="31">
        <v>45764</v>
      </c>
      <c r="AG153" s="61">
        <v>0.64312499999999995</v>
      </c>
      <c r="AI153" t="s">
        <v>795</v>
      </c>
      <c r="AJ153" s="31">
        <v>45838</v>
      </c>
      <c r="AK153" s="61">
        <v>0.63413194444444443</v>
      </c>
      <c r="AL153" t="s">
        <v>934</v>
      </c>
      <c r="AM153" t="s">
        <v>1641</v>
      </c>
      <c r="AO153" t="s">
        <v>1583</v>
      </c>
      <c r="AQ153" t="s">
        <v>1583</v>
      </c>
      <c r="AR153" t="s">
        <v>1584</v>
      </c>
      <c r="AS153" s="31"/>
      <c r="AY153">
        <v>1</v>
      </c>
    </row>
    <row r="154" spans="1:51" x14ac:dyDescent="0.25">
      <c r="A154" t="s">
        <v>44</v>
      </c>
      <c r="B154">
        <v>358</v>
      </c>
      <c r="D154">
        <v>2008</v>
      </c>
      <c r="G154" t="s">
        <v>1642</v>
      </c>
      <c r="J154" t="s">
        <v>1643</v>
      </c>
      <c r="K154" t="s">
        <v>1643</v>
      </c>
      <c r="L154" t="s">
        <v>1644</v>
      </c>
      <c r="N154" t="s">
        <v>1645</v>
      </c>
      <c r="Q154" t="s">
        <v>778</v>
      </c>
      <c r="R154" t="s">
        <v>1646</v>
      </c>
      <c r="T154" t="s">
        <v>814</v>
      </c>
      <c r="W154" t="s">
        <v>1186</v>
      </c>
      <c r="X154" t="s">
        <v>780</v>
      </c>
      <c r="Y154" t="s">
        <v>793</v>
      </c>
      <c r="AA154" s="31"/>
      <c r="AB154">
        <v>58088</v>
      </c>
      <c r="AC154">
        <v>112089</v>
      </c>
      <c r="AD154">
        <v>17</v>
      </c>
      <c r="AE154" t="s">
        <v>22</v>
      </c>
      <c r="AF154" s="31">
        <v>45775</v>
      </c>
      <c r="AG154" s="61">
        <v>0.6950115740740741</v>
      </c>
      <c r="AI154" t="s">
        <v>795</v>
      </c>
      <c r="AJ154" s="31">
        <v>45792</v>
      </c>
      <c r="AK154" s="61">
        <v>0.64664351851851853</v>
      </c>
      <c r="AL154" t="s">
        <v>796</v>
      </c>
      <c r="AM154" t="s">
        <v>1647</v>
      </c>
      <c r="AO154" t="s">
        <v>1589</v>
      </c>
      <c r="AP154" t="s">
        <v>44</v>
      </c>
      <c r="AQ154" t="s">
        <v>1589</v>
      </c>
      <c r="AS154" s="31"/>
      <c r="AY154">
        <v>1</v>
      </c>
    </row>
    <row r="155" spans="1:51" x14ac:dyDescent="0.25">
      <c r="A155" t="s">
        <v>22</v>
      </c>
      <c r="B155">
        <v>359</v>
      </c>
      <c r="D155">
        <v>2019</v>
      </c>
      <c r="G155" t="s">
        <v>1648</v>
      </c>
      <c r="J155" t="s">
        <v>1649</v>
      </c>
      <c r="K155" t="s">
        <v>1649</v>
      </c>
      <c r="L155" t="s">
        <v>1650</v>
      </c>
      <c r="N155" t="s">
        <v>1651</v>
      </c>
      <c r="Q155" t="s">
        <v>778</v>
      </c>
      <c r="X155" t="s">
        <v>780</v>
      </c>
      <c r="Y155" t="s">
        <v>816</v>
      </c>
      <c r="AA155" s="31"/>
      <c r="AB155">
        <v>40000</v>
      </c>
      <c r="AC155">
        <v>23581</v>
      </c>
      <c r="AD155">
        <v>43</v>
      </c>
      <c r="AE155" t="s">
        <v>22</v>
      </c>
      <c r="AF155" s="31">
        <v>45775</v>
      </c>
      <c r="AG155" s="61">
        <v>0.69732638888888887</v>
      </c>
      <c r="AI155" t="s">
        <v>818</v>
      </c>
      <c r="AJ155" s="31">
        <v>45818</v>
      </c>
      <c r="AK155" s="61">
        <v>0.51094907407407408</v>
      </c>
      <c r="AO155" t="s">
        <v>1652</v>
      </c>
      <c r="AP155" t="s">
        <v>22</v>
      </c>
      <c r="AQ155" t="s">
        <v>1653</v>
      </c>
      <c r="AS155" s="31"/>
      <c r="AY155">
        <v>1</v>
      </c>
    </row>
    <row r="156" spans="1:51" x14ac:dyDescent="0.25">
      <c r="A156" t="s">
        <v>22</v>
      </c>
      <c r="B156">
        <v>360</v>
      </c>
      <c r="D156">
        <v>1986</v>
      </c>
      <c r="G156" t="s">
        <v>1654</v>
      </c>
      <c r="J156" t="s">
        <v>1655</v>
      </c>
      <c r="K156" t="s">
        <v>1655</v>
      </c>
      <c r="L156" t="s">
        <v>1656</v>
      </c>
      <c r="N156" t="s">
        <v>1657</v>
      </c>
      <c r="Q156" t="s">
        <v>778</v>
      </c>
      <c r="R156" t="s">
        <v>923</v>
      </c>
      <c r="T156" t="s">
        <v>814</v>
      </c>
      <c r="W156" t="s">
        <v>1186</v>
      </c>
      <c r="X156" t="s">
        <v>780</v>
      </c>
      <c r="Y156" t="s">
        <v>807</v>
      </c>
      <c r="AA156" s="31"/>
      <c r="AB156">
        <v>68400</v>
      </c>
      <c r="AC156">
        <v>302046</v>
      </c>
      <c r="AD156">
        <v>43</v>
      </c>
      <c r="AE156" t="s">
        <v>22</v>
      </c>
      <c r="AF156" s="31">
        <v>45775</v>
      </c>
      <c r="AG156" s="61">
        <v>0.70218749999999996</v>
      </c>
      <c r="AI156" t="s">
        <v>795</v>
      </c>
      <c r="AJ156" s="31">
        <v>45818</v>
      </c>
      <c r="AK156" s="61">
        <v>0.61357638888888888</v>
      </c>
      <c r="AL156" t="s">
        <v>858</v>
      </c>
      <c r="AO156" t="s">
        <v>1652</v>
      </c>
      <c r="AP156" t="s">
        <v>22</v>
      </c>
      <c r="AQ156" t="s">
        <v>1653</v>
      </c>
      <c r="AS156" s="31"/>
      <c r="AY156">
        <v>1</v>
      </c>
    </row>
    <row r="157" spans="1:51" x14ac:dyDescent="0.25">
      <c r="A157" t="s">
        <v>44</v>
      </c>
      <c r="B157">
        <v>361</v>
      </c>
      <c r="D157">
        <v>2010</v>
      </c>
      <c r="G157" t="s">
        <v>1658</v>
      </c>
      <c r="J157" t="s">
        <v>1659</v>
      </c>
      <c r="K157" t="s">
        <v>1659</v>
      </c>
      <c r="L157">
        <v>22999671888</v>
      </c>
      <c r="N157" t="s">
        <v>1645</v>
      </c>
      <c r="Q157" t="s">
        <v>778</v>
      </c>
      <c r="X157" t="s">
        <v>780</v>
      </c>
      <c r="Y157" t="s">
        <v>793</v>
      </c>
      <c r="AA157" s="31"/>
      <c r="AB157">
        <v>26200</v>
      </c>
      <c r="AC157">
        <v>3400</v>
      </c>
      <c r="AD157">
        <v>16</v>
      </c>
      <c r="AE157" t="s">
        <v>44</v>
      </c>
      <c r="AF157" s="31">
        <v>45776</v>
      </c>
      <c r="AG157" s="61">
        <v>0.6177893518518518</v>
      </c>
      <c r="AI157" t="s">
        <v>795</v>
      </c>
      <c r="AJ157" s="31">
        <v>45792</v>
      </c>
      <c r="AK157" s="61">
        <v>0.64693287037037039</v>
      </c>
      <c r="AL157" t="s">
        <v>796</v>
      </c>
      <c r="AM157" t="s">
        <v>1647</v>
      </c>
      <c r="AO157" t="s">
        <v>1589</v>
      </c>
      <c r="AQ157" t="s">
        <v>1589</v>
      </c>
      <c r="AS157" s="31"/>
      <c r="AY157">
        <v>1</v>
      </c>
    </row>
    <row r="158" spans="1:51" x14ac:dyDescent="0.25">
      <c r="A158" t="s">
        <v>44</v>
      </c>
      <c r="B158">
        <v>362</v>
      </c>
      <c r="D158">
        <v>2011</v>
      </c>
      <c r="G158" t="s">
        <v>1661</v>
      </c>
      <c r="J158" t="s">
        <v>1662</v>
      </c>
      <c r="K158" t="s">
        <v>1662</v>
      </c>
      <c r="L158">
        <v>11965745182</v>
      </c>
      <c r="N158" t="s">
        <v>1614</v>
      </c>
      <c r="Q158" t="s">
        <v>778</v>
      </c>
      <c r="X158" t="s">
        <v>780</v>
      </c>
      <c r="Y158" t="s">
        <v>807</v>
      </c>
      <c r="AA158" s="31"/>
      <c r="AB158">
        <v>1600</v>
      </c>
      <c r="AC158">
        <v>1026</v>
      </c>
      <c r="AD158">
        <v>7</v>
      </c>
      <c r="AE158" t="s">
        <v>44</v>
      </c>
      <c r="AF158" s="31">
        <v>45776</v>
      </c>
      <c r="AG158" s="61">
        <v>0.70245370370370375</v>
      </c>
      <c r="AI158" t="s">
        <v>795</v>
      </c>
      <c r="AJ158" s="31">
        <v>45783</v>
      </c>
      <c r="AK158" s="61">
        <v>0.62656250000000002</v>
      </c>
      <c r="AL158" t="s">
        <v>867</v>
      </c>
      <c r="AO158" t="s">
        <v>1584</v>
      </c>
      <c r="AQ158" t="s">
        <v>1619</v>
      </c>
      <c r="AS158" s="31"/>
      <c r="AY158">
        <v>1</v>
      </c>
    </row>
    <row r="159" spans="1:51" x14ac:dyDescent="0.25">
      <c r="A159" t="s">
        <v>31</v>
      </c>
      <c r="B159">
        <v>366</v>
      </c>
      <c r="D159">
        <v>2015</v>
      </c>
      <c r="G159" t="s">
        <v>1663</v>
      </c>
      <c r="J159" t="s">
        <v>1664</v>
      </c>
      <c r="K159" t="s">
        <v>1664</v>
      </c>
      <c r="N159" t="s">
        <v>1665</v>
      </c>
      <c r="Q159" t="s">
        <v>778</v>
      </c>
      <c r="X159" t="s">
        <v>780</v>
      </c>
      <c r="Y159" t="s">
        <v>816</v>
      </c>
      <c r="AA159" s="31"/>
      <c r="AB159">
        <v>3360</v>
      </c>
      <c r="AC159">
        <v>165372</v>
      </c>
      <c r="AD159">
        <v>19</v>
      </c>
      <c r="AE159" t="s">
        <v>31</v>
      </c>
      <c r="AF159" s="31">
        <v>45777</v>
      </c>
      <c r="AG159" s="61">
        <v>0.63238425925925923</v>
      </c>
      <c r="AI159" t="s">
        <v>818</v>
      </c>
      <c r="AJ159" s="31">
        <v>45796</v>
      </c>
      <c r="AK159" s="61">
        <v>0.37675925925925918</v>
      </c>
      <c r="AO159" t="s">
        <v>1666</v>
      </c>
      <c r="AQ159" t="s">
        <v>1666</v>
      </c>
      <c r="AS159" s="31"/>
      <c r="AY159">
        <v>1</v>
      </c>
    </row>
    <row r="160" spans="1:51" x14ac:dyDescent="0.25">
      <c r="A160" t="s">
        <v>44</v>
      </c>
      <c r="B160">
        <v>367</v>
      </c>
      <c r="D160">
        <v>2016</v>
      </c>
      <c r="G160" t="s">
        <v>1667</v>
      </c>
      <c r="J160" t="s">
        <v>1668</v>
      </c>
      <c r="K160" t="s">
        <v>1668</v>
      </c>
      <c r="L160">
        <v>22999671888</v>
      </c>
      <c r="N160" t="s">
        <v>1645</v>
      </c>
      <c r="Q160" t="s">
        <v>778</v>
      </c>
      <c r="X160" t="s">
        <v>780</v>
      </c>
      <c r="Y160" t="s">
        <v>793</v>
      </c>
      <c r="AA160" s="31"/>
      <c r="AB160">
        <v>1600</v>
      </c>
      <c r="AC160">
        <v>210169</v>
      </c>
      <c r="AD160">
        <v>15</v>
      </c>
      <c r="AE160" t="s">
        <v>44</v>
      </c>
      <c r="AF160" s="31">
        <v>45777</v>
      </c>
      <c r="AG160" s="61">
        <v>0.64599537037037036</v>
      </c>
      <c r="AI160" t="s">
        <v>795</v>
      </c>
      <c r="AJ160" s="31">
        <v>45792</v>
      </c>
      <c r="AK160" s="61">
        <v>0.64718750000000003</v>
      </c>
      <c r="AL160" t="s">
        <v>796</v>
      </c>
      <c r="AM160" t="s">
        <v>1647</v>
      </c>
      <c r="AO160" t="s">
        <v>1589</v>
      </c>
      <c r="AQ160" t="s">
        <v>1589</v>
      </c>
      <c r="AS160" s="31"/>
      <c r="AY160">
        <v>1</v>
      </c>
    </row>
    <row r="161" spans="1:51" x14ac:dyDescent="0.25">
      <c r="A161" t="s">
        <v>22</v>
      </c>
      <c r="B161">
        <v>368</v>
      </c>
      <c r="D161">
        <v>2017</v>
      </c>
      <c r="G161" t="s">
        <v>1669</v>
      </c>
      <c r="H161">
        <v>18677964000134</v>
      </c>
      <c r="J161" t="s">
        <v>640</v>
      </c>
      <c r="K161" t="s">
        <v>640</v>
      </c>
      <c r="L161">
        <v>1127696004</v>
      </c>
      <c r="N161" t="s">
        <v>1671</v>
      </c>
      <c r="Q161" t="s">
        <v>778</v>
      </c>
      <c r="X161" t="s">
        <v>780</v>
      </c>
      <c r="Y161" t="s">
        <v>816</v>
      </c>
      <c r="AA161" s="31"/>
      <c r="AB161">
        <v>14000</v>
      </c>
      <c r="AC161">
        <v>886</v>
      </c>
      <c r="AD161">
        <v>0</v>
      </c>
      <c r="AE161" t="s">
        <v>22</v>
      </c>
      <c r="AF161" s="31">
        <v>45779</v>
      </c>
      <c r="AG161" s="61">
        <v>0.58202546296296298</v>
      </c>
      <c r="AI161" t="s">
        <v>818</v>
      </c>
      <c r="AJ161" s="31">
        <v>45779</v>
      </c>
      <c r="AK161" s="61">
        <v>0.58649305555555553</v>
      </c>
      <c r="AO161" t="s">
        <v>1672</v>
      </c>
      <c r="AP161" t="s">
        <v>22</v>
      </c>
      <c r="AQ161" t="s">
        <v>1672</v>
      </c>
      <c r="AS161" s="31"/>
      <c r="AY161">
        <v>1</v>
      </c>
    </row>
    <row r="162" spans="1:51" x14ac:dyDescent="0.25">
      <c r="A162" t="s">
        <v>22</v>
      </c>
      <c r="B162">
        <v>369</v>
      </c>
      <c r="D162">
        <v>2018</v>
      </c>
      <c r="G162" t="s">
        <v>1673</v>
      </c>
      <c r="H162">
        <v>10906096000105</v>
      </c>
      <c r="J162" t="s">
        <v>641</v>
      </c>
      <c r="K162" t="s">
        <v>641</v>
      </c>
      <c r="L162">
        <v>1133133243</v>
      </c>
      <c r="N162" t="s">
        <v>1675</v>
      </c>
      <c r="Q162" t="s">
        <v>778</v>
      </c>
      <c r="X162" t="s">
        <v>780</v>
      </c>
      <c r="Y162" t="s">
        <v>781</v>
      </c>
      <c r="AA162" s="31"/>
      <c r="AB162">
        <v>13600</v>
      </c>
      <c r="AC162">
        <v>886</v>
      </c>
      <c r="AD162">
        <v>0</v>
      </c>
      <c r="AE162" t="s">
        <v>22</v>
      </c>
      <c r="AF162" s="31">
        <v>45779</v>
      </c>
      <c r="AG162" s="61">
        <v>0.58754629629629629</v>
      </c>
      <c r="AI162" t="s">
        <v>818</v>
      </c>
      <c r="AJ162" s="31">
        <v>45779</v>
      </c>
      <c r="AK162" s="61">
        <v>0.58922453703703703</v>
      </c>
      <c r="AO162" t="s">
        <v>1672</v>
      </c>
      <c r="AP162" t="s">
        <v>22</v>
      </c>
      <c r="AQ162" t="s">
        <v>1672</v>
      </c>
      <c r="AS162" s="31"/>
      <c r="AY162">
        <v>1</v>
      </c>
    </row>
    <row r="163" spans="1:51" x14ac:dyDescent="0.25">
      <c r="A163" t="s">
        <v>22</v>
      </c>
      <c r="B163">
        <v>370</v>
      </c>
      <c r="D163">
        <v>2020</v>
      </c>
      <c r="G163" t="s">
        <v>1676</v>
      </c>
      <c r="J163" t="s">
        <v>1677</v>
      </c>
      <c r="K163" t="s">
        <v>1677</v>
      </c>
      <c r="L163">
        <v>15998182143</v>
      </c>
      <c r="N163" t="s">
        <v>1111</v>
      </c>
      <c r="Q163" t="s">
        <v>778</v>
      </c>
      <c r="W163" t="s">
        <v>1419</v>
      </c>
      <c r="X163" t="s">
        <v>780</v>
      </c>
      <c r="Y163" t="s">
        <v>807</v>
      </c>
      <c r="AA163" s="31"/>
      <c r="AB163">
        <v>51250</v>
      </c>
      <c r="AC163">
        <v>33381</v>
      </c>
      <c r="AD163">
        <v>114</v>
      </c>
      <c r="AE163" t="s">
        <v>22</v>
      </c>
      <c r="AF163" s="31">
        <v>45780</v>
      </c>
      <c r="AG163" s="61">
        <v>0.46067129629629627</v>
      </c>
      <c r="AI163" t="s">
        <v>795</v>
      </c>
      <c r="AJ163" s="31">
        <v>45894</v>
      </c>
      <c r="AK163" s="61">
        <v>0.60730324074074071</v>
      </c>
      <c r="AL163" t="s">
        <v>796</v>
      </c>
      <c r="AP163" t="s">
        <v>22</v>
      </c>
      <c r="AQ163" t="s">
        <v>1679</v>
      </c>
      <c r="AS163" s="31"/>
      <c r="AY163">
        <v>1</v>
      </c>
    </row>
    <row r="164" spans="1:51" x14ac:dyDescent="0.25">
      <c r="A164" t="s">
        <v>44</v>
      </c>
      <c r="B164">
        <v>375</v>
      </c>
      <c r="D164">
        <v>2024</v>
      </c>
      <c r="G164" t="s">
        <v>1680</v>
      </c>
      <c r="J164" t="s">
        <v>1681</v>
      </c>
      <c r="K164" t="s">
        <v>1681</v>
      </c>
      <c r="L164">
        <v>11947482090</v>
      </c>
      <c r="N164" t="s">
        <v>1683</v>
      </c>
      <c r="Q164" t="s">
        <v>778</v>
      </c>
      <c r="X164" t="s">
        <v>780</v>
      </c>
      <c r="Y164" t="s">
        <v>793</v>
      </c>
      <c r="AA164" s="31"/>
      <c r="AB164">
        <v>69112</v>
      </c>
      <c r="AC164">
        <v>508112</v>
      </c>
      <c r="AD164">
        <v>7</v>
      </c>
      <c r="AE164" t="s">
        <v>44</v>
      </c>
      <c r="AF164" s="31">
        <v>45785</v>
      </c>
      <c r="AG164" s="61">
        <v>0.67459490740740746</v>
      </c>
      <c r="AI164" t="s">
        <v>795</v>
      </c>
      <c r="AJ164" s="31">
        <v>45792</v>
      </c>
      <c r="AK164" s="61">
        <v>0.6825</v>
      </c>
      <c r="AL164" t="s">
        <v>934</v>
      </c>
      <c r="AO164" t="s">
        <v>1684</v>
      </c>
      <c r="AQ164" t="s">
        <v>1684</v>
      </c>
      <c r="AS164" s="31"/>
      <c r="AY164">
        <v>1</v>
      </c>
    </row>
    <row r="165" spans="1:51" x14ac:dyDescent="0.25">
      <c r="A165" t="s">
        <v>44</v>
      </c>
      <c r="B165">
        <v>376</v>
      </c>
      <c r="D165">
        <v>2025</v>
      </c>
      <c r="G165" t="s">
        <v>1685</v>
      </c>
      <c r="J165" t="s">
        <v>1686</v>
      </c>
      <c r="K165" t="s">
        <v>1686</v>
      </c>
      <c r="L165">
        <v>11947482090</v>
      </c>
      <c r="N165" t="s">
        <v>1683</v>
      </c>
      <c r="Q165" t="s">
        <v>778</v>
      </c>
      <c r="X165" t="s">
        <v>780</v>
      </c>
      <c r="Y165" t="s">
        <v>793</v>
      </c>
      <c r="AA165" s="31"/>
      <c r="AB165">
        <v>1600</v>
      </c>
      <c r="AC165">
        <v>32107</v>
      </c>
      <c r="AD165">
        <v>7</v>
      </c>
      <c r="AE165" t="s">
        <v>44</v>
      </c>
      <c r="AF165" s="31">
        <v>45785</v>
      </c>
      <c r="AG165" s="61">
        <v>0.68726851851851856</v>
      </c>
      <c r="AI165" t="s">
        <v>795</v>
      </c>
      <c r="AJ165" s="31">
        <v>45792</v>
      </c>
      <c r="AK165" s="61">
        <v>0.68280092592592589</v>
      </c>
      <c r="AL165" t="s">
        <v>934</v>
      </c>
      <c r="AO165" t="s">
        <v>1684</v>
      </c>
      <c r="AQ165" t="s">
        <v>1684</v>
      </c>
      <c r="AS165" s="31"/>
      <c r="AY165">
        <v>1</v>
      </c>
    </row>
    <row r="166" spans="1:51" x14ac:dyDescent="0.25">
      <c r="A166" t="s">
        <v>22</v>
      </c>
      <c r="B166">
        <v>379</v>
      </c>
      <c r="D166">
        <v>2199</v>
      </c>
      <c r="G166" t="s">
        <v>1687</v>
      </c>
      <c r="J166" t="s">
        <v>1688</v>
      </c>
      <c r="K166" t="s">
        <v>1688</v>
      </c>
      <c r="L166" t="s">
        <v>1689</v>
      </c>
      <c r="Q166" t="s">
        <v>778</v>
      </c>
      <c r="T166" t="s">
        <v>933</v>
      </c>
      <c r="W166" t="s">
        <v>1419</v>
      </c>
      <c r="X166" t="s">
        <v>780</v>
      </c>
      <c r="Y166" t="s">
        <v>807</v>
      </c>
      <c r="AA166" s="31"/>
      <c r="AB166">
        <v>68400</v>
      </c>
      <c r="AC166">
        <v>17345</v>
      </c>
      <c r="AD166">
        <v>108</v>
      </c>
      <c r="AE166" t="s">
        <v>22</v>
      </c>
      <c r="AF166" s="31">
        <v>45786</v>
      </c>
      <c r="AG166" s="61">
        <v>0.66736111111111107</v>
      </c>
      <c r="AI166" t="s">
        <v>795</v>
      </c>
      <c r="AJ166" s="31">
        <v>45894</v>
      </c>
      <c r="AK166" s="61">
        <v>0.6030092592592593</v>
      </c>
      <c r="AL166" t="s">
        <v>974</v>
      </c>
      <c r="AS166" s="31"/>
      <c r="AY166">
        <v>1</v>
      </c>
    </row>
    <row r="167" spans="1:51" x14ac:dyDescent="0.25">
      <c r="A167" t="s">
        <v>44</v>
      </c>
      <c r="B167">
        <v>382</v>
      </c>
      <c r="D167">
        <v>2031</v>
      </c>
      <c r="G167" t="s">
        <v>1690</v>
      </c>
      <c r="H167">
        <v>27173648000116</v>
      </c>
      <c r="J167" t="s">
        <v>1691</v>
      </c>
      <c r="K167" t="s">
        <v>1691</v>
      </c>
      <c r="L167" t="s">
        <v>1692</v>
      </c>
      <c r="N167" t="s">
        <v>1693</v>
      </c>
      <c r="Q167" t="s">
        <v>778</v>
      </c>
      <c r="R167" t="s">
        <v>1094</v>
      </c>
      <c r="S167" t="s">
        <v>790</v>
      </c>
      <c r="X167" t="s">
        <v>780</v>
      </c>
      <c r="Y167" t="s">
        <v>781</v>
      </c>
      <c r="AA167" s="31"/>
      <c r="AD167">
        <v>50</v>
      </c>
      <c r="AE167" t="s">
        <v>44</v>
      </c>
      <c r="AF167" s="31">
        <v>45789</v>
      </c>
      <c r="AG167" s="61">
        <v>0.64024305555555561</v>
      </c>
      <c r="AI167" t="s">
        <v>795</v>
      </c>
      <c r="AJ167" s="31">
        <v>45839</v>
      </c>
      <c r="AK167" s="61">
        <v>0.40694444444444439</v>
      </c>
      <c r="AL167" t="s">
        <v>796</v>
      </c>
      <c r="AM167" t="s">
        <v>1694</v>
      </c>
      <c r="AQ167" t="s">
        <v>1695</v>
      </c>
      <c r="AS167" s="31"/>
      <c r="AY167">
        <v>1</v>
      </c>
    </row>
    <row r="168" spans="1:51" x14ac:dyDescent="0.25">
      <c r="A168" t="s">
        <v>44</v>
      </c>
      <c r="B168">
        <v>383</v>
      </c>
      <c r="D168">
        <v>2033</v>
      </c>
      <c r="G168" t="s">
        <v>1696</v>
      </c>
      <c r="H168">
        <v>86890639000105</v>
      </c>
      <c r="J168" t="s">
        <v>1697</v>
      </c>
      <c r="K168" t="s">
        <v>1697</v>
      </c>
      <c r="Q168" t="s">
        <v>778</v>
      </c>
      <c r="R168" t="s">
        <v>1698</v>
      </c>
      <c r="S168" t="s">
        <v>1699</v>
      </c>
      <c r="X168" t="s">
        <v>780</v>
      </c>
      <c r="Y168" t="s">
        <v>781</v>
      </c>
      <c r="AA168" s="31"/>
      <c r="AD168">
        <v>50</v>
      </c>
      <c r="AE168" t="s">
        <v>44</v>
      </c>
      <c r="AF168" s="31">
        <v>45789</v>
      </c>
      <c r="AG168" s="61">
        <v>0.64898148148148149</v>
      </c>
      <c r="AI168" t="s">
        <v>795</v>
      </c>
      <c r="AJ168" s="31">
        <v>45839</v>
      </c>
      <c r="AK168" s="61">
        <v>0.40733796296296299</v>
      </c>
      <c r="AL168" t="s">
        <v>796</v>
      </c>
      <c r="AM168" t="s">
        <v>1694</v>
      </c>
      <c r="AS168" s="31"/>
      <c r="AY168">
        <v>1</v>
      </c>
    </row>
    <row r="169" spans="1:51" x14ac:dyDescent="0.25">
      <c r="A169" t="s">
        <v>44</v>
      </c>
      <c r="B169">
        <v>384</v>
      </c>
      <c r="D169">
        <v>2036</v>
      </c>
      <c r="G169" t="s">
        <v>1700</v>
      </c>
      <c r="J169" t="s">
        <v>1701</v>
      </c>
      <c r="K169" t="s">
        <v>1701</v>
      </c>
      <c r="L169">
        <v>21989290057</v>
      </c>
      <c r="N169" t="s">
        <v>1703</v>
      </c>
      <c r="Q169" t="s">
        <v>778</v>
      </c>
      <c r="W169" t="s">
        <v>1704</v>
      </c>
      <c r="X169" t="s">
        <v>780</v>
      </c>
      <c r="Y169" t="s">
        <v>816</v>
      </c>
      <c r="AA169" s="31"/>
      <c r="AB169">
        <v>3230634</v>
      </c>
      <c r="AC169">
        <v>17706</v>
      </c>
      <c r="AD169">
        <v>35</v>
      </c>
      <c r="AE169" t="s">
        <v>44</v>
      </c>
      <c r="AF169" s="31">
        <v>45790</v>
      </c>
      <c r="AG169" s="61">
        <v>0.7193518518518518</v>
      </c>
      <c r="AI169" t="s">
        <v>818</v>
      </c>
      <c r="AJ169" s="31">
        <v>45825</v>
      </c>
      <c r="AK169" s="61">
        <v>0.68025462962962968</v>
      </c>
      <c r="AO169" t="s">
        <v>1695</v>
      </c>
      <c r="AQ169" t="s">
        <v>1705</v>
      </c>
      <c r="AS169" s="31"/>
      <c r="AY169">
        <v>1</v>
      </c>
    </row>
    <row r="170" spans="1:51" x14ac:dyDescent="0.25">
      <c r="A170" t="s">
        <v>44</v>
      </c>
      <c r="B170">
        <v>385</v>
      </c>
      <c r="D170">
        <v>2037</v>
      </c>
      <c r="G170" t="s">
        <v>1706</v>
      </c>
      <c r="J170" t="s">
        <v>1707</v>
      </c>
      <c r="K170" t="s">
        <v>1707</v>
      </c>
      <c r="L170">
        <v>21989290058</v>
      </c>
      <c r="N170" t="s">
        <v>1703</v>
      </c>
      <c r="Q170" t="s">
        <v>778</v>
      </c>
      <c r="W170" t="s">
        <v>1704</v>
      </c>
      <c r="X170" t="s">
        <v>780</v>
      </c>
      <c r="Y170" t="s">
        <v>816</v>
      </c>
      <c r="AA170" s="31"/>
      <c r="AB170">
        <v>0</v>
      </c>
      <c r="AC170">
        <v>208313</v>
      </c>
      <c r="AD170">
        <v>35</v>
      </c>
      <c r="AE170" t="s">
        <v>44</v>
      </c>
      <c r="AF170" s="31">
        <v>45790</v>
      </c>
      <c r="AG170" s="61">
        <v>0.72012731481481485</v>
      </c>
      <c r="AI170" t="s">
        <v>818</v>
      </c>
      <c r="AJ170" s="31">
        <v>45825</v>
      </c>
      <c r="AK170" s="61">
        <v>0.68076388888888884</v>
      </c>
      <c r="AO170" t="s">
        <v>1695</v>
      </c>
      <c r="AQ170" t="s">
        <v>1705</v>
      </c>
      <c r="AS170" s="31"/>
      <c r="AY170">
        <v>1</v>
      </c>
    </row>
    <row r="171" spans="1:51" x14ac:dyDescent="0.25">
      <c r="A171" t="s">
        <v>44</v>
      </c>
      <c r="B171">
        <v>405</v>
      </c>
      <c r="D171">
        <v>2061</v>
      </c>
      <c r="G171" t="s">
        <v>1709</v>
      </c>
      <c r="J171" t="s">
        <v>1710</v>
      </c>
      <c r="K171" t="s">
        <v>1710</v>
      </c>
      <c r="L171">
        <v>11991266405</v>
      </c>
      <c r="N171" t="s">
        <v>1712</v>
      </c>
      <c r="Q171" t="s">
        <v>778</v>
      </c>
      <c r="W171" t="s">
        <v>1419</v>
      </c>
      <c r="X171" t="s">
        <v>780</v>
      </c>
      <c r="Y171" t="s">
        <v>807</v>
      </c>
      <c r="AA171" s="31"/>
      <c r="AD171">
        <v>20</v>
      </c>
      <c r="AE171" t="s">
        <v>44</v>
      </c>
      <c r="AF171" s="31">
        <v>45805</v>
      </c>
      <c r="AG171" s="61">
        <v>0.3974537037037037</v>
      </c>
      <c r="AI171" t="s">
        <v>795</v>
      </c>
      <c r="AJ171" s="31">
        <v>45825</v>
      </c>
      <c r="AK171" s="61">
        <v>0.6817361111111111</v>
      </c>
      <c r="AL171" t="s">
        <v>1358</v>
      </c>
      <c r="AM171" t="s">
        <v>1713</v>
      </c>
      <c r="AO171" t="s">
        <v>1714</v>
      </c>
      <c r="AQ171" t="s">
        <v>1714</v>
      </c>
      <c r="AS171" s="31"/>
      <c r="AY171">
        <v>1</v>
      </c>
    </row>
    <row r="172" spans="1:51" x14ac:dyDescent="0.25">
      <c r="A172" t="s">
        <v>44</v>
      </c>
      <c r="B172">
        <v>406</v>
      </c>
      <c r="D172">
        <v>2062</v>
      </c>
      <c r="G172" t="s">
        <v>1715</v>
      </c>
      <c r="H172">
        <v>5215210000110</v>
      </c>
      <c r="J172" t="s">
        <v>1716</v>
      </c>
      <c r="K172" t="s">
        <v>1716</v>
      </c>
      <c r="L172" t="s">
        <v>1717</v>
      </c>
      <c r="Q172" t="s">
        <v>778</v>
      </c>
      <c r="R172" t="s">
        <v>1698</v>
      </c>
      <c r="S172" t="s">
        <v>1699</v>
      </c>
      <c r="W172" t="s">
        <v>1718</v>
      </c>
      <c r="X172" t="s">
        <v>780</v>
      </c>
      <c r="Y172" t="s">
        <v>857</v>
      </c>
      <c r="AA172" s="31"/>
      <c r="AB172">
        <v>622008</v>
      </c>
      <c r="AC172">
        <v>23661</v>
      </c>
      <c r="AD172">
        <v>26</v>
      </c>
      <c r="AE172" t="s">
        <v>44</v>
      </c>
      <c r="AF172" s="31">
        <v>45805</v>
      </c>
      <c r="AG172" s="61">
        <v>0.41018518518518521</v>
      </c>
      <c r="AI172" t="s">
        <v>795</v>
      </c>
      <c r="AJ172" s="31">
        <v>45831</v>
      </c>
      <c r="AK172" s="61">
        <v>0.36943287037037043</v>
      </c>
      <c r="AL172" t="s">
        <v>796</v>
      </c>
      <c r="AM172" t="s">
        <v>1719</v>
      </c>
      <c r="AO172" t="s">
        <v>1720</v>
      </c>
      <c r="AQ172" t="s">
        <v>1721</v>
      </c>
      <c r="AS172" s="31"/>
      <c r="AY172">
        <v>1</v>
      </c>
    </row>
    <row r="173" spans="1:51" x14ac:dyDescent="0.25">
      <c r="A173" t="s">
        <v>44</v>
      </c>
      <c r="B173">
        <v>407</v>
      </c>
      <c r="D173">
        <v>2065</v>
      </c>
      <c r="G173" t="s">
        <v>1722</v>
      </c>
      <c r="H173">
        <v>5215210000110</v>
      </c>
      <c r="J173" t="s">
        <v>1716</v>
      </c>
      <c r="K173" t="s">
        <v>1716</v>
      </c>
      <c r="L173" t="s">
        <v>1717</v>
      </c>
      <c r="Q173" t="s">
        <v>778</v>
      </c>
      <c r="R173" t="s">
        <v>1698</v>
      </c>
      <c r="S173" t="s">
        <v>1699</v>
      </c>
      <c r="W173" t="s">
        <v>1718</v>
      </c>
      <c r="X173" t="s">
        <v>780</v>
      </c>
      <c r="Y173" t="s">
        <v>857</v>
      </c>
      <c r="AA173" s="31"/>
      <c r="AB173">
        <v>1600</v>
      </c>
      <c r="AC173">
        <v>26507</v>
      </c>
      <c r="AD173">
        <v>26</v>
      </c>
      <c r="AE173" t="s">
        <v>44</v>
      </c>
      <c r="AF173" s="31">
        <v>45805</v>
      </c>
      <c r="AG173" s="61">
        <v>0.41281250000000003</v>
      </c>
      <c r="AI173" t="s">
        <v>795</v>
      </c>
      <c r="AJ173" s="31">
        <v>45831</v>
      </c>
      <c r="AK173" s="61">
        <v>0.37035879629629631</v>
      </c>
      <c r="AL173" t="s">
        <v>796</v>
      </c>
      <c r="AM173" t="s">
        <v>1723</v>
      </c>
      <c r="AO173" t="s">
        <v>1720</v>
      </c>
      <c r="AQ173" t="s">
        <v>1721</v>
      </c>
      <c r="AS173" s="31"/>
      <c r="AY173">
        <v>1</v>
      </c>
    </row>
    <row r="174" spans="1:51" x14ac:dyDescent="0.25">
      <c r="A174" t="s">
        <v>44</v>
      </c>
      <c r="B174">
        <v>408</v>
      </c>
      <c r="D174">
        <v>2068</v>
      </c>
      <c r="G174" t="s">
        <v>1724</v>
      </c>
      <c r="J174" t="s">
        <v>1725</v>
      </c>
      <c r="K174" t="s">
        <v>1725</v>
      </c>
      <c r="L174">
        <v>19997023116</v>
      </c>
      <c r="N174" t="s">
        <v>1459</v>
      </c>
      <c r="Q174" t="s">
        <v>778</v>
      </c>
      <c r="X174" t="s">
        <v>780</v>
      </c>
      <c r="Y174" t="s">
        <v>816</v>
      </c>
      <c r="Z174" t="s">
        <v>995</v>
      </c>
      <c r="AA174" s="31"/>
      <c r="AB174">
        <v>123066</v>
      </c>
      <c r="AC174">
        <v>0</v>
      </c>
      <c r="AD174">
        <v>0</v>
      </c>
      <c r="AE174" t="s">
        <v>44</v>
      </c>
      <c r="AF174" s="31">
        <v>45805</v>
      </c>
      <c r="AG174" s="61">
        <v>0.42335648148148147</v>
      </c>
      <c r="AI174" t="s">
        <v>818</v>
      </c>
      <c r="AJ174" s="31">
        <v>45805</v>
      </c>
      <c r="AK174" s="61">
        <v>0.43202546296296301</v>
      </c>
      <c r="AO174" t="s">
        <v>1726</v>
      </c>
      <c r="AS174" s="31"/>
      <c r="AY174">
        <v>1</v>
      </c>
    </row>
    <row r="175" spans="1:51" x14ac:dyDescent="0.25">
      <c r="A175" t="s">
        <v>44</v>
      </c>
      <c r="B175">
        <v>409</v>
      </c>
      <c r="D175">
        <v>2069</v>
      </c>
      <c r="G175" t="s">
        <v>1727</v>
      </c>
      <c r="H175">
        <v>56262451000151</v>
      </c>
      <c r="J175" t="s">
        <v>1728</v>
      </c>
      <c r="K175" t="s">
        <v>1728</v>
      </c>
      <c r="L175" t="s">
        <v>1594</v>
      </c>
      <c r="N175" t="s">
        <v>1595</v>
      </c>
      <c r="Q175" t="s">
        <v>778</v>
      </c>
      <c r="R175" t="s">
        <v>1596</v>
      </c>
      <c r="S175" t="s">
        <v>790</v>
      </c>
      <c r="X175" t="s">
        <v>780</v>
      </c>
      <c r="Y175" t="s">
        <v>807</v>
      </c>
      <c r="AA175" s="31"/>
      <c r="AB175">
        <v>52258</v>
      </c>
      <c r="AC175">
        <v>606364</v>
      </c>
      <c r="AD175">
        <v>6</v>
      </c>
      <c r="AE175" t="s">
        <v>44</v>
      </c>
      <c r="AF175" s="31">
        <v>45805</v>
      </c>
      <c r="AG175" s="61">
        <v>0.43896990740740738</v>
      </c>
      <c r="AI175" t="s">
        <v>795</v>
      </c>
      <c r="AJ175" s="31">
        <v>45811</v>
      </c>
      <c r="AK175" s="61">
        <v>0.41700231481481481</v>
      </c>
      <c r="AL175" t="s">
        <v>867</v>
      </c>
      <c r="AM175" t="s">
        <v>1729</v>
      </c>
      <c r="AO175" t="s">
        <v>1730</v>
      </c>
      <c r="AS175" s="31"/>
      <c r="AY175">
        <v>1</v>
      </c>
    </row>
    <row r="176" spans="1:51" x14ac:dyDescent="0.25">
      <c r="A176" t="s">
        <v>44</v>
      </c>
      <c r="B176">
        <v>410</v>
      </c>
      <c r="D176">
        <v>2071</v>
      </c>
      <c r="G176" t="s">
        <v>1731</v>
      </c>
      <c r="H176">
        <v>56262451000151</v>
      </c>
      <c r="J176" t="s">
        <v>1732</v>
      </c>
      <c r="K176" t="s">
        <v>1732</v>
      </c>
      <c r="L176" t="s">
        <v>1594</v>
      </c>
      <c r="N176" t="s">
        <v>1595</v>
      </c>
      <c r="Q176" t="s">
        <v>778</v>
      </c>
      <c r="R176" t="s">
        <v>1596</v>
      </c>
      <c r="S176" t="s">
        <v>790</v>
      </c>
      <c r="X176" t="s">
        <v>780</v>
      </c>
      <c r="Y176" t="s">
        <v>807</v>
      </c>
      <c r="AA176" s="31"/>
      <c r="AB176">
        <v>42400</v>
      </c>
      <c r="AC176">
        <v>5560</v>
      </c>
      <c r="AD176">
        <v>6</v>
      </c>
      <c r="AE176" t="s">
        <v>44</v>
      </c>
      <c r="AF176" s="31">
        <v>45805</v>
      </c>
      <c r="AG176" s="61">
        <v>0.44361111111111112</v>
      </c>
      <c r="AI176" t="s">
        <v>795</v>
      </c>
      <c r="AJ176" s="31">
        <v>45811</v>
      </c>
      <c r="AK176" s="61">
        <v>0.41766203703703703</v>
      </c>
      <c r="AL176" t="s">
        <v>867</v>
      </c>
      <c r="AM176" t="s">
        <v>1733</v>
      </c>
      <c r="AO176" t="s">
        <v>1730</v>
      </c>
      <c r="AS176" s="31"/>
      <c r="AY176">
        <v>1</v>
      </c>
    </row>
    <row r="177" spans="1:51" x14ac:dyDescent="0.25">
      <c r="A177" t="s">
        <v>44</v>
      </c>
      <c r="B177">
        <v>412</v>
      </c>
      <c r="D177">
        <v>2075</v>
      </c>
      <c r="G177" t="s">
        <v>1734</v>
      </c>
      <c r="J177" t="s">
        <v>1735</v>
      </c>
      <c r="K177" t="s">
        <v>1735</v>
      </c>
      <c r="L177">
        <v>67981004151</v>
      </c>
      <c r="N177" t="s">
        <v>1737</v>
      </c>
      <c r="Q177" t="s">
        <v>778</v>
      </c>
      <c r="W177" t="s">
        <v>1419</v>
      </c>
      <c r="X177" t="s">
        <v>780</v>
      </c>
      <c r="Y177" t="s">
        <v>807</v>
      </c>
      <c r="AA177" s="31"/>
      <c r="AB177">
        <v>26200</v>
      </c>
      <c r="AC177">
        <v>3400</v>
      </c>
      <c r="AD177">
        <v>92</v>
      </c>
      <c r="AE177" t="s">
        <v>44</v>
      </c>
      <c r="AF177" s="31">
        <v>45805</v>
      </c>
      <c r="AG177" s="61">
        <v>0.45153935185185179</v>
      </c>
      <c r="AI177" t="s">
        <v>795</v>
      </c>
      <c r="AJ177" s="31">
        <v>45897</v>
      </c>
      <c r="AK177" s="61">
        <v>0.64814814814814814</v>
      </c>
      <c r="AL177" t="s">
        <v>934</v>
      </c>
      <c r="AO177" t="s">
        <v>1721</v>
      </c>
      <c r="AQ177" t="s">
        <v>1721</v>
      </c>
      <c r="AS177" s="31"/>
      <c r="AY177">
        <v>1</v>
      </c>
    </row>
    <row r="178" spans="1:51" x14ac:dyDescent="0.25">
      <c r="A178" t="s">
        <v>44</v>
      </c>
      <c r="B178">
        <v>413</v>
      </c>
      <c r="D178">
        <v>2076</v>
      </c>
      <c r="G178" t="s">
        <v>1738</v>
      </c>
      <c r="J178" t="s">
        <v>1739</v>
      </c>
      <c r="K178" t="s">
        <v>1739</v>
      </c>
      <c r="L178">
        <v>19971332893</v>
      </c>
      <c r="N178" t="s">
        <v>1741</v>
      </c>
      <c r="Q178" t="s">
        <v>778</v>
      </c>
      <c r="X178" t="s">
        <v>780</v>
      </c>
      <c r="Y178" t="s">
        <v>857</v>
      </c>
      <c r="AA178" s="31"/>
      <c r="AD178">
        <v>12</v>
      </c>
      <c r="AE178" t="s">
        <v>44</v>
      </c>
      <c r="AF178" s="31">
        <v>45805</v>
      </c>
      <c r="AG178" s="61">
        <v>0.46685185185185191</v>
      </c>
      <c r="AI178" t="s">
        <v>795</v>
      </c>
      <c r="AJ178" s="31">
        <v>45817</v>
      </c>
      <c r="AK178" s="61">
        <v>0.66245370370370371</v>
      </c>
      <c r="AL178" t="s">
        <v>796</v>
      </c>
      <c r="AM178" t="s">
        <v>1742</v>
      </c>
      <c r="AQ178" t="s">
        <v>1743</v>
      </c>
      <c r="AS178" s="31"/>
      <c r="AY178">
        <v>1</v>
      </c>
    </row>
    <row r="179" spans="1:51" x14ac:dyDescent="0.25">
      <c r="A179" t="s">
        <v>44</v>
      </c>
      <c r="B179">
        <v>415</v>
      </c>
      <c r="D179">
        <v>2127</v>
      </c>
      <c r="G179" t="s">
        <v>1744</v>
      </c>
      <c r="J179" t="s">
        <v>1745</v>
      </c>
      <c r="K179" t="s">
        <v>1745</v>
      </c>
      <c r="L179">
        <v>11996219888</v>
      </c>
      <c r="N179" t="s">
        <v>1747</v>
      </c>
      <c r="Q179" t="s">
        <v>778</v>
      </c>
      <c r="X179" t="s">
        <v>780</v>
      </c>
      <c r="Y179" t="s">
        <v>857</v>
      </c>
      <c r="AA179" s="31"/>
      <c r="AB179">
        <v>622008</v>
      </c>
      <c r="AC179">
        <v>28481</v>
      </c>
      <c r="AD179">
        <v>12</v>
      </c>
      <c r="AE179" t="s">
        <v>44</v>
      </c>
      <c r="AF179" s="31">
        <v>45807</v>
      </c>
      <c r="AG179" s="61">
        <v>0.38197916666666659</v>
      </c>
      <c r="AI179" t="s">
        <v>795</v>
      </c>
      <c r="AJ179" s="31">
        <v>45819</v>
      </c>
      <c r="AK179" s="61">
        <v>0.6005787037037037</v>
      </c>
      <c r="AL179" t="s">
        <v>934</v>
      </c>
      <c r="AM179" t="s">
        <v>1748</v>
      </c>
      <c r="AO179" t="s">
        <v>1714</v>
      </c>
      <c r="AQ179" t="s">
        <v>1720</v>
      </c>
      <c r="AS179" s="31"/>
      <c r="AY179">
        <v>1</v>
      </c>
    </row>
    <row r="180" spans="1:51" x14ac:dyDescent="0.25">
      <c r="A180" t="s">
        <v>44</v>
      </c>
      <c r="B180">
        <v>416</v>
      </c>
      <c r="D180">
        <v>2132</v>
      </c>
      <c r="G180" t="s">
        <v>1749</v>
      </c>
      <c r="J180" t="s">
        <v>1750</v>
      </c>
      <c r="K180" t="s">
        <v>1750</v>
      </c>
      <c r="L180">
        <v>11996219888</v>
      </c>
      <c r="N180" t="s">
        <v>1747</v>
      </c>
      <c r="Q180" t="s">
        <v>778</v>
      </c>
      <c r="X180" t="s">
        <v>780</v>
      </c>
      <c r="Y180" t="s">
        <v>793</v>
      </c>
      <c r="AA180" s="31"/>
      <c r="AB180">
        <v>1600</v>
      </c>
      <c r="AC180">
        <v>28747</v>
      </c>
      <c r="AD180">
        <v>12</v>
      </c>
      <c r="AE180" t="s">
        <v>44</v>
      </c>
      <c r="AF180" s="31">
        <v>45807</v>
      </c>
      <c r="AG180" s="61">
        <v>0.4244560185185185</v>
      </c>
      <c r="AI180" t="s">
        <v>795</v>
      </c>
      <c r="AJ180" s="31">
        <v>45819</v>
      </c>
      <c r="AK180" s="61">
        <v>0.60103009259259255</v>
      </c>
      <c r="AL180" t="s">
        <v>934</v>
      </c>
      <c r="AM180" t="s">
        <v>1751</v>
      </c>
      <c r="AO180" t="s">
        <v>1714</v>
      </c>
      <c r="AQ180" t="s">
        <v>1720</v>
      </c>
      <c r="AS180" s="31"/>
      <c r="AY180">
        <v>1</v>
      </c>
    </row>
    <row r="181" spans="1:51" x14ac:dyDescent="0.25">
      <c r="A181" t="s">
        <v>44</v>
      </c>
      <c r="B181">
        <v>417</v>
      </c>
      <c r="D181">
        <v>2133</v>
      </c>
      <c r="G181" t="s">
        <v>1752</v>
      </c>
      <c r="J181" t="s">
        <v>1753</v>
      </c>
      <c r="K181" t="s">
        <v>1753</v>
      </c>
      <c r="L181">
        <v>43988505997</v>
      </c>
      <c r="N181" t="s">
        <v>1755</v>
      </c>
      <c r="Q181" t="s">
        <v>778</v>
      </c>
      <c r="W181" t="s">
        <v>1718</v>
      </c>
      <c r="X181" t="s">
        <v>780</v>
      </c>
      <c r="Y181" t="s">
        <v>793</v>
      </c>
      <c r="AA181" s="31"/>
      <c r="AB181">
        <v>16960</v>
      </c>
      <c r="AC181">
        <v>40572</v>
      </c>
      <c r="AD181">
        <v>52</v>
      </c>
      <c r="AE181" t="s">
        <v>44</v>
      </c>
      <c r="AF181" s="31">
        <v>45807</v>
      </c>
      <c r="AG181" s="61">
        <v>0.43975694444444452</v>
      </c>
      <c r="AI181" t="s">
        <v>795</v>
      </c>
      <c r="AJ181" s="31">
        <v>45859</v>
      </c>
      <c r="AK181" s="61">
        <v>0.38516203703703711</v>
      </c>
      <c r="AL181" t="s">
        <v>796</v>
      </c>
      <c r="AM181" t="s">
        <v>1756</v>
      </c>
      <c r="AO181" t="s">
        <v>1714</v>
      </c>
      <c r="AQ181" t="s">
        <v>1720</v>
      </c>
      <c r="AS181" s="31"/>
      <c r="AY181">
        <v>1</v>
      </c>
    </row>
    <row r="182" spans="1:51" x14ac:dyDescent="0.25">
      <c r="A182" t="s">
        <v>44</v>
      </c>
      <c r="B182">
        <v>419</v>
      </c>
      <c r="D182">
        <v>2144</v>
      </c>
      <c r="G182" t="s">
        <v>1757</v>
      </c>
      <c r="J182" t="s">
        <v>1758</v>
      </c>
      <c r="K182" t="s">
        <v>1758</v>
      </c>
      <c r="L182">
        <v>11987154112</v>
      </c>
      <c r="N182" t="s">
        <v>1760</v>
      </c>
      <c r="Q182" t="s">
        <v>778</v>
      </c>
      <c r="W182" t="s">
        <v>1704</v>
      </c>
      <c r="X182" t="s">
        <v>780</v>
      </c>
      <c r="Y182" t="s">
        <v>816</v>
      </c>
      <c r="AA182" s="31"/>
      <c r="AB182">
        <v>1600</v>
      </c>
      <c r="AC182">
        <v>1833334</v>
      </c>
      <c r="AD182">
        <v>52</v>
      </c>
      <c r="AE182" t="s">
        <v>44</v>
      </c>
      <c r="AF182" s="31">
        <v>45807</v>
      </c>
      <c r="AG182" s="61">
        <v>0.58697916666666672</v>
      </c>
      <c r="AI182" t="s">
        <v>795</v>
      </c>
      <c r="AJ182" s="31">
        <v>45859</v>
      </c>
      <c r="AK182" s="61">
        <v>0.40807870370370369</v>
      </c>
      <c r="AL182" t="s">
        <v>796</v>
      </c>
      <c r="AM182" t="s">
        <v>1303</v>
      </c>
      <c r="AO182" t="s">
        <v>1721</v>
      </c>
      <c r="AS182" s="31"/>
      <c r="AY182">
        <v>1</v>
      </c>
    </row>
    <row r="183" spans="1:51" x14ac:dyDescent="0.25">
      <c r="A183" t="s">
        <v>44</v>
      </c>
      <c r="B183">
        <v>422</v>
      </c>
      <c r="D183">
        <v>2141</v>
      </c>
      <c r="G183" t="s">
        <v>1761</v>
      </c>
      <c r="H183">
        <v>27898532000144</v>
      </c>
      <c r="J183" t="s">
        <v>1762</v>
      </c>
      <c r="K183" t="s">
        <v>1762</v>
      </c>
      <c r="L183" t="s">
        <v>1763</v>
      </c>
      <c r="N183" t="s">
        <v>1764</v>
      </c>
      <c r="Q183" t="s">
        <v>778</v>
      </c>
      <c r="R183" t="s">
        <v>1765</v>
      </c>
      <c r="S183" t="s">
        <v>790</v>
      </c>
      <c r="T183" t="s">
        <v>1766</v>
      </c>
      <c r="X183" t="s">
        <v>780</v>
      </c>
      <c r="Y183" t="s">
        <v>857</v>
      </c>
      <c r="AA183" s="31"/>
      <c r="AB183">
        <v>69592</v>
      </c>
      <c r="AC183">
        <v>23661</v>
      </c>
      <c r="AD183">
        <v>42</v>
      </c>
      <c r="AE183" t="s">
        <v>594</v>
      </c>
      <c r="AF183" s="31">
        <v>45810</v>
      </c>
      <c r="AG183" s="61">
        <v>0.45253472222222219</v>
      </c>
      <c r="AI183" t="s">
        <v>795</v>
      </c>
      <c r="AJ183" s="31">
        <v>45852</v>
      </c>
      <c r="AK183" s="61">
        <v>0.43975694444444452</v>
      </c>
      <c r="AL183" t="s">
        <v>796</v>
      </c>
      <c r="AM183" t="s">
        <v>1767</v>
      </c>
      <c r="AN183" t="s">
        <v>1768</v>
      </c>
      <c r="AO183" t="s">
        <v>1769</v>
      </c>
      <c r="AP183" t="s">
        <v>594</v>
      </c>
      <c r="AQ183" t="s">
        <v>1770</v>
      </c>
      <c r="AR183" t="s">
        <v>1771</v>
      </c>
      <c r="AS183" s="31"/>
      <c r="AY183">
        <v>1</v>
      </c>
    </row>
    <row r="184" spans="1:51" x14ac:dyDescent="0.25">
      <c r="A184" t="s">
        <v>31</v>
      </c>
      <c r="B184">
        <v>423</v>
      </c>
      <c r="D184">
        <v>2179</v>
      </c>
      <c r="G184" t="s">
        <v>1772</v>
      </c>
      <c r="H184">
        <v>62182753000112</v>
      </c>
      <c r="J184" t="s">
        <v>1133</v>
      </c>
      <c r="K184" t="s">
        <v>1133</v>
      </c>
      <c r="L184">
        <v>16994380062</v>
      </c>
      <c r="N184" t="s">
        <v>1588</v>
      </c>
      <c r="Q184" t="s">
        <v>778</v>
      </c>
      <c r="T184" t="s">
        <v>933</v>
      </c>
      <c r="W184" t="s">
        <v>1581</v>
      </c>
      <c r="X184" t="s">
        <v>780</v>
      </c>
      <c r="Y184" t="s">
        <v>807</v>
      </c>
      <c r="AA184" s="31"/>
      <c r="AB184">
        <v>14280</v>
      </c>
      <c r="AC184">
        <v>127673</v>
      </c>
      <c r="AD184">
        <v>168</v>
      </c>
      <c r="AE184" t="s">
        <v>31</v>
      </c>
      <c r="AF184" s="31">
        <v>45811</v>
      </c>
      <c r="AG184" s="61">
        <v>0.48096064814814821</v>
      </c>
      <c r="AI184" t="s">
        <v>795</v>
      </c>
      <c r="AJ184" s="31">
        <v>45979</v>
      </c>
      <c r="AK184" s="61">
        <v>0.39922453703703698</v>
      </c>
      <c r="AL184" t="s">
        <v>796</v>
      </c>
      <c r="AO184" t="s">
        <v>1773</v>
      </c>
      <c r="AP184" t="s">
        <v>31</v>
      </c>
      <c r="AQ184" t="s">
        <v>1773</v>
      </c>
      <c r="AS184" s="31"/>
      <c r="AY184">
        <v>1</v>
      </c>
    </row>
    <row r="185" spans="1:51" x14ac:dyDescent="0.25">
      <c r="A185" t="s">
        <v>44</v>
      </c>
      <c r="B185">
        <v>425</v>
      </c>
      <c r="D185">
        <v>2181</v>
      </c>
      <c r="G185" t="s">
        <v>1774</v>
      </c>
      <c r="H185">
        <v>3971592000187</v>
      </c>
      <c r="J185" t="s">
        <v>1775</v>
      </c>
      <c r="K185" t="s">
        <v>1775</v>
      </c>
      <c r="L185" t="s">
        <v>1776</v>
      </c>
      <c r="Q185" t="s">
        <v>778</v>
      </c>
      <c r="R185" t="s">
        <v>1777</v>
      </c>
      <c r="S185" t="s">
        <v>1027</v>
      </c>
      <c r="W185" t="s">
        <v>1718</v>
      </c>
      <c r="X185" t="s">
        <v>780</v>
      </c>
      <c r="Y185" t="s">
        <v>857</v>
      </c>
      <c r="AA185" s="31"/>
      <c r="AD185">
        <v>26</v>
      </c>
      <c r="AE185" t="s">
        <v>44</v>
      </c>
      <c r="AF185" s="31">
        <v>45813</v>
      </c>
      <c r="AG185" s="61">
        <v>0.45299768518518518</v>
      </c>
      <c r="AI185" t="s">
        <v>795</v>
      </c>
      <c r="AJ185" s="31">
        <v>45839</v>
      </c>
      <c r="AK185" s="61">
        <v>0.41417824074074072</v>
      </c>
      <c r="AL185" t="s">
        <v>796</v>
      </c>
      <c r="AM185" t="s">
        <v>1694</v>
      </c>
      <c r="AS185" s="31"/>
      <c r="AY185">
        <v>1</v>
      </c>
    </row>
    <row r="186" spans="1:51" x14ac:dyDescent="0.25">
      <c r="A186" t="s">
        <v>44</v>
      </c>
      <c r="B186">
        <v>426</v>
      </c>
      <c r="D186">
        <v>2186</v>
      </c>
      <c r="G186" t="s">
        <v>1778</v>
      </c>
      <c r="H186">
        <v>480542000290</v>
      </c>
      <c r="J186" t="s">
        <v>1779</v>
      </c>
      <c r="K186" t="s">
        <v>1779</v>
      </c>
      <c r="L186">
        <v>15997651713</v>
      </c>
      <c r="N186" t="s">
        <v>1781</v>
      </c>
      <c r="Q186" t="s">
        <v>778</v>
      </c>
      <c r="R186" t="s">
        <v>1782</v>
      </c>
      <c r="S186" t="s">
        <v>790</v>
      </c>
      <c r="X186" t="s">
        <v>780</v>
      </c>
      <c r="Y186" t="s">
        <v>781</v>
      </c>
      <c r="AA186" s="31"/>
      <c r="AD186">
        <v>26</v>
      </c>
      <c r="AE186" t="s">
        <v>44</v>
      </c>
      <c r="AF186" s="31">
        <v>45813</v>
      </c>
      <c r="AG186" s="61">
        <v>0.46081018518518518</v>
      </c>
      <c r="AI186" t="s">
        <v>795</v>
      </c>
      <c r="AJ186" s="31">
        <v>45839</v>
      </c>
      <c r="AK186" s="61">
        <v>0.40780092592592587</v>
      </c>
      <c r="AL186" t="s">
        <v>796</v>
      </c>
      <c r="AM186" t="s">
        <v>1694</v>
      </c>
      <c r="AS186" s="31"/>
      <c r="AY186">
        <v>1</v>
      </c>
    </row>
    <row r="187" spans="1:51" x14ac:dyDescent="0.25">
      <c r="A187" t="s">
        <v>44</v>
      </c>
      <c r="B187">
        <v>428</v>
      </c>
      <c r="D187">
        <v>2189</v>
      </c>
      <c r="G187" t="s">
        <v>1783</v>
      </c>
      <c r="H187">
        <v>10509268000107</v>
      </c>
      <c r="J187" t="s">
        <v>1784</v>
      </c>
      <c r="K187" t="s">
        <v>1784</v>
      </c>
      <c r="L187">
        <v>19997556622</v>
      </c>
      <c r="N187" t="s">
        <v>1786</v>
      </c>
      <c r="Q187" t="s">
        <v>778</v>
      </c>
      <c r="R187" t="s">
        <v>1787</v>
      </c>
      <c r="S187" t="s">
        <v>790</v>
      </c>
      <c r="W187" t="s">
        <v>1718</v>
      </c>
      <c r="X187" t="s">
        <v>780</v>
      </c>
      <c r="Y187" t="s">
        <v>857</v>
      </c>
      <c r="AA187" s="31"/>
      <c r="AB187">
        <v>73430</v>
      </c>
      <c r="AC187">
        <v>37382</v>
      </c>
      <c r="AD187">
        <v>24</v>
      </c>
      <c r="AE187" t="s">
        <v>44</v>
      </c>
      <c r="AF187" s="31">
        <v>45814</v>
      </c>
      <c r="AG187" s="61">
        <v>0.42849537037037039</v>
      </c>
      <c r="AI187" t="s">
        <v>795</v>
      </c>
      <c r="AJ187" s="31">
        <v>45838</v>
      </c>
      <c r="AK187" s="61">
        <v>0.62945601851851851</v>
      </c>
      <c r="AL187" t="s">
        <v>796</v>
      </c>
      <c r="AM187" t="s">
        <v>1788</v>
      </c>
      <c r="AO187" t="s">
        <v>1789</v>
      </c>
      <c r="AQ187" t="s">
        <v>1790</v>
      </c>
      <c r="AR187" t="s">
        <v>1769</v>
      </c>
      <c r="AS187" s="31"/>
      <c r="AY187">
        <v>1</v>
      </c>
    </row>
    <row r="188" spans="1:51" x14ac:dyDescent="0.25">
      <c r="A188" t="s">
        <v>44</v>
      </c>
      <c r="B188">
        <v>431</v>
      </c>
      <c r="D188">
        <v>2194</v>
      </c>
      <c r="G188" t="s">
        <v>386</v>
      </c>
      <c r="H188">
        <v>28646036000166</v>
      </c>
      <c r="J188" t="s">
        <v>1791</v>
      </c>
      <c r="K188" t="s">
        <v>1791</v>
      </c>
      <c r="L188">
        <v>11938010304</v>
      </c>
      <c r="N188" t="s">
        <v>1793</v>
      </c>
      <c r="Q188" t="s">
        <v>778</v>
      </c>
      <c r="R188" t="s">
        <v>1794</v>
      </c>
      <c r="S188" t="s">
        <v>790</v>
      </c>
      <c r="W188" t="s">
        <v>1718</v>
      </c>
      <c r="X188" t="s">
        <v>780</v>
      </c>
      <c r="Y188" t="s">
        <v>807</v>
      </c>
      <c r="AA188" s="31"/>
      <c r="AB188">
        <v>16960</v>
      </c>
      <c r="AC188">
        <v>70432</v>
      </c>
      <c r="AD188">
        <v>80</v>
      </c>
      <c r="AE188" t="s">
        <v>44</v>
      </c>
      <c r="AF188" s="31">
        <v>45817</v>
      </c>
      <c r="AG188" s="61">
        <v>0.47589120370370369</v>
      </c>
      <c r="AI188" t="s">
        <v>795</v>
      </c>
      <c r="AJ188" s="31">
        <v>45897</v>
      </c>
      <c r="AK188" s="61">
        <v>0.64936342592592589</v>
      </c>
      <c r="AL188" t="s">
        <v>796</v>
      </c>
      <c r="AM188" t="s">
        <v>797</v>
      </c>
      <c r="AO188" t="s">
        <v>4654</v>
      </c>
      <c r="AQ188" t="s">
        <v>1771</v>
      </c>
      <c r="AR188" t="s">
        <v>4654</v>
      </c>
      <c r="AS188" s="31"/>
      <c r="AY188">
        <v>1</v>
      </c>
    </row>
    <row r="189" spans="1:51" x14ac:dyDescent="0.25">
      <c r="A189" t="s">
        <v>44</v>
      </c>
      <c r="B189">
        <v>433</v>
      </c>
      <c r="D189">
        <v>2197</v>
      </c>
      <c r="G189" t="s">
        <v>1795</v>
      </c>
      <c r="J189" t="s">
        <v>1796</v>
      </c>
      <c r="K189" t="s">
        <v>1796</v>
      </c>
      <c r="L189">
        <v>81992522279</v>
      </c>
      <c r="N189" t="s">
        <v>1111</v>
      </c>
      <c r="Q189" t="s">
        <v>778</v>
      </c>
      <c r="X189" t="s">
        <v>780</v>
      </c>
      <c r="Y189" t="s">
        <v>857</v>
      </c>
      <c r="AA189" s="31"/>
      <c r="AB189">
        <v>16960</v>
      </c>
      <c r="AC189">
        <v>998</v>
      </c>
      <c r="AD189">
        <v>20</v>
      </c>
      <c r="AE189" t="s">
        <v>44</v>
      </c>
      <c r="AF189" s="31">
        <v>45819</v>
      </c>
      <c r="AG189" s="61">
        <v>0.3787962962962963</v>
      </c>
      <c r="AI189" t="s">
        <v>795</v>
      </c>
      <c r="AJ189" s="31">
        <v>45839</v>
      </c>
      <c r="AK189" s="61">
        <v>0.41629629629629628</v>
      </c>
      <c r="AL189" t="s">
        <v>796</v>
      </c>
      <c r="AM189" t="s">
        <v>1798</v>
      </c>
      <c r="AO189" t="s">
        <v>1799</v>
      </c>
      <c r="AQ189" t="s">
        <v>1799</v>
      </c>
      <c r="AS189" s="31"/>
      <c r="AY189">
        <v>1</v>
      </c>
    </row>
    <row r="190" spans="1:51" x14ac:dyDescent="0.25">
      <c r="A190" t="s">
        <v>22</v>
      </c>
      <c r="B190">
        <v>434</v>
      </c>
      <c r="D190">
        <v>2198</v>
      </c>
      <c r="G190" t="s">
        <v>1800</v>
      </c>
      <c r="J190" t="s">
        <v>1243</v>
      </c>
      <c r="K190" t="s">
        <v>1243</v>
      </c>
      <c r="L190">
        <v>11976806556</v>
      </c>
      <c r="N190" t="s">
        <v>1802</v>
      </c>
      <c r="Q190" t="s">
        <v>778</v>
      </c>
      <c r="T190" t="s">
        <v>933</v>
      </c>
      <c r="W190" t="s">
        <v>1718</v>
      </c>
      <c r="X190" t="s">
        <v>780</v>
      </c>
      <c r="Y190" t="s">
        <v>857</v>
      </c>
      <c r="Z190" t="s">
        <v>817</v>
      </c>
      <c r="AA190" s="31"/>
      <c r="AD190">
        <v>90</v>
      </c>
      <c r="AE190" t="s">
        <v>22</v>
      </c>
      <c r="AF190" s="31">
        <v>45820</v>
      </c>
      <c r="AG190" s="61">
        <v>0.6342592592592593</v>
      </c>
      <c r="AI190" t="s">
        <v>795</v>
      </c>
      <c r="AJ190" s="31">
        <v>45910</v>
      </c>
      <c r="AK190" s="61">
        <v>0.67572916666666671</v>
      </c>
      <c r="AL190" t="s">
        <v>796</v>
      </c>
      <c r="AP190" t="s">
        <v>22</v>
      </c>
      <c r="AS190" s="31"/>
      <c r="AY190">
        <v>1</v>
      </c>
    </row>
    <row r="191" spans="1:51" x14ac:dyDescent="0.25">
      <c r="A191" t="s">
        <v>22</v>
      </c>
      <c r="B191">
        <v>435</v>
      </c>
      <c r="D191">
        <v>2200</v>
      </c>
      <c r="G191" t="s">
        <v>1803</v>
      </c>
      <c r="J191" t="s">
        <v>1804</v>
      </c>
      <c r="K191" t="s">
        <v>1804</v>
      </c>
      <c r="L191">
        <v>16996352359</v>
      </c>
      <c r="N191" t="s">
        <v>1111</v>
      </c>
      <c r="Q191" t="s">
        <v>778</v>
      </c>
      <c r="T191" t="s">
        <v>933</v>
      </c>
      <c r="W191" t="s">
        <v>1419</v>
      </c>
      <c r="X191" t="s">
        <v>780</v>
      </c>
      <c r="Y191" t="s">
        <v>816</v>
      </c>
      <c r="AA191" s="31"/>
      <c r="AB191">
        <v>28800</v>
      </c>
      <c r="AC191">
        <v>201012</v>
      </c>
      <c r="AD191">
        <v>56</v>
      </c>
      <c r="AE191" t="s">
        <v>22</v>
      </c>
      <c r="AF191" s="31">
        <v>45820</v>
      </c>
      <c r="AG191" s="61">
        <v>0.68391203703703707</v>
      </c>
      <c r="AI191" t="s">
        <v>818</v>
      </c>
      <c r="AJ191" s="31">
        <v>45876</v>
      </c>
      <c r="AK191" s="61">
        <v>0.50437500000000002</v>
      </c>
      <c r="AP191" t="s">
        <v>22</v>
      </c>
      <c r="AS191" s="31"/>
      <c r="AY191">
        <v>1</v>
      </c>
    </row>
    <row r="192" spans="1:51" x14ac:dyDescent="0.25">
      <c r="A192" t="s">
        <v>22</v>
      </c>
      <c r="B192">
        <v>441</v>
      </c>
      <c r="D192">
        <v>2206</v>
      </c>
      <c r="G192" t="s">
        <v>1806</v>
      </c>
      <c r="H192">
        <v>8505162000355</v>
      </c>
      <c r="J192" t="s">
        <v>1807</v>
      </c>
      <c r="K192" t="s">
        <v>1807</v>
      </c>
      <c r="L192">
        <v>16997217227</v>
      </c>
      <c r="N192" t="s">
        <v>1809</v>
      </c>
      <c r="Q192" t="s">
        <v>778</v>
      </c>
      <c r="T192" t="s">
        <v>933</v>
      </c>
      <c r="W192" t="s">
        <v>1419</v>
      </c>
      <c r="X192" t="s">
        <v>780</v>
      </c>
      <c r="Y192" t="s">
        <v>793</v>
      </c>
      <c r="AA192" s="31"/>
      <c r="AD192">
        <v>55</v>
      </c>
      <c r="AE192" t="s">
        <v>22</v>
      </c>
      <c r="AF192" s="31">
        <v>45821</v>
      </c>
      <c r="AG192" s="61">
        <v>0.72303240740740737</v>
      </c>
      <c r="AI192" t="s">
        <v>795</v>
      </c>
      <c r="AJ192" s="31">
        <v>45876</v>
      </c>
      <c r="AK192" s="61">
        <v>0.59842592592592592</v>
      </c>
      <c r="AL192" t="s">
        <v>1119</v>
      </c>
      <c r="AO192" t="s">
        <v>1771</v>
      </c>
      <c r="AP192" t="s">
        <v>22</v>
      </c>
      <c r="AQ192" t="s">
        <v>1771</v>
      </c>
      <c r="AS192" s="31"/>
      <c r="AY192">
        <v>1</v>
      </c>
    </row>
    <row r="193" spans="1:51" x14ac:dyDescent="0.25">
      <c r="A193" t="s">
        <v>44</v>
      </c>
      <c r="B193">
        <v>447</v>
      </c>
      <c r="D193">
        <v>2213</v>
      </c>
      <c r="G193" t="s">
        <v>1810</v>
      </c>
      <c r="J193" t="s">
        <v>1811</v>
      </c>
      <c r="K193" t="s">
        <v>1811</v>
      </c>
      <c r="L193">
        <v>53999594657</v>
      </c>
      <c r="N193" t="s">
        <v>1813</v>
      </c>
      <c r="Q193" t="s">
        <v>778</v>
      </c>
      <c r="X193" t="s">
        <v>780</v>
      </c>
      <c r="Y193" t="s">
        <v>816</v>
      </c>
      <c r="AA193" s="31"/>
      <c r="AB193">
        <v>1782</v>
      </c>
      <c r="AC193">
        <v>3564</v>
      </c>
      <c r="AD193">
        <v>2</v>
      </c>
      <c r="AE193" t="s">
        <v>44</v>
      </c>
      <c r="AF193" s="31">
        <v>45824</v>
      </c>
      <c r="AG193" s="61">
        <v>0.6651273148148148</v>
      </c>
      <c r="AI193" t="s">
        <v>818</v>
      </c>
      <c r="AJ193" s="31">
        <v>45826</v>
      </c>
      <c r="AK193" s="61">
        <v>0.61760416666666662</v>
      </c>
      <c r="AO193" t="s">
        <v>1771</v>
      </c>
      <c r="AQ193" t="s">
        <v>1771</v>
      </c>
      <c r="AS193" s="31"/>
      <c r="AY193">
        <v>1</v>
      </c>
    </row>
    <row r="194" spans="1:51" x14ac:dyDescent="0.25">
      <c r="A194" t="s">
        <v>44</v>
      </c>
      <c r="B194">
        <v>451</v>
      </c>
      <c r="D194">
        <v>2217</v>
      </c>
      <c r="G194" t="s">
        <v>1814</v>
      </c>
      <c r="H194">
        <v>27898532000144</v>
      </c>
      <c r="J194" t="s">
        <v>1815</v>
      </c>
      <c r="K194" t="s">
        <v>1815</v>
      </c>
      <c r="L194">
        <v>14998117753</v>
      </c>
      <c r="N194" t="s">
        <v>1764</v>
      </c>
      <c r="Q194" t="s">
        <v>778</v>
      </c>
      <c r="R194" t="s">
        <v>1817</v>
      </c>
      <c r="S194" t="s">
        <v>790</v>
      </c>
      <c r="X194" t="s">
        <v>780</v>
      </c>
      <c r="Y194" t="s">
        <v>857</v>
      </c>
      <c r="AA194" s="31"/>
      <c r="AB194">
        <v>1600</v>
      </c>
      <c r="AC194">
        <v>26507</v>
      </c>
      <c r="AD194">
        <v>26</v>
      </c>
      <c r="AE194" t="s">
        <v>44</v>
      </c>
      <c r="AF194" s="31">
        <v>45826</v>
      </c>
      <c r="AG194" s="61">
        <v>0.60541666666666671</v>
      </c>
      <c r="AI194" t="s">
        <v>795</v>
      </c>
      <c r="AJ194" s="31">
        <v>45852</v>
      </c>
      <c r="AK194" s="61">
        <v>0.44032407407407409</v>
      </c>
      <c r="AL194" t="s">
        <v>796</v>
      </c>
      <c r="AM194" t="s">
        <v>1767</v>
      </c>
      <c r="AO194" t="s">
        <v>1769</v>
      </c>
      <c r="AQ194" t="s">
        <v>1771</v>
      </c>
      <c r="AS194" s="31"/>
      <c r="AY194">
        <v>1</v>
      </c>
    </row>
    <row r="195" spans="1:51" x14ac:dyDescent="0.25">
      <c r="A195" t="s">
        <v>44</v>
      </c>
      <c r="B195">
        <v>453</v>
      </c>
      <c r="D195">
        <v>2219</v>
      </c>
      <c r="G195" t="s">
        <v>1818</v>
      </c>
      <c r="J195" t="s">
        <v>1819</v>
      </c>
      <c r="K195" t="s">
        <v>1819</v>
      </c>
      <c r="L195">
        <v>11910695515</v>
      </c>
      <c r="N195" t="s">
        <v>1580</v>
      </c>
      <c r="Q195" t="s">
        <v>778</v>
      </c>
      <c r="W195" t="s">
        <v>1718</v>
      </c>
      <c r="X195" t="s">
        <v>780</v>
      </c>
      <c r="Y195" t="s">
        <v>807</v>
      </c>
      <c r="AA195" s="31"/>
      <c r="AB195">
        <v>29680</v>
      </c>
      <c r="AC195">
        <v>0</v>
      </c>
      <c r="AD195">
        <v>7</v>
      </c>
      <c r="AE195" t="s">
        <v>44</v>
      </c>
      <c r="AF195" s="31">
        <v>45831</v>
      </c>
      <c r="AG195" s="61">
        <v>0.38500000000000001</v>
      </c>
      <c r="AI195" t="s">
        <v>795</v>
      </c>
      <c r="AJ195" s="31">
        <v>45838</v>
      </c>
      <c r="AK195" s="61">
        <v>0.63365740740740739</v>
      </c>
      <c r="AL195" t="s">
        <v>934</v>
      </c>
      <c r="AM195" t="s">
        <v>1820</v>
      </c>
      <c r="AO195" t="s">
        <v>1789</v>
      </c>
      <c r="AQ195" t="s">
        <v>1789</v>
      </c>
      <c r="AS195" s="31"/>
      <c r="AY195">
        <v>1</v>
      </c>
    </row>
    <row r="196" spans="1:51" x14ac:dyDescent="0.25">
      <c r="A196" t="s">
        <v>44</v>
      </c>
      <c r="B196">
        <v>455</v>
      </c>
      <c r="D196">
        <v>2221</v>
      </c>
      <c r="G196" t="s">
        <v>1821</v>
      </c>
      <c r="H196">
        <v>1537246000160</v>
      </c>
      <c r="J196" t="s">
        <v>1822</v>
      </c>
      <c r="K196" t="s">
        <v>1822</v>
      </c>
      <c r="L196">
        <v>15997551770</v>
      </c>
      <c r="N196" t="s">
        <v>1824</v>
      </c>
      <c r="Q196" t="s">
        <v>778</v>
      </c>
      <c r="R196" t="s">
        <v>1825</v>
      </c>
      <c r="S196" t="s">
        <v>790</v>
      </c>
      <c r="X196" t="s">
        <v>780</v>
      </c>
      <c r="Y196" t="s">
        <v>781</v>
      </c>
      <c r="AA196" s="31"/>
      <c r="AD196">
        <v>7</v>
      </c>
      <c r="AE196" t="s">
        <v>44</v>
      </c>
      <c r="AF196" s="31">
        <v>45832</v>
      </c>
      <c r="AG196" s="61">
        <v>0.46826388888888892</v>
      </c>
      <c r="AI196" t="s">
        <v>795</v>
      </c>
      <c r="AJ196" s="31">
        <v>45839</v>
      </c>
      <c r="AK196" s="61">
        <v>0.40962962962962962</v>
      </c>
      <c r="AL196" t="s">
        <v>796</v>
      </c>
      <c r="AM196" t="s">
        <v>1694</v>
      </c>
      <c r="AS196" s="31"/>
      <c r="AY196">
        <v>1</v>
      </c>
    </row>
    <row r="197" spans="1:51" x14ac:dyDescent="0.25">
      <c r="A197" t="s">
        <v>44</v>
      </c>
      <c r="B197">
        <v>456</v>
      </c>
      <c r="D197">
        <v>2226</v>
      </c>
      <c r="G197" t="s">
        <v>1826</v>
      </c>
      <c r="H197">
        <v>1684187000152</v>
      </c>
      <c r="J197" t="s">
        <v>1827</v>
      </c>
      <c r="K197" t="s">
        <v>1827</v>
      </c>
      <c r="L197">
        <v>11947837975</v>
      </c>
      <c r="Q197" t="s">
        <v>778</v>
      </c>
      <c r="R197" t="s">
        <v>1094</v>
      </c>
      <c r="S197" t="s">
        <v>790</v>
      </c>
      <c r="X197" t="s">
        <v>780</v>
      </c>
      <c r="Y197" t="s">
        <v>781</v>
      </c>
      <c r="AA197" s="31"/>
      <c r="AD197">
        <v>7</v>
      </c>
      <c r="AE197" t="s">
        <v>44</v>
      </c>
      <c r="AF197" s="31">
        <v>45832</v>
      </c>
      <c r="AG197" s="61">
        <v>0.47282407407407412</v>
      </c>
      <c r="AI197" t="s">
        <v>795</v>
      </c>
      <c r="AJ197" s="31">
        <v>45839</v>
      </c>
      <c r="AK197" s="61">
        <v>0.4099652777777778</v>
      </c>
      <c r="AL197" t="s">
        <v>796</v>
      </c>
      <c r="AM197" t="s">
        <v>1694</v>
      </c>
      <c r="AS197" s="31"/>
      <c r="AY197">
        <v>1</v>
      </c>
    </row>
    <row r="198" spans="1:51" x14ac:dyDescent="0.25">
      <c r="A198" t="s">
        <v>44</v>
      </c>
      <c r="B198">
        <v>457</v>
      </c>
      <c r="D198">
        <v>2230</v>
      </c>
      <c r="G198" t="s">
        <v>1829</v>
      </c>
      <c r="H198">
        <v>28895260000191</v>
      </c>
      <c r="J198" t="s">
        <v>1830</v>
      </c>
      <c r="K198" t="s">
        <v>1830</v>
      </c>
      <c r="L198">
        <v>19999094519</v>
      </c>
      <c r="N198" t="s">
        <v>1832</v>
      </c>
      <c r="Q198" t="s">
        <v>778</v>
      </c>
      <c r="R198" t="s">
        <v>1833</v>
      </c>
      <c r="S198" t="s">
        <v>790</v>
      </c>
      <c r="X198" t="s">
        <v>780</v>
      </c>
      <c r="Y198" t="s">
        <v>781</v>
      </c>
      <c r="AA198" s="31"/>
      <c r="AD198">
        <v>7</v>
      </c>
      <c r="AE198" t="s">
        <v>44</v>
      </c>
      <c r="AF198" s="31">
        <v>45832</v>
      </c>
      <c r="AG198" s="61">
        <v>0.47787037037037039</v>
      </c>
      <c r="AI198" t="s">
        <v>795</v>
      </c>
      <c r="AJ198" s="31">
        <v>45839</v>
      </c>
      <c r="AK198" s="61">
        <v>0.41031250000000002</v>
      </c>
      <c r="AL198" t="s">
        <v>796</v>
      </c>
      <c r="AM198" t="s">
        <v>1694</v>
      </c>
      <c r="AS198" s="31"/>
      <c r="AY198">
        <v>1</v>
      </c>
    </row>
    <row r="199" spans="1:51" x14ac:dyDescent="0.25">
      <c r="A199" t="s">
        <v>44</v>
      </c>
      <c r="B199">
        <v>462</v>
      </c>
      <c r="D199">
        <v>2237</v>
      </c>
      <c r="G199" t="s">
        <v>1834</v>
      </c>
      <c r="H199">
        <v>61630786000115</v>
      </c>
      <c r="J199" t="s">
        <v>1835</v>
      </c>
      <c r="K199" t="s">
        <v>1835</v>
      </c>
      <c r="L199">
        <v>16993303692</v>
      </c>
      <c r="Q199" t="s">
        <v>778</v>
      </c>
      <c r="R199" t="s">
        <v>1837</v>
      </c>
      <c r="S199" t="s">
        <v>790</v>
      </c>
      <c r="X199" t="s">
        <v>780</v>
      </c>
      <c r="Y199" t="s">
        <v>857</v>
      </c>
      <c r="AA199" s="31"/>
      <c r="AB199">
        <v>80560</v>
      </c>
      <c r="AC199">
        <v>249008</v>
      </c>
      <c r="AD199">
        <v>1</v>
      </c>
      <c r="AE199" t="s">
        <v>44</v>
      </c>
      <c r="AF199" s="31">
        <v>45833</v>
      </c>
      <c r="AG199" s="61">
        <v>0.43809027777777781</v>
      </c>
      <c r="AI199" t="s">
        <v>795</v>
      </c>
      <c r="AJ199" s="31">
        <v>45834</v>
      </c>
      <c r="AK199" s="61">
        <v>0.44855324074074082</v>
      </c>
      <c r="AL199" t="s">
        <v>796</v>
      </c>
      <c r="AM199" t="s">
        <v>1838</v>
      </c>
      <c r="AO199" t="s">
        <v>1771</v>
      </c>
      <c r="AQ199" t="s">
        <v>1839</v>
      </c>
      <c r="AS199" s="31"/>
      <c r="AY199">
        <v>1</v>
      </c>
    </row>
    <row r="200" spans="1:51" x14ac:dyDescent="0.25">
      <c r="A200" t="s">
        <v>44</v>
      </c>
      <c r="B200">
        <v>463</v>
      </c>
      <c r="D200">
        <v>2239</v>
      </c>
      <c r="G200" t="s">
        <v>1840</v>
      </c>
      <c r="H200">
        <v>61630786000115</v>
      </c>
      <c r="J200" t="s">
        <v>1841</v>
      </c>
      <c r="K200" t="s">
        <v>1841</v>
      </c>
      <c r="L200">
        <v>16993303692</v>
      </c>
      <c r="Q200" t="s">
        <v>778</v>
      </c>
      <c r="R200" t="s">
        <v>1837</v>
      </c>
      <c r="S200" t="s">
        <v>790</v>
      </c>
      <c r="X200" t="s">
        <v>780</v>
      </c>
      <c r="Y200" t="s">
        <v>857</v>
      </c>
      <c r="AA200" s="31"/>
      <c r="AB200">
        <v>1600</v>
      </c>
      <c r="AC200">
        <v>278556</v>
      </c>
      <c r="AD200">
        <v>1</v>
      </c>
      <c r="AE200" t="s">
        <v>44</v>
      </c>
      <c r="AF200" s="31">
        <v>45833</v>
      </c>
      <c r="AG200" s="61">
        <v>0.44237268518518519</v>
      </c>
      <c r="AI200" t="s">
        <v>795</v>
      </c>
      <c r="AJ200" s="31">
        <v>45834</v>
      </c>
      <c r="AK200" s="61">
        <v>0.44890046296296299</v>
      </c>
      <c r="AL200" t="s">
        <v>796</v>
      </c>
      <c r="AM200" t="s">
        <v>1838</v>
      </c>
      <c r="AO200" t="s">
        <v>1771</v>
      </c>
      <c r="AQ200" t="s">
        <v>1839</v>
      </c>
      <c r="AS200" s="31"/>
      <c r="AY200">
        <v>1</v>
      </c>
    </row>
    <row r="201" spans="1:51" x14ac:dyDescent="0.25">
      <c r="A201" t="s">
        <v>44</v>
      </c>
      <c r="B201">
        <v>466</v>
      </c>
      <c r="D201">
        <v>2243</v>
      </c>
      <c r="G201" t="s">
        <v>1842</v>
      </c>
      <c r="J201" t="s">
        <v>1843</v>
      </c>
      <c r="K201" t="s">
        <v>1843</v>
      </c>
      <c r="L201">
        <v>3599959465</v>
      </c>
      <c r="N201" t="s">
        <v>1845</v>
      </c>
      <c r="Q201" t="s">
        <v>778</v>
      </c>
      <c r="X201" t="s">
        <v>780</v>
      </c>
      <c r="Y201" t="s">
        <v>816</v>
      </c>
      <c r="AA201" s="31"/>
      <c r="AB201">
        <v>0</v>
      </c>
      <c r="AC201">
        <v>54887</v>
      </c>
      <c r="AD201">
        <v>5</v>
      </c>
      <c r="AE201" t="s">
        <v>44</v>
      </c>
      <c r="AF201" s="31">
        <v>45833</v>
      </c>
      <c r="AG201" s="61">
        <v>0.60601851851851851</v>
      </c>
      <c r="AI201" t="s">
        <v>818</v>
      </c>
      <c r="AJ201" s="31">
        <v>45838</v>
      </c>
      <c r="AK201" s="61">
        <v>0.35708333333333331</v>
      </c>
      <c r="AO201" t="s">
        <v>1846</v>
      </c>
      <c r="AQ201" t="s">
        <v>1846</v>
      </c>
      <c r="AS201" s="31"/>
      <c r="AY201">
        <v>1</v>
      </c>
    </row>
    <row r="202" spans="1:51" x14ac:dyDescent="0.25">
      <c r="A202" t="s">
        <v>44</v>
      </c>
      <c r="B202">
        <v>467</v>
      </c>
      <c r="D202">
        <v>2244</v>
      </c>
      <c r="G202" t="s">
        <v>1847</v>
      </c>
      <c r="J202" t="s">
        <v>1848</v>
      </c>
      <c r="K202" t="s">
        <v>1848</v>
      </c>
      <c r="L202">
        <v>19997556622</v>
      </c>
      <c r="N202" t="s">
        <v>1786</v>
      </c>
      <c r="Q202" t="s">
        <v>778</v>
      </c>
      <c r="X202" t="s">
        <v>780</v>
      </c>
      <c r="Y202" t="s">
        <v>857</v>
      </c>
      <c r="AA202" s="31"/>
      <c r="AB202">
        <v>1600</v>
      </c>
      <c r="AC202">
        <v>309656</v>
      </c>
      <c r="AD202">
        <v>5</v>
      </c>
      <c r="AE202" t="s">
        <v>44</v>
      </c>
      <c r="AF202" s="31">
        <v>45833</v>
      </c>
      <c r="AG202" s="61">
        <v>0.66252314814814817</v>
      </c>
      <c r="AI202" t="s">
        <v>795</v>
      </c>
      <c r="AJ202" s="31">
        <v>45838</v>
      </c>
      <c r="AK202" s="61">
        <v>0.62982638888888887</v>
      </c>
      <c r="AL202" t="s">
        <v>796</v>
      </c>
      <c r="AM202" t="s">
        <v>1788</v>
      </c>
      <c r="AO202" t="s">
        <v>1789</v>
      </c>
      <c r="AQ202" t="s">
        <v>1769</v>
      </c>
      <c r="AS202" s="31"/>
      <c r="AY202">
        <v>1</v>
      </c>
    </row>
    <row r="203" spans="1:51" x14ac:dyDescent="0.25">
      <c r="A203" t="s">
        <v>44</v>
      </c>
      <c r="B203">
        <v>468</v>
      </c>
      <c r="D203">
        <v>2245</v>
      </c>
      <c r="G203" t="s">
        <v>1849</v>
      </c>
      <c r="H203">
        <v>9509581000166</v>
      </c>
      <c r="J203" t="s">
        <v>1850</v>
      </c>
      <c r="K203" t="s">
        <v>1850</v>
      </c>
      <c r="L203">
        <v>11999265872</v>
      </c>
      <c r="N203" t="s">
        <v>1852</v>
      </c>
      <c r="Q203" t="s">
        <v>778</v>
      </c>
      <c r="R203" t="s">
        <v>1094</v>
      </c>
      <c r="S203" t="s">
        <v>790</v>
      </c>
      <c r="X203" t="s">
        <v>780</v>
      </c>
      <c r="Y203" t="s">
        <v>793</v>
      </c>
      <c r="AA203" s="31"/>
      <c r="AB203">
        <v>10800</v>
      </c>
      <c r="AC203">
        <v>450</v>
      </c>
      <c r="AD203">
        <v>5</v>
      </c>
      <c r="AE203" t="s">
        <v>44</v>
      </c>
      <c r="AF203" s="31">
        <v>45833</v>
      </c>
      <c r="AG203" s="61">
        <v>0.6728587962962963</v>
      </c>
      <c r="AI203" t="s">
        <v>795</v>
      </c>
      <c r="AJ203" s="31">
        <v>45838</v>
      </c>
      <c r="AK203" s="61">
        <v>0.62880787037037034</v>
      </c>
      <c r="AL203" t="s">
        <v>796</v>
      </c>
      <c r="AM203" t="s">
        <v>1853</v>
      </c>
      <c r="AO203" t="s">
        <v>1854</v>
      </c>
      <c r="AQ203" t="s">
        <v>1790</v>
      </c>
      <c r="AS203" s="31"/>
      <c r="AY203">
        <v>1</v>
      </c>
    </row>
    <row r="204" spans="1:51" x14ac:dyDescent="0.25">
      <c r="A204" t="s">
        <v>44</v>
      </c>
      <c r="B204">
        <v>469</v>
      </c>
      <c r="D204">
        <v>2250</v>
      </c>
      <c r="G204" t="s">
        <v>1855</v>
      </c>
      <c r="J204" t="s">
        <v>1856</v>
      </c>
      <c r="K204" t="s">
        <v>1856</v>
      </c>
      <c r="L204">
        <v>47984366161</v>
      </c>
      <c r="N204" t="s">
        <v>1858</v>
      </c>
      <c r="Q204" t="s">
        <v>778</v>
      </c>
      <c r="X204" t="s">
        <v>780</v>
      </c>
      <c r="Y204" t="s">
        <v>816</v>
      </c>
      <c r="AA204" s="31"/>
      <c r="AB204">
        <v>607121</v>
      </c>
      <c r="AC204">
        <v>0</v>
      </c>
      <c r="AD204">
        <v>25</v>
      </c>
      <c r="AE204" t="s">
        <v>44</v>
      </c>
      <c r="AF204" s="31">
        <v>45834</v>
      </c>
      <c r="AG204" s="61">
        <v>0.49910879629629629</v>
      </c>
      <c r="AI204" t="s">
        <v>818</v>
      </c>
      <c r="AJ204" s="31">
        <v>45859</v>
      </c>
      <c r="AK204" s="61">
        <v>0.38678240740740738</v>
      </c>
      <c r="AO204" t="s">
        <v>1859</v>
      </c>
      <c r="AQ204" t="s">
        <v>1859</v>
      </c>
      <c r="AS204" s="31"/>
      <c r="AY204">
        <v>1</v>
      </c>
    </row>
    <row r="205" spans="1:51" x14ac:dyDescent="0.25">
      <c r="A205" t="s">
        <v>44</v>
      </c>
      <c r="B205">
        <v>470</v>
      </c>
      <c r="D205">
        <v>2272</v>
      </c>
      <c r="G205" t="s">
        <v>1860</v>
      </c>
      <c r="H205">
        <v>912882000161</v>
      </c>
      <c r="J205" t="s">
        <v>1861</v>
      </c>
      <c r="K205" t="s">
        <v>1861</v>
      </c>
      <c r="L205">
        <v>51980225006</v>
      </c>
      <c r="N205" t="s">
        <v>1863</v>
      </c>
      <c r="Q205" t="s">
        <v>778</v>
      </c>
      <c r="R205" t="s">
        <v>1864</v>
      </c>
      <c r="S205" t="s">
        <v>1027</v>
      </c>
      <c r="W205" t="s">
        <v>1718</v>
      </c>
      <c r="X205" t="s">
        <v>780</v>
      </c>
      <c r="Y205" t="s">
        <v>807</v>
      </c>
      <c r="AA205" s="31"/>
      <c r="AB205">
        <v>16960</v>
      </c>
      <c r="AC205">
        <v>14034</v>
      </c>
      <c r="AD205">
        <v>84</v>
      </c>
      <c r="AE205" t="s">
        <v>44</v>
      </c>
      <c r="AF205" s="31">
        <v>45838</v>
      </c>
      <c r="AG205" s="61">
        <v>0.49502314814814807</v>
      </c>
      <c r="AI205" t="s">
        <v>795</v>
      </c>
      <c r="AJ205" s="31">
        <v>45922</v>
      </c>
      <c r="AK205" s="61">
        <v>0.4777777777777778</v>
      </c>
      <c r="AL205" t="s">
        <v>796</v>
      </c>
      <c r="AM205" t="s">
        <v>1865</v>
      </c>
      <c r="AO205" t="s">
        <v>1866</v>
      </c>
      <c r="AQ205" t="s">
        <v>1866</v>
      </c>
      <c r="AS205" s="31"/>
      <c r="AY205">
        <v>1</v>
      </c>
    </row>
    <row r="206" spans="1:51" x14ac:dyDescent="0.25">
      <c r="A206" t="s">
        <v>31</v>
      </c>
      <c r="B206">
        <v>475</v>
      </c>
      <c r="D206">
        <v>2299</v>
      </c>
      <c r="G206" t="s">
        <v>1867</v>
      </c>
      <c r="H206">
        <v>3436772000169</v>
      </c>
      <c r="J206" t="s">
        <v>1868</v>
      </c>
      <c r="K206" t="s">
        <v>1868</v>
      </c>
      <c r="L206">
        <v>11983386298</v>
      </c>
      <c r="N206" t="s">
        <v>1870</v>
      </c>
      <c r="Q206" t="s">
        <v>778</v>
      </c>
      <c r="R206" t="s">
        <v>1094</v>
      </c>
      <c r="S206" t="s">
        <v>790</v>
      </c>
      <c r="X206" t="s">
        <v>780</v>
      </c>
      <c r="Y206" t="s">
        <v>793</v>
      </c>
      <c r="AA206" s="31"/>
      <c r="AD206">
        <v>60</v>
      </c>
      <c r="AE206" t="s">
        <v>31</v>
      </c>
      <c r="AF206" s="31">
        <v>45842</v>
      </c>
      <c r="AG206" s="61">
        <v>0.39122685185185191</v>
      </c>
      <c r="AI206" t="s">
        <v>795</v>
      </c>
      <c r="AJ206" s="31">
        <v>45902</v>
      </c>
      <c r="AK206" s="61">
        <v>0.41572916666666659</v>
      </c>
      <c r="AL206" t="s">
        <v>796</v>
      </c>
      <c r="AO206" t="s">
        <v>1871</v>
      </c>
      <c r="AQ206" t="s">
        <v>1872</v>
      </c>
      <c r="AS206" s="31"/>
      <c r="AY206">
        <v>1</v>
      </c>
    </row>
    <row r="207" spans="1:51" x14ac:dyDescent="0.25">
      <c r="A207" t="s">
        <v>44</v>
      </c>
      <c r="B207">
        <v>485</v>
      </c>
      <c r="D207">
        <v>2341</v>
      </c>
      <c r="G207" t="s">
        <v>1873</v>
      </c>
      <c r="H207">
        <v>20750928000109</v>
      </c>
      <c r="J207" t="s">
        <v>1874</v>
      </c>
      <c r="K207" t="s">
        <v>1874</v>
      </c>
      <c r="L207" t="s">
        <v>1875</v>
      </c>
      <c r="N207" t="s">
        <v>1876</v>
      </c>
      <c r="Q207" t="s">
        <v>778</v>
      </c>
      <c r="R207" t="s">
        <v>1877</v>
      </c>
      <c r="S207" t="s">
        <v>932</v>
      </c>
      <c r="W207" t="s">
        <v>1419</v>
      </c>
      <c r="X207" t="s">
        <v>780</v>
      </c>
      <c r="Y207" t="s">
        <v>816</v>
      </c>
      <c r="AA207" s="31"/>
      <c r="AB207">
        <v>6429976</v>
      </c>
      <c r="AC207">
        <v>399322</v>
      </c>
      <c r="AD207">
        <v>73</v>
      </c>
      <c r="AE207" t="s">
        <v>44</v>
      </c>
      <c r="AF207" s="31">
        <v>45852</v>
      </c>
      <c r="AG207" s="61">
        <v>0.42383101851851851</v>
      </c>
      <c r="AI207" t="s">
        <v>818</v>
      </c>
      <c r="AJ207" s="31">
        <v>45925</v>
      </c>
      <c r="AK207" s="61">
        <v>0.63105324074074076</v>
      </c>
      <c r="AO207" t="s">
        <v>1878</v>
      </c>
      <c r="AQ207" t="s">
        <v>1879</v>
      </c>
      <c r="AS207" s="31"/>
      <c r="AY207">
        <v>1</v>
      </c>
    </row>
    <row r="208" spans="1:51" x14ac:dyDescent="0.25">
      <c r="A208" t="s">
        <v>44</v>
      </c>
      <c r="B208">
        <v>486</v>
      </c>
      <c r="D208">
        <v>2343</v>
      </c>
      <c r="G208" t="s">
        <v>1880</v>
      </c>
      <c r="H208">
        <v>20750928000109</v>
      </c>
      <c r="J208" t="s">
        <v>1881</v>
      </c>
      <c r="K208" t="s">
        <v>1881</v>
      </c>
      <c r="L208" t="s">
        <v>1875</v>
      </c>
      <c r="N208" t="s">
        <v>1876</v>
      </c>
      <c r="Q208" t="s">
        <v>778</v>
      </c>
      <c r="R208" t="s">
        <v>1877</v>
      </c>
      <c r="S208" t="s">
        <v>932</v>
      </c>
      <c r="X208" t="s">
        <v>780</v>
      </c>
      <c r="Y208" t="s">
        <v>816</v>
      </c>
      <c r="AA208" s="31"/>
      <c r="AB208">
        <v>1600</v>
      </c>
      <c r="AC208">
        <v>2325</v>
      </c>
      <c r="AD208">
        <v>73</v>
      </c>
      <c r="AE208" t="s">
        <v>44</v>
      </c>
      <c r="AF208" s="31">
        <v>45852</v>
      </c>
      <c r="AG208" s="61">
        <v>0.4576736111111111</v>
      </c>
      <c r="AI208" t="s">
        <v>795</v>
      </c>
      <c r="AJ208" s="31">
        <v>45925</v>
      </c>
      <c r="AK208" s="61">
        <v>0.62450231481481477</v>
      </c>
      <c r="AL208" t="s">
        <v>858</v>
      </c>
      <c r="AM208" t="s">
        <v>1882</v>
      </c>
      <c r="AO208" t="s">
        <v>1878</v>
      </c>
      <c r="AQ208" t="s">
        <v>1879</v>
      </c>
      <c r="AS208" s="31"/>
      <c r="AY208">
        <v>1</v>
      </c>
    </row>
    <row r="209" spans="1:51" x14ac:dyDescent="0.25">
      <c r="A209" t="s">
        <v>44</v>
      </c>
      <c r="B209">
        <v>487</v>
      </c>
      <c r="D209">
        <v>2345</v>
      </c>
      <c r="G209" t="s">
        <v>1883</v>
      </c>
      <c r="J209" t="s">
        <v>1884</v>
      </c>
      <c r="K209" t="s">
        <v>1884</v>
      </c>
      <c r="L209">
        <v>17997793113</v>
      </c>
      <c r="N209" t="s">
        <v>1043</v>
      </c>
      <c r="Q209" t="s">
        <v>778</v>
      </c>
      <c r="X209" t="s">
        <v>780</v>
      </c>
      <c r="Y209" t="s">
        <v>816</v>
      </c>
      <c r="AA209" s="31"/>
      <c r="AB209">
        <v>0</v>
      </c>
      <c r="AC209">
        <v>14256</v>
      </c>
      <c r="AD209">
        <v>7</v>
      </c>
      <c r="AE209" t="s">
        <v>44</v>
      </c>
      <c r="AF209" s="31">
        <v>45852</v>
      </c>
      <c r="AG209" s="61">
        <v>0.61031250000000004</v>
      </c>
      <c r="AI209" t="s">
        <v>818</v>
      </c>
      <c r="AJ209" s="31">
        <v>45859</v>
      </c>
      <c r="AK209" s="61">
        <v>0.39141203703703698</v>
      </c>
      <c r="AO209" t="s">
        <v>1885</v>
      </c>
      <c r="AQ209" t="s">
        <v>1885</v>
      </c>
      <c r="AS209" s="31"/>
      <c r="AY209">
        <v>1</v>
      </c>
    </row>
    <row r="210" spans="1:51" x14ac:dyDescent="0.25">
      <c r="A210" t="s">
        <v>44</v>
      </c>
      <c r="B210">
        <v>488</v>
      </c>
      <c r="D210">
        <v>2346</v>
      </c>
      <c r="E210" t="s">
        <v>1886</v>
      </c>
      <c r="G210" t="s">
        <v>1887</v>
      </c>
      <c r="H210">
        <v>20750928000109</v>
      </c>
      <c r="J210" t="s">
        <v>1888</v>
      </c>
      <c r="K210" t="s">
        <v>1888</v>
      </c>
      <c r="L210">
        <v>4899606091</v>
      </c>
      <c r="N210" t="s">
        <v>1876</v>
      </c>
      <c r="Q210" t="s">
        <v>778</v>
      </c>
      <c r="W210" t="s">
        <v>1704</v>
      </c>
      <c r="X210" t="s">
        <v>780</v>
      </c>
      <c r="Y210" t="s">
        <v>816</v>
      </c>
      <c r="AA210" s="31">
        <v>46055</v>
      </c>
      <c r="AB210">
        <v>26200</v>
      </c>
      <c r="AC210">
        <v>3400</v>
      </c>
      <c r="AD210">
        <v>206</v>
      </c>
      <c r="AE210" t="s">
        <v>44</v>
      </c>
      <c r="AF210" s="31">
        <v>45853</v>
      </c>
      <c r="AG210" s="61">
        <v>0.72690972222222228</v>
      </c>
      <c r="AI210" t="s">
        <v>818</v>
      </c>
      <c r="AJ210" s="31">
        <v>46059</v>
      </c>
      <c r="AK210" s="61">
        <v>0.50700231481481484</v>
      </c>
      <c r="AO210" t="s">
        <v>1878</v>
      </c>
      <c r="AP210" t="s">
        <v>44</v>
      </c>
      <c r="AQ210" t="s">
        <v>1879</v>
      </c>
      <c r="AS210" s="31">
        <v>46001</v>
      </c>
      <c r="AY210">
        <v>1</v>
      </c>
    </row>
    <row r="211" spans="1:51" x14ac:dyDescent="0.25">
      <c r="A211" t="s">
        <v>44</v>
      </c>
      <c r="B211">
        <v>493</v>
      </c>
      <c r="D211">
        <v>2352</v>
      </c>
      <c r="G211" t="s">
        <v>1890</v>
      </c>
      <c r="H211">
        <v>39750889000160</v>
      </c>
      <c r="J211" t="s">
        <v>1891</v>
      </c>
      <c r="K211" t="s">
        <v>1891</v>
      </c>
      <c r="L211" t="s">
        <v>1892</v>
      </c>
      <c r="N211" t="s">
        <v>1580</v>
      </c>
      <c r="Q211" t="s">
        <v>778</v>
      </c>
      <c r="R211" t="s">
        <v>1794</v>
      </c>
      <c r="S211" t="s">
        <v>790</v>
      </c>
      <c r="X211" t="s">
        <v>780</v>
      </c>
      <c r="Y211" t="s">
        <v>816</v>
      </c>
      <c r="Z211" t="s">
        <v>995</v>
      </c>
      <c r="AA211" s="31"/>
      <c r="AB211">
        <v>4327344</v>
      </c>
      <c r="AC211">
        <v>37442</v>
      </c>
      <c r="AD211">
        <v>42</v>
      </c>
      <c r="AE211" t="s">
        <v>44</v>
      </c>
      <c r="AF211" s="31">
        <v>45855</v>
      </c>
      <c r="AG211" s="61">
        <v>0.5997569444444445</v>
      </c>
      <c r="AI211" t="s">
        <v>818</v>
      </c>
      <c r="AJ211" s="31">
        <v>45897</v>
      </c>
      <c r="AK211" s="61">
        <v>0.63119212962962967</v>
      </c>
      <c r="AO211" t="s">
        <v>1893</v>
      </c>
      <c r="AQ211" t="s">
        <v>1893</v>
      </c>
      <c r="AS211" s="31"/>
      <c r="AY211">
        <v>1</v>
      </c>
    </row>
    <row r="212" spans="1:51" x14ac:dyDescent="0.25">
      <c r="A212" t="s">
        <v>44</v>
      </c>
      <c r="B212">
        <v>494</v>
      </c>
      <c r="D212">
        <v>2354</v>
      </c>
      <c r="G212" t="s">
        <v>1894</v>
      </c>
      <c r="J212" t="s">
        <v>1895</v>
      </c>
      <c r="K212" t="s">
        <v>1895</v>
      </c>
      <c r="L212">
        <v>11910695515</v>
      </c>
      <c r="N212" t="s">
        <v>1580</v>
      </c>
      <c r="Q212" t="s">
        <v>778</v>
      </c>
      <c r="X212" t="s">
        <v>780</v>
      </c>
      <c r="Y212" t="s">
        <v>816</v>
      </c>
      <c r="Z212" t="s">
        <v>995</v>
      </c>
      <c r="AA212" s="31"/>
      <c r="AB212">
        <v>1167696</v>
      </c>
      <c r="AC212">
        <v>0</v>
      </c>
      <c r="AD212">
        <v>42</v>
      </c>
      <c r="AE212" t="s">
        <v>44</v>
      </c>
      <c r="AF212" s="31">
        <v>45855</v>
      </c>
      <c r="AG212" s="61">
        <v>0.60982638888888885</v>
      </c>
      <c r="AI212" t="s">
        <v>818</v>
      </c>
      <c r="AJ212" s="31">
        <v>45897</v>
      </c>
      <c r="AK212" s="61">
        <v>0.63295138888888891</v>
      </c>
      <c r="AO212" t="s">
        <v>1893</v>
      </c>
      <c r="AQ212" t="s">
        <v>1893</v>
      </c>
      <c r="AS212" s="31"/>
      <c r="AY212">
        <v>1</v>
      </c>
    </row>
    <row r="213" spans="1:51" x14ac:dyDescent="0.25">
      <c r="A213" t="s">
        <v>44</v>
      </c>
      <c r="B213">
        <v>495</v>
      </c>
      <c r="D213">
        <v>2356</v>
      </c>
      <c r="G213" t="s">
        <v>1896</v>
      </c>
      <c r="J213" t="s">
        <v>1897</v>
      </c>
      <c r="K213" t="s">
        <v>1897</v>
      </c>
      <c r="L213">
        <v>41984816685</v>
      </c>
      <c r="N213" t="s">
        <v>1899</v>
      </c>
      <c r="Q213" t="s">
        <v>778</v>
      </c>
      <c r="W213" t="s">
        <v>1718</v>
      </c>
      <c r="X213" t="s">
        <v>780</v>
      </c>
      <c r="Y213" t="s">
        <v>807</v>
      </c>
      <c r="AA213" s="31"/>
      <c r="AB213">
        <v>16960</v>
      </c>
      <c r="AC213">
        <v>10748</v>
      </c>
      <c r="AD213">
        <v>67</v>
      </c>
      <c r="AE213" t="s">
        <v>44</v>
      </c>
      <c r="AF213" s="31">
        <v>45855</v>
      </c>
      <c r="AG213" s="61">
        <v>0.66787037037037034</v>
      </c>
      <c r="AI213" t="s">
        <v>795</v>
      </c>
      <c r="AJ213" s="31">
        <v>45922</v>
      </c>
      <c r="AK213" s="61">
        <v>0.48292824074074081</v>
      </c>
      <c r="AL213" t="s">
        <v>858</v>
      </c>
      <c r="AM213" t="s">
        <v>1900</v>
      </c>
      <c r="AO213" t="s">
        <v>1885</v>
      </c>
      <c r="AQ213" t="s">
        <v>1885</v>
      </c>
      <c r="AR213" t="s">
        <v>1901</v>
      </c>
      <c r="AS213" s="31"/>
      <c r="AY213">
        <v>1</v>
      </c>
    </row>
    <row r="214" spans="1:51" x14ac:dyDescent="0.25">
      <c r="A214" t="s">
        <v>44</v>
      </c>
      <c r="B214">
        <v>496</v>
      </c>
      <c r="D214">
        <v>2361</v>
      </c>
      <c r="E214" t="s">
        <v>1902</v>
      </c>
      <c r="F214" t="s">
        <v>1903</v>
      </c>
      <c r="G214" t="s">
        <v>1904</v>
      </c>
      <c r="H214">
        <v>60444098000521</v>
      </c>
      <c r="J214" t="s">
        <v>1903</v>
      </c>
      <c r="K214" t="s">
        <v>1903</v>
      </c>
      <c r="L214" t="s">
        <v>1905</v>
      </c>
      <c r="N214" t="s">
        <v>1906</v>
      </c>
      <c r="Q214" t="s">
        <v>778</v>
      </c>
      <c r="R214" t="s">
        <v>1907</v>
      </c>
      <c r="S214" t="s">
        <v>790</v>
      </c>
      <c r="T214" t="s">
        <v>805</v>
      </c>
      <c r="W214" t="s">
        <v>1581</v>
      </c>
      <c r="X214" t="s">
        <v>780</v>
      </c>
      <c r="Y214" t="s">
        <v>816</v>
      </c>
      <c r="Z214" t="s">
        <v>1537</v>
      </c>
      <c r="AA214" s="31">
        <v>46052</v>
      </c>
      <c r="AB214">
        <v>16960</v>
      </c>
      <c r="AC214">
        <v>37395</v>
      </c>
      <c r="AD214">
        <v>166</v>
      </c>
      <c r="AE214" t="s">
        <v>44</v>
      </c>
      <c r="AF214" s="31">
        <v>45861</v>
      </c>
      <c r="AG214" s="61">
        <v>0.49577546296296299</v>
      </c>
      <c r="AI214" t="s">
        <v>818</v>
      </c>
      <c r="AJ214" s="31">
        <v>46027</v>
      </c>
      <c r="AK214" s="61">
        <v>0.61862268518518515</v>
      </c>
      <c r="AO214" t="s">
        <v>1885</v>
      </c>
      <c r="AP214" t="s">
        <v>44</v>
      </c>
      <c r="AQ214" t="s">
        <v>1908</v>
      </c>
      <c r="AR214" t="s">
        <v>1885</v>
      </c>
      <c r="AS214" s="31">
        <v>46003</v>
      </c>
      <c r="AY214">
        <v>1</v>
      </c>
    </row>
    <row r="215" spans="1:51" x14ac:dyDescent="0.25">
      <c r="A215" t="s">
        <v>44</v>
      </c>
      <c r="B215">
        <v>497</v>
      </c>
      <c r="D215">
        <v>2363</v>
      </c>
      <c r="F215" t="s">
        <v>1909</v>
      </c>
      <c r="G215" t="s">
        <v>1910</v>
      </c>
      <c r="H215">
        <v>8306975000154</v>
      </c>
      <c r="J215" t="s">
        <v>1909</v>
      </c>
      <c r="K215" t="s">
        <v>1909</v>
      </c>
      <c r="L215" t="s">
        <v>1911</v>
      </c>
      <c r="Q215" t="s">
        <v>778</v>
      </c>
      <c r="R215" t="s">
        <v>1912</v>
      </c>
      <c r="S215" t="s">
        <v>1027</v>
      </c>
      <c r="T215" t="s">
        <v>805</v>
      </c>
      <c r="X215" t="s">
        <v>780</v>
      </c>
      <c r="Y215" t="s">
        <v>816</v>
      </c>
      <c r="AA215" s="31"/>
      <c r="AB215">
        <v>16960</v>
      </c>
      <c r="AC215">
        <v>2455</v>
      </c>
      <c r="AD215">
        <v>64</v>
      </c>
      <c r="AE215" t="s">
        <v>44</v>
      </c>
      <c r="AF215" s="31">
        <v>45861</v>
      </c>
      <c r="AG215" s="61">
        <v>0.50347222222222221</v>
      </c>
      <c r="AI215" t="s">
        <v>818</v>
      </c>
      <c r="AJ215" s="31">
        <v>45925</v>
      </c>
      <c r="AK215" s="61">
        <v>0.62386574074074075</v>
      </c>
      <c r="AO215" t="s">
        <v>1913</v>
      </c>
      <c r="AQ215" t="s">
        <v>1908</v>
      </c>
      <c r="AR215" t="s">
        <v>1913</v>
      </c>
      <c r="AS215" s="31"/>
      <c r="AY215">
        <v>1</v>
      </c>
    </row>
    <row r="216" spans="1:51" x14ac:dyDescent="0.25">
      <c r="A216" t="s">
        <v>44</v>
      </c>
      <c r="B216">
        <v>503</v>
      </c>
      <c r="D216">
        <v>2433</v>
      </c>
      <c r="G216" t="s">
        <v>1914</v>
      </c>
      <c r="H216">
        <v>46083438000181</v>
      </c>
      <c r="J216" t="s">
        <v>1915</v>
      </c>
      <c r="K216" t="s">
        <v>1915</v>
      </c>
      <c r="L216" t="s">
        <v>1916</v>
      </c>
      <c r="N216" t="s">
        <v>1917</v>
      </c>
      <c r="Q216" t="s">
        <v>778</v>
      </c>
      <c r="T216" t="s">
        <v>805</v>
      </c>
      <c r="X216" t="s">
        <v>780</v>
      </c>
      <c r="Y216" t="s">
        <v>857</v>
      </c>
      <c r="AA216" s="31"/>
      <c r="AB216">
        <v>16960</v>
      </c>
      <c r="AC216">
        <v>998</v>
      </c>
      <c r="AD216">
        <v>29</v>
      </c>
      <c r="AE216" t="s">
        <v>44</v>
      </c>
      <c r="AF216" s="31">
        <v>45868</v>
      </c>
      <c r="AG216" s="61">
        <v>0.49329861111111112</v>
      </c>
      <c r="AI216" t="s">
        <v>795</v>
      </c>
      <c r="AJ216" s="31">
        <v>45897</v>
      </c>
      <c r="AK216" s="61">
        <v>0.69715277777777773</v>
      </c>
      <c r="AL216" t="s">
        <v>796</v>
      </c>
      <c r="AM216" t="s">
        <v>1918</v>
      </c>
      <c r="AO216" t="s">
        <v>1919</v>
      </c>
      <c r="AQ216" t="s">
        <v>1919</v>
      </c>
      <c r="AS216" s="31"/>
      <c r="AY216">
        <v>1</v>
      </c>
    </row>
    <row r="217" spans="1:51" x14ac:dyDescent="0.25">
      <c r="A217" t="s">
        <v>44</v>
      </c>
      <c r="B217">
        <v>504</v>
      </c>
      <c r="D217">
        <v>2434</v>
      </c>
      <c r="G217" t="s">
        <v>1920</v>
      </c>
      <c r="H217">
        <v>8306975000154</v>
      </c>
      <c r="J217" t="s">
        <v>1921</v>
      </c>
      <c r="K217" t="s">
        <v>1921</v>
      </c>
      <c r="L217">
        <v>5499823395</v>
      </c>
      <c r="Q217" t="s">
        <v>778</v>
      </c>
      <c r="R217" t="s">
        <v>1912</v>
      </c>
      <c r="S217" t="s">
        <v>1027</v>
      </c>
      <c r="W217" t="s">
        <v>1419</v>
      </c>
      <c r="X217" t="s">
        <v>780</v>
      </c>
      <c r="Y217" t="s">
        <v>807</v>
      </c>
      <c r="AA217" s="31"/>
      <c r="AB217">
        <v>87344</v>
      </c>
      <c r="AC217">
        <v>514788</v>
      </c>
      <c r="AD217">
        <v>41</v>
      </c>
      <c r="AE217" t="s">
        <v>44</v>
      </c>
      <c r="AF217" s="31">
        <v>45868</v>
      </c>
      <c r="AG217" s="61">
        <v>0.63407407407407412</v>
      </c>
      <c r="AI217" t="s">
        <v>795</v>
      </c>
      <c r="AJ217" s="31">
        <v>45909</v>
      </c>
      <c r="AK217" s="61">
        <v>0.64981481481481485</v>
      </c>
      <c r="AL217" t="s">
        <v>858</v>
      </c>
      <c r="AM217" t="s">
        <v>1923</v>
      </c>
      <c r="AO217" t="s">
        <v>1924</v>
      </c>
      <c r="AS217" s="31"/>
      <c r="AY217">
        <v>1</v>
      </c>
    </row>
    <row r="218" spans="1:51" x14ac:dyDescent="0.25">
      <c r="A218" t="s">
        <v>44</v>
      </c>
      <c r="B218">
        <v>505</v>
      </c>
      <c r="D218">
        <v>2436</v>
      </c>
      <c r="G218" t="s">
        <v>1925</v>
      </c>
      <c r="H218">
        <v>8306975000154</v>
      </c>
      <c r="J218" t="s">
        <v>1926</v>
      </c>
      <c r="K218" t="s">
        <v>1926</v>
      </c>
      <c r="L218">
        <v>5499823395</v>
      </c>
      <c r="Q218" t="s">
        <v>778</v>
      </c>
      <c r="R218" t="s">
        <v>1912</v>
      </c>
      <c r="S218" t="s">
        <v>1027</v>
      </c>
      <c r="X218" t="s">
        <v>780</v>
      </c>
      <c r="Y218" t="s">
        <v>857</v>
      </c>
      <c r="AA218" s="31"/>
      <c r="AB218">
        <v>1600</v>
      </c>
      <c r="AC218">
        <v>334556</v>
      </c>
      <c r="AD218">
        <v>30</v>
      </c>
      <c r="AE218" t="s">
        <v>44</v>
      </c>
      <c r="AF218" s="31">
        <v>45868</v>
      </c>
      <c r="AG218" s="61">
        <v>0.67164351851851856</v>
      </c>
      <c r="AI218" t="s">
        <v>795</v>
      </c>
      <c r="AJ218" s="31">
        <v>45898</v>
      </c>
      <c r="AK218" s="61">
        <v>0.65936342592592589</v>
      </c>
      <c r="AL218" t="s">
        <v>858</v>
      </c>
      <c r="AM218" t="s">
        <v>1927</v>
      </c>
      <c r="AO218" t="s">
        <v>1919</v>
      </c>
      <c r="AS218" s="31"/>
      <c r="AY218">
        <v>1</v>
      </c>
    </row>
    <row r="219" spans="1:51" x14ac:dyDescent="0.25">
      <c r="A219" t="s">
        <v>44</v>
      </c>
      <c r="B219">
        <v>506</v>
      </c>
      <c r="D219">
        <v>2439</v>
      </c>
      <c r="G219" t="s">
        <v>1928</v>
      </c>
      <c r="H219">
        <v>30924882000142</v>
      </c>
      <c r="J219" t="s">
        <v>1929</v>
      </c>
      <c r="K219" t="s">
        <v>1929</v>
      </c>
      <c r="N219" t="s">
        <v>1760</v>
      </c>
      <c r="Q219" t="s">
        <v>778</v>
      </c>
      <c r="T219" t="s">
        <v>805</v>
      </c>
      <c r="W219" t="s">
        <v>1704</v>
      </c>
      <c r="X219" t="s">
        <v>780</v>
      </c>
      <c r="Y219" t="s">
        <v>816</v>
      </c>
      <c r="AA219" s="31"/>
      <c r="AB219">
        <v>72240</v>
      </c>
      <c r="AC219">
        <v>2167539</v>
      </c>
      <c r="AD219">
        <v>56</v>
      </c>
      <c r="AE219" t="s">
        <v>44</v>
      </c>
      <c r="AF219" s="31">
        <v>45868</v>
      </c>
      <c r="AG219" s="61">
        <v>0.68521990740740746</v>
      </c>
      <c r="AI219" t="s">
        <v>795</v>
      </c>
      <c r="AJ219" s="31">
        <v>45924</v>
      </c>
      <c r="AK219" s="61">
        <v>0.3992013888888889</v>
      </c>
      <c r="AL219" t="s">
        <v>858</v>
      </c>
      <c r="AM219" t="s">
        <v>1930</v>
      </c>
      <c r="AO219" t="s">
        <v>1919</v>
      </c>
      <c r="AS219" s="31"/>
      <c r="AY219">
        <v>1</v>
      </c>
    </row>
    <row r="220" spans="1:51" x14ac:dyDescent="0.25">
      <c r="A220" t="s">
        <v>44</v>
      </c>
      <c r="B220">
        <v>507</v>
      </c>
      <c r="D220">
        <v>2440</v>
      </c>
      <c r="G220" t="s">
        <v>1931</v>
      </c>
      <c r="H220">
        <v>30924882000142</v>
      </c>
      <c r="J220" t="s">
        <v>1932</v>
      </c>
      <c r="K220" t="s">
        <v>1932</v>
      </c>
      <c r="L220">
        <v>11987154112</v>
      </c>
      <c r="N220" t="s">
        <v>1933</v>
      </c>
      <c r="Q220" t="s">
        <v>778</v>
      </c>
      <c r="R220" t="s">
        <v>1633</v>
      </c>
      <c r="S220" t="s">
        <v>848</v>
      </c>
      <c r="W220" t="s">
        <v>1581</v>
      </c>
      <c r="X220" t="s">
        <v>780</v>
      </c>
      <c r="Y220" t="s">
        <v>816</v>
      </c>
      <c r="AA220" s="31"/>
      <c r="AB220">
        <v>1620001</v>
      </c>
      <c r="AC220">
        <v>2900</v>
      </c>
      <c r="AD220">
        <v>56</v>
      </c>
      <c r="AE220" t="s">
        <v>44</v>
      </c>
      <c r="AF220" s="31">
        <v>45868</v>
      </c>
      <c r="AG220" s="61">
        <v>0.72228009259259263</v>
      </c>
      <c r="AI220" t="s">
        <v>795</v>
      </c>
      <c r="AJ220" s="31">
        <v>45924</v>
      </c>
      <c r="AK220" s="61">
        <v>0.38725694444444442</v>
      </c>
      <c r="AL220" t="s">
        <v>858</v>
      </c>
      <c r="AM220" t="s">
        <v>1934</v>
      </c>
      <c r="AO220" t="s">
        <v>1919</v>
      </c>
      <c r="AS220" s="31"/>
      <c r="AY220">
        <v>1</v>
      </c>
    </row>
    <row r="221" spans="1:51" x14ac:dyDescent="0.25">
      <c r="A221" t="s">
        <v>44</v>
      </c>
      <c r="B221">
        <v>508</v>
      </c>
      <c r="D221">
        <v>2442</v>
      </c>
      <c r="G221" t="s">
        <v>1935</v>
      </c>
      <c r="J221" t="s">
        <v>1811</v>
      </c>
      <c r="K221" t="s">
        <v>1811</v>
      </c>
      <c r="L221">
        <v>35993445286</v>
      </c>
      <c r="N221" t="s">
        <v>1813</v>
      </c>
      <c r="Q221" t="s">
        <v>778</v>
      </c>
      <c r="X221" t="s">
        <v>780</v>
      </c>
      <c r="Y221" t="s">
        <v>816</v>
      </c>
      <c r="AA221" s="31"/>
      <c r="AB221">
        <v>62169</v>
      </c>
      <c r="AC221">
        <v>0</v>
      </c>
      <c r="AD221">
        <v>53</v>
      </c>
      <c r="AE221" t="s">
        <v>44</v>
      </c>
      <c r="AF221" s="31">
        <v>45869</v>
      </c>
      <c r="AG221" s="61">
        <v>0.38049768518518517</v>
      </c>
      <c r="AI221" t="s">
        <v>818</v>
      </c>
      <c r="AJ221" s="31">
        <v>45922</v>
      </c>
      <c r="AK221" s="61">
        <v>0.44719907407407411</v>
      </c>
      <c r="AO221" t="s">
        <v>1937</v>
      </c>
      <c r="AQ221" t="s">
        <v>1937</v>
      </c>
      <c r="AS221" s="31"/>
      <c r="AY221">
        <v>1</v>
      </c>
    </row>
    <row r="222" spans="1:51" x14ac:dyDescent="0.25">
      <c r="A222" t="s">
        <v>44</v>
      </c>
      <c r="B222">
        <v>509</v>
      </c>
      <c r="D222">
        <v>2443</v>
      </c>
      <c r="F222" t="s">
        <v>1938</v>
      </c>
      <c r="G222" t="s">
        <v>1939</v>
      </c>
      <c r="H222">
        <v>6346005000157</v>
      </c>
      <c r="J222" t="s">
        <v>1938</v>
      </c>
      <c r="K222" t="s">
        <v>1938</v>
      </c>
      <c r="L222" t="s">
        <v>1940</v>
      </c>
      <c r="N222" t="s">
        <v>1941</v>
      </c>
      <c r="Q222" t="s">
        <v>778</v>
      </c>
      <c r="R222" t="s">
        <v>1942</v>
      </c>
      <c r="S222" t="s">
        <v>790</v>
      </c>
      <c r="T222" t="s">
        <v>805</v>
      </c>
      <c r="X222" t="s">
        <v>780</v>
      </c>
      <c r="Y222" t="s">
        <v>857</v>
      </c>
      <c r="AA222" s="31"/>
      <c r="AB222">
        <v>16960</v>
      </c>
      <c r="AC222">
        <v>67275</v>
      </c>
      <c r="AD222">
        <v>28</v>
      </c>
      <c r="AE222" t="s">
        <v>44</v>
      </c>
      <c r="AF222" s="31">
        <v>45869</v>
      </c>
      <c r="AG222" s="61">
        <v>0.49811342592592589</v>
      </c>
      <c r="AI222" t="s">
        <v>795</v>
      </c>
      <c r="AJ222" s="31">
        <v>45897</v>
      </c>
      <c r="AK222" s="61">
        <v>0.68432870370370369</v>
      </c>
      <c r="AL222" t="s">
        <v>867</v>
      </c>
      <c r="AM222" t="s">
        <v>1943</v>
      </c>
      <c r="AO222" t="s">
        <v>1944</v>
      </c>
      <c r="AQ222" t="s">
        <v>1944</v>
      </c>
      <c r="AR222" t="s">
        <v>1945</v>
      </c>
      <c r="AS222" s="31"/>
      <c r="AY222">
        <v>1</v>
      </c>
    </row>
    <row r="223" spans="1:51" x14ac:dyDescent="0.25">
      <c r="A223" t="s">
        <v>44</v>
      </c>
      <c r="B223">
        <v>510</v>
      </c>
      <c r="D223">
        <v>2446</v>
      </c>
      <c r="F223" t="s">
        <v>1946</v>
      </c>
      <c r="G223" t="s">
        <v>1947</v>
      </c>
      <c r="H223">
        <v>60315995000101</v>
      </c>
      <c r="J223" t="s">
        <v>1946</v>
      </c>
      <c r="K223" t="s">
        <v>1946</v>
      </c>
      <c r="L223" t="s">
        <v>1948</v>
      </c>
      <c r="N223" t="s">
        <v>1949</v>
      </c>
      <c r="Q223" t="s">
        <v>778</v>
      </c>
      <c r="R223" t="s">
        <v>1950</v>
      </c>
      <c r="S223" t="s">
        <v>790</v>
      </c>
      <c r="T223" t="s">
        <v>805</v>
      </c>
      <c r="X223" t="s">
        <v>780</v>
      </c>
      <c r="Y223" t="s">
        <v>857</v>
      </c>
      <c r="AA223" s="31"/>
      <c r="AB223">
        <v>94976</v>
      </c>
      <c r="AC223">
        <v>566152</v>
      </c>
      <c r="AD223">
        <v>29</v>
      </c>
      <c r="AE223" t="s">
        <v>44</v>
      </c>
      <c r="AF223" s="31">
        <v>45869</v>
      </c>
      <c r="AG223" s="61">
        <v>0.71494212962962966</v>
      </c>
      <c r="AI223" t="s">
        <v>795</v>
      </c>
      <c r="AJ223" s="31">
        <v>45898</v>
      </c>
      <c r="AK223" s="61">
        <v>0.46232638888888888</v>
      </c>
      <c r="AL223" t="s">
        <v>796</v>
      </c>
      <c r="AM223" t="s">
        <v>1951</v>
      </c>
      <c r="AO223" t="s">
        <v>1952</v>
      </c>
      <c r="AQ223" t="s">
        <v>1952</v>
      </c>
      <c r="AR223" t="s">
        <v>1953</v>
      </c>
      <c r="AS223" s="31"/>
      <c r="AY223">
        <v>1</v>
      </c>
    </row>
    <row r="224" spans="1:51" x14ac:dyDescent="0.25">
      <c r="A224" t="s">
        <v>22</v>
      </c>
      <c r="B224">
        <v>516</v>
      </c>
      <c r="D224">
        <v>2454</v>
      </c>
      <c r="G224" t="s">
        <v>1954</v>
      </c>
      <c r="H224">
        <v>72677693000162</v>
      </c>
      <c r="J224" t="s">
        <v>1955</v>
      </c>
      <c r="K224" t="s">
        <v>1955</v>
      </c>
      <c r="L224" t="s">
        <v>1956</v>
      </c>
      <c r="N224" t="s">
        <v>1957</v>
      </c>
      <c r="Q224" t="s">
        <v>778</v>
      </c>
      <c r="R224" t="s">
        <v>1958</v>
      </c>
      <c r="T224" t="s">
        <v>814</v>
      </c>
      <c r="W224" t="s">
        <v>1186</v>
      </c>
      <c r="X224" t="s">
        <v>780</v>
      </c>
      <c r="Y224" t="s">
        <v>807</v>
      </c>
      <c r="AA224" s="31"/>
      <c r="AD224">
        <v>53</v>
      </c>
      <c r="AE224" t="s">
        <v>22</v>
      </c>
      <c r="AF224" s="31">
        <v>45876</v>
      </c>
      <c r="AG224" s="61">
        <v>0.50568287037037041</v>
      </c>
      <c r="AI224" t="s">
        <v>795</v>
      </c>
      <c r="AJ224" s="31">
        <v>45929</v>
      </c>
      <c r="AK224" s="61">
        <v>0.69144675925925925</v>
      </c>
      <c r="AL224" t="s">
        <v>796</v>
      </c>
      <c r="AP224" t="s">
        <v>22</v>
      </c>
      <c r="AQ224" t="s">
        <v>1959</v>
      </c>
      <c r="AS224" s="31"/>
      <c r="AY224">
        <v>1</v>
      </c>
    </row>
    <row r="225" spans="1:51" x14ac:dyDescent="0.25">
      <c r="A225" t="s">
        <v>22</v>
      </c>
      <c r="B225">
        <v>517</v>
      </c>
      <c r="D225">
        <v>2453</v>
      </c>
      <c r="G225" t="s">
        <v>1960</v>
      </c>
      <c r="H225">
        <v>38470026000176</v>
      </c>
      <c r="J225" t="s">
        <v>1961</v>
      </c>
      <c r="K225" t="s">
        <v>1961</v>
      </c>
      <c r="L225" t="s">
        <v>1962</v>
      </c>
      <c r="N225" t="s">
        <v>1963</v>
      </c>
      <c r="Q225" t="s">
        <v>778</v>
      </c>
      <c r="R225" t="s">
        <v>923</v>
      </c>
      <c r="T225" t="s">
        <v>814</v>
      </c>
      <c r="X225" t="s">
        <v>780</v>
      </c>
      <c r="Y225" t="s">
        <v>897</v>
      </c>
      <c r="AA225" s="31"/>
      <c r="AD225">
        <v>53</v>
      </c>
      <c r="AE225" t="s">
        <v>22</v>
      </c>
      <c r="AF225" s="31">
        <v>45876</v>
      </c>
      <c r="AG225" s="61">
        <v>0.50621527777777775</v>
      </c>
      <c r="AI225" t="s">
        <v>795</v>
      </c>
      <c r="AJ225" s="31">
        <v>45929</v>
      </c>
      <c r="AK225" s="61">
        <v>0.69302083333333331</v>
      </c>
      <c r="AL225" t="s">
        <v>796</v>
      </c>
      <c r="AP225" t="s">
        <v>22</v>
      </c>
      <c r="AS225" s="31"/>
      <c r="AY225">
        <v>1</v>
      </c>
    </row>
    <row r="226" spans="1:51" x14ac:dyDescent="0.25">
      <c r="A226" t="s">
        <v>22</v>
      </c>
      <c r="B226">
        <v>518</v>
      </c>
      <c r="D226">
        <v>2456</v>
      </c>
      <c r="E226" t="s">
        <v>4705</v>
      </c>
      <c r="G226" t="s">
        <v>1965</v>
      </c>
      <c r="H226">
        <v>30340720000167</v>
      </c>
      <c r="J226" t="s">
        <v>1966</v>
      </c>
      <c r="K226" t="s">
        <v>1966</v>
      </c>
      <c r="L226">
        <v>4491813443</v>
      </c>
      <c r="N226" t="s">
        <v>1968</v>
      </c>
      <c r="Q226" t="s">
        <v>778</v>
      </c>
      <c r="T226" t="s">
        <v>791</v>
      </c>
      <c r="W226" t="s">
        <v>1581</v>
      </c>
      <c r="X226" t="s">
        <v>780</v>
      </c>
      <c r="Y226" t="s">
        <v>816</v>
      </c>
      <c r="AA226" s="31">
        <v>46112</v>
      </c>
      <c r="AB226">
        <v>27340</v>
      </c>
      <c r="AC226">
        <v>32992</v>
      </c>
      <c r="AD226">
        <v>246</v>
      </c>
      <c r="AE226" t="s">
        <v>22</v>
      </c>
      <c r="AF226" s="31">
        <v>45876</v>
      </c>
      <c r="AG226" s="61">
        <v>0.58170138888888889</v>
      </c>
      <c r="AI226" t="s">
        <v>795</v>
      </c>
      <c r="AJ226" s="31">
        <v>46122</v>
      </c>
      <c r="AK226" s="61">
        <v>0.70623842592592589</v>
      </c>
      <c r="AL226" t="s">
        <v>796</v>
      </c>
      <c r="AO226" t="s">
        <v>4706</v>
      </c>
      <c r="AP226" t="s">
        <v>22</v>
      </c>
      <c r="AQ226" t="s">
        <v>4603</v>
      </c>
      <c r="AS226" s="31">
        <v>46122</v>
      </c>
      <c r="AT226">
        <v>90</v>
      </c>
      <c r="AU226">
        <v>80</v>
      </c>
      <c r="AV226" t="s">
        <v>4707</v>
      </c>
      <c r="AW226" t="s">
        <v>1971</v>
      </c>
      <c r="AX226" t="s">
        <v>1972</v>
      </c>
      <c r="AY226">
        <v>1</v>
      </c>
    </row>
    <row r="227" spans="1:51" x14ac:dyDescent="0.25">
      <c r="A227" t="s">
        <v>22</v>
      </c>
      <c r="B227">
        <v>519</v>
      </c>
      <c r="D227">
        <v>2457</v>
      </c>
      <c r="G227" t="s">
        <v>1973</v>
      </c>
      <c r="J227" t="s">
        <v>1974</v>
      </c>
      <c r="K227" t="s">
        <v>1974</v>
      </c>
      <c r="L227">
        <v>11997633759</v>
      </c>
      <c r="N227" t="s">
        <v>1976</v>
      </c>
      <c r="Q227" t="s">
        <v>778</v>
      </c>
      <c r="X227" t="s">
        <v>780</v>
      </c>
      <c r="Y227" t="s">
        <v>807</v>
      </c>
      <c r="AA227" s="31"/>
      <c r="AD227">
        <v>34</v>
      </c>
      <c r="AE227" t="s">
        <v>22</v>
      </c>
      <c r="AF227" s="31">
        <v>45876</v>
      </c>
      <c r="AG227" s="61">
        <v>0.58745370370370376</v>
      </c>
      <c r="AI227" t="s">
        <v>795</v>
      </c>
      <c r="AJ227" s="31">
        <v>45910</v>
      </c>
      <c r="AK227" s="61">
        <v>0.67646990740740742</v>
      </c>
      <c r="AL227" t="s">
        <v>867</v>
      </c>
      <c r="AO227" t="s">
        <v>1944</v>
      </c>
      <c r="AP227" t="s">
        <v>22</v>
      </c>
      <c r="AQ227" t="s">
        <v>1959</v>
      </c>
      <c r="AS227" s="31"/>
      <c r="AY227">
        <v>1</v>
      </c>
    </row>
    <row r="228" spans="1:51" x14ac:dyDescent="0.25">
      <c r="A228" t="s">
        <v>22</v>
      </c>
      <c r="B228">
        <v>521</v>
      </c>
      <c r="D228">
        <v>2459</v>
      </c>
      <c r="G228" t="s">
        <v>1977</v>
      </c>
      <c r="H228">
        <v>7380599000428</v>
      </c>
      <c r="J228" t="s">
        <v>1978</v>
      </c>
      <c r="K228" t="s">
        <v>1978</v>
      </c>
      <c r="L228">
        <v>11982685555</v>
      </c>
      <c r="N228" t="s">
        <v>1980</v>
      </c>
      <c r="Q228" t="s">
        <v>778</v>
      </c>
      <c r="X228" t="s">
        <v>780</v>
      </c>
      <c r="Y228" t="s">
        <v>816</v>
      </c>
      <c r="AA228" s="31"/>
      <c r="AB228">
        <v>55500</v>
      </c>
      <c r="AC228">
        <v>53662</v>
      </c>
      <c r="AD228">
        <v>17</v>
      </c>
      <c r="AE228" t="s">
        <v>22</v>
      </c>
      <c r="AF228" s="31">
        <v>45877</v>
      </c>
      <c r="AG228" s="61">
        <v>0.49023148148148149</v>
      </c>
      <c r="AI228" t="s">
        <v>818</v>
      </c>
      <c r="AJ228" s="31">
        <v>45894</v>
      </c>
      <c r="AK228" s="61">
        <v>0.60188657407407409</v>
      </c>
      <c r="AO228" t="s">
        <v>1981</v>
      </c>
      <c r="AP228" t="s">
        <v>22</v>
      </c>
      <c r="AQ228" t="s">
        <v>1981</v>
      </c>
      <c r="AS228" s="31"/>
      <c r="AY228">
        <v>1</v>
      </c>
    </row>
    <row r="229" spans="1:51" x14ac:dyDescent="0.25">
      <c r="A229" t="s">
        <v>31</v>
      </c>
      <c r="B229">
        <v>531</v>
      </c>
      <c r="D229">
        <v>2475</v>
      </c>
      <c r="G229" t="s">
        <v>1982</v>
      </c>
      <c r="H229">
        <v>19733550000148</v>
      </c>
      <c r="J229" t="s">
        <v>1983</v>
      </c>
      <c r="K229" t="s">
        <v>1983</v>
      </c>
      <c r="L229" t="s">
        <v>1984</v>
      </c>
      <c r="N229" t="s">
        <v>1985</v>
      </c>
      <c r="Q229" t="s">
        <v>778</v>
      </c>
      <c r="R229" t="s">
        <v>1986</v>
      </c>
      <c r="S229" t="s">
        <v>790</v>
      </c>
      <c r="X229" t="s">
        <v>780</v>
      </c>
      <c r="Y229" t="s">
        <v>807</v>
      </c>
      <c r="AA229" s="31"/>
      <c r="AB229">
        <v>84420</v>
      </c>
      <c r="AC229">
        <v>4137</v>
      </c>
      <c r="AD229">
        <v>34</v>
      </c>
      <c r="AE229" t="s">
        <v>31</v>
      </c>
      <c r="AF229" s="31">
        <v>45889</v>
      </c>
      <c r="AG229" s="61">
        <v>0.38679398148148147</v>
      </c>
      <c r="AI229" t="s">
        <v>795</v>
      </c>
      <c r="AJ229" s="31">
        <v>45923</v>
      </c>
      <c r="AK229" s="61">
        <v>0.46545138888888887</v>
      </c>
      <c r="AL229" t="s">
        <v>867</v>
      </c>
      <c r="AO229" t="s">
        <v>1987</v>
      </c>
      <c r="AQ229" t="s">
        <v>1913</v>
      </c>
      <c r="AS229" s="31"/>
      <c r="AY229">
        <v>1</v>
      </c>
    </row>
    <row r="230" spans="1:51" x14ac:dyDescent="0.25">
      <c r="A230" t="s">
        <v>44</v>
      </c>
      <c r="B230">
        <v>532</v>
      </c>
      <c r="D230">
        <v>2478</v>
      </c>
      <c r="F230" t="s">
        <v>1988</v>
      </c>
      <c r="G230" t="s">
        <v>1989</v>
      </c>
      <c r="H230">
        <v>12902777000120</v>
      </c>
      <c r="J230" t="s">
        <v>1988</v>
      </c>
      <c r="K230" t="s">
        <v>1988</v>
      </c>
      <c r="L230" t="s">
        <v>1990</v>
      </c>
      <c r="N230" t="s">
        <v>1991</v>
      </c>
      <c r="Q230" t="s">
        <v>778</v>
      </c>
      <c r="R230" t="s">
        <v>1950</v>
      </c>
      <c r="S230" t="s">
        <v>790</v>
      </c>
      <c r="T230" t="s">
        <v>805</v>
      </c>
      <c r="X230" t="s">
        <v>780</v>
      </c>
      <c r="Y230" t="s">
        <v>857</v>
      </c>
      <c r="AA230" s="31"/>
      <c r="AB230">
        <v>16960</v>
      </c>
      <c r="AC230">
        <v>4910</v>
      </c>
      <c r="AD230">
        <v>69</v>
      </c>
      <c r="AE230" t="s">
        <v>44</v>
      </c>
      <c r="AF230" s="31">
        <v>45889</v>
      </c>
      <c r="AG230" s="61">
        <v>0.41239583333333341</v>
      </c>
      <c r="AI230" t="s">
        <v>795</v>
      </c>
      <c r="AJ230" s="31">
        <v>45958</v>
      </c>
      <c r="AK230" s="61">
        <v>0.43328703703703703</v>
      </c>
      <c r="AL230" t="s">
        <v>796</v>
      </c>
      <c r="AM230" t="s">
        <v>1992</v>
      </c>
      <c r="AO230" t="s">
        <v>1913</v>
      </c>
      <c r="AQ230" t="s">
        <v>1993</v>
      </c>
      <c r="AS230" s="31"/>
      <c r="AY230">
        <v>1</v>
      </c>
    </row>
    <row r="231" spans="1:51" x14ac:dyDescent="0.25">
      <c r="A231" t="s">
        <v>44</v>
      </c>
      <c r="B231">
        <v>534</v>
      </c>
      <c r="D231">
        <v>2481</v>
      </c>
      <c r="F231" t="s">
        <v>1994</v>
      </c>
      <c r="G231" t="s">
        <v>1995</v>
      </c>
      <c r="H231">
        <v>12589391000291</v>
      </c>
      <c r="J231" t="s">
        <v>1994</v>
      </c>
      <c r="K231" t="s">
        <v>1994</v>
      </c>
      <c r="L231" t="s">
        <v>1996</v>
      </c>
      <c r="N231" t="s">
        <v>1997</v>
      </c>
      <c r="Q231" t="s">
        <v>778</v>
      </c>
      <c r="R231" t="s">
        <v>1998</v>
      </c>
      <c r="S231" t="s">
        <v>790</v>
      </c>
      <c r="T231" t="s">
        <v>805</v>
      </c>
      <c r="W231" t="s">
        <v>1999</v>
      </c>
      <c r="X231" t="s">
        <v>780</v>
      </c>
      <c r="Y231" t="s">
        <v>857</v>
      </c>
      <c r="AA231" s="31"/>
      <c r="AB231">
        <v>16960</v>
      </c>
      <c r="AC231">
        <v>56568</v>
      </c>
      <c r="AD231">
        <v>20</v>
      </c>
      <c r="AE231" t="s">
        <v>44</v>
      </c>
      <c r="AF231" s="31">
        <v>45889</v>
      </c>
      <c r="AG231" s="61">
        <v>0.41663194444444451</v>
      </c>
      <c r="AI231" t="s">
        <v>795</v>
      </c>
      <c r="AJ231" s="31">
        <v>45909</v>
      </c>
      <c r="AK231" s="61">
        <v>0.6489583333333333</v>
      </c>
      <c r="AL231" t="s">
        <v>858</v>
      </c>
      <c r="AM231" t="s">
        <v>2000</v>
      </c>
      <c r="AO231" t="s">
        <v>2001</v>
      </c>
      <c r="AQ231" t="s">
        <v>2002</v>
      </c>
      <c r="AS231" s="31"/>
      <c r="AY231">
        <v>1</v>
      </c>
    </row>
    <row r="232" spans="1:51" x14ac:dyDescent="0.25">
      <c r="A232" t="s">
        <v>44</v>
      </c>
      <c r="B232">
        <v>537</v>
      </c>
      <c r="D232">
        <v>2486</v>
      </c>
      <c r="E232" t="s">
        <v>2003</v>
      </c>
      <c r="G232" t="s">
        <v>2004</v>
      </c>
      <c r="H232">
        <v>4049280000183</v>
      </c>
      <c r="J232" t="s">
        <v>2005</v>
      </c>
      <c r="K232" t="s">
        <v>2005</v>
      </c>
      <c r="L232">
        <v>11973107041</v>
      </c>
      <c r="N232" t="s">
        <v>2007</v>
      </c>
      <c r="Q232" t="s">
        <v>778</v>
      </c>
      <c r="R232" t="s">
        <v>1596</v>
      </c>
      <c r="S232" t="s">
        <v>790</v>
      </c>
      <c r="W232" t="s">
        <v>1704</v>
      </c>
      <c r="X232" t="s">
        <v>780</v>
      </c>
      <c r="Y232" t="s">
        <v>816</v>
      </c>
      <c r="AA232" s="31">
        <v>46038</v>
      </c>
      <c r="AB232">
        <v>51300</v>
      </c>
      <c r="AC232">
        <v>17345</v>
      </c>
      <c r="AD232">
        <v>160</v>
      </c>
      <c r="AE232" t="s">
        <v>44</v>
      </c>
      <c r="AF232" s="31">
        <v>45889</v>
      </c>
      <c r="AG232" s="61">
        <v>0.44634259259259262</v>
      </c>
      <c r="AI232" t="s">
        <v>818</v>
      </c>
      <c r="AJ232" s="31">
        <v>46049</v>
      </c>
      <c r="AK232" s="61">
        <v>0.70980324074074075</v>
      </c>
      <c r="AN232" t="s">
        <v>2008</v>
      </c>
      <c r="AO232" t="s">
        <v>2008</v>
      </c>
      <c r="AP232" t="s">
        <v>44</v>
      </c>
      <c r="AQ232" t="s">
        <v>2009</v>
      </c>
      <c r="AS232" s="31">
        <v>46028</v>
      </c>
      <c r="AY232">
        <v>1</v>
      </c>
    </row>
    <row r="233" spans="1:51" x14ac:dyDescent="0.25">
      <c r="A233" t="s">
        <v>44</v>
      </c>
      <c r="B233">
        <v>539</v>
      </c>
      <c r="D233">
        <v>2490</v>
      </c>
      <c r="F233" t="s">
        <v>2010</v>
      </c>
      <c r="G233" t="s">
        <v>2011</v>
      </c>
      <c r="H233">
        <v>39679781000128</v>
      </c>
      <c r="J233" t="s">
        <v>2010</v>
      </c>
      <c r="K233" t="s">
        <v>2010</v>
      </c>
      <c r="L233" t="s">
        <v>2012</v>
      </c>
      <c r="N233" t="s">
        <v>2013</v>
      </c>
      <c r="Q233" t="s">
        <v>778</v>
      </c>
      <c r="R233" t="s">
        <v>1094</v>
      </c>
      <c r="S233" t="s">
        <v>790</v>
      </c>
      <c r="T233" t="s">
        <v>805</v>
      </c>
      <c r="X233" t="s">
        <v>780</v>
      </c>
      <c r="Y233" t="s">
        <v>857</v>
      </c>
      <c r="AA233" s="31"/>
      <c r="AB233">
        <v>67840</v>
      </c>
      <c r="AC233">
        <v>13781</v>
      </c>
      <c r="AD233">
        <v>69</v>
      </c>
      <c r="AE233" t="s">
        <v>44</v>
      </c>
      <c r="AF233" s="31">
        <v>45889</v>
      </c>
      <c r="AG233" s="61">
        <v>0.46962962962962962</v>
      </c>
      <c r="AI233" t="s">
        <v>795</v>
      </c>
      <c r="AJ233" s="31">
        <v>45958</v>
      </c>
      <c r="AK233" s="61">
        <v>0.43357638888888889</v>
      </c>
      <c r="AL233" t="s">
        <v>858</v>
      </c>
      <c r="AM233" t="s">
        <v>967</v>
      </c>
      <c r="AO233" t="s">
        <v>2002</v>
      </c>
      <c r="AS233" s="31"/>
      <c r="AY233">
        <v>1</v>
      </c>
    </row>
    <row r="234" spans="1:51" x14ac:dyDescent="0.25">
      <c r="A234" t="s">
        <v>44</v>
      </c>
      <c r="B234">
        <v>540</v>
      </c>
      <c r="D234">
        <v>2493</v>
      </c>
      <c r="F234" t="s">
        <v>2014</v>
      </c>
      <c r="G234" t="s">
        <v>2015</v>
      </c>
      <c r="H234">
        <v>43066372000204</v>
      </c>
      <c r="J234" t="s">
        <v>2014</v>
      </c>
      <c r="K234" t="s">
        <v>2014</v>
      </c>
      <c r="L234" t="s">
        <v>2016</v>
      </c>
      <c r="N234" t="s">
        <v>2017</v>
      </c>
      <c r="Q234" t="s">
        <v>778</v>
      </c>
      <c r="R234" t="s">
        <v>2018</v>
      </c>
      <c r="S234" t="s">
        <v>790</v>
      </c>
      <c r="T234" t="s">
        <v>805</v>
      </c>
      <c r="X234" t="s">
        <v>780</v>
      </c>
      <c r="Y234" t="s">
        <v>857</v>
      </c>
      <c r="AA234" s="31"/>
      <c r="AB234">
        <v>16960</v>
      </c>
      <c r="AC234">
        <v>37712</v>
      </c>
      <c r="AD234">
        <v>71</v>
      </c>
      <c r="AE234" t="s">
        <v>44</v>
      </c>
      <c r="AF234" s="31">
        <v>45889</v>
      </c>
      <c r="AG234" s="61">
        <v>0.4788310185185185</v>
      </c>
      <c r="AI234" t="s">
        <v>795</v>
      </c>
      <c r="AJ234" s="31">
        <v>45960</v>
      </c>
      <c r="AK234" s="61">
        <v>0.42280092592592589</v>
      </c>
      <c r="AL234" t="s">
        <v>796</v>
      </c>
      <c r="AM234" t="s">
        <v>2019</v>
      </c>
      <c r="AO234" t="s">
        <v>2020</v>
      </c>
      <c r="AQ234" t="s">
        <v>2021</v>
      </c>
      <c r="AS234" s="31"/>
      <c r="AY234">
        <v>1</v>
      </c>
    </row>
    <row r="235" spans="1:51" x14ac:dyDescent="0.25">
      <c r="A235" t="s">
        <v>44</v>
      </c>
      <c r="B235">
        <v>542</v>
      </c>
      <c r="D235">
        <v>2496</v>
      </c>
      <c r="G235" t="s">
        <v>2022</v>
      </c>
      <c r="H235">
        <v>1715468000125</v>
      </c>
      <c r="J235" t="s">
        <v>2023</v>
      </c>
      <c r="K235" t="s">
        <v>2023</v>
      </c>
      <c r="L235">
        <v>35984074473</v>
      </c>
      <c r="N235" t="s">
        <v>2025</v>
      </c>
      <c r="Q235" t="s">
        <v>778</v>
      </c>
      <c r="R235" t="s">
        <v>2026</v>
      </c>
      <c r="S235" t="s">
        <v>1105</v>
      </c>
      <c r="W235" t="s">
        <v>1718</v>
      </c>
      <c r="X235" t="s">
        <v>780</v>
      </c>
      <c r="Y235" t="s">
        <v>793</v>
      </c>
      <c r="AA235" s="31"/>
      <c r="AB235">
        <v>212</v>
      </c>
      <c r="AC235">
        <v>69045</v>
      </c>
      <c r="AD235">
        <v>41</v>
      </c>
      <c r="AE235" t="s">
        <v>44</v>
      </c>
      <c r="AF235" s="31">
        <v>45890</v>
      </c>
      <c r="AG235" s="61">
        <v>0.39834490740740741</v>
      </c>
      <c r="AI235" t="s">
        <v>795</v>
      </c>
      <c r="AJ235" s="31">
        <v>45931</v>
      </c>
      <c r="AK235" s="61">
        <v>0.66620370370370374</v>
      </c>
      <c r="AL235" t="s">
        <v>974</v>
      </c>
      <c r="AM235" t="s">
        <v>2027</v>
      </c>
      <c r="AO235" t="s">
        <v>2002</v>
      </c>
      <c r="AQ235" t="s">
        <v>2002</v>
      </c>
      <c r="AR235" t="s">
        <v>2028</v>
      </c>
      <c r="AS235" s="31"/>
      <c r="AY235">
        <v>1</v>
      </c>
    </row>
    <row r="236" spans="1:51" x14ac:dyDescent="0.25">
      <c r="A236" t="s">
        <v>22</v>
      </c>
      <c r="B236">
        <v>545</v>
      </c>
      <c r="D236">
        <v>2464</v>
      </c>
      <c r="G236" t="s">
        <v>2029</v>
      </c>
      <c r="J236" t="s">
        <v>914</v>
      </c>
      <c r="K236" t="s">
        <v>914</v>
      </c>
      <c r="L236" t="s">
        <v>2030</v>
      </c>
      <c r="N236" t="s">
        <v>2031</v>
      </c>
      <c r="Q236" t="s">
        <v>778</v>
      </c>
      <c r="R236" t="s">
        <v>923</v>
      </c>
      <c r="T236" t="s">
        <v>814</v>
      </c>
      <c r="X236" t="s">
        <v>780</v>
      </c>
      <c r="Y236" t="s">
        <v>793</v>
      </c>
      <c r="AA236" s="31"/>
      <c r="AB236">
        <v>47500</v>
      </c>
      <c r="AC236">
        <v>28571</v>
      </c>
      <c r="AD236">
        <v>3</v>
      </c>
      <c r="AE236" t="s">
        <v>22</v>
      </c>
      <c r="AF236" s="31">
        <v>45891</v>
      </c>
      <c r="AG236" s="61">
        <v>0.68766203703703699</v>
      </c>
      <c r="AI236" t="s">
        <v>795</v>
      </c>
      <c r="AJ236" s="31">
        <v>45894</v>
      </c>
      <c r="AK236" s="61">
        <v>0.61422453703703705</v>
      </c>
      <c r="AL236" t="s">
        <v>867</v>
      </c>
      <c r="AO236" t="s">
        <v>1944</v>
      </c>
      <c r="AP236" t="s">
        <v>22</v>
      </c>
      <c r="AQ236" t="s">
        <v>1913</v>
      </c>
      <c r="AS236" s="31"/>
      <c r="AY236">
        <v>1</v>
      </c>
    </row>
    <row r="237" spans="1:51" x14ac:dyDescent="0.25">
      <c r="A237" t="s">
        <v>22</v>
      </c>
      <c r="B237">
        <v>546</v>
      </c>
      <c r="D237">
        <v>2463</v>
      </c>
      <c r="G237" t="s">
        <v>2032</v>
      </c>
      <c r="H237">
        <v>27616615000101</v>
      </c>
      <c r="J237" t="s">
        <v>2033</v>
      </c>
      <c r="K237" t="s">
        <v>2033</v>
      </c>
      <c r="L237" t="s">
        <v>2034</v>
      </c>
      <c r="N237" t="s">
        <v>2035</v>
      </c>
      <c r="Q237" t="s">
        <v>778</v>
      </c>
      <c r="R237" t="s">
        <v>2036</v>
      </c>
      <c r="T237" t="s">
        <v>814</v>
      </c>
      <c r="W237" t="s">
        <v>1198</v>
      </c>
      <c r="X237" t="s">
        <v>780</v>
      </c>
      <c r="Y237" t="s">
        <v>807</v>
      </c>
      <c r="AA237" s="31"/>
      <c r="AB237">
        <v>56000</v>
      </c>
      <c r="AC237">
        <v>340834</v>
      </c>
      <c r="AD237">
        <v>38</v>
      </c>
      <c r="AE237" t="s">
        <v>22</v>
      </c>
      <c r="AF237" s="31">
        <v>45891</v>
      </c>
      <c r="AG237" s="61">
        <v>0.68803240740740745</v>
      </c>
      <c r="AI237" t="s">
        <v>795</v>
      </c>
      <c r="AJ237" s="31">
        <v>45929</v>
      </c>
      <c r="AK237" s="61">
        <v>0.69619212962962962</v>
      </c>
      <c r="AL237" t="s">
        <v>796</v>
      </c>
      <c r="AO237" t="s">
        <v>2037</v>
      </c>
      <c r="AP237" t="s">
        <v>22</v>
      </c>
      <c r="AQ237" t="s">
        <v>2037</v>
      </c>
      <c r="AS237" s="31"/>
      <c r="AY237">
        <v>1</v>
      </c>
    </row>
    <row r="238" spans="1:51" x14ac:dyDescent="0.25">
      <c r="A238" t="s">
        <v>22</v>
      </c>
      <c r="B238">
        <v>550</v>
      </c>
      <c r="D238">
        <v>2506</v>
      </c>
      <c r="G238" t="s">
        <v>2038</v>
      </c>
      <c r="H238">
        <v>7225431000103</v>
      </c>
      <c r="J238" t="s">
        <v>2039</v>
      </c>
      <c r="K238" t="s">
        <v>2039</v>
      </c>
      <c r="L238">
        <v>49999523158</v>
      </c>
      <c r="N238" t="s">
        <v>2041</v>
      </c>
      <c r="Q238" t="s">
        <v>778</v>
      </c>
      <c r="X238" t="s">
        <v>780</v>
      </c>
      <c r="Y238" t="s">
        <v>807</v>
      </c>
      <c r="AA238" s="31"/>
      <c r="AB238">
        <v>519984</v>
      </c>
      <c r="AC238">
        <v>15378</v>
      </c>
      <c r="AD238">
        <v>0</v>
      </c>
      <c r="AE238" t="s">
        <v>22</v>
      </c>
      <c r="AF238" s="31">
        <v>45894</v>
      </c>
      <c r="AG238" s="61">
        <v>0.60456018518518517</v>
      </c>
      <c r="AI238" t="s">
        <v>795</v>
      </c>
      <c r="AJ238" s="31">
        <v>45894</v>
      </c>
      <c r="AK238" s="61">
        <v>0.60668981481481477</v>
      </c>
      <c r="AL238" t="s">
        <v>867</v>
      </c>
      <c r="AO238" t="s">
        <v>2042</v>
      </c>
      <c r="AP238" t="s">
        <v>22</v>
      </c>
      <c r="AQ238" t="s">
        <v>2042</v>
      </c>
      <c r="AS238" s="31"/>
      <c r="AY238">
        <v>1</v>
      </c>
    </row>
    <row r="239" spans="1:51" x14ac:dyDescent="0.25">
      <c r="A239" t="s">
        <v>22</v>
      </c>
      <c r="B239">
        <v>552</v>
      </c>
      <c r="D239">
        <v>2508</v>
      </c>
      <c r="E239" t="s">
        <v>2043</v>
      </c>
      <c r="G239" t="s">
        <v>2044</v>
      </c>
      <c r="H239">
        <v>17739326000138</v>
      </c>
      <c r="J239" t="s">
        <v>2045</v>
      </c>
      <c r="K239" t="s">
        <v>2045</v>
      </c>
      <c r="L239">
        <v>1633347333</v>
      </c>
      <c r="N239" t="s">
        <v>2047</v>
      </c>
      <c r="Q239" t="s">
        <v>778</v>
      </c>
      <c r="W239" t="s">
        <v>1718</v>
      </c>
      <c r="X239" t="s">
        <v>780</v>
      </c>
      <c r="Y239" t="s">
        <v>807</v>
      </c>
      <c r="AA239" s="31">
        <v>46044</v>
      </c>
      <c r="AB239">
        <v>15359994</v>
      </c>
      <c r="AC239">
        <v>924744</v>
      </c>
      <c r="AD239">
        <v>151</v>
      </c>
      <c r="AE239" t="s">
        <v>22</v>
      </c>
      <c r="AF239" s="31">
        <v>45894</v>
      </c>
      <c r="AG239" s="61">
        <v>0.61782407407407403</v>
      </c>
      <c r="AI239" t="s">
        <v>795</v>
      </c>
      <c r="AJ239" s="31">
        <v>46045</v>
      </c>
      <c r="AK239" s="61">
        <v>0.46665509259259258</v>
      </c>
      <c r="AL239" t="s">
        <v>858</v>
      </c>
      <c r="AO239" t="s">
        <v>2048</v>
      </c>
      <c r="AP239" t="s">
        <v>22</v>
      </c>
      <c r="AQ239" t="s">
        <v>2048</v>
      </c>
      <c r="AS239" s="31">
        <v>46044</v>
      </c>
      <c r="AY239">
        <v>1</v>
      </c>
    </row>
    <row r="240" spans="1:51" x14ac:dyDescent="0.25">
      <c r="A240" t="s">
        <v>22</v>
      </c>
      <c r="B240">
        <v>553</v>
      </c>
      <c r="D240">
        <v>2509</v>
      </c>
      <c r="G240" t="s">
        <v>2049</v>
      </c>
      <c r="J240" t="s">
        <v>2050</v>
      </c>
      <c r="K240" t="s">
        <v>2050</v>
      </c>
      <c r="L240">
        <v>11950946784</v>
      </c>
      <c r="N240" t="s">
        <v>1111</v>
      </c>
      <c r="Q240" t="s">
        <v>778</v>
      </c>
      <c r="X240" t="s">
        <v>780</v>
      </c>
      <c r="Y240" t="s">
        <v>816</v>
      </c>
      <c r="AA240" s="31"/>
      <c r="AB240">
        <v>9600</v>
      </c>
      <c r="AC240">
        <v>412064</v>
      </c>
      <c r="AD240">
        <v>84</v>
      </c>
      <c r="AE240" t="s">
        <v>22</v>
      </c>
      <c r="AF240" s="31">
        <v>45894</v>
      </c>
      <c r="AG240" s="61">
        <v>0.62391203703703701</v>
      </c>
      <c r="AI240" t="s">
        <v>818</v>
      </c>
      <c r="AJ240" s="31">
        <v>45978</v>
      </c>
      <c r="AK240" s="61">
        <v>0.64375000000000004</v>
      </c>
      <c r="AO240" t="s">
        <v>2048</v>
      </c>
      <c r="AP240" t="s">
        <v>22</v>
      </c>
      <c r="AQ240" t="s">
        <v>2048</v>
      </c>
      <c r="AS240" s="31"/>
      <c r="AY240">
        <v>1</v>
      </c>
    </row>
    <row r="241" spans="1:51" x14ac:dyDescent="0.25">
      <c r="A241" t="s">
        <v>44</v>
      </c>
      <c r="B241">
        <v>557</v>
      </c>
      <c r="D241">
        <v>2516</v>
      </c>
      <c r="G241" t="s">
        <v>2052</v>
      </c>
      <c r="H241">
        <v>59716480000134</v>
      </c>
      <c r="J241" t="s">
        <v>2053</v>
      </c>
      <c r="K241" t="s">
        <v>2053</v>
      </c>
      <c r="L241">
        <v>1146311986</v>
      </c>
      <c r="N241" t="s">
        <v>2055</v>
      </c>
      <c r="Q241" t="s">
        <v>778</v>
      </c>
      <c r="R241" t="s">
        <v>2056</v>
      </c>
      <c r="S241" t="s">
        <v>790</v>
      </c>
      <c r="X241" t="s">
        <v>780</v>
      </c>
      <c r="Y241" t="s">
        <v>793</v>
      </c>
      <c r="AA241" s="31"/>
      <c r="AD241">
        <v>0</v>
      </c>
      <c r="AE241" t="s">
        <v>44</v>
      </c>
      <c r="AF241" s="31">
        <v>45897</v>
      </c>
      <c r="AG241" s="61">
        <v>0.70465277777777779</v>
      </c>
      <c r="AI241" t="s">
        <v>795</v>
      </c>
      <c r="AJ241" s="31">
        <v>45897</v>
      </c>
      <c r="AK241" s="61">
        <v>0.70849537037037036</v>
      </c>
      <c r="AL241" t="s">
        <v>867</v>
      </c>
      <c r="AM241" t="s">
        <v>2057</v>
      </c>
      <c r="AO241" t="s">
        <v>2058</v>
      </c>
      <c r="AQ241" t="s">
        <v>2058</v>
      </c>
      <c r="AS241" s="31"/>
      <c r="AY241">
        <v>1</v>
      </c>
    </row>
    <row r="242" spans="1:51" x14ac:dyDescent="0.25">
      <c r="A242" t="s">
        <v>44</v>
      </c>
      <c r="B242">
        <v>558</v>
      </c>
      <c r="D242">
        <v>2518</v>
      </c>
      <c r="G242" t="s">
        <v>2059</v>
      </c>
      <c r="H242">
        <v>60315995000101</v>
      </c>
      <c r="J242" t="s">
        <v>2060</v>
      </c>
      <c r="K242" t="s">
        <v>2060</v>
      </c>
      <c r="L242">
        <v>11996823494</v>
      </c>
      <c r="N242" t="s">
        <v>2062</v>
      </c>
      <c r="Q242" t="s">
        <v>778</v>
      </c>
      <c r="R242" t="s">
        <v>1950</v>
      </c>
      <c r="S242" t="s">
        <v>790</v>
      </c>
      <c r="X242" t="s">
        <v>780</v>
      </c>
      <c r="Y242" t="s">
        <v>857</v>
      </c>
      <c r="AA242" s="31"/>
      <c r="AB242">
        <v>1600</v>
      </c>
      <c r="AC242">
        <v>323356</v>
      </c>
      <c r="AD242">
        <v>0</v>
      </c>
      <c r="AE242" t="s">
        <v>44</v>
      </c>
      <c r="AF242" s="31">
        <v>45898</v>
      </c>
      <c r="AG242" s="61">
        <v>0.44675925925925919</v>
      </c>
      <c r="AI242" t="s">
        <v>795</v>
      </c>
      <c r="AJ242" s="31">
        <v>45898</v>
      </c>
      <c r="AK242" s="61">
        <v>0.4629050925925926</v>
      </c>
      <c r="AL242" t="s">
        <v>796</v>
      </c>
      <c r="AM242" t="s">
        <v>1951</v>
      </c>
      <c r="AO242" t="s">
        <v>1953</v>
      </c>
      <c r="AQ242" t="s">
        <v>1952</v>
      </c>
      <c r="AS242" s="31"/>
      <c r="AY242">
        <v>1</v>
      </c>
    </row>
    <row r="243" spans="1:51" x14ac:dyDescent="0.25">
      <c r="A243" t="s">
        <v>44</v>
      </c>
      <c r="B243">
        <v>559</v>
      </c>
      <c r="C243">
        <v>155</v>
      </c>
      <c r="G243" t="s">
        <v>2063</v>
      </c>
      <c r="H243">
        <v>13609763000186</v>
      </c>
      <c r="I243" t="s">
        <v>870</v>
      </c>
      <c r="N243" t="s">
        <v>872</v>
      </c>
      <c r="Q243" t="s">
        <v>778</v>
      </c>
      <c r="R243" t="s">
        <v>873</v>
      </c>
      <c r="S243" t="s">
        <v>874</v>
      </c>
      <c r="X243" t="s">
        <v>780</v>
      </c>
      <c r="Y243" t="s">
        <v>857</v>
      </c>
      <c r="AA243" s="31"/>
      <c r="AB243">
        <v>16960</v>
      </c>
      <c r="AC243">
        <v>14256</v>
      </c>
      <c r="AD243">
        <v>32</v>
      </c>
      <c r="AE243" t="s">
        <v>44</v>
      </c>
      <c r="AF243" s="31">
        <v>45898</v>
      </c>
      <c r="AG243" s="61">
        <v>0.66320601851851857</v>
      </c>
      <c r="AI243" t="s">
        <v>795</v>
      </c>
      <c r="AJ243" s="31">
        <v>45930</v>
      </c>
      <c r="AK243" s="61">
        <v>0.68521990740740746</v>
      </c>
      <c r="AL243" t="s">
        <v>796</v>
      </c>
      <c r="AM243" t="s">
        <v>2064</v>
      </c>
      <c r="AO243" t="s">
        <v>2065</v>
      </c>
      <c r="AS243" s="31"/>
      <c r="AY243">
        <v>1</v>
      </c>
    </row>
    <row r="244" spans="1:51" x14ac:dyDescent="0.25">
      <c r="A244" t="s">
        <v>44</v>
      </c>
      <c r="B244">
        <v>561</v>
      </c>
      <c r="D244">
        <v>2523</v>
      </c>
      <c r="G244" t="s">
        <v>2066</v>
      </c>
      <c r="H244">
        <v>4049280000183</v>
      </c>
      <c r="J244" t="s">
        <v>2067</v>
      </c>
      <c r="K244" t="s">
        <v>2067</v>
      </c>
      <c r="L244">
        <v>11973107041</v>
      </c>
      <c r="N244" t="s">
        <v>2007</v>
      </c>
      <c r="Q244" t="s">
        <v>778</v>
      </c>
      <c r="R244" t="s">
        <v>1596</v>
      </c>
      <c r="S244" t="s">
        <v>790</v>
      </c>
      <c r="X244" t="s">
        <v>780</v>
      </c>
      <c r="Y244" t="s">
        <v>816</v>
      </c>
      <c r="AA244" s="31"/>
      <c r="AB244">
        <v>1600</v>
      </c>
      <c r="AC244">
        <v>390556</v>
      </c>
      <c r="AD244">
        <v>61</v>
      </c>
      <c r="AE244" t="s">
        <v>44</v>
      </c>
      <c r="AF244" s="31">
        <v>45898</v>
      </c>
      <c r="AG244" s="61">
        <v>0.69483796296296296</v>
      </c>
      <c r="AI244" t="s">
        <v>795</v>
      </c>
      <c r="AJ244" s="31">
        <v>45959</v>
      </c>
      <c r="AK244" s="61">
        <v>0.44239583333333332</v>
      </c>
      <c r="AL244" t="s">
        <v>858</v>
      </c>
      <c r="AM244" t="s">
        <v>2068</v>
      </c>
      <c r="AN244" t="s">
        <v>2008</v>
      </c>
      <c r="AO244" t="s">
        <v>2008</v>
      </c>
      <c r="AQ244" t="s">
        <v>2009</v>
      </c>
      <c r="AS244" s="31"/>
      <c r="AY244">
        <v>1</v>
      </c>
    </row>
    <row r="245" spans="1:51" x14ac:dyDescent="0.25">
      <c r="A245" t="s">
        <v>44</v>
      </c>
      <c r="B245">
        <v>562</v>
      </c>
      <c r="D245">
        <v>2526</v>
      </c>
      <c r="G245" t="s">
        <v>2069</v>
      </c>
      <c r="H245">
        <v>1715468000125</v>
      </c>
      <c r="J245" t="s">
        <v>2070</v>
      </c>
      <c r="K245" t="s">
        <v>2070</v>
      </c>
      <c r="L245">
        <v>35984074473</v>
      </c>
      <c r="N245" t="s">
        <v>2025</v>
      </c>
      <c r="Q245" t="s">
        <v>778</v>
      </c>
      <c r="R245" t="s">
        <v>2026</v>
      </c>
      <c r="S245" t="s">
        <v>1105</v>
      </c>
      <c r="X245" t="s">
        <v>780</v>
      </c>
      <c r="Y245" t="s">
        <v>857</v>
      </c>
      <c r="AA245" s="31"/>
      <c r="AB245">
        <v>1600</v>
      </c>
      <c r="AC245">
        <v>480156</v>
      </c>
      <c r="AD245">
        <v>33</v>
      </c>
      <c r="AE245" t="s">
        <v>44</v>
      </c>
      <c r="AF245" s="31">
        <v>45898</v>
      </c>
      <c r="AG245" s="61">
        <v>0.70328703703703699</v>
      </c>
      <c r="AI245" t="s">
        <v>795</v>
      </c>
      <c r="AJ245" s="31">
        <v>45931</v>
      </c>
      <c r="AK245" s="61">
        <v>0.66589120370370369</v>
      </c>
      <c r="AL245" t="s">
        <v>974</v>
      </c>
      <c r="AM245" t="s">
        <v>2027</v>
      </c>
      <c r="AO245" t="s">
        <v>2002</v>
      </c>
      <c r="AS245" s="31"/>
      <c r="AY245">
        <v>1</v>
      </c>
    </row>
    <row r="246" spans="1:51" x14ac:dyDescent="0.25">
      <c r="A246" t="s">
        <v>44</v>
      </c>
      <c r="B246">
        <v>563</v>
      </c>
      <c r="D246">
        <v>2530</v>
      </c>
      <c r="G246" t="s">
        <v>2071</v>
      </c>
      <c r="H246">
        <v>1715468000125</v>
      </c>
      <c r="J246" t="s">
        <v>2072</v>
      </c>
      <c r="K246" t="s">
        <v>2072</v>
      </c>
      <c r="L246">
        <v>35984074473</v>
      </c>
      <c r="N246" t="s">
        <v>2025</v>
      </c>
      <c r="Q246" t="s">
        <v>778</v>
      </c>
      <c r="R246" t="s">
        <v>2026</v>
      </c>
      <c r="S246" t="s">
        <v>1105</v>
      </c>
      <c r="X246" t="s">
        <v>780</v>
      </c>
      <c r="Y246" t="s">
        <v>857</v>
      </c>
      <c r="AA246" s="31"/>
      <c r="AB246">
        <v>93280</v>
      </c>
      <c r="AC246">
        <v>1163416</v>
      </c>
      <c r="AD246">
        <v>33</v>
      </c>
      <c r="AE246" t="s">
        <v>44</v>
      </c>
      <c r="AF246" s="31">
        <v>45898</v>
      </c>
      <c r="AG246" s="61">
        <v>0.70486111111111116</v>
      </c>
      <c r="AI246" t="s">
        <v>795</v>
      </c>
      <c r="AJ246" s="31">
        <v>45931</v>
      </c>
      <c r="AK246" s="61">
        <v>0.66553240740740738</v>
      </c>
      <c r="AL246" t="s">
        <v>974</v>
      </c>
      <c r="AM246" t="s">
        <v>2027</v>
      </c>
      <c r="AO246" t="s">
        <v>2002</v>
      </c>
      <c r="AS246" s="31"/>
      <c r="AY246">
        <v>1</v>
      </c>
    </row>
    <row r="247" spans="1:51" x14ac:dyDescent="0.25">
      <c r="A247" t="s">
        <v>44</v>
      </c>
      <c r="B247">
        <v>564</v>
      </c>
      <c r="D247">
        <v>2534</v>
      </c>
      <c r="G247" t="s">
        <v>2073</v>
      </c>
      <c r="J247" t="s">
        <v>2074</v>
      </c>
      <c r="K247" t="s">
        <v>2074</v>
      </c>
      <c r="L247">
        <v>1532833659</v>
      </c>
      <c r="N247" t="s">
        <v>1997</v>
      </c>
      <c r="Q247" t="s">
        <v>778</v>
      </c>
      <c r="X247" t="s">
        <v>780</v>
      </c>
      <c r="Y247" t="s">
        <v>857</v>
      </c>
      <c r="AA247" s="31"/>
      <c r="AB247">
        <v>16200</v>
      </c>
      <c r="AC247">
        <v>2160</v>
      </c>
      <c r="AD247">
        <v>11</v>
      </c>
      <c r="AE247" t="s">
        <v>44</v>
      </c>
      <c r="AF247" s="31">
        <v>45898</v>
      </c>
      <c r="AG247" s="61">
        <v>0.73826388888888894</v>
      </c>
      <c r="AI247" t="s">
        <v>795</v>
      </c>
      <c r="AJ247" s="31">
        <v>45909</v>
      </c>
      <c r="AK247" s="61">
        <v>0.6477546296296296</v>
      </c>
      <c r="AL247" t="s">
        <v>858</v>
      </c>
      <c r="AM247" t="s">
        <v>2000</v>
      </c>
      <c r="AO247" t="s">
        <v>2001</v>
      </c>
      <c r="AS247" s="31"/>
      <c r="AY247">
        <v>1</v>
      </c>
    </row>
    <row r="248" spans="1:51" x14ac:dyDescent="0.25">
      <c r="A248" t="s">
        <v>31</v>
      </c>
      <c r="B248">
        <v>566</v>
      </c>
      <c r="D248">
        <v>2538</v>
      </c>
      <c r="F248" t="s">
        <v>2076</v>
      </c>
      <c r="G248" t="s">
        <v>2077</v>
      </c>
      <c r="H248">
        <v>46964028000140</v>
      </c>
      <c r="J248" t="s">
        <v>2076</v>
      </c>
      <c r="K248" t="s">
        <v>2076</v>
      </c>
      <c r="L248" t="s">
        <v>2078</v>
      </c>
      <c r="N248" t="s">
        <v>2079</v>
      </c>
      <c r="Q248" t="s">
        <v>778</v>
      </c>
      <c r="R248" t="s">
        <v>2080</v>
      </c>
      <c r="S248" t="s">
        <v>956</v>
      </c>
      <c r="T248" t="s">
        <v>805</v>
      </c>
      <c r="X248" t="s">
        <v>780</v>
      </c>
      <c r="Y248" t="s">
        <v>857</v>
      </c>
      <c r="AA248" s="31"/>
      <c r="AD248">
        <v>28</v>
      </c>
      <c r="AE248" t="s">
        <v>31</v>
      </c>
      <c r="AF248" s="31">
        <v>45902</v>
      </c>
      <c r="AG248" s="61">
        <v>0.39876157407407409</v>
      </c>
      <c r="AI248" t="s">
        <v>795</v>
      </c>
      <c r="AJ248" s="31">
        <v>45930</v>
      </c>
      <c r="AK248" s="61">
        <v>0.40609953703703711</v>
      </c>
      <c r="AL248" t="s">
        <v>867</v>
      </c>
      <c r="AS248" s="31"/>
      <c r="AY248">
        <v>1</v>
      </c>
    </row>
    <row r="249" spans="1:51" x14ac:dyDescent="0.25">
      <c r="A249" t="s">
        <v>31</v>
      </c>
      <c r="B249">
        <v>567</v>
      </c>
      <c r="D249">
        <v>2541</v>
      </c>
      <c r="F249" t="s">
        <v>2081</v>
      </c>
      <c r="G249" t="s">
        <v>2082</v>
      </c>
      <c r="H249">
        <v>13039863000203</v>
      </c>
      <c r="J249" t="s">
        <v>2081</v>
      </c>
      <c r="K249" t="s">
        <v>2081</v>
      </c>
      <c r="L249" t="s">
        <v>2083</v>
      </c>
      <c r="N249" t="s">
        <v>2084</v>
      </c>
      <c r="Q249" t="s">
        <v>778</v>
      </c>
      <c r="R249" t="s">
        <v>1094</v>
      </c>
      <c r="S249" t="s">
        <v>790</v>
      </c>
      <c r="T249" t="s">
        <v>805</v>
      </c>
      <c r="W249" t="s">
        <v>2085</v>
      </c>
      <c r="X249" t="s">
        <v>780</v>
      </c>
      <c r="Y249" t="s">
        <v>781</v>
      </c>
      <c r="AA249" s="31"/>
      <c r="AD249">
        <v>98</v>
      </c>
      <c r="AE249" t="s">
        <v>31</v>
      </c>
      <c r="AF249" s="31">
        <v>45902</v>
      </c>
      <c r="AG249" s="61">
        <v>0.45640046296296288</v>
      </c>
      <c r="AI249" t="s">
        <v>795</v>
      </c>
      <c r="AJ249" s="31">
        <v>46000</v>
      </c>
      <c r="AK249" s="61">
        <v>0.49209490740740741</v>
      </c>
      <c r="AL249" t="s">
        <v>796</v>
      </c>
      <c r="AS249" s="31"/>
      <c r="AY249">
        <v>1</v>
      </c>
    </row>
    <row r="250" spans="1:51" x14ac:dyDescent="0.25">
      <c r="A250" t="s">
        <v>22</v>
      </c>
      <c r="B250">
        <v>575</v>
      </c>
      <c r="D250">
        <v>2547</v>
      </c>
      <c r="G250" t="s">
        <v>2086</v>
      </c>
      <c r="J250" t="s">
        <v>2087</v>
      </c>
      <c r="K250" t="s">
        <v>2087</v>
      </c>
      <c r="L250" t="s">
        <v>2088</v>
      </c>
      <c r="N250" t="s">
        <v>2089</v>
      </c>
      <c r="Q250" t="s">
        <v>778</v>
      </c>
      <c r="R250" t="s">
        <v>923</v>
      </c>
      <c r="T250" t="s">
        <v>814</v>
      </c>
      <c r="W250" t="s">
        <v>1198</v>
      </c>
      <c r="X250" t="s">
        <v>780</v>
      </c>
      <c r="Y250" t="s">
        <v>793</v>
      </c>
      <c r="AA250" s="31"/>
      <c r="AD250">
        <v>19</v>
      </c>
      <c r="AE250" t="s">
        <v>22</v>
      </c>
      <c r="AF250" s="31">
        <v>45910</v>
      </c>
      <c r="AG250" s="61">
        <v>0.65240740740740744</v>
      </c>
      <c r="AI250" t="s">
        <v>795</v>
      </c>
      <c r="AJ250" s="31">
        <v>45929</v>
      </c>
      <c r="AK250" s="61">
        <v>0.69554398148148144</v>
      </c>
      <c r="AL250" t="s">
        <v>1226</v>
      </c>
      <c r="AO250" t="s">
        <v>2037</v>
      </c>
      <c r="AP250" t="s">
        <v>22</v>
      </c>
      <c r="AQ250" t="s">
        <v>2037</v>
      </c>
      <c r="AS250" s="31"/>
      <c r="AY250">
        <v>1</v>
      </c>
    </row>
    <row r="251" spans="1:51" x14ac:dyDescent="0.25">
      <c r="A251" t="s">
        <v>44</v>
      </c>
      <c r="B251">
        <v>576</v>
      </c>
      <c r="D251">
        <v>2551</v>
      </c>
      <c r="F251" t="s">
        <v>2090</v>
      </c>
      <c r="G251" t="s">
        <v>2091</v>
      </c>
      <c r="H251">
        <v>36621794000158</v>
      </c>
      <c r="J251" t="s">
        <v>2090</v>
      </c>
      <c r="K251" t="s">
        <v>2090</v>
      </c>
      <c r="L251" t="s">
        <v>2092</v>
      </c>
      <c r="N251" t="s">
        <v>2093</v>
      </c>
      <c r="Q251" t="s">
        <v>778</v>
      </c>
      <c r="R251" t="s">
        <v>2094</v>
      </c>
      <c r="S251" t="s">
        <v>790</v>
      </c>
      <c r="T251" t="s">
        <v>805</v>
      </c>
      <c r="X251" t="s">
        <v>780</v>
      </c>
      <c r="Y251" t="s">
        <v>857</v>
      </c>
      <c r="AA251" s="31"/>
      <c r="AB251">
        <v>10176</v>
      </c>
      <c r="AC251">
        <v>2060</v>
      </c>
      <c r="AD251">
        <v>23</v>
      </c>
      <c r="AE251" t="s">
        <v>44</v>
      </c>
      <c r="AF251" s="31">
        <v>45910</v>
      </c>
      <c r="AG251" s="61">
        <v>0.66196759259259264</v>
      </c>
      <c r="AI251" t="s">
        <v>795</v>
      </c>
      <c r="AJ251" s="31">
        <v>45933</v>
      </c>
      <c r="AK251" s="61">
        <v>0.41651620370370368</v>
      </c>
      <c r="AL251" t="s">
        <v>934</v>
      </c>
      <c r="AM251" t="s">
        <v>2095</v>
      </c>
      <c r="AO251" t="s">
        <v>2096</v>
      </c>
      <c r="AQ251" t="s">
        <v>2097</v>
      </c>
      <c r="AS251" s="31"/>
      <c r="AY251">
        <v>1</v>
      </c>
    </row>
    <row r="252" spans="1:51" x14ac:dyDescent="0.25">
      <c r="A252" t="s">
        <v>22</v>
      </c>
      <c r="B252">
        <v>577</v>
      </c>
      <c r="D252">
        <v>2502</v>
      </c>
      <c r="G252" t="s">
        <v>2098</v>
      </c>
      <c r="J252" t="s">
        <v>2099</v>
      </c>
      <c r="K252" t="s">
        <v>2099</v>
      </c>
      <c r="L252" t="s">
        <v>2100</v>
      </c>
      <c r="N252" t="s">
        <v>2101</v>
      </c>
      <c r="Q252" t="s">
        <v>778</v>
      </c>
      <c r="R252" t="s">
        <v>943</v>
      </c>
      <c r="T252" t="s">
        <v>814</v>
      </c>
      <c r="W252" t="s">
        <v>1198</v>
      </c>
      <c r="X252" t="s">
        <v>780</v>
      </c>
      <c r="Y252" t="s">
        <v>807</v>
      </c>
      <c r="AA252" s="31"/>
      <c r="AD252">
        <v>0</v>
      </c>
      <c r="AE252" t="s">
        <v>22</v>
      </c>
      <c r="AF252" s="31">
        <v>45910</v>
      </c>
      <c r="AG252" s="61">
        <v>0.66309027777777774</v>
      </c>
      <c r="AI252" t="s">
        <v>795</v>
      </c>
      <c r="AJ252" s="31">
        <v>45910</v>
      </c>
      <c r="AK252" s="61">
        <v>0.66420138888888891</v>
      </c>
      <c r="AL252" t="s">
        <v>867</v>
      </c>
      <c r="AO252" t="s">
        <v>2102</v>
      </c>
      <c r="AP252" t="s">
        <v>22</v>
      </c>
      <c r="AQ252" t="s">
        <v>2102</v>
      </c>
      <c r="AS252" s="31"/>
      <c r="AY252">
        <v>1</v>
      </c>
    </row>
    <row r="253" spans="1:51" x14ac:dyDescent="0.25">
      <c r="A253" t="s">
        <v>22</v>
      </c>
      <c r="B253">
        <v>578</v>
      </c>
      <c r="D253">
        <v>2515</v>
      </c>
      <c r="G253" t="s">
        <v>2103</v>
      </c>
      <c r="J253" t="s">
        <v>2104</v>
      </c>
      <c r="K253" t="s">
        <v>2104</v>
      </c>
      <c r="L253" t="s">
        <v>2105</v>
      </c>
      <c r="N253" t="s">
        <v>2106</v>
      </c>
      <c r="Q253" t="s">
        <v>778</v>
      </c>
      <c r="R253" t="s">
        <v>923</v>
      </c>
      <c r="T253" t="s">
        <v>814</v>
      </c>
      <c r="W253" t="s">
        <v>1186</v>
      </c>
      <c r="X253" t="s">
        <v>780</v>
      </c>
      <c r="Y253" t="s">
        <v>793</v>
      </c>
      <c r="AA253" s="31"/>
      <c r="AD253">
        <v>0</v>
      </c>
      <c r="AE253" t="s">
        <v>22</v>
      </c>
      <c r="AF253" s="31">
        <v>45911</v>
      </c>
      <c r="AG253" s="61">
        <v>0.35787037037037039</v>
      </c>
      <c r="AI253" t="s">
        <v>795</v>
      </c>
      <c r="AJ253" s="31">
        <v>45911</v>
      </c>
      <c r="AK253" s="61">
        <v>0.35978009259259258</v>
      </c>
      <c r="AL253" t="s">
        <v>867</v>
      </c>
      <c r="AO253" t="s">
        <v>2107</v>
      </c>
      <c r="AQ253" t="s">
        <v>2107</v>
      </c>
      <c r="AS253" s="31"/>
      <c r="AY253">
        <v>1</v>
      </c>
    </row>
    <row r="254" spans="1:51" x14ac:dyDescent="0.25">
      <c r="A254" t="s">
        <v>44</v>
      </c>
      <c r="B254">
        <v>582</v>
      </c>
      <c r="D254">
        <v>2555</v>
      </c>
      <c r="E254" t="s">
        <v>2108</v>
      </c>
      <c r="G254" t="s">
        <v>2109</v>
      </c>
      <c r="H254">
        <v>32921219000110</v>
      </c>
      <c r="J254" t="s">
        <v>2110</v>
      </c>
      <c r="K254" t="s">
        <v>2110</v>
      </c>
      <c r="L254">
        <v>1190695515</v>
      </c>
      <c r="N254" t="s">
        <v>1580</v>
      </c>
      <c r="Q254" t="s">
        <v>778</v>
      </c>
      <c r="W254" t="s">
        <v>1581</v>
      </c>
      <c r="X254" t="s">
        <v>780</v>
      </c>
      <c r="Y254" t="s">
        <v>816</v>
      </c>
      <c r="AA254" s="31">
        <v>46055</v>
      </c>
      <c r="AB254">
        <v>1600</v>
      </c>
      <c r="AC254">
        <v>256856</v>
      </c>
      <c r="AD254">
        <v>216</v>
      </c>
      <c r="AE254" t="s">
        <v>44</v>
      </c>
      <c r="AF254" s="31">
        <v>45911</v>
      </c>
      <c r="AG254" s="61">
        <v>0.54175925925925927</v>
      </c>
      <c r="AI254" t="s">
        <v>782</v>
      </c>
      <c r="AJ254" s="31"/>
      <c r="AK254" s="61"/>
      <c r="AO254" t="s">
        <v>2112</v>
      </c>
      <c r="AP254" t="s">
        <v>44</v>
      </c>
      <c r="AQ254" t="s">
        <v>2112</v>
      </c>
      <c r="AS254" s="31">
        <v>46003</v>
      </c>
      <c r="AT254">
        <v>80</v>
      </c>
      <c r="AY254">
        <v>1</v>
      </c>
    </row>
    <row r="255" spans="1:51" x14ac:dyDescent="0.25">
      <c r="A255" t="s">
        <v>22</v>
      </c>
      <c r="B255">
        <v>583</v>
      </c>
      <c r="D255">
        <v>578</v>
      </c>
      <c r="E255" t="s">
        <v>2113</v>
      </c>
      <c r="F255" t="s">
        <v>2114</v>
      </c>
      <c r="G255" t="s">
        <v>383</v>
      </c>
      <c r="H255">
        <v>7664689000289</v>
      </c>
      <c r="J255" t="s">
        <v>2114</v>
      </c>
      <c r="K255" t="s">
        <v>2114</v>
      </c>
      <c r="L255" t="s">
        <v>2115</v>
      </c>
      <c r="N255" t="s">
        <v>2116</v>
      </c>
      <c r="Q255" t="s">
        <v>778</v>
      </c>
      <c r="R255" t="s">
        <v>2117</v>
      </c>
      <c r="S255" t="s">
        <v>1105</v>
      </c>
      <c r="T255" t="s">
        <v>805</v>
      </c>
      <c r="W255" t="s">
        <v>2118</v>
      </c>
      <c r="X255" t="s">
        <v>780</v>
      </c>
      <c r="Y255" t="s">
        <v>807</v>
      </c>
      <c r="AA255" s="31">
        <v>46142</v>
      </c>
      <c r="AB255">
        <v>100800</v>
      </c>
      <c r="AC255">
        <v>5484</v>
      </c>
      <c r="AD255">
        <v>119</v>
      </c>
      <c r="AE255" t="s">
        <v>22</v>
      </c>
      <c r="AF255" s="31">
        <v>45911</v>
      </c>
      <c r="AG255" s="61">
        <v>0.66440972222222228</v>
      </c>
      <c r="AI255" t="s">
        <v>782</v>
      </c>
      <c r="AJ255" s="31">
        <v>46030</v>
      </c>
      <c r="AK255" s="61">
        <v>0.64569444444444446</v>
      </c>
      <c r="AM255">
        <v>0</v>
      </c>
      <c r="AO255" t="s">
        <v>384</v>
      </c>
      <c r="AP255" t="s">
        <v>22</v>
      </c>
      <c r="AQ255" t="s">
        <v>384</v>
      </c>
      <c r="AS255" s="31">
        <v>46112</v>
      </c>
      <c r="AT255">
        <v>30</v>
      </c>
      <c r="AU255">
        <v>504</v>
      </c>
      <c r="AV255" t="s">
        <v>2121</v>
      </c>
      <c r="AW255" t="s">
        <v>2122</v>
      </c>
      <c r="AX255" t="s">
        <v>2123</v>
      </c>
      <c r="AY255">
        <v>1</v>
      </c>
    </row>
    <row r="256" spans="1:51" x14ac:dyDescent="0.25">
      <c r="A256" t="s">
        <v>44</v>
      </c>
      <c r="B256">
        <v>585</v>
      </c>
      <c r="D256">
        <v>2557</v>
      </c>
      <c r="G256" t="s">
        <v>2124</v>
      </c>
      <c r="J256" t="s">
        <v>2125</v>
      </c>
      <c r="K256" t="s">
        <v>2125</v>
      </c>
      <c r="L256">
        <v>44999841977</v>
      </c>
      <c r="N256" t="s">
        <v>2127</v>
      </c>
      <c r="Q256" t="s">
        <v>778</v>
      </c>
      <c r="X256" t="s">
        <v>780</v>
      </c>
      <c r="Y256" t="s">
        <v>793</v>
      </c>
      <c r="AA256" s="31"/>
      <c r="AB256">
        <v>58088</v>
      </c>
      <c r="AC256">
        <v>645602</v>
      </c>
      <c r="AD256">
        <v>13</v>
      </c>
      <c r="AE256" t="s">
        <v>44</v>
      </c>
      <c r="AF256" s="31">
        <v>45912</v>
      </c>
      <c r="AG256" s="61">
        <v>0.61721064814814819</v>
      </c>
      <c r="AI256" t="s">
        <v>795</v>
      </c>
      <c r="AJ256" s="31">
        <v>45925</v>
      </c>
      <c r="AK256" s="61">
        <v>0.67640046296296297</v>
      </c>
      <c r="AL256" t="s">
        <v>934</v>
      </c>
      <c r="AM256" t="s">
        <v>2128</v>
      </c>
      <c r="AO256" t="s">
        <v>2129</v>
      </c>
      <c r="AQ256" t="s">
        <v>2129</v>
      </c>
      <c r="AS256" s="31"/>
      <c r="AY256">
        <v>1</v>
      </c>
    </row>
    <row r="257" spans="1:51" x14ac:dyDescent="0.25">
      <c r="A257" t="s">
        <v>31</v>
      </c>
      <c r="B257">
        <v>587</v>
      </c>
      <c r="D257">
        <v>2559</v>
      </c>
      <c r="G257" t="s">
        <v>2130</v>
      </c>
      <c r="J257" t="s">
        <v>2131</v>
      </c>
      <c r="K257" t="s">
        <v>2131</v>
      </c>
      <c r="L257">
        <v>19987126669</v>
      </c>
      <c r="N257" t="s">
        <v>1111</v>
      </c>
      <c r="Q257" t="s">
        <v>778</v>
      </c>
      <c r="X257" t="s">
        <v>780</v>
      </c>
      <c r="Y257" t="s">
        <v>816</v>
      </c>
      <c r="AA257" s="31"/>
      <c r="AB257">
        <v>64200</v>
      </c>
      <c r="AC257">
        <v>254344</v>
      </c>
      <c r="AD257">
        <v>78</v>
      </c>
      <c r="AE257" t="s">
        <v>31</v>
      </c>
      <c r="AF257" s="31">
        <v>45915</v>
      </c>
      <c r="AG257" s="61">
        <v>0.4500925925925926</v>
      </c>
      <c r="AI257" t="s">
        <v>818</v>
      </c>
      <c r="AJ257" s="31">
        <v>45993</v>
      </c>
      <c r="AK257" s="61">
        <v>0.47207175925925932</v>
      </c>
      <c r="AO257" t="s">
        <v>2133</v>
      </c>
      <c r="AQ257" t="s">
        <v>2134</v>
      </c>
      <c r="AR257" t="s">
        <v>2135</v>
      </c>
      <c r="AS257" s="31"/>
      <c r="AY257">
        <v>1</v>
      </c>
    </row>
    <row r="258" spans="1:51" x14ac:dyDescent="0.25">
      <c r="A258" t="s">
        <v>44</v>
      </c>
      <c r="B258">
        <v>589</v>
      </c>
      <c r="D258">
        <v>2561</v>
      </c>
      <c r="G258" t="s">
        <v>2136</v>
      </c>
      <c r="H258">
        <v>7548592000120</v>
      </c>
      <c r="J258" t="s">
        <v>2137</v>
      </c>
      <c r="K258" t="s">
        <v>2137</v>
      </c>
      <c r="L258" t="s">
        <v>2138</v>
      </c>
      <c r="N258" t="s">
        <v>2139</v>
      </c>
      <c r="Q258" t="s">
        <v>778</v>
      </c>
      <c r="R258" t="s">
        <v>2080</v>
      </c>
      <c r="S258" t="s">
        <v>956</v>
      </c>
      <c r="T258" t="s">
        <v>814</v>
      </c>
      <c r="W258" t="s">
        <v>1186</v>
      </c>
      <c r="X258" t="s">
        <v>780</v>
      </c>
      <c r="Y258" t="s">
        <v>793</v>
      </c>
      <c r="AA258" s="31"/>
      <c r="AB258">
        <v>103032</v>
      </c>
      <c r="AC258">
        <v>696032</v>
      </c>
      <c r="AD258">
        <v>30</v>
      </c>
      <c r="AE258" t="s">
        <v>22</v>
      </c>
      <c r="AF258" s="31">
        <v>45916</v>
      </c>
      <c r="AG258" s="61">
        <v>0.40375</v>
      </c>
      <c r="AI258" t="s">
        <v>795</v>
      </c>
      <c r="AJ258" s="31">
        <v>45946</v>
      </c>
      <c r="AK258" s="61">
        <v>0.5009837962962963</v>
      </c>
      <c r="AL258" t="s">
        <v>796</v>
      </c>
      <c r="AM258" t="s">
        <v>2140</v>
      </c>
      <c r="AO258" t="s">
        <v>2141</v>
      </c>
      <c r="AP258" t="s">
        <v>44</v>
      </c>
      <c r="AQ258" t="s">
        <v>2142</v>
      </c>
      <c r="AR258" t="s">
        <v>2141</v>
      </c>
      <c r="AS258" s="31"/>
      <c r="AY258">
        <v>1</v>
      </c>
    </row>
    <row r="259" spans="1:51" x14ac:dyDescent="0.25">
      <c r="A259" t="s">
        <v>44</v>
      </c>
      <c r="B259">
        <v>590</v>
      </c>
      <c r="D259">
        <v>2561</v>
      </c>
      <c r="G259" t="s">
        <v>2143</v>
      </c>
      <c r="H259">
        <v>7548592000120</v>
      </c>
      <c r="J259" t="s">
        <v>2137</v>
      </c>
      <c r="K259" t="s">
        <v>2137</v>
      </c>
      <c r="L259" t="s">
        <v>2138</v>
      </c>
      <c r="N259" t="s">
        <v>2139</v>
      </c>
      <c r="Q259" t="s">
        <v>778</v>
      </c>
      <c r="R259" t="s">
        <v>2080</v>
      </c>
      <c r="S259" t="s">
        <v>956</v>
      </c>
      <c r="T259" t="s">
        <v>814</v>
      </c>
      <c r="W259" t="s">
        <v>1186</v>
      </c>
      <c r="X259" t="s">
        <v>780</v>
      </c>
      <c r="Y259" t="s">
        <v>781</v>
      </c>
      <c r="AA259" s="31"/>
      <c r="AD259">
        <v>0</v>
      </c>
      <c r="AE259" t="s">
        <v>44</v>
      </c>
      <c r="AF259" s="31">
        <v>45916</v>
      </c>
      <c r="AG259" s="61">
        <v>0.4065509259259259</v>
      </c>
      <c r="AI259" t="s">
        <v>795</v>
      </c>
      <c r="AJ259" s="31">
        <v>45916</v>
      </c>
      <c r="AK259" s="61">
        <v>0.41540509259259262</v>
      </c>
      <c r="AL259" t="s">
        <v>1226</v>
      </c>
      <c r="AM259" t="s">
        <v>2144</v>
      </c>
      <c r="AS259" s="31"/>
      <c r="AY259">
        <v>1</v>
      </c>
    </row>
    <row r="260" spans="1:51" x14ac:dyDescent="0.25">
      <c r="A260" t="s">
        <v>44</v>
      </c>
      <c r="B260">
        <v>597</v>
      </c>
      <c r="D260">
        <v>2571</v>
      </c>
      <c r="F260" t="s">
        <v>2145</v>
      </c>
      <c r="G260" t="s">
        <v>2146</v>
      </c>
      <c r="H260">
        <v>49872306000127</v>
      </c>
      <c r="J260" t="s">
        <v>2145</v>
      </c>
      <c r="K260" t="s">
        <v>2145</v>
      </c>
      <c r="L260" t="s">
        <v>2147</v>
      </c>
      <c r="N260" t="s">
        <v>2148</v>
      </c>
      <c r="Q260" t="s">
        <v>778</v>
      </c>
      <c r="R260" t="s">
        <v>2149</v>
      </c>
      <c r="S260" t="s">
        <v>790</v>
      </c>
      <c r="T260" t="s">
        <v>805</v>
      </c>
      <c r="X260" t="s">
        <v>780</v>
      </c>
      <c r="Y260" t="s">
        <v>793</v>
      </c>
      <c r="AA260" s="31"/>
      <c r="AB260">
        <v>7021439</v>
      </c>
      <c r="AC260">
        <v>37362</v>
      </c>
      <c r="AD260">
        <v>14</v>
      </c>
      <c r="AE260" t="s">
        <v>44</v>
      </c>
      <c r="AF260" s="31">
        <v>45919</v>
      </c>
      <c r="AG260" s="61">
        <v>0.65909722222222222</v>
      </c>
      <c r="AI260" t="s">
        <v>795</v>
      </c>
      <c r="AJ260" s="31">
        <v>45933</v>
      </c>
      <c r="AK260" s="61">
        <v>0.40391203703703699</v>
      </c>
      <c r="AL260" t="s">
        <v>858</v>
      </c>
      <c r="AM260" t="s">
        <v>2150</v>
      </c>
      <c r="AO260" t="s">
        <v>2096</v>
      </c>
      <c r="AQ260" t="s">
        <v>2096</v>
      </c>
      <c r="AS260" s="31"/>
      <c r="AY260">
        <v>1</v>
      </c>
    </row>
    <row r="261" spans="1:51" x14ac:dyDescent="0.25">
      <c r="A261" t="s">
        <v>22</v>
      </c>
      <c r="B261">
        <v>600</v>
      </c>
      <c r="D261">
        <v>2477</v>
      </c>
      <c r="G261" t="s">
        <v>2151</v>
      </c>
      <c r="J261" t="s">
        <v>802</v>
      </c>
      <c r="K261" t="s">
        <v>802</v>
      </c>
      <c r="L261" t="s">
        <v>2152</v>
      </c>
      <c r="N261" t="s">
        <v>2153</v>
      </c>
      <c r="Q261" t="s">
        <v>778</v>
      </c>
      <c r="R261" t="s">
        <v>923</v>
      </c>
      <c r="T261" t="s">
        <v>814</v>
      </c>
      <c r="W261" t="s">
        <v>1186</v>
      </c>
      <c r="X261" t="s">
        <v>780</v>
      </c>
      <c r="Y261" t="s">
        <v>807</v>
      </c>
      <c r="AA261" s="31"/>
      <c r="AD261">
        <v>43</v>
      </c>
      <c r="AE261" t="s">
        <v>22</v>
      </c>
      <c r="AF261" s="31">
        <v>45923</v>
      </c>
      <c r="AG261" s="61">
        <v>0.7016782407407407</v>
      </c>
      <c r="AI261" t="s">
        <v>795</v>
      </c>
      <c r="AJ261" s="31">
        <v>45966</v>
      </c>
      <c r="AK261" s="61">
        <v>0.41437499999999999</v>
      </c>
      <c r="AL261" t="s">
        <v>1226</v>
      </c>
      <c r="AO261" t="s">
        <v>2037</v>
      </c>
      <c r="AP261" t="s">
        <v>22</v>
      </c>
      <c r="AQ261" t="s">
        <v>2154</v>
      </c>
      <c r="AS261" s="31"/>
      <c r="AY261">
        <v>1</v>
      </c>
    </row>
    <row r="262" spans="1:51" x14ac:dyDescent="0.25">
      <c r="A262" t="s">
        <v>44</v>
      </c>
      <c r="B262">
        <v>601</v>
      </c>
      <c r="D262">
        <v>2579</v>
      </c>
      <c r="G262" t="s">
        <v>2155</v>
      </c>
      <c r="J262" t="s">
        <v>2156</v>
      </c>
      <c r="K262" t="s">
        <v>2156</v>
      </c>
      <c r="L262">
        <v>44999841977</v>
      </c>
      <c r="N262" t="s">
        <v>2127</v>
      </c>
      <c r="Q262" t="s">
        <v>778</v>
      </c>
      <c r="X262" t="s">
        <v>780</v>
      </c>
      <c r="Y262" t="s">
        <v>793</v>
      </c>
      <c r="AA262" s="31"/>
      <c r="AB262">
        <v>1600</v>
      </c>
      <c r="AC262">
        <v>2396</v>
      </c>
      <c r="AD262">
        <v>1</v>
      </c>
      <c r="AE262" t="s">
        <v>44</v>
      </c>
      <c r="AF262" s="31">
        <v>45924</v>
      </c>
      <c r="AG262" s="61">
        <v>0.40835648148148151</v>
      </c>
      <c r="AI262" t="s">
        <v>795</v>
      </c>
      <c r="AJ262" s="31">
        <v>45925</v>
      </c>
      <c r="AK262" s="61">
        <v>0.67701388888888892</v>
      </c>
      <c r="AL262" t="s">
        <v>934</v>
      </c>
      <c r="AM262" t="s">
        <v>2157</v>
      </c>
      <c r="AO262" t="s">
        <v>2129</v>
      </c>
      <c r="AQ262" t="s">
        <v>2129</v>
      </c>
      <c r="AS262" s="31"/>
      <c r="AY262">
        <v>1</v>
      </c>
    </row>
    <row r="263" spans="1:51" x14ac:dyDescent="0.25">
      <c r="A263" t="s">
        <v>44</v>
      </c>
      <c r="B263">
        <v>602</v>
      </c>
      <c r="D263">
        <v>2582</v>
      </c>
      <c r="F263" t="s">
        <v>2158</v>
      </c>
      <c r="G263" t="s">
        <v>2159</v>
      </c>
      <c r="H263">
        <v>11392803000155</v>
      </c>
      <c r="J263" t="s">
        <v>2158</v>
      </c>
      <c r="K263" t="s">
        <v>2158</v>
      </c>
      <c r="L263" t="s">
        <v>2160</v>
      </c>
      <c r="N263" t="s">
        <v>2161</v>
      </c>
      <c r="Q263" t="s">
        <v>778</v>
      </c>
      <c r="R263" t="s">
        <v>2162</v>
      </c>
      <c r="S263" t="s">
        <v>932</v>
      </c>
      <c r="T263" t="s">
        <v>805</v>
      </c>
      <c r="X263" t="s">
        <v>780</v>
      </c>
      <c r="Y263" t="s">
        <v>793</v>
      </c>
      <c r="AA263" s="31"/>
      <c r="AD263">
        <v>42</v>
      </c>
      <c r="AE263" t="s">
        <v>44</v>
      </c>
      <c r="AF263" s="31">
        <v>45924</v>
      </c>
      <c r="AG263" s="61">
        <v>0.59084490740740736</v>
      </c>
      <c r="AI263" t="s">
        <v>795</v>
      </c>
      <c r="AJ263" s="31">
        <v>45966</v>
      </c>
      <c r="AK263" s="61">
        <v>0.39526620370370369</v>
      </c>
      <c r="AL263" t="s">
        <v>796</v>
      </c>
      <c r="AM263" t="s">
        <v>2163</v>
      </c>
      <c r="AQ263" t="s">
        <v>2037</v>
      </c>
      <c r="AS263" s="31"/>
      <c r="AY263">
        <v>1</v>
      </c>
    </row>
    <row r="264" spans="1:51" x14ac:dyDescent="0.25">
      <c r="A264" t="s">
        <v>44</v>
      </c>
      <c r="B264">
        <v>603</v>
      </c>
      <c r="D264">
        <v>2581</v>
      </c>
      <c r="G264" t="s">
        <v>2164</v>
      </c>
      <c r="H264">
        <v>8019257000105</v>
      </c>
      <c r="J264" t="s">
        <v>2165</v>
      </c>
      <c r="K264" t="s">
        <v>2165</v>
      </c>
      <c r="N264" t="s">
        <v>2166</v>
      </c>
      <c r="Q264" t="s">
        <v>778</v>
      </c>
      <c r="R264" t="s">
        <v>2167</v>
      </c>
      <c r="T264" t="s">
        <v>933</v>
      </c>
      <c r="X264" t="s">
        <v>780</v>
      </c>
      <c r="Y264" t="s">
        <v>781</v>
      </c>
      <c r="AA264" s="31"/>
      <c r="AD264">
        <v>13</v>
      </c>
      <c r="AE264" t="s">
        <v>22</v>
      </c>
      <c r="AF264" s="31">
        <v>45924</v>
      </c>
      <c r="AG264" s="61">
        <v>0.66754629629629625</v>
      </c>
      <c r="AI264" t="s">
        <v>795</v>
      </c>
      <c r="AJ264" s="31">
        <v>45937</v>
      </c>
      <c r="AK264" s="61">
        <v>0.61364583333333333</v>
      </c>
      <c r="AL264" t="s">
        <v>858</v>
      </c>
      <c r="AM264" t="s">
        <v>2168</v>
      </c>
      <c r="AP264" t="s">
        <v>44</v>
      </c>
      <c r="AQ264" t="s">
        <v>2169</v>
      </c>
      <c r="AS264" s="31"/>
      <c r="AY264">
        <v>1</v>
      </c>
    </row>
    <row r="265" spans="1:51" x14ac:dyDescent="0.25">
      <c r="A265" t="s">
        <v>44</v>
      </c>
      <c r="B265">
        <v>604</v>
      </c>
      <c r="D265">
        <v>2580</v>
      </c>
      <c r="E265" t="s">
        <v>2170</v>
      </c>
      <c r="G265" t="s">
        <v>2171</v>
      </c>
      <c r="J265" t="s">
        <v>2165</v>
      </c>
      <c r="K265" t="s">
        <v>2165</v>
      </c>
      <c r="L265" t="s">
        <v>2172</v>
      </c>
      <c r="N265" t="s">
        <v>2173</v>
      </c>
      <c r="Q265" t="s">
        <v>778</v>
      </c>
      <c r="T265" t="s">
        <v>933</v>
      </c>
      <c r="X265" t="s">
        <v>780</v>
      </c>
      <c r="Y265" t="s">
        <v>781</v>
      </c>
      <c r="AA265" s="31"/>
      <c r="AD265">
        <v>13</v>
      </c>
      <c r="AE265" t="s">
        <v>22</v>
      </c>
      <c r="AF265" s="31">
        <v>45924</v>
      </c>
      <c r="AG265" s="61">
        <v>0.66814814814814816</v>
      </c>
      <c r="AI265" t="s">
        <v>795</v>
      </c>
      <c r="AJ265" s="31">
        <v>45937</v>
      </c>
      <c r="AK265" s="61">
        <v>0.40031250000000002</v>
      </c>
      <c r="AL265" t="s">
        <v>858</v>
      </c>
      <c r="AM265" t="s">
        <v>2174</v>
      </c>
      <c r="AP265" t="s">
        <v>44</v>
      </c>
      <c r="AQ265" t="s">
        <v>2169</v>
      </c>
      <c r="AS265" s="31"/>
      <c r="AY265">
        <v>1</v>
      </c>
    </row>
    <row r="266" spans="1:51" x14ac:dyDescent="0.25">
      <c r="A266" t="s">
        <v>44</v>
      </c>
      <c r="B266">
        <v>607</v>
      </c>
      <c r="D266">
        <v>2590</v>
      </c>
      <c r="G266" t="s">
        <v>2175</v>
      </c>
      <c r="H266">
        <v>1099426000107</v>
      </c>
      <c r="J266" t="s">
        <v>2176</v>
      </c>
      <c r="K266" t="s">
        <v>2176</v>
      </c>
      <c r="L266">
        <v>21996087296</v>
      </c>
      <c r="N266" t="s">
        <v>2178</v>
      </c>
      <c r="Q266" t="s">
        <v>778</v>
      </c>
      <c r="X266" t="s">
        <v>780</v>
      </c>
      <c r="Y266" t="s">
        <v>807</v>
      </c>
      <c r="AA266" s="31"/>
      <c r="AB266">
        <v>1600</v>
      </c>
      <c r="AC266">
        <v>3360</v>
      </c>
      <c r="AD266">
        <v>62</v>
      </c>
      <c r="AE266" t="s">
        <v>44</v>
      </c>
      <c r="AF266" s="31">
        <v>45925</v>
      </c>
      <c r="AG266" s="61">
        <v>0.66249999999999998</v>
      </c>
      <c r="AI266" t="s">
        <v>795</v>
      </c>
      <c r="AJ266" s="31">
        <v>45987</v>
      </c>
      <c r="AK266" s="61">
        <v>0.59446759259259263</v>
      </c>
      <c r="AL266" t="s">
        <v>796</v>
      </c>
      <c r="AM266" t="s">
        <v>2179</v>
      </c>
      <c r="AO266" t="s">
        <v>2180</v>
      </c>
      <c r="AQ266" t="s">
        <v>2180</v>
      </c>
      <c r="AS266" s="31"/>
      <c r="AY266">
        <v>1</v>
      </c>
    </row>
    <row r="267" spans="1:51" x14ac:dyDescent="0.25">
      <c r="A267" t="s">
        <v>44</v>
      </c>
      <c r="B267">
        <v>608</v>
      </c>
      <c r="D267">
        <v>2591</v>
      </c>
      <c r="G267" t="s">
        <v>2181</v>
      </c>
      <c r="H267">
        <v>6302372000159</v>
      </c>
      <c r="J267" t="s">
        <v>2182</v>
      </c>
      <c r="K267" t="s">
        <v>2182</v>
      </c>
      <c r="L267">
        <v>31992324071</v>
      </c>
      <c r="N267" t="s">
        <v>2184</v>
      </c>
      <c r="Q267" t="s">
        <v>778</v>
      </c>
      <c r="X267" t="s">
        <v>780</v>
      </c>
      <c r="Y267" t="s">
        <v>816</v>
      </c>
      <c r="AA267" s="31"/>
      <c r="AB267">
        <v>260148</v>
      </c>
      <c r="AC267">
        <v>0</v>
      </c>
      <c r="AD267">
        <v>0</v>
      </c>
      <c r="AE267" t="s">
        <v>44</v>
      </c>
      <c r="AF267" s="31">
        <v>45925</v>
      </c>
      <c r="AG267" s="61">
        <v>0.66907407407407404</v>
      </c>
      <c r="AI267" t="s">
        <v>818</v>
      </c>
      <c r="AJ267" s="31">
        <v>45925</v>
      </c>
      <c r="AK267" s="61">
        <v>0.67554398148148154</v>
      </c>
      <c r="AO267" t="s">
        <v>2102</v>
      </c>
      <c r="AQ267" t="s">
        <v>2102</v>
      </c>
      <c r="AS267" s="31"/>
      <c r="AY267">
        <v>1</v>
      </c>
    </row>
    <row r="268" spans="1:51" x14ac:dyDescent="0.25">
      <c r="A268" t="s">
        <v>44</v>
      </c>
      <c r="B268">
        <v>609</v>
      </c>
      <c r="D268">
        <v>2592</v>
      </c>
      <c r="G268" t="s">
        <v>2185</v>
      </c>
      <c r="H268">
        <v>7548592000120</v>
      </c>
      <c r="J268" t="s">
        <v>2186</v>
      </c>
      <c r="K268" t="s">
        <v>2186</v>
      </c>
      <c r="L268">
        <v>67992503056</v>
      </c>
      <c r="N268" t="s">
        <v>2139</v>
      </c>
      <c r="Q268" t="s">
        <v>778</v>
      </c>
      <c r="R268" t="s">
        <v>2080</v>
      </c>
      <c r="S268" t="s">
        <v>956</v>
      </c>
      <c r="X268" t="s">
        <v>780</v>
      </c>
      <c r="Y268" t="s">
        <v>793</v>
      </c>
      <c r="AA268" s="31"/>
      <c r="AB268">
        <v>16200</v>
      </c>
      <c r="AC268">
        <v>2160</v>
      </c>
      <c r="AD268">
        <v>21</v>
      </c>
      <c r="AE268" t="s">
        <v>44</v>
      </c>
      <c r="AF268" s="31">
        <v>45925</v>
      </c>
      <c r="AG268" s="61">
        <v>0.6938657407407407</v>
      </c>
      <c r="AI268" t="s">
        <v>795</v>
      </c>
      <c r="AJ268" s="31">
        <v>45946</v>
      </c>
      <c r="AK268" s="61">
        <v>0.5020486111111111</v>
      </c>
      <c r="AL268" t="s">
        <v>796</v>
      </c>
      <c r="AM268" t="s">
        <v>2188</v>
      </c>
      <c r="AO268" t="s">
        <v>2141</v>
      </c>
      <c r="AQ268" t="s">
        <v>2141</v>
      </c>
      <c r="AS268" s="31"/>
      <c r="AY268">
        <v>1</v>
      </c>
    </row>
    <row r="269" spans="1:51" x14ac:dyDescent="0.25">
      <c r="A269" t="s">
        <v>44</v>
      </c>
      <c r="B269">
        <v>610</v>
      </c>
      <c r="D269">
        <v>2595</v>
      </c>
      <c r="G269" t="s">
        <v>2189</v>
      </c>
      <c r="H269">
        <v>7548592000120</v>
      </c>
      <c r="J269" t="s">
        <v>2190</v>
      </c>
      <c r="K269" t="s">
        <v>2190</v>
      </c>
      <c r="L269">
        <v>67992503056</v>
      </c>
      <c r="N269" t="s">
        <v>2139</v>
      </c>
      <c r="Q269" t="s">
        <v>778</v>
      </c>
      <c r="R269" t="s">
        <v>2080</v>
      </c>
      <c r="S269" t="s">
        <v>956</v>
      </c>
      <c r="X269" t="s">
        <v>780</v>
      </c>
      <c r="Y269" t="s">
        <v>793</v>
      </c>
      <c r="AA269" s="31"/>
      <c r="AB269">
        <v>1600</v>
      </c>
      <c r="AC269">
        <v>405552</v>
      </c>
      <c r="AD269">
        <v>21</v>
      </c>
      <c r="AE269" t="s">
        <v>44</v>
      </c>
      <c r="AF269" s="31">
        <v>45925</v>
      </c>
      <c r="AG269" s="61">
        <v>0.69575231481481481</v>
      </c>
      <c r="AI269" t="s">
        <v>795</v>
      </c>
      <c r="AJ269" s="31">
        <v>45946</v>
      </c>
      <c r="AK269" s="61">
        <v>0.50145833333333334</v>
      </c>
      <c r="AL269" t="s">
        <v>796</v>
      </c>
      <c r="AM269" t="s">
        <v>2188</v>
      </c>
      <c r="AO269" t="s">
        <v>2141</v>
      </c>
      <c r="AQ269" t="s">
        <v>2141</v>
      </c>
      <c r="AS269" s="31"/>
      <c r="AY269">
        <v>1</v>
      </c>
    </row>
    <row r="270" spans="1:51" x14ac:dyDescent="0.25">
      <c r="A270" t="s">
        <v>31</v>
      </c>
      <c r="B270">
        <v>611</v>
      </c>
      <c r="D270">
        <v>2598</v>
      </c>
      <c r="G270" t="s">
        <v>2191</v>
      </c>
      <c r="H270">
        <v>11861121000306</v>
      </c>
      <c r="J270" t="s">
        <v>2192</v>
      </c>
      <c r="K270" t="s">
        <v>2192</v>
      </c>
      <c r="L270" t="s">
        <v>2193</v>
      </c>
      <c r="N270" t="s">
        <v>2194</v>
      </c>
      <c r="Q270" t="s">
        <v>778</v>
      </c>
      <c r="R270" t="s">
        <v>923</v>
      </c>
      <c r="T270" t="s">
        <v>814</v>
      </c>
      <c r="W270" t="s">
        <v>1186</v>
      </c>
      <c r="X270" t="s">
        <v>780</v>
      </c>
      <c r="Y270" t="s">
        <v>793</v>
      </c>
      <c r="AA270" s="31"/>
      <c r="AD270">
        <v>28</v>
      </c>
      <c r="AE270" t="s">
        <v>22</v>
      </c>
      <c r="AF270" s="31">
        <v>45926</v>
      </c>
      <c r="AG270" s="61">
        <v>0.42531249999999998</v>
      </c>
      <c r="AI270" t="s">
        <v>795</v>
      </c>
      <c r="AJ270" s="31">
        <v>45954</v>
      </c>
      <c r="AK270" s="61">
        <v>0.50206018518518514</v>
      </c>
      <c r="AL270" t="s">
        <v>867</v>
      </c>
      <c r="AP270" t="s">
        <v>31</v>
      </c>
      <c r="AQ270" t="s">
        <v>2195</v>
      </c>
      <c r="AS270" s="31"/>
      <c r="AY270">
        <v>1</v>
      </c>
    </row>
    <row r="271" spans="1:51" x14ac:dyDescent="0.25">
      <c r="A271" t="s">
        <v>44</v>
      </c>
      <c r="B271">
        <v>613</v>
      </c>
      <c r="D271">
        <v>2600</v>
      </c>
      <c r="E271" t="s">
        <v>4708</v>
      </c>
      <c r="G271" t="s">
        <v>2197</v>
      </c>
      <c r="H271">
        <v>221294000181</v>
      </c>
      <c r="J271" t="s">
        <v>2198</v>
      </c>
      <c r="K271" t="s">
        <v>2198</v>
      </c>
      <c r="L271">
        <v>11997580006</v>
      </c>
      <c r="N271" t="s">
        <v>2200</v>
      </c>
      <c r="Q271" t="s">
        <v>778</v>
      </c>
      <c r="R271" t="s">
        <v>2201</v>
      </c>
      <c r="S271" t="s">
        <v>790</v>
      </c>
      <c r="W271" t="s">
        <v>1419</v>
      </c>
      <c r="X271" t="s">
        <v>780</v>
      </c>
      <c r="Y271" t="s">
        <v>807</v>
      </c>
      <c r="AA271" s="31">
        <v>46112</v>
      </c>
      <c r="AB271">
        <v>81786</v>
      </c>
      <c r="AC271">
        <v>79654</v>
      </c>
      <c r="AD271">
        <v>198</v>
      </c>
      <c r="AE271" t="s">
        <v>44</v>
      </c>
      <c r="AF271" s="31">
        <v>45929</v>
      </c>
      <c r="AG271" s="61">
        <v>0.48745370370370372</v>
      </c>
      <c r="AI271" t="s">
        <v>782</v>
      </c>
      <c r="AJ271" s="31"/>
      <c r="AK271" s="61"/>
      <c r="AN271" t="s">
        <v>2202</v>
      </c>
      <c r="AO271" t="s">
        <v>2203</v>
      </c>
      <c r="AP271" t="s">
        <v>44</v>
      </c>
      <c r="AQ271" t="s">
        <v>2037</v>
      </c>
      <c r="AS271" s="31">
        <v>46077</v>
      </c>
      <c r="AT271">
        <v>50</v>
      </c>
      <c r="AY271">
        <v>1</v>
      </c>
    </row>
    <row r="272" spans="1:51" x14ac:dyDescent="0.25">
      <c r="A272" t="s">
        <v>22</v>
      </c>
      <c r="B272">
        <v>614</v>
      </c>
      <c r="D272">
        <v>2603</v>
      </c>
      <c r="E272" t="s">
        <v>2204</v>
      </c>
      <c r="G272" t="s">
        <v>2205</v>
      </c>
      <c r="H272">
        <v>9517464000144</v>
      </c>
      <c r="J272" t="s">
        <v>2206</v>
      </c>
      <c r="K272" t="s">
        <v>2206</v>
      </c>
      <c r="N272" t="s">
        <v>2207</v>
      </c>
      <c r="Q272" t="s">
        <v>778</v>
      </c>
      <c r="W272" t="s">
        <v>2118</v>
      </c>
      <c r="X272" t="s">
        <v>780</v>
      </c>
      <c r="Y272" t="s">
        <v>807</v>
      </c>
      <c r="AA272" s="31">
        <v>46112</v>
      </c>
      <c r="AB272">
        <v>254760</v>
      </c>
      <c r="AC272">
        <v>1578632</v>
      </c>
      <c r="AD272">
        <v>131</v>
      </c>
      <c r="AE272" t="s">
        <v>22</v>
      </c>
      <c r="AF272" s="31">
        <v>45929</v>
      </c>
      <c r="AG272" s="61">
        <v>0.72163194444444445</v>
      </c>
      <c r="AI272" t="s">
        <v>795</v>
      </c>
      <c r="AJ272" s="31">
        <v>46060</v>
      </c>
      <c r="AK272" s="61">
        <v>0.36658564814814809</v>
      </c>
      <c r="AL272" t="s">
        <v>858</v>
      </c>
      <c r="AM272" t="s">
        <v>2208</v>
      </c>
      <c r="AO272" t="s">
        <v>2209</v>
      </c>
      <c r="AP272" t="s">
        <v>22</v>
      </c>
      <c r="AQ272" t="s">
        <v>2209</v>
      </c>
      <c r="AS272" s="31">
        <v>46060</v>
      </c>
      <c r="AT272">
        <v>30</v>
      </c>
      <c r="AY272">
        <v>1</v>
      </c>
    </row>
    <row r="273" spans="1:51" x14ac:dyDescent="0.25">
      <c r="A273" t="s">
        <v>22</v>
      </c>
      <c r="B273">
        <v>615</v>
      </c>
      <c r="D273">
        <v>2604</v>
      </c>
      <c r="G273" t="s">
        <v>2210</v>
      </c>
      <c r="H273">
        <v>73114894000114</v>
      </c>
      <c r="J273" t="s">
        <v>2211</v>
      </c>
      <c r="K273" t="s">
        <v>2211</v>
      </c>
      <c r="N273" t="s">
        <v>2212</v>
      </c>
      <c r="Q273" t="s">
        <v>778</v>
      </c>
      <c r="X273" t="s">
        <v>780</v>
      </c>
      <c r="Y273" t="s">
        <v>807</v>
      </c>
      <c r="AA273" s="31"/>
      <c r="AD273">
        <v>0</v>
      </c>
      <c r="AE273" t="s">
        <v>22</v>
      </c>
      <c r="AF273" s="31">
        <v>45929</v>
      </c>
      <c r="AG273" s="61">
        <v>0.72408564814814813</v>
      </c>
      <c r="AI273" t="s">
        <v>795</v>
      </c>
      <c r="AJ273" s="31">
        <v>45929</v>
      </c>
      <c r="AK273" s="61">
        <v>0.72424768518518523</v>
      </c>
      <c r="AL273" t="s">
        <v>867</v>
      </c>
      <c r="AO273" t="s">
        <v>2213</v>
      </c>
      <c r="AP273" t="s">
        <v>22</v>
      </c>
      <c r="AQ273" t="s">
        <v>2213</v>
      </c>
      <c r="AS273" s="31"/>
      <c r="AY273">
        <v>1</v>
      </c>
    </row>
    <row r="274" spans="1:51" x14ac:dyDescent="0.25">
      <c r="A274" t="s">
        <v>22</v>
      </c>
      <c r="B274">
        <v>616</v>
      </c>
      <c r="D274">
        <v>2605</v>
      </c>
      <c r="G274" t="s">
        <v>2214</v>
      </c>
      <c r="H274">
        <v>18628799000120</v>
      </c>
      <c r="J274" t="s">
        <v>2215</v>
      </c>
      <c r="K274" t="s">
        <v>2215</v>
      </c>
      <c r="L274" t="s">
        <v>2216</v>
      </c>
      <c r="N274" t="s">
        <v>2217</v>
      </c>
      <c r="Q274" t="s">
        <v>778</v>
      </c>
      <c r="R274" t="s">
        <v>1094</v>
      </c>
      <c r="S274" t="s">
        <v>790</v>
      </c>
      <c r="X274" t="s">
        <v>780</v>
      </c>
      <c r="Y274" t="s">
        <v>807</v>
      </c>
      <c r="AA274" s="31"/>
      <c r="AD274">
        <v>37</v>
      </c>
      <c r="AE274" t="s">
        <v>22</v>
      </c>
      <c r="AF274" s="31">
        <v>45929</v>
      </c>
      <c r="AG274" s="61">
        <v>0.72835648148148147</v>
      </c>
      <c r="AI274" t="s">
        <v>795</v>
      </c>
      <c r="AJ274" s="31">
        <v>45966</v>
      </c>
      <c r="AK274" s="61">
        <v>0.41305555555555562</v>
      </c>
      <c r="AL274" t="s">
        <v>1226</v>
      </c>
      <c r="AO274" t="s">
        <v>2142</v>
      </c>
      <c r="AP274" t="s">
        <v>22</v>
      </c>
      <c r="AQ274" t="s">
        <v>2209</v>
      </c>
      <c r="AS274" s="31"/>
      <c r="AY274">
        <v>1</v>
      </c>
    </row>
    <row r="275" spans="1:51" x14ac:dyDescent="0.25">
      <c r="A275" t="s">
        <v>44</v>
      </c>
      <c r="B275">
        <v>618</v>
      </c>
      <c r="D275">
        <v>2609</v>
      </c>
      <c r="G275" t="s">
        <v>2218</v>
      </c>
      <c r="H275">
        <v>49872306000127</v>
      </c>
      <c r="J275" t="s">
        <v>2219</v>
      </c>
      <c r="K275" t="s">
        <v>2219</v>
      </c>
      <c r="L275">
        <v>1432131100</v>
      </c>
      <c r="N275" t="s">
        <v>2148</v>
      </c>
      <c r="Q275" t="s">
        <v>778</v>
      </c>
      <c r="R275" t="s">
        <v>2149</v>
      </c>
      <c r="S275" t="s">
        <v>790</v>
      </c>
      <c r="X275" t="s">
        <v>780</v>
      </c>
      <c r="Y275" t="s">
        <v>793</v>
      </c>
      <c r="AA275" s="31"/>
      <c r="AB275">
        <v>1600</v>
      </c>
      <c r="AC275">
        <v>2468</v>
      </c>
      <c r="AD275">
        <v>3</v>
      </c>
      <c r="AE275" t="s">
        <v>44</v>
      </c>
      <c r="AF275" s="31">
        <v>45930</v>
      </c>
      <c r="AG275" s="61">
        <v>0.60990740740740745</v>
      </c>
      <c r="AI275" t="s">
        <v>795</v>
      </c>
      <c r="AJ275" s="31">
        <v>45933</v>
      </c>
      <c r="AK275" s="61">
        <v>0.40452546296296299</v>
      </c>
      <c r="AL275" t="s">
        <v>858</v>
      </c>
      <c r="AM275" t="s">
        <v>2150</v>
      </c>
      <c r="AO275" t="s">
        <v>2096</v>
      </c>
      <c r="AQ275" t="s">
        <v>2096</v>
      </c>
      <c r="AS275" s="31"/>
      <c r="AY275">
        <v>1</v>
      </c>
    </row>
    <row r="276" spans="1:51" x14ac:dyDescent="0.25">
      <c r="A276" t="s">
        <v>44</v>
      </c>
      <c r="B276">
        <v>619</v>
      </c>
      <c r="D276">
        <v>2614</v>
      </c>
      <c r="G276" t="s">
        <v>2221</v>
      </c>
      <c r="H276">
        <v>1099426000107</v>
      </c>
      <c r="J276" t="s">
        <v>2222</v>
      </c>
      <c r="K276" t="s">
        <v>2222</v>
      </c>
      <c r="L276">
        <v>21996087296</v>
      </c>
      <c r="N276" t="s">
        <v>2178</v>
      </c>
      <c r="Q276" t="s">
        <v>778</v>
      </c>
      <c r="X276" t="s">
        <v>780</v>
      </c>
      <c r="Y276" t="s">
        <v>816</v>
      </c>
      <c r="AA276" s="31"/>
      <c r="AB276">
        <v>2527318</v>
      </c>
      <c r="AC276">
        <v>0</v>
      </c>
      <c r="AD276">
        <v>29</v>
      </c>
      <c r="AE276" t="s">
        <v>44</v>
      </c>
      <c r="AF276" s="31">
        <v>45930</v>
      </c>
      <c r="AG276" s="61">
        <v>0.66567129629629629</v>
      </c>
      <c r="AI276" t="s">
        <v>818</v>
      </c>
      <c r="AJ276" s="31">
        <v>45959</v>
      </c>
      <c r="AK276" s="61">
        <v>0.45207175925925919</v>
      </c>
      <c r="AO276" t="s">
        <v>2223</v>
      </c>
      <c r="AS276" s="31"/>
      <c r="AY276">
        <v>1</v>
      </c>
    </row>
    <row r="277" spans="1:51" x14ac:dyDescent="0.25">
      <c r="A277" t="s">
        <v>22</v>
      </c>
      <c r="B277">
        <v>620</v>
      </c>
      <c r="D277">
        <v>2615</v>
      </c>
      <c r="G277" t="s">
        <v>2224</v>
      </c>
      <c r="H277">
        <v>5856090000130</v>
      </c>
      <c r="J277" t="s">
        <v>2225</v>
      </c>
      <c r="K277" t="s">
        <v>2225</v>
      </c>
      <c r="N277" t="s">
        <v>2226</v>
      </c>
      <c r="Q277" t="s">
        <v>778</v>
      </c>
      <c r="X277" t="s">
        <v>780</v>
      </c>
      <c r="Y277" t="s">
        <v>807</v>
      </c>
      <c r="AA277" s="31"/>
      <c r="AD277">
        <v>36</v>
      </c>
      <c r="AE277" t="s">
        <v>22</v>
      </c>
      <c r="AF277" s="31">
        <v>45930</v>
      </c>
      <c r="AG277" s="61">
        <v>0.6699074074074074</v>
      </c>
      <c r="AI277" t="s">
        <v>795</v>
      </c>
      <c r="AJ277" s="31">
        <v>45966</v>
      </c>
      <c r="AK277" s="61">
        <v>0.41229166666666672</v>
      </c>
      <c r="AL277" t="s">
        <v>867</v>
      </c>
      <c r="AO277" t="s">
        <v>2227</v>
      </c>
      <c r="AP277" t="s">
        <v>22</v>
      </c>
      <c r="AQ277" t="s">
        <v>2227</v>
      </c>
      <c r="AS277" s="31"/>
      <c r="AY277">
        <v>1</v>
      </c>
    </row>
    <row r="278" spans="1:51" x14ac:dyDescent="0.25">
      <c r="A278" t="s">
        <v>44</v>
      </c>
      <c r="B278">
        <v>621</v>
      </c>
      <c r="D278">
        <v>2616</v>
      </c>
      <c r="G278" t="s">
        <v>2228</v>
      </c>
      <c r="J278" t="s">
        <v>2229</v>
      </c>
      <c r="K278" t="s">
        <v>2229</v>
      </c>
      <c r="L278">
        <v>35999594857</v>
      </c>
      <c r="N278" t="s">
        <v>2231</v>
      </c>
      <c r="Q278" t="s">
        <v>778</v>
      </c>
      <c r="X278" t="s">
        <v>780</v>
      </c>
      <c r="Y278" t="s">
        <v>816</v>
      </c>
      <c r="AA278" s="31"/>
      <c r="AB278">
        <v>5406</v>
      </c>
      <c r="AC278">
        <v>0</v>
      </c>
      <c r="AD278">
        <v>0</v>
      </c>
      <c r="AE278" t="s">
        <v>44</v>
      </c>
      <c r="AF278" s="31">
        <v>45930</v>
      </c>
      <c r="AG278" s="61">
        <v>0.68820601851851848</v>
      </c>
      <c r="AI278" t="s">
        <v>818</v>
      </c>
      <c r="AJ278" s="31">
        <v>45930</v>
      </c>
      <c r="AK278" s="61">
        <v>0.68903935185185183</v>
      </c>
      <c r="AO278" t="s">
        <v>2141</v>
      </c>
      <c r="AS278" s="31"/>
      <c r="AY278">
        <v>1</v>
      </c>
    </row>
    <row r="279" spans="1:51" x14ac:dyDescent="0.25">
      <c r="A279" t="s">
        <v>44</v>
      </c>
      <c r="B279">
        <v>622</v>
      </c>
      <c r="D279">
        <v>2617</v>
      </c>
      <c r="G279" t="s">
        <v>2232</v>
      </c>
      <c r="J279" t="s">
        <v>2233</v>
      </c>
      <c r="K279" t="s">
        <v>2233</v>
      </c>
      <c r="L279">
        <v>1142923358</v>
      </c>
      <c r="N279" t="s">
        <v>2093</v>
      </c>
      <c r="Q279" t="s">
        <v>778</v>
      </c>
      <c r="X279" t="s">
        <v>780</v>
      </c>
      <c r="Y279" t="s">
        <v>857</v>
      </c>
      <c r="AA279" s="31"/>
      <c r="AB279">
        <v>1600</v>
      </c>
      <c r="AC279">
        <v>2468</v>
      </c>
      <c r="AD279">
        <v>3</v>
      </c>
      <c r="AE279" t="s">
        <v>44</v>
      </c>
      <c r="AF279" s="31">
        <v>45930</v>
      </c>
      <c r="AG279" s="61">
        <v>0.69144675925925925</v>
      </c>
      <c r="AI279" t="s">
        <v>795</v>
      </c>
      <c r="AJ279" s="31">
        <v>45933</v>
      </c>
      <c r="AK279" s="61">
        <v>0.41620370370370369</v>
      </c>
      <c r="AL279" t="s">
        <v>934</v>
      </c>
      <c r="AM279" t="s">
        <v>2095</v>
      </c>
      <c r="AO279" t="s">
        <v>2096</v>
      </c>
      <c r="AQ279" t="s">
        <v>2097</v>
      </c>
      <c r="AS279" s="31"/>
      <c r="AY279">
        <v>1</v>
      </c>
    </row>
    <row r="280" spans="1:51" x14ac:dyDescent="0.25">
      <c r="A280" t="s">
        <v>44</v>
      </c>
      <c r="B280">
        <v>623</v>
      </c>
      <c r="D280">
        <v>2618</v>
      </c>
      <c r="G280" t="s">
        <v>2235</v>
      </c>
      <c r="J280" t="s">
        <v>2236</v>
      </c>
      <c r="K280" t="s">
        <v>2236</v>
      </c>
      <c r="L280">
        <v>1142923358</v>
      </c>
      <c r="N280" t="s">
        <v>2093</v>
      </c>
      <c r="Q280" t="s">
        <v>778</v>
      </c>
      <c r="X280" t="s">
        <v>780</v>
      </c>
      <c r="Y280" t="s">
        <v>857</v>
      </c>
      <c r="AA280" s="31"/>
      <c r="AB280">
        <v>59360</v>
      </c>
      <c r="AC280">
        <v>27562</v>
      </c>
      <c r="AD280">
        <v>3</v>
      </c>
      <c r="AE280" t="s">
        <v>44</v>
      </c>
      <c r="AF280" s="31">
        <v>45930</v>
      </c>
      <c r="AG280" s="61">
        <v>0.69359953703703703</v>
      </c>
      <c r="AI280" t="s">
        <v>795</v>
      </c>
      <c r="AJ280" s="31">
        <v>45933</v>
      </c>
      <c r="AK280" s="61">
        <v>0.41586805555555562</v>
      </c>
      <c r="AL280" t="s">
        <v>934</v>
      </c>
      <c r="AM280" t="s">
        <v>2095</v>
      </c>
      <c r="AO280" t="s">
        <v>2096</v>
      </c>
      <c r="AQ280" t="s">
        <v>2097</v>
      </c>
      <c r="AS280" s="31"/>
      <c r="AY280">
        <v>1</v>
      </c>
    </row>
    <row r="281" spans="1:51" x14ac:dyDescent="0.25">
      <c r="A281" t="s">
        <v>22</v>
      </c>
      <c r="B281">
        <v>624</v>
      </c>
      <c r="D281">
        <v>2619</v>
      </c>
      <c r="G281" t="s">
        <v>2237</v>
      </c>
      <c r="J281" t="s">
        <v>2238</v>
      </c>
      <c r="K281" t="s">
        <v>2238</v>
      </c>
      <c r="L281">
        <v>96170057610</v>
      </c>
      <c r="N281" t="s">
        <v>1111</v>
      </c>
      <c r="Q281" t="s">
        <v>778</v>
      </c>
      <c r="X281" t="s">
        <v>780</v>
      </c>
      <c r="Y281" t="s">
        <v>807</v>
      </c>
      <c r="AA281" s="31"/>
      <c r="AD281">
        <v>36</v>
      </c>
      <c r="AE281" t="s">
        <v>22</v>
      </c>
      <c r="AF281" s="31">
        <v>45930</v>
      </c>
      <c r="AG281" s="61">
        <v>0.7330902777777778</v>
      </c>
      <c r="AI281" t="s">
        <v>795</v>
      </c>
      <c r="AJ281" s="31">
        <v>45966</v>
      </c>
      <c r="AK281" s="61">
        <v>0.41091435185185188</v>
      </c>
      <c r="AL281" t="s">
        <v>796</v>
      </c>
      <c r="AO281" t="s">
        <v>2227</v>
      </c>
      <c r="AP281" t="s">
        <v>22</v>
      </c>
      <c r="AQ281" t="s">
        <v>2227</v>
      </c>
      <c r="AS281" s="31"/>
      <c r="AY281">
        <v>1</v>
      </c>
    </row>
    <row r="282" spans="1:51" x14ac:dyDescent="0.25">
      <c r="A282" t="s">
        <v>44</v>
      </c>
      <c r="B282">
        <v>628</v>
      </c>
      <c r="D282">
        <v>2622</v>
      </c>
      <c r="G282" t="s">
        <v>2240</v>
      </c>
      <c r="J282" t="s">
        <v>2241</v>
      </c>
      <c r="K282" t="s">
        <v>2241</v>
      </c>
      <c r="L282" t="s">
        <v>2242</v>
      </c>
      <c r="N282" t="s">
        <v>2243</v>
      </c>
      <c r="Q282" t="s">
        <v>778</v>
      </c>
      <c r="R282" t="s">
        <v>2244</v>
      </c>
      <c r="T282" t="s">
        <v>814</v>
      </c>
      <c r="W282" t="s">
        <v>1186</v>
      </c>
      <c r="X282" t="s">
        <v>780</v>
      </c>
      <c r="Y282" t="s">
        <v>897</v>
      </c>
      <c r="AA282" s="31"/>
      <c r="AD282">
        <v>4</v>
      </c>
      <c r="AE282" t="s">
        <v>22</v>
      </c>
      <c r="AF282" s="31">
        <v>45933</v>
      </c>
      <c r="AG282" s="61">
        <v>0.46578703703703711</v>
      </c>
      <c r="AI282" t="s">
        <v>795</v>
      </c>
      <c r="AJ282" s="31">
        <v>45937</v>
      </c>
      <c r="AK282" s="61">
        <v>0.39880787037037041</v>
      </c>
      <c r="AL282" t="s">
        <v>1358</v>
      </c>
      <c r="AM282" t="s">
        <v>2245</v>
      </c>
      <c r="AP282" t="s">
        <v>44</v>
      </c>
      <c r="AS282" s="31"/>
      <c r="AY282">
        <v>1</v>
      </c>
    </row>
    <row r="283" spans="1:51" x14ac:dyDescent="0.25">
      <c r="A283" t="s">
        <v>44</v>
      </c>
      <c r="B283">
        <v>634</v>
      </c>
      <c r="D283">
        <v>2631</v>
      </c>
      <c r="F283" t="s">
        <v>2246</v>
      </c>
      <c r="G283" t="s">
        <v>2247</v>
      </c>
      <c r="H283">
        <v>43400571000126</v>
      </c>
      <c r="J283" t="s">
        <v>2246</v>
      </c>
      <c r="K283" t="s">
        <v>2246</v>
      </c>
      <c r="L283" t="s">
        <v>2248</v>
      </c>
      <c r="N283" t="s">
        <v>2249</v>
      </c>
      <c r="Q283" t="s">
        <v>778</v>
      </c>
      <c r="R283" t="s">
        <v>2250</v>
      </c>
      <c r="S283" t="s">
        <v>790</v>
      </c>
      <c r="T283" t="s">
        <v>805</v>
      </c>
      <c r="X283" t="s">
        <v>780</v>
      </c>
      <c r="Y283" t="s">
        <v>793</v>
      </c>
      <c r="AA283" s="31"/>
      <c r="AB283">
        <v>7021439</v>
      </c>
      <c r="AC283">
        <v>417338</v>
      </c>
      <c r="AD283">
        <v>20</v>
      </c>
      <c r="AE283" t="s">
        <v>44</v>
      </c>
      <c r="AF283" s="31">
        <v>45939</v>
      </c>
      <c r="AG283" s="61">
        <v>0.65773148148148153</v>
      </c>
      <c r="AI283" t="s">
        <v>795</v>
      </c>
      <c r="AJ283" s="31">
        <v>45959</v>
      </c>
      <c r="AK283" s="61">
        <v>0.4332523148148148</v>
      </c>
      <c r="AL283" t="s">
        <v>796</v>
      </c>
      <c r="AM283" t="s">
        <v>797</v>
      </c>
      <c r="AO283" t="s">
        <v>2251</v>
      </c>
      <c r="AQ283" t="s">
        <v>2251</v>
      </c>
      <c r="AS283" s="31"/>
      <c r="AY283">
        <v>1</v>
      </c>
    </row>
    <row r="284" spans="1:51" x14ac:dyDescent="0.25">
      <c r="A284" t="s">
        <v>44</v>
      </c>
      <c r="B284">
        <v>638</v>
      </c>
      <c r="D284">
        <v>2640</v>
      </c>
      <c r="G284" t="s">
        <v>2252</v>
      </c>
      <c r="J284" t="s">
        <v>2253</v>
      </c>
      <c r="K284" t="s">
        <v>2253</v>
      </c>
      <c r="L284">
        <v>17996266970</v>
      </c>
      <c r="N284" t="s">
        <v>1111</v>
      </c>
      <c r="Q284" t="s">
        <v>778</v>
      </c>
      <c r="X284" t="s">
        <v>780</v>
      </c>
      <c r="Y284" t="s">
        <v>807</v>
      </c>
      <c r="AA284" s="31"/>
      <c r="AD284">
        <v>62</v>
      </c>
      <c r="AE284" t="s">
        <v>44</v>
      </c>
      <c r="AF284" s="31">
        <v>45940</v>
      </c>
      <c r="AG284" s="61">
        <v>0.64271990740740736</v>
      </c>
      <c r="AI284" t="s">
        <v>795</v>
      </c>
      <c r="AJ284" s="31">
        <v>46002</v>
      </c>
      <c r="AK284" s="61">
        <v>0.64072916666666668</v>
      </c>
      <c r="AL284" t="s">
        <v>796</v>
      </c>
      <c r="AQ284" t="s">
        <v>2251</v>
      </c>
      <c r="AS284" s="31"/>
      <c r="AY284">
        <v>1</v>
      </c>
    </row>
    <row r="285" spans="1:51" x14ac:dyDescent="0.25">
      <c r="A285" t="s">
        <v>22</v>
      </c>
      <c r="B285">
        <v>639</v>
      </c>
      <c r="D285">
        <v>2644</v>
      </c>
      <c r="G285" t="s">
        <v>2255</v>
      </c>
      <c r="J285" t="s">
        <v>2256</v>
      </c>
      <c r="K285" t="s">
        <v>2256</v>
      </c>
      <c r="L285">
        <v>75988472625</v>
      </c>
      <c r="N285" t="s">
        <v>1111</v>
      </c>
      <c r="Q285" t="s">
        <v>778</v>
      </c>
      <c r="X285" t="s">
        <v>780</v>
      </c>
      <c r="Y285" t="s">
        <v>807</v>
      </c>
      <c r="AA285" s="31"/>
      <c r="AD285">
        <v>33</v>
      </c>
      <c r="AE285" t="s">
        <v>22</v>
      </c>
      <c r="AF285" s="31">
        <v>45945</v>
      </c>
      <c r="AG285" s="61">
        <v>0.73146990740740736</v>
      </c>
      <c r="AI285" t="s">
        <v>795</v>
      </c>
      <c r="AJ285" s="31">
        <v>45978</v>
      </c>
      <c r="AK285" s="61">
        <v>0.64398148148148149</v>
      </c>
      <c r="AL285" t="s">
        <v>934</v>
      </c>
      <c r="AO285" t="s">
        <v>2258</v>
      </c>
      <c r="AP285" t="s">
        <v>22</v>
      </c>
      <c r="AQ285" t="s">
        <v>2258</v>
      </c>
      <c r="AS285" s="31"/>
      <c r="AY285">
        <v>1</v>
      </c>
    </row>
    <row r="286" spans="1:51" x14ac:dyDescent="0.25">
      <c r="A286" t="s">
        <v>44</v>
      </c>
      <c r="B286">
        <v>640</v>
      </c>
      <c r="D286">
        <v>2646</v>
      </c>
      <c r="G286" t="s">
        <v>2259</v>
      </c>
      <c r="J286" t="s">
        <v>2260</v>
      </c>
      <c r="K286" t="s">
        <v>2260</v>
      </c>
      <c r="L286">
        <v>11947600755</v>
      </c>
      <c r="N286" t="s">
        <v>2262</v>
      </c>
      <c r="Q286" t="s">
        <v>778</v>
      </c>
      <c r="X286" t="s">
        <v>780</v>
      </c>
      <c r="Y286" t="s">
        <v>816</v>
      </c>
      <c r="AA286" s="31"/>
      <c r="AB286">
        <v>1380825</v>
      </c>
      <c r="AC286">
        <v>0</v>
      </c>
      <c r="AD286">
        <v>0</v>
      </c>
      <c r="AE286" t="s">
        <v>44</v>
      </c>
      <c r="AF286" s="31">
        <v>45946</v>
      </c>
      <c r="AG286" s="61">
        <v>0.61724537037037042</v>
      </c>
      <c r="AI286" t="s">
        <v>818</v>
      </c>
      <c r="AJ286" s="31">
        <v>45946</v>
      </c>
      <c r="AK286" s="61">
        <v>0.61929398148148151</v>
      </c>
      <c r="AO286" t="s">
        <v>2263</v>
      </c>
      <c r="AS286" s="31"/>
      <c r="AY286">
        <v>1</v>
      </c>
    </row>
    <row r="287" spans="1:51" x14ac:dyDescent="0.25">
      <c r="A287" t="s">
        <v>44</v>
      </c>
      <c r="B287">
        <v>641</v>
      </c>
      <c r="D287">
        <v>2647</v>
      </c>
      <c r="G287" t="s">
        <v>2264</v>
      </c>
      <c r="J287" t="s">
        <v>2265</v>
      </c>
      <c r="K287" t="s">
        <v>2265</v>
      </c>
      <c r="L287">
        <v>1938764260</v>
      </c>
      <c r="N287" t="s">
        <v>2249</v>
      </c>
      <c r="Q287" t="s">
        <v>778</v>
      </c>
      <c r="X287" t="s">
        <v>780</v>
      </c>
      <c r="Y287" t="s">
        <v>793</v>
      </c>
      <c r="AA287" s="31"/>
      <c r="AB287">
        <v>1600</v>
      </c>
      <c r="AC287">
        <v>3695</v>
      </c>
      <c r="AD287">
        <v>13</v>
      </c>
      <c r="AE287" t="s">
        <v>44</v>
      </c>
      <c r="AF287" s="31">
        <v>45946</v>
      </c>
      <c r="AG287" s="61">
        <v>0.69593749999999999</v>
      </c>
      <c r="AI287" t="s">
        <v>795</v>
      </c>
      <c r="AJ287" s="31">
        <v>45959</v>
      </c>
      <c r="AK287" s="61">
        <v>0.43424768518518519</v>
      </c>
      <c r="AL287" t="s">
        <v>796</v>
      </c>
      <c r="AM287" t="s">
        <v>2267</v>
      </c>
      <c r="AO287" t="s">
        <v>2251</v>
      </c>
      <c r="AQ287" t="s">
        <v>2251</v>
      </c>
      <c r="AS287" s="31"/>
      <c r="AY287">
        <v>1</v>
      </c>
    </row>
    <row r="288" spans="1:51" x14ac:dyDescent="0.25">
      <c r="A288" t="s">
        <v>44</v>
      </c>
      <c r="B288">
        <v>642</v>
      </c>
      <c r="D288">
        <v>2648</v>
      </c>
      <c r="E288" t="s">
        <v>4708</v>
      </c>
      <c r="G288" t="s">
        <v>2268</v>
      </c>
      <c r="J288" t="s">
        <v>2269</v>
      </c>
      <c r="K288" t="s">
        <v>2269</v>
      </c>
      <c r="L288">
        <v>11997580006</v>
      </c>
      <c r="N288" t="s">
        <v>2200</v>
      </c>
      <c r="Q288" t="s">
        <v>778</v>
      </c>
      <c r="W288" t="s">
        <v>1419</v>
      </c>
      <c r="X288" t="s">
        <v>780</v>
      </c>
      <c r="Y288" t="s">
        <v>807</v>
      </c>
      <c r="AA288" s="31">
        <v>46112</v>
      </c>
      <c r="AB288">
        <v>1600</v>
      </c>
      <c r="AC288">
        <v>335607</v>
      </c>
      <c r="AD288">
        <v>180</v>
      </c>
      <c r="AE288" t="s">
        <v>44</v>
      </c>
      <c r="AF288" s="31">
        <v>45947</v>
      </c>
      <c r="AG288" s="61">
        <v>0.40686342592592589</v>
      </c>
      <c r="AI288" t="s">
        <v>782</v>
      </c>
      <c r="AJ288" s="31"/>
      <c r="AK288" s="61"/>
      <c r="AO288" t="s">
        <v>2203</v>
      </c>
      <c r="AP288" t="s">
        <v>44</v>
      </c>
      <c r="AQ288" t="s">
        <v>2202</v>
      </c>
      <c r="AS288" s="31">
        <v>46077</v>
      </c>
      <c r="AT288">
        <v>50</v>
      </c>
      <c r="AY288">
        <v>1</v>
      </c>
    </row>
    <row r="289" spans="1:51" x14ac:dyDescent="0.25">
      <c r="A289" t="s">
        <v>44</v>
      </c>
      <c r="B289">
        <v>643</v>
      </c>
      <c r="D289">
        <v>2649</v>
      </c>
      <c r="E289" t="s">
        <v>2270</v>
      </c>
      <c r="G289" t="s">
        <v>2271</v>
      </c>
      <c r="H289">
        <v>43028557000143</v>
      </c>
      <c r="J289" t="s">
        <v>2272</v>
      </c>
      <c r="K289" t="s">
        <v>2272</v>
      </c>
      <c r="L289">
        <v>11947600755</v>
      </c>
      <c r="N289" t="s">
        <v>2262</v>
      </c>
      <c r="Q289" t="s">
        <v>778</v>
      </c>
      <c r="W289" t="s">
        <v>1581</v>
      </c>
      <c r="X289" t="s">
        <v>780</v>
      </c>
      <c r="Y289" t="s">
        <v>816</v>
      </c>
      <c r="AA289" s="31">
        <v>45989</v>
      </c>
      <c r="AB289">
        <v>0</v>
      </c>
      <c r="AC289">
        <v>3564</v>
      </c>
      <c r="AD289">
        <v>129</v>
      </c>
      <c r="AE289" t="s">
        <v>44</v>
      </c>
      <c r="AF289" s="31">
        <v>45947</v>
      </c>
      <c r="AG289" s="61">
        <v>0.4088310185185185</v>
      </c>
      <c r="AI289" t="s">
        <v>795</v>
      </c>
      <c r="AJ289" s="31">
        <v>46076</v>
      </c>
      <c r="AK289" s="61">
        <v>0.43260416666666668</v>
      </c>
      <c r="AL289" t="s">
        <v>796</v>
      </c>
      <c r="AM289" t="s">
        <v>4709</v>
      </c>
      <c r="AO289" t="s">
        <v>2273</v>
      </c>
      <c r="AP289" t="s">
        <v>44</v>
      </c>
      <c r="AQ289" t="s">
        <v>2274</v>
      </c>
      <c r="AS289" s="31">
        <v>46003</v>
      </c>
      <c r="AT289">
        <v>80</v>
      </c>
      <c r="AY289">
        <v>1</v>
      </c>
    </row>
    <row r="290" spans="1:51" x14ac:dyDescent="0.25">
      <c r="A290" t="s">
        <v>44</v>
      </c>
      <c r="B290">
        <v>644</v>
      </c>
      <c r="D290">
        <v>2650</v>
      </c>
      <c r="E290" t="s">
        <v>2275</v>
      </c>
      <c r="G290" t="s">
        <v>2276</v>
      </c>
      <c r="H290">
        <v>62499934000177</v>
      </c>
      <c r="J290" t="s">
        <v>2277</v>
      </c>
      <c r="K290" t="s">
        <v>2277</v>
      </c>
      <c r="L290">
        <v>11975444564</v>
      </c>
      <c r="N290" t="s">
        <v>2279</v>
      </c>
      <c r="Q290" t="s">
        <v>778</v>
      </c>
      <c r="R290" t="s">
        <v>2280</v>
      </c>
      <c r="S290" t="s">
        <v>790</v>
      </c>
      <c r="W290" t="s">
        <v>1581</v>
      </c>
      <c r="X290" t="s">
        <v>780</v>
      </c>
      <c r="Y290" t="s">
        <v>807</v>
      </c>
      <c r="AA290" s="31">
        <v>46081</v>
      </c>
      <c r="AB290">
        <v>118908</v>
      </c>
      <c r="AC290">
        <v>1304844</v>
      </c>
      <c r="AD290">
        <v>117</v>
      </c>
      <c r="AE290" t="s">
        <v>44</v>
      </c>
      <c r="AF290" s="31">
        <v>45947</v>
      </c>
      <c r="AG290" s="61">
        <v>0.42344907407407412</v>
      </c>
      <c r="AI290" t="s">
        <v>795</v>
      </c>
      <c r="AJ290" s="31">
        <v>46064</v>
      </c>
      <c r="AK290" s="61">
        <v>0.7311805555555555</v>
      </c>
      <c r="AL290" t="s">
        <v>974</v>
      </c>
      <c r="AM290" t="s">
        <v>2281</v>
      </c>
      <c r="AO290" t="s">
        <v>2282</v>
      </c>
      <c r="AP290" t="s">
        <v>44</v>
      </c>
      <c r="AQ290" t="s">
        <v>2274</v>
      </c>
      <c r="AR290" t="s">
        <v>2283</v>
      </c>
      <c r="AS290" s="31">
        <v>46056</v>
      </c>
      <c r="AT290">
        <v>80</v>
      </c>
      <c r="AY290">
        <v>1</v>
      </c>
    </row>
    <row r="291" spans="1:51" x14ac:dyDescent="0.25">
      <c r="A291" t="s">
        <v>44</v>
      </c>
      <c r="B291">
        <v>645</v>
      </c>
      <c r="D291">
        <v>2654</v>
      </c>
      <c r="E291" t="s">
        <v>2275</v>
      </c>
      <c r="G291" t="s">
        <v>2284</v>
      </c>
      <c r="H291">
        <v>62499934000177</v>
      </c>
      <c r="J291" t="s">
        <v>2285</v>
      </c>
      <c r="K291" t="s">
        <v>2285</v>
      </c>
      <c r="L291">
        <v>11975444564</v>
      </c>
      <c r="N291" t="s">
        <v>2279</v>
      </c>
      <c r="Q291" t="s">
        <v>778</v>
      </c>
      <c r="R291" t="s">
        <v>2280</v>
      </c>
      <c r="S291" t="s">
        <v>790</v>
      </c>
      <c r="W291" t="s">
        <v>1581</v>
      </c>
      <c r="X291" t="s">
        <v>780</v>
      </c>
      <c r="Y291" t="s">
        <v>807</v>
      </c>
      <c r="AA291" s="31">
        <v>46081</v>
      </c>
      <c r="AB291">
        <v>1600</v>
      </c>
      <c r="AC291">
        <v>68466</v>
      </c>
      <c r="AD291">
        <v>117</v>
      </c>
      <c r="AE291" t="s">
        <v>44</v>
      </c>
      <c r="AF291" s="31">
        <v>45947</v>
      </c>
      <c r="AG291" s="61">
        <v>0.42556712962962961</v>
      </c>
      <c r="AI291" t="s">
        <v>795</v>
      </c>
      <c r="AJ291" s="31">
        <v>46064</v>
      </c>
      <c r="AK291" s="61">
        <v>0.73228009259259264</v>
      </c>
      <c r="AL291" t="s">
        <v>974</v>
      </c>
      <c r="AM291" t="s">
        <v>2281</v>
      </c>
      <c r="AO291" t="s">
        <v>2286</v>
      </c>
      <c r="AP291" t="s">
        <v>44</v>
      </c>
      <c r="AQ291" t="s">
        <v>2286</v>
      </c>
      <c r="AS291" s="31">
        <v>46056</v>
      </c>
      <c r="AT291">
        <v>80</v>
      </c>
      <c r="AY291">
        <v>1</v>
      </c>
    </row>
    <row r="292" spans="1:51" x14ac:dyDescent="0.25">
      <c r="A292" t="s">
        <v>44</v>
      </c>
      <c r="B292">
        <v>656</v>
      </c>
      <c r="D292">
        <v>2261</v>
      </c>
      <c r="F292" t="s">
        <v>2287</v>
      </c>
      <c r="G292" t="s">
        <v>2288</v>
      </c>
      <c r="H292">
        <v>37905383000157</v>
      </c>
      <c r="J292" t="s">
        <v>2287</v>
      </c>
      <c r="K292" t="s">
        <v>2287</v>
      </c>
      <c r="L292" t="s">
        <v>2289</v>
      </c>
      <c r="N292" t="s">
        <v>2290</v>
      </c>
      <c r="Q292" t="s">
        <v>778</v>
      </c>
      <c r="R292" t="s">
        <v>1094</v>
      </c>
      <c r="S292" t="s">
        <v>790</v>
      </c>
      <c r="T292" t="s">
        <v>805</v>
      </c>
      <c r="X292" t="s">
        <v>780</v>
      </c>
      <c r="Y292" t="s">
        <v>857</v>
      </c>
      <c r="AA292" s="31"/>
      <c r="AD292">
        <v>34</v>
      </c>
      <c r="AE292" t="s">
        <v>44</v>
      </c>
      <c r="AF292" s="31">
        <v>45952</v>
      </c>
      <c r="AG292" s="61">
        <v>0.71155092592592595</v>
      </c>
      <c r="AI292" t="s">
        <v>795</v>
      </c>
      <c r="AJ292" s="31">
        <v>45986</v>
      </c>
      <c r="AK292" s="61">
        <v>0.70568287037037036</v>
      </c>
      <c r="AL292" t="s">
        <v>858</v>
      </c>
      <c r="AS292" s="31"/>
      <c r="AY292">
        <v>1</v>
      </c>
    </row>
    <row r="293" spans="1:51" x14ac:dyDescent="0.25">
      <c r="A293" t="s">
        <v>44</v>
      </c>
      <c r="B293">
        <v>657</v>
      </c>
      <c r="D293">
        <v>2659</v>
      </c>
      <c r="G293" t="s">
        <v>2291</v>
      </c>
      <c r="J293" t="s">
        <v>2292</v>
      </c>
      <c r="K293" t="s">
        <v>2292</v>
      </c>
      <c r="L293" t="s">
        <v>2293</v>
      </c>
      <c r="N293" t="s">
        <v>2294</v>
      </c>
      <c r="Q293" t="s">
        <v>778</v>
      </c>
      <c r="R293" t="s">
        <v>2295</v>
      </c>
      <c r="T293" t="s">
        <v>814</v>
      </c>
      <c r="W293" t="s">
        <v>1186</v>
      </c>
      <c r="X293" t="s">
        <v>780</v>
      </c>
      <c r="Y293" t="s">
        <v>857</v>
      </c>
      <c r="AA293" s="31"/>
      <c r="AB293">
        <v>38380</v>
      </c>
      <c r="AC293">
        <v>107526</v>
      </c>
      <c r="AD293">
        <v>32</v>
      </c>
      <c r="AE293" t="s">
        <v>22</v>
      </c>
      <c r="AF293" s="31">
        <v>45953</v>
      </c>
      <c r="AG293" s="61">
        <v>0.63064814814814818</v>
      </c>
      <c r="AI293" t="s">
        <v>795</v>
      </c>
      <c r="AJ293" s="31">
        <v>45985</v>
      </c>
      <c r="AK293" s="61">
        <v>0.70120370370370366</v>
      </c>
      <c r="AL293" t="s">
        <v>867</v>
      </c>
      <c r="AM293" t="s">
        <v>2296</v>
      </c>
      <c r="AO293" t="s">
        <v>2203</v>
      </c>
      <c r="AP293" t="s">
        <v>44</v>
      </c>
      <c r="AQ293" t="s">
        <v>2297</v>
      </c>
      <c r="AS293" s="31"/>
      <c r="AY293">
        <v>1</v>
      </c>
    </row>
    <row r="294" spans="1:51" x14ac:dyDescent="0.25">
      <c r="A294" t="s">
        <v>44</v>
      </c>
      <c r="B294">
        <v>659</v>
      </c>
      <c r="D294">
        <v>2680</v>
      </c>
      <c r="G294" t="s">
        <v>2298</v>
      </c>
      <c r="J294" t="s">
        <v>2299</v>
      </c>
      <c r="K294" t="s">
        <v>2299</v>
      </c>
      <c r="L294" t="s">
        <v>2300</v>
      </c>
      <c r="N294" t="s">
        <v>2301</v>
      </c>
      <c r="Q294" t="s">
        <v>778</v>
      </c>
      <c r="R294" t="s">
        <v>923</v>
      </c>
      <c r="T294" t="s">
        <v>814</v>
      </c>
      <c r="W294" t="s">
        <v>1186</v>
      </c>
      <c r="X294" t="s">
        <v>780</v>
      </c>
      <c r="Y294" t="s">
        <v>897</v>
      </c>
      <c r="AA294" s="31"/>
      <c r="AD294">
        <v>9</v>
      </c>
      <c r="AE294" t="s">
        <v>22</v>
      </c>
      <c r="AF294" s="31">
        <v>45957</v>
      </c>
      <c r="AG294" s="61">
        <v>0.65108796296296301</v>
      </c>
      <c r="AI294" t="s">
        <v>795</v>
      </c>
      <c r="AJ294" s="31">
        <v>45966</v>
      </c>
      <c r="AK294" s="61">
        <v>0.38394675925925931</v>
      </c>
      <c r="AL294" t="s">
        <v>1358</v>
      </c>
      <c r="AM294" t="s">
        <v>2302</v>
      </c>
      <c r="AP294" t="s">
        <v>44</v>
      </c>
      <c r="AS294" s="31"/>
      <c r="AY294">
        <v>1</v>
      </c>
    </row>
    <row r="295" spans="1:51" x14ac:dyDescent="0.25">
      <c r="A295" t="s">
        <v>44</v>
      </c>
      <c r="B295">
        <v>662</v>
      </c>
      <c r="D295">
        <v>2684</v>
      </c>
      <c r="E295" t="s">
        <v>2303</v>
      </c>
      <c r="F295" t="s">
        <v>2304</v>
      </c>
      <c r="G295" t="s">
        <v>2305</v>
      </c>
      <c r="H295">
        <v>44628219000105</v>
      </c>
      <c r="J295" t="s">
        <v>2304</v>
      </c>
      <c r="K295" t="s">
        <v>2304</v>
      </c>
      <c r="L295" t="s">
        <v>2306</v>
      </c>
      <c r="N295" t="s">
        <v>2307</v>
      </c>
      <c r="Q295" t="s">
        <v>778</v>
      </c>
      <c r="R295" t="s">
        <v>2308</v>
      </c>
      <c r="S295" t="s">
        <v>932</v>
      </c>
      <c r="T295" t="s">
        <v>805</v>
      </c>
      <c r="W295" t="s">
        <v>1718</v>
      </c>
      <c r="X295" t="s">
        <v>780</v>
      </c>
      <c r="Y295" t="s">
        <v>807</v>
      </c>
      <c r="AA295" s="31">
        <v>46052</v>
      </c>
      <c r="AB295">
        <v>38380</v>
      </c>
      <c r="AC295">
        <v>107526</v>
      </c>
      <c r="AD295">
        <v>80</v>
      </c>
      <c r="AE295" t="s">
        <v>44</v>
      </c>
      <c r="AF295" s="31">
        <v>45958</v>
      </c>
      <c r="AG295" s="61">
        <v>0.42758101851851849</v>
      </c>
      <c r="AI295" t="s">
        <v>795</v>
      </c>
      <c r="AJ295" s="31">
        <v>46038</v>
      </c>
      <c r="AK295" s="61">
        <v>0.66612268518518514</v>
      </c>
      <c r="AL295" t="s">
        <v>934</v>
      </c>
      <c r="AM295" t="s">
        <v>2303</v>
      </c>
      <c r="AO295" t="s">
        <v>2309</v>
      </c>
      <c r="AQ295" t="s">
        <v>2203</v>
      </c>
      <c r="AS295" s="31">
        <v>46038</v>
      </c>
      <c r="AY295">
        <v>1</v>
      </c>
    </row>
    <row r="296" spans="1:51" x14ac:dyDescent="0.25">
      <c r="A296" t="s">
        <v>44</v>
      </c>
      <c r="B296">
        <v>665</v>
      </c>
      <c r="D296">
        <v>2692</v>
      </c>
      <c r="E296" t="s">
        <v>2303</v>
      </c>
      <c r="G296" t="s">
        <v>2310</v>
      </c>
      <c r="J296" t="s">
        <v>2311</v>
      </c>
      <c r="K296" t="s">
        <v>2311</v>
      </c>
      <c r="L296">
        <v>1141150797</v>
      </c>
      <c r="N296" t="s">
        <v>2307</v>
      </c>
      <c r="Q296" t="s">
        <v>778</v>
      </c>
      <c r="W296" t="s">
        <v>1718</v>
      </c>
      <c r="X296" t="s">
        <v>780</v>
      </c>
      <c r="Y296" t="s">
        <v>807</v>
      </c>
      <c r="AA296" s="31">
        <v>46052</v>
      </c>
      <c r="AB296">
        <v>1600</v>
      </c>
      <c r="AC296">
        <v>2174</v>
      </c>
      <c r="AD296">
        <v>79</v>
      </c>
      <c r="AE296" t="s">
        <v>44</v>
      </c>
      <c r="AF296" s="31">
        <v>45959</v>
      </c>
      <c r="AG296" s="61">
        <v>0.70923611111111107</v>
      </c>
      <c r="AI296" t="s">
        <v>795</v>
      </c>
      <c r="AJ296" s="31">
        <v>46038</v>
      </c>
      <c r="AK296" s="61">
        <v>0.66703703703703698</v>
      </c>
      <c r="AL296" t="s">
        <v>934</v>
      </c>
      <c r="AM296" t="s">
        <v>2303</v>
      </c>
      <c r="AO296" t="s">
        <v>2309</v>
      </c>
      <c r="AQ296" t="s">
        <v>2203</v>
      </c>
      <c r="AS296" s="31">
        <v>46038</v>
      </c>
      <c r="AY296">
        <v>1</v>
      </c>
    </row>
    <row r="297" spans="1:51" x14ac:dyDescent="0.25">
      <c r="A297" t="s">
        <v>44</v>
      </c>
      <c r="B297">
        <v>667</v>
      </c>
      <c r="D297">
        <v>2698</v>
      </c>
      <c r="G297" t="s">
        <v>2313</v>
      </c>
      <c r="J297" t="s">
        <v>2314</v>
      </c>
      <c r="K297" t="s">
        <v>2314</v>
      </c>
      <c r="L297">
        <v>67991479660</v>
      </c>
      <c r="N297" t="s">
        <v>2294</v>
      </c>
      <c r="Q297" t="s">
        <v>778</v>
      </c>
      <c r="X297" t="s">
        <v>780</v>
      </c>
      <c r="Y297" t="s">
        <v>857</v>
      </c>
      <c r="AA297" s="31"/>
      <c r="AB297">
        <v>1600</v>
      </c>
      <c r="AC297">
        <v>21746</v>
      </c>
      <c r="AD297">
        <v>25</v>
      </c>
      <c r="AE297" t="s">
        <v>44</v>
      </c>
      <c r="AF297" s="31">
        <v>45960</v>
      </c>
      <c r="AG297" s="61">
        <v>0.45494212962962971</v>
      </c>
      <c r="AI297" t="s">
        <v>795</v>
      </c>
      <c r="AJ297" s="31">
        <v>45985</v>
      </c>
      <c r="AK297" s="61">
        <v>0.70178240740740738</v>
      </c>
      <c r="AL297" t="s">
        <v>867</v>
      </c>
      <c r="AM297" t="s">
        <v>2296</v>
      </c>
      <c r="AO297" t="s">
        <v>2203</v>
      </c>
      <c r="AQ297" t="s">
        <v>2297</v>
      </c>
      <c r="AS297" s="31"/>
      <c r="AY297">
        <v>1</v>
      </c>
    </row>
    <row r="298" spans="1:51" x14ac:dyDescent="0.25">
      <c r="A298" t="s">
        <v>44</v>
      </c>
      <c r="B298">
        <v>669</v>
      </c>
      <c r="D298">
        <v>2718</v>
      </c>
      <c r="G298" t="s">
        <v>2316</v>
      </c>
      <c r="J298" t="s">
        <v>2317</v>
      </c>
      <c r="K298" t="s">
        <v>2317</v>
      </c>
      <c r="L298">
        <v>4791025652</v>
      </c>
      <c r="N298" t="s">
        <v>1111</v>
      </c>
      <c r="Q298" t="s">
        <v>778</v>
      </c>
      <c r="X298" t="s">
        <v>780</v>
      </c>
      <c r="Y298" t="s">
        <v>793</v>
      </c>
      <c r="AA298" s="31"/>
      <c r="AB298">
        <v>0</v>
      </c>
      <c r="AC298">
        <v>2185</v>
      </c>
      <c r="AD298">
        <v>26</v>
      </c>
      <c r="AE298" t="s">
        <v>44</v>
      </c>
      <c r="AF298" s="31">
        <v>45961</v>
      </c>
      <c r="AG298" s="61">
        <v>0.4906712962962963</v>
      </c>
      <c r="AI298" t="s">
        <v>795</v>
      </c>
      <c r="AJ298" s="31">
        <v>45987</v>
      </c>
      <c r="AK298" s="61">
        <v>0.5857175925925926</v>
      </c>
      <c r="AL298" t="s">
        <v>796</v>
      </c>
      <c r="AM298" t="s">
        <v>2319</v>
      </c>
      <c r="AO298" t="s">
        <v>2282</v>
      </c>
      <c r="AQ298" t="s">
        <v>2282</v>
      </c>
      <c r="AS298" s="31"/>
      <c r="AY298">
        <v>1</v>
      </c>
    </row>
    <row r="299" spans="1:51" x14ac:dyDescent="0.25">
      <c r="A299" t="s">
        <v>31</v>
      </c>
      <c r="B299">
        <v>672</v>
      </c>
      <c r="D299">
        <v>2729</v>
      </c>
      <c r="E299" t="s">
        <v>4710</v>
      </c>
      <c r="G299" t="s">
        <v>2321</v>
      </c>
      <c r="J299" t="s">
        <v>2322</v>
      </c>
      <c r="K299" t="s">
        <v>2322</v>
      </c>
      <c r="L299">
        <v>15996012600</v>
      </c>
      <c r="N299" t="s">
        <v>1111</v>
      </c>
      <c r="Q299" t="s">
        <v>778</v>
      </c>
      <c r="T299" t="s">
        <v>933</v>
      </c>
      <c r="W299" t="s">
        <v>1419</v>
      </c>
      <c r="X299" t="s">
        <v>780</v>
      </c>
      <c r="Y299" t="s">
        <v>807</v>
      </c>
      <c r="AA299" s="31">
        <v>46203</v>
      </c>
      <c r="AB299">
        <v>46200</v>
      </c>
      <c r="AC299">
        <v>146047</v>
      </c>
      <c r="AD299">
        <v>163</v>
      </c>
      <c r="AE299" t="s">
        <v>31</v>
      </c>
      <c r="AF299" s="31">
        <v>45964</v>
      </c>
      <c r="AG299" s="61">
        <v>0.65491898148148153</v>
      </c>
      <c r="AI299" t="s">
        <v>782</v>
      </c>
      <c r="AJ299" s="31"/>
      <c r="AK299" s="61"/>
      <c r="AO299" t="s">
        <v>2324</v>
      </c>
      <c r="AP299" t="s">
        <v>31</v>
      </c>
      <c r="AQ299" t="s">
        <v>2325</v>
      </c>
      <c r="AR299" t="s">
        <v>2326</v>
      </c>
      <c r="AS299" s="31">
        <v>46097</v>
      </c>
      <c r="AT299">
        <v>50</v>
      </c>
      <c r="AY299">
        <v>1</v>
      </c>
    </row>
    <row r="300" spans="1:51" x14ac:dyDescent="0.25">
      <c r="A300" t="s">
        <v>22</v>
      </c>
      <c r="B300">
        <v>673</v>
      </c>
      <c r="D300">
        <v>2730</v>
      </c>
      <c r="E300" t="s">
        <v>2327</v>
      </c>
      <c r="G300" t="s">
        <v>2328</v>
      </c>
      <c r="H300">
        <v>22949063000121</v>
      </c>
      <c r="J300" t="s">
        <v>2329</v>
      </c>
      <c r="K300" t="s">
        <v>2329</v>
      </c>
      <c r="L300" t="s">
        <v>2330</v>
      </c>
      <c r="N300" t="s">
        <v>2331</v>
      </c>
      <c r="Q300" t="s">
        <v>778</v>
      </c>
      <c r="R300" t="s">
        <v>1094</v>
      </c>
      <c r="S300" t="s">
        <v>790</v>
      </c>
      <c r="T300" t="s">
        <v>791</v>
      </c>
      <c r="W300" t="s">
        <v>1718</v>
      </c>
      <c r="X300" t="s">
        <v>780</v>
      </c>
      <c r="Y300" t="s">
        <v>807</v>
      </c>
      <c r="AA300" s="31">
        <v>46053</v>
      </c>
      <c r="AB300">
        <v>20000</v>
      </c>
      <c r="AC300">
        <v>5880</v>
      </c>
      <c r="AD300">
        <v>94</v>
      </c>
      <c r="AE300" t="s">
        <v>22</v>
      </c>
      <c r="AF300" s="31">
        <v>45966</v>
      </c>
      <c r="AG300" s="61">
        <v>0.45071759259259259</v>
      </c>
      <c r="AI300" t="s">
        <v>795</v>
      </c>
      <c r="AJ300" s="31">
        <v>46060</v>
      </c>
      <c r="AK300" s="61">
        <v>0.36284722222222221</v>
      </c>
      <c r="AL300" t="s">
        <v>974</v>
      </c>
      <c r="AM300" t="s">
        <v>2332</v>
      </c>
      <c r="AO300" t="s">
        <v>2333</v>
      </c>
      <c r="AP300" t="s">
        <v>22</v>
      </c>
      <c r="AQ300" t="s">
        <v>2334</v>
      </c>
      <c r="AS300" s="31">
        <v>46045</v>
      </c>
      <c r="AT300">
        <v>30</v>
      </c>
      <c r="AY300">
        <v>1</v>
      </c>
    </row>
    <row r="301" spans="1:51" x14ac:dyDescent="0.25">
      <c r="A301" t="s">
        <v>44</v>
      </c>
      <c r="B301">
        <v>674</v>
      </c>
      <c r="D301">
        <v>2733</v>
      </c>
      <c r="F301" t="s">
        <v>2335</v>
      </c>
      <c r="G301" t="s">
        <v>2336</v>
      </c>
      <c r="H301">
        <v>4911908000370</v>
      </c>
      <c r="J301" t="s">
        <v>2335</v>
      </c>
      <c r="K301" t="s">
        <v>2335</v>
      </c>
      <c r="L301" t="s">
        <v>2337</v>
      </c>
      <c r="N301" t="s">
        <v>2338</v>
      </c>
      <c r="Q301" t="s">
        <v>778</v>
      </c>
      <c r="R301" t="s">
        <v>2339</v>
      </c>
      <c r="S301" t="s">
        <v>790</v>
      </c>
      <c r="T301" t="s">
        <v>805</v>
      </c>
      <c r="X301" t="s">
        <v>780</v>
      </c>
      <c r="Y301" t="s">
        <v>793</v>
      </c>
      <c r="AA301" s="31"/>
      <c r="AB301">
        <v>81786</v>
      </c>
      <c r="AC301">
        <v>914979</v>
      </c>
      <c r="AD301">
        <v>21</v>
      </c>
      <c r="AE301" t="s">
        <v>44</v>
      </c>
      <c r="AF301" s="31">
        <v>45966</v>
      </c>
      <c r="AG301" s="61">
        <v>0.64677083333333329</v>
      </c>
      <c r="AI301" t="s">
        <v>795</v>
      </c>
      <c r="AJ301" s="31">
        <v>45987</v>
      </c>
      <c r="AK301" s="61">
        <v>0.5209259259259259</v>
      </c>
      <c r="AL301" t="s">
        <v>858</v>
      </c>
      <c r="AM301" t="s">
        <v>2340</v>
      </c>
      <c r="AO301" t="s">
        <v>2286</v>
      </c>
      <c r="AQ301" t="s">
        <v>2341</v>
      </c>
      <c r="AS301" s="31"/>
      <c r="AY301">
        <v>1</v>
      </c>
    </row>
    <row r="302" spans="1:51" x14ac:dyDescent="0.25">
      <c r="A302" t="s">
        <v>44</v>
      </c>
      <c r="B302">
        <v>680</v>
      </c>
      <c r="D302">
        <v>2755</v>
      </c>
      <c r="G302" t="s">
        <v>2342</v>
      </c>
      <c r="J302" t="s">
        <v>2343</v>
      </c>
      <c r="K302" t="s">
        <v>2343</v>
      </c>
      <c r="L302">
        <v>62993609476</v>
      </c>
      <c r="N302" t="s">
        <v>1522</v>
      </c>
      <c r="Q302" t="s">
        <v>778</v>
      </c>
      <c r="X302" t="s">
        <v>780</v>
      </c>
      <c r="Y302" t="s">
        <v>816</v>
      </c>
      <c r="AA302" s="31"/>
      <c r="AB302">
        <v>0</v>
      </c>
      <c r="AC302">
        <v>3564</v>
      </c>
      <c r="AD302">
        <v>13</v>
      </c>
      <c r="AE302" t="s">
        <v>44</v>
      </c>
      <c r="AF302" s="31">
        <v>45973</v>
      </c>
      <c r="AG302" s="61">
        <v>0.43079861111111112</v>
      </c>
      <c r="AI302" t="s">
        <v>818</v>
      </c>
      <c r="AJ302" s="31">
        <v>45986</v>
      </c>
      <c r="AK302" s="61">
        <v>0.64148148148148143</v>
      </c>
      <c r="AO302" t="s">
        <v>2341</v>
      </c>
      <c r="AQ302" t="s">
        <v>2341</v>
      </c>
      <c r="AS302" s="31"/>
      <c r="AY302">
        <v>1</v>
      </c>
    </row>
    <row r="303" spans="1:51" x14ac:dyDescent="0.25">
      <c r="A303" t="s">
        <v>44</v>
      </c>
      <c r="B303">
        <v>681</v>
      </c>
      <c r="D303">
        <v>2756</v>
      </c>
      <c r="E303" t="s">
        <v>2344</v>
      </c>
      <c r="G303" t="s">
        <v>2345</v>
      </c>
      <c r="H303">
        <v>43252675000130</v>
      </c>
      <c r="J303" t="s">
        <v>2346</v>
      </c>
      <c r="K303" t="s">
        <v>2346</v>
      </c>
      <c r="L303" t="s">
        <v>2347</v>
      </c>
      <c r="N303" t="s">
        <v>2348</v>
      </c>
      <c r="Q303" t="s">
        <v>778</v>
      </c>
      <c r="R303" t="s">
        <v>1787</v>
      </c>
      <c r="S303" t="s">
        <v>790</v>
      </c>
      <c r="W303" t="s">
        <v>1581</v>
      </c>
      <c r="X303" t="s">
        <v>780</v>
      </c>
      <c r="Y303" t="s">
        <v>816</v>
      </c>
      <c r="AA303" s="31">
        <v>46022</v>
      </c>
      <c r="AB303">
        <v>22000</v>
      </c>
      <c r="AC303">
        <v>1800</v>
      </c>
      <c r="AD303">
        <v>54</v>
      </c>
      <c r="AE303" t="s">
        <v>44</v>
      </c>
      <c r="AF303" s="31">
        <v>45973</v>
      </c>
      <c r="AG303" s="61">
        <v>0.6058217592592593</v>
      </c>
      <c r="AI303" t="s">
        <v>818</v>
      </c>
      <c r="AJ303" s="31">
        <v>46027</v>
      </c>
      <c r="AK303" s="61">
        <v>0.61912037037037038</v>
      </c>
      <c r="AO303" t="s">
        <v>2341</v>
      </c>
      <c r="AP303" t="s">
        <v>44</v>
      </c>
      <c r="AQ303" t="s">
        <v>2341</v>
      </c>
      <c r="AR303" t="s">
        <v>2349</v>
      </c>
      <c r="AS303" s="31">
        <v>46003</v>
      </c>
      <c r="AY303">
        <v>1</v>
      </c>
    </row>
    <row r="304" spans="1:51" x14ac:dyDescent="0.25">
      <c r="A304" t="s">
        <v>44</v>
      </c>
      <c r="B304">
        <v>684</v>
      </c>
      <c r="D304">
        <v>2760</v>
      </c>
      <c r="G304" t="s">
        <v>2350</v>
      </c>
      <c r="J304" t="s">
        <v>2351</v>
      </c>
      <c r="K304" t="s">
        <v>2351</v>
      </c>
      <c r="L304">
        <v>11979734057</v>
      </c>
      <c r="N304" t="s">
        <v>2353</v>
      </c>
      <c r="Q304" t="s">
        <v>778</v>
      </c>
      <c r="W304" t="s">
        <v>1718</v>
      </c>
      <c r="X304" t="s">
        <v>780</v>
      </c>
      <c r="Y304" t="s">
        <v>793</v>
      </c>
      <c r="AA304" s="31"/>
      <c r="AB304">
        <v>106400</v>
      </c>
      <c r="AC304">
        <v>1419164</v>
      </c>
      <c r="AD304">
        <v>13</v>
      </c>
      <c r="AE304" t="s">
        <v>44</v>
      </c>
      <c r="AF304" s="31">
        <v>45974</v>
      </c>
      <c r="AG304" s="61">
        <v>0.5064467592592593</v>
      </c>
      <c r="AI304" t="s">
        <v>795</v>
      </c>
      <c r="AJ304" s="31">
        <v>45987</v>
      </c>
      <c r="AK304" s="61">
        <v>0.53358796296296296</v>
      </c>
      <c r="AL304" t="s">
        <v>796</v>
      </c>
      <c r="AM304" t="s">
        <v>2354</v>
      </c>
      <c r="AO304" t="s">
        <v>2355</v>
      </c>
      <c r="AQ304" t="s">
        <v>2355</v>
      </c>
      <c r="AS304" s="31"/>
      <c r="AY304">
        <v>1</v>
      </c>
    </row>
    <row r="305" spans="1:51" x14ac:dyDescent="0.25">
      <c r="A305" t="s">
        <v>31</v>
      </c>
      <c r="B305">
        <v>685</v>
      </c>
      <c r="D305">
        <v>2761</v>
      </c>
      <c r="F305" t="s">
        <v>2356</v>
      </c>
      <c r="G305" t="s">
        <v>2357</v>
      </c>
      <c r="H305">
        <v>42517186000109</v>
      </c>
      <c r="J305" t="s">
        <v>2356</v>
      </c>
      <c r="K305" t="s">
        <v>2356</v>
      </c>
      <c r="L305" t="s">
        <v>2358</v>
      </c>
      <c r="N305" t="s">
        <v>2359</v>
      </c>
      <c r="Q305" t="s">
        <v>778</v>
      </c>
      <c r="R305" t="s">
        <v>2360</v>
      </c>
      <c r="S305" t="s">
        <v>790</v>
      </c>
      <c r="T305" t="s">
        <v>805</v>
      </c>
      <c r="X305" t="s">
        <v>780</v>
      </c>
      <c r="Y305" t="s">
        <v>781</v>
      </c>
      <c r="AA305" s="31"/>
      <c r="AD305">
        <v>0</v>
      </c>
      <c r="AE305" t="s">
        <v>31</v>
      </c>
      <c r="AF305" s="31">
        <v>45974</v>
      </c>
      <c r="AG305" s="61">
        <v>0.67355324074074074</v>
      </c>
      <c r="AI305" t="s">
        <v>795</v>
      </c>
      <c r="AJ305" s="31">
        <v>45974</v>
      </c>
      <c r="AK305" s="61">
        <v>0.6752893518518519</v>
      </c>
      <c r="AL305" t="s">
        <v>867</v>
      </c>
      <c r="AP305" t="s">
        <v>31</v>
      </c>
      <c r="AS305" s="31"/>
      <c r="AY305">
        <v>1</v>
      </c>
    </row>
    <row r="306" spans="1:51" x14ac:dyDescent="0.25">
      <c r="A306" t="s">
        <v>44</v>
      </c>
      <c r="B306">
        <v>690</v>
      </c>
      <c r="D306">
        <v>2872</v>
      </c>
      <c r="G306" t="s">
        <v>2361</v>
      </c>
      <c r="J306" t="s">
        <v>2362</v>
      </c>
      <c r="K306" t="s">
        <v>2362</v>
      </c>
      <c r="L306">
        <v>11910695515</v>
      </c>
      <c r="N306" t="s">
        <v>1111</v>
      </c>
      <c r="Q306" t="s">
        <v>778</v>
      </c>
      <c r="W306" t="s">
        <v>1704</v>
      </c>
      <c r="X306" t="s">
        <v>780</v>
      </c>
      <c r="Y306" t="s">
        <v>816</v>
      </c>
      <c r="AA306" s="31">
        <v>45987</v>
      </c>
      <c r="AB306">
        <v>0</v>
      </c>
      <c r="AC306">
        <v>114048</v>
      </c>
      <c r="AD306">
        <v>16</v>
      </c>
      <c r="AE306" t="s">
        <v>44</v>
      </c>
      <c r="AF306" s="31">
        <v>45985</v>
      </c>
      <c r="AG306" s="61">
        <v>0.70365740740740745</v>
      </c>
      <c r="AI306" t="s">
        <v>818</v>
      </c>
      <c r="AJ306" s="31">
        <v>46001</v>
      </c>
      <c r="AK306" s="61">
        <v>0.42643518518518519</v>
      </c>
      <c r="AO306" t="s">
        <v>2363</v>
      </c>
      <c r="AQ306" t="s">
        <v>2363</v>
      </c>
      <c r="AS306" s="31"/>
      <c r="AY306">
        <v>1</v>
      </c>
    </row>
    <row r="307" spans="1:51" x14ac:dyDescent="0.25">
      <c r="A307" t="s">
        <v>44</v>
      </c>
      <c r="B307">
        <v>692</v>
      </c>
      <c r="D307">
        <v>2880</v>
      </c>
      <c r="G307" t="s">
        <v>2364</v>
      </c>
      <c r="J307" t="s">
        <v>2365</v>
      </c>
      <c r="K307" t="s">
        <v>2365</v>
      </c>
      <c r="L307">
        <v>11979734057</v>
      </c>
      <c r="N307" t="s">
        <v>2353</v>
      </c>
      <c r="Q307" t="s">
        <v>778</v>
      </c>
      <c r="W307" t="s">
        <v>1718</v>
      </c>
      <c r="X307" t="s">
        <v>780</v>
      </c>
      <c r="Y307" t="s">
        <v>793</v>
      </c>
      <c r="AA307" s="31"/>
      <c r="AB307">
        <v>1600</v>
      </c>
      <c r="AC307">
        <v>860304</v>
      </c>
      <c r="AD307">
        <v>1</v>
      </c>
      <c r="AE307" t="s">
        <v>44</v>
      </c>
      <c r="AF307" s="31">
        <v>45986</v>
      </c>
      <c r="AG307" s="61">
        <v>0.62754629629629632</v>
      </c>
      <c r="AI307" t="s">
        <v>795</v>
      </c>
      <c r="AJ307" s="31">
        <v>45987</v>
      </c>
      <c r="AK307" s="61">
        <v>0.53437500000000004</v>
      </c>
      <c r="AL307" t="s">
        <v>796</v>
      </c>
      <c r="AM307" t="s">
        <v>2366</v>
      </c>
      <c r="AO307" t="s">
        <v>2355</v>
      </c>
      <c r="AQ307" t="s">
        <v>2355</v>
      </c>
      <c r="AS307" s="31"/>
      <c r="AY307">
        <v>1</v>
      </c>
    </row>
    <row r="308" spans="1:51" x14ac:dyDescent="0.25">
      <c r="A308" t="s">
        <v>44</v>
      </c>
      <c r="B308">
        <v>693</v>
      </c>
      <c r="D308">
        <v>2881</v>
      </c>
      <c r="G308" t="s">
        <v>2367</v>
      </c>
      <c r="J308" t="s">
        <v>2368</v>
      </c>
      <c r="K308" t="s">
        <v>2368</v>
      </c>
      <c r="L308">
        <v>7530217768</v>
      </c>
      <c r="N308" t="s">
        <v>1111</v>
      </c>
      <c r="Q308" t="s">
        <v>778</v>
      </c>
      <c r="X308" t="s">
        <v>780</v>
      </c>
      <c r="Y308" t="s">
        <v>781</v>
      </c>
      <c r="AA308" s="31"/>
      <c r="AB308">
        <v>330714</v>
      </c>
      <c r="AC308">
        <v>0</v>
      </c>
      <c r="AD308">
        <v>0</v>
      </c>
      <c r="AE308" t="s">
        <v>44</v>
      </c>
      <c r="AF308" s="31">
        <v>45986</v>
      </c>
      <c r="AG308" s="61">
        <v>0.65606481481481482</v>
      </c>
      <c r="AI308" t="s">
        <v>818</v>
      </c>
      <c r="AJ308" s="31">
        <v>45986</v>
      </c>
      <c r="AK308" s="61">
        <v>0.65793981481481478</v>
      </c>
      <c r="AO308" t="s">
        <v>2283</v>
      </c>
      <c r="AQ308" t="s">
        <v>2283</v>
      </c>
      <c r="AS308" s="31"/>
      <c r="AY308">
        <v>1</v>
      </c>
    </row>
    <row r="309" spans="1:51" x14ac:dyDescent="0.25">
      <c r="A309" t="s">
        <v>44</v>
      </c>
      <c r="B309">
        <v>694</v>
      </c>
      <c r="D309">
        <v>2882</v>
      </c>
      <c r="G309" t="s">
        <v>2370</v>
      </c>
      <c r="J309" t="s">
        <v>2371</v>
      </c>
      <c r="K309" t="s">
        <v>2371</v>
      </c>
      <c r="L309">
        <v>11969325678</v>
      </c>
      <c r="N309" t="s">
        <v>1111</v>
      </c>
      <c r="Q309" t="s">
        <v>778</v>
      </c>
      <c r="W309" t="s">
        <v>1718</v>
      </c>
      <c r="X309" t="s">
        <v>780</v>
      </c>
      <c r="Y309" t="s">
        <v>793</v>
      </c>
      <c r="AA309" s="31">
        <v>46023</v>
      </c>
      <c r="AB309">
        <v>16960</v>
      </c>
      <c r="AC309">
        <v>450</v>
      </c>
      <c r="AD309">
        <v>15</v>
      </c>
      <c r="AE309" t="s">
        <v>44</v>
      </c>
      <c r="AF309" s="31">
        <v>45986</v>
      </c>
      <c r="AG309" s="61">
        <v>0.66625000000000001</v>
      </c>
      <c r="AI309" t="s">
        <v>795</v>
      </c>
      <c r="AJ309" s="31">
        <v>46001</v>
      </c>
      <c r="AK309" s="61">
        <v>0.39305555555555549</v>
      </c>
      <c r="AL309" t="s">
        <v>796</v>
      </c>
      <c r="AM309" t="s">
        <v>2373</v>
      </c>
      <c r="AO309" t="s">
        <v>2286</v>
      </c>
      <c r="AQ309" t="s">
        <v>2286</v>
      </c>
      <c r="AS309" s="31"/>
      <c r="AY309">
        <v>1</v>
      </c>
    </row>
    <row r="310" spans="1:51" x14ac:dyDescent="0.25">
      <c r="A310" t="s">
        <v>44</v>
      </c>
      <c r="B310">
        <v>695</v>
      </c>
      <c r="D310">
        <v>2883</v>
      </c>
      <c r="G310" t="s">
        <v>2374</v>
      </c>
      <c r="H310">
        <v>57524096000104</v>
      </c>
      <c r="J310" t="s">
        <v>2375</v>
      </c>
      <c r="K310" t="s">
        <v>2375</v>
      </c>
      <c r="L310">
        <v>88996365702</v>
      </c>
      <c r="N310" t="s">
        <v>2377</v>
      </c>
      <c r="Q310" t="s">
        <v>778</v>
      </c>
      <c r="R310" t="s">
        <v>2378</v>
      </c>
      <c r="S310" t="s">
        <v>2379</v>
      </c>
      <c r="W310" t="s">
        <v>1718</v>
      </c>
      <c r="X310" t="s">
        <v>780</v>
      </c>
      <c r="Y310" t="s">
        <v>857</v>
      </c>
      <c r="AA310" s="31"/>
      <c r="AD310">
        <v>8</v>
      </c>
      <c r="AE310" t="s">
        <v>44</v>
      </c>
      <c r="AF310" s="31">
        <v>45986</v>
      </c>
      <c r="AG310" s="61">
        <v>0.68422453703703701</v>
      </c>
      <c r="AI310" t="s">
        <v>795</v>
      </c>
      <c r="AJ310" s="31">
        <v>45994</v>
      </c>
      <c r="AK310" s="61">
        <v>0.66239583333333329</v>
      </c>
      <c r="AL310" t="s">
        <v>796</v>
      </c>
      <c r="AM310" t="s">
        <v>2380</v>
      </c>
      <c r="AO310" t="s">
        <v>2349</v>
      </c>
      <c r="AQ310" t="s">
        <v>2273</v>
      </c>
      <c r="AS310" s="31"/>
      <c r="AY310">
        <v>1</v>
      </c>
    </row>
    <row r="311" spans="1:51" x14ac:dyDescent="0.25">
      <c r="A311" t="s">
        <v>44</v>
      </c>
      <c r="B311">
        <v>696</v>
      </c>
      <c r="D311">
        <v>2885</v>
      </c>
      <c r="G311" t="s">
        <v>2381</v>
      </c>
      <c r="H311">
        <v>57524096000104</v>
      </c>
      <c r="J311" t="s">
        <v>2382</v>
      </c>
      <c r="K311" t="s">
        <v>2382</v>
      </c>
      <c r="L311">
        <v>88996365702</v>
      </c>
      <c r="N311" t="s">
        <v>2377</v>
      </c>
      <c r="Q311" t="s">
        <v>778</v>
      </c>
      <c r="W311" t="s">
        <v>1718</v>
      </c>
      <c r="X311" t="s">
        <v>780</v>
      </c>
      <c r="Y311" t="s">
        <v>857</v>
      </c>
      <c r="AA311" s="31"/>
      <c r="AD311">
        <v>8</v>
      </c>
      <c r="AE311" t="s">
        <v>44</v>
      </c>
      <c r="AF311" s="31">
        <v>45986</v>
      </c>
      <c r="AG311" s="61">
        <v>0.70030092592592597</v>
      </c>
      <c r="AI311" t="s">
        <v>795</v>
      </c>
      <c r="AJ311" s="31">
        <v>45994</v>
      </c>
      <c r="AK311" s="61">
        <v>0.66202546296296294</v>
      </c>
      <c r="AL311" t="s">
        <v>796</v>
      </c>
      <c r="AM311" t="s">
        <v>2380</v>
      </c>
      <c r="AO311" t="s">
        <v>2349</v>
      </c>
      <c r="AQ311" t="s">
        <v>2273</v>
      </c>
      <c r="AS311" s="31"/>
      <c r="AY311">
        <v>1</v>
      </c>
    </row>
    <row r="312" spans="1:51" x14ac:dyDescent="0.25">
      <c r="A312" t="s">
        <v>44</v>
      </c>
      <c r="B312">
        <v>697</v>
      </c>
      <c r="D312">
        <v>2887</v>
      </c>
      <c r="G312" t="s">
        <v>2383</v>
      </c>
      <c r="J312" t="s">
        <v>2384</v>
      </c>
      <c r="K312" t="s">
        <v>2384</v>
      </c>
      <c r="L312">
        <v>1125751800</v>
      </c>
      <c r="N312" t="s">
        <v>2338</v>
      </c>
      <c r="Q312" t="s">
        <v>778</v>
      </c>
      <c r="X312" t="s">
        <v>780</v>
      </c>
      <c r="Y312" t="s">
        <v>857</v>
      </c>
      <c r="AA312" s="31"/>
      <c r="AB312">
        <v>1600</v>
      </c>
      <c r="AC312">
        <v>335607</v>
      </c>
      <c r="AD312">
        <v>1</v>
      </c>
      <c r="AE312" t="s">
        <v>44</v>
      </c>
      <c r="AF312" s="31">
        <v>45986</v>
      </c>
      <c r="AG312" s="61">
        <v>0.71326388888888892</v>
      </c>
      <c r="AI312" t="s">
        <v>795</v>
      </c>
      <c r="AJ312" s="31">
        <v>45987</v>
      </c>
      <c r="AK312" s="61">
        <v>0.52252314814814815</v>
      </c>
      <c r="AL312" t="s">
        <v>858</v>
      </c>
      <c r="AM312" t="s">
        <v>2340</v>
      </c>
      <c r="AO312" t="s">
        <v>2286</v>
      </c>
      <c r="AQ312" t="s">
        <v>2341</v>
      </c>
      <c r="AS312" s="31"/>
      <c r="AY312">
        <v>1</v>
      </c>
    </row>
    <row r="313" spans="1:51" x14ac:dyDescent="0.25">
      <c r="A313" t="s">
        <v>22</v>
      </c>
      <c r="B313">
        <v>700</v>
      </c>
      <c r="D313">
        <v>2874</v>
      </c>
      <c r="G313" t="s">
        <v>2386</v>
      </c>
      <c r="J313" t="s">
        <v>2387</v>
      </c>
      <c r="K313" t="s">
        <v>2387</v>
      </c>
      <c r="L313" t="s">
        <v>2388</v>
      </c>
      <c r="N313" t="s">
        <v>2389</v>
      </c>
      <c r="Q313" t="s">
        <v>778</v>
      </c>
      <c r="R313" t="s">
        <v>2390</v>
      </c>
      <c r="T313" t="s">
        <v>814</v>
      </c>
      <c r="W313" t="s">
        <v>2391</v>
      </c>
      <c r="X313" t="s">
        <v>780</v>
      </c>
      <c r="Y313" t="s">
        <v>793</v>
      </c>
      <c r="AA313" s="31">
        <v>46053</v>
      </c>
      <c r="AD313">
        <v>14</v>
      </c>
      <c r="AE313" t="s">
        <v>22</v>
      </c>
      <c r="AF313" s="31">
        <v>45987</v>
      </c>
      <c r="AG313" s="61">
        <v>0.47543981481481479</v>
      </c>
      <c r="AI313" t="s">
        <v>795</v>
      </c>
      <c r="AJ313" s="31">
        <v>46001</v>
      </c>
      <c r="AK313" s="61">
        <v>0.96790509259259261</v>
      </c>
      <c r="AL313" t="s">
        <v>934</v>
      </c>
      <c r="AO313" t="s">
        <v>2392</v>
      </c>
      <c r="AP313" t="s">
        <v>22</v>
      </c>
      <c r="AQ313" t="s">
        <v>2392</v>
      </c>
      <c r="AS313" s="31"/>
      <c r="AY313">
        <v>1</v>
      </c>
    </row>
    <row r="314" spans="1:51" x14ac:dyDescent="0.25">
      <c r="A314" t="s">
        <v>22</v>
      </c>
      <c r="B314">
        <v>701</v>
      </c>
      <c r="D314">
        <v>2829</v>
      </c>
      <c r="E314" t="s">
        <v>2393</v>
      </c>
      <c r="G314" t="s">
        <v>2394</v>
      </c>
      <c r="H314">
        <v>5825017000100</v>
      </c>
      <c r="J314" t="s">
        <v>2395</v>
      </c>
      <c r="K314" t="s">
        <v>2395</v>
      </c>
      <c r="L314" t="s">
        <v>2396</v>
      </c>
      <c r="N314" t="s">
        <v>2397</v>
      </c>
      <c r="Q314" t="s">
        <v>778</v>
      </c>
      <c r="R314" t="s">
        <v>2398</v>
      </c>
      <c r="T314" t="s">
        <v>814</v>
      </c>
      <c r="W314" t="s">
        <v>2399</v>
      </c>
      <c r="X314" t="s">
        <v>780</v>
      </c>
      <c r="Y314" t="s">
        <v>807</v>
      </c>
      <c r="AA314" s="31">
        <v>46112</v>
      </c>
      <c r="AB314">
        <v>130600</v>
      </c>
      <c r="AC314">
        <v>1680982</v>
      </c>
      <c r="AD314">
        <v>140</v>
      </c>
      <c r="AE314" t="s">
        <v>22</v>
      </c>
      <c r="AF314" s="31">
        <v>45987</v>
      </c>
      <c r="AG314" s="61">
        <v>0.47600694444444452</v>
      </c>
      <c r="AI314" t="s">
        <v>782</v>
      </c>
      <c r="AJ314" s="31"/>
      <c r="AK314" s="61"/>
      <c r="AO314" t="s">
        <v>2392</v>
      </c>
      <c r="AP314" t="s">
        <v>22</v>
      </c>
      <c r="AQ314" t="s">
        <v>2392</v>
      </c>
      <c r="AS314" s="31">
        <v>46112</v>
      </c>
      <c r="AT314">
        <v>30</v>
      </c>
      <c r="AU314">
        <v>653</v>
      </c>
      <c r="AV314" t="s">
        <v>2401</v>
      </c>
      <c r="AW314" t="s">
        <v>2402</v>
      </c>
      <c r="AX314" t="s">
        <v>2403</v>
      </c>
      <c r="AY314">
        <v>1</v>
      </c>
    </row>
    <row r="315" spans="1:51" x14ac:dyDescent="0.25">
      <c r="A315" t="s">
        <v>22</v>
      </c>
      <c r="B315">
        <v>702</v>
      </c>
      <c r="D315">
        <v>2890</v>
      </c>
      <c r="E315" t="s">
        <v>2404</v>
      </c>
      <c r="G315" t="s">
        <v>2405</v>
      </c>
      <c r="J315" t="s">
        <v>2206</v>
      </c>
      <c r="K315" t="s">
        <v>2206</v>
      </c>
      <c r="L315">
        <v>43996624014</v>
      </c>
      <c r="N315" t="s">
        <v>1111</v>
      </c>
      <c r="Q315" t="s">
        <v>778</v>
      </c>
      <c r="W315" t="s">
        <v>2407</v>
      </c>
      <c r="X315" t="s">
        <v>780</v>
      </c>
      <c r="Y315" t="s">
        <v>816</v>
      </c>
      <c r="AA315" s="31">
        <v>46053</v>
      </c>
      <c r="AB315">
        <v>16000</v>
      </c>
      <c r="AC315">
        <v>5880</v>
      </c>
      <c r="AD315">
        <v>57</v>
      </c>
      <c r="AE315" t="s">
        <v>22</v>
      </c>
      <c r="AF315" s="31">
        <v>45987</v>
      </c>
      <c r="AG315" s="61">
        <v>0.47789351851851852</v>
      </c>
      <c r="AI315" t="s">
        <v>795</v>
      </c>
      <c r="AJ315" s="31">
        <v>46044</v>
      </c>
      <c r="AK315" s="61">
        <v>0.6855324074074074</v>
      </c>
      <c r="AL315" t="s">
        <v>934</v>
      </c>
      <c r="AM315" t="s">
        <v>2408</v>
      </c>
      <c r="AO315" t="s">
        <v>2409</v>
      </c>
      <c r="AP315" t="s">
        <v>22</v>
      </c>
      <c r="AQ315" t="s">
        <v>2409</v>
      </c>
      <c r="AS315" s="31">
        <v>46031</v>
      </c>
      <c r="AY315">
        <v>1</v>
      </c>
    </row>
    <row r="316" spans="1:51" x14ac:dyDescent="0.25">
      <c r="A316" t="s">
        <v>22</v>
      </c>
      <c r="B316">
        <v>703</v>
      </c>
      <c r="D316">
        <v>2891</v>
      </c>
      <c r="E316" t="s">
        <v>2410</v>
      </c>
      <c r="G316" t="s">
        <v>2411</v>
      </c>
      <c r="H316">
        <v>7728812000105</v>
      </c>
      <c r="J316" t="s">
        <v>2412</v>
      </c>
      <c r="K316" t="s">
        <v>2412</v>
      </c>
      <c r="L316" t="s">
        <v>2413</v>
      </c>
      <c r="N316" t="s">
        <v>2414</v>
      </c>
      <c r="Q316" t="s">
        <v>778</v>
      </c>
      <c r="R316" t="s">
        <v>1094</v>
      </c>
      <c r="S316" t="s">
        <v>790</v>
      </c>
      <c r="W316" t="s">
        <v>1718</v>
      </c>
      <c r="X316" t="s">
        <v>780</v>
      </c>
      <c r="Y316" t="s">
        <v>807</v>
      </c>
      <c r="AA316" s="31">
        <v>46045</v>
      </c>
      <c r="AB316">
        <v>72000</v>
      </c>
      <c r="AC316">
        <v>8045</v>
      </c>
      <c r="AD316">
        <v>58</v>
      </c>
      <c r="AE316" t="s">
        <v>22</v>
      </c>
      <c r="AF316" s="31">
        <v>45987</v>
      </c>
      <c r="AG316" s="61">
        <v>0.47932870370370367</v>
      </c>
      <c r="AI316" t="s">
        <v>795</v>
      </c>
      <c r="AJ316" s="31">
        <v>46045</v>
      </c>
      <c r="AK316" s="61">
        <v>0.48511574074074082</v>
      </c>
      <c r="AL316" t="s">
        <v>796</v>
      </c>
      <c r="AO316" t="s">
        <v>1421</v>
      </c>
      <c r="AP316" t="s">
        <v>22</v>
      </c>
      <c r="AQ316" t="s">
        <v>1421</v>
      </c>
      <c r="AS316" s="31">
        <v>46045</v>
      </c>
      <c r="AY316">
        <v>1</v>
      </c>
    </row>
    <row r="317" spans="1:51" x14ac:dyDescent="0.25">
      <c r="A317" t="s">
        <v>22</v>
      </c>
      <c r="B317">
        <v>704</v>
      </c>
      <c r="D317">
        <v>2894</v>
      </c>
      <c r="E317" t="s">
        <v>2415</v>
      </c>
      <c r="G317" t="s">
        <v>2416</v>
      </c>
      <c r="H317">
        <v>3761404000196</v>
      </c>
      <c r="J317" t="s">
        <v>2417</v>
      </c>
      <c r="K317" t="s">
        <v>2417</v>
      </c>
      <c r="L317" t="s">
        <v>2418</v>
      </c>
      <c r="N317" t="s">
        <v>2419</v>
      </c>
      <c r="Q317" t="s">
        <v>778</v>
      </c>
      <c r="R317" t="s">
        <v>2420</v>
      </c>
      <c r="S317" t="s">
        <v>790</v>
      </c>
      <c r="W317" t="s">
        <v>1704</v>
      </c>
      <c r="X317" t="s">
        <v>780</v>
      </c>
      <c r="Y317" t="s">
        <v>816</v>
      </c>
      <c r="AA317" s="31">
        <v>46037</v>
      </c>
      <c r="AB317">
        <v>17829</v>
      </c>
      <c r="AC317">
        <v>83997</v>
      </c>
      <c r="AD317">
        <v>44</v>
      </c>
      <c r="AE317" t="s">
        <v>22</v>
      </c>
      <c r="AF317" s="31">
        <v>45987</v>
      </c>
      <c r="AG317" s="61">
        <v>0.48346064814814821</v>
      </c>
      <c r="AI317" t="s">
        <v>818</v>
      </c>
      <c r="AJ317" s="31">
        <v>46031</v>
      </c>
      <c r="AK317" s="61">
        <v>0.58515046296296291</v>
      </c>
      <c r="AO317" t="s">
        <v>2421</v>
      </c>
      <c r="AP317" t="s">
        <v>22</v>
      </c>
      <c r="AQ317" t="s">
        <v>2392</v>
      </c>
      <c r="AS317" s="31">
        <v>46003</v>
      </c>
      <c r="AY317">
        <v>1</v>
      </c>
    </row>
    <row r="318" spans="1:51" x14ac:dyDescent="0.25">
      <c r="A318" t="s">
        <v>22</v>
      </c>
      <c r="B318">
        <v>705</v>
      </c>
      <c r="D318">
        <v>2896</v>
      </c>
      <c r="E318" t="s">
        <v>2422</v>
      </c>
      <c r="G318" t="s">
        <v>2423</v>
      </c>
      <c r="H318">
        <v>3761404000196</v>
      </c>
      <c r="J318" t="s">
        <v>2424</v>
      </c>
      <c r="K318" t="s">
        <v>2424</v>
      </c>
      <c r="L318" t="s">
        <v>2418</v>
      </c>
      <c r="N318" t="s">
        <v>2419</v>
      </c>
      <c r="Q318" t="s">
        <v>778</v>
      </c>
      <c r="R318" t="s">
        <v>2420</v>
      </c>
      <c r="S318" t="s">
        <v>790</v>
      </c>
      <c r="W318" t="s">
        <v>1718</v>
      </c>
      <c r="X318" t="s">
        <v>780</v>
      </c>
      <c r="Y318" t="s">
        <v>807</v>
      </c>
      <c r="AA318" s="31">
        <v>46022</v>
      </c>
      <c r="AB318">
        <v>1600</v>
      </c>
      <c r="AC318">
        <v>384454</v>
      </c>
      <c r="AD318">
        <v>44</v>
      </c>
      <c r="AE318" t="s">
        <v>22</v>
      </c>
      <c r="AF318" s="31">
        <v>45987</v>
      </c>
      <c r="AG318" s="61">
        <v>0.49594907407407413</v>
      </c>
      <c r="AI318" t="s">
        <v>795</v>
      </c>
      <c r="AJ318" s="31">
        <v>46031</v>
      </c>
      <c r="AK318" s="61">
        <v>0.59928240740740746</v>
      </c>
      <c r="AL318" t="s">
        <v>796</v>
      </c>
      <c r="AO318" t="s">
        <v>2392</v>
      </c>
      <c r="AP318" t="s">
        <v>22</v>
      </c>
      <c r="AQ318" t="s">
        <v>2392</v>
      </c>
      <c r="AS318" s="31">
        <v>46031</v>
      </c>
      <c r="AY318">
        <v>1</v>
      </c>
    </row>
    <row r="319" spans="1:51" x14ac:dyDescent="0.25">
      <c r="A319" t="s">
        <v>22</v>
      </c>
      <c r="B319">
        <v>706</v>
      </c>
      <c r="D319">
        <v>2897</v>
      </c>
      <c r="G319" t="s">
        <v>2425</v>
      </c>
      <c r="J319" t="s">
        <v>2426</v>
      </c>
      <c r="K319" t="s">
        <v>2426</v>
      </c>
      <c r="L319">
        <v>49998169464</v>
      </c>
      <c r="N319" t="s">
        <v>1111</v>
      </c>
      <c r="Q319" t="s">
        <v>778</v>
      </c>
      <c r="X319" t="s">
        <v>780</v>
      </c>
      <c r="Y319" t="s">
        <v>807</v>
      </c>
      <c r="AA319" s="31">
        <v>46037</v>
      </c>
      <c r="AB319">
        <v>50000</v>
      </c>
      <c r="AC319">
        <v>2355</v>
      </c>
      <c r="AD319">
        <v>14</v>
      </c>
      <c r="AE319" t="s">
        <v>22</v>
      </c>
      <c r="AF319" s="31">
        <v>45987</v>
      </c>
      <c r="AG319" s="61">
        <v>0.49806712962962962</v>
      </c>
      <c r="AI319" t="s">
        <v>795</v>
      </c>
      <c r="AJ319" s="31">
        <v>46001</v>
      </c>
      <c r="AK319" s="61">
        <v>0.72103009259259254</v>
      </c>
      <c r="AL319" t="s">
        <v>934</v>
      </c>
      <c r="AO319" t="s">
        <v>2428</v>
      </c>
      <c r="AP319" t="s">
        <v>22</v>
      </c>
      <c r="AQ319" t="s">
        <v>2428</v>
      </c>
      <c r="AS319" s="31"/>
      <c r="AY319">
        <v>1</v>
      </c>
    </row>
    <row r="320" spans="1:51" x14ac:dyDescent="0.25">
      <c r="A320" t="s">
        <v>22</v>
      </c>
      <c r="B320">
        <v>707</v>
      </c>
      <c r="D320">
        <v>2898</v>
      </c>
      <c r="E320" t="s">
        <v>2429</v>
      </c>
      <c r="G320" t="s">
        <v>2430</v>
      </c>
      <c r="J320" t="s">
        <v>2431</v>
      </c>
      <c r="K320" t="s">
        <v>2431</v>
      </c>
      <c r="L320">
        <v>83998878069</v>
      </c>
      <c r="N320" t="s">
        <v>1111</v>
      </c>
      <c r="Q320" t="s">
        <v>778</v>
      </c>
      <c r="T320" t="s">
        <v>791</v>
      </c>
      <c r="W320" t="s">
        <v>1704</v>
      </c>
      <c r="X320" t="s">
        <v>780</v>
      </c>
      <c r="Y320" t="s">
        <v>807</v>
      </c>
      <c r="AA320" s="31">
        <v>46053</v>
      </c>
      <c r="AB320">
        <v>14400</v>
      </c>
      <c r="AC320">
        <v>185328</v>
      </c>
      <c r="AD320">
        <v>47</v>
      </c>
      <c r="AE320" t="s">
        <v>22</v>
      </c>
      <c r="AF320" s="31">
        <v>45987</v>
      </c>
      <c r="AG320" s="61">
        <v>0.49944444444444452</v>
      </c>
      <c r="AI320" t="s">
        <v>795</v>
      </c>
      <c r="AJ320" s="31">
        <v>46034</v>
      </c>
      <c r="AK320" s="61">
        <v>0.93351851851851853</v>
      </c>
      <c r="AL320" t="s">
        <v>796</v>
      </c>
      <c r="AO320" t="s">
        <v>2433</v>
      </c>
      <c r="AP320" t="s">
        <v>22</v>
      </c>
      <c r="AQ320" t="s">
        <v>2433</v>
      </c>
      <c r="AS320" s="31">
        <v>46034</v>
      </c>
      <c r="AY320">
        <v>1</v>
      </c>
    </row>
    <row r="321" spans="1:51" x14ac:dyDescent="0.25">
      <c r="A321" t="s">
        <v>22</v>
      </c>
      <c r="B321">
        <v>708</v>
      </c>
      <c r="D321">
        <v>2899</v>
      </c>
      <c r="G321" t="s">
        <v>2049</v>
      </c>
      <c r="J321" t="s">
        <v>2434</v>
      </c>
      <c r="K321" t="s">
        <v>2434</v>
      </c>
      <c r="L321">
        <v>16996352359</v>
      </c>
      <c r="N321" t="s">
        <v>1111</v>
      </c>
      <c r="Q321" t="s">
        <v>778</v>
      </c>
      <c r="X321" t="s">
        <v>780</v>
      </c>
      <c r="Y321" t="s">
        <v>816</v>
      </c>
      <c r="AA321" s="31"/>
      <c r="AD321">
        <v>12</v>
      </c>
      <c r="AE321" t="s">
        <v>22</v>
      </c>
      <c r="AF321" s="31">
        <v>45987</v>
      </c>
      <c r="AG321" s="61">
        <v>0.50092592592592589</v>
      </c>
      <c r="AI321" t="s">
        <v>818</v>
      </c>
      <c r="AJ321" s="31">
        <v>45999</v>
      </c>
      <c r="AK321" s="61">
        <v>0.57885416666666667</v>
      </c>
      <c r="AO321" t="s">
        <v>2435</v>
      </c>
      <c r="AP321" t="s">
        <v>22</v>
      </c>
      <c r="AQ321" t="s">
        <v>2435</v>
      </c>
      <c r="AS321" s="31"/>
      <c r="AY321">
        <v>1</v>
      </c>
    </row>
    <row r="322" spans="1:51" x14ac:dyDescent="0.25">
      <c r="A322" t="s">
        <v>22</v>
      </c>
      <c r="B322">
        <v>709</v>
      </c>
      <c r="D322">
        <v>2900</v>
      </c>
      <c r="G322" t="s">
        <v>2436</v>
      </c>
      <c r="J322" t="s">
        <v>1804</v>
      </c>
      <c r="K322" t="s">
        <v>1804</v>
      </c>
      <c r="L322">
        <v>16996352359</v>
      </c>
      <c r="N322" t="s">
        <v>1111</v>
      </c>
      <c r="Q322" t="s">
        <v>778</v>
      </c>
      <c r="X322" t="s">
        <v>780</v>
      </c>
      <c r="Y322" t="s">
        <v>816</v>
      </c>
      <c r="AA322" s="31"/>
      <c r="AD322">
        <v>12</v>
      </c>
      <c r="AE322" t="s">
        <v>22</v>
      </c>
      <c r="AF322" s="31">
        <v>45987</v>
      </c>
      <c r="AG322" s="61">
        <v>0.50186342592592592</v>
      </c>
      <c r="AI322" t="s">
        <v>818</v>
      </c>
      <c r="AJ322" s="31">
        <v>45999</v>
      </c>
      <c r="AK322" s="61">
        <v>0.59797453703703707</v>
      </c>
      <c r="AO322" t="s">
        <v>2437</v>
      </c>
      <c r="AP322" t="s">
        <v>22</v>
      </c>
      <c r="AQ322" t="s">
        <v>2437</v>
      </c>
      <c r="AS322" s="31"/>
      <c r="AY322">
        <v>1</v>
      </c>
    </row>
    <row r="323" spans="1:51" x14ac:dyDescent="0.25">
      <c r="A323" t="s">
        <v>44</v>
      </c>
      <c r="B323">
        <v>711</v>
      </c>
      <c r="D323">
        <v>2902</v>
      </c>
      <c r="E323" t="s">
        <v>2438</v>
      </c>
      <c r="G323" t="s">
        <v>2439</v>
      </c>
      <c r="J323" t="s">
        <v>2440</v>
      </c>
      <c r="K323" t="s">
        <v>2440</v>
      </c>
      <c r="L323">
        <v>86188758539</v>
      </c>
      <c r="N323" t="s">
        <v>1111</v>
      </c>
      <c r="Q323" t="s">
        <v>778</v>
      </c>
      <c r="W323" t="s">
        <v>1419</v>
      </c>
      <c r="X323" t="s">
        <v>780</v>
      </c>
      <c r="Y323" t="s">
        <v>816</v>
      </c>
      <c r="AA323" s="31">
        <v>46062</v>
      </c>
      <c r="AB323">
        <v>235848</v>
      </c>
      <c r="AC323">
        <v>14256</v>
      </c>
      <c r="AD323">
        <v>65</v>
      </c>
      <c r="AE323" t="s">
        <v>44</v>
      </c>
      <c r="AF323" s="31">
        <v>45987</v>
      </c>
      <c r="AG323" s="61">
        <v>0.62859953703703708</v>
      </c>
      <c r="AI323" t="s">
        <v>795</v>
      </c>
      <c r="AJ323" s="31">
        <v>46052</v>
      </c>
      <c r="AK323" s="61">
        <v>0.65068287037037043</v>
      </c>
      <c r="AL323" t="s">
        <v>796</v>
      </c>
      <c r="AM323" t="s">
        <v>967</v>
      </c>
      <c r="AO323" t="s">
        <v>2273</v>
      </c>
      <c r="AP323" t="s">
        <v>44</v>
      </c>
      <c r="AQ323" t="s">
        <v>2273</v>
      </c>
      <c r="AS323" s="31">
        <v>46003</v>
      </c>
      <c r="AY323">
        <v>1</v>
      </c>
    </row>
    <row r="324" spans="1:51" x14ac:dyDescent="0.25">
      <c r="A324" t="s">
        <v>44</v>
      </c>
      <c r="B324">
        <v>714</v>
      </c>
      <c r="D324">
        <v>2910</v>
      </c>
      <c r="G324" t="s">
        <v>2442</v>
      </c>
      <c r="J324" t="s">
        <v>2443</v>
      </c>
      <c r="K324" t="s">
        <v>2443</v>
      </c>
      <c r="L324">
        <v>6293622662</v>
      </c>
      <c r="N324" t="s">
        <v>1111</v>
      </c>
      <c r="Q324" t="s">
        <v>778</v>
      </c>
      <c r="X324" t="s">
        <v>780</v>
      </c>
      <c r="Y324" t="s">
        <v>807</v>
      </c>
      <c r="AA324" s="31"/>
      <c r="AB324">
        <v>0</v>
      </c>
      <c r="AC324">
        <v>209</v>
      </c>
      <c r="AD324">
        <v>12</v>
      </c>
      <c r="AE324" t="s">
        <v>44</v>
      </c>
      <c r="AF324" s="31">
        <v>45989</v>
      </c>
      <c r="AG324" s="61">
        <v>0.60240740740740739</v>
      </c>
      <c r="AI324" t="s">
        <v>795</v>
      </c>
      <c r="AJ324" s="31">
        <v>46001</v>
      </c>
      <c r="AK324" s="61">
        <v>0.41670138888888891</v>
      </c>
      <c r="AL324" t="s">
        <v>858</v>
      </c>
      <c r="AM324" t="s">
        <v>2445</v>
      </c>
      <c r="AO324" t="s">
        <v>2349</v>
      </c>
      <c r="AQ324" t="s">
        <v>2349</v>
      </c>
      <c r="AS324" s="31"/>
      <c r="AY324">
        <v>1</v>
      </c>
    </row>
    <row r="325" spans="1:51" x14ac:dyDescent="0.25">
      <c r="A325" t="s">
        <v>22</v>
      </c>
      <c r="B325">
        <v>717</v>
      </c>
      <c r="D325">
        <v>2945</v>
      </c>
      <c r="E325" t="s">
        <v>2446</v>
      </c>
      <c r="G325" t="s">
        <v>2447</v>
      </c>
      <c r="J325" t="s">
        <v>2448</v>
      </c>
      <c r="K325" t="s">
        <v>2448</v>
      </c>
      <c r="L325" t="s">
        <v>2449</v>
      </c>
      <c r="N325" t="s">
        <v>2450</v>
      </c>
      <c r="Q325" t="s">
        <v>778</v>
      </c>
      <c r="R325" t="s">
        <v>923</v>
      </c>
      <c r="T325" t="s">
        <v>814</v>
      </c>
      <c r="W325" t="s">
        <v>1718</v>
      </c>
      <c r="X325" t="s">
        <v>780</v>
      </c>
      <c r="Y325" t="s">
        <v>793</v>
      </c>
      <c r="AA325" s="31">
        <v>46053</v>
      </c>
      <c r="AD325">
        <v>68</v>
      </c>
      <c r="AE325" t="s">
        <v>22</v>
      </c>
      <c r="AF325" s="31">
        <v>45992</v>
      </c>
      <c r="AG325" s="61">
        <v>0.65984953703703708</v>
      </c>
      <c r="AI325" t="s">
        <v>795</v>
      </c>
      <c r="AJ325" s="31">
        <v>46060</v>
      </c>
      <c r="AK325" s="61">
        <v>0.34912037037037041</v>
      </c>
      <c r="AL325" t="s">
        <v>858</v>
      </c>
      <c r="AO325" t="s">
        <v>2451</v>
      </c>
      <c r="AP325" t="s">
        <v>22</v>
      </c>
      <c r="AQ325" t="s">
        <v>2452</v>
      </c>
      <c r="AS325" s="31">
        <v>46045</v>
      </c>
      <c r="AT325">
        <v>30</v>
      </c>
      <c r="AY325">
        <v>1</v>
      </c>
    </row>
    <row r="326" spans="1:51" x14ac:dyDescent="0.25">
      <c r="A326" t="s">
        <v>22</v>
      </c>
      <c r="B326">
        <v>718</v>
      </c>
      <c r="D326">
        <v>2913</v>
      </c>
      <c r="E326" t="s">
        <v>2453</v>
      </c>
      <c r="G326" t="s">
        <v>2454</v>
      </c>
      <c r="J326" t="s">
        <v>2455</v>
      </c>
      <c r="K326" t="s">
        <v>2455</v>
      </c>
      <c r="L326" t="s">
        <v>2456</v>
      </c>
      <c r="N326" t="s">
        <v>2457</v>
      </c>
      <c r="Q326" t="s">
        <v>778</v>
      </c>
      <c r="R326" t="s">
        <v>2458</v>
      </c>
      <c r="T326" t="s">
        <v>814</v>
      </c>
      <c r="W326" t="s">
        <v>2399</v>
      </c>
      <c r="X326" t="s">
        <v>780</v>
      </c>
      <c r="Y326" t="s">
        <v>897</v>
      </c>
      <c r="AA326" s="31">
        <v>46142</v>
      </c>
      <c r="AD326">
        <v>135</v>
      </c>
      <c r="AE326" t="s">
        <v>22</v>
      </c>
      <c r="AF326" s="31">
        <v>45992</v>
      </c>
      <c r="AG326" s="61">
        <v>0.68266203703703698</v>
      </c>
      <c r="AI326" t="s">
        <v>782</v>
      </c>
      <c r="AJ326" s="31"/>
      <c r="AK326" s="61"/>
      <c r="AO326" t="s">
        <v>2459</v>
      </c>
      <c r="AP326" t="s">
        <v>22</v>
      </c>
      <c r="AQ326" t="s">
        <v>2452</v>
      </c>
      <c r="AS326" s="31">
        <v>46122</v>
      </c>
      <c r="AT326">
        <v>30</v>
      </c>
      <c r="AY326">
        <v>1</v>
      </c>
    </row>
    <row r="327" spans="1:51" x14ac:dyDescent="0.25">
      <c r="A327" t="s">
        <v>22</v>
      </c>
      <c r="B327">
        <v>719</v>
      </c>
      <c r="D327">
        <v>2904</v>
      </c>
      <c r="E327" t="s">
        <v>4711</v>
      </c>
      <c r="G327" t="s">
        <v>2461</v>
      </c>
      <c r="H327">
        <v>3674537000125</v>
      </c>
      <c r="J327" t="s">
        <v>2462</v>
      </c>
      <c r="K327" t="s">
        <v>2462</v>
      </c>
      <c r="L327" t="s">
        <v>2463</v>
      </c>
      <c r="N327" t="s">
        <v>2464</v>
      </c>
      <c r="Q327" t="s">
        <v>778</v>
      </c>
      <c r="R327" t="s">
        <v>923</v>
      </c>
      <c r="T327" t="s">
        <v>814</v>
      </c>
      <c r="W327" t="s">
        <v>2970</v>
      </c>
      <c r="X327" t="s">
        <v>780</v>
      </c>
      <c r="Y327" t="s">
        <v>807</v>
      </c>
      <c r="AA327" s="31">
        <v>46112</v>
      </c>
      <c r="AB327">
        <v>104490</v>
      </c>
      <c r="AC327">
        <v>111957</v>
      </c>
      <c r="AD327">
        <v>130</v>
      </c>
      <c r="AE327" t="s">
        <v>22</v>
      </c>
      <c r="AF327" s="31">
        <v>45992</v>
      </c>
      <c r="AG327" s="61">
        <v>0.69298611111111108</v>
      </c>
      <c r="AI327" t="s">
        <v>795</v>
      </c>
      <c r="AJ327" s="31">
        <v>46122</v>
      </c>
      <c r="AK327" s="61">
        <v>0.66306712962962966</v>
      </c>
      <c r="AL327" t="s">
        <v>796</v>
      </c>
      <c r="AO327" t="s">
        <v>2459</v>
      </c>
      <c r="AP327" t="s">
        <v>22</v>
      </c>
      <c r="AQ327" t="s">
        <v>2465</v>
      </c>
      <c r="AS327" s="31">
        <v>46101</v>
      </c>
      <c r="AT327">
        <v>30</v>
      </c>
      <c r="AU327">
        <v>416</v>
      </c>
      <c r="AV327" t="s">
        <v>2467</v>
      </c>
      <c r="AW327" t="s">
        <v>2468</v>
      </c>
      <c r="AX327" t="s">
        <v>2469</v>
      </c>
      <c r="AY327">
        <v>1</v>
      </c>
    </row>
    <row r="328" spans="1:51" x14ac:dyDescent="0.25">
      <c r="A328" t="s">
        <v>22</v>
      </c>
      <c r="B328">
        <v>725</v>
      </c>
      <c r="D328">
        <v>2970</v>
      </c>
      <c r="E328" t="s">
        <v>2470</v>
      </c>
      <c r="G328" t="s">
        <v>2471</v>
      </c>
      <c r="J328" t="s">
        <v>2472</v>
      </c>
      <c r="K328" t="s">
        <v>2472</v>
      </c>
      <c r="L328">
        <v>1799137617</v>
      </c>
      <c r="N328" t="s">
        <v>1111</v>
      </c>
      <c r="Q328" t="s">
        <v>778</v>
      </c>
      <c r="W328" t="s">
        <v>2118</v>
      </c>
      <c r="X328" t="s">
        <v>780</v>
      </c>
      <c r="Y328" t="s">
        <v>807</v>
      </c>
      <c r="AA328" s="31">
        <v>46112</v>
      </c>
      <c r="AB328">
        <v>315000</v>
      </c>
      <c r="AC328">
        <v>32575</v>
      </c>
      <c r="AD328">
        <v>37</v>
      </c>
      <c r="AE328" t="s">
        <v>22</v>
      </c>
      <c r="AF328" s="31">
        <v>45999</v>
      </c>
      <c r="AG328" s="61">
        <v>0.5826041666666667</v>
      </c>
      <c r="AI328" t="s">
        <v>795</v>
      </c>
      <c r="AJ328" s="31">
        <v>46036</v>
      </c>
      <c r="AK328" s="61">
        <v>0.7865509259259259</v>
      </c>
      <c r="AL328" t="s">
        <v>974</v>
      </c>
      <c r="AM328" t="s">
        <v>2474</v>
      </c>
      <c r="AO328" t="s">
        <v>2459</v>
      </c>
      <c r="AP328" t="s">
        <v>22</v>
      </c>
      <c r="AQ328" t="s">
        <v>2459</v>
      </c>
      <c r="AS328" s="31">
        <v>46031</v>
      </c>
      <c r="AY328">
        <v>1</v>
      </c>
    </row>
    <row r="329" spans="1:51" x14ac:dyDescent="0.25">
      <c r="A329" t="s">
        <v>22</v>
      </c>
      <c r="B329">
        <v>726</v>
      </c>
      <c r="D329">
        <v>2971</v>
      </c>
      <c r="G329" t="s">
        <v>2475</v>
      </c>
      <c r="J329" t="s">
        <v>1978</v>
      </c>
      <c r="K329" t="s">
        <v>1978</v>
      </c>
      <c r="L329">
        <v>11982685555</v>
      </c>
      <c r="N329" t="s">
        <v>1111</v>
      </c>
      <c r="Q329" t="s">
        <v>778</v>
      </c>
      <c r="X329" t="s">
        <v>780</v>
      </c>
      <c r="Y329" t="s">
        <v>816</v>
      </c>
      <c r="AA329" s="31"/>
      <c r="AB329">
        <v>0</v>
      </c>
      <c r="AC329">
        <v>57024</v>
      </c>
      <c r="AD329">
        <v>0</v>
      </c>
      <c r="AE329" t="s">
        <v>22</v>
      </c>
      <c r="AF329" s="31">
        <v>45999</v>
      </c>
      <c r="AG329" s="61">
        <v>0.58803240740740736</v>
      </c>
      <c r="AI329" t="s">
        <v>818</v>
      </c>
      <c r="AJ329" s="31">
        <v>45999</v>
      </c>
      <c r="AK329" s="61">
        <v>0.58959490740740739</v>
      </c>
      <c r="AO329" t="s">
        <v>2452</v>
      </c>
      <c r="AP329" t="s">
        <v>22</v>
      </c>
      <c r="AQ329" t="s">
        <v>2452</v>
      </c>
      <c r="AS329" s="31"/>
      <c r="AY329">
        <v>1</v>
      </c>
    </row>
    <row r="330" spans="1:51" x14ac:dyDescent="0.25">
      <c r="A330" t="s">
        <v>22</v>
      </c>
      <c r="B330">
        <v>727</v>
      </c>
      <c r="D330">
        <v>2969</v>
      </c>
      <c r="E330" t="s">
        <v>2476</v>
      </c>
      <c r="G330" t="s">
        <v>2477</v>
      </c>
      <c r="J330" t="s">
        <v>2478</v>
      </c>
      <c r="K330" t="s">
        <v>2478</v>
      </c>
      <c r="L330" t="s">
        <v>2479</v>
      </c>
      <c r="N330" t="s">
        <v>2480</v>
      </c>
      <c r="Q330" t="s">
        <v>778</v>
      </c>
      <c r="R330" t="s">
        <v>2481</v>
      </c>
      <c r="T330" t="s">
        <v>814</v>
      </c>
      <c r="W330" t="s">
        <v>2391</v>
      </c>
      <c r="X330" t="s">
        <v>780</v>
      </c>
      <c r="Y330" t="s">
        <v>807</v>
      </c>
      <c r="AA330" s="31">
        <v>46053</v>
      </c>
      <c r="AB330">
        <v>47200</v>
      </c>
      <c r="AC330">
        <v>22981</v>
      </c>
      <c r="AD330">
        <v>60</v>
      </c>
      <c r="AE330" t="s">
        <v>22</v>
      </c>
      <c r="AF330" s="31">
        <v>46000</v>
      </c>
      <c r="AG330" s="61">
        <v>0.59325231481481477</v>
      </c>
      <c r="AI330" t="s">
        <v>795</v>
      </c>
      <c r="AJ330" s="31">
        <v>46060</v>
      </c>
      <c r="AK330" s="61">
        <v>0.37217592592592591</v>
      </c>
      <c r="AL330" t="s">
        <v>858</v>
      </c>
      <c r="AM330" t="s">
        <v>2482</v>
      </c>
      <c r="AO330" t="s">
        <v>2483</v>
      </c>
      <c r="AP330" t="s">
        <v>22</v>
      </c>
      <c r="AQ330" t="s">
        <v>2483</v>
      </c>
      <c r="AS330" s="31">
        <v>46060</v>
      </c>
      <c r="AT330">
        <v>30</v>
      </c>
      <c r="AY330">
        <v>1</v>
      </c>
    </row>
    <row r="331" spans="1:51" x14ac:dyDescent="0.25">
      <c r="A331" t="s">
        <v>22</v>
      </c>
      <c r="B331">
        <v>728</v>
      </c>
      <c r="D331">
        <v>2973</v>
      </c>
      <c r="E331" t="s">
        <v>4712</v>
      </c>
      <c r="G331" t="s">
        <v>2485</v>
      </c>
      <c r="H331">
        <v>3674537000125</v>
      </c>
      <c r="J331" t="s">
        <v>2486</v>
      </c>
      <c r="K331" t="s">
        <v>2486</v>
      </c>
      <c r="L331" t="s">
        <v>2487</v>
      </c>
      <c r="N331" t="s">
        <v>2488</v>
      </c>
      <c r="Q331" t="s">
        <v>778</v>
      </c>
      <c r="R331" t="s">
        <v>2489</v>
      </c>
      <c r="S331" t="s">
        <v>790</v>
      </c>
      <c r="T331" t="s">
        <v>791</v>
      </c>
      <c r="W331" t="s">
        <v>1419</v>
      </c>
      <c r="X331" t="s">
        <v>780</v>
      </c>
      <c r="Y331" t="s">
        <v>807</v>
      </c>
      <c r="AA331" s="31">
        <v>46112</v>
      </c>
      <c r="AB331">
        <v>1700</v>
      </c>
      <c r="AC331">
        <v>13100</v>
      </c>
      <c r="AD331">
        <v>121</v>
      </c>
      <c r="AE331" t="s">
        <v>22</v>
      </c>
      <c r="AF331" s="31">
        <v>46001</v>
      </c>
      <c r="AG331" s="61">
        <v>0.73172453703703699</v>
      </c>
      <c r="AI331" t="s">
        <v>795</v>
      </c>
      <c r="AJ331" s="31">
        <v>46122</v>
      </c>
      <c r="AK331" s="61">
        <v>0.66342592592592597</v>
      </c>
      <c r="AL331" t="s">
        <v>796</v>
      </c>
      <c r="AO331" t="s">
        <v>2483</v>
      </c>
      <c r="AP331" t="s">
        <v>22</v>
      </c>
      <c r="AQ331" t="s">
        <v>2483</v>
      </c>
      <c r="AS331" s="31">
        <v>46101</v>
      </c>
      <c r="AT331">
        <v>30</v>
      </c>
      <c r="AU331">
        <v>80</v>
      </c>
      <c r="AV331" t="s">
        <v>69</v>
      </c>
      <c r="AW331" t="s">
        <v>2490</v>
      </c>
      <c r="AX331" t="s">
        <v>2491</v>
      </c>
      <c r="AY331">
        <v>1</v>
      </c>
    </row>
    <row r="332" spans="1:51" x14ac:dyDescent="0.25">
      <c r="A332" t="s">
        <v>22</v>
      </c>
      <c r="B332">
        <v>729</v>
      </c>
      <c r="D332">
        <v>2972</v>
      </c>
      <c r="E332" t="s">
        <v>2492</v>
      </c>
      <c r="G332" t="s">
        <v>2493</v>
      </c>
      <c r="J332" t="s">
        <v>2494</v>
      </c>
      <c r="K332" t="s">
        <v>2494</v>
      </c>
      <c r="L332" t="s">
        <v>2495</v>
      </c>
      <c r="N332" t="s">
        <v>2496</v>
      </c>
      <c r="Q332" t="s">
        <v>778</v>
      </c>
      <c r="R332" t="s">
        <v>2497</v>
      </c>
      <c r="T332" t="s">
        <v>814</v>
      </c>
      <c r="W332" t="s">
        <v>2391</v>
      </c>
      <c r="X332" t="s">
        <v>780</v>
      </c>
      <c r="Y332" t="s">
        <v>793</v>
      </c>
      <c r="AA332" s="31">
        <v>46053</v>
      </c>
      <c r="AD332">
        <v>59</v>
      </c>
      <c r="AE332" t="s">
        <v>22</v>
      </c>
      <c r="AF332" s="31">
        <v>46001</v>
      </c>
      <c r="AG332" s="61">
        <v>0.95519675925925929</v>
      </c>
      <c r="AI332" t="s">
        <v>795</v>
      </c>
      <c r="AJ332" s="31">
        <v>46060</v>
      </c>
      <c r="AK332" s="61">
        <v>0.3478472222222222</v>
      </c>
      <c r="AL332" t="s">
        <v>796</v>
      </c>
      <c r="AM332" t="s">
        <v>2498</v>
      </c>
      <c r="AO332" t="s">
        <v>2499</v>
      </c>
      <c r="AP332" t="s">
        <v>22</v>
      </c>
      <c r="AQ332" t="s">
        <v>2499</v>
      </c>
      <c r="AS332" s="31">
        <v>46059</v>
      </c>
      <c r="AT332">
        <v>30</v>
      </c>
      <c r="AY332">
        <v>1</v>
      </c>
    </row>
    <row r="333" spans="1:51" x14ac:dyDescent="0.25">
      <c r="A333" t="s">
        <v>44</v>
      </c>
      <c r="B333">
        <v>730</v>
      </c>
      <c r="D333">
        <v>2977</v>
      </c>
      <c r="E333" t="s">
        <v>2500</v>
      </c>
      <c r="F333" t="s">
        <v>2501</v>
      </c>
      <c r="G333" t="s">
        <v>2502</v>
      </c>
      <c r="H333">
        <v>50828915000168</v>
      </c>
      <c r="J333" t="s">
        <v>2501</v>
      </c>
      <c r="K333" t="s">
        <v>2501</v>
      </c>
      <c r="L333" t="s">
        <v>1531</v>
      </c>
      <c r="N333" t="s">
        <v>1532</v>
      </c>
      <c r="Q333" t="s">
        <v>778</v>
      </c>
      <c r="R333" t="s">
        <v>1094</v>
      </c>
      <c r="S333" t="s">
        <v>790</v>
      </c>
      <c r="T333" t="s">
        <v>805</v>
      </c>
      <c r="W333" t="s">
        <v>2503</v>
      </c>
      <c r="X333" t="s">
        <v>780</v>
      </c>
      <c r="Y333" t="s">
        <v>807</v>
      </c>
      <c r="AA333" s="31">
        <v>46081</v>
      </c>
      <c r="AB333">
        <v>44000</v>
      </c>
      <c r="AC333">
        <v>13781</v>
      </c>
      <c r="AD333">
        <v>125</v>
      </c>
      <c r="AE333" t="s">
        <v>44</v>
      </c>
      <c r="AF333" s="31">
        <v>46002</v>
      </c>
      <c r="AG333" s="61">
        <v>0.42090277777777779</v>
      </c>
      <c r="AI333" t="s">
        <v>782</v>
      </c>
      <c r="AJ333" s="31"/>
      <c r="AK333" s="61"/>
      <c r="AO333" t="s">
        <v>2504</v>
      </c>
      <c r="AP333" t="s">
        <v>44</v>
      </c>
      <c r="AQ333" t="s">
        <v>2505</v>
      </c>
      <c r="AR333" t="s">
        <v>2504</v>
      </c>
      <c r="AS333" s="31">
        <v>46051</v>
      </c>
      <c r="AT333">
        <v>50</v>
      </c>
      <c r="AY333">
        <v>1</v>
      </c>
    </row>
    <row r="334" spans="1:51" x14ac:dyDescent="0.25">
      <c r="A334" t="s">
        <v>44</v>
      </c>
      <c r="B334">
        <v>731</v>
      </c>
      <c r="D334">
        <v>2980</v>
      </c>
      <c r="G334" t="s">
        <v>2506</v>
      </c>
      <c r="J334" t="s">
        <v>2507</v>
      </c>
      <c r="K334" t="s">
        <v>2507</v>
      </c>
      <c r="L334">
        <v>1121710800</v>
      </c>
      <c r="N334" t="s">
        <v>1532</v>
      </c>
      <c r="Q334" t="s">
        <v>778</v>
      </c>
      <c r="W334" t="s">
        <v>1419</v>
      </c>
      <c r="X334" t="s">
        <v>780</v>
      </c>
      <c r="Y334" t="s">
        <v>807</v>
      </c>
      <c r="AA334" s="31">
        <v>46053</v>
      </c>
      <c r="AB334">
        <v>8000</v>
      </c>
      <c r="AC334">
        <v>19642</v>
      </c>
      <c r="AD334">
        <v>49</v>
      </c>
      <c r="AE334" t="s">
        <v>44</v>
      </c>
      <c r="AF334" s="31">
        <v>46002</v>
      </c>
      <c r="AG334" s="61">
        <v>0.43156250000000002</v>
      </c>
      <c r="AI334" t="s">
        <v>795</v>
      </c>
      <c r="AJ334" s="31">
        <v>46051</v>
      </c>
      <c r="AK334" s="61">
        <v>0.6605092592592593</v>
      </c>
      <c r="AL334" t="s">
        <v>858</v>
      </c>
      <c r="AM334" t="s">
        <v>2509</v>
      </c>
      <c r="AO334" t="s">
        <v>2510</v>
      </c>
      <c r="AQ334" t="s">
        <v>2511</v>
      </c>
      <c r="AS334" s="31">
        <v>46031</v>
      </c>
      <c r="AY334">
        <v>1</v>
      </c>
    </row>
    <row r="335" spans="1:51" x14ac:dyDescent="0.25">
      <c r="A335" t="s">
        <v>44</v>
      </c>
      <c r="B335">
        <v>732</v>
      </c>
      <c r="D335">
        <v>2981</v>
      </c>
      <c r="E335" t="s">
        <v>2500</v>
      </c>
      <c r="G335" t="s">
        <v>2512</v>
      </c>
      <c r="J335" t="s">
        <v>2513</v>
      </c>
      <c r="K335" t="s">
        <v>2513</v>
      </c>
      <c r="L335">
        <v>1121710800</v>
      </c>
      <c r="N335" t="s">
        <v>1532</v>
      </c>
      <c r="Q335" t="s">
        <v>778</v>
      </c>
      <c r="W335" t="s">
        <v>1419</v>
      </c>
      <c r="X335" t="s">
        <v>780</v>
      </c>
      <c r="Y335" t="s">
        <v>807</v>
      </c>
      <c r="AA335" s="31">
        <v>46081</v>
      </c>
      <c r="AB335">
        <v>1600</v>
      </c>
      <c r="AC335">
        <v>34428</v>
      </c>
      <c r="AD335">
        <v>125</v>
      </c>
      <c r="AE335" t="s">
        <v>44</v>
      </c>
      <c r="AF335" s="31">
        <v>46002</v>
      </c>
      <c r="AG335" s="61">
        <v>0.43273148148148149</v>
      </c>
      <c r="AI335" t="s">
        <v>782</v>
      </c>
      <c r="AJ335" s="31"/>
      <c r="AK335" s="61"/>
      <c r="AO335" t="s">
        <v>2504</v>
      </c>
      <c r="AP335" t="s">
        <v>44</v>
      </c>
      <c r="AQ335" t="s">
        <v>2505</v>
      </c>
      <c r="AR335" t="s">
        <v>2504</v>
      </c>
      <c r="AS335" s="31">
        <v>46031</v>
      </c>
      <c r="AT335">
        <v>50</v>
      </c>
      <c r="AY335">
        <v>1</v>
      </c>
    </row>
    <row r="336" spans="1:51" x14ac:dyDescent="0.25">
      <c r="A336" t="s">
        <v>44</v>
      </c>
      <c r="B336">
        <v>733</v>
      </c>
      <c r="D336">
        <v>2982</v>
      </c>
      <c r="F336" t="s">
        <v>2514</v>
      </c>
      <c r="G336" t="s">
        <v>2515</v>
      </c>
      <c r="H336">
        <v>96280292000809</v>
      </c>
      <c r="J336" t="s">
        <v>2514</v>
      </c>
      <c r="K336" t="s">
        <v>2514</v>
      </c>
      <c r="L336" t="s">
        <v>2516</v>
      </c>
      <c r="N336" t="s">
        <v>2517</v>
      </c>
      <c r="Q336" t="s">
        <v>778</v>
      </c>
      <c r="R336" t="s">
        <v>2518</v>
      </c>
      <c r="S336" t="s">
        <v>932</v>
      </c>
      <c r="T336" t="s">
        <v>805</v>
      </c>
      <c r="W336" t="s">
        <v>2407</v>
      </c>
      <c r="X336" t="s">
        <v>780</v>
      </c>
      <c r="Y336" t="s">
        <v>816</v>
      </c>
      <c r="AA336" s="31">
        <v>46081</v>
      </c>
      <c r="AB336">
        <v>580005</v>
      </c>
      <c r="AC336">
        <v>7230</v>
      </c>
      <c r="AD336">
        <v>62</v>
      </c>
      <c r="AE336" t="s">
        <v>44</v>
      </c>
      <c r="AF336" s="31">
        <v>46002</v>
      </c>
      <c r="AG336" s="61">
        <v>0.47339120370370369</v>
      </c>
      <c r="AI336" t="s">
        <v>818</v>
      </c>
      <c r="AJ336" s="31">
        <v>46064</v>
      </c>
      <c r="AK336" s="61">
        <v>0.74250000000000005</v>
      </c>
      <c r="AO336" t="s">
        <v>2519</v>
      </c>
      <c r="AP336" t="s">
        <v>44</v>
      </c>
      <c r="AQ336" t="s">
        <v>2520</v>
      </c>
      <c r="AS336" s="31">
        <v>46038</v>
      </c>
      <c r="AT336">
        <v>90</v>
      </c>
      <c r="AY336">
        <v>1</v>
      </c>
    </row>
    <row r="337" spans="1:51" x14ac:dyDescent="0.25">
      <c r="A337" t="s">
        <v>44</v>
      </c>
      <c r="B337">
        <v>734</v>
      </c>
      <c r="D337">
        <v>2985</v>
      </c>
      <c r="E337" t="s">
        <v>2521</v>
      </c>
      <c r="G337" t="s">
        <v>2522</v>
      </c>
      <c r="J337" t="s">
        <v>2523</v>
      </c>
      <c r="K337" t="s">
        <v>2523</v>
      </c>
      <c r="L337">
        <v>11982163176</v>
      </c>
      <c r="N337" t="s">
        <v>2517</v>
      </c>
      <c r="Q337" t="s">
        <v>778</v>
      </c>
      <c r="W337" t="s">
        <v>1419</v>
      </c>
      <c r="X337" t="s">
        <v>780</v>
      </c>
      <c r="Y337" t="s">
        <v>807</v>
      </c>
      <c r="AA337" s="31">
        <v>46038</v>
      </c>
      <c r="AB337">
        <v>0</v>
      </c>
      <c r="AC337">
        <v>19642</v>
      </c>
      <c r="AD337">
        <v>47</v>
      </c>
      <c r="AE337" t="s">
        <v>44</v>
      </c>
      <c r="AF337" s="31">
        <v>46002</v>
      </c>
      <c r="AG337" s="61">
        <v>0.47990740740740739</v>
      </c>
      <c r="AI337" t="s">
        <v>795</v>
      </c>
      <c r="AJ337" s="31">
        <v>46049</v>
      </c>
      <c r="AK337" s="61">
        <v>0.6889467592592593</v>
      </c>
      <c r="AL337" t="s">
        <v>808</v>
      </c>
      <c r="AM337" t="s">
        <v>2521</v>
      </c>
      <c r="AO337" t="s">
        <v>2519</v>
      </c>
      <c r="AQ337" t="s">
        <v>2520</v>
      </c>
      <c r="AS337" s="31">
        <v>46049</v>
      </c>
      <c r="AY337">
        <v>1</v>
      </c>
    </row>
    <row r="338" spans="1:51" x14ac:dyDescent="0.25">
      <c r="A338" t="s">
        <v>44</v>
      </c>
      <c r="B338">
        <v>735</v>
      </c>
      <c r="D338">
        <v>2986</v>
      </c>
      <c r="G338" t="s">
        <v>2525</v>
      </c>
      <c r="J338" t="s">
        <v>2526</v>
      </c>
      <c r="K338" t="s">
        <v>2526</v>
      </c>
      <c r="L338">
        <v>11982163176</v>
      </c>
      <c r="N338" t="s">
        <v>2517</v>
      </c>
      <c r="Q338" t="s">
        <v>778</v>
      </c>
      <c r="W338" t="s">
        <v>1581</v>
      </c>
      <c r="X338" t="s">
        <v>780</v>
      </c>
      <c r="Y338" t="s">
        <v>816</v>
      </c>
      <c r="AA338" s="31">
        <v>46038</v>
      </c>
      <c r="AB338">
        <v>1600</v>
      </c>
      <c r="AC338">
        <v>524246</v>
      </c>
      <c r="AD338">
        <v>125</v>
      </c>
      <c r="AE338" t="s">
        <v>44</v>
      </c>
      <c r="AF338" s="31">
        <v>46002</v>
      </c>
      <c r="AG338" s="61">
        <v>0.4813425925925926</v>
      </c>
      <c r="AI338" t="s">
        <v>782</v>
      </c>
      <c r="AJ338" s="31"/>
      <c r="AK338" s="61"/>
      <c r="AO338" t="s">
        <v>2519</v>
      </c>
      <c r="AP338" t="s">
        <v>44</v>
      </c>
      <c r="AQ338" t="s">
        <v>2520</v>
      </c>
      <c r="AS338" s="31">
        <v>46027</v>
      </c>
      <c r="AT338">
        <v>80</v>
      </c>
      <c r="AY338">
        <v>1</v>
      </c>
    </row>
    <row r="339" spans="1:51" x14ac:dyDescent="0.25">
      <c r="A339" t="s">
        <v>44</v>
      </c>
      <c r="B339">
        <v>736</v>
      </c>
      <c r="D339">
        <v>2988</v>
      </c>
      <c r="G339" t="s">
        <v>2527</v>
      </c>
      <c r="J339" t="s">
        <v>2528</v>
      </c>
      <c r="K339" t="s">
        <v>2528</v>
      </c>
      <c r="L339">
        <v>17997793113</v>
      </c>
      <c r="N339" t="s">
        <v>1043</v>
      </c>
      <c r="Q339" t="s">
        <v>778</v>
      </c>
      <c r="W339" t="s">
        <v>1718</v>
      </c>
      <c r="X339" t="s">
        <v>780</v>
      </c>
      <c r="Y339" t="s">
        <v>807</v>
      </c>
      <c r="AA339" s="31">
        <v>46008</v>
      </c>
      <c r="AB339">
        <v>26200</v>
      </c>
      <c r="AC339">
        <v>3400</v>
      </c>
      <c r="AD339">
        <v>50</v>
      </c>
      <c r="AE339" t="s">
        <v>44</v>
      </c>
      <c r="AF339" s="31">
        <v>46002</v>
      </c>
      <c r="AG339" s="61">
        <v>0.6433564814814815</v>
      </c>
      <c r="AI339" t="s">
        <v>795</v>
      </c>
      <c r="AJ339" s="31">
        <v>46052</v>
      </c>
      <c r="AK339" s="61">
        <v>0.65020833333333339</v>
      </c>
      <c r="AL339" t="s">
        <v>796</v>
      </c>
      <c r="AM339" t="s">
        <v>967</v>
      </c>
      <c r="AO339" t="s">
        <v>2529</v>
      </c>
      <c r="AQ339" t="s">
        <v>2529</v>
      </c>
      <c r="AR339" t="s">
        <v>2511</v>
      </c>
      <c r="AS339" s="31">
        <v>46031</v>
      </c>
      <c r="AY339">
        <v>1</v>
      </c>
    </row>
    <row r="340" spans="1:51" x14ac:dyDescent="0.25">
      <c r="A340" t="s">
        <v>44</v>
      </c>
      <c r="B340">
        <v>737</v>
      </c>
      <c r="D340">
        <v>2989</v>
      </c>
      <c r="G340" t="s">
        <v>2530</v>
      </c>
      <c r="J340" t="s">
        <v>2531</v>
      </c>
      <c r="K340" t="s">
        <v>2531</v>
      </c>
      <c r="L340">
        <v>62993609476</v>
      </c>
      <c r="N340" t="s">
        <v>1111</v>
      </c>
      <c r="Q340" t="s">
        <v>778</v>
      </c>
      <c r="W340" t="s">
        <v>1718</v>
      </c>
      <c r="X340" t="s">
        <v>780</v>
      </c>
      <c r="Y340" t="s">
        <v>807</v>
      </c>
      <c r="AA340" s="31">
        <v>46008</v>
      </c>
      <c r="AB340">
        <v>22824</v>
      </c>
      <c r="AC340">
        <v>68904</v>
      </c>
      <c r="AD340">
        <v>1</v>
      </c>
      <c r="AE340" t="s">
        <v>44</v>
      </c>
      <c r="AF340" s="31">
        <v>46002</v>
      </c>
      <c r="AG340" s="61">
        <v>0.66396990740740736</v>
      </c>
      <c r="AI340" t="s">
        <v>795</v>
      </c>
      <c r="AJ340" s="31">
        <v>46003</v>
      </c>
      <c r="AK340" s="61">
        <v>0.69563657407407409</v>
      </c>
      <c r="AL340" t="s">
        <v>796</v>
      </c>
      <c r="AM340" t="s">
        <v>2532</v>
      </c>
      <c r="AO340" t="s">
        <v>2519</v>
      </c>
      <c r="AQ340" t="s">
        <v>2519</v>
      </c>
      <c r="AS340" s="31">
        <v>46003</v>
      </c>
      <c r="AY340">
        <v>1</v>
      </c>
    </row>
    <row r="341" spans="1:51" x14ac:dyDescent="0.25">
      <c r="A341" t="s">
        <v>44</v>
      </c>
      <c r="B341">
        <v>739</v>
      </c>
      <c r="D341">
        <v>2991</v>
      </c>
      <c r="G341" t="s">
        <v>2533</v>
      </c>
      <c r="J341" t="s">
        <v>2534</v>
      </c>
      <c r="K341" t="s">
        <v>2534</v>
      </c>
      <c r="L341">
        <v>19999989392</v>
      </c>
      <c r="N341" t="s">
        <v>1111</v>
      </c>
      <c r="Q341" t="s">
        <v>778</v>
      </c>
      <c r="W341" t="s">
        <v>1718</v>
      </c>
      <c r="X341" t="s">
        <v>780</v>
      </c>
      <c r="Y341" t="s">
        <v>793</v>
      </c>
      <c r="AA341" s="31">
        <v>46022</v>
      </c>
      <c r="AB341">
        <v>3392</v>
      </c>
      <c r="AC341">
        <v>3564</v>
      </c>
      <c r="AD341">
        <v>76</v>
      </c>
      <c r="AE341" t="s">
        <v>44</v>
      </c>
      <c r="AF341" s="31">
        <v>46003</v>
      </c>
      <c r="AG341" s="61">
        <v>0.51504629629629628</v>
      </c>
      <c r="AI341" t="s">
        <v>795</v>
      </c>
      <c r="AJ341" s="31">
        <v>46079</v>
      </c>
      <c r="AK341" s="61">
        <v>0.39003472222222219</v>
      </c>
      <c r="AL341" t="s">
        <v>796</v>
      </c>
      <c r="AM341" t="s">
        <v>797</v>
      </c>
      <c r="AO341" t="s">
        <v>2326</v>
      </c>
      <c r="AP341" t="s">
        <v>44</v>
      </c>
      <c r="AQ341" t="s">
        <v>2326</v>
      </c>
      <c r="AS341" s="31">
        <v>46003</v>
      </c>
      <c r="AT341">
        <v>30</v>
      </c>
      <c r="AY341">
        <v>1</v>
      </c>
    </row>
    <row r="342" spans="1:51" x14ac:dyDescent="0.25">
      <c r="A342" t="s">
        <v>22</v>
      </c>
      <c r="B342">
        <v>740</v>
      </c>
      <c r="D342">
        <v>2994</v>
      </c>
      <c r="E342" t="s">
        <v>4713</v>
      </c>
      <c r="G342" t="s">
        <v>408</v>
      </c>
      <c r="J342" t="s">
        <v>2538</v>
      </c>
      <c r="K342" t="s">
        <v>2538</v>
      </c>
      <c r="L342">
        <v>11996577830</v>
      </c>
      <c r="N342" t="s">
        <v>2540</v>
      </c>
      <c r="Q342" t="s">
        <v>778</v>
      </c>
      <c r="T342" t="s">
        <v>2541</v>
      </c>
      <c r="W342" t="s">
        <v>2542</v>
      </c>
      <c r="X342" t="s">
        <v>780</v>
      </c>
      <c r="Y342" t="s">
        <v>807</v>
      </c>
      <c r="AA342" s="31">
        <v>46112</v>
      </c>
      <c r="AB342">
        <v>115520</v>
      </c>
      <c r="AC342">
        <v>65721</v>
      </c>
      <c r="AD342">
        <v>94</v>
      </c>
      <c r="AE342" t="s">
        <v>22</v>
      </c>
      <c r="AF342" s="31">
        <v>46007</v>
      </c>
      <c r="AG342" s="61">
        <v>0.50936342592592587</v>
      </c>
      <c r="AI342" t="s">
        <v>795</v>
      </c>
      <c r="AJ342" s="31">
        <v>46101</v>
      </c>
      <c r="AK342" s="61">
        <v>0.70766203703703701</v>
      </c>
      <c r="AL342" t="s">
        <v>867</v>
      </c>
      <c r="AO342" t="s">
        <v>4714</v>
      </c>
      <c r="AP342" t="s">
        <v>22</v>
      </c>
      <c r="AQ342" t="s">
        <v>4714</v>
      </c>
      <c r="AS342" s="31">
        <v>46101</v>
      </c>
      <c r="AT342">
        <v>30</v>
      </c>
      <c r="AV342" t="s">
        <v>4715</v>
      </c>
      <c r="AY342">
        <v>1</v>
      </c>
    </row>
    <row r="343" spans="1:51" x14ac:dyDescent="0.25">
      <c r="A343" t="s">
        <v>44</v>
      </c>
      <c r="B343">
        <v>741</v>
      </c>
      <c r="D343">
        <v>2995</v>
      </c>
      <c r="E343" t="s">
        <v>2543</v>
      </c>
      <c r="G343" t="s">
        <v>2544</v>
      </c>
      <c r="J343" t="s">
        <v>2545</v>
      </c>
      <c r="K343" t="s">
        <v>2545</v>
      </c>
      <c r="L343" t="s">
        <v>2546</v>
      </c>
      <c r="N343" t="s">
        <v>2547</v>
      </c>
      <c r="Q343" t="s">
        <v>778</v>
      </c>
      <c r="R343" t="s">
        <v>2548</v>
      </c>
      <c r="T343" t="s">
        <v>814</v>
      </c>
      <c r="W343" t="s">
        <v>2391</v>
      </c>
      <c r="X343" t="s">
        <v>780</v>
      </c>
      <c r="Y343" t="s">
        <v>807</v>
      </c>
      <c r="AA343" s="31">
        <v>46053</v>
      </c>
      <c r="AB343">
        <v>44000</v>
      </c>
      <c r="AC343">
        <v>110248</v>
      </c>
      <c r="AD343">
        <v>31</v>
      </c>
      <c r="AE343" t="s">
        <v>44</v>
      </c>
      <c r="AF343" s="31">
        <v>46007</v>
      </c>
      <c r="AG343" s="61">
        <v>0.72878472222222224</v>
      </c>
      <c r="AI343" t="s">
        <v>795</v>
      </c>
      <c r="AJ343" s="31">
        <v>46038</v>
      </c>
      <c r="AK343" s="61">
        <v>0.66372685185185187</v>
      </c>
      <c r="AL343" t="s">
        <v>934</v>
      </c>
      <c r="AM343" t="s">
        <v>2549</v>
      </c>
      <c r="AO343" t="s">
        <v>2550</v>
      </c>
      <c r="AQ343" t="s">
        <v>2510</v>
      </c>
      <c r="AR343" t="s">
        <v>2551</v>
      </c>
      <c r="AS343" s="31">
        <v>46038</v>
      </c>
      <c r="AY343">
        <v>1</v>
      </c>
    </row>
    <row r="344" spans="1:51" x14ac:dyDescent="0.25">
      <c r="A344" t="s">
        <v>44</v>
      </c>
      <c r="B344">
        <v>742</v>
      </c>
      <c r="D344">
        <v>2996</v>
      </c>
      <c r="E344" t="s">
        <v>2543</v>
      </c>
      <c r="G344" t="s">
        <v>2552</v>
      </c>
      <c r="J344" t="s">
        <v>2553</v>
      </c>
      <c r="K344" t="s">
        <v>2553</v>
      </c>
      <c r="L344">
        <v>49999290242</v>
      </c>
      <c r="N344" t="s">
        <v>2547</v>
      </c>
      <c r="Q344" t="s">
        <v>778</v>
      </c>
      <c r="W344" t="s">
        <v>1718</v>
      </c>
      <c r="X344" t="s">
        <v>780</v>
      </c>
      <c r="Y344" t="s">
        <v>807</v>
      </c>
      <c r="AA344" s="31">
        <v>46053</v>
      </c>
      <c r="AB344">
        <v>8000</v>
      </c>
      <c r="AC344">
        <v>186599</v>
      </c>
      <c r="AD344">
        <v>31</v>
      </c>
      <c r="AE344" t="s">
        <v>44</v>
      </c>
      <c r="AF344" s="31">
        <v>46007</v>
      </c>
      <c r="AG344" s="61">
        <v>0.7303587962962963</v>
      </c>
      <c r="AI344" t="s">
        <v>795</v>
      </c>
      <c r="AJ344" s="31">
        <v>46038</v>
      </c>
      <c r="AK344" s="61">
        <v>0.66439814814814813</v>
      </c>
      <c r="AL344" t="s">
        <v>934</v>
      </c>
      <c r="AM344" t="s">
        <v>2549</v>
      </c>
      <c r="AO344" t="s">
        <v>2550</v>
      </c>
      <c r="AQ344" t="s">
        <v>2510</v>
      </c>
      <c r="AR344" t="s">
        <v>2551</v>
      </c>
      <c r="AS344" s="31">
        <v>46038</v>
      </c>
      <c r="AY344">
        <v>1</v>
      </c>
    </row>
    <row r="345" spans="1:51" x14ac:dyDescent="0.25">
      <c r="A345" t="s">
        <v>44</v>
      </c>
      <c r="B345">
        <v>746</v>
      </c>
      <c r="D345">
        <v>3004</v>
      </c>
      <c r="G345" t="s">
        <v>2555</v>
      </c>
      <c r="J345" t="s">
        <v>2556</v>
      </c>
      <c r="K345" t="s">
        <v>2556</v>
      </c>
      <c r="L345">
        <v>4191190775</v>
      </c>
      <c r="N345" t="s">
        <v>2558</v>
      </c>
      <c r="Q345" t="s">
        <v>778</v>
      </c>
      <c r="T345" t="s">
        <v>2541</v>
      </c>
      <c r="W345" t="s">
        <v>2559</v>
      </c>
      <c r="X345" t="s">
        <v>780</v>
      </c>
      <c r="Y345" t="s">
        <v>781</v>
      </c>
      <c r="AA345" s="31"/>
      <c r="AD345">
        <v>21</v>
      </c>
      <c r="AE345" t="s">
        <v>44</v>
      </c>
      <c r="AF345" s="31">
        <v>46013</v>
      </c>
      <c r="AG345" s="61">
        <v>0.35472222222222222</v>
      </c>
      <c r="AI345" t="s">
        <v>795</v>
      </c>
      <c r="AJ345" s="31">
        <v>46034</v>
      </c>
      <c r="AK345" s="61">
        <v>0.93934027777777773</v>
      </c>
      <c r="AL345" t="s">
        <v>1226</v>
      </c>
      <c r="AS345" s="31"/>
      <c r="AY345">
        <v>1</v>
      </c>
    </row>
    <row r="346" spans="1:51" x14ac:dyDescent="0.25">
      <c r="A346" t="s">
        <v>44</v>
      </c>
      <c r="B346">
        <v>747</v>
      </c>
      <c r="D346">
        <v>3003</v>
      </c>
      <c r="G346" t="s">
        <v>2560</v>
      </c>
      <c r="J346" t="s">
        <v>2561</v>
      </c>
      <c r="K346" t="s">
        <v>2561</v>
      </c>
      <c r="L346">
        <v>6195770926</v>
      </c>
      <c r="N346" t="s">
        <v>2563</v>
      </c>
      <c r="Q346" t="s">
        <v>778</v>
      </c>
      <c r="T346" t="s">
        <v>2541</v>
      </c>
      <c r="W346" t="s">
        <v>2559</v>
      </c>
      <c r="X346" t="s">
        <v>780</v>
      </c>
      <c r="Y346" t="s">
        <v>781</v>
      </c>
      <c r="AA346" s="31"/>
      <c r="AD346">
        <v>45</v>
      </c>
      <c r="AE346" t="s">
        <v>44</v>
      </c>
      <c r="AF346" s="31">
        <v>46013</v>
      </c>
      <c r="AG346" s="61">
        <v>0.35800925925925919</v>
      </c>
      <c r="AI346" t="s">
        <v>795</v>
      </c>
      <c r="AJ346" s="31">
        <v>46058</v>
      </c>
      <c r="AK346" s="61">
        <v>0.52331018518518524</v>
      </c>
      <c r="AL346" t="s">
        <v>796</v>
      </c>
      <c r="AM346" t="s">
        <v>2564</v>
      </c>
      <c r="AS346" s="31"/>
      <c r="AY346">
        <v>1</v>
      </c>
    </row>
    <row r="347" spans="1:51" x14ac:dyDescent="0.25">
      <c r="A347" t="s">
        <v>44</v>
      </c>
      <c r="B347">
        <v>748</v>
      </c>
      <c r="D347">
        <v>3011</v>
      </c>
      <c r="E347" t="s">
        <v>4716</v>
      </c>
      <c r="G347" t="s">
        <v>2566</v>
      </c>
      <c r="H347">
        <v>9260618000165</v>
      </c>
      <c r="J347" t="s">
        <v>2567</v>
      </c>
      <c r="K347" t="s">
        <v>2567</v>
      </c>
      <c r="L347" t="s">
        <v>2568</v>
      </c>
      <c r="N347" t="s">
        <v>2569</v>
      </c>
      <c r="Q347" t="s">
        <v>778</v>
      </c>
      <c r="T347" t="s">
        <v>2541</v>
      </c>
      <c r="W347" t="s">
        <v>2542</v>
      </c>
      <c r="X347" t="s">
        <v>780</v>
      </c>
      <c r="Y347" t="s">
        <v>857</v>
      </c>
      <c r="AA347" s="31">
        <v>46053</v>
      </c>
      <c r="AD347">
        <v>62</v>
      </c>
      <c r="AE347" t="s">
        <v>44</v>
      </c>
      <c r="AF347" s="31">
        <v>46021</v>
      </c>
      <c r="AG347" s="61">
        <v>0.46439814814814823</v>
      </c>
      <c r="AI347" t="s">
        <v>795</v>
      </c>
      <c r="AJ347" s="31">
        <v>46083</v>
      </c>
      <c r="AK347" s="61">
        <v>0.47996527777777781</v>
      </c>
      <c r="AL347" t="s">
        <v>858</v>
      </c>
      <c r="AM347" t="s">
        <v>4717</v>
      </c>
      <c r="AP347" t="s">
        <v>44</v>
      </c>
      <c r="AQ347" t="s">
        <v>2505</v>
      </c>
      <c r="AS347" s="31">
        <v>46083</v>
      </c>
      <c r="AT347">
        <v>30</v>
      </c>
      <c r="AY347">
        <v>1</v>
      </c>
    </row>
    <row r="348" spans="1:51" x14ac:dyDescent="0.25">
      <c r="A348" t="s">
        <v>44</v>
      </c>
      <c r="B348">
        <v>749</v>
      </c>
      <c r="D348">
        <v>3006</v>
      </c>
      <c r="E348" t="s">
        <v>2570</v>
      </c>
      <c r="G348" t="s">
        <v>381</v>
      </c>
      <c r="H348">
        <v>34667612000154</v>
      </c>
      <c r="J348" t="s">
        <v>2571</v>
      </c>
      <c r="K348" t="s">
        <v>2571</v>
      </c>
      <c r="L348" t="s">
        <v>2572</v>
      </c>
      <c r="N348" t="s">
        <v>2573</v>
      </c>
      <c r="Q348" t="s">
        <v>778</v>
      </c>
      <c r="R348" t="s">
        <v>2574</v>
      </c>
      <c r="S348" t="s">
        <v>1699</v>
      </c>
      <c r="T348" t="s">
        <v>2541</v>
      </c>
      <c r="W348" t="s">
        <v>2542</v>
      </c>
      <c r="X348" t="s">
        <v>780</v>
      </c>
      <c r="Y348" t="s">
        <v>793</v>
      </c>
      <c r="AA348" s="31">
        <v>46081</v>
      </c>
      <c r="AB348">
        <v>1117015</v>
      </c>
      <c r="AC348">
        <v>468739</v>
      </c>
      <c r="AD348">
        <v>50</v>
      </c>
      <c r="AE348" t="s">
        <v>44</v>
      </c>
      <c r="AF348" s="31">
        <v>46021</v>
      </c>
      <c r="AG348" s="61">
        <v>0.47844907407407411</v>
      </c>
      <c r="AI348" t="s">
        <v>795</v>
      </c>
      <c r="AJ348" s="31">
        <v>46071</v>
      </c>
      <c r="AK348" s="61">
        <v>0.36982638888888891</v>
      </c>
      <c r="AL348" t="s">
        <v>934</v>
      </c>
      <c r="AM348" t="s">
        <v>2575</v>
      </c>
      <c r="AO348" t="s">
        <v>382</v>
      </c>
      <c r="AP348" t="s">
        <v>44</v>
      </c>
      <c r="AQ348" t="s">
        <v>2576</v>
      </c>
      <c r="AR348" t="s">
        <v>382</v>
      </c>
      <c r="AS348" s="31">
        <v>46071</v>
      </c>
      <c r="AT348">
        <v>30</v>
      </c>
      <c r="AY348">
        <v>1</v>
      </c>
    </row>
    <row r="349" spans="1:51" x14ac:dyDescent="0.25">
      <c r="A349" t="s">
        <v>31</v>
      </c>
      <c r="B349">
        <v>750</v>
      </c>
      <c r="D349">
        <v>3016</v>
      </c>
      <c r="E349" t="s">
        <v>2577</v>
      </c>
      <c r="G349" t="s">
        <v>2578</v>
      </c>
      <c r="H349">
        <v>1574467000108</v>
      </c>
      <c r="J349" t="s">
        <v>2579</v>
      </c>
      <c r="K349" t="s">
        <v>2579</v>
      </c>
      <c r="L349">
        <v>17981152060</v>
      </c>
      <c r="N349" t="s">
        <v>2581</v>
      </c>
      <c r="Q349" t="s">
        <v>778</v>
      </c>
      <c r="T349" t="s">
        <v>2541</v>
      </c>
      <c r="W349" t="s">
        <v>2582</v>
      </c>
      <c r="X349" t="s">
        <v>780</v>
      </c>
      <c r="Y349" t="s">
        <v>807</v>
      </c>
      <c r="AA349" s="31">
        <v>46112</v>
      </c>
      <c r="AB349">
        <v>12996348</v>
      </c>
      <c r="AC349">
        <v>860884</v>
      </c>
      <c r="AD349">
        <v>43</v>
      </c>
      <c r="AE349" t="s">
        <v>31</v>
      </c>
      <c r="AF349" s="31">
        <v>46027</v>
      </c>
      <c r="AG349" s="61">
        <v>0.49306712962962962</v>
      </c>
      <c r="AI349" t="s">
        <v>795</v>
      </c>
      <c r="AJ349" s="31">
        <v>46070</v>
      </c>
      <c r="AK349" s="61">
        <v>0.68046296296296294</v>
      </c>
      <c r="AL349" t="s">
        <v>867</v>
      </c>
      <c r="AP349" t="s">
        <v>31</v>
      </c>
      <c r="AQ349" t="s">
        <v>2505</v>
      </c>
      <c r="AR349" t="s">
        <v>382</v>
      </c>
      <c r="AS349" s="31">
        <v>46058</v>
      </c>
      <c r="AT349">
        <v>50</v>
      </c>
      <c r="AY349">
        <v>1</v>
      </c>
    </row>
    <row r="350" spans="1:51" x14ac:dyDescent="0.25">
      <c r="A350" t="s">
        <v>31</v>
      </c>
      <c r="B350">
        <v>754</v>
      </c>
      <c r="D350">
        <v>3017</v>
      </c>
      <c r="E350" t="s">
        <v>2583</v>
      </c>
      <c r="F350" t="s">
        <v>2584</v>
      </c>
      <c r="G350" t="s">
        <v>2585</v>
      </c>
      <c r="H350">
        <v>61516270000144</v>
      </c>
      <c r="J350" t="s">
        <v>2586</v>
      </c>
      <c r="K350" t="s">
        <v>2586</v>
      </c>
      <c r="L350">
        <v>11973112176</v>
      </c>
      <c r="N350" t="s">
        <v>2588</v>
      </c>
      <c r="Q350" t="s">
        <v>778</v>
      </c>
      <c r="R350" t="s">
        <v>2589</v>
      </c>
      <c r="S350" t="s">
        <v>790</v>
      </c>
      <c r="T350" t="s">
        <v>2541</v>
      </c>
      <c r="W350" t="s">
        <v>2542</v>
      </c>
      <c r="X350" t="s">
        <v>780</v>
      </c>
      <c r="Y350" t="s">
        <v>793</v>
      </c>
      <c r="AA350" s="31">
        <v>46142</v>
      </c>
      <c r="AD350">
        <v>13</v>
      </c>
      <c r="AE350" t="s">
        <v>31</v>
      </c>
      <c r="AF350" s="31">
        <v>46029</v>
      </c>
      <c r="AG350" s="61">
        <v>0.42782407407407408</v>
      </c>
      <c r="AI350" t="s">
        <v>795</v>
      </c>
      <c r="AJ350" s="31">
        <v>46042</v>
      </c>
      <c r="AK350" s="61">
        <v>0.71923611111111108</v>
      </c>
      <c r="AL350" t="s">
        <v>858</v>
      </c>
      <c r="AO350" t="s">
        <v>2590</v>
      </c>
      <c r="AP350" t="s">
        <v>31</v>
      </c>
      <c r="AQ350" t="s">
        <v>2591</v>
      </c>
      <c r="AS350" s="31">
        <v>46041</v>
      </c>
      <c r="AY350">
        <v>1</v>
      </c>
    </row>
    <row r="351" spans="1:51" x14ac:dyDescent="0.25">
      <c r="A351" t="s">
        <v>22</v>
      </c>
      <c r="B351">
        <v>757</v>
      </c>
      <c r="D351">
        <v>3046</v>
      </c>
      <c r="E351" t="s">
        <v>2592</v>
      </c>
      <c r="G351" t="s">
        <v>2593</v>
      </c>
      <c r="J351" t="s">
        <v>2594</v>
      </c>
      <c r="K351" t="s">
        <v>2594</v>
      </c>
      <c r="L351">
        <v>12982018157</v>
      </c>
      <c r="N351" t="s">
        <v>2596</v>
      </c>
      <c r="Q351" t="s">
        <v>778</v>
      </c>
      <c r="T351" t="s">
        <v>2541</v>
      </c>
      <c r="W351" t="s">
        <v>2542</v>
      </c>
      <c r="X351" t="s">
        <v>780</v>
      </c>
      <c r="Y351" t="s">
        <v>897</v>
      </c>
      <c r="AA351" s="31">
        <v>46034</v>
      </c>
      <c r="AD351">
        <v>15</v>
      </c>
      <c r="AE351" t="s">
        <v>22</v>
      </c>
      <c r="AF351" s="31">
        <v>46030</v>
      </c>
      <c r="AG351" s="61">
        <v>0.66454861111111108</v>
      </c>
      <c r="AI351" t="s">
        <v>795</v>
      </c>
      <c r="AJ351" s="31">
        <v>46045</v>
      </c>
      <c r="AK351" s="61">
        <v>0.74555555555555553</v>
      </c>
      <c r="AL351" t="s">
        <v>974</v>
      </c>
      <c r="AM351" t="s">
        <v>2597</v>
      </c>
      <c r="AP351" t="s">
        <v>22</v>
      </c>
      <c r="AS351" s="31">
        <v>46034</v>
      </c>
      <c r="AY351">
        <v>1</v>
      </c>
    </row>
    <row r="352" spans="1:51" x14ac:dyDescent="0.25">
      <c r="A352" t="s">
        <v>22</v>
      </c>
      <c r="B352">
        <v>758</v>
      </c>
      <c r="D352">
        <v>3048</v>
      </c>
      <c r="E352" t="s">
        <v>4718</v>
      </c>
      <c r="G352" t="s">
        <v>2599</v>
      </c>
      <c r="J352" t="s">
        <v>2600</v>
      </c>
      <c r="K352" t="s">
        <v>2600</v>
      </c>
      <c r="L352">
        <v>11982243773</v>
      </c>
      <c r="N352" t="s">
        <v>2602</v>
      </c>
      <c r="Q352" t="s">
        <v>778</v>
      </c>
      <c r="W352" t="s">
        <v>1419</v>
      </c>
      <c r="X352" t="s">
        <v>780</v>
      </c>
      <c r="Y352" t="s">
        <v>807</v>
      </c>
      <c r="AA352" s="31">
        <v>46079</v>
      </c>
      <c r="AB352">
        <v>0</v>
      </c>
      <c r="AC352">
        <v>66</v>
      </c>
      <c r="AD352">
        <v>49</v>
      </c>
      <c r="AE352" t="s">
        <v>22</v>
      </c>
      <c r="AF352" s="31">
        <v>46030</v>
      </c>
      <c r="AG352" s="61">
        <v>0.7044907407407407</v>
      </c>
      <c r="AI352" t="s">
        <v>795</v>
      </c>
      <c r="AJ352" s="31">
        <v>46079</v>
      </c>
      <c r="AK352" s="61">
        <v>0.92770833333333336</v>
      </c>
      <c r="AL352" t="s">
        <v>934</v>
      </c>
      <c r="AO352" t="s">
        <v>2603</v>
      </c>
      <c r="AP352" t="s">
        <v>22</v>
      </c>
      <c r="AQ352" t="s">
        <v>2603</v>
      </c>
      <c r="AS352" s="31">
        <v>46079</v>
      </c>
      <c r="AT352">
        <v>50</v>
      </c>
      <c r="AU352">
        <v>2</v>
      </c>
      <c r="AV352" t="s">
        <v>2605</v>
      </c>
      <c r="AW352" t="s">
        <v>2606</v>
      </c>
      <c r="AX352" t="s">
        <v>2607</v>
      </c>
      <c r="AY352">
        <v>1</v>
      </c>
    </row>
    <row r="353" spans="1:51" x14ac:dyDescent="0.25">
      <c r="A353" t="s">
        <v>22</v>
      </c>
      <c r="B353">
        <v>759</v>
      </c>
      <c r="D353">
        <v>3049</v>
      </c>
      <c r="E353" t="s">
        <v>2608</v>
      </c>
      <c r="G353" t="s">
        <v>2609</v>
      </c>
      <c r="H353">
        <v>10345472000130</v>
      </c>
      <c r="J353" t="s">
        <v>2610</v>
      </c>
      <c r="K353" t="s">
        <v>2610</v>
      </c>
      <c r="L353">
        <v>19983040748</v>
      </c>
      <c r="N353" t="s">
        <v>2612</v>
      </c>
      <c r="Q353" t="s">
        <v>778</v>
      </c>
      <c r="W353" t="s">
        <v>1704</v>
      </c>
      <c r="X353" t="s">
        <v>780</v>
      </c>
      <c r="Y353" t="s">
        <v>816</v>
      </c>
      <c r="AA353" s="31">
        <v>46053</v>
      </c>
      <c r="AB353">
        <v>1505387</v>
      </c>
      <c r="AC353">
        <v>27562</v>
      </c>
      <c r="AD353">
        <v>4</v>
      </c>
      <c r="AE353" t="s">
        <v>22</v>
      </c>
      <c r="AF353" s="31">
        <v>46030</v>
      </c>
      <c r="AG353" s="61">
        <v>0.71855324074074078</v>
      </c>
      <c r="AI353" t="s">
        <v>818</v>
      </c>
      <c r="AJ353" s="31">
        <v>46034</v>
      </c>
      <c r="AK353" s="61">
        <v>0.6088541666666667</v>
      </c>
      <c r="AO353" t="s">
        <v>2603</v>
      </c>
      <c r="AP353" t="s">
        <v>22</v>
      </c>
      <c r="AQ353" t="s">
        <v>2603</v>
      </c>
      <c r="AS353" s="31"/>
      <c r="AY353">
        <v>1</v>
      </c>
    </row>
    <row r="354" spans="1:51" x14ac:dyDescent="0.25">
      <c r="A354" t="s">
        <v>22</v>
      </c>
      <c r="B354">
        <v>760</v>
      </c>
      <c r="D354">
        <v>3050</v>
      </c>
      <c r="E354" t="s">
        <v>4719</v>
      </c>
      <c r="G354" t="s">
        <v>2614</v>
      </c>
      <c r="H354">
        <v>3204281000192</v>
      </c>
      <c r="J354" t="s">
        <v>2615</v>
      </c>
      <c r="K354" t="s">
        <v>2615</v>
      </c>
      <c r="L354" t="s">
        <v>2616</v>
      </c>
      <c r="N354" t="s">
        <v>2617</v>
      </c>
      <c r="Q354" t="s">
        <v>778</v>
      </c>
      <c r="R354" t="s">
        <v>2618</v>
      </c>
      <c r="S354" t="s">
        <v>790</v>
      </c>
      <c r="W354" t="s">
        <v>1704</v>
      </c>
      <c r="X354" t="s">
        <v>780</v>
      </c>
      <c r="Y354" t="s">
        <v>816</v>
      </c>
      <c r="AA354" s="31">
        <v>46112</v>
      </c>
      <c r="AB354">
        <v>58000</v>
      </c>
      <c r="AC354">
        <v>0</v>
      </c>
      <c r="AD354">
        <v>97</v>
      </c>
      <c r="AE354" t="s">
        <v>22</v>
      </c>
      <c r="AF354" s="31">
        <v>46030</v>
      </c>
      <c r="AG354" s="61">
        <v>0.72366898148148151</v>
      </c>
      <c r="AI354" t="s">
        <v>782</v>
      </c>
      <c r="AJ354" s="31"/>
      <c r="AK354" s="61"/>
      <c r="AO354" t="s">
        <v>2619</v>
      </c>
      <c r="AP354" t="s">
        <v>22</v>
      </c>
      <c r="AQ354" t="s">
        <v>2619</v>
      </c>
      <c r="AS354" s="31">
        <v>46101</v>
      </c>
      <c r="AT354">
        <v>90</v>
      </c>
      <c r="AU354">
        <v>290</v>
      </c>
      <c r="AV354" t="s">
        <v>318</v>
      </c>
      <c r="AW354" t="s">
        <v>4720</v>
      </c>
      <c r="AX354" t="s">
        <v>2606</v>
      </c>
      <c r="AY354">
        <v>1</v>
      </c>
    </row>
    <row r="355" spans="1:51" x14ac:dyDescent="0.25">
      <c r="A355" t="s">
        <v>22</v>
      </c>
      <c r="B355">
        <v>761</v>
      </c>
      <c r="D355">
        <v>3053</v>
      </c>
      <c r="E355" t="s">
        <v>2622</v>
      </c>
      <c r="G355" t="s">
        <v>2623</v>
      </c>
      <c r="H355">
        <v>12585697000199</v>
      </c>
      <c r="J355" t="s">
        <v>2624</v>
      </c>
      <c r="K355" t="s">
        <v>2624</v>
      </c>
      <c r="L355" t="s">
        <v>2625</v>
      </c>
      <c r="N355" t="s">
        <v>2626</v>
      </c>
      <c r="Q355" t="s">
        <v>778</v>
      </c>
      <c r="R355" t="s">
        <v>1837</v>
      </c>
      <c r="S355" t="s">
        <v>790</v>
      </c>
      <c r="X355" t="s">
        <v>780</v>
      </c>
      <c r="Y355" t="s">
        <v>807</v>
      </c>
      <c r="AA355" s="31">
        <v>46053</v>
      </c>
      <c r="AB355">
        <v>8100</v>
      </c>
      <c r="AC355">
        <v>1080</v>
      </c>
      <c r="AD355">
        <v>4</v>
      </c>
      <c r="AE355" t="s">
        <v>22</v>
      </c>
      <c r="AF355" s="31">
        <v>46030</v>
      </c>
      <c r="AG355" s="61">
        <v>0.72824074074074074</v>
      </c>
      <c r="AI355" t="s">
        <v>795</v>
      </c>
      <c r="AJ355" s="31">
        <v>46034</v>
      </c>
      <c r="AK355" s="61">
        <v>0.60534722222222226</v>
      </c>
      <c r="AL355" t="s">
        <v>858</v>
      </c>
      <c r="AO355" t="s">
        <v>2603</v>
      </c>
      <c r="AP355" t="s">
        <v>22</v>
      </c>
      <c r="AQ355" t="s">
        <v>2603</v>
      </c>
      <c r="AS355" s="31">
        <v>46031</v>
      </c>
      <c r="AY355">
        <v>1</v>
      </c>
    </row>
    <row r="356" spans="1:51" x14ac:dyDescent="0.25">
      <c r="A356" t="s">
        <v>22</v>
      </c>
      <c r="B356">
        <v>762</v>
      </c>
      <c r="D356">
        <v>3040</v>
      </c>
      <c r="E356" t="s">
        <v>2627</v>
      </c>
      <c r="G356" t="s">
        <v>2628</v>
      </c>
      <c r="J356" t="s">
        <v>2629</v>
      </c>
      <c r="K356" t="s">
        <v>2629</v>
      </c>
      <c r="L356">
        <v>11930305063</v>
      </c>
      <c r="N356" t="s">
        <v>2631</v>
      </c>
      <c r="Q356" t="s">
        <v>778</v>
      </c>
      <c r="T356" t="s">
        <v>2541</v>
      </c>
      <c r="W356" t="s">
        <v>2632</v>
      </c>
      <c r="X356" t="s">
        <v>780</v>
      </c>
      <c r="Y356" t="s">
        <v>897</v>
      </c>
      <c r="AA356" s="31">
        <v>46045</v>
      </c>
      <c r="AD356">
        <v>15</v>
      </c>
      <c r="AE356" t="s">
        <v>22</v>
      </c>
      <c r="AF356" s="31">
        <v>46030</v>
      </c>
      <c r="AG356" s="61">
        <v>0.7323263888888889</v>
      </c>
      <c r="AI356" t="s">
        <v>795</v>
      </c>
      <c r="AJ356" s="31">
        <v>46045</v>
      </c>
      <c r="AK356" s="61">
        <v>0.74736111111111114</v>
      </c>
      <c r="AL356" t="s">
        <v>1226</v>
      </c>
      <c r="AP356" t="s">
        <v>22</v>
      </c>
      <c r="AS356" s="31">
        <v>46045</v>
      </c>
      <c r="AY356">
        <v>1</v>
      </c>
    </row>
    <row r="357" spans="1:51" x14ac:dyDescent="0.25">
      <c r="A357" t="s">
        <v>44</v>
      </c>
      <c r="B357">
        <v>763</v>
      </c>
      <c r="D357">
        <v>3058</v>
      </c>
      <c r="E357" t="s">
        <v>2633</v>
      </c>
      <c r="G357" t="s">
        <v>2634</v>
      </c>
      <c r="H357">
        <v>55042933000133</v>
      </c>
      <c r="J357" t="s">
        <v>291</v>
      </c>
      <c r="K357" t="s">
        <v>291</v>
      </c>
      <c r="L357" t="s">
        <v>2635</v>
      </c>
      <c r="N357" t="s">
        <v>2636</v>
      </c>
      <c r="Q357" t="s">
        <v>778</v>
      </c>
      <c r="R357" t="s">
        <v>2637</v>
      </c>
      <c r="S357" t="s">
        <v>1105</v>
      </c>
      <c r="T357" t="s">
        <v>2541</v>
      </c>
      <c r="W357" t="s">
        <v>2542</v>
      </c>
      <c r="X357" t="s">
        <v>780</v>
      </c>
      <c r="Y357" t="s">
        <v>857</v>
      </c>
      <c r="AA357" s="31">
        <v>46053</v>
      </c>
      <c r="AB357">
        <v>61904</v>
      </c>
      <c r="AC357">
        <v>13156</v>
      </c>
      <c r="AD357">
        <v>20</v>
      </c>
      <c r="AE357" t="s">
        <v>44</v>
      </c>
      <c r="AF357" s="31">
        <v>46031</v>
      </c>
      <c r="AG357" s="61">
        <v>0.46917824074074072</v>
      </c>
      <c r="AI357" t="s">
        <v>795</v>
      </c>
      <c r="AJ357" s="31">
        <v>46051</v>
      </c>
      <c r="AK357" s="61">
        <v>0.60484953703703703</v>
      </c>
      <c r="AL357" t="s">
        <v>796</v>
      </c>
      <c r="AM357" t="s">
        <v>2638</v>
      </c>
      <c r="AO357" t="s">
        <v>2591</v>
      </c>
      <c r="AQ357" t="s">
        <v>2639</v>
      </c>
      <c r="AS357" s="31">
        <v>46051</v>
      </c>
      <c r="AY357">
        <v>1</v>
      </c>
    </row>
    <row r="358" spans="1:51" x14ac:dyDescent="0.25">
      <c r="A358" t="s">
        <v>31</v>
      </c>
      <c r="B358">
        <v>764</v>
      </c>
      <c r="D358">
        <v>3007</v>
      </c>
      <c r="E358" t="s">
        <v>2640</v>
      </c>
      <c r="G358" t="s">
        <v>2641</v>
      </c>
      <c r="H358">
        <v>51776465000170</v>
      </c>
      <c r="J358" t="s">
        <v>2642</v>
      </c>
      <c r="K358" t="s">
        <v>2642</v>
      </c>
      <c r="L358">
        <v>16996298460</v>
      </c>
      <c r="N358" t="s">
        <v>2644</v>
      </c>
      <c r="Q358" t="s">
        <v>778</v>
      </c>
      <c r="T358" t="s">
        <v>2541</v>
      </c>
      <c r="W358" t="s">
        <v>2542</v>
      </c>
      <c r="X358" t="s">
        <v>780</v>
      </c>
      <c r="Y358" t="s">
        <v>793</v>
      </c>
      <c r="AA358" s="31">
        <v>46112</v>
      </c>
      <c r="AD358">
        <v>27</v>
      </c>
      <c r="AE358" t="s">
        <v>31</v>
      </c>
      <c r="AF358" s="31">
        <v>46031</v>
      </c>
      <c r="AG358" s="61">
        <v>0.48917824074074068</v>
      </c>
      <c r="AI358" t="s">
        <v>795</v>
      </c>
      <c r="AJ358" s="31">
        <v>46058</v>
      </c>
      <c r="AK358" s="61">
        <v>0.62587962962962962</v>
      </c>
      <c r="AL358" t="s">
        <v>796</v>
      </c>
      <c r="AP358" t="s">
        <v>31</v>
      </c>
      <c r="AQ358" t="s">
        <v>2645</v>
      </c>
      <c r="AS358" s="31">
        <v>46050</v>
      </c>
      <c r="AY358">
        <v>1</v>
      </c>
    </row>
    <row r="359" spans="1:51" x14ac:dyDescent="0.25">
      <c r="A359" t="s">
        <v>22</v>
      </c>
      <c r="B359">
        <v>766</v>
      </c>
      <c r="D359">
        <v>3063</v>
      </c>
      <c r="E359" t="s">
        <v>2646</v>
      </c>
      <c r="G359" t="s">
        <v>2647</v>
      </c>
      <c r="J359" t="s">
        <v>2648</v>
      </c>
      <c r="K359" t="s">
        <v>2648</v>
      </c>
      <c r="L359">
        <v>11971597112</v>
      </c>
      <c r="N359" t="s">
        <v>1111</v>
      </c>
      <c r="Q359" t="s">
        <v>778</v>
      </c>
      <c r="W359" t="s">
        <v>2407</v>
      </c>
      <c r="X359" t="s">
        <v>780</v>
      </c>
      <c r="Y359" t="s">
        <v>816</v>
      </c>
      <c r="AA359" s="31">
        <v>46037</v>
      </c>
      <c r="AB359">
        <v>56100</v>
      </c>
      <c r="AC359">
        <v>67334</v>
      </c>
      <c r="AD359">
        <v>14</v>
      </c>
      <c r="AE359" t="s">
        <v>22</v>
      </c>
      <c r="AF359" s="31">
        <v>46031</v>
      </c>
      <c r="AG359" s="61">
        <v>0.64468749999999997</v>
      </c>
      <c r="AI359" t="s">
        <v>818</v>
      </c>
      <c r="AJ359" s="31">
        <v>46045</v>
      </c>
      <c r="AK359" s="61">
        <v>0.46248842592592587</v>
      </c>
      <c r="AO359" t="s">
        <v>2603</v>
      </c>
      <c r="AP359" t="s">
        <v>22</v>
      </c>
      <c r="AQ359" t="s">
        <v>2650</v>
      </c>
      <c r="AS359" s="31">
        <v>46037</v>
      </c>
      <c r="AY359">
        <v>1</v>
      </c>
    </row>
    <row r="360" spans="1:51" x14ac:dyDescent="0.25">
      <c r="A360" t="s">
        <v>22</v>
      </c>
      <c r="B360">
        <v>767</v>
      </c>
      <c r="D360">
        <v>3064</v>
      </c>
      <c r="E360" t="s">
        <v>4721</v>
      </c>
      <c r="G360" t="s">
        <v>2652</v>
      </c>
      <c r="J360" t="s">
        <v>2653</v>
      </c>
      <c r="K360" t="s">
        <v>2653</v>
      </c>
      <c r="L360">
        <v>11982745856</v>
      </c>
      <c r="N360" t="s">
        <v>2655</v>
      </c>
      <c r="Q360" t="s">
        <v>778</v>
      </c>
      <c r="W360" t="s">
        <v>2656</v>
      </c>
      <c r="X360" t="s">
        <v>780</v>
      </c>
      <c r="Y360" t="s">
        <v>807</v>
      </c>
      <c r="AA360" s="31">
        <v>46053</v>
      </c>
      <c r="AB360">
        <v>16000</v>
      </c>
      <c r="AC360">
        <v>18330</v>
      </c>
      <c r="AD360">
        <v>49</v>
      </c>
      <c r="AE360" t="s">
        <v>22</v>
      </c>
      <c r="AF360" s="31">
        <v>46031</v>
      </c>
      <c r="AG360" s="61">
        <v>0.65190972222222221</v>
      </c>
      <c r="AI360" t="s">
        <v>795</v>
      </c>
      <c r="AJ360" s="31">
        <v>46080</v>
      </c>
      <c r="AK360" s="61">
        <v>0.89033564814814814</v>
      </c>
      <c r="AL360" t="s">
        <v>867</v>
      </c>
      <c r="AO360" t="s">
        <v>2650</v>
      </c>
      <c r="AP360" t="s">
        <v>22</v>
      </c>
      <c r="AQ360" t="s">
        <v>2619</v>
      </c>
      <c r="AS360" s="31">
        <v>46041</v>
      </c>
      <c r="AT360">
        <v>30</v>
      </c>
      <c r="AU360">
        <v>80</v>
      </c>
      <c r="AV360" t="s">
        <v>63</v>
      </c>
      <c r="AW360" t="s">
        <v>1971</v>
      </c>
      <c r="AX360" t="s">
        <v>2657</v>
      </c>
      <c r="AY360">
        <v>1</v>
      </c>
    </row>
    <row r="361" spans="1:51" x14ac:dyDescent="0.25">
      <c r="A361" t="s">
        <v>31</v>
      </c>
      <c r="B361">
        <v>768</v>
      </c>
      <c r="D361">
        <v>2107</v>
      </c>
      <c r="E361" t="s">
        <v>2658</v>
      </c>
      <c r="F361" t="s">
        <v>2659</v>
      </c>
      <c r="G361" t="s">
        <v>2660</v>
      </c>
      <c r="H361">
        <v>10469551000152</v>
      </c>
      <c r="J361" t="s">
        <v>2661</v>
      </c>
      <c r="K361" t="s">
        <v>2661</v>
      </c>
      <c r="L361" t="s">
        <v>2662</v>
      </c>
      <c r="N361" t="s">
        <v>2663</v>
      </c>
      <c r="Q361" t="s">
        <v>778</v>
      </c>
      <c r="R361" t="s">
        <v>2664</v>
      </c>
      <c r="S361" t="s">
        <v>932</v>
      </c>
      <c r="T361" t="s">
        <v>805</v>
      </c>
      <c r="W361" t="s">
        <v>2665</v>
      </c>
      <c r="X361" t="s">
        <v>780</v>
      </c>
      <c r="Y361" t="s">
        <v>897</v>
      </c>
      <c r="AA361" s="31">
        <v>46142</v>
      </c>
      <c r="AD361">
        <v>11</v>
      </c>
      <c r="AE361" t="s">
        <v>31</v>
      </c>
      <c r="AF361" s="31">
        <v>46031</v>
      </c>
      <c r="AG361" s="61">
        <v>0.70384259259259263</v>
      </c>
      <c r="AI361" t="s">
        <v>795</v>
      </c>
      <c r="AJ361" s="31">
        <v>46042</v>
      </c>
      <c r="AK361" s="61">
        <v>0.71552083333333338</v>
      </c>
      <c r="AL361" t="s">
        <v>974</v>
      </c>
      <c r="AS361" s="31">
        <v>46035</v>
      </c>
      <c r="AY361">
        <v>1</v>
      </c>
    </row>
    <row r="362" spans="1:51" x14ac:dyDescent="0.25">
      <c r="A362" t="s">
        <v>22</v>
      </c>
      <c r="B362">
        <v>769</v>
      </c>
      <c r="D362">
        <v>2997</v>
      </c>
      <c r="E362" t="s">
        <v>2666</v>
      </c>
      <c r="G362" t="s">
        <v>2667</v>
      </c>
      <c r="J362" t="s">
        <v>2668</v>
      </c>
      <c r="K362" t="s">
        <v>2668</v>
      </c>
      <c r="L362">
        <v>11991898161</v>
      </c>
      <c r="N362" t="s">
        <v>2670</v>
      </c>
      <c r="Q362" t="s">
        <v>778</v>
      </c>
      <c r="T362" t="s">
        <v>2541</v>
      </c>
      <c r="W362" t="s">
        <v>2542</v>
      </c>
      <c r="X362" t="s">
        <v>780</v>
      </c>
      <c r="Y362" t="s">
        <v>897</v>
      </c>
      <c r="AA362" s="31">
        <v>46053</v>
      </c>
      <c r="AD362">
        <v>1</v>
      </c>
      <c r="AE362" t="s">
        <v>22</v>
      </c>
      <c r="AF362" s="31">
        <v>46034</v>
      </c>
      <c r="AG362" s="61">
        <v>0.72917824074074078</v>
      </c>
      <c r="AI362" t="s">
        <v>795</v>
      </c>
      <c r="AJ362" s="31">
        <v>46035</v>
      </c>
      <c r="AK362" s="61">
        <v>0.7297569444444445</v>
      </c>
      <c r="AL362" t="s">
        <v>858</v>
      </c>
      <c r="AP362" t="s">
        <v>22</v>
      </c>
      <c r="AS362" s="31"/>
      <c r="AY362">
        <v>1</v>
      </c>
    </row>
    <row r="363" spans="1:51" x14ac:dyDescent="0.25">
      <c r="A363" t="s">
        <v>22</v>
      </c>
      <c r="B363">
        <v>770</v>
      </c>
      <c r="D363">
        <v>3005</v>
      </c>
      <c r="E363" t="s">
        <v>4722</v>
      </c>
      <c r="G363" t="s">
        <v>2672</v>
      </c>
      <c r="H363">
        <v>18190972000151</v>
      </c>
      <c r="J363" t="s">
        <v>2673</v>
      </c>
      <c r="K363" t="s">
        <v>2673</v>
      </c>
      <c r="L363">
        <v>12997937887</v>
      </c>
      <c r="N363" t="s">
        <v>2675</v>
      </c>
      <c r="Q363" t="s">
        <v>778</v>
      </c>
      <c r="T363" t="s">
        <v>2541</v>
      </c>
      <c r="W363" t="s">
        <v>2542</v>
      </c>
      <c r="X363" t="s">
        <v>780</v>
      </c>
      <c r="Y363" t="s">
        <v>897</v>
      </c>
      <c r="AA363" s="31">
        <v>46053</v>
      </c>
      <c r="AD363">
        <v>38</v>
      </c>
      <c r="AE363" t="s">
        <v>22</v>
      </c>
      <c r="AF363" s="31">
        <v>46034</v>
      </c>
      <c r="AG363" s="61">
        <v>0.73178240740740741</v>
      </c>
      <c r="AI363" t="s">
        <v>795</v>
      </c>
      <c r="AJ363" s="31">
        <v>46072</v>
      </c>
      <c r="AK363" s="61">
        <v>0.74324074074074076</v>
      </c>
      <c r="AL363" t="s">
        <v>974</v>
      </c>
      <c r="AP363" t="s">
        <v>22</v>
      </c>
      <c r="AS363" s="31">
        <v>46045</v>
      </c>
      <c r="AT363">
        <v>30</v>
      </c>
      <c r="AY363">
        <v>1</v>
      </c>
    </row>
    <row r="364" spans="1:51" x14ac:dyDescent="0.25">
      <c r="A364" t="s">
        <v>22</v>
      </c>
      <c r="B364">
        <v>771</v>
      </c>
      <c r="D364">
        <v>3001</v>
      </c>
      <c r="E364" t="s">
        <v>4723</v>
      </c>
      <c r="G364" t="s">
        <v>394</v>
      </c>
      <c r="J364" t="s">
        <v>2677</v>
      </c>
      <c r="K364" t="s">
        <v>2677</v>
      </c>
      <c r="L364">
        <v>11991303160</v>
      </c>
      <c r="N364" t="s">
        <v>2679</v>
      </c>
      <c r="Q364" t="s">
        <v>778</v>
      </c>
      <c r="T364" t="s">
        <v>2541</v>
      </c>
      <c r="W364" t="s">
        <v>2542</v>
      </c>
      <c r="X364" t="s">
        <v>780</v>
      </c>
      <c r="Y364" t="s">
        <v>807</v>
      </c>
      <c r="AA364" s="31">
        <v>46112</v>
      </c>
      <c r="AB364">
        <v>6840289</v>
      </c>
      <c r="AC364">
        <v>44907</v>
      </c>
      <c r="AD364">
        <v>59</v>
      </c>
      <c r="AE364" t="s">
        <v>22</v>
      </c>
      <c r="AF364" s="31">
        <v>46034</v>
      </c>
      <c r="AG364" s="61">
        <v>0.7350578703703704</v>
      </c>
      <c r="AI364" t="s">
        <v>782</v>
      </c>
      <c r="AJ364" s="31">
        <v>46093</v>
      </c>
      <c r="AK364" s="61">
        <v>0.73149305555555555</v>
      </c>
      <c r="AM364">
        <v>0</v>
      </c>
      <c r="AO364" t="s">
        <v>395</v>
      </c>
      <c r="AP364" t="s">
        <v>22</v>
      </c>
      <c r="AQ364" t="s">
        <v>395</v>
      </c>
      <c r="AS364" s="31">
        <v>46101</v>
      </c>
      <c r="AT364">
        <v>30</v>
      </c>
      <c r="AV364" t="s">
        <v>321</v>
      </c>
      <c r="AY364">
        <v>1</v>
      </c>
    </row>
    <row r="365" spans="1:51" x14ac:dyDescent="0.25">
      <c r="A365" t="s">
        <v>22</v>
      </c>
      <c r="B365">
        <v>772</v>
      </c>
      <c r="D365">
        <v>3008</v>
      </c>
      <c r="E365" t="s">
        <v>2680</v>
      </c>
      <c r="G365" t="s">
        <v>2681</v>
      </c>
      <c r="J365" t="s">
        <v>2682</v>
      </c>
      <c r="K365" t="s">
        <v>2682</v>
      </c>
      <c r="L365" t="s">
        <v>2683</v>
      </c>
      <c r="N365" t="s">
        <v>2684</v>
      </c>
      <c r="Q365" t="s">
        <v>778</v>
      </c>
      <c r="R365" t="s">
        <v>2685</v>
      </c>
      <c r="T365" t="s">
        <v>814</v>
      </c>
      <c r="W365" t="s">
        <v>1718</v>
      </c>
      <c r="X365" t="s">
        <v>780</v>
      </c>
      <c r="Y365" t="s">
        <v>897</v>
      </c>
      <c r="AA365" s="31">
        <v>46053</v>
      </c>
      <c r="AD365">
        <v>0</v>
      </c>
      <c r="AE365" t="s">
        <v>22</v>
      </c>
      <c r="AF365" s="31">
        <v>46034</v>
      </c>
      <c r="AG365" s="61">
        <v>0.73835648148148147</v>
      </c>
      <c r="AI365" t="s">
        <v>795</v>
      </c>
      <c r="AJ365" s="31">
        <v>46034</v>
      </c>
      <c r="AK365" s="61">
        <v>0.93637731481481479</v>
      </c>
      <c r="AL365" t="s">
        <v>1226</v>
      </c>
      <c r="AP365" t="s">
        <v>22</v>
      </c>
      <c r="AS365" s="31"/>
      <c r="AY365">
        <v>1</v>
      </c>
    </row>
    <row r="366" spans="1:51" x14ac:dyDescent="0.25">
      <c r="A366" t="s">
        <v>22</v>
      </c>
      <c r="B366">
        <v>773</v>
      </c>
      <c r="D366">
        <v>3000</v>
      </c>
      <c r="E366" t="s">
        <v>2686</v>
      </c>
      <c r="G366" t="s">
        <v>2687</v>
      </c>
      <c r="J366" t="s">
        <v>2688</v>
      </c>
      <c r="K366" t="s">
        <v>2688</v>
      </c>
      <c r="L366" t="s">
        <v>2689</v>
      </c>
      <c r="N366" t="s">
        <v>2690</v>
      </c>
      <c r="Q366" t="s">
        <v>778</v>
      </c>
      <c r="R366" t="s">
        <v>2398</v>
      </c>
      <c r="T366" t="s">
        <v>814</v>
      </c>
      <c r="W366" t="s">
        <v>2691</v>
      </c>
      <c r="X366" t="s">
        <v>1191</v>
      </c>
      <c r="Y366" t="s">
        <v>2692</v>
      </c>
      <c r="AA366" s="31">
        <v>46053</v>
      </c>
      <c r="AD366">
        <v>93</v>
      </c>
      <c r="AE366" t="s">
        <v>22</v>
      </c>
      <c r="AF366" s="31">
        <v>46034</v>
      </c>
      <c r="AG366" s="61">
        <v>0.74041666666666661</v>
      </c>
      <c r="AI366" t="s">
        <v>782</v>
      </c>
      <c r="AJ366" s="31"/>
      <c r="AK366" s="61"/>
      <c r="AP366" t="s">
        <v>22</v>
      </c>
      <c r="AS366" s="31">
        <v>46045</v>
      </c>
      <c r="AT366">
        <v>30</v>
      </c>
      <c r="AY366">
        <v>1</v>
      </c>
    </row>
    <row r="367" spans="1:51" x14ac:dyDescent="0.25">
      <c r="A367" t="s">
        <v>44</v>
      </c>
      <c r="B367">
        <v>774</v>
      </c>
      <c r="D367">
        <v>3067</v>
      </c>
      <c r="E367" t="s">
        <v>2693</v>
      </c>
      <c r="G367" t="s">
        <v>2694</v>
      </c>
      <c r="J367" t="s">
        <v>2695</v>
      </c>
      <c r="K367" t="s">
        <v>2695</v>
      </c>
      <c r="L367">
        <v>51986006121</v>
      </c>
      <c r="N367" t="s">
        <v>2697</v>
      </c>
      <c r="Q367" t="s">
        <v>778</v>
      </c>
      <c r="T367" t="s">
        <v>2541</v>
      </c>
      <c r="W367" t="s">
        <v>2632</v>
      </c>
      <c r="X367" t="s">
        <v>780</v>
      </c>
      <c r="Y367" t="s">
        <v>897</v>
      </c>
      <c r="AA367" s="31">
        <v>46053</v>
      </c>
      <c r="AD367">
        <v>26</v>
      </c>
      <c r="AE367" t="s">
        <v>22</v>
      </c>
      <c r="AF367" s="31">
        <v>46034</v>
      </c>
      <c r="AG367" s="61">
        <v>0.91182870370370372</v>
      </c>
      <c r="AI367" t="s">
        <v>795</v>
      </c>
      <c r="AJ367" s="31">
        <v>46060</v>
      </c>
      <c r="AK367" s="61">
        <v>0.32128472222222221</v>
      </c>
      <c r="AL367" t="s">
        <v>1226</v>
      </c>
      <c r="AP367" t="s">
        <v>44</v>
      </c>
      <c r="AS367" s="31">
        <v>46042</v>
      </c>
      <c r="AY367">
        <v>1</v>
      </c>
    </row>
    <row r="368" spans="1:51" x14ac:dyDescent="0.25">
      <c r="A368" t="s">
        <v>44</v>
      </c>
      <c r="B368">
        <v>775</v>
      </c>
      <c r="D368">
        <v>3069</v>
      </c>
      <c r="E368" t="s">
        <v>2698</v>
      </c>
      <c r="G368" t="s">
        <v>2699</v>
      </c>
      <c r="J368" t="s">
        <v>2700</v>
      </c>
      <c r="K368" t="s">
        <v>2700</v>
      </c>
      <c r="L368">
        <v>92988541804</v>
      </c>
      <c r="N368" t="s">
        <v>2702</v>
      </c>
      <c r="Q368" t="s">
        <v>778</v>
      </c>
      <c r="T368" t="s">
        <v>2541</v>
      </c>
      <c r="W368" t="s">
        <v>2632</v>
      </c>
      <c r="X368" t="s">
        <v>780</v>
      </c>
      <c r="Y368" t="s">
        <v>897</v>
      </c>
      <c r="AA368" s="31">
        <v>46053</v>
      </c>
      <c r="AD368">
        <v>26</v>
      </c>
      <c r="AE368" t="s">
        <v>22</v>
      </c>
      <c r="AF368" s="31">
        <v>46034</v>
      </c>
      <c r="AG368" s="61">
        <v>0.91238425925925926</v>
      </c>
      <c r="AI368" t="s">
        <v>795</v>
      </c>
      <c r="AJ368" s="31">
        <v>46060</v>
      </c>
      <c r="AK368" s="61">
        <v>0.32656249999999998</v>
      </c>
      <c r="AL368" t="s">
        <v>1226</v>
      </c>
      <c r="AP368" t="s">
        <v>44</v>
      </c>
      <c r="AS368" s="31">
        <v>46038</v>
      </c>
      <c r="AY368">
        <v>1</v>
      </c>
    </row>
    <row r="369" spans="1:51" x14ac:dyDescent="0.25">
      <c r="A369" t="s">
        <v>31</v>
      </c>
      <c r="B369">
        <v>776</v>
      </c>
      <c r="D369">
        <v>3041</v>
      </c>
      <c r="E369" t="s">
        <v>2703</v>
      </c>
      <c r="G369" t="s">
        <v>2704</v>
      </c>
      <c r="J369" t="s">
        <v>334</v>
      </c>
      <c r="K369" t="s">
        <v>334</v>
      </c>
      <c r="L369">
        <v>6596658787</v>
      </c>
      <c r="N369" t="s">
        <v>2706</v>
      </c>
      <c r="Q369" t="s">
        <v>778</v>
      </c>
      <c r="T369" t="s">
        <v>2541</v>
      </c>
      <c r="W369" t="s">
        <v>2632</v>
      </c>
      <c r="X369" t="s">
        <v>780</v>
      </c>
      <c r="Y369" t="s">
        <v>897</v>
      </c>
      <c r="AA369" s="31">
        <v>46053</v>
      </c>
      <c r="AD369">
        <v>93</v>
      </c>
      <c r="AE369" t="s">
        <v>22</v>
      </c>
      <c r="AF369" s="31">
        <v>46034</v>
      </c>
      <c r="AG369" s="61">
        <v>0.91520833333333329</v>
      </c>
      <c r="AI369" t="s">
        <v>782</v>
      </c>
      <c r="AJ369" s="31"/>
      <c r="AK369" s="61"/>
      <c r="AP369" t="s">
        <v>31</v>
      </c>
      <c r="AS369" s="31">
        <v>46125</v>
      </c>
      <c r="AT369">
        <v>30</v>
      </c>
      <c r="AY369">
        <v>1</v>
      </c>
    </row>
    <row r="370" spans="1:51" x14ac:dyDescent="0.25">
      <c r="A370" t="s">
        <v>31</v>
      </c>
      <c r="B370">
        <v>777</v>
      </c>
      <c r="D370">
        <v>3047</v>
      </c>
      <c r="E370" t="s">
        <v>2707</v>
      </c>
      <c r="G370" t="s">
        <v>2708</v>
      </c>
      <c r="J370" t="s">
        <v>335</v>
      </c>
      <c r="K370" t="s">
        <v>335</v>
      </c>
      <c r="L370">
        <v>71996614629</v>
      </c>
      <c r="N370" t="s">
        <v>2710</v>
      </c>
      <c r="Q370" t="s">
        <v>778</v>
      </c>
      <c r="T370" t="s">
        <v>2541</v>
      </c>
      <c r="W370" t="s">
        <v>2632</v>
      </c>
      <c r="X370" t="s">
        <v>780</v>
      </c>
      <c r="Y370" t="s">
        <v>897</v>
      </c>
      <c r="AA370" s="31">
        <v>46053</v>
      </c>
      <c r="AD370">
        <v>26</v>
      </c>
      <c r="AE370" t="s">
        <v>22</v>
      </c>
      <c r="AF370" s="31">
        <v>46034</v>
      </c>
      <c r="AG370" s="61">
        <v>0.91591435185185188</v>
      </c>
      <c r="AI370" t="s">
        <v>795</v>
      </c>
      <c r="AJ370" s="31">
        <v>46060</v>
      </c>
      <c r="AK370" s="61">
        <v>0.32482638888888887</v>
      </c>
      <c r="AL370" t="s">
        <v>1226</v>
      </c>
      <c r="AP370" t="s">
        <v>31</v>
      </c>
      <c r="AS370" s="31">
        <v>46038</v>
      </c>
      <c r="AY370">
        <v>1</v>
      </c>
    </row>
    <row r="371" spans="1:51" x14ac:dyDescent="0.25">
      <c r="A371" t="s">
        <v>31</v>
      </c>
      <c r="B371">
        <v>778</v>
      </c>
      <c r="D371">
        <v>3059</v>
      </c>
      <c r="E371" t="s">
        <v>2711</v>
      </c>
      <c r="G371" t="s">
        <v>2712</v>
      </c>
      <c r="H371">
        <v>30250062000112</v>
      </c>
      <c r="J371" t="s">
        <v>2713</v>
      </c>
      <c r="K371" t="s">
        <v>2713</v>
      </c>
      <c r="L371">
        <v>21966014543</v>
      </c>
      <c r="N371" t="s">
        <v>2715</v>
      </c>
      <c r="Q371" t="s">
        <v>778</v>
      </c>
      <c r="R371" t="s">
        <v>847</v>
      </c>
      <c r="S371" t="s">
        <v>848</v>
      </c>
      <c r="T371" t="s">
        <v>2541</v>
      </c>
      <c r="W371" t="s">
        <v>2632</v>
      </c>
      <c r="X371" t="s">
        <v>780</v>
      </c>
      <c r="Y371" t="s">
        <v>897</v>
      </c>
      <c r="AA371" s="31">
        <v>46053</v>
      </c>
      <c r="AD371">
        <v>2</v>
      </c>
      <c r="AE371" t="s">
        <v>22</v>
      </c>
      <c r="AF371" s="31">
        <v>46034</v>
      </c>
      <c r="AG371" s="61">
        <v>0.91721064814814812</v>
      </c>
      <c r="AI371" t="s">
        <v>795</v>
      </c>
      <c r="AJ371" s="31">
        <v>46036</v>
      </c>
      <c r="AK371" s="61">
        <v>0.49593749999999998</v>
      </c>
      <c r="AL371" t="s">
        <v>1226</v>
      </c>
      <c r="AP371" t="s">
        <v>31</v>
      </c>
      <c r="AS371" s="31">
        <v>46035</v>
      </c>
      <c r="AY371">
        <v>1</v>
      </c>
    </row>
    <row r="372" spans="1:51" x14ac:dyDescent="0.25">
      <c r="A372" t="s">
        <v>31</v>
      </c>
      <c r="B372">
        <v>779</v>
      </c>
      <c r="D372">
        <v>3066</v>
      </c>
      <c r="E372" t="s">
        <v>2716</v>
      </c>
      <c r="G372" t="s">
        <v>2717</v>
      </c>
      <c r="H372">
        <v>22422233000115</v>
      </c>
      <c r="J372" t="s">
        <v>337</v>
      </c>
      <c r="K372" t="s">
        <v>337</v>
      </c>
      <c r="L372" t="s">
        <v>2718</v>
      </c>
      <c r="N372" t="s">
        <v>2719</v>
      </c>
      <c r="Q372" t="s">
        <v>778</v>
      </c>
      <c r="R372" t="s">
        <v>2720</v>
      </c>
      <c r="S372" t="s">
        <v>1699</v>
      </c>
      <c r="T372" t="s">
        <v>2541</v>
      </c>
      <c r="W372" t="s">
        <v>2632</v>
      </c>
      <c r="X372" t="s">
        <v>780</v>
      </c>
      <c r="Y372" t="s">
        <v>897</v>
      </c>
      <c r="AA372" s="31">
        <v>46053</v>
      </c>
      <c r="AD372">
        <v>4</v>
      </c>
      <c r="AE372" t="s">
        <v>22</v>
      </c>
      <c r="AF372" s="31">
        <v>46034</v>
      </c>
      <c r="AG372" s="61">
        <v>0.91776620370370365</v>
      </c>
      <c r="AI372" t="s">
        <v>795</v>
      </c>
      <c r="AJ372" s="31">
        <v>46038</v>
      </c>
      <c r="AK372" s="61">
        <v>0.39912037037037029</v>
      </c>
      <c r="AL372" t="s">
        <v>1226</v>
      </c>
      <c r="AP372" t="s">
        <v>31</v>
      </c>
      <c r="AS372" s="31">
        <v>46038</v>
      </c>
      <c r="AY372">
        <v>1</v>
      </c>
    </row>
    <row r="373" spans="1:51" x14ac:dyDescent="0.25">
      <c r="A373" t="s">
        <v>22</v>
      </c>
      <c r="B373">
        <v>780</v>
      </c>
      <c r="D373">
        <v>3068</v>
      </c>
      <c r="E373" t="s">
        <v>2721</v>
      </c>
      <c r="G373" t="s">
        <v>2722</v>
      </c>
      <c r="J373" t="s">
        <v>2723</v>
      </c>
      <c r="K373" t="s">
        <v>2723</v>
      </c>
      <c r="L373">
        <v>51997766708</v>
      </c>
      <c r="N373" t="s">
        <v>2725</v>
      </c>
      <c r="Q373" t="s">
        <v>778</v>
      </c>
      <c r="T373" t="s">
        <v>2541</v>
      </c>
      <c r="W373" t="s">
        <v>2632</v>
      </c>
      <c r="X373" t="s">
        <v>780</v>
      </c>
      <c r="Y373" t="s">
        <v>897</v>
      </c>
      <c r="AA373" s="31">
        <v>46053</v>
      </c>
      <c r="AD373">
        <v>26</v>
      </c>
      <c r="AE373" t="s">
        <v>22</v>
      </c>
      <c r="AF373" s="31">
        <v>46034</v>
      </c>
      <c r="AG373" s="61">
        <v>0.9183796296296296</v>
      </c>
      <c r="AI373" t="s">
        <v>795</v>
      </c>
      <c r="AJ373" s="31">
        <v>46060</v>
      </c>
      <c r="AK373" s="61">
        <v>0.31077546296296299</v>
      </c>
      <c r="AL373" t="s">
        <v>1226</v>
      </c>
      <c r="AM373" t="s">
        <v>2726</v>
      </c>
      <c r="AP373" t="s">
        <v>22</v>
      </c>
      <c r="AS373" s="31">
        <v>46045</v>
      </c>
      <c r="AT373">
        <v>30</v>
      </c>
      <c r="AY373">
        <v>1</v>
      </c>
    </row>
    <row r="374" spans="1:51" x14ac:dyDescent="0.25">
      <c r="A374" t="s">
        <v>31</v>
      </c>
      <c r="B374">
        <v>781</v>
      </c>
      <c r="D374">
        <v>3070</v>
      </c>
      <c r="E374" t="s">
        <v>2727</v>
      </c>
      <c r="G374" t="s">
        <v>2728</v>
      </c>
      <c r="H374">
        <v>29495831000163</v>
      </c>
      <c r="J374" t="s">
        <v>338</v>
      </c>
      <c r="K374" t="s">
        <v>338</v>
      </c>
      <c r="L374" t="s">
        <v>2729</v>
      </c>
      <c r="N374" t="s">
        <v>2730</v>
      </c>
      <c r="Q374" t="s">
        <v>778</v>
      </c>
      <c r="R374" t="s">
        <v>2731</v>
      </c>
      <c r="S374" t="s">
        <v>1105</v>
      </c>
      <c r="T374" t="s">
        <v>2541</v>
      </c>
      <c r="W374" t="s">
        <v>2632</v>
      </c>
      <c r="X374" t="s">
        <v>780</v>
      </c>
      <c r="Y374" t="s">
        <v>897</v>
      </c>
      <c r="AA374" s="31">
        <v>46053</v>
      </c>
      <c r="AD374">
        <v>4</v>
      </c>
      <c r="AE374" t="s">
        <v>22</v>
      </c>
      <c r="AF374" s="31">
        <v>46034</v>
      </c>
      <c r="AG374" s="61">
        <v>0.91886574074074079</v>
      </c>
      <c r="AI374" t="s">
        <v>795</v>
      </c>
      <c r="AJ374" s="31">
        <v>46038</v>
      </c>
      <c r="AK374" s="61">
        <v>0.39780092592592592</v>
      </c>
      <c r="AL374" t="s">
        <v>1226</v>
      </c>
      <c r="AP374" t="s">
        <v>31</v>
      </c>
      <c r="AS374" s="31">
        <v>46038</v>
      </c>
      <c r="AY374">
        <v>1</v>
      </c>
    </row>
    <row r="375" spans="1:51" x14ac:dyDescent="0.25">
      <c r="A375" t="s">
        <v>31</v>
      </c>
      <c r="B375">
        <v>782</v>
      </c>
      <c r="D375">
        <v>3009</v>
      </c>
      <c r="G375" t="s">
        <v>2732</v>
      </c>
      <c r="H375">
        <v>10942276000142</v>
      </c>
      <c r="J375" t="s">
        <v>2733</v>
      </c>
      <c r="K375" t="s">
        <v>2733</v>
      </c>
      <c r="L375">
        <v>4130959299</v>
      </c>
      <c r="N375" t="s">
        <v>2735</v>
      </c>
      <c r="Q375" t="s">
        <v>778</v>
      </c>
      <c r="T375" t="s">
        <v>2541</v>
      </c>
      <c r="W375" t="s">
        <v>2559</v>
      </c>
      <c r="X375" t="s">
        <v>780</v>
      </c>
      <c r="Y375" t="s">
        <v>781</v>
      </c>
      <c r="AA375" s="31"/>
      <c r="AD375">
        <v>0</v>
      </c>
      <c r="AE375" t="s">
        <v>22</v>
      </c>
      <c r="AF375" s="31">
        <v>46034</v>
      </c>
      <c r="AG375" s="61">
        <v>0.94203703703703701</v>
      </c>
      <c r="AI375" t="s">
        <v>795</v>
      </c>
      <c r="AJ375" s="31">
        <v>46034</v>
      </c>
      <c r="AK375" s="61">
        <v>0.94229166666666664</v>
      </c>
      <c r="AL375" t="s">
        <v>1226</v>
      </c>
      <c r="AP375" t="s">
        <v>31</v>
      </c>
      <c r="AS375" s="31"/>
      <c r="AY375">
        <v>1</v>
      </c>
    </row>
    <row r="376" spans="1:51" x14ac:dyDescent="0.25">
      <c r="A376" t="s">
        <v>22</v>
      </c>
      <c r="B376">
        <v>783</v>
      </c>
      <c r="D376">
        <v>3010</v>
      </c>
      <c r="G376" t="s">
        <v>2736</v>
      </c>
      <c r="J376" t="s">
        <v>2737</v>
      </c>
      <c r="K376" t="s">
        <v>2737</v>
      </c>
      <c r="L376">
        <v>41997238911</v>
      </c>
      <c r="N376" t="s">
        <v>2739</v>
      </c>
      <c r="Q376" t="s">
        <v>778</v>
      </c>
      <c r="T376" t="s">
        <v>2541</v>
      </c>
      <c r="W376" t="s">
        <v>2559</v>
      </c>
      <c r="X376" t="s">
        <v>780</v>
      </c>
      <c r="Y376" t="s">
        <v>781</v>
      </c>
      <c r="AA376" s="31"/>
      <c r="AD376">
        <v>0</v>
      </c>
      <c r="AE376" t="s">
        <v>22</v>
      </c>
      <c r="AF376" s="31">
        <v>46034</v>
      </c>
      <c r="AG376" s="61">
        <v>0.94284722222222217</v>
      </c>
      <c r="AI376" t="s">
        <v>795</v>
      </c>
      <c r="AJ376" s="31">
        <v>46034</v>
      </c>
      <c r="AK376" s="61">
        <v>0.94303240740740746</v>
      </c>
      <c r="AL376" t="s">
        <v>1226</v>
      </c>
      <c r="AP376" t="s">
        <v>31</v>
      </c>
      <c r="AS376" s="31"/>
      <c r="AY376">
        <v>1</v>
      </c>
    </row>
    <row r="377" spans="1:51" x14ac:dyDescent="0.25">
      <c r="A377" t="s">
        <v>22</v>
      </c>
      <c r="B377">
        <v>784</v>
      </c>
      <c r="D377">
        <v>3015</v>
      </c>
      <c r="G377" t="s">
        <v>2740</v>
      </c>
      <c r="J377" t="s">
        <v>2741</v>
      </c>
      <c r="K377" t="s">
        <v>2741</v>
      </c>
      <c r="L377">
        <v>42998191259</v>
      </c>
      <c r="N377" t="s">
        <v>2743</v>
      </c>
      <c r="Q377" t="s">
        <v>778</v>
      </c>
      <c r="T377" t="s">
        <v>2541</v>
      </c>
      <c r="W377" t="s">
        <v>2559</v>
      </c>
      <c r="X377" t="s">
        <v>780</v>
      </c>
      <c r="Y377" t="s">
        <v>781</v>
      </c>
      <c r="AA377" s="31"/>
      <c r="AD377">
        <v>0</v>
      </c>
      <c r="AE377" t="s">
        <v>22</v>
      </c>
      <c r="AF377" s="31">
        <v>46034</v>
      </c>
      <c r="AG377" s="61">
        <v>0.94368055555555552</v>
      </c>
      <c r="AI377" t="s">
        <v>795</v>
      </c>
      <c r="AJ377" s="31">
        <v>46034</v>
      </c>
      <c r="AK377" s="61">
        <v>0.94380787037037039</v>
      </c>
      <c r="AL377" t="s">
        <v>1226</v>
      </c>
      <c r="AP377" t="s">
        <v>44</v>
      </c>
      <c r="AS377" s="31"/>
      <c r="AY377">
        <v>1</v>
      </c>
    </row>
    <row r="378" spans="1:51" x14ac:dyDescent="0.25">
      <c r="A378" t="s">
        <v>22</v>
      </c>
      <c r="B378">
        <v>785</v>
      </c>
      <c r="D378">
        <v>2669</v>
      </c>
      <c r="G378" t="s">
        <v>2744</v>
      </c>
      <c r="J378" t="s">
        <v>2745</v>
      </c>
      <c r="K378" t="s">
        <v>2745</v>
      </c>
      <c r="L378" t="s">
        <v>2746</v>
      </c>
      <c r="N378" t="s">
        <v>2747</v>
      </c>
      <c r="Q378" t="s">
        <v>778</v>
      </c>
      <c r="R378" t="s">
        <v>2748</v>
      </c>
      <c r="T378" t="s">
        <v>814</v>
      </c>
      <c r="W378" t="s">
        <v>2749</v>
      </c>
      <c r="X378" t="s">
        <v>780</v>
      </c>
      <c r="Y378" t="s">
        <v>781</v>
      </c>
      <c r="AA378" s="31"/>
      <c r="AD378">
        <v>0</v>
      </c>
      <c r="AE378" t="s">
        <v>22</v>
      </c>
      <c r="AF378" s="31">
        <v>46034</v>
      </c>
      <c r="AG378" s="61">
        <v>0.94418981481481479</v>
      </c>
      <c r="AI378" t="s">
        <v>795</v>
      </c>
      <c r="AJ378" s="31">
        <v>46034</v>
      </c>
      <c r="AK378" s="61">
        <v>0.9443287037037037</v>
      </c>
      <c r="AL378" t="s">
        <v>1226</v>
      </c>
      <c r="AP378" t="s">
        <v>44</v>
      </c>
      <c r="AS378" s="31"/>
      <c r="AY378">
        <v>1</v>
      </c>
    </row>
    <row r="379" spans="1:51" x14ac:dyDescent="0.25">
      <c r="A379" t="s">
        <v>22</v>
      </c>
      <c r="B379">
        <v>786</v>
      </c>
      <c r="D379">
        <v>3045</v>
      </c>
      <c r="G379" t="s">
        <v>2750</v>
      </c>
      <c r="J379" t="s">
        <v>2751</v>
      </c>
      <c r="K379" t="s">
        <v>2751</v>
      </c>
      <c r="L379">
        <v>18998215566</v>
      </c>
      <c r="N379" t="s">
        <v>2753</v>
      </c>
      <c r="Q379" t="s">
        <v>778</v>
      </c>
      <c r="T379" t="s">
        <v>2541</v>
      </c>
      <c r="W379" t="s">
        <v>2559</v>
      </c>
      <c r="X379" t="s">
        <v>780</v>
      </c>
      <c r="Y379" t="s">
        <v>781</v>
      </c>
      <c r="AA379" s="31"/>
      <c r="AD379">
        <v>0</v>
      </c>
      <c r="AE379" t="s">
        <v>22</v>
      </c>
      <c r="AF379" s="31">
        <v>46034</v>
      </c>
      <c r="AG379" s="61">
        <v>0.94474537037037032</v>
      </c>
      <c r="AI379" t="s">
        <v>795</v>
      </c>
      <c r="AJ379" s="31">
        <v>46034</v>
      </c>
      <c r="AK379" s="61">
        <v>0.94488425925925923</v>
      </c>
      <c r="AL379" t="s">
        <v>1226</v>
      </c>
      <c r="AP379" t="s">
        <v>44</v>
      </c>
      <c r="AS379" s="31"/>
      <c r="AY379">
        <v>1</v>
      </c>
    </row>
    <row r="380" spans="1:51" x14ac:dyDescent="0.25">
      <c r="A380" t="s">
        <v>44</v>
      </c>
      <c r="B380">
        <v>787</v>
      </c>
      <c r="D380">
        <v>3057</v>
      </c>
      <c r="G380" t="s">
        <v>2754</v>
      </c>
      <c r="H380">
        <v>10269690000132</v>
      </c>
      <c r="J380" t="s">
        <v>2755</v>
      </c>
      <c r="K380" t="s">
        <v>2755</v>
      </c>
      <c r="L380">
        <v>27999479659</v>
      </c>
      <c r="N380" t="s">
        <v>2757</v>
      </c>
      <c r="Q380" t="s">
        <v>778</v>
      </c>
      <c r="T380" t="s">
        <v>2541</v>
      </c>
      <c r="W380" t="s">
        <v>2559</v>
      </c>
      <c r="X380" t="s">
        <v>780</v>
      </c>
      <c r="Y380" t="s">
        <v>781</v>
      </c>
      <c r="AA380" s="31"/>
      <c r="AD380">
        <v>24</v>
      </c>
      <c r="AE380" t="s">
        <v>22</v>
      </c>
      <c r="AF380" s="31">
        <v>46034</v>
      </c>
      <c r="AG380" s="61">
        <v>0.94528935185185181</v>
      </c>
      <c r="AI380" t="s">
        <v>795</v>
      </c>
      <c r="AJ380" s="31">
        <v>46058</v>
      </c>
      <c r="AK380" s="61">
        <v>0.52218750000000003</v>
      </c>
      <c r="AL380" t="s">
        <v>796</v>
      </c>
      <c r="AM380" t="s">
        <v>2758</v>
      </c>
      <c r="AP380" t="s">
        <v>44</v>
      </c>
      <c r="AS380" s="31"/>
      <c r="AY380">
        <v>1</v>
      </c>
    </row>
    <row r="381" spans="1:51" x14ac:dyDescent="0.25">
      <c r="A381" t="s">
        <v>31</v>
      </c>
      <c r="B381">
        <v>788</v>
      </c>
      <c r="D381">
        <v>3083</v>
      </c>
      <c r="E381" t="s">
        <v>4724</v>
      </c>
      <c r="F381" t="s">
        <v>2760</v>
      </c>
      <c r="G381" t="s">
        <v>2761</v>
      </c>
      <c r="H381">
        <v>14078994000254</v>
      </c>
      <c r="J381" t="s">
        <v>2760</v>
      </c>
      <c r="K381" t="s">
        <v>2760</v>
      </c>
      <c r="L381" t="s">
        <v>2762</v>
      </c>
      <c r="N381" t="s">
        <v>2763</v>
      </c>
      <c r="Q381" t="s">
        <v>778</v>
      </c>
      <c r="R381" t="s">
        <v>2117</v>
      </c>
      <c r="S381" t="s">
        <v>1105</v>
      </c>
      <c r="T381" t="s">
        <v>805</v>
      </c>
      <c r="W381" t="s">
        <v>2764</v>
      </c>
      <c r="X381" t="s">
        <v>780</v>
      </c>
      <c r="Y381" t="s">
        <v>807</v>
      </c>
      <c r="AA381" s="31">
        <v>46142</v>
      </c>
      <c r="AB381">
        <v>16800</v>
      </c>
      <c r="AC381">
        <v>73717</v>
      </c>
      <c r="AD381">
        <v>13</v>
      </c>
      <c r="AE381" t="s">
        <v>31</v>
      </c>
      <c r="AF381" s="31">
        <v>46035</v>
      </c>
      <c r="AG381" s="61">
        <v>0.67313657407407412</v>
      </c>
      <c r="AI381" t="s">
        <v>782</v>
      </c>
      <c r="AJ381" s="31">
        <v>46048</v>
      </c>
      <c r="AK381" s="61">
        <v>0.39111111111111108</v>
      </c>
      <c r="AM381">
        <v>0</v>
      </c>
      <c r="AO381" t="s">
        <v>2590</v>
      </c>
      <c r="AP381" t="s">
        <v>31</v>
      </c>
      <c r="AQ381" t="s">
        <v>2590</v>
      </c>
      <c r="AR381" t="s">
        <v>4706</v>
      </c>
      <c r="AS381" s="31">
        <v>46127</v>
      </c>
      <c r="AT381">
        <v>50</v>
      </c>
      <c r="AV381" t="s">
        <v>63</v>
      </c>
      <c r="AY381">
        <v>1</v>
      </c>
    </row>
    <row r="382" spans="1:51" x14ac:dyDescent="0.25">
      <c r="A382" t="s">
        <v>22</v>
      </c>
      <c r="B382">
        <v>789</v>
      </c>
      <c r="D382">
        <v>3084</v>
      </c>
      <c r="E382" t="s">
        <v>4725</v>
      </c>
      <c r="G382" t="s">
        <v>2766</v>
      </c>
      <c r="H382">
        <v>31507103000176</v>
      </c>
      <c r="J382" t="s">
        <v>2767</v>
      </c>
      <c r="K382" t="s">
        <v>2767</v>
      </c>
      <c r="L382">
        <v>18997715980</v>
      </c>
      <c r="N382" t="s">
        <v>2769</v>
      </c>
      <c r="Q382" t="s">
        <v>778</v>
      </c>
      <c r="W382" t="s">
        <v>1419</v>
      </c>
      <c r="X382" t="s">
        <v>780</v>
      </c>
      <c r="Y382" t="s">
        <v>807</v>
      </c>
      <c r="AA382" s="31">
        <v>46112</v>
      </c>
      <c r="AB382">
        <v>13100</v>
      </c>
      <c r="AC382">
        <v>1700</v>
      </c>
      <c r="AD382">
        <v>87</v>
      </c>
      <c r="AE382" t="s">
        <v>22</v>
      </c>
      <c r="AF382" s="31">
        <v>46035</v>
      </c>
      <c r="AG382" s="61">
        <v>0.67557870370370365</v>
      </c>
      <c r="AI382" t="s">
        <v>795</v>
      </c>
      <c r="AJ382" s="31">
        <v>46122</v>
      </c>
      <c r="AK382" s="61">
        <v>0.71947916666666667</v>
      </c>
      <c r="AL382" t="s">
        <v>1358</v>
      </c>
      <c r="AO382" t="s">
        <v>2770</v>
      </c>
      <c r="AP382" t="s">
        <v>22</v>
      </c>
      <c r="AQ382" t="s">
        <v>2770</v>
      </c>
      <c r="AS382" s="31">
        <v>46101</v>
      </c>
      <c r="AT382">
        <v>50</v>
      </c>
      <c r="AU382">
        <v>80</v>
      </c>
      <c r="AV382" t="s">
        <v>69</v>
      </c>
      <c r="AW382" t="s">
        <v>2490</v>
      </c>
      <c r="AX382" t="s">
        <v>2491</v>
      </c>
      <c r="AY382">
        <v>1</v>
      </c>
    </row>
    <row r="383" spans="1:51" x14ac:dyDescent="0.25">
      <c r="A383" t="s">
        <v>44</v>
      </c>
      <c r="B383">
        <v>790</v>
      </c>
      <c r="D383">
        <v>3071</v>
      </c>
      <c r="E383" t="s">
        <v>2771</v>
      </c>
      <c r="G383" t="s">
        <v>2772</v>
      </c>
      <c r="J383" t="s">
        <v>2773</v>
      </c>
      <c r="K383" t="s">
        <v>2773</v>
      </c>
      <c r="L383">
        <v>16981830404</v>
      </c>
      <c r="N383" t="s">
        <v>2775</v>
      </c>
      <c r="Q383" t="s">
        <v>778</v>
      </c>
      <c r="T383" t="s">
        <v>2541</v>
      </c>
      <c r="W383" t="s">
        <v>2559</v>
      </c>
      <c r="X383" t="s">
        <v>780</v>
      </c>
      <c r="Y383" t="s">
        <v>897</v>
      </c>
      <c r="AA383" s="31">
        <v>46053</v>
      </c>
      <c r="AD383">
        <v>23</v>
      </c>
      <c r="AE383" t="s">
        <v>22</v>
      </c>
      <c r="AF383" s="31">
        <v>46035</v>
      </c>
      <c r="AG383" s="61">
        <v>0.70442129629629635</v>
      </c>
      <c r="AI383" t="s">
        <v>795</v>
      </c>
      <c r="AJ383" s="31">
        <v>46058</v>
      </c>
      <c r="AK383" s="61">
        <v>0.59414351851851854</v>
      </c>
      <c r="AL383" t="s">
        <v>1226</v>
      </c>
      <c r="AP383" t="s">
        <v>44</v>
      </c>
      <c r="AS383" s="31">
        <v>46038</v>
      </c>
      <c r="AY383">
        <v>1</v>
      </c>
    </row>
    <row r="384" spans="1:51" x14ac:dyDescent="0.25">
      <c r="A384" t="s">
        <v>31</v>
      </c>
      <c r="B384">
        <v>792</v>
      </c>
      <c r="D384">
        <v>3072</v>
      </c>
      <c r="E384" t="s">
        <v>2776</v>
      </c>
      <c r="G384" t="s">
        <v>2777</v>
      </c>
      <c r="H384">
        <v>6037707000230</v>
      </c>
      <c r="J384" t="s">
        <v>2778</v>
      </c>
      <c r="K384" t="s">
        <v>2778</v>
      </c>
      <c r="L384">
        <v>67999299440</v>
      </c>
      <c r="N384" t="s">
        <v>2780</v>
      </c>
      <c r="Q384" t="s">
        <v>778</v>
      </c>
      <c r="T384" t="s">
        <v>2541</v>
      </c>
      <c r="W384" t="s">
        <v>2559</v>
      </c>
      <c r="X384" t="s">
        <v>780</v>
      </c>
      <c r="Y384" t="s">
        <v>897</v>
      </c>
      <c r="AA384" s="31">
        <v>46053</v>
      </c>
      <c r="AD384">
        <v>31</v>
      </c>
      <c r="AE384" t="s">
        <v>22</v>
      </c>
      <c r="AF384" s="31">
        <v>46035</v>
      </c>
      <c r="AG384" s="61">
        <v>0.70565972222222217</v>
      </c>
      <c r="AI384" t="s">
        <v>795</v>
      </c>
      <c r="AJ384" s="31">
        <v>46066</v>
      </c>
      <c r="AK384" s="61">
        <v>0.49041666666666672</v>
      </c>
      <c r="AL384" t="s">
        <v>1226</v>
      </c>
      <c r="AP384" t="s">
        <v>31</v>
      </c>
      <c r="AS384" s="31">
        <v>46065</v>
      </c>
      <c r="AT384">
        <v>30</v>
      </c>
      <c r="AY384">
        <v>1</v>
      </c>
    </row>
    <row r="385" spans="1:51" x14ac:dyDescent="0.25">
      <c r="A385" t="s">
        <v>22</v>
      </c>
      <c r="B385">
        <v>793</v>
      </c>
      <c r="D385">
        <v>3082</v>
      </c>
      <c r="E385" t="s">
        <v>4726</v>
      </c>
      <c r="G385" t="s">
        <v>2782</v>
      </c>
      <c r="J385" t="s">
        <v>2783</v>
      </c>
      <c r="K385" t="s">
        <v>2783</v>
      </c>
      <c r="L385" t="s">
        <v>2784</v>
      </c>
      <c r="N385" t="s">
        <v>2785</v>
      </c>
      <c r="Q385" t="s">
        <v>778</v>
      </c>
      <c r="R385" t="s">
        <v>923</v>
      </c>
      <c r="T385" t="s">
        <v>814</v>
      </c>
      <c r="W385" t="s">
        <v>2391</v>
      </c>
      <c r="X385" t="s">
        <v>780</v>
      </c>
      <c r="Y385" t="s">
        <v>897</v>
      </c>
      <c r="AA385" s="31">
        <v>46053</v>
      </c>
      <c r="AD385">
        <v>37</v>
      </c>
      <c r="AE385" t="s">
        <v>22</v>
      </c>
      <c r="AF385" s="31">
        <v>46035</v>
      </c>
      <c r="AG385" s="61">
        <v>0.7079050925925926</v>
      </c>
      <c r="AI385" t="s">
        <v>795</v>
      </c>
      <c r="AJ385" s="31">
        <v>46072</v>
      </c>
      <c r="AK385" s="61">
        <v>0.74432870370370374</v>
      </c>
      <c r="AL385" t="s">
        <v>1226</v>
      </c>
      <c r="AP385" t="s">
        <v>22</v>
      </c>
      <c r="AS385" s="31">
        <v>46045</v>
      </c>
      <c r="AT385">
        <v>30</v>
      </c>
      <c r="AY385">
        <v>1</v>
      </c>
    </row>
    <row r="386" spans="1:51" x14ac:dyDescent="0.25">
      <c r="A386" t="s">
        <v>31</v>
      </c>
      <c r="B386">
        <v>794</v>
      </c>
      <c r="D386">
        <v>3086</v>
      </c>
      <c r="E386" t="s">
        <v>2786</v>
      </c>
      <c r="G386" t="s">
        <v>2787</v>
      </c>
      <c r="J386" t="s">
        <v>2788</v>
      </c>
      <c r="K386" t="s">
        <v>2788</v>
      </c>
      <c r="L386">
        <v>16992159372</v>
      </c>
      <c r="N386" t="s">
        <v>2790</v>
      </c>
      <c r="Q386" t="s">
        <v>778</v>
      </c>
      <c r="T386" t="s">
        <v>2541</v>
      </c>
      <c r="W386" t="s">
        <v>2791</v>
      </c>
      <c r="X386" t="s">
        <v>780</v>
      </c>
      <c r="Y386" t="s">
        <v>793</v>
      </c>
      <c r="AA386" s="31">
        <v>46053</v>
      </c>
      <c r="AB386">
        <v>6168744</v>
      </c>
      <c r="AC386">
        <v>149828</v>
      </c>
      <c r="AD386">
        <v>13</v>
      </c>
      <c r="AE386" t="s">
        <v>22</v>
      </c>
      <c r="AF386" s="31">
        <v>46035</v>
      </c>
      <c r="AG386" s="61">
        <v>0.73750000000000004</v>
      </c>
      <c r="AI386" t="s">
        <v>795</v>
      </c>
      <c r="AJ386" s="31">
        <v>46048</v>
      </c>
      <c r="AK386" s="61">
        <v>0.39319444444444451</v>
      </c>
      <c r="AL386" t="s">
        <v>867</v>
      </c>
      <c r="AO386" t="s">
        <v>2792</v>
      </c>
      <c r="AP386" t="s">
        <v>31</v>
      </c>
      <c r="AQ386" t="s">
        <v>2645</v>
      </c>
      <c r="AS386" s="31">
        <v>46048</v>
      </c>
      <c r="AY386">
        <v>1</v>
      </c>
    </row>
    <row r="387" spans="1:51" x14ac:dyDescent="0.25">
      <c r="A387" t="s">
        <v>22</v>
      </c>
      <c r="B387">
        <v>795</v>
      </c>
      <c r="D387">
        <v>3088</v>
      </c>
      <c r="E387" t="s">
        <v>4727</v>
      </c>
      <c r="G387" t="s">
        <v>2793</v>
      </c>
      <c r="H387">
        <v>3674537000125</v>
      </c>
      <c r="J387" t="s">
        <v>2794</v>
      </c>
      <c r="K387" t="s">
        <v>2794</v>
      </c>
      <c r="L387">
        <v>12974030134</v>
      </c>
      <c r="N387" t="s">
        <v>2796</v>
      </c>
      <c r="Q387" t="s">
        <v>778</v>
      </c>
      <c r="W387" t="s">
        <v>1419</v>
      </c>
      <c r="X387" t="s">
        <v>780</v>
      </c>
      <c r="Y387" t="s">
        <v>807</v>
      </c>
      <c r="AA387" s="31">
        <v>46112</v>
      </c>
      <c r="AB387">
        <v>1600</v>
      </c>
      <c r="AC387">
        <v>384454</v>
      </c>
      <c r="AD387">
        <v>87</v>
      </c>
      <c r="AE387" t="s">
        <v>22</v>
      </c>
      <c r="AF387" s="31">
        <v>46035</v>
      </c>
      <c r="AG387" s="61">
        <v>0.9553356481481482</v>
      </c>
      <c r="AI387" t="s">
        <v>795</v>
      </c>
      <c r="AJ387" s="31">
        <v>46122</v>
      </c>
      <c r="AK387" s="61">
        <v>0.66369212962962965</v>
      </c>
      <c r="AL387" t="s">
        <v>796</v>
      </c>
      <c r="AP387" t="s">
        <v>22</v>
      </c>
      <c r="AS387" s="31">
        <v>46101</v>
      </c>
      <c r="AT387">
        <v>30</v>
      </c>
      <c r="AU387">
        <v>7</v>
      </c>
      <c r="AV387" t="s">
        <v>53</v>
      </c>
      <c r="AW387" t="s">
        <v>2798</v>
      </c>
      <c r="AX387" t="s">
        <v>2799</v>
      </c>
      <c r="AY387">
        <v>1</v>
      </c>
    </row>
    <row r="388" spans="1:51" x14ac:dyDescent="0.25">
      <c r="A388" t="s">
        <v>22</v>
      </c>
      <c r="B388">
        <v>796</v>
      </c>
      <c r="D388">
        <v>3087</v>
      </c>
      <c r="E388" t="s">
        <v>2800</v>
      </c>
      <c r="G388" t="s">
        <v>2801</v>
      </c>
      <c r="J388" t="s">
        <v>2802</v>
      </c>
      <c r="K388" t="s">
        <v>2802</v>
      </c>
      <c r="L388">
        <v>35998687836</v>
      </c>
      <c r="N388" t="s">
        <v>2804</v>
      </c>
      <c r="Q388" t="s">
        <v>778</v>
      </c>
      <c r="T388" t="s">
        <v>2541</v>
      </c>
      <c r="W388" t="s">
        <v>2791</v>
      </c>
      <c r="X388" t="s">
        <v>780</v>
      </c>
      <c r="Y388" t="s">
        <v>897</v>
      </c>
      <c r="AA388" s="31">
        <v>46053</v>
      </c>
      <c r="AD388">
        <v>24</v>
      </c>
      <c r="AE388" t="s">
        <v>22</v>
      </c>
      <c r="AF388" s="31">
        <v>46036</v>
      </c>
      <c r="AG388" s="61">
        <v>0.42770833333333341</v>
      </c>
      <c r="AI388" t="s">
        <v>795</v>
      </c>
      <c r="AJ388" s="31">
        <v>46060</v>
      </c>
      <c r="AK388" s="61">
        <v>0.31616898148148148</v>
      </c>
      <c r="AL388" t="s">
        <v>1226</v>
      </c>
      <c r="AM388" t="s">
        <v>2805</v>
      </c>
      <c r="AP388" t="s">
        <v>22</v>
      </c>
      <c r="AS388" s="31">
        <v>46060</v>
      </c>
      <c r="AT388">
        <v>30</v>
      </c>
      <c r="AY388">
        <v>1</v>
      </c>
    </row>
    <row r="389" spans="1:51" x14ac:dyDescent="0.25">
      <c r="A389" t="s">
        <v>22</v>
      </c>
      <c r="B389">
        <v>799</v>
      </c>
      <c r="D389">
        <v>3091</v>
      </c>
      <c r="E389" t="s">
        <v>2806</v>
      </c>
      <c r="G389" t="s">
        <v>2807</v>
      </c>
      <c r="J389" t="s">
        <v>2648</v>
      </c>
      <c r="K389" t="s">
        <v>2648</v>
      </c>
      <c r="L389">
        <v>11971597112</v>
      </c>
      <c r="N389" t="s">
        <v>1111</v>
      </c>
      <c r="Q389" t="s">
        <v>778</v>
      </c>
      <c r="W389" t="s">
        <v>2407</v>
      </c>
      <c r="X389" t="s">
        <v>780</v>
      </c>
      <c r="Y389" t="s">
        <v>816</v>
      </c>
      <c r="AA389" s="31">
        <v>46037</v>
      </c>
      <c r="AB389">
        <v>1600</v>
      </c>
      <c r="AC389">
        <v>252471</v>
      </c>
      <c r="AD389">
        <v>9</v>
      </c>
      <c r="AE389" t="s">
        <v>22</v>
      </c>
      <c r="AF389" s="31">
        <v>46036</v>
      </c>
      <c r="AG389" s="61">
        <v>0.78824074074074069</v>
      </c>
      <c r="AI389" t="s">
        <v>818</v>
      </c>
      <c r="AJ389" s="31">
        <v>46045</v>
      </c>
      <c r="AK389" s="61">
        <v>0.46164351851851848</v>
      </c>
      <c r="AN389" t="s">
        <v>2808</v>
      </c>
      <c r="AO389" t="s">
        <v>2808</v>
      </c>
      <c r="AP389" t="s">
        <v>22</v>
      </c>
      <c r="AQ389" t="s">
        <v>2808</v>
      </c>
      <c r="AS389" s="31">
        <v>46037</v>
      </c>
      <c r="AY389">
        <v>1</v>
      </c>
    </row>
    <row r="390" spans="1:51" x14ac:dyDescent="0.25">
      <c r="A390" t="s">
        <v>31</v>
      </c>
      <c r="B390">
        <v>800</v>
      </c>
      <c r="D390">
        <v>3092</v>
      </c>
      <c r="G390" t="s">
        <v>2809</v>
      </c>
      <c r="H390">
        <v>9205460000120</v>
      </c>
      <c r="J390" t="s">
        <v>2810</v>
      </c>
      <c r="K390" t="s">
        <v>2810</v>
      </c>
      <c r="L390" t="s">
        <v>2811</v>
      </c>
      <c r="N390" t="s">
        <v>1111</v>
      </c>
      <c r="Q390" t="s">
        <v>778</v>
      </c>
      <c r="R390" t="s">
        <v>2812</v>
      </c>
      <c r="S390" t="s">
        <v>1067</v>
      </c>
      <c r="T390" t="s">
        <v>2541</v>
      </c>
      <c r="W390" t="s">
        <v>2559</v>
      </c>
      <c r="X390" t="s">
        <v>780</v>
      </c>
      <c r="Y390" t="s">
        <v>781</v>
      </c>
      <c r="AA390" s="31">
        <v>46053</v>
      </c>
      <c r="AD390">
        <v>7</v>
      </c>
      <c r="AE390" t="s">
        <v>22</v>
      </c>
      <c r="AF390" s="31">
        <v>46038</v>
      </c>
      <c r="AG390" s="61">
        <v>0.39675925925925931</v>
      </c>
      <c r="AI390" t="s">
        <v>795</v>
      </c>
      <c r="AJ390" s="31">
        <v>46045</v>
      </c>
      <c r="AK390" s="61">
        <v>0.71688657407407408</v>
      </c>
      <c r="AL390" t="s">
        <v>1226</v>
      </c>
      <c r="AP390" t="s">
        <v>31</v>
      </c>
      <c r="AS390" s="31">
        <v>46045</v>
      </c>
      <c r="AY390">
        <v>1</v>
      </c>
    </row>
    <row r="391" spans="1:51" x14ac:dyDescent="0.25">
      <c r="A391" t="s">
        <v>44</v>
      </c>
      <c r="B391">
        <v>803</v>
      </c>
      <c r="D391">
        <v>3094</v>
      </c>
      <c r="E391" t="s">
        <v>2813</v>
      </c>
      <c r="G391" t="s">
        <v>2814</v>
      </c>
      <c r="J391" t="s">
        <v>2815</v>
      </c>
      <c r="K391" t="s">
        <v>2815</v>
      </c>
      <c r="L391">
        <v>27999362925</v>
      </c>
      <c r="N391" t="s">
        <v>2817</v>
      </c>
      <c r="Q391" t="s">
        <v>778</v>
      </c>
      <c r="T391" t="s">
        <v>2541</v>
      </c>
      <c r="W391" t="s">
        <v>2559</v>
      </c>
      <c r="X391" t="s">
        <v>780</v>
      </c>
      <c r="Y391" t="s">
        <v>897</v>
      </c>
      <c r="AA391" s="31">
        <v>46053</v>
      </c>
      <c r="AD391">
        <v>20</v>
      </c>
      <c r="AE391" t="s">
        <v>22</v>
      </c>
      <c r="AF391" s="31">
        <v>46038</v>
      </c>
      <c r="AG391" s="61">
        <v>0.67024305555555552</v>
      </c>
      <c r="AI391" t="s">
        <v>795</v>
      </c>
      <c r="AJ391" s="31">
        <v>46058</v>
      </c>
      <c r="AK391" s="61">
        <v>0.52137731481481486</v>
      </c>
      <c r="AL391" t="s">
        <v>796</v>
      </c>
      <c r="AM391" t="s">
        <v>2818</v>
      </c>
      <c r="AP391" t="s">
        <v>44</v>
      </c>
      <c r="AS391" s="31">
        <v>46042</v>
      </c>
      <c r="AY391">
        <v>1</v>
      </c>
    </row>
    <row r="392" spans="1:51" x14ac:dyDescent="0.25">
      <c r="A392" t="s">
        <v>31</v>
      </c>
      <c r="B392">
        <v>804</v>
      </c>
      <c r="D392">
        <v>3099</v>
      </c>
      <c r="G392" t="s">
        <v>2819</v>
      </c>
      <c r="H392">
        <v>33036815000180</v>
      </c>
      <c r="J392" t="s">
        <v>2820</v>
      </c>
      <c r="K392" t="s">
        <v>2820</v>
      </c>
      <c r="L392">
        <v>21994011336</v>
      </c>
      <c r="N392" t="s">
        <v>2822</v>
      </c>
      <c r="Q392" t="s">
        <v>778</v>
      </c>
      <c r="T392" t="s">
        <v>2541</v>
      </c>
      <c r="W392" t="s">
        <v>2559</v>
      </c>
      <c r="X392" t="s">
        <v>780</v>
      </c>
      <c r="Y392" t="s">
        <v>781</v>
      </c>
      <c r="AA392" s="31">
        <v>46053</v>
      </c>
      <c r="AD392">
        <v>5</v>
      </c>
      <c r="AE392" t="s">
        <v>22</v>
      </c>
      <c r="AF392" s="31">
        <v>46038</v>
      </c>
      <c r="AG392" s="61">
        <v>0.67128472222222224</v>
      </c>
      <c r="AI392" t="s">
        <v>795</v>
      </c>
      <c r="AJ392" s="31">
        <v>46043</v>
      </c>
      <c r="AK392" s="61">
        <v>0.48775462962962962</v>
      </c>
      <c r="AL392" t="s">
        <v>1226</v>
      </c>
      <c r="AP392" t="s">
        <v>31</v>
      </c>
      <c r="AS392" s="31">
        <v>46043</v>
      </c>
      <c r="AY392">
        <v>1</v>
      </c>
    </row>
    <row r="393" spans="1:51" x14ac:dyDescent="0.25">
      <c r="A393" t="s">
        <v>44</v>
      </c>
      <c r="B393">
        <v>805</v>
      </c>
      <c r="D393">
        <v>3093</v>
      </c>
      <c r="E393" t="s">
        <v>4728</v>
      </c>
      <c r="G393" t="s">
        <v>2824</v>
      </c>
      <c r="H393">
        <v>53629067000156</v>
      </c>
      <c r="J393" t="s">
        <v>2825</v>
      </c>
      <c r="K393" t="s">
        <v>2825</v>
      </c>
      <c r="L393" t="s">
        <v>2826</v>
      </c>
      <c r="N393" t="s">
        <v>2827</v>
      </c>
      <c r="Q393" t="s">
        <v>778</v>
      </c>
      <c r="R393" t="s">
        <v>2828</v>
      </c>
      <c r="S393" t="s">
        <v>1699</v>
      </c>
      <c r="T393" t="s">
        <v>814</v>
      </c>
      <c r="W393" t="s">
        <v>1186</v>
      </c>
      <c r="X393" t="s">
        <v>780</v>
      </c>
      <c r="Y393" t="s">
        <v>793</v>
      </c>
      <c r="AA393" s="31">
        <v>46053</v>
      </c>
      <c r="AB393">
        <v>72080</v>
      </c>
      <c r="AC393">
        <v>18676</v>
      </c>
      <c r="AD393">
        <v>52</v>
      </c>
      <c r="AE393" t="s">
        <v>22</v>
      </c>
      <c r="AF393" s="31">
        <v>46038</v>
      </c>
      <c r="AG393" s="61">
        <v>0.67234953703703704</v>
      </c>
      <c r="AI393" t="s">
        <v>795</v>
      </c>
      <c r="AJ393" s="31">
        <v>46090</v>
      </c>
      <c r="AK393" s="61">
        <v>0.46006944444444442</v>
      </c>
      <c r="AL393" t="s">
        <v>796</v>
      </c>
      <c r="AM393" t="s">
        <v>4729</v>
      </c>
      <c r="AO393" t="s">
        <v>2829</v>
      </c>
      <c r="AP393" t="s">
        <v>44</v>
      </c>
      <c r="AQ393" t="s">
        <v>2829</v>
      </c>
      <c r="AS393" s="31">
        <v>46062</v>
      </c>
      <c r="AY393">
        <v>1</v>
      </c>
    </row>
    <row r="394" spans="1:51" x14ac:dyDescent="0.25">
      <c r="A394" t="s">
        <v>31</v>
      </c>
      <c r="B394">
        <v>818</v>
      </c>
      <c r="D394">
        <v>3101</v>
      </c>
      <c r="E394" t="s">
        <v>2830</v>
      </c>
      <c r="G394" t="s">
        <v>2831</v>
      </c>
      <c r="J394" t="s">
        <v>2832</v>
      </c>
      <c r="K394" t="s">
        <v>2832</v>
      </c>
      <c r="L394">
        <v>17999791171</v>
      </c>
      <c r="N394" t="s">
        <v>2834</v>
      </c>
      <c r="Q394" t="s">
        <v>778</v>
      </c>
      <c r="T394" t="s">
        <v>2541</v>
      </c>
      <c r="W394" t="s">
        <v>2791</v>
      </c>
      <c r="X394" t="s">
        <v>780</v>
      </c>
      <c r="Y394" t="s">
        <v>857</v>
      </c>
      <c r="AA394" s="31">
        <v>46112</v>
      </c>
      <c r="AD394">
        <v>9</v>
      </c>
      <c r="AE394" t="s">
        <v>22</v>
      </c>
      <c r="AF394" s="31">
        <v>46041</v>
      </c>
      <c r="AG394" s="61">
        <v>0.4798263888888889</v>
      </c>
      <c r="AI394" t="s">
        <v>795</v>
      </c>
      <c r="AJ394" s="31">
        <v>46050</v>
      </c>
      <c r="AK394" s="61">
        <v>0.68680555555555556</v>
      </c>
      <c r="AL394" t="s">
        <v>858</v>
      </c>
      <c r="AP394" t="s">
        <v>31</v>
      </c>
      <c r="AS394" s="31">
        <v>46050</v>
      </c>
      <c r="AY394">
        <v>1</v>
      </c>
    </row>
    <row r="395" spans="1:51" x14ac:dyDescent="0.25">
      <c r="A395" t="s">
        <v>44</v>
      </c>
      <c r="B395">
        <v>819</v>
      </c>
      <c r="D395">
        <v>3102</v>
      </c>
      <c r="E395" t="s">
        <v>2835</v>
      </c>
      <c r="G395" t="s">
        <v>2836</v>
      </c>
      <c r="H395">
        <v>49827202000109</v>
      </c>
      <c r="J395" t="s">
        <v>2837</v>
      </c>
      <c r="K395" t="s">
        <v>2837</v>
      </c>
      <c r="L395" t="s">
        <v>2838</v>
      </c>
      <c r="N395" t="s">
        <v>2839</v>
      </c>
      <c r="Q395" t="s">
        <v>778</v>
      </c>
      <c r="R395" t="s">
        <v>2840</v>
      </c>
      <c r="S395" t="s">
        <v>2841</v>
      </c>
      <c r="T395" t="s">
        <v>814</v>
      </c>
      <c r="W395" t="s">
        <v>2842</v>
      </c>
      <c r="X395" t="s">
        <v>780</v>
      </c>
      <c r="Y395" t="s">
        <v>857</v>
      </c>
      <c r="AA395" s="31">
        <v>46053</v>
      </c>
      <c r="AB395">
        <v>72080</v>
      </c>
      <c r="AC395">
        <v>881079</v>
      </c>
      <c r="AD395">
        <v>17</v>
      </c>
      <c r="AE395" t="s">
        <v>22</v>
      </c>
      <c r="AF395" s="31">
        <v>46041</v>
      </c>
      <c r="AG395" s="61">
        <v>0.4817939814814815</v>
      </c>
      <c r="AI395" t="s">
        <v>795</v>
      </c>
      <c r="AJ395" s="31">
        <v>46058</v>
      </c>
      <c r="AK395" s="61">
        <v>0.59219907407407413</v>
      </c>
      <c r="AL395" t="s">
        <v>867</v>
      </c>
      <c r="AM395" t="s">
        <v>2843</v>
      </c>
      <c r="AO395" t="s">
        <v>2829</v>
      </c>
      <c r="AP395" t="s">
        <v>44</v>
      </c>
      <c r="AQ395" t="s">
        <v>2590</v>
      </c>
      <c r="AS395" s="31">
        <v>46048</v>
      </c>
      <c r="AY395">
        <v>1</v>
      </c>
    </row>
    <row r="396" spans="1:51" x14ac:dyDescent="0.25">
      <c r="A396" t="s">
        <v>31</v>
      </c>
      <c r="B396">
        <v>820</v>
      </c>
      <c r="D396">
        <v>3103</v>
      </c>
      <c r="G396" t="s">
        <v>2844</v>
      </c>
      <c r="J396" t="s">
        <v>2845</v>
      </c>
      <c r="K396" t="s">
        <v>2845</v>
      </c>
      <c r="L396">
        <v>3194371833</v>
      </c>
      <c r="N396" t="s">
        <v>2847</v>
      </c>
      <c r="Q396" t="s">
        <v>778</v>
      </c>
      <c r="T396" t="s">
        <v>2541</v>
      </c>
      <c r="W396" t="s">
        <v>2559</v>
      </c>
      <c r="X396" t="s">
        <v>780</v>
      </c>
      <c r="Y396" t="s">
        <v>781</v>
      </c>
      <c r="AA396" s="31">
        <v>46053</v>
      </c>
      <c r="AD396">
        <v>19</v>
      </c>
      <c r="AE396" t="s">
        <v>22</v>
      </c>
      <c r="AF396" s="31">
        <v>46041</v>
      </c>
      <c r="AG396" s="61">
        <v>0.48258101851851848</v>
      </c>
      <c r="AI396" t="s">
        <v>795</v>
      </c>
      <c r="AJ396" s="31">
        <v>46060</v>
      </c>
      <c r="AK396" s="61">
        <v>0.32299768518518518</v>
      </c>
      <c r="AL396" t="s">
        <v>1226</v>
      </c>
      <c r="AP396" t="s">
        <v>31</v>
      </c>
      <c r="AS396" s="31">
        <v>46049</v>
      </c>
      <c r="AY396">
        <v>1</v>
      </c>
    </row>
    <row r="397" spans="1:51" x14ac:dyDescent="0.25">
      <c r="A397" t="s">
        <v>22</v>
      </c>
      <c r="B397">
        <v>821</v>
      </c>
      <c r="D397">
        <v>3119</v>
      </c>
      <c r="E397" t="s">
        <v>2848</v>
      </c>
      <c r="G397" t="s">
        <v>2849</v>
      </c>
      <c r="H397">
        <v>7658378000126</v>
      </c>
      <c r="J397" t="s">
        <v>2850</v>
      </c>
      <c r="K397" t="s">
        <v>2850</v>
      </c>
      <c r="L397" t="s">
        <v>2851</v>
      </c>
      <c r="N397" t="s">
        <v>2852</v>
      </c>
      <c r="Q397" t="s">
        <v>778</v>
      </c>
      <c r="R397" t="s">
        <v>2853</v>
      </c>
      <c r="T397" t="s">
        <v>814</v>
      </c>
      <c r="W397" t="s">
        <v>2391</v>
      </c>
      <c r="X397" t="s">
        <v>780</v>
      </c>
      <c r="Y397" t="s">
        <v>857</v>
      </c>
      <c r="AA397" s="31">
        <v>46053</v>
      </c>
      <c r="AD397">
        <v>24</v>
      </c>
      <c r="AE397" t="s">
        <v>22</v>
      </c>
      <c r="AF397" s="31">
        <v>46042</v>
      </c>
      <c r="AG397" s="61">
        <v>0.36244212962962957</v>
      </c>
      <c r="AI397" t="s">
        <v>795</v>
      </c>
      <c r="AJ397" s="31">
        <v>46066</v>
      </c>
      <c r="AK397" s="61">
        <v>0.73247685185185185</v>
      </c>
      <c r="AL397" t="s">
        <v>796</v>
      </c>
      <c r="AO397" t="s">
        <v>405</v>
      </c>
      <c r="AP397" t="s">
        <v>22</v>
      </c>
      <c r="AQ397" t="s">
        <v>405</v>
      </c>
      <c r="AS397" s="31">
        <v>46045</v>
      </c>
      <c r="AT397">
        <v>30</v>
      </c>
      <c r="AV397" t="s">
        <v>2854</v>
      </c>
      <c r="AY397">
        <v>1</v>
      </c>
    </row>
    <row r="398" spans="1:51" x14ac:dyDescent="0.25">
      <c r="A398" t="s">
        <v>31</v>
      </c>
      <c r="B398">
        <v>823</v>
      </c>
      <c r="D398">
        <v>3118</v>
      </c>
      <c r="E398" t="s">
        <v>4730</v>
      </c>
      <c r="G398" t="s">
        <v>385</v>
      </c>
      <c r="H398">
        <v>44530589000105</v>
      </c>
      <c r="J398" t="s">
        <v>2856</v>
      </c>
      <c r="K398" t="s">
        <v>2856</v>
      </c>
      <c r="L398" t="s">
        <v>2857</v>
      </c>
      <c r="N398" t="s">
        <v>2858</v>
      </c>
      <c r="Q398" t="s">
        <v>778</v>
      </c>
      <c r="R398" t="s">
        <v>993</v>
      </c>
      <c r="S398" t="s">
        <v>932</v>
      </c>
      <c r="T398" t="s">
        <v>814</v>
      </c>
      <c r="W398" t="s">
        <v>2859</v>
      </c>
      <c r="X398" t="s">
        <v>780</v>
      </c>
      <c r="Y398" t="s">
        <v>807</v>
      </c>
      <c r="AA398" s="31">
        <v>46173</v>
      </c>
      <c r="AB398">
        <v>579843</v>
      </c>
      <c r="AC398">
        <v>28845</v>
      </c>
      <c r="AD398">
        <v>69</v>
      </c>
      <c r="AE398" t="s">
        <v>22</v>
      </c>
      <c r="AF398" s="31">
        <v>46042</v>
      </c>
      <c r="AG398" s="61">
        <v>0.36586805555555563</v>
      </c>
      <c r="AI398" t="s">
        <v>795</v>
      </c>
      <c r="AJ398" s="31">
        <v>46111</v>
      </c>
      <c r="AK398" s="61">
        <v>0.65819444444444442</v>
      </c>
      <c r="AL398" t="s">
        <v>796</v>
      </c>
      <c r="AO398" t="s">
        <v>4731</v>
      </c>
      <c r="AP398" t="s">
        <v>31</v>
      </c>
      <c r="AQ398" t="s">
        <v>4732</v>
      </c>
      <c r="AR398" t="s">
        <v>4733</v>
      </c>
      <c r="AS398" s="31">
        <v>46111</v>
      </c>
      <c r="AT398">
        <v>30</v>
      </c>
      <c r="AV398" t="s">
        <v>321</v>
      </c>
      <c r="AY398">
        <v>1</v>
      </c>
    </row>
    <row r="399" spans="1:51" x14ac:dyDescent="0.25">
      <c r="A399" t="s">
        <v>31</v>
      </c>
      <c r="B399">
        <v>847</v>
      </c>
      <c r="D399">
        <v>3129</v>
      </c>
      <c r="E399" t="s">
        <v>2860</v>
      </c>
      <c r="G399" t="s">
        <v>2861</v>
      </c>
      <c r="J399" t="s">
        <v>2862</v>
      </c>
      <c r="K399" t="s">
        <v>2862</v>
      </c>
      <c r="L399">
        <v>6233899200</v>
      </c>
      <c r="N399" t="s">
        <v>2864</v>
      </c>
      <c r="Q399" t="s">
        <v>778</v>
      </c>
      <c r="T399" t="s">
        <v>2541</v>
      </c>
      <c r="W399" t="s">
        <v>2559</v>
      </c>
      <c r="X399" t="s">
        <v>780</v>
      </c>
      <c r="Y399" t="s">
        <v>781</v>
      </c>
      <c r="AA399" s="31">
        <v>46053</v>
      </c>
      <c r="AD399">
        <v>0</v>
      </c>
      <c r="AE399" t="s">
        <v>22</v>
      </c>
      <c r="AF399" s="31">
        <v>46043</v>
      </c>
      <c r="AG399" s="61">
        <v>0.45225694444444442</v>
      </c>
      <c r="AI399" t="s">
        <v>795</v>
      </c>
      <c r="AJ399" s="31">
        <v>46043</v>
      </c>
      <c r="AK399" s="61">
        <v>0.46807870370370369</v>
      </c>
      <c r="AL399" t="s">
        <v>1226</v>
      </c>
      <c r="AP399" t="s">
        <v>31</v>
      </c>
      <c r="AS399" s="31"/>
      <c r="AY399">
        <v>1</v>
      </c>
    </row>
    <row r="400" spans="1:51" x14ac:dyDescent="0.25">
      <c r="A400" t="s">
        <v>44</v>
      </c>
      <c r="B400">
        <v>848</v>
      </c>
      <c r="D400">
        <v>3148</v>
      </c>
      <c r="E400" t="s">
        <v>2865</v>
      </c>
      <c r="G400" t="s">
        <v>2866</v>
      </c>
      <c r="J400" t="s">
        <v>2867</v>
      </c>
      <c r="K400" t="s">
        <v>2867</v>
      </c>
      <c r="L400">
        <v>11971375421</v>
      </c>
      <c r="N400" t="s">
        <v>2869</v>
      </c>
      <c r="Q400" t="s">
        <v>778</v>
      </c>
      <c r="T400" t="s">
        <v>2541</v>
      </c>
      <c r="W400" t="s">
        <v>2559</v>
      </c>
      <c r="X400" t="s">
        <v>780</v>
      </c>
      <c r="Y400" t="s">
        <v>781</v>
      </c>
      <c r="AA400" s="31">
        <v>46053</v>
      </c>
      <c r="AD400">
        <v>15</v>
      </c>
      <c r="AE400" t="s">
        <v>22</v>
      </c>
      <c r="AF400" s="31">
        <v>46043</v>
      </c>
      <c r="AG400" s="61">
        <v>0.45456018518518521</v>
      </c>
      <c r="AI400" t="s">
        <v>795</v>
      </c>
      <c r="AJ400" s="31">
        <v>46058</v>
      </c>
      <c r="AK400" s="61">
        <v>0.51791666666666669</v>
      </c>
      <c r="AL400" t="s">
        <v>1358</v>
      </c>
      <c r="AM400" t="s">
        <v>2870</v>
      </c>
      <c r="AP400" t="s">
        <v>44</v>
      </c>
      <c r="AS400" s="31">
        <v>46045</v>
      </c>
      <c r="AY400">
        <v>1</v>
      </c>
    </row>
    <row r="401" spans="1:51" x14ac:dyDescent="0.25">
      <c r="A401" t="s">
        <v>31</v>
      </c>
      <c r="B401">
        <v>849</v>
      </c>
      <c r="D401">
        <v>3149</v>
      </c>
      <c r="G401" t="s">
        <v>2871</v>
      </c>
      <c r="H401">
        <v>27343071000143</v>
      </c>
      <c r="J401" t="s">
        <v>2872</v>
      </c>
      <c r="K401" t="s">
        <v>2872</v>
      </c>
      <c r="L401">
        <v>11959925385</v>
      </c>
      <c r="N401" t="s">
        <v>2874</v>
      </c>
      <c r="Q401" t="s">
        <v>778</v>
      </c>
      <c r="T401" t="s">
        <v>2541</v>
      </c>
      <c r="W401" t="s">
        <v>2559</v>
      </c>
      <c r="X401" t="s">
        <v>780</v>
      </c>
      <c r="Y401" t="s">
        <v>781</v>
      </c>
      <c r="AA401" s="31">
        <v>46053</v>
      </c>
      <c r="AD401">
        <v>17</v>
      </c>
      <c r="AE401" t="s">
        <v>22</v>
      </c>
      <c r="AF401" s="31">
        <v>46043</v>
      </c>
      <c r="AG401" s="61">
        <v>0.51600694444444439</v>
      </c>
      <c r="AI401" t="s">
        <v>795</v>
      </c>
      <c r="AJ401" s="31">
        <v>46060</v>
      </c>
      <c r="AK401" s="61">
        <v>0.32187500000000002</v>
      </c>
      <c r="AL401" t="s">
        <v>1226</v>
      </c>
      <c r="AP401" t="s">
        <v>31</v>
      </c>
      <c r="AS401" s="31"/>
      <c r="AY401">
        <v>1</v>
      </c>
    </row>
    <row r="402" spans="1:51" x14ac:dyDescent="0.25">
      <c r="A402" t="s">
        <v>31</v>
      </c>
      <c r="B402">
        <v>850</v>
      </c>
      <c r="D402">
        <v>3150</v>
      </c>
      <c r="G402" t="s">
        <v>2871</v>
      </c>
      <c r="H402">
        <v>27343071000143</v>
      </c>
      <c r="J402" t="s">
        <v>2875</v>
      </c>
      <c r="K402" t="s">
        <v>2875</v>
      </c>
      <c r="L402" t="s">
        <v>2876</v>
      </c>
      <c r="N402" t="s">
        <v>2877</v>
      </c>
      <c r="Q402" t="s">
        <v>778</v>
      </c>
      <c r="R402" t="s">
        <v>923</v>
      </c>
      <c r="T402" t="s">
        <v>814</v>
      </c>
      <c r="W402" t="s">
        <v>2878</v>
      </c>
      <c r="X402" t="s">
        <v>780</v>
      </c>
      <c r="Y402" t="s">
        <v>897</v>
      </c>
      <c r="AA402" s="31">
        <v>46053</v>
      </c>
      <c r="AD402">
        <v>1</v>
      </c>
      <c r="AE402" t="s">
        <v>22</v>
      </c>
      <c r="AF402" s="31">
        <v>46043</v>
      </c>
      <c r="AG402" s="61">
        <v>0.5166898148148148</v>
      </c>
      <c r="AI402" t="s">
        <v>795</v>
      </c>
      <c r="AJ402" s="31">
        <v>46044</v>
      </c>
      <c r="AK402" s="61">
        <v>0.41939814814814808</v>
      </c>
      <c r="AL402" t="s">
        <v>867</v>
      </c>
      <c r="AP402" t="s">
        <v>31</v>
      </c>
      <c r="AS402" s="31"/>
      <c r="AY402">
        <v>1</v>
      </c>
    </row>
    <row r="403" spans="1:51" x14ac:dyDescent="0.25">
      <c r="A403" t="s">
        <v>44</v>
      </c>
      <c r="B403">
        <v>851</v>
      </c>
      <c r="D403">
        <v>3151</v>
      </c>
      <c r="E403" t="s">
        <v>2879</v>
      </c>
      <c r="G403" t="s">
        <v>2880</v>
      </c>
      <c r="J403" t="s">
        <v>2881</v>
      </c>
      <c r="K403" t="s">
        <v>2881</v>
      </c>
      <c r="L403">
        <v>12997313349</v>
      </c>
      <c r="N403" t="s">
        <v>2883</v>
      </c>
      <c r="Q403" t="s">
        <v>778</v>
      </c>
      <c r="T403" t="s">
        <v>2541</v>
      </c>
      <c r="W403" t="s">
        <v>2791</v>
      </c>
      <c r="X403" t="s">
        <v>780</v>
      </c>
      <c r="Y403" t="s">
        <v>897</v>
      </c>
      <c r="AA403" s="31">
        <v>46053</v>
      </c>
      <c r="AD403">
        <v>15</v>
      </c>
      <c r="AE403" t="s">
        <v>22</v>
      </c>
      <c r="AF403" s="31">
        <v>46043</v>
      </c>
      <c r="AG403" s="61">
        <v>0.52098379629629632</v>
      </c>
      <c r="AI403" t="s">
        <v>795</v>
      </c>
      <c r="AJ403" s="31">
        <v>46058</v>
      </c>
      <c r="AK403" s="61">
        <v>0.59001157407407412</v>
      </c>
      <c r="AL403" t="s">
        <v>796</v>
      </c>
      <c r="AM403" t="s">
        <v>796</v>
      </c>
      <c r="AP403" t="s">
        <v>44</v>
      </c>
      <c r="AS403" s="31">
        <v>46049</v>
      </c>
      <c r="AY403">
        <v>1</v>
      </c>
    </row>
    <row r="404" spans="1:51" x14ac:dyDescent="0.25">
      <c r="A404" t="s">
        <v>31</v>
      </c>
      <c r="B404">
        <v>853</v>
      </c>
      <c r="D404">
        <v>3154</v>
      </c>
      <c r="E404" t="s">
        <v>2884</v>
      </c>
      <c r="G404" t="s">
        <v>2885</v>
      </c>
      <c r="H404">
        <v>8439142000161</v>
      </c>
      <c r="J404" t="s">
        <v>2886</v>
      </c>
      <c r="K404" t="s">
        <v>2886</v>
      </c>
      <c r="L404">
        <v>62981812473</v>
      </c>
      <c r="N404" t="s">
        <v>2888</v>
      </c>
      <c r="Q404" t="s">
        <v>778</v>
      </c>
      <c r="T404" t="s">
        <v>2541</v>
      </c>
      <c r="W404" t="s">
        <v>2791</v>
      </c>
      <c r="X404" t="s">
        <v>780</v>
      </c>
      <c r="Y404" t="s">
        <v>793</v>
      </c>
      <c r="AA404" s="31">
        <v>46112</v>
      </c>
      <c r="AB404">
        <v>58800</v>
      </c>
      <c r="AC404">
        <v>873144</v>
      </c>
      <c r="AD404">
        <v>8</v>
      </c>
      <c r="AE404" t="s">
        <v>22</v>
      </c>
      <c r="AF404" s="31">
        <v>46043</v>
      </c>
      <c r="AG404" s="61">
        <v>0.91557870370370376</v>
      </c>
      <c r="AI404" t="s">
        <v>795</v>
      </c>
      <c r="AJ404" s="31">
        <v>46051</v>
      </c>
      <c r="AK404" s="61">
        <v>0.67262731481481486</v>
      </c>
      <c r="AL404" t="s">
        <v>867</v>
      </c>
      <c r="AO404" t="s">
        <v>2889</v>
      </c>
      <c r="AP404" t="s">
        <v>31</v>
      </c>
      <c r="AQ404" t="s">
        <v>2890</v>
      </c>
      <c r="AR404" t="s">
        <v>2891</v>
      </c>
      <c r="AS404" s="31">
        <v>46050</v>
      </c>
      <c r="AY404">
        <v>1</v>
      </c>
    </row>
    <row r="405" spans="1:51" x14ac:dyDescent="0.25">
      <c r="A405" t="s">
        <v>31</v>
      </c>
      <c r="B405">
        <v>854</v>
      </c>
      <c r="D405">
        <v>3155</v>
      </c>
      <c r="G405" t="s">
        <v>2892</v>
      </c>
      <c r="J405" t="s">
        <v>2893</v>
      </c>
      <c r="K405" t="s">
        <v>2893</v>
      </c>
      <c r="L405">
        <v>4599648080</v>
      </c>
      <c r="N405" t="s">
        <v>2895</v>
      </c>
      <c r="Q405" t="s">
        <v>778</v>
      </c>
      <c r="T405" t="s">
        <v>2541</v>
      </c>
      <c r="W405" t="s">
        <v>2559</v>
      </c>
      <c r="X405" t="s">
        <v>780</v>
      </c>
      <c r="Y405" t="s">
        <v>781</v>
      </c>
      <c r="AA405" s="31">
        <v>46044</v>
      </c>
      <c r="AD405">
        <v>0</v>
      </c>
      <c r="AE405" t="s">
        <v>22</v>
      </c>
      <c r="AF405" s="31">
        <v>46044</v>
      </c>
      <c r="AG405" s="61">
        <v>0.62604166666666672</v>
      </c>
      <c r="AI405" t="s">
        <v>795</v>
      </c>
      <c r="AJ405" s="31">
        <v>46044</v>
      </c>
      <c r="AK405" s="61">
        <v>0.65458333333333329</v>
      </c>
      <c r="AL405" t="s">
        <v>1226</v>
      </c>
      <c r="AP405" t="s">
        <v>31</v>
      </c>
      <c r="AS405" s="31"/>
      <c r="AY405">
        <v>1</v>
      </c>
    </row>
    <row r="406" spans="1:51" x14ac:dyDescent="0.25">
      <c r="A406" t="s">
        <v>44</v>
      </c>
      <c r="B406">
        <v>860</v>
      </c>
      <c r="D406">
        <v>3164</v>
      </c>
      <c r="E406" t="s">
        <v>2896</v>
      </c>
      <c r="G406" t="s">
        <v>2897</v>
      </c>
      <c r="H406">
        <v>1399482000167</v>
      </c>
      <c r="J406" t="s">
        <v>2898</v>
      </c>
      <c r="K406" t="s">
        <v>2898</v>
      </c>
      <c r="L406">
        <v>24999136531</v>
      </c>
      <c r="N406" t="s">
        <v>2900</v>
      </c>
      <c r="Q406" t="s">
        <v>778</v>
      </c>
      <c r="T406" t="s">
        <v>2541</v>
      </c>
      <c r="W406" t="s">
        <v>2791</v>
      </c>
      <c r="X406" t="s">
        <v>780</v>
      </c>
      <c r="Y406" t="s">
        <v>897</v>
      </c>
      <c r="AA406" s="31">
        <v>46053</v>
      </c>
      <c r="AD406">
        <v>13</v>
      </c>
      <c r="AE406" t="s">
        <v>22</v>
      </c>
      <c r="AF406" s="31">
        <v>46045</v>
      </c>
      <c r="AG406" s="61">
        <v>0.4199074074074074</v>
      </c>
      <c r="AI406" t="s">
        <v>795</v>
      </c>
      <c r="AJ406" s="31">
        <v>46058</v>
      </c>
      <c r="AK406" s="61">
        <v>0.58894675925925921</v>
      </c>
      <c r="AL406" t="s">
        <v>796</v>
      </c>
      <c r="AM406" t="s">
        <v>2901</v>
      </c>
      <c r="AP406" t="s">
        <v>44</v>
      </c>
      <c r="AS406" s="31">
        <v>46051</v>
      </c>
      <c r="AY406">
        <v>1</v>
      </c>
    </row>
    <row r="407" spans="1:51" x14ac:dyDescent="0.25">
      <c r="A407" t="s">
        <v>31</v>
      </c>
      <c r="B407">
        <v>861</v>
      </c>
      <c r="D407">
        <v>3165</v>
      </c>
      <c r="E407" t="s">
        <v>2902</v>
      </c>
      <c r="G407" t="s">
        <v>2903</v>
      </c>
      <c r="J407" t="s">
        <v>2904</v>
      </c>
      <c r="K407" t="s">
        <v>2904</v>
      </c>
      <c r="L407">
        <v>19971619676</v>
      </c>
      <c r="N407" t="s">
        <v>2906</v>
      </c>
      <c r="Q407" t="s">
        <v>778</v>
      </c>
      <c r="T407" t="s">
        <v>2541</v>
      </c>
      <c r="W407" t="s">
        <v>2559</v>
      </c>
      <c r="X407" t="s">
        <v>780</v>
      </c>
      <c r="Y407" t="s">
        <v>781</v>
      </c>
      <c r="AA407" s="31">
        <v>46053</v>
      </c>
      <c r="AD407">
        <v>21</v>
      </c>
      <c r="AE407" t="s">
        <v>22</v>
      </c>
      <c r="AF407" s="31">
        <v>46045</v>
      </c>
      <c r="AG407" s="61">
        <v>0.44262731481481482</v>
      </c>
      <c r="AI407" t="s">
        <v>795</v>
      </c>
      <c r="AJ407" s="31">
        <v>46066</v>
      </c>
      <c r="AK407" s="61">
        <v>0.7257986111111111</v>
      </c>
      <c r="AL407" t="s">
        <v>1226</v>
      </c>
      <c r="AP407" t="s">
        <v>31</v>
      </c>
      <c r="AS407" s="31">
        <v>46066</v>
      </c>
      <c r="AY407">
        <v>1</v>
      </c>
    </row>
    <row r="408" spans="1:51" x14ac:dyDescent="0.25">
      <c r="A408" t="s">
        <v>22</v>
      </c>
      <c r="B408">
        <v>862</v>
      </c>
      <c r="D408">
        <v>3166</v>
      </c>
      <c r="E408" t="s">
        <v>2907</v>
      </c>
      <c r="G408" t="s">
        <v>413</v>
      </c>
      <c r="H408">
        <v>82808122000173</v>
      </c>
      <c r="J408" t="s">
        <v>2908</v>
      </c>
      <c r="K408" t="s">
        <v>2908</v>
      </c>
      <c r="L408" t="s">
        <v>2909</v>
      </c>
      <c r="N408" t="s">
        <v>2910</v>
      </c>
      <c r="Q408" t="s">
        <v>778</v>
      </c>
      <c r="R408" t="s">
        <v>2911</v>
      </c>
      <c r="S408" t="s">
        <v>932</v>
      </c>
      <c r="W408" t="s">
        <v>1419</v>
      </c>
      <c r="X408" t="s">
        <v>780</v>
      </c>
      <c r="Y408" t="s">
        <v>807</v>
      </c>
      <c r="AA408" s="31">
        <v>46081</v>
      </c>
      <c r="AB408">
        <v>987029</v>
      </c>
      <c r="AC408">
        <v>1811884</v>
      </c>
      <c r="AD408">
        <v>34</v>
      </c>
      <c r="AE408" t="s">
        <v>22</v>
      </c>
      <c r="AF408" s="31">
        <v>46045</v>
      </c>
      <c r="AG408" s="61">
        <v>0.47480324074074082</v>
      </c>
      <c r="AI408" t="s">
        <v>818</v>
      </c>
      <c r="AJ408" s="31">
        <v>46079</v>
      </c>
      <c r="AK408" s="61">
        <v>0.91175925925925927</v>
      </c>
      <c r="AO408" t="s">
        <v>384</v>
      </c>
      <c r="AP408" t="s">
        <v>22</v>
      </c>
      <c r="AQ408" t="s">
        <v>384</v>
      </c>
      <c r="AS408" s="31">
        <v>46080</v>
      </c>
      <c r="AT408">
        <v>50</v>
      </c>
      <c r="AU408">
        <v>270</v>
      </c>
      <c r="AV408" t="s">
        <v>2913</v>
      </c>
      <c r="AW408" t="s">
        <v>2914</v>
      </c>
      <c r="AX408" t="s">
        <v>2915</v>
      </c>
      <c r="AY408">
        <v>1</v>
      </c>
    </row>
    <row r="409" spans="1:51" x14ac:dyDescent="0.25">
      <c r="A409" t="s">
        <v>22</v>
      </c>
      <c r="B409">
        <v>864</v>
      </c>
      <c r="D409">
        <v>3169</v>
      </c>
      <c r="E409" t="s">
        <v>4734</v>
      </c>
      <c r="G409" t="s">
        <v>2917</v>
      </c>
      <c r="J409" t="s">
        <v>704</v>
      </c>
      <c r="K409" t="s">
        <v>704</v>
      </c>
      <c r="L409">
        <v>19987126669</v>
      </c>
      <c r="N409" t="s">
        <v>2918</v>
      </c>
      <c r="Q409" t="s">
        <v>778</v>
      </c>
      <c r="T409" t="s">
        <v>2919</v>
      </c>
      <c r="W409" t="s">
        <v>1718</v>
      </c>
      <c r="X409" t="s">
        <v>780</v>
      </c>
      <c r="Y409" t="s">
        <v>816</v>
      </c>
      <c r="AA409" s="31">
        <v>46053</v>
      </c>
      <c r="AB409">
        <v>10000</v>
      </c>
      <c r="AC409">
        <v>2000</v>
      </c>
      <c r="AD409">
        <v>82</v>
      </c>
      <c r="AE409" t="s">
        <v>22</v>
      </c>
      <c r="AF409" s="31">
        <v>46045</v>
      </c>
      <c r="AG409" s="61">
        <v>0.68347222222222226</v>
      </c>
      <c r="AI409" t="s">
        <v>782</v>
      </c>
      <c r="AJ409" s="31"/>
      <c r="AK409" s="61"/>
      <c r="AO409" t="s">
        <v>2920</v>
      </c>
      <c r="AP409" t="s">
        <v>22</v>
      </c>
      <c r="AQ409" t="s">
        <v>2920</v>
      </c>
      <c r="AS409" s="31">
        <v>46101</v>
      </c>
      <c r="AT409">
        <v>30</v>
      </c>
      <c r="AU409">
        <v>20</v>
      </c>
      <c r="AV409" t="s">
        <v>2922</v>
      </c>
      <c r="AW409" t="s">
        <v>2923</v>
      </c>
      <c r="AX409" t="s">
        <v>2924</v>
      </c>
      <c r="AY409">
        <v>1</v>
      </c>
    </row>
    <row r="410" spans="1:51" x14ac:dyDescent="0.25">
      <c r="A410" t="s">
        <v>22</v>
      </c>
      <c r="B410">
        <v>865</v>
      </c>
      <c r="D410">
        <v>3170</v>
      </c>
      <c r="E410" t="s">
        <v>4735</v>
      </c>
      <c r="G410" t="s">
        <v>2926</v>
      </c>
      <c r="H410">
        <v>13303103000172</v>
      </c>
      <c r="J410" t="s">
        <v>2927</v>
      </c>
      <c r="K410" t="s">
        <v>2927</v>
      </c>
      <c r="L410" t="s">
        <v>2928</v>
      </c>
      <c r="N410" t="s">
        <v>2929</v>
      </c>
      <c r="Q410" t="s">
        <v>778</v>
      </c>
      <c r="R410" t="s">
        <v>2930</v>
      </c>
      <c r="S410" t="s">
        <v>932</v>
      </c>
      <c r="T410" t="s">
        <v>1191</v>
      </c>
      <c r="W410" t="s">
        <v>1419</v>
      </c>
      <c r="X410" t="s">
        <v>780</v>
      </c>
      <c r="Y410" t="s">
        <v>807</v>
      </c>
      <c r="AA410" s="31">
        <v>46112</v>
      </c>
      <c r="AB410">
        <v>59184</v>
      </c>
      <c r="AC410">
        <v>488139</v>
      </c>
      <c r="AD410">
        <v>77</v>
      </c>
      <c r="AE410" t="s">
        <v>22</v>
      </c>
      <c r="AF410" s="31">
        <v>46045</v>
      </c>
      <c r="AG410" s="61">
        <v>0.70285879629629633</v>
      </c>
      <c r="AI410" t="s">
        <v>795</v>
      </c>
      <c r="AJ410" s="31">
        <v>46122</v>
      </c>
      <c r="AK410" s="61">
        <v>0.72376157407407404</v>
      </c>
      <c r="AL410" t="s">
        <v>796</v>
      </c>
      <c r="AO410" t="s">
        <v>2920</v>
      </c>
      <c r="AP410" t="s">
        <v>22</v>
      </c>
      <c r="AQ410" t="s">
        <v>2920</v>
      </c>
      <c r="AS410" s="31">
        <v>46101</v>
      </c>
      <c r="AT410">
        <v>50</v>
      </c>
      <c r="AU410">
        <v>320</v>
      </c>
      <c r="AV410" t="s">
        <v>2932</v>
      </c>
      <c r="AW410" t="s">
        <v>2933</v>
      </c>
      <c r="AX410" t="s">
        <v>2934</v>
      </c>
      <c r="AY410">
        <v>1</v>
      </c>
    </row>
    <row r="411" spans="1:51" x14ac:dyDescent="0.25">
      <c r="A411" t="s">
        <v>31</v>
      </c>
      <c r="B411">
        <v>866</v>
      </c>
      <c r="D411">
        <v>3177</v>
      </c>
      <c r="E411" t="s">
        <v>2935</v>
      </c>
      <c r="G411" t="s">
        <v>2936</v>
      </c>
      <c r="J411" t="s">
        <v>2937</v>
      </c>
      <c r="K411" t="s">
        <v>2937</v>
      </c>
      <c r="L411">
        <v>11957608058</v>
      </c>
      <c r="N411" t="s">
        <v>2939</v>
      </c>
      <c r="Q411" t="s">
        <v>778</v>
      </c>
      <c r="T411" t="s">
        <v>2541</v>
      </c>
      <c r="W411" t="s">
        <v>2791</v>
      </c>
      <c r="X411" t="s">
        <v>780</v>
      </c>
      <c r="Y411" t="s">
        <v>781</v>
      </c>
      <c r="AA411" s="31">
        <v>46053</v>
      </c>
      <c r="AD411">
        <v>3</v>
      </c>
      <c r="AE411" t="s">
        <v>22</v>
      </c>
      <c r="AF411" s="31">
        <v>46048</v>
      </c>
      <c r="AG411" s="61">
        <v>0.55048611111111112</v>
      </c>
      <c r="AI411" t="s">
        <v>795</v>
      </c>
      <c r="AJ411" s="31">
        <v>46051</v>
      </c>
      <c r="AK411" s="61">
        <v>0.66991898148148143</v>
      </c>
      <c r="AL411" t="s">
        <v>934</v>
      </c>
      <c r="AP411" t="s">
        <v>31</v>
      </c>
      <c r="AS411" s="31">
        <v>46049</v>
      </c>
      <c r="AY411">
        <v>1</v>
      </c>
    </row>
    <row r="412" spans="1:51" x14ac:dyDescent="0.25">
      <c r="A412" t="s">
        <v>44</v>
      </c>
      <c r="B412">
        <v>867</v>
      </c>
      <c r="D412">
        <v>3176</v>
      </c>
      <c r="E412" t="s">
        <v>4736</v>
      </c>
      <c r="G412" t="s">
        <v>2941</v>
      </c>
      <c r="H412">
        <v>16743404000105</v>
      </c>
      <c r="J412" t="s">
        <v>2942</v>
      </c>
      <c r="K412" t="s">
        <v>2942</v>
      </c>
      <c r="L412">
        <v>3194143043</v>
      </c>
      <c r="N412" t="s">
        <v>2944</v>
      </c>
      <c r="Q412" t="s">
        <v>778</v>
      </c>
      <c r="R412" t="s">
        <v>2945</v>
      </c>
      <c r="S412" t="s">
        <v>1105</v>
      </c>
      <c r="T412" t="s">
        <v>2541</v>
      </c>
      <c r="W412" t="s">
        <v>2542</v>
      </c>
      <c r="X412" t="s">
        <v>780</v>
      </c>
      <c r="Y412" t="s">
        <v>793</v>
      </c>
      <c r="AA412" s="31">
        <v>46081</v>
      </c>
      <c r="AB412">
        <v>61904</v>
      </c>
      <c r="AC412">
        <v>10192</v>
      </c>
      <c r="AD412">
        <v>24</v>
      </c>
      <c r="AE412" t="s">
        <v>22</v>
      </c>
      <c r="AF412" s="31">
        <v>46048</v>
      </c>
      <c r="AG412" s="61">
        <v>0.55230324074074078</v>
      </c>
      <c r="AI412" t="s">
        <v>795</v>
      </c>
      <c r="AJ412" s="31">
        <v>46072</v>
      </c>
      <c r="AK412" s="61">
        <v>0.69184027777777779</v>
      </c>
      <c r="AL412" t="s">
        <v>934</v>
      </c>
      <c r="AM412" t="s">
        <v>4737</v>
      </c>
      <c r="AO412" t="s">
        <v>2889</v>
      </c>
      <c r="AP412" t="s">
        <v>44</v>
      </c>
      <c r="AQ412" t="s">
        <v>2889</v>
      </c>
      <c r="AS412" s="31">
        <v>46072</v>
      </c>
      <c r="AT412">
        <v>30</v>
      </c>
      <c r="AY412">
        <v>1</v>
      </c>
    </row>
    <row r="413" spans="1:51" x14ac:dyDescent="0.25">
      <c r="A413" t="s">
        <v>31</v>
      </c>
      <c r="B413">
        <v>868</v>
      </c>
      <c r="D413">
        <v>3174</v>
      </c>
      <c r="E413" t="s">
        <v>2946</v>
      </c>
      <c r="G413" t="s">
        <v>2947</v>
      </c>
      <c r="J413" t="s">
        <v>2948</v>
      </c>
      <c r="K413" t="s">
        <v>2948</v>
      </c>
      <c r="L413">
        <v>31997703979</v>
      </c>
      <c r="N413" t="s">
        <v>2950</v>
      </c>
      <c r="Q413" t="s">
        <v>778</v>
      </c>
      <c r="T413" t="s">
        <v>2541</v>
      </c>
      <c r="W413" t="s">
        <v>2559</v>
      </c>
      <c r="X413" t="s">
        <v>780</v>
      </c>
      <c r="Y413" t="s">
        <v>781</v>
      </c>
      <c r="AA413" s="31">
        <v>46053</v>
      </c>
      <c r="AD413">
        <v>0</v>
      </c>
      <c r="AE413" t="s">
        <v>22</v>
      </c>
      <c r="AF413" s="31">
        <v>46048</v>
      </c>
      <c r="AG413" s="61">
        <v>0.55403935185185182</v>
      </c>
      <c r="AI413" t="s">
        <v>795</v>
      </c>
      <c r="AJ413" s="31">
        <v>46048</v>
      </c>
      <c r="AK413" s="61">
        <v>0.60412037037037036</v>
      </c>
      <c r="AL413" t="s">
        <v>1226</v>
      </c>
      <c r="AP413" t="s">
        <v>31</v>
      </c>
      <c r="AS413" s="31"/>
      <c r="AY413">
        <v>1</v>
      </c>
    </row>
    <row r="414" spans="1:51" x14ac:dyDescent="0.25">
      <c r="A414" t="s">
        <v>44</v>
      </c>
      <c r="B414">
        <v>869</v>
      </c>
      <c r="D414">
        <v>3175</v>
      </c>
      <c r="E414" t="s">
        <v>2951</v>
      </c>
      <c r="G414" t="s">
        <v>2952</v>
      </c>
      <c r="J414" t="s">
        <v>2953</v>
      </c>
      <c r="K414" t="s">
        <v>2953</v>
      </c>
      <c r="L414">
        <v>11976239673</v>
      </c>
      <c r="N414" t="s">
        <v>2955</v>
      </c>
      <c r="Q414" t="s">
        <v>778</v>
      </c>
      <c r="T414" t="s">
        <v>2541</v>
      </c>
      <c r="W414" t="s">
        <v>2791</v>
      </c>
      <c r="X414" t="s">
        <v>780</v>
      </c>
      <c r="Y414" t="s">
        <v>781</v>
      </c>
      <c r="AA414" s="31">
        <v>46053</v>
      </c>
      <c r="AD414">
        <v>10</v>
      </c>
      <c r="AE414" t="s">
        <v>22</v>
      </c>
      <c r="AF414" s="31">
        <v>46048</v>
      </c>
      <c r="AG414" s="61">
        <v>0.5553703703703704</v>
      </c>
      <c r="AI414" t="s">
        <v>795</v>
      </c>
      <c r="AJ414" s="31">
        <v>46058</v>
      </c>
      <c r="AK414" s="61">
        <v>0.51664351851851853</v>
      </c>
      <c r="AL414" t="s">
        <v>796</v>
      </c>
      <c r="AM414" t="s">
        <v>967</v>
      </c>
      <c r="AP414" t="s">
        <v>44</v>
      </c>
      <c r="AS414" s="31">
        <v>46049</v>
      </c>
      <c r="AY414">
        <v>1</v>
      </c>
    </row>
    <row r="415" spans="1:51" x14ac:dyDescent="0.25">
      <c r="A415" t="s">
        <v>31</v>
      </c>
      <c r="B415">
        <v>870</v>
      </c>
      <c r="D415">
        <v>3173</v>
      </c>
      <c r="E415" t="s">
        <v>2956</v>
      </c>
      <c r="G415" t="s">
        <v>2957</v>
      </c>
      <c r="J415" t="s">
        <v>2958</v>
      </c>
      <c r="K415" t="s">
        <v>2958</v>
      </c>
      <c r="L415">
        <v>16996144458</v>
      </c>
      <c r="N415" t="s">
        <v>2960</v>
      </c>
      <c r="Q415" t="s">
        <v>778</v>
      </c>
      <c r="T415" t="s">
        <v>2541</v>
      </c>
      <c r="W415" t="s">
        <v>2542</v>
      </c>
      <c r="X415" t="s">
        <v>780</v>
      </c>
      <c r="Y415" t="s">
        <v>897</v>
      </c>
      <c r="AA415" s="31">
        <v>46053</v>
      </c>
      <c r="AD415">
        <v>22</v>
      </c>
      <c r="AE415" t="s">
        <v>22</v>
      </c>
      <c r="AF415" s="31">
        <v>46048</v>
      </c>
      <c r="AG415" s="61">
        <v>0.55634259259259256</v>
      </c>
      <c r="AI415" t="s">
        <v>795</v>
      </c>
      <c r="AJ415" s="31">
        <v>46070</v>
      </c>
      <c r="AK415" s="61">
        <v>0.67465277777777777</v>
      </c>
      <c r="AL415" t="s">
        <v>867</v>
      </c>
      <c r="AP415" t="s">
        <v>31</v>
      </c>
      <c r="AS415" s="31">
        <v>46070</v>
      </c>
      <c r="AT415">
        <v>30</v>
      </c>
      <c r="AY415">
        <v>1</v>
      </c>
    </row>
    <row r="416" spans="1:51" x14ac:dyDescent="0.25">
      <c r="A416" t="s">
        <v>22</v>
      </c>
      <c r="B416">
        <v>871</v>
      </c>
      <c r="D416">
        <v>3172</v>
      </c>
      <c r="E416" t="s">
        <v>4738</v>
      </c>
      <c r="G416" t="s">
        <v>2962</v>
      </c>
      <c r="H416">
        <v>19933187000104</v>
      </c>
      <c r="J416" t="s">
        <v>2963</v>
      </c>
      <c r="K416" t="s">
        <v>2963</v>
      </c>
      <c r="L416">
        <v>11918764203</v>
      </c>
      <c r="N416" t="s">
        <v>2965</v>
      </c>
      <c r="Q416" t="s">
        <v>778</v>
      </c>
      <c r="T416" t="s">
        <v>2541</v>
      </c>
      <c r="W416" t="s">
        <v>2542</v>
      </c>
      <c r="X416" t="s">
        <v>780</v>
      </c>
      <c r="Y416" t="s">
        <v>897</v>
      </c>
      <c r="AA416" s="31">
        <v>46053</v>
      </c>
      <c r="AD416">
        <v>45</v>
      </c>
      <c r="AE416" t="s">
        <v>22</v>
      </c>
      <c r="AF416" s="31">
        <v>46048</v>
      </c>
      <c r="AG416" s="61">
        <v>0.55686342592592597</v>
      </c>
      <c r="AI416" t="s">
        <v>795</v>
      </c>
      <c r="AJ416" s="31">
        <v>46093</v>
      </c>
      <c r="AK416" s="61">
        <v>0.7288310185185185</v>
      </c>
      <c r="AL416" t="s">
        <v>1226</v>
      </c>
      <c r="AP416" t="s">
        <v>22</v>
      </c>
      <c r="AS416" s="31">
        <v>46093</v>
      </c>
      <c r="AT416">
        <v>30</v>
      </c>
      <c r="AY416">
        <v>1</v>
      </c>
    </row>
    <row r="417" spans="1:51" x14ac:dyDescent="0.25">
      <c r="A417" t="s">
        <v>22</v>
      </c>
      <c r="B417">
        <v>872</v>
      </c>
      <c r="D417">
        <v>3178</v>
      </c>
      <c r="E417" t="s">
        <v>4739</v>
      </c>
      <c r="G417" t="s">
        <v>422</v>
      </c>
      <c r="J417" t="s">
        <v>2967</v>
      </c>
      <c r="K417" t="s">
        <v>2967</v>
      </c>
      <c r="L417" t="s">
        <v>2968</v>
      </c>
      <c r="N417" t="s">
        <v>2969</v>
      </c>
      <c r="Q417" t="s">
        <v>778</v>
      </c>
      <c r="R417" t="s">
        <v>923</v>
      </c>
      <c r="T417" t="s">
        <v>814</v>
      </c>
      <c r="W417" t="s">
        <v>2970</v>
      </c>
      <c r="X417" t="s">
        <v>780</v>
      </c>
      <c r="Y417" t="s">
        <v>807</v>
      </c>
      <c r="AA417" s="31">
        <v>46081</v>
      </c>
      <c r="AB417">
        <v>701343</v>
      </c>
      <c r="AC417">
        <v>17345</v>
      </c>
      <c r="AD417">
        <v>32</v>
      </c>
      <c r="AE417" t="s">
        <v>22</v>
      </c>
      <c r="AF417" s="31">
        <v>46048</v>
      </c>
      <c r="AG417" s="61">
        <v>0.71504629629629635</v>
      </c>
      <c r="AI417" t="s">
        <v>795</v>
      </c>
      <c r="AJ417" s="31">
        <v>46080</v>
      </c>
      <c r="AK417" s="61">
        <v>0.88954861111111116</v>
      </c>
      <c r="AL417" t="s">
        <v>796</v>
      </c>
      <c r="AO417" t="s">
        <v>423</v>
      </c>
      <c r="AP417" t="s">
        <v>22</v>
      </c>
      <c r="AQ417" t="s">
        <v>423</v>
      </c>
      <c r="AS417" s="31">
        <v>46079</v>
      </c>
      <c r="AT417">
        <v>50</v>
      </c>
      <c r="AU417">
        <v>330</v>
      </c>
      <c r="AV417" t="s">
        <v>2972</v>
      </c>
      <c r="AW417" t="s">
        <v>2973</v>
      </c>
      <c r="AX417" t="s">
        <v>2974</v>
      </c>
      <c r="AY417">
        <v>1</v>
      </c>
    </row>
    <row r="418" spans="1:51" x14ac:dyDescent="0.25">
      <c r="A418" t="s">
        <v>44</v>
      </c>
      <c r="B418">
        <v>873</v>
      </c>
      <c r="D418">
        <v>3179</v>
      </c>
      <c r="E418" t="s">
        <v>2975</v>
      </c>
      <c r="G418" t="s">
        <v>2976</v>
      </c>
      <c r="J418" t="s">
        <v>2977</v>
      </c>
      <c r="K418" t="s">
        <v>2977</v>
      </c>
      <c r="L418">
        <v>11992758370</v>
      </c>
      <c r="N418" t="s">
        <v>2979</v>
      </c>
      <c r="Q418" t="s">
        <v>778</v>
      </c>
      <c r="T418" t="s">
        <v>2541</v>
      </c>
      <c r="W418" t="s">
        <v>2791</v>
      </c>
      <c r="X418" t="s">
        <v>780</v>
      </c>
      <c r="Y418" t="s">
        <v>781</v>
      </c>
      <c r="AA418" s="31"/>
      <c r="AD418">
        <v>9</v>
      </c>
      <c r="AE418" t="s">
        <v>22</v>
      </c>
      <c r="AF418" s="31">
        <v>46049</v>
      </c>
      <c r="AG418" s="61">
        <v>0.36055555555555557</v>
      </c>
      <c r="AI418" t="s">
        <v>795</v>
      </c>
      <c r="AJ418" s="31">
        <v>46058</v>
      </c>
      <c r="AK418" s="61">
        <v>0.5122916666666667</v>
      </c>
      <c r="AL418" t="s">
        <v>796</v>
      </c>
      <c r="AM418" t="s">
        <v>2980</v>
      </c>
      <c r="AP418" t="s">
        <v>44</v>
      </c>
      <c r="AS418" s="31">
        <v>46051</v>
      </c>
      <c r="AY418">
        <v>1</v>
      </c>
    </row>
    <row r="419" spans="1:51" x14ac:dyDescent="0.25">
      <c r="A419" t="s">
        <v>31</v>
      </c>
      <c r="B419">
        <v>874</v>
      </c>
      <c r="D419">
        <v>3180</v>
      </c>
      <c r="G419" t="s">
        <v>2981</v>
      </c>
      <c r="J419" t="s">
        <v>2982</v>
      </c>
      <c r="K419" t="s">
        <v>2982</v>
      </c>
      <c r="L419">
        <v>11999733410</v>
      </c>
      <c r="N419" t="s">
        <v>2984</v>
      </c>
      <c r="Q419" t="s">
        <v>778</v>
      </c>
      <c r="T419" t="s">
        <v>2541</v>
      </c>
      <c r="W419" t="s">
        <v>2559</v>
      </c>
      <c r="X419" t="s">
        <v>780</v>
      </c>
      <c r="Y419" t="s">
        <v>781</v>
      </c>
      <c r="AA419" s="31">
        <v>46053</v>
      </c>
      <c r="AD419">
        <v>2</v>
      </c>
      <c r="AE419" t="s">
        <v>22</v>
      </c>
      <c r="AF419" s="31">
        <v>46049</v>
      </c>
      <c r="AG419" s="61">
        <v>0.36130787037037038</v>
      </c>
      <c r="AI419" t="s">
        <v>795</v>
      </c>
      <c r="AJ419" s="31">
        <v>46051</v>
      </c>
      <c r="AK419" s="61">
        <v>0.66635416666666669</v>
      </c>
      <c r="AL419" t="s">
        <v>1226</v>
      </c>
      <c r="AP419" t="s">
        <v>31</v>
      </c>
      <c r="AS419" s="31"/>
      <c r="AY419">
        <v>1</v>
      </c>
    </row>
    <row r="420" spans="1:51" x14ac:dyDescent="0.25">
      <c r="A420" t="s">
        <v>44</v>
      </c>
      <c r="B420">
        <v>876</v>
      </c>
      <c r="D420">
        <v>3182</v>
      </c>
      <c r="F420" t="s">
        <v>2985</v>
      </c>
      <c r="G420" t="s">
        <v>2986</v>
      </c>
      <c r="H420">
        <v>5937946000100</v>
      </c>
      <c r="J420" t="s">
        <v>2985</v>
      </c>
      <c r="K420" t="s">
        <v>2985</v>
      </c>
      <c r="L420" t="s">
        <v>2987</v>
      </c>
      <c r="N420" t="s">
        <v>2988</v>
      </c>
      <c r="Q420" t="s">
        <v>778</v>
      </c>
      <c r="R420" t="s">
        <v>2989</v>
      </c>
      <c r="S420" t="s">
        <v>932</v>
      </c>
      <c r="T420" t="s">
        <v>805</v>
      </c>
      <c r="W420" t="s">
        <v>1581</v>
      </c>
      <c r="X420" t="s">
        <v>780</v>
      </c>
      <c r="Y420" t="s">
        <v>816</v>
      </c>
      <c r="AA420" s="31">
        <v>46081</v>
      </c>
      <c r="AB420">
        <v>16960</v>
      </c>
      <c r="AC420">
        <v>32775</v>
      </c>
      <c r="AD420">
        <v>16</v>
      </c>
      <c r="AE420" t="s">
        <v>44</v>
      </c>
      <c r="AF420" s="31">
        <v>46050</v>
      </c>
      <c r="AG420" s="61">
        <v>0.37962962962962971</v>
      </c>
      <c r="AI420" t="s">
        <v>818</v>
      </c>
      <c r="AJ420" s="31">
        <v>46066</v>
      </c>
      <c r="AK420" s="61">
        <v>0.51166666666666671</v>
      </c>
      <c r="AO420" t="s">
        <v>2990</v>
      </c>
      <c r="AP420" t="s">
        <v>44</v>
      </c>
      <c r="AQ420" t="s">
        <v>2991</v>
      </c>
      <c r="AS420" s="31"/>
      <c r="AT420">
        <v>80</v>
      </c>
      <c r="AY420">
        <v>1</v>
      </c>
    </row>
    <row r="421" spans="1:51" x14ac:dyDescent="0.25">
      <c r="A421" t="s">
        <v>22</v>
      </c>
      <c r="B421">
        <v>877</v>
      </c>
      <c r="D421">
        <v>3187</v>
      </c>
      <c r="E421" t="s">
        <v>4740</v>
      </c>
      <c r="G421" t="s">
        <v>430</v>
      </c>
      <c r="J421" t="s">
        <v>2993</v>
      </c>
      <c r="K421" t="s">
        <v>2993</v>
      </c>
      <c r="L421">
        <v>47992119052</v>
      </c>
      <c r="N421" t="s">
        <v>1111</v>
      </c>
      <c r="Q421" t="s">
        <v>778</v>
      </c>
      <c r="T421" t="s">
        <v>2919</v>
      </c>
      <c r="W421" t="s">
        <v>1704</v>
      </c>
      <c r="X421" t="s">
        <v>780</v>
      </c>
      <c r="Y421" t="s">
        <v>816</v>
      </c>
      <c r="AA421" s="31">
        <v>46112</v>
      </c>
      <c r="AB421">
        <v>12000</v>
      </c>
      <c r="AC421">
        <v>1700</v>
      </c>
      <c r="AD421">
        <v>77</v>
      </c>
      <c r="AE421" t="s">
        <v>22</v>
      </c>
      <c r="AF421" s="31">
        <v>46050</v>
      </c>
      <c r="AG421" s="61">
        <v>0.66311342592592593</v>
      </c>
      <c r="AI421" t="s">
        <v>782</v>
      </c>
      <c r="AJ421" s="31"/>
      <c r="AK421" s="61"/>
      <c r="AO421" t="s">
        <v>384</v>
      </c>
      <c r="AP421" t="s">
        <v>22</v>
      </c>
      <c r="AQ421" t="s">
        <v>449</v>
      </c>
      <c r="AS421" s="31">
        <v>46101</v>
      </c>
      <c r="AT421">
        <v>80</v>
      </c>
      <c r="AU421">
        <v>24</v>
      </c>
      <c r="AV421" t="s">
        <v>69</v>
      </c>
      <c r="AW421" t="s">
        <v>4741</v>
      </c>
      <c r="AX421" t="s">
        <v>4741</v>
      </c>
      <c r="AY421">
        <v>1</v>
      </c>
    </row>
    <row r="422" spans="1:51" x14ac:dyDescent="0.25">
      <c r="A422" t="s">
        <v>44</v>
      </c>
      <c r="B422">
        <v>879</v>
      </c>
      <c r="D422">
        <v>3192</v>
      </c>
      <c r="E422" t="s">
        <v>2996</v>
      </c>
      <c r="F422" t="s">
        <v>2997</v>
      </c>
      <c r="G422" t="s">
        <v>2998</v>
      </c>
      <c r="H422">
        <v>42371959000183</v>
      </c>
      <c r="J422" t="s">
        <v>2997</v>
      </c>
      <c r="K422" t="s">
        <v>2997</v>
      </c>
      <c r="L422" t="s">
        <v>2999</v>
      </c>
      <c r="N422" t="s">
        <v>3000</v>
      </c>
      <c r="Q422" t="s">
        <v>778</v>
      </c>
      <c r="R422" t="s">
        <v>1596</v>
      </c>
      <c r="S422" t="s">
        <v>790</v>
      </c>
      <c r="T422" t="s">
        <v>805</v>
      </c>
      <c r="W422" t="s">
        <v>1718</v>
      </c>
      <c r="X422" t="s">
        <v>780</v>
      </c>
      <c r="Y422" t="s">
        <v>793</v>
      </c>
      <c r="AA422" s="31">
        <v>46081</v>
      </c>
      <c r="AB422">
        <v>79958</v>
      </c>
      <c r="AC422">
        <v>45432</v>
      </c>
      <c r="AD422">
        <v>25</v>
      </c>
      <c r="AE422" t="s">
        <v>44</v>
      </c>
      <c r="AF422" s="31">
        <v>46051</v>
      </c>
      <c r="AG422" s="61">
        <v>0.41417824074074072</v>
      </c>
      <c r="AI422" t="s">
        <v>795</v>
      </c>
      <c r="AJ422" s="31">
        <v>46076</v>
      </c>
      <c r="AK422" s="61">
        <v>0.62991898148148151</v>
      </c>
      <c r="AL422" t="s">
        <v>934</v>
      </c>
      <c r="AM422" t="s">
        <v>4742</v>
      </c>
      <c r="AO422" t="s">
        <v>2889</v>
      </c>
      <c r="AP422" t="s">
        <v>44</v>
      </c>
      <c r="AQ422" t="s">
        <v>2890</v>
      </c>
      <c r="AS422" s="31"/>
      <c r="AT422">
        <v>30</v>
      </c>
      <c r="AY422">
        <v>1</v>
      </c>
    </row>
    <row r="423" spans="1:51" x14ac:dyDescent="0.25">
      <c r="A423" t="s">
        <v>44</v>
      </c>
      <c r="B423">
        <v>882</v>
      </c>
      <c r="D423">
        <v>3199</v>
      </c>
      <c r="E423" t="s">
        <v>3001</v>
      </c>
      <c r="G423" t="s">
        <v>3002</v>
      </c>
      <c r="J423" t="s">
        <v>3003</v>
      </c>
      <c r="K423" t="s">
        <v>3003</v>
      </c>
      <c r="L423">
        <v>75981412000</v>
      </c>
      <c r="N423" t="s">
        <v>1111</v>
      </c>
      <c r="Q423" t="s">
        <v>778</v>
      </c>
      <c r="W423" t="s">
        <v>1419</v>
      </c>
      <c r="X423" t="s">
        <v>780</v>
      </c>
      <c r="Y423" t="s">
        <v>807</v>
      </c>
      <c r="AA423" s="31">
        <v>46081</v>
      </c>
      <c r="AB423">
        <v>90000</v>
      </c>
      <c r="AC423">
        <v>921279</v>
      </c>
      <c r="AD423">
        <v>15</v>
      </c>
      <c r="AE423" t="s">
        <v>44</v>
      </c>
      <c r="AF423" s="31">
        <v>46051</v>
      </c>
      <c r="AG423" s="61">
        <v>0.67391203703703706</v>
      </c>
      <c r="AI423" t="s">
        <v>795</v>
      </c>
      <c r="AJ423" s="31">
        <v>46066</v>
      </c>
      <c r="AK423" s="61">
        <v>0.51680555555555552</v>
      </c>
      <c r="AL423" t="s">
        <v>858</v>
      </c>
      <c r="AM423" t="s">
        <v>3001</v>
      </c>
      <c r="AO423" t="s">
        <v>2576</v>
      </c>
      <c r="AP423" t="s">
        <v>44</v>
      </c>
      <c r="AQ423" t="s">
        <v>2576</v>
      </c>
      <c r="AS423" s="31">
        <v>46066</v>
      </c>
      <c r="AT423">
        <v>50</v>
      </c>
      <c r="AY423">
        <v>1</v>
      </c>
    </row>
    <row r="424" spans="1:51" x14ac:dyDescent="0.25">
      <c r="A424" t="s">
        <v>44</v>
      </c>
      <c r="B424">
        <v>883</v>
      </c>
      <c r="D424">
        <v>3200</v>
      </c>
      <c r="E424" t="s">
        <v>3001</v>
      </c>
      <c r="G424" t="s">
        <v>1469</v>
      </c>
      <c r="J424" t="s">
        <v>3004</v>
      </c>
      <c r="K424" t="s">
        <v>3004</v>
      </c>
      <c r="L424">
        <v>75981412000</v>
      </c>
      <c r="N424" t="s">
        <v>1111</v>
      </c>
      <c r="Q424" t="s">
        <v>778</v>
      </c>
      <c r="W424" t="s">
        <v>1419</v>
      </c>
      <c r="X424" t="s">
        <v>780</v>
      </c>
      <c r="Y424" t="s">
        <v>807</v>
      </c>
      <c r="AA424" s="31">
        <v>46081</v>
      </c>
      <c r="AB424">
        <v>1600</v>
      </c>
      <c r="AC424">
        <v>599515</v>
      </c>
      <c r="AD424">
        <v>15</v>
      </c>
      <c r="AE424" t="s">
        <v>44</v>
      </c>
      <c r="AF424" s="31">
        <v>46051</v>
      </c>
      <c r="AG424" s="61">
        <v>0.6811342592592593</v>
      </c>
      <c r="AI424" t="s">
        <v>795</v>
      </c>
      <c r="AJ424" s="31">
        <v>46066</v>
      </c>
      <c r="AK424" s="61">
        <v>0.51790509259259254</v>
      </c>
      <c r="AL424" t="s">
        <v>858</v>
      </c>
      <c r="AM424" t="s">
        <v>3001</v>
      </c>
      <c r="AO424" t="s">
        <v>2576</v>
      </c>
      <c r="AP424" t="s">
        <v>44</v>
      </c>
      <c r="AQ424" t="s">
        <v>2576</v>
      </c>
      <c r="AS424" s="31">
        <v>46066</v>
      </c>
      <c r="AT424">
        <v>50</v>
      </c>
      <c r="AY424">
        <v>1</v>
      </c>
    </row>
    <row r="425" spans="1:51" x14ac:dyDescent="0.25">
      <c r="A425" t="s">
        <v>44</v>
      </c>
      <c r="B425">
        <v>884</v>
      </c>
      <c r="D425">
        <v>3202</v>
      </c>
      <c r="E425" t="s">
        <v>4743</v>
      </c>
      <c r="G425" t="s">
        <v>3005</v>
      </c>
      <c r="J425" t="s">
        <v>3004</v>
      </c>
      <c r="K425" t="s">
        <v>3004</v>
      </c>
      <c r="L425">
        <v>75981412000</v>
      </c>
      <c r="N425" t="s">
        <v>1111</v>
      </c>
      <c r="Q425" t="s">
        <v>778</v>
      </c>
      <c r="W425" t="s">
        <v>1419</v>
      </c>
      <c r="X425" t="s">
        <v>780</v>
      </c>
      <c r="Y425" t="s">
        <v>816</v>
      </c>
      <c r="AA425" s="31">
        <v>46112</v>
      </c>
      <c r="AB425">
        <v>149248</v>
      </c>
      <c r="AC425">
        <v>29499</v>
      </c>
      <c r="AD425">
        <v>62</v>
      </c>
      <c r="AE425" t="s">
        <v>44</v>
      </c>
      <c r="AF425" s="31">
        <v>46051</v>
      </c>
      <c r="AG425" s="61">
        <v>0.69284722222222217</v>
      </c>
      <c r="AI425" t="s">
        <v>818</v>
      </c>
      <c r="AJ425" s="31">
        <v>46113</v>
      </c>
      <c r="AK425" s="61">
        <v>0.64675925925925926</v>
      </c>
      <c r="AO425" t="s">
        <v>2889</v>
      </c>
      <c r="AP425" t="s">
        <v>44</v>
      </c>
      <c r="AQ425" t="s">
        <v>2576</v>
      </c>
      <c r="AR425" t="s">
        <v>403</v>
      </c>
      <c r="AS425" s="31">
        <v>46062</v>
      </c>
      <c r="AT425">
        <v>50</v>
      </c>
      <c r="AY425">
        <v>1</v>
      </c>
    </row>
    <row r="426" spans="1:51" x14ac:dyDescent="0.25">
      <c r="A426" t="s">
        <v>44</v>
      </c>
      <c r="B426">
        <v>885</v>
      </c>
      <c r="D426">
        <v>3205</v>
      </c>
      <c r="E426" t="s">
        <v>3006</v>
      </c>
      <c r="G426" t="s">
        <v>3007</v>
      </c>
      <c r="H426">
        <v>4312818000109</v>
      </c>
      <c r="J426" t="s">
        <v>3008</v>
      </c>
      <c r="K426" t="s">
        <v>3008</v>
      </c>
      <c r="Q426" t="s">
        <v>778</v>
      </c>
      <c r="R426" t="s">
        <v>1094</v>
      </c>
      <c r="S426" t="s">
        <v>790</v>
      </c>
      <c r="W426" t="s">
        <v>1718</v>
      </c>
      <c r="X426" t="s">
        <v>780</v>
      </c>
      <c r="Y426" t="s">
        <v>807</v>
      </c>
      <c r="AA426" s="31">
        <v>46081</v>
      </c>
      <c r="AB426">
        <v>1600</v>
      </c>
      <c r="AC426">
        <v>384454</v>
      </c>
      <c r="AD426">
        <v>20</v>
      </c>
      <c r="AE426" t="s">
        <v>44</v>
      </c>
      <c r="AF426" s="31">
        <v>46052</v>
      </c>
      <c r="AG426" s="61">
        <v>0.61850694444444443</v>
      </c>
      <c r="AI426" t="s">
        <v>795</v>
      </c>
      <c r="AJ426" s="31">
        <v>46072</v>
      </c>
      <c r="AK426" s="61">
        <v>0.68957175925925929</v>
      </c>
      <c r="AL426" t="s">
        <v>858</v>
      </c>
      <c r="AM426" t="s">
        <v>4744</v>
      </c>
      <c r="AO426" t="s">
        <v>2829</v>
      </c>
      <c r="AP426" t="s">
        <v>44</v>
      </c>
      <c r="AS426" s="31">
        <v>46072</v>
      </c>
      <c r="AT426">
        <v>30</v>
      </c>
      <c r="AY426">
        <v>1</v>
      </c>
    </row>
    <row r="427" spans="1:51" x14ac:dyDescent="0.25">
      <c r="A427" t="s">
        <v>44</v>
      </c>
      <c r="B427">
        <v>886</v>
      </c>
      <c r="D427">
        <v>3207</v>
      </c>
      <c r="E427" t="s">
        <v>4729</v>
      </c>
      <c r="G427" t="s">
        <v>3009</v>
      </c>
      <c r="J427" t="s">
        <v>3010</v>
      </c>
      <c r="K427" t="s">
        <v>3010</v>
      </c>
      <c r="L427">
        <v>43996693593</v>
      </c>
      <c r="N427" t="s">
        <v>2827</v>
      </c>
      <c r="Q427" t="s">
        <v>778</v>
      </c>
      <c r="W427" t="s">
        <v>2791</v>
      </c>
      <c r="X427" t="s">
        <v>780</v>
      </c>
      <c r="Y427" t="s">
        <v>793</v>
      </c>
      <c r="AA427" s="31"/>
      <c r="AB427">
        <v>1600</v>
      </c>
      <c r="AC427">
        <v>252471</v>
      </c>
      <c r="AD427">
        <v>38</v>
      </c>
      <c r="AE427" t="s">
        <v>44</v>
      </c>
      <c r="AF427" s="31">
        <v>46052</v>
      </c>
      <c r="AG427" s="61">
        <v>0.64193287037037039</v>
      </c>
      <c r="AI427" t="s">
        <v>795</v>
      </c>
      <c r="AJ427" s="31">
        <v>46090</v>
      </c>
      <c r="AK427" s="61">
        <v>0.46104166666666668</v>
      </c>
      <c r="AL427" t="s">
        <v>796</v>
      </c>
      <c r="AM427" t="s">
        <v>4729</v>
      </c>
      <c r="AO427" t="s">
        <v>2829</v>
      </c>
      <c r="AS427" s="31">
        <v>46062</v>
      </c>
      <c r="AY427">
        <v>1</v>
      </c>
    </row>
    <row r="428" spans="1:51" x14ac:dyDescent="0.25">
      <c r="A428" t="s">
        <v>44</v>
      </c>
      <c r="B428">
        <v>887</v>
      </c>
      <c r="D428">
        <v>3208</v>
      </c>
      <c r="G428" t="s">
        <v>3012</v>
      </c>
      <c r="J428" t="s">
        <v>3013</v>
      </c>
      <c r="K428" t="s">
        <v>3013</v>
      </c>
      <c r="L428">
        <v>9384064995</v>
      </c>
      <c r="N428" t="s">
        <v>2839</v>
      </c>
      <c r="Q428" t="s">
        <v>778</v>
      </c>
      <c r="W428" t="s">
        <v>3015</v>
      </c>
      <c r="X428" t="s">
        <v>780</v>
      </c>
      <c r="Y428" t="s">
        <v>857</v>
      </c>
      <c r="AA428" s="31"/>
      <c r="AB428">
        <v>1600</v>
      </c>
      <c r="AC428">
        <v>254271</v>
      </c>
      <c r="AD428">
        <v>6</v>
      </c>
      <c r="AE428" t="s">
        <v>44</v>
      </c>
      <c r="AF428" s="31">
        <v>46052</v>
      </c>
      <c r="AG428" s="61">
        <v>0.66526620370370371</v>
      </c>
      <c r="AI428" t="s">
        <v>795</v>
      </c>
      <c r="AJ428" s="31">
        <v>46058</v>
      </c>
      <c r="AK428" s="61">
        <v>0.59289351851851857</v>
      </c>
      <c r="AL428" t="s">
        <v>867</v>
      </c>
      <c r="AM428" t="s">
        <v>2843</v>
      </c>
      <c r="AO428" t="s">
        <v>2829</v>
      </c>
      <c r="AQ428" t="s">
        <v>2590</v>
      </c>
      <c r="AS428" s="31">
        <v>46048</v>
      </c>
      <c r="AY428">
        <v>1</v>
      </c>
    </row>
    <row r="429" spans="1:51" x14ac:dyDescent="0.25">
      <c r="A429" t="s">
        <v>44</v>
      </c>
      <c r="B429">
        <v>888</v>
      </c>
      <c r="D429">
        <v>3209</v>
      </c>
      <c r="G429" t="s">
        <v>3016</v>
      </c>
      <c r="J429" t="s">
        <v>3017</v>
      </c>
      <c r="K429" t="s">
        <v>3017</v>
      </c>
      <c r="L429">
        <v>3284083586</v>
      </c>
      <c r="N429" t="s">
        <v>2636</v>
      </c>
      <c r="Q429" t="s">
        <v>778</v>
      </c>
      <c r="W429" t="s">
        <v>2791</v>
      </c>
      <c r="X429" t="s">
        <v>780</v>
      </c>
      <c r="Y429" t="s">
        <v>857</v>
      </c>
      <c r="AA429" s="31"/>
      <c r="AB429">
        <v>1600</v>
      </c>
      <c r="AC429">
        <v>252471</v>
      </c>
      <c r="AD429">
        <v>6</v>
      </c>
      <c r="AE429" t="s">
        <v>44</v>
      </c>
      <c r="AF429" s="31">
        <v>46052</v>
      </c>
      <c r="AG429" s="61">
        <v>0.67311342592592593</v>
      </c>
      <c r="AI429" t="s">
        <v>795</v>
      </c>
      <c r="AJ429" s="31">
        <v>46058</v>
      </c>
      <c r="AK429" s="61">
        <v>0.51517361111111115</v>
      </c>
      <c r="AL429" t="s">
        <v>934</v>
      </c>
      <c r="AM429" t="s">
        <v>3019</v>
      </c>
      <c r="AO429" t="s">
        <v>2591</v>
      </c>
      <c r="AQ429" t="s">
        <v>2591</v>
      </c>
      <c r="AS429" s="31">
        <v>46051</v>
      </c>
      <c r="AY429">
        <v>1</v>
      </c>
    </row>
    <row r="430" spans="1:51" x14ac:dyDescent="0.25">
      <c r="A430" t="s">
        <v>44</v>
      </c>
      <c r="B430">
        <v>889</v>
      </c>
      <c r="D430">
        <v>3210</v>
      </c>
      <c r="E430" t="s">
        <v>4737</v>
      </c>
      <c r="G430" t="s">
        <v>3020</v>
      </c>
      <c r="J430" t="s">
        <v>3021</v>
      </c>
      <c r="K430" t="s">
        <v>3021</v>
      </c>
      <c r="L430">
        <v>3194143043</v>
      </c>
      <c r="N430" t="s">
        <v>2944</v>
      </c>
      <c r="Q430" t="s">
        <v>778</v>
      </c>
      <c r="W430" t="s">
        <v>2542</v>
      </c>
      <c r="X430" t="s">
        <v>780</v>
      </c>
      <c r="Y430" t="s">
        <v>793</v>
      </c>
      <c r="AA430" s="31"/>
      <c r="AB430">
        <v>1600</v>
      </c>
      <c r="AC430">
        <v>252471</v>
      </c>
      <c r="AD430">
        <v>20</v>
      </c>
      <c r="AE430" t="s">
        <v>44</v>
      </c>
      <c r="AF430" s="31">
        <v>46052</v>
      </c>
      <c r="AG430" s="61">
        <v>0.69487268518518519</v>
      </c>
      <c r="AI430" t="s">
        <v>795</v>
      </c>
      <c r="AJ430" s="31">
        <v>46072</v>
      </c>
      <c r="AK430" s="61">
        <v>0.69290509259259259</v>
      </c>
      <c r="AL430" t="s">
        <v>934</v>
      </c>
      <c r="AM430" t="s">
        <v>4737</v>
      </c>
      <c r="AO430" t="s">
        <v>2889</v>
      </c>
      <c r="AP430" t="s">
        <v>44</v>
      </c>
      <c r="AQ430" t="s">
        <v>2889</v>
      </c>
      <c r="AS430" s="31">
        <v>46072</v>
      </c>
      <c r="AT430">
        <v>30</v>
      </c>
      <c r="AY430">
        <v>1</v>
      </c>
    </row>
    <row r="431" spans="1:51" x14ac:dyDescent="0.25">
      <c r="A431" t="s">
        <v>44</v>
      </c>
      <c r="B431">
        <v>890</v>
      </c>
      <c r="D431">
        <v>3190</v>
      </c>
      <c r="E431" t="s">
        <v>3022</v>
      </c>
      <c r="G431" t="s">
        <v>3023</v>
      </c>
      <c r="H431">
        <v>747901000222</v>
      </c>
      <c r="J431" t="s">
        <v>3024</v>
      </c>
      <c r="K431" t="s">
        <v>3024</v>
      </c>
      <c r="L431">
        <v>19995356201</v>
      </c>
      <c r="N431" t="s">
        <v>3026</v>
      </c>
      <c r="Q431" t="s">
        <v>778</v>
      </c>
      <c r="T431" t="s">
        <v>2541</v>
      </c>
      <c r="W431" t="s">
        <v>2542</v>
      </c>
      <c r="X431" t="s">
        <v>780</v>
      </c>
      <c r="Y431" t="s">
        <v>857</v>
      </c>
      <c r="AA431" s="31">
        <v>46081</v>
      </c>
      <c r="AD431">
        <v>38</v>
      </c>
      <c r="AE431" t="s">
        <v>22</v>
      </c>
      <c r="AF431" s="31">
        <v>46052</v>
      </c>
      <c r="AG431" s="61">
        <v>0.70134259259259257</v>
      </c>
      <c r="AI431" t="s">
        <v>795</v>
      </c>
      <c r="AJ431" s="31">
        <v>46090</v>
      </c>
      <c r="AK431" s="61">
        <v>0.40456018518518522</v>
      </c>
      <c r="AL431" t="s">
        <v>796</v>
      </c>
      <c r="AM431" t="s">
        <v>4745</v>
      </c>
      <c r="AP431" t="s">
        <v>44</v>
      </c>
      <c r="AS431" s="31">
        <v>46090</v>
      </c>
      <c r="AT431">
        <v>30</v>
      </c>
      <c r="AY431">
        <v>1</v>
      </c>
    </row>
    <row r="432" spans="1:51" x14ac:dyDescent="0.25">
      <c r="A432" t="s">
        <v>31</v>
      </c>
      <c r="B432">
        <v>891</v>
      </c>
      <c r="D432">
        <v>3191</v>
      </c>
      <c r="E432" t="s">
        <v>3027</v>
      </c>
      <c r="G432" t="s">
        <v>3028</v>
      </c>
      <c r="J432" t="s">
        <v>3029</v>
      </c>
      <c r="K432" t="s">
        <v>3029</v>
      </c>
      <c r="L432">
        <v>3335294949</v>
      </c>
      <c r="N432" t="s">
        <v>3031</v>
      </c>
      <c r="Q432" t="s">
        <v>778</v>
      </c>
      <c r="T432" t="s">
        <v>2541</v>
      </c>
      <c r="W432" t="s">
        <v>2542</v>
      </c>
      <c r="X432" t="s">
        <v>780</v>
      </c>
      <c r="Y432" t="s">
        <v>793</v>
      </c>
      <c r="AA432" s="31">
        <v>46081</v>
      </c>
      <c r="AD432">
        <v>26</v>
      </c>
      <c r="AE432" t="s">
        <v>22</v>
      </c>
      <c r="AF432" s="31">
        <v>46052</v>
      </c>
      <c r="AG432" s="61">
        <v>0.70265046296296296</v>
      </c>
      <c r="AI432" t="s">
        <v>795</v>
      </c>
      <c r="AJ432" s="31">
        <v>46078</v>
      </c>
      <c r="AK432" s="61">
        <v>0.43755787037037042</v>
      </c>
      <c r="AL432" t="s">
        <v>808</v>
      </c>
      <c r="AP432" t="s">
        <v>31</v>
      </c>
      <c r="AS432" s="31">
        <v>46071</v>
      </c>
      <c r="AT432">
        <v>30</v>
      </c>
      <c r="AY432">
        <v>1</v>
      </c>
    </row>
    <row r="433" spans="1:51" x14ac:dyDescent="0.25">
      <c r="A433" t="s">
        <v>44</v>
      </c>
      <c r="B433">
        <v>892</v>
      </c>
      <c r="D433">
        <v>3196</v>
      </c>
      <c r="E433" t="s">
        <v>4746</v>
      </c>
      <c r="G433" t="s">
        <v>397</v>
      </c>
      <c r="H433">
        <v>54888350000165</v>
      </c>
      <c r="J433" t="s">
        <v>3033</v>
      </c>
      <c r="K433" t="s">
        <v>3033</v>
      </c>
      <c r="L433">
        <v>21999778181</v>
      </c>
      <c r="N433" t="s">
        <v>3035</v>
      </c>
      <c r="Q433" t="s">
        <v>778</v>
      </c>
      <c r="T433" t="s">
        <v>2541</v>
      </c>
      <c r="W433" t="s">
        <v>2542</v>
      </c>
      <c r="X433" t="s">
        <v>780</v>
      </c>
      <c r="Y433" t="s">
        <v>807</v>
      </c>
      <c r="AA433" s="31">
        <v>46112</v>
      </c>
      <c r="AB433">
        <v>1148572</v>
      </c>
      <c r="AC433">
        <v>71924</v>
      </c>
      <c r="AD433">
        <v>45</v>
      </c>
      <c r="AE433" t="s">
        <v>22</v>
      </c>
      <c r="AF433" s="31">
        <v>46052</v>
      </c>
      <c r="AG433" s="61">
        <v>0.70391203703703709</v>
      </c>
      <c r="AI433" t="s">
        <v>795</v>
      </c>
      <c r="AJ433" s="31">
        <v>46097</v>
      </c>
      <c r="AK433" s="61">
        <v>0.50124999999999997</v>
      </c>
      <c r="AL433" t="s">
        <v>796</v>
      </c>
      <c r="AM433" t="s">
        <v>4747</v>
      </c>
      <c r="AO433" t="s">
        <v>4748</v>
      </c>
      <c r="AP433" t="s">
        <v>44</v>
      </c>
      <c r="AQ433" t="s">
        <v>4748</v>
      </c>
      <c r="AS433" s="31">
        <v>46097</v>
      </c>
      <c r="AT433">
        <v>30</v>
      </c>
      <c r="AY433">
        <v>1</v>
      </c>
    </row>
    <row r="434" spans="1:51" x14ac:dyDescent="0.25">
      <c r="A434" t="s">
        <v>22</v>
      </c>
      <c r="B434">
        <v>893</v>
      </c>
      <c r="D434">
        <v>3203</v>
      </c>
      <c r="E434" t="s">
        <v>4749</v>
      </c>
      <c r="G434" t="s">
        <v>3037</v>
      </c>
      <c r="H434">
        <v>10258712000169</v>
      </c>
      <c r="J434" t="s">
        <v>3038</v>
      </c>
      <c r="K434" t="s">
        <v>3038</v>
      </c>
      <c r="L434" t="s">
        <v>3039</v>
      </c>
      <c r="N434" t="s">
        <v>3040</v>
      </c>
      <c r="Q434" t="s">
        <v>778</v>
      </c>
      <c r="R434" t="s">
        <v>923</v>
      </c>
      <c r="T434" t="s">
        <v>814</v>
      </c>
      <c r="W434" t="s">
        <v>4750</v>
      </c>
      <c r="X434" t="s">
        <v>780</v>
      </c>
      <c r="Y434" t="s">
        <v>816</v>
      </c>
      <c r="AA434" s="31">
        <v>46112</v>
      </c>
      <c r="AB434">
        <v>1301786</v>
      </c>
      <c r="AC434">
        <v>2713706</v>
      </c>
      <c r="AD434">
        <v>70</v>
      </c>
      <c r="AE434" t="s">
        <v>22</v>
      </c>
      <c r="AF434" s="31">
        <v>46052</v>
      </c>
      <c r="AG434" s="61">
        <v>0.7107175925925926</v>
      </c>
      <c r="AI434" t="s">
        <v>795</v>
      </c>
      <c r="AJ434" s="31">
        <v>46122</v>
      </c>
      <c r="AK434" s="61">
        <v>0.66462962962962968</v>
      </c>
      <c r="AL434" t="s">
        <v>858</v>
      </c>
      <c r="AO434" t="s">
        <v>395</v>
      </c>
      <c r="AP434" t="s">
        <v>22</v>
      </c>
      <c r="AQ434" t="s">
        <v>395</v>
      </c>
      <c r="AS434" s="31">
        <v>46101</v>
      </c>
      <c r="AT434">
        <v>30</v>
      </c>
      <c r="AV434" t="s">
        <v>4751</v>
      </c>
      <c r="AY434">
        <v>1</v>
      </c>
    </row>
    <row r="435" spans="1:51" x14ac:dyDescent="0.25">
      <c r="A435" t="s">
        <v>22</v>
      </c>
      <c r="B435">
        <v>894</v>
      </c>
      <c r="D435">
        <v>3204</v>
      </c>
      <c r="E435" t="s">
        <v>4752</v>
      </c>
      <c r="G435" t="s">
        <v>3042</v>
      </c>
      <c r="J435" t="s">
        <v>3043</v>
      </c>
      <c r="K435" t="s">
        <v>3043</v>
      </c>
      <c r="L435">
        <v>13997072312</v>
      </c>
      <c r="N435" t="s">
        <v>3045</v>
      </c>
      <c r="Q435" t="s">
        <v>778</v>
      </c>
      <c r="T435" t="s">
        <v>2541</v>
      </c>
      <c r="W435" t="s">
        <v>2542</v>
      </c>
      <c r="X435" t="s">
        <v>780</v>
      </c>
      <c r="Y435" t="s">
        <v>781</v>
      </c>
      <c r="AA435" s="31">
        <v>46081</v>
      </c>
      <c r="AD435">
        <v>27</v>
      </c>
      <c r="AE435" t="s">
        <v>22</v>
      </c>
      <c r="AF435" s="31">
        <v>46052</v>
      </c>
      <c r="AG435" s="61">
        <v>0.71299768518518514</v>
      </c>
      <c r="AI435" t="s">
        <v>795</v>
      </c>
      <c r="AJ435" s="31">
        <v>46079</v>
      </c>
      <c r="AK435" s="61">
        <v>0.77196759259259262</v>
      </c>
      <c r="AL435" t="s">
        <v>974</v>
      </c>
      <c r="AM435" t="s">
        <v>4752</v>
      </c>
      <c r="AP435" t="s">
        <v>22</v>
      </c>
      <c r="AS435" s="31">
        <v>46079</v>
      </c>
      <c r="AT435">
        <v>30</v>
      </c>
      <c r="AV435" t="s">
        <v>47</v>
      </c>
      <c r="AY435">
        <v>1</v>
      </c>
    </row>
    <row r="436" spans="1:51" x14ac:dyDescent="0.25">
      <c r="A436" t="s">
        <v>31</v>
      </c>
      <c r="B436">
        <v>895</v>
      </c>
      <c r="D436">
        <v>3201</v>
      </c>
      <c r="E436" t="s">
        <v>4753</v>
      </c>
      <c r="F436" t="s">
        <v>3046</v>
      </c>
      <c r="G436" t="s">
        <v>3047</v>
      </c>
      <c r="H436">
        <v>28229707000193</v>
      </c>
      <c r="J436" t="s">
        <v>3046</v>
      </c>
      <c r="K436" t="s">
        <v>3046</v>
      </c>
      <c r="L436" t="s">
        <v>3048</v>
      </c>
      <c r="N436" t="s">
        <v>3049</v>
      </c>
      <c r="Q436" t="s">
        <v>778</v>
      </c>
      <c r="R436" t="s">
        <v>1837</v>
      </c>
      <c r="S436" t="s">
        <v>790</v>
      </c>
      <c r="T436" t="s">
        <v>805</v>
      </c>
      <c r="W436" t="s">
        <v>2859</v>
      </c>
      <c r="X436" t="s">
        <v>780</v>
      </c>
      <c r="Y436" t="s">
        <v>857</v>
      </c>
      <c r="AA436" s="31">
        <v>46142</v>
      </c>
      <c r="AD436">
        <v>64</v>
      </c>
      <c r="AE436" t="s">
        <v>31</v>
      </c>
      <c r="AF436" s="31">
        <v>46055</v>
      </c>
      <c r="AG436" s="61">
        <v>0.40783564814814821</v>
      </c>
      <c r="AI436" t="s">
        <v>795</v>
      </c>
      <c r="AJ436" s="31">
        <v>46119</v>
      </c>
      <c r="AK436" s="61">
        <v>0.45613425925925932</v>
      </c>
      <c r="AL436" t="s">
        <v>858</v>
      </c>
      <c r="AP436" t="s">
        <v>31</v>
      </c>
      <c r="AQ436" t="s">
        <v>403</v>
      </c>
      <c r="AS436" s="31">
        <v>46070</v>
      </c>
      <c r="AT436">
        <v>30</v>
      </c>
      <c r="AV436" t="s">
        <v>3050</v>
      </c>
      <c r="AY436">
        <v>1</v>
      </c>
    </row>
    <row r="437" spans="1:51" x14ac:dyDescent="0.25">
      <c r="A437" t="s">
        <v>31</v>
      </c>
      <c r="B437">
        <v>901</v>
      </c>
      <c r="D437">
        <v>3218</v>
      </c>
      <c r="E437" t="s">
        <v>3051</v>
      </c>
      <c r="G437" t="s">
        <v>3052</v>
      </c>
      <c r="J437" t="s">
        <v>3053</v>
      </c>
      <c r="K437" t="s">
        <v>3053</v>
      </c>
      <c r="L437">
        <v>87988082642</v>
      </c>
      <c r="N437" t="s">
        <v>3055</v>
      </c>
      <c r="Q437" t="s">
        <v>778</v>
      </c>
      <c r="T437" t="s">
        <v>2541</v>
      </c>
      <c r="W437" t="s">
        <v>2632</v>
      </c>
      <c r="X437" t="s">
        <v>780</v>
      </c>
      <c r="Y437" t="s">
        <v>897</v>
      </c>
      <c r="AA437" s="31">
        <v>46081</v>
      </c>
      <c r="AD437">
        <v>2</v>
      </c>
      <c r="AE437" t="s">
        <v>22</v>
      </c>
      <c r="AF437" s="31">
        <v>46058</v>
      </c>
      <c r="AG437" s="61">
        <v>0.35667824074074073</v>
      </c>
      <c r="AI437" t="s">
        <v>795</v>
      </c>
      <c r="AJ437" s="31">
        <v>46060</v>
      </c>
      <c r="AK437" s="61">
        <v>0.89652777777777781</v>
      </c>
      <c r="AL437" t="s">
        <v>1226</v>
      </c>
      <c r="AP437" t="s">
        <v>31</v>
      </c>
      <c r="AS437" s="31"/>
      <c r="AT437">
        <v>30</v>
      </c>
      <c r="AY437">
        <v>1</v>
      </c>
    </row>
    <row r="438" spans="1:51" x14ac:dyDescent="0.25">
      <c r="A438" t="s">
        <v>44</v>
      </c>
      <c r="B438">
        <v>902</v>
      </c>
      <c r="D438">
        <v>3211</v>
      </c>
      <c r="G438" t="s">
        <v>3056</v>
      </c>
      <c r="H438">
        <v>7324070000144</v>
      </c>
      <c r="J438" t="s">
        <v>3057</v>
      </c>
      <c r="K438" t="s">
        <v>3057</v>
      </c>
      <c r="L438">
        <v>8391128022</v>
      </c>
      <c r="N438" t="s">
        <v>3059</v>
      </c>
      <c r="Q438" t="s">
        <v>778</v>
      </c>
      <c r="R438" t="s">
        <v>2812</v>
      </c>
      <c r="S438" t="s">
        <v>1067</v>
      </c>
      <c r="T438" t="s">
        <v>2541</v>
      </c>
      <c r="W438" t="s">
        <v>2542</v>
      </c>
      <c r="X438" t="s">
        <v>780</v>
      </c>
      <c r="Y438" t="s">
        <v>897</v>
      </c>
      <c r="AA438" s="31">
        <v>46081</v>
      </c>
      <c r="AD438">
        <v>14</v>
      </c>
      <c r="AE438" t="s">
        <v>22</v>
      </c>
      <c r="AF438" s="31">
        <v>46058</v>
      </c>
      <c r="AG438" s="61">
        <v>0.35793981481481479</v>
      </c>
      <c r="AI438" t="s">
        <v>795</v>
      </c>
      <c r="AJ438" s="31">
        <v>46072</v>
      </c>
      <c r="AK438" s="61">
        <v>0.45859953703703699</v>
      </c>
      <c r="AL438" t="s">
        <v>796</v>
      </c>
      <c r="AM438" t="s">
        <v>4754</v>
      </c>
      <c r="AP438" t="s">
        <v>44</v>
      </c>
      <c r="AS438" s="31">
        <v>46072</v>
      </c>
      <c r="AT438">
        <v>30</v>
      </c>
      <c r="AY438">
        <v>1</v>
      </c>
    </row>
    <row r="439" spans="1:51" x14ac:dyDescent="0.25">
      <c r="A439" t="s">
        <v>22</v>
      </c>
      <c r="B439">
        <v>903</v>
      </c>
      <c r="D439">
        <v>3217</v>
      </c>
      <c r="E439" t="s">
        <v>3060</v>
      </c>
      <c r="G439" t="s">
        <v>3061</v>
      </c>
      <c r="J439" t="s">
        <v>3062</v>
      </c>
      <c r="K439" t="s">
        <v>3062</v>
      </c>
      <c r="L439">
        <v>6184085792</v>
      </c>
      <c r="N439" t="s">
        <v>3064</v>
      </c>
      <c r="Q439" t="s">
        <v>778</v>
      </c>
      <c r="T439" t="s">
        <v>2541</v>
      </c>
      <c r="W439" t="s">
        <v>2542</v>
      </c>
      <c r="X439" t="s">
        <v>780</v>
      </c>
      <c r="Y439" t="s">
        <v>897</v>
      </c>
      <c r="AA439" s="31">
        <v>46081</v>
      </c>
      <c r="AD439">
        <v>12</v>
      </c>
      <c r="AE439" t="s">
        <v>22</v>
      </c>
      <c r="AF439" s="31">
        <v>46058</v>
      </c>
      <c r="AG439" s="61">
        <v>0.36140046296296302</v>
      </c>
      <c r="AI439" t="s">
        <v>795</v>
      </c>
      <c r="AJ439" s="31">
        <v>46070</v>
      </c>
      <c r="AK439" s="61">
        <v>0.49578703703703703</v>
      </c>
      <c r="AL439" t="s">
        <v>796</v>
      </c>
      <c r="AP439" t="s">
        <v>22</v>
      </c>
      <c r="AS439" s="31"/>
      <c r="AT439">
        <v>30</v>
      </c>
      <c r="AY439">
        <v>1</v>
      </c>
    </row>
    <row r="440" spans="1:51" x14ac:dyDescent="0.25">
      <c r="A440" t="s">
        <v>22</v>
      </c>
      <c r="B440">
        <v>906</v>
      </c>
      <c r="D440">
        <v>3226</v>
      </c>
      <c r="E440" t="s">
        <v>4755</v>
      </c>
      <c r="G440" t="s">
        <v>3065</v>
      </c>
      <c r="J440" t="s">
        <v>3066</v>
      </c>
      <c r="K440" t="s">
        <v>3066</v>
      </c>
      <c r="L440">
        <v>11985858558</v>
      </c>
      <c r="N440" t="s">
        <v>3068</v>
      </c>
      <c r="Q440" t="s">
        <v>778</v>
      </c>
      <c r="T440" t="s">
        <v>2541</v>
      </c>
      <c r="W440" t="s">
        <v>2542</v>
      </c>
      <c r="X440" t="s">
        <v>780</v>
      </c>
      <c r="Y440" t="s">
        <v>857</v>
      </c>
      <c r="AA440" s="31">
        <v>46081</v>
      </c>
      <c r="AD440">
        <v>24</v>
      </c>
      <c r="AE440" t="s">
        <v>22</v>
      </c>
      <c r="AF440" s="31">
        <v>46060</v>
      </c>
      <c r="AG440" s="61">
        <v>0.29451388888888891</v>
      </c>
      <c r="AI440" t="s">
        <v>795</v>
      </c>
      <c r="AJ440" s="31">
        <v>46084</v>
      </c>
      <c r="AK440" s="61">
        <v>0.89817129629629633</v>
      </c>
      <c r="AL440" t="s">
        <v>1226</v>
      </c>
      <c r="AP440" t="s">
        <v>22</v>
      </c>
      <c r="AS440" s="31"/>
      <c r="AT440">
        <v>30</v>
      </c>
      <c r="AV440" t="s">
        <v>321</v>
      </c>
      <c r="AY440">
        <v>1</v>
      </c>
    </row>
    <row r="441" spans="1:51" x14ac:dyDescent="0.25">
      <c r="A441" t="s">
        <v>22</v>
      </c>
      <c r="B441">
        <v>907</v>
      </c>
      <c r="D441">
        <v>3222</v>
      </c>
      <c r="E441" t="s">
        <v>3069</v>
      </c>
      <c r="G441" t="s">
        <v>3070</v>
      </c>
      <c r="J441" t="s">
        <v>3071</v>
      </c>
      <c r="K441" t="s">
        <v>3071</v>
      </c>
      <c r="L441" t="s">
        <v>3072</v>
      </c>
      <c r="N441" t="s">
        <v>3073</v>
      </c>
      <c r="Q441" t="s">
        <v>778</v>
      </c>
      <c r="R441" t="s">
        <v>923</v>
      </c>
      <c r="T441" t="s">
        <v>814</v>
      </c>
      <c r="W441" t="s">
        <v>2391</v>
      </c>
      <c r="X441" t="s">
        <v>780</v>
      </c>
      <c r="Y441" t="s">
        <v>857</v>
      </c>
      <c r="AA441" s="31">
        <v>46081</v>
      </c>
      <c r="AD441">
        <v>12</v>
      </c>
      <c r="AE441" t="s">
        <v>22</v>
      </c>
      <c r="AF441" s="31">
        <v>46060</v>
      </c>
      <c r="AG441" s="61">
        <v>0.30134259259259261</v>
      </c>
      <c r="AI441" t="s">
        <v>795</v>
      </c>
      <c r="AJ441" s="31">
        <v>46072</v>
      </c>
      <c r="AK441" s="61">
        <v>0.72991898148148149</v>
      </c>
      <c r="AL441" t="s">
        <v>796</v>
      </c>
      <c r="AM441" t="s">
        <v>4756</v>
      </c>
      <c r="AP441" t="s">
        <v>22</v>
      </c>
      <c r="AQ441" t="s">
        <v>405</v>
      </c>
      <c r="AS441" s="31"/>
      <c r="AT441">
        <v>30</v>
      </c>
      <c r="AY441">
        <v>1</v>
      </c>
    </row>
    <row r="442" spans="1:51" x14ac:dyDescent="0.25">
      <c r="A442" t="s">
        <v>22</v>
      </c>
      <c r="B442">
        <v>908</v>
      </c>
      <c r="D442">
        <v>3228</v>
      </c>
      <c r="E442" t="s">
        <v>3074</v>
      </c>
      <c r="G442" t="s">
        <v>445</v>
      </c>
      <c r="J442" t="s">
        <v>3075</v>
      </c>
      <c r="K442" t="s">
        <v>3075</v>
      </c>
      <c r="L442">
        <v>49988720298</v>
      </c>
      <c r="N442" t="s">
        <v>1111</v>
      </c>
      <c r="Q442" t="s">
        <v>778</v>
      </c>
      <c r="T442" t="s">
        <v>933</v>
      </c>
      <c r="W442" t="s">
        <v>1419</v>
      </c>
      <c r="X442" t="s">
        <v>780</v>
      </c>
      <c r="Y442" t="s">
        <v>807</v>
      </c>
      <c r="AA442" s="31">
        <v>46081</v>
      </c>
      <c r="AB442">
        <v>987029</v>
      </c>
      <c r="AC442">
        <v>1228454</v>
      </c>
      <c r="AD442">
        <v>19</v>
      </c>
      <c r="AE442" t="s">
        <v>22</v>
      </c>
      <c r="AF442" s="31">
        <v>46060</v>
      </c>
      <c r="AG442" s="61">
        <v>0.41621527777777778</v>
      </c>
      <c r="AI442" t="s">
        <v>818</v>
      </c>
      <c r="AJ442" s="31">
        <v>46079</v>
      </c>
      <c r="AK442" s="61">
        <v>0.91343750000000001</v>
      </c>
      <c r="AO442" t="s">
        <v>384</v>
      </c>
      <c r="AP442" t="s">
        <v>22</v>
      </c>
      <c r="AQ442" t="s">
        <v>384</v>
      </c>
      <c r="AS442" s="31">
        <v>46079</v>
      </c>
      <c r="AT442">
        <v>50</v>
      </c>
      <c r="AU442">
        <v>270</v>
      </c>
      <c r="AV442" t="s">
        <v>2913</v>
      </c>
      <c r="AW442" t="s">
        <v>3077</v>
      </c>
      <c r="AX442" t="s">
        <v>3078</v>
      </c>
      <c r="AY442">
        <v>1</v>
      </c>
    </row>
    <row r="443" spans="1:51" x14ac:dyDescent="0.25">
      <c r="A443" t="s">
        <v>22</v>
      </c>
      <c r="B443">
        <v>909</v>
      </c>
      <c r="D443">
        <v>3229</v>
      </c>
      <c r="E443" t="s">
        <v>3079</v>
      </c>
      <c r="G443" t="s">
        <v>451</v>
      </c>
      <c r="J443" t="s">
        <v>3080</v>
      </c>
      <c r="K443" t="s">
        <v>3080</v>
      </c>
      <c r="L443">
        <v>49998015654</v>
      </c>
      <c r="N443" t="s">
        <v>1111</v>
      </c>
      <c r="Q443" t="s">
        <v>778</v>
      </c>
      <c r="W443" t="s">
        <v>1419</v>
      </c>
      <c r="X443" t="s">
        <v>780</v>
      </c>
      <c r="Y443" t="s">
        <v>816</v>
      </c>
      <c r="AA443" s="31">
        <v>46081</v>
      </c>
      <c r="AB443">
        <v>7470289</v>
      </c>
      <c r="AC443">
        <v>1038848</v>
      </c>
      <c r="AD443">
        <v>19</v>
      </c>
      <c r="AE443" t="s">
        <v>22</v>
      </c>
      <c r="AF443" s="31">
        <v>46060</v>
      </c>
      <c r="AG443" s="61">
        <v>0.41700231481481481</v>
      </c>
      <c r="AI443" t="s">
        <v>818</v>
      </c>
      <c r="AJ443" s="31">
        <v>46079</v>
      </c>
      <c r="AK443" s="61">
        <v>0.90869212962962964</v>
      </c>
      <c r="AO443" t="s">
        <v>452</v>
      </c>
      <c r="AP443" t="s">
        <v>22</v>
      </c>
      <c r="AQ443" t="s">
        <v>452</v>
      </c>
      <c r="AS443" s="31">
        <v>46079</v>
      </c>
      <c r="AT443">
        <v>50</v>
      </c>
      <c r="AU443">
        <v>150</v>
      </c>
      <c r="AV443" t="s">
        <v>2913</v>
      </c>
      <c r="AW443" t="s">
        <v>2914</v>
      </c>
      <c r="AX443" t="s">
        <v>3083</v>
      </c>
      <c r="AY443">
        <v>1</v>
      </c>
    </row>
    <row r="444" spans="1:51" x14ac:dyDescent="0.25">
      <c r="A444" t="s">
        <v>44</v>
      </c>
      <c r="B444">
        <v>912</v>
      </c>
      <c r="D444">
        <v>3248</v>
      </c>
      <c r="E444" t="s">
        <v>4757</v>
      </c>
      <c r="F444" t="s">
        <v>3085</v>
      </c>
      <c r="G444" t="s">
        <v>227</v>
      </c>
      <c r="H444">
        <v>12391174000101</v>
      </c>
      <c r="J444" t="s">
        <v>3085</v>
      </c>
      <c r="K444" t="s">
        <v>3085</v>
      </c>
      <c r="L444" t="s">
        <v>3087</v>
      </c>
      <c r="N444" t="s">
        <v>3088</v>
      </c>
      <c r="Q444" t="s">
        <v>778</v>
      </c>
      <c r="R444" t="s">
        <v>3089</v>
      </c>
      <c r="S444" t="s">
        <v>932</v>
      </c>
      <c r="T444" t="s">
        <v>805</v>
      </c>
      <c r="X444" t="s">
        <v>780</v>
      </c>
      <c r="Y444" t="s">
        <v>857</v>
      </c>
      <c r="AA444" s="31">
        <v>46173</v>
      </c>
      <c r="AB444">
        <v>831608</v>
      </c>
      <c r="AC444">
        <v>4898</v>
      </c>
      <c r="AD444">
        <v>63</v>
      </c>
      <c r="AE444" t="s">
        <v>44</v>
      </c>
      <c r="AF444" s="31">
        <v>46064</v>
      </c>
      <c r="AG444" s="61">
        <v>0.41652777777777777</v>
      </c>
      <c r="AI444" t="s">
        <v>782</v>
      </c>
      <c r="AJ444" s="31"/>
      <c r="AK444" s="61"/>
      <c r="AO444" t="s">
        <v>393</v>
      </c>
      <c r="AQ444" t="s">
        <v>393</v>
      </c>
      <c r="AS444" s="31">
        <v>46126</v>
      </c>
      <c r="AT444">
        <v>50</v>
      </c>
      <c r="AY444">
        <v>1</v>
      </c>
    </row>
    <row r="445" spans="1:51" x14ac:dyDescent="0.25">
      <c r="A445" t="s">
        <v>44</v>
      </c>
      <c r="B445">
        <v>915</v>
      </c>
      <c r="D445">
        <v>3253</v>
      </c>
      <c r="E445" t="s">
        <v>3090</v>
      </c>
      <c r="G445" t="s">
        <v>402</v>
      </c>
      <c r="J445" t="s">
        <v>3091</v>
      </c>
      <c r="K445" t="s">
        <v>3091</v>
      </c>
      <c r="L445">
        <v>14996930353</v>
      </c>
      <c r="N445" t="s">
        <v>1326</v>
      </c>
      <c r="Q445" t="s">
        <v>778</v>
      </c>
      <c r="W445" t="s">
        <v>1718</v>
      </c>
      <c r="X445" t="s">
        <v>780</v>
      </c>
      <c r="Y445" t="s">
        <v>793</v>
      </c>
      <c r="AA445" s="31">
        <v>46142</v>
      </c>
      <c r="AB445">
        <v>10240</v>
      </c>
      <c r="AC445">
        <v>2000</v>
      </c>
      <c r="AD445">
        <v>63</v>
      </c>
      <c r="AE445" t="s">
        <v>44</v>
      </c>
      <c r="AF445" s="31">
        <v>46064</v>
      </c>
      <c r="AG445" s="61">
        <v>0.43546296296296289</v>
      </c>
      <c r="AI445" t="s">
        <v>782</v>
      </c>
      <c r="AJ445" s="31"/>
      <c r="AK445" s="61"/>
      <c r="AO445" t="s">
        <v>403</v>
      </c>
      <c r="AQ445" t="s">
        <v>403</v>
      </c>
      <c r="AS445" s="31"/>
      <c r="AT445">
        <v>30</v>
      </c>
      <c r="AY445">
        <v>1</v>
      </c>
    </row>
    <row r="446" spans="1:51" x14ac:dyDescent="0.25">
      <c r="A446" t="s">
        <v>22</v>
      </c>
      <c r="B446">
        <v>919</v>
      </c>
      <c r="D446">
        <v>3227</v>
      </c>
      <c r="E446" t="s">
        <v>4758</v>
      </c>
      <c r="G446" t="s">
        <v>459</v>
      </c>
      <c r="J446" t="s">
        <v>4759</v>
      </c>
      <c r="K446" t="s">
        <v>4759</v>
      </c>
      <c r="L446">
        <v>17996751231</v>
      </c>
      <c r="N446" t="s">
        <v>3094</v>
      </c>
      <c r="Q446" t="s">
        <v>778</v>
      </c>
      <c r="T446" t="s">
        <v>2541</v>
      </c>
      <c r="W446" t="s">
        <v>2791</v>
      </c>
      <c r="X446" t="s">
        <v>780</v>
      </c>
      <c r="Y446" t="s">
        <v>857</v>
      </c>
      <c r="AA446" s="31"/>
      <c r="AD446">
        <v>29</v>
      </c>
      <c r="AE446" t="s">
        <v>22</v>
      </c>
      <c r="AF446" s="31">
        <v>46064</v>
      </c>
      <c r="AG446" s="61">
        <v>0.4732986111111111</v>
      </c>
      <c r="AI446" t="s">
        <v>795</v>
      </c>
      <c r="AJ446" s="31">
        <v>46093</v>
      </c>
      <c r="AK446" s="61">
        <v>0.72518518518518515</v>
      </c>
      <c r="AL446" t="s">
        <v>1226</v>
      </c>
      <c r="AO446" t="s">
        <v>395</v>
      </c>
      <c r="AP446" t="s">
        <v>22</v>
      </c>
      <c r="AQ446" t="s">
        <v>395</v>
      </c>
      <c r="AS446" s="31">
        <v>46112</v>
      </c>
      <c r="AT446">
        <v>30</v>
      </c>
      <c r="AV446" t="s">
        <v>47</v>
      </c>
      <c r="AY446">
        <v>1</v>
      </c>
    </row>
    <row r="447" spans="1:51" x14ac:dyDescent="0.25">
      <c r="A447" t="s">
        <v>31</v>
      </c>
      <c r="B447">
        <v>920</v>
      </c>
      <c r="D447">
        <v>3230</v>
      </c>
      <c r="E447" t="s">
        <v>3095</v>
      </c>
      <c r="G447" t="s">
        <v>379</v>
      </c>
      <c r="H447">
        <v>36377920000170</v>
      </c>
      <c r="J447" t="s">
        <v>3096</v>
      </c>
      <c r="K447" t="s">
        <v>3096</v>
      </c>
      <c r="L447" t="s">
        <v>4760</v>
      </c>
      <c r="N447" t="s">
        <v>3098</v>
      </c>
      <c r="Q447" t="s">
        <v>778</v>
      </c>
      <c r="R447" t="s">
        <v>4761</v>
      </c>
      <c r="S447" t="s">
        <v>1105</v>
      </c>
      <c r="T447" t="s">
        <v>2541</v>
      </c>
      <c r="W447" t="s">
        <v>2791</v>
      </c>
      <c r="X447" t="s">
        <v>780</v>
      </c>
      <c r="Y447" t="s">
        <v>793</v>
      </c>
      <c r="AA447" s="31">
        <v>46142</v>
      </c>
      <c r="AB447">
        <v>7784244</v>
      </c>
      <c r="AC447">
        <v>144748</v>
      </c>
      <c r="AD447">
        <v>14</v>
      </c>
      <c r="AE447" t="s">
        <v>22</v>
      </c>
      <c r="AF447" s="31">
        <v>46064</v>
      </c>
      <c r="AG447" s="61">
        <v>0.47391203703703699</v>
      </c>
      <c r="AI447" t="s">
        <v>795</v>
      </c>
      <c r="AJ447" s="31">
        <v>46078</v>
      </c>
      <c r="AK447" s="61">
        <v>0.43623842592592588</v>
      </c>
      <c r="AL447" t="s">
        <v>867</v>
      </c>
      <c r="AO447" t="s">
        <v>380</v>
      </c>
      <c r="AP447" t="s">
        <v>31</v>
      </c>
      <c r="AQ447" t="s">
        <v>4762</v>
      </c>
      <c r="AS447" s="31">
        <v>46077</v>
      </c>
      <c r="AT447">
        <v>30</v>
      </c>
      <c r="AV447" t="s">
        <v>321</v>
      </c>
      <c r="AY447">
        <v>1</v>
      </c>
    </row>
    <row r="448" spans="1:51" x14ac:dyDescent="0.25">
      <c r="A448" t="s">
        <v>22</v>
      </c>
      <c r="B448">
        <v>921</v>
      </c>
      <c r="D448">
        <v>3231</v>
      </c>
      <c r="E448" t="s">
        <v>4763</v>
      </c>
      <c r="G448" t="s">
        <v>3099</v>
      </c>
      <c r="J448" t="s">
        <v>3100</v>
      </c>
      <c r="K448" t="s">
        <v>3100</v>
      </c>
      <c r="L448">
        <v>85996031544</v>
      </c>
      <c r="N448" t="s">
        <v>3102</v>
      </c>
      <c r="Q448" t="s">
        <v>778</v>
      </c>
      <c r="T448" t="s">
        <v>2541</v>
      </c>
      <c r="W448" t="s">
        <v>2559</v>
      </c>
      <c r="X448" t="s">
        <v>780</v>
      </c>
      <c r="Y448" t="s">
        <v>897</v>
      </c>
      <c r="AA448" s="31">
        <v>46081</v>
      </c>
      <c r="AD448">
        <v>16</v>
      </c>
      <c r="AE448" t="s">
        <v>22</v>
      </c>
      <c r="AF448" s="31">
        <v>46064</v>
      </c>
      <c r="AG448" s="61">
        <v>0.47487268518518522</v>
      </c>
      <c r="AI448" t="s">
        <v>795</v>
      </c>
      <c r="AJ448" s="31">
        <v>46080</v>
      </c>
      <c r="AK448" s="61">
        <v>0.89760416666666665</v>
      </c>
      <c r="AL448" t="s">
        <v>1226</v>
      </c>
      <c r="AP448" t="s">
        <v>22</v>
      </c>
      <c r="AS448" s="31">
        <v>46079</v>
      </c>
      <c r="AT448">
        <v>30</v>
      </c>
      <c r="AY448">
        <v>1</v>
      </c>
    </row>
    <row r="449" spans="1:51" x14ac:dyDescent="0.25">
      <c r="A449" t="s">
        <v>22</v>
      </c>
      <c r="B449">
        <v>922</v>
      </c>
      <c r="D449">
        <v>3232</v>
      </c>
      <c r="E449" t="s">
        <v>4764</v>
      </c>
      <c r="G449" t="s">
        <v>3103</v>
      </c>
      <c r="J449" t="s">
        <v>3104</v>
      </c>
      <c r="K449" t="s">
        <v>3104</v>
      </c>
      <c r="L449">
        <v>41987097843</v>
      </c>
      <c r="N449" t="s">
        <v>3106</v>
      </c>
      <c r="Q449" t="s">
        <v>778</v>
      </c>
      <c r="T449" t="s">
        <v>2541</v>
      </c>
      <c r="W449" t="s">
        <v>2791</v>
      </c>
      <c r="X449" t="s">
        <v>780</v>
      </c>
      <c r="Y449" t="s">
        <v>857</v>
      </c>
      <c r="AA449" s="31">
        <v>46080</v>
      </c>
      <c r="AD449">
        <v>16</v>
      </c>
      <c r="AE449" t="s">
        <v>22</v>
      </c>
      <c r="AF449" s="31">
        <v>46064</v>
      </c>
      <c r="AG449" s="61">
        <v>0.47547453703703701</v>
      </c>
      <c r="AI449" t="s">
        <v>795</v>
      </c>
      <c r="AJ449" s="31">
        <v>46080</v>
      </c>
      <c r="AK449" s="61">
        <v>0.89387731481481481</v>
      </c>
      <c r="AL449" t="s">
        <v>1226</v>
      </c>
      <c r="AP449" t="s">
        <v>22</v>
      </c>
      <c r="AS449" s="31"/>
      <c r="AT449">
        <v>30</v>
      </c>
      <c r="AY449">
        <v>1</v>
      </c>
    </row>
    <row r="450" spans="1:51" x14ac:dyDescent="0.25">
      <c r="A450" t="s">
        <v>31</v>
      </c>
      <c r="B450">
        <v>923</v>
      </c>
      <c r="D450">
        <v>3236</v>
      </c>
      <c r="G450" t="s">
        <v>3107</v>
      </c>
      <c r="J450" t="s">
        <v>3108</v>
      </c>
      <c r="K450" t="s">
        <v>3108</v>
      </c>
      <c r="L450">
        <v>61984251198</v>
      </c>
      <c r="N450" t="s">
        <v>3110</v>
      </c>
      <c r="Q450" t="s">
        <v>778</v>
      </c>
      <c r="T450" t="s">
        <v>2541</v>
      </c>
      <c r="W450" t="s">
        <v>2791</v>
      </c>
      <c r="X450" t="s">
        <v>780</v>
      </c>
      <c r="Y450" t="s">
        <v>897</v>
      </c>
      <c r="AA450" s="31">
        <v>46142</v>
      </c>
      <c r="AD450">
        <v>16</v>
      </c>
      <c r="AE450" t="s">
        <v>22</v>
      </c>
      <c r="AF450" s="31">
        <v>46064</v>
      </c>
      <c r="AG450" s="61">
        <v>0.47722222222222221</v>
      </c>
      <c r="AI450" t="s">
        <v>795</v>
      </c>
      <c r="AJ450" s="31">
        <v>46080</v>
      </c>
      <c r="AK450" s="61">
        <v>0.7245949074074074</v>
      </c>
      <c r="AL450" t="s">
        <v>867</v>
      </c>
      <c r="AP450" t="s">
        <v>31</v>
      </c>
      <c r="AQ450" t="s">
        <v>458</v>
      </c>
      <c r="AS450" s="31">
        <v>46078</v>
      </c>
      <c r="AT450">
        <v>30</v>
      </c>
      <c r="AV450" t="s">
        <v>4765</v>
      </c>
      <c r="AY450">
        <v>1</v>
      </c>
    </row>
    <row r="451" spans="1:51" x14ac:dyDescent="0.25">
      <c r="A451" t="s">
        <v>44</v>
      </c>
      <c r="B451">
        <v>924</v>
      </c>
      <c r="D451">
        <v>3238</v>
      </c>
      <c r="E451" t="s">
        <v>4766</v>
      </c>
      <c r="G451" t="s">
        <v>3112</v>
      </c>
      <c r="J451" t="s">
        <v>3112</v>
      </c>
      <c r="K451" t="s">
        <v>3112</v>
      </c>
      <c r="L451">
        <v>11910369959</v>
      </c>
      <c r="N451" t="s">
        <v>3114</v>
      </c>
      <c r="Q451" t="s">
        <v>778</v>
      </c>
      <c r="T451" t="s">
        <v>2541</v>
      </c>
      <c r="W451" t="s">
        <v>2559</v>
      </c>
      <c r="X451" t="s">
        <v>780</v>
      </c>
      <c r="Y451" t="s">
        <v>897</v>
      </c>
      <c r="AA451" s="31"/>
      <c r="AD451">
        <v>15</v>
      </c>
      <c r="AE451" t="s">
        <v>22</v>
      </c>
      <c r="AF451" s="31">
        <v>46064</v>
      </c>
      <c r="AG451" s="61">
        <v>0.47901620370370368</v>
      </c>
      <c r="AI451" t="s">
        <v>795</v>
      </c>
      <c r="AJ451" s="31">
        <v>46079</v>
      </c>
      <c r="AK451" s="61">
        <v>0.9643518518518519</v>
      </c>
      <c r="AL451" t="s">
        <v>1226</v>
      </c>
      <c r="AS451" s="31">
        <v>46072</v>
      </c>
      <c r="AT451">
        <v>30</v>
      </c>
      <c r="AY451">
        <v>1</v>
      </c>
    </row>
    <row r="452" spans="1:51" x14ac:dyDescent="0.25">
      <c r="A452" t="s">
        <v>44</v>
      </c>
      <c r="B452">
        <v>925</v>
      </c>
      <c r="D452">
        <v>3244</v>
      </c>
      <c r="E452" t="s">
        <v>4767</v>
      </c>
      <c r="G452" t="s">
        <v>4768</v>
      </c>
      <c r="H452">
        <v>32534969000139</v>
      </c>
      <c r="J452" t="s">
        <v>3117</v>
      </c>
      <c r="K452" t="s">
        <v>3117</v>
      </c>
      <c r="L452">
        <v>6392247104</v>
      </c>
      <c r="N452" t="s">
        <v>3119</v>
      </c>
      <c r="Q452" t="s">
        <v>778</v>
      </c>
      <c r="S452" t="s">
        <v>3120</v>
      </c>
      <c r="T452" t="s">
        <v>1191</v>
      </c>
      <c r="W452" t="s">
        <v>2791</v>
      </c>
      <c r="X452" t="s">
        <v>780</v>
      </c>
      <c r="Y452" t="s">
        <v>793</v>
      </c>
      <c r="AA452" s="31">
        <v>46142</v>
      </c>
      <c r="AB452">
        <v>16960</v>
      </c>
      <c r="AC452">
        <v>32775</v>
      </c>
      <c r="AD452">
        <v>41</v>
      </c>
      <c r="AE452" t="s">
        <v>22</v>
      </c>
      <c r="AF452" s="31">
        <v>46064</v>
      </c>
      <c r="AG452" s="61">
        <v>0.47952546296296289</v>
      </c>
      <c r="AI452" t="s">
        <v>795</v>
      </c>
      <c r="AJ452" s="31">
        <v>46105</v>
      </c>
      <c r="AK452" s="61">
        <v>0.66938657407407409</v>
      </c>
      <c r="AL452" t="s">
        <v>796</v>
      </c>
      <c r="AM452" t="s">
        <v>4769</v>
      </c>
      <c r="AO452" t="s">
        <v>392</v>
      </c>
      <c r="AQ452" t="s">
        <v>403</v>
      </c>
      <c r="AR452" t="s">
        <v>4770</v>
      </c>
      <c r="AS452" s="31">
        <v>46090</v>
      </c>
      <c r="AT452">
        <v>30</v>
      </c>
      <c r="AY452">
        <v>1</v>
      </c>
    </row>
    <row r="453" spans="1:51" x14ac:dyDescent="0.25">
      <c r="A453" t="s">
        <v>44</v>
      </c>
      <c r="B453">
        <v>926</v>
      </c>
      <c r="D453">
        <v>3237</v>
      </c>
      <c r="E453" t="s">
        <v>3121</v>
      </c>
      <c r="G453" t="s">
        <v>3122</v>
      </c>
      <c r="J453" t="s">
        <v>3123</v>
      </c>
      <c r="K453" t="s">
        <v>3123</v>
      </c>
      <c r="L453">
        <v>81996498759</v>
      </c>
      <c r="N453" t="s">
        <v>3125</v>
      </c>
      <c r="Q453" t="s">
        <v>778</v>
      </c>
      <c r="T453" t="s">
        <v>2541</v>
      </c>
      <c r="W453" t="s">
        <v>2559</v>
      </c>
      <c r="X453" t="s">
        <v>780</v>
      </c>
      <c r="Y453" t="s">
        <v>897</v>
      </c>
      <c r="AA453" s="31"/>
      <c r="AD453">
        <v>28</v>
      </c>
      <c r="AE453" t="s">
        <v>22</v>
      </c>
      <c r="AF453" s="31">
        <v>46064</v>
      </c>
      <c r="AG453" s="61">
        <v>0.48769675925925932</v>
      </c>
      <c r="AI453" t="s">
        <v>795</v>
      </c>
      <c r="AJ453" s="31">
        <v>46092</v>
      </c>
      <c r="AK453" s="61">
        <v>0.51811342592592591</v>
      </c>
      <c r="AL453" t="s">
        <v>796</v>
      </c>
      <c r="AS453" s="31">
        <v>46072</v>
      </c>
      <c r="AT453">
        <v>30</v>
      </c>
      <c r="AY453">
        <v>1</v>
      </c>
    </row>
    <row r="454" spans="1:51" x14ac:dyDescent="0.25">
      <c r="A454" t="s">
        <v>31</v>
      </c>
      <c r="B454">
        <v>927</v>
      </c>
      <c r="D454">
        <v>3239</v>
      </c>
      <c r="E454" t="s">
        <v>3126</v>
      </c>
      <c r="G454" t="s">
        <v>3127</v>
      </c>
      <c r="J454" t="s">
        <v>3128</v>
      </c>
      <c r="K454" t="s">
        <v>3128</v>
      </c>
      <c r="L454">
        <v>6596196462</v>
      </c>
      <c r="N454" t="s">
        <v>3130</v>
      </c>
      <c r="Q454" t="s">
        <v>778</v>
      </c>
      <c r="T454" t="s">
        <v>2541</v>
      </c>
      <c r="W454" t="s">
        <v>2559</v>
      </c>
      <c r="X454" t="s">
        <v>780</v>
      </c>
      <c r="Y454" t="s">
        <v>781</v>
      </c>
      <c r="AA454" s="31"/>
      <c r="AD454">
        <v>2</v>
      </c>
      <c r="AE454" t="s">
        <v>22</v>
      </c>
      <c r="AF454" s="31">
        <v>46064</v>
      </c>
      <c r="AG454" s="61">
        <v>0.48925925925925928</v>
      </c>
      <c r="AI454" t="s">
        <v>795</v>
      </c>
      <c r="AJ454" s="31">
        <v>46066</v>
      </c>
      <c r="AK454" s="61">
        <v>0.72755787037037034</v>
      </c>
      <c r="AL454" t="s">
        <v>1226</v>
      </c>
      <c r="AP454" t="s">
        <v>31</v>
      </c>
      <c r="AS454" s="31">
        <v>46066</v>
      </c>
      <c r="AT454">
        <v>30</v>
      </c>
      <c r="AY454">
        <v>1</v>
      </c>
    </row>
    <row r="455" spans="1:51" x14ac:dyDescent="0.25">
      <c r="A455" t="s">
        <v>44</v>
      </c>
      <c r="B455">
        <v>928</v>
      </c>
      <c r="D455">
        <v>3242</v>
      </c>
      <c r="E455" t="s">
        <v>3131</v>
      </c>
      <c r="G455" t="s">
        <v>2809</v>
      </c>
      <c r="H455">
        <v>9205460000120</v>
      </c>
      <c r="J455" t="s">
        <v>2810</v>
      </c>
      <c r="K455" t="s">
        <v>2810</v>
      </c>
      <c r="L455" t="s">
        <v>2811</v>
      </c>
      <c r="Q455" t="s">
        <v>778</v>
      </c>
      <c r="R455" t="s">
        <v>2812</v>
      </c>
      <c r="S455" t="s">
        <v>1067</v>
      </c>
      <c r="T455" t="s">
        <v>1191</v>
      </c>
      <c r="W455" t="s">
        <v>2791</v>
      </c>
      <c r="X455" t="s">
        <v>780</v>
      </c>
      <c r="Y455" t="s">
        <v>897</v>
      </c>
      <c r="AA455" s="31"/>
      <c r="AD455">
        <v>8</v>
      </c>
      <c r="AE455" t="s">
        <v>22</v>
      </c>
      <c r="AF455" s="31">
        <v>46064</v>
      </c>
      <c r="AG455" s="61">
        <v>0.49402777777777779</v>
      </c>
      <c r="AI455" t="s">
        <v>795</v>
      </c>
      <c r="AJ455" s="31">
        <v>46072</v>
      </c>
      <c r="AK455" s="61">
        <v>0.41185185185185191</v>
      </c>
      <c r="AL455" t="s">
        <v>1358</v>
      </c>
      <c r="AM455" t="s">
        <v>4771</v>
      </c>
      <c r="AS455" s="31">
        <v>46071</v>
      </c>
      <c r="AT455">
        <v>30</v>
      </c>
      <c r="AY455">
        <v>1</v>
      </c>
    </row>
    <row r="456" spans="1:51" x14ac:dyDescent="0.25">
      <c r="A456" t="s">
        <v>44</v>
      </c>
      <c r="B456">
        <v>929</v>
      </c>
      <c r="D456">
        <v>3235</v>
      </c>
      <c r="E456" t="s">
        <v>4772</v>
      </c>
      <c r="G456" t="s">
        <v>421</v>
      </c>
      <c r="J456" t="s">
        <v>3133</v>
      </c>
      <c r="K456" t="s">
        <v>3133</v>
      </c>
      <c r="L456" t="s">
        <v>3134</v>
      </c>
      <c r="N456" t="s">
        <v>3135</v>
      </c>
      <c r="Q456" t="s">
        <v>778</v>
      </c>
      <c r="R456" t="s">
        <v>1765</v>
      </c>
      <c r="T456" t="s">
        <v>814</v>
      </c>
      <c r="W456" t="s">
        <v>1186</v>
      </c>
      <c r="X456" t="s">
        <v>780</v>
      </c>
      <c r="Y456" t="s">
        <v>807</v>
      </c>
      <c r="AA456" s="31"/>
      <c r="AB456">
        <v>41040</v>
      </c>
      <c r="AC456">
        <v>384858</v>
      </c>
      <c r="AD456">
        <v>29</v>
      </c>
      <c r="AE456" t="s">
        <v>22</v>
      </c>
      <c r="AF456" s="31">
        <v>46064</v>
      </c>
      <c r="AG456" s="61">
        <v>0.49530092592592601</v>
      </c>
      <c r="AI456" t="s">
        <v>795</v>
      </c>
      <c r="AJ456" s="31">
        <v>46093</v>
      </c>
      <c r="AK456" s="61">
        <v>0.59311342592592597</v>
      </c>
      <c r="AL456" t="s">
        <v>858</v>
      </c>
      <c r="AM456" t="s">
        <v>4772</v>
      </c>
      <c r="AO456" t="s">
        <v>393</v>
      </c>
      <c r="AQ456" t="s">
        <v>420</v>
      </c>
      <c r="AR456" t="s">
        <v>480</v>
      </c>
      <c r="AS456" s="31">
        <v>46093</v>
      </c>
      <c r="AT456">
        <v>30</v>
      </c>
      <c r="AY456">
        <v>1</v>
      </c>
    </row>
    <row r="457" spans="1:51" x14ac:dyDescent="0.25">
      <c r="A457" t="s">
        <v>31</v>
      </c>
      <c r="B457">
        <v>930</v>
      </c>
      <c r="D457">
        <v>3243</v>
      </c>
      <c r="E457" t="s">
        <v>4773</v>
      </c>
      <c r="G457" t="s">
        <v>3137</v>
      </c>
      <c r="H457">
        <v>14590342000113</v>
      </c>
      <c r="J457" t="s">
        <v>3138</v>
      </c>
      <c r="K457" t="s">
        <v>3138</v>
      </c>
      <c r="L457" t="s">
        <v>3139</v>
      </c>
      <c r="N457" t="s">
        <v>3140</v>
      </c>
      <c r="Q457" t="s">
        <v>778</v>
      </c>
      <c r="R457" t="s">
        <v>3141</v>
      </c>
      <c r="T457" t="s">
        <v>814</v>
      </c>
      <c r="W457" t="s">
        <v>2842</v>
      </c>
      <c r="X457" t="s">
        <v>780</v>
      </c>
      <c r="Y457" t="s">
        <v>793</v>
      </c>
      <c r="AA457" s="31"/>
      <c r="AD457">
        <v>47</v>
      </c>
      <c r="AE457" t="s">
        <v>22</v>
      </c>
      <c r="AF457" s="31">
        <v>46064</v>
      </c>
      <c r="AG457" s="61">
        <v>0.49583333333333329</v>
      </c>
      <c r="AI457" t="s">
        <v>795</v>
      </c>
      <c r="AJ457" s="31">
        <v>46111</v>
      </c>
      <c r="AK457" s="61">
        <v>0.65975694444444444</v>
      </c>
      <c r="AL457" t="s">
        <v>796</v>
      </c>
      <c r="AP457" t="s">
        <v>31</v>
      </c>
      <c r="AQ457" t="s">
        <v>4664</v>
      </c>
      <c r="AS457" s="31">
        <v>46111</v>
      </c>
      <c r="AT457">
        <v>30</v>
      </c>
      <c r="AV457" t="s">
        <v>3142</v>
      </c>
      <c r="AY457">
        <v>1</v>
      </c>
    </row>
    <row r="458" spans="1:51" x14ac:dyDescent="0.25">
      <c r="A458" t="s">
        <v>44</v>
      </c>
      <c r="B458">
        <v>931</v>
      </c>
      <c r="D458">
        <v>3233</v>
      </c>
      <c r="E458" t="s">
        <v>3143</v>
      </c>
      <c r="G458" t="s">
        <v>3144</v>
      </c>
      <c r="H458">
        <v>36096287000142</v>
      </c>
      <c r="J458" t="s">
        <v>3145</v>
      </c>
      <c r="K458" t="s">
        <v>3145</v>
      </c>
      <c r="L458" t="s">
        <v>3146</v>
      </c>
      <c r="N458" t="s">
        <v>3147</v>
      </c>
      <c r="Q458" t="s">
        <v>778</v>
      </c>
      <c r="R458" t="s">
        <v>3148</v>
      </c>
      <c r="T458" t="s">
        <v>814</v>
      </c>
      <c r="W458" t="s">
        <v>3149</v>
      </c>
      <c r="X458" t="s">
        <v>780</v>
      </c>
      <c r="Y458" t="s">
        <v>897</v>
      </c>
      <c r="AA458" s="31"/>
      <c r="AD458">
        <v>0</v>
      </c>
      <c r="AE458" t="s">
        <v>22</v>
      </c>
      <c r="AF458" s="31">
        <v>46064</v>
      </c>
      <c r="AG458" s="61">
        <v>0.49716435185185193</v>
      </c>
      <c r="AI458" t="s">
        <v>795</v>
      </c>
      <c r="AJ458" s="31">
        <v>46064</v>
      </c>
      <c r="AK458" s="61">
        <v>0.64505787037037032</v>
      </c>
      <c r="AL458" t="s">
        <v>1226</v>
      </c>
      <c r="AM458" t="s">
        <v>2245</v>
      </c>
      <c r="AS458" s="31"/>
      <c r="AT458">
        <v>30</v>
      </c>
      <c r="AY458">
        <v>1</v>
      </c>
    </row>
    <row r="459" spans="1:51" x14ac:dyDescent="0.25">
      <c r="A459" t="s">
        <v>31</v>
      </c>
      <c r="B459">
        <v>932</v>
      </c>
      <c r="D459">
        <v>3234</v>
      </c>
      <c r="E459" t="s">
        <v>4774</v>
      </c>
      <c r="G459" t="s">
        <v>391</v>
      </c>
      <c r="H459">
        <v>1498495000193</v>
      </c>
      <c r="J459" t="s">
        <v>3151</v>
      </c>
      <c r="K459" t="s">
        <v>3151</v>
      </c>
      <c r="L459" t="s">
        <v>3152</v>
      </c>
      <c r="N459" t="s">
        <v>3153</v>
      </c>
      <c r="Q459" t="s">
        <v>778</v>
      </c>
      <c r="R459" t="s">
        <v>3154</v>
      </c>
      <c r="T459" t="s">
        <v>814</v>
      </c>
      <c r="W459" t="s">
        <v>2878</v>
      </c>
      <c r="X459" t="s">
        <v>780</v>
      </c>
      <c r="Y459" t="s">
        <v>807</v>
      </c>
      <c r="AA459" s="31">
        <v>46142</v>
      </c>
      <c r="AB459">
        <v>16143</v>
      </c>
      <c r="AC459">
        <v>690</v>
      </c>
      <c r="AD459">
        <v>63</v>
      </c>
      <c r="AE459" t="s">
        <v>22</v>
      </c>
      <c r="AF459" s="31">
        <v>46064</v>
      </c>
      <c r="AG459" s="61">
        <v>0.49763888888888891</v>
      </c>
      <c r="AI459" t="s">
        <v>782</v>
      </c>
      <c r="AJ459" s="31"/>
      <c r="AK459" s="61"/>
      <c r="AO459" t="s">
        <v>392</v>
      </c>
      <c r="AP459" t="s">
        <v>31</v>
      </c>
      <c r="AQ459" t="s">
        <v>392</v>
      </c>
      <c r="AS459" s="31">
        <v>46127</v>
      </c>
      <c r="AT459">
        <v>30</v>
      </c>
      <c r="AV459" t="s">
        <v>63</v>
      </c>
      <c r="AY459">
        <v>1</v>
      </c>
    </row>
    <row r="460" spans="1:51" x14ac:dyDescent="0.25">
      <c r="A460" t="s">
        <v>44</v>
      </c>
      <c r="B460">
        <v>933</v>
      </c>
      <c r="D460">
        <v>3262</v>
      </c>
      <c r="F460" t="s">
        <v>3155</v>
      </c>
      <c r="G460" t="s">
        <v>222</v>
      </c>
      <c r="H460">
        <v>35754976000215</v>
      </c>
      <c r="J460" t="s">
        <v>3155</v>
      </c>
      <c r="K460" t="s">
        <v>3155</v>
      </c>
      <c r="L460" t="s">
        <v>3156</v>
      </c>
      <c r="N460" t="s">
        <v>3157</v>
      </c>
      <c r="Q460" t="s">
        <v>778</v>
      </c>
      <c r="R460" t="s">
        <v>3158</v>
      </c>
      <c r="S460" t="s">
        <v>932</v>
      </c>
      <c r="T460" t="s">
        <v>805</v>
      </c>
      <c r="X460" t="s">
        <v>780</v>
      </c>
      <c r="Y460" t="s">
        <v>857</v>
      </c>
      <c r="AA460" s="31"/>
      <c r="AB460">
        <v>9109003</v>
      </c>
      <c r="AC460">
        <v>54126</v>
      </c>
      <c r="AD460">
        <v>63</v>
      </c>
      <c r="AE460" t="s">
        <v>44</v>
      </c>
      <c r="AF460" s="31">
        <v>46064</v>
      </c>
      <c r="AG460" s="61">
        <v>0.75549768518518523</v>
      </c>
      <c r="AI460" t="s">
        <v>782</v>
      </c>
      <c r="AJ460" s="31"/>
      <c r="AK460" s="61"/>
      <c r="AO460" t="s">
        <v>403</v>
      </c>
      <c r="AQ460" t="s">
        <v>403</v>
      </c>
      <c r="AR460" t="s">
        <v>480</v>
      </c>
      <c r="AS460" s="31"/>
      <c r="AT460">
        <v>50</v>
      </c>
      <c r="AY460">
        <v>1</v>
      </c>
    </row>
    <row r="461" spans="1:51" x14ac:dyDescent="0.25">
      <c r="A461" t="s">
        <v>44</v>
      </c>
      <c r="B461">
        <v>934</v>
      </c>
      <c r="D461">
        <v>3263</v>
      </c>
      <c r="E461" t="s">
        <v>4775</v>
      </c>
      <c r="F461" t="s">
        <v>3159</v>
      </c>
      <c r="G461" t="s">
        <v>437</v>
      </c>
      <c r="H461">
        <v>51540058000169</v>
      </c>
      <c r="J461" t="s">
        <v>3159</v>
      </c>
      <c r="K461" t="s">
        <v>3159</v>
      </c>
      <c r="L461" t="s">
        <v>4776</v>
      </c>
      <c r="Q461" t="s">
        <v>778</v>
      </c>
      <c r="R461" t="s">
        <v>1094</v>
      </c>
      <c r="S461" t="s">
        <v>790</v>
      </c>
      <c r="T461" t="s">
        <v>805</v>
      </c>
      <c r="X461" t="s">
        <v>780</v>
      </c>
      <c r="Y461" t="s">
        <v>816</v>
      </c>
      <c r="AA461" s="31"/>
      <c r="AB461">
        <v>68400</v>
      </c>
      <c r="AC461">
        <v>114607</v>
      </c>
      <c r="AD461">
        <v>49</v>
      </c>
      <c r="AE461" t="s">
        <v>44</v>
      </c>
      <c r="AF461" s="31">
        <v>46064</v>
      </c>
      <c r="AG461" s="61">
        <v>0.76371527777777781</v>
      </c>
      <c r="AI461" t="s">
        <v>818</v>
      </c>
      <c r="AJ461" s="31">
        <v>46113</v>
      </c>
      <c r="AK461" s="61">
        <v>0.44179398148148152</v>
      </c>
      <c r="AO461" t="s">
        <v>403</v>
      </c>
      <c r="AQ461" t="s">
        <v>403</v>
      </c>
      <c r="AR461" t="s">
        <v>4668</v>
      </c>
      <c r="AS461" s="31">
        <v>46086</v>
      </c>
      <c r="AT461">
        <v>70</v>
      </c>
      <c r="AY461">
        <v>1</v>
      </c>
    </row>
    <row r="462" spans="1:51" x14ac:dyDescent="0.25">
      <c r="A462" t="s">
        <v>22</v>
      </c>
      <c r="B462">
        <v>935</v>
      </c>
      <c r="D462">
        <v>3259</v>
      </c>
      <c r="E462" t="s">
        <v>3164</v>
      </c>
      <c r="G462" t="s">
        <v>3165</v>
      </c>
      <c r="J462" t="s">
        <v>3166</v>
      </c>
      <c r="K462" t="s">
        <v>3166</v>
      </c>
      <c r="L462" t="s">
        <v>3167</v>
      </c>
      <c r="N462" t="s">
        <v>3168</v>
      </c>
      <c r="Q462" t="s">
        <v>778</v>
      </c>
      <c r="R462" t="s">
        <v>3169</v>
      </c>
      <c r="T462" t="s">
        <v>814</v>
      </c>
      <c r="W462" t="s">
        <v>1186</v>
      </c>
      <c r="X462" t="s">
        <v>780</v>
      </c>
      <c r="Y462" t="s">
        <v>897</v>
      </c>
      <c r="AA462" s="31">
        <v>46081</v>
      </c>
      <c r="AD462">
        <v>1</v>
      </c>
      <c r="AE462" t="s">
        <v>22</v>
      </c>
      <c r="AF462" s="31">
        <v>46065</v>
      </c>
      <c r="AG462" s="61">
        <v>0.1035185185185185</v>
      </c>
      <c r="AI462" t="s">
        <v>795</v>
      </c>
      <c r="AJ462" s="31">
        <v>46066</v>
      </c>
      <c r="AK462" s="61">
        <v>0.72414351851851855</v>
      </c>
      <c r="AL462" t="s">
        <v>867</v>
      </c>
      <c r="AP462" t="s">
        <v>22</v>
      </c>
      <c r="AQ462" t="s">
        <v>405</v>
      </c>
      <c r="AS462" s="31"/>
      <c r="AT462">
        <v>30</v>
      </c>
      <c r="AV462" t="s">
        <v>321</v>
      </c>
      <c r="AY462">
        <v>1</v>
      </c>
    </row>
    <row r="463" spans="1:51" x14ac:dyDescent="0.25">
      <c r="A463" t="s">
        <v>44</v>
      </c>
      <c r="B463">
        <v>936</v>
      </c>
      <c r="D463">
        <v>3268</v>
      </c>
      <c r="E463" t="s">
        <v>4777</v>
      </c>
      <c r="G463" t="s">
        <v>3170</v>
      </c>
      <c r="J463" t="s">
        <v>3171</v>
      </c>
      <c r="K463" t="s">
        <v>3171</v>
      </c>
      <c r="L463">
        <v>14998549863</v>
      </c>
      <c r="N463" t="s">
        <v>3135</v>
      </c>
      <c r="Q463" t="s">
        <v>778</v>
      </c>
      <c r="X463" t="s">
        <v>780</v>
      </c>
      <c r="Y463" t="s">
        <v>807</v>
      </c>
      <c r="AA463" s="31"/>
      <c r="AD463">
        <v>27</v>
      </c>
      <c r="AE463" t="s">
        <v>44</v>
      </c>
      <c r="AF463" s="31">
        <v>46066</v>
      </c>
      <c r="AG463" s="61">
        <v>0.61993055555555554</v>
      </c>
      <c r="AI463" t="s">
        <v>795</v>
      </c>
      <c r="AJ463" s="31">
        <v>46093</v>
      </c>
      <c r="AK463" s="61">
        <v>0.59215277777777775</v>
      </c>
      <c r="AL463" t="s">
        <v>858</v>
      </c>
      <c r="AM463" t="s">
        <v>4772</v>
      </c>
      <c r="AQ463" t="s">
        <v>405</v>
      </c>
      <c r="AS463" s="31">
        <v>46093</v>
      </c>
      <c r="AT463">
        <v>50</v>
      </c>
      <c r="AY463">
        <v>1</v>
      </c>
    </row>
    <row r="464" spans="1:51" x14ac:dyDescent="0.25">
      <c r="A464" t="s">
        <v>44</v>
      </c>
      <c r="B464">
        <v>937</v>
      </c>
      <c r="D464">
        <v>3267</v>
      </c>
      <c r="E464" t="s">
        <v>4778</v>
      </c>
      <c r="G464" t="s">
        <v>3173</v>
      </c>
      <c r="H464">
        <v>3318893000106</v>
      </c>
      <c r="J464" t="s">
        <v>3174</v>
      </c>
      <c r="K464" t="s">
        <v>3174</v>
      </c>
      <c r="L464">
        <v>19974151604</v>
      </c>
      <c r="N464" t="s">
        <v>3176</v>
      </c>
      <c r="Q464" t="s">
        <v>778</v>
      </c>
      <c r="T464" t="s">
        <v>2541</v>
      </c>
      <c r="W464" t="s">
        <v>2791</v>
      </c>
      <c r="X464" t="s">
        <v>780</v>
      </c>
      <c r="Y464" t="s">
        <v>897</v>
      </c>
      <c r="AA464" s="31">
        <v>46081</v>
      </c>
      <c r="AD464">
        <v>13</v>
      </c>
      <c r="AE464" t="s">
        <v>22</v>
      </c>
      <c r="AF464" s="31">
        <v>46066</v>
      </c>
      <c r="AG464" s="61">
        <v>0.91548611111111111</v>
      </c>
      <c r="AI464" t="s">
        <v>795</v>
      </c>
      <c r="AJ464" s="31">
        <v>46079</v>
      </c>
      <c r="AK464" s="61">
        <v>0.96547453703703701</v>
      </c>
      <c r="AL464" t="s">
        <v>1226</v>
      </c>
      <c r="AP464" t="s">
        <v>44</v>
      </c>
      <c r="AS464" s="31">
        <v>46072</v>
      </c>
      <c r="AT464">
        <v>30</v>
      </c>
      <c r="AY464">
        <v>1</v>
      </c>
    </row>
    <row r="465" spans="1:51" x14ac:dyDescent="0.25">
      <c r="A465" t="s">
        <v>22</v>
      </c>
      <c r="B465">
        <v>938</v>
      </c>
      <c r="D465">
        <v>3266</v>
      </c>
      <c r="E465" t="s">
        <v>4779</v>
      </c>
      <c r="G465" t="s">
        <v>3178</v>
      </c>
      <c r="H465">
        <v>11994847000155</v>
      </c>
      <c r="J465" t="s">
        <v>3179</v>
      </c>
      <c r="K465" t="s">
        <v>3179</v>
      </c>
      <c r="L465" t="s">
        <v>3180</v>
      </c>
      <c r="N465" t="s">
        <v>3181</v>
      </c>
      <c r="Q465" t="s">
        <v>778</v>
      </c>
      <c r="R465" t="s">
        <v>3182</v>
      </c>
      <c r="T465" t="s">
        <v>814</v>
      </c>
      <c r="W465" t="s">
        <v>1198</v>
      </c>
      <c r="X465" t="s">
        <v>780</v>
      </c>
      <c r="Y465" t="s">
        <v>857</v>
      </c>
      <c r="AA465" s="31">
        <v>46081</v>
      </c>
      <c r="AD465">
        <v>6</v>
      </c>
      <c r="AE465" t="s">
        <v>22</v>
      </c>
      <c r="AF465" s="31">
        <v>46066</v>
      </c>
      <c r="AG465" s="61">
        <v>0.91730324074074077</v>
      </c>
      <c r="AI465" t="s">
        <v>795</v>
      </c>
      <c r="AJ465" s="31">
        <v>46072</v>
      </c>
      <c r="AK465" s="61">
        <v>0.72584490740740737</v>
      </c>
      <c r="AL465" t="s">
        <v>1358</v>
      </c>
      <c r="AM465" t="s">
        <v>4779</v>
      </c>
      <c r="AP465" t="s">
        <v>22</v>
      </c>
      <c r="AS465" s="31"/>
      <c r="AT465">
        <v>30</v>
      </c>
      <c r="AY465">
        <v>1</v>
      </c>
    </row>
    <row r="466" spans="1:51" x14ac:dyDescent="0.25">
      <c r="A466" t="s">
        <v>31</v>
      </c>
      <c r="B466">
        <v>945</v>
      </c>
      <c r="D466">
        <v>3271</v>
      </c>
      <c r="G466" t="s">
        <v>3183</v>
      </c>
      <c r="J466" t="s">
        <v>3184</v>
      </c>
      <c r="K466" t="s">
        <v>3184</v>
      </c>
      <c r="L466" t="s">
        <v>3185</v>
      </c>
      <c r="N466" t="s">
        <v>3186</v>
      </c>
      <c r="Q466" t="s">
        <v>778</v>
      </c>
      <c r="R466" t="s">
        <v>3187</v>
      </c>
      <c r="T466" t="s">
        <v>814</v>
      </c>
      <c r="W466" t="s">
        <v>1186</v>
      </c>
      <c r="X466" t="s">
        <v>780</v>
      </c>
      <c r="Y466" t="s">
        <v>781</v>
      </c>
      <c r="AA466" s="31"/>
      <c r="AD466">
        <v>2</v>
      </c>
      <c r="AE466" t="s">
        <v>22</v>
      </c>
      <c r="AF466" s="31">
        <v>46070</v>
      </c>
      <c r="AG466" s="61">
        <v>0.74156250000000001</v>
      </c>
      <c r="AI466" t="s">
        <v>795</v>
      </c>
      <c r="AJ466" s="31">
        <v>46072</v>
      </c>
      <c r="AK466" s="61">
        <v>0.37849537037037029</v>
      </c>
      <c r="AL466" t="s">
        <v>808</v>
      </c>
      <c r="AP466" t="s">
        <v>31</v>
      </c>
      <c r="AS466" s="31">
        <v>46071</v>
      </c>
      <c r="AT466">
        <v>30</v>
      </c>
      <c r="AV466" t="s">
        <v>47</v>
      </c>
      <c r="AY466">
        <v>1</v>
      </c>
    </row>
    <row r="467" spans="1:51" x14ac:dyDescent="0.25">
      <c r="A467" t="s">
        <v>22</v>
      </c>
      <c r="B467">
        <v>946</v>
      </c>
      <c r="D467">
        <v>3270</v>
      </c>
      <c r="E467" t="s">
        <v>4780</v>
      </c>
      <c r="G467" t="s">
        <v>3188</v>
      </c>
      <c r="J467" t="s">
        <v>3189</v>
      </c>
      <c r="K467" t="s">
        <v>3189</v>
      </c>
      <c r="L467">
        <v>71982084451</v>
      </c>
      <c r="N467" t="s">
        <v>3191</v>
      </c>
      <c r="Q467" t="s">
        <v>778</v>
      </c>
      <c r="T467" t="s">
        <v>2541</v>
      </c>
      <c r="W467" t="s">
        <v>2791</v>
      </c>
      <c r="X467" t="s">
        <v>780</v>
      </c>
      <c r="Y467" t="s">
        <v>897</v>
      </c>
      <c r="AA467" s="31">
        <v>46112</v>
      </c>
      <c r="AD467">
        <v>22</v>
      </c>
      <c r="AE467" t="s">
        <v>22</v>
      </c>
      <c r="AF467" s="31">
        <v>46071</v>
      </c>
      <c r="AG467" s="61">
        <v>0.36913194444444453</v>
      </c>
      <c r="AI467" t="s">
        <v>795</v>
      </c>
      <c r="AJ467" s="31">
        <v>46093</v>
      </c>
      <c r="AK467" s="61">
        <v>0.73062499999999997</v>
      </c>
      <c r="AL467" t="s">
        <v>1226</v>
      </c>
      <c r="AP467" t="s">
        <v>22</v>
      </c>
      <c r="AS467" s="31">
        <v>46093</v>
      </c>
      <c r="AT467">
        <v>30</v>
      </c>
      <c r="AV467" t="s">
        <v>321</v>
      </c>
      <c r="AY467">
        <v>1</v>
      </c>
    </row>
    <row r="468" spans="1:51" x14ac:dyDescent="0.25">
      <c r="A468" t="s">
        <v>44</v>
      </c>
      <c r="B468">
        <v>948</v>
      </c>
      <c r="D468">
        <v>3278</v>
      </c>
      <c r="E468" t="s">
        <v>4781</v>
      </c>
      <c r="G468" t="s">
        <v>444</v>
      </c>
      <c r="J468" t="s">
        <v>3192</v>
      </c>
      <c r="K468" t="s">
        <v>3192</v>
      </c>
      <c r="L468">
        <v>21995112577</v>
      </c>
      <c r="N468" t="s">
        <v>3194</v>
      </c>
      <c r="Q468" t="s">
        <v>778</v>
      </c>
      <c r="T468" t="s">
        <v>2541</v>
      </c>
      <c r="W468" t="s">
        <v>2791</v>
      </c>
      <c r="X468" t="s">
        <v>780</v>
      </c>
      <c r="Y468" t="s">
        <v>793</v>
      </c>
      <c r="AA468" s="31">
        <v>46081</v>
      </c>
      <c r="AB468">
        <v>16960</v>
      </c>
      <c r="AC468">
        <v>575</v>
      </c>
      <c r="AD468">
        <v>21</v>
      </c>
      <c r="AE468" t="s">
        <v>22</v>
      </c>
      <c r="AF468" s="31">
        <v>46072</v>
      </c>
      <c r="AG468" s="61">
        <v>0.34339120370370368</v>
      </c>
      <c r="AI468" t="s">
        <v>795</v>
      </c>
      <c r="AJ468" s="31">
        <v>46093</v>
      </c>
      <c r="AK468" s="61">
        <v>0.64043981481481482</v>
      </c>
      <c r="AL468" t="s">
        <v>934</v>
      </c>
      <c r="AM468" t="s">
        <v>4782</v>
      </c>
      <c r="AO468" t="s">
        <v>380</v>
      </c>
      <c r="AP468" t="s">
        <v>44</v>
      </c>
      <c r="AQ468" t="s">
        <v>393</v>
      </c>
      <c r="AS468" s="31">
        <v>46090</v>
      </c>
      <c r="AT468">
        <v>31</v>
      </c>
      <c r="AY468">
        <v>1</v>
      </c>
    </row>
    <row r="469" spans="1:51" x14ac:dyDescent="0.25">
      <c r="A469" t="s">
        <v>31</v>
      </c>
      <c r="B469">
        <v>949</v>
      </c>
      <c r="D469">
        <v>3279</v>
      </c>
      <c r="G469" t="s">
        <v>2704</v>
      </c>
      <c r="J469" t="s">
        <v>334</v>
      </c>
      <c r="K469" t="s">
        <v>334</v>
      </c>
      <c r="L469">
        <v>6596658787</v>
      </c>
      <c r="N469" t="s">
        <v>3196</v>
      </c>
      <c r="Q469" t="s">
        <v>778</v>
      </c>
      <c r="S469" t="s">
        <v>3197</v>
      </c>
      <c r="T469" t="s">
        <v>1191</v>
      </c>
      <c r="W469" t="s">
        <v>2559</v>
      </c>
      <c r="X469" t="s">
        <v>780</v>
      </c>
      <c r="Y469" t="s">
        <v>781</v>
      </c>
      <c r="AA469" s="31">
        <v>46081</v>
      </c>
      <c r="AD469">
        <v>4</v>
      </c>
      <c r="AE469" t="s">
        <v>22</v>
      </c>
      <c r="AF469" s="31">
        <v>46072</v>
      </c>
      <c r="AG469" s="61">
        <v>0.3442013888888889</v>
      </c>
      <c r="AI469" t="s">
        <v>795</v>
      </c>
      <c r="AJ469" s="31">
        <v>46076</v>
      </c>
      <c r="AK469" s="61">
        <v>0.67480324074074072</v>
      </c>
      <c r="AL469" t="s">
        <v>1226</v>
      </c>
      <c r="AP469" t="s">
        <v>31</v>
      </c>
      <c r="AS469" s="31"/>
      <c r="AT469">
        <v>30</v>
      </c>
      <c r="AY469">
        <v>1</v>
      </c>
    </row>
    <row r="470" spans="1:51" x14ac:dyDescent="0.25">
      <c r="A470" t="s">
        <v>31</v>
      </c>
      <c r="B470">
        <v>950</v>
      </c>
      <c r="D470">
        <v>3280</v>
      </c>
      <c r="E470" t="s">
        <v>4783</v>
      </c>
      <c r="G470" t="s">
        <v>3198</v>
      </c>
      <c r="H470">
        <v>3459449000100</v>
      </c>
      <c r="J470" t="s">
        <v>3199</v>
      </c>
      <c r="K470" t="s">
        <v>3199</v>
      </c>
      <c r="L470">
        <v>75998542317</v>
      </c>
      <c r="N470" t="s">
        <v>3201</v>
      </c>
      <c r="Q470" t="s">
        <v>778</v>
      </c>
      <c r="T470" t="s">
        <v>2541</v>
      </c>
      <c r="W470" t="s">
        <v>2791</v>
      </c>
      <c r="X470" t="s">
        <v>780</v>
      </c>
      <c r="Y470" t="s">
        <v>857</v>
      </c>
      <c r="AA470" s="31">
        <v>46142</v>
      </c>
      <c r="AD470">
        <v>22</v>
      </c>
      <c r="AE470" t="s">
        <v>22</v>
      </c>
      <c r="AF470" s="31">
        <v>46072</v>
      </c>
      <c r="AG470" s="61">
        <v>0.34534722222222219</v>
      </c>
      <c r="AI470" t="s">
        <v>795</v>
      </c>
      <c r="AJ470" s="31">
        <v>46094</v>
      </c>
      <c r="AK470" s="61">
        <v>0.44105324074074082</v>
      </c>
      <c r="AL470" t="s">
        <v>858</v>
      </c>
      <c r="AP470" t="s">
        <v>31</v>
      </c>
      <c r="AS470" s="31">
        <v>46094</v>
      </c>
      <c r="AT470">
        <v>31</v>
      </c>
      <c r="AV470" t="s">
        <v>4784</v>
      </c>
      <c r="AY470">
        <v>1</v>
      </c>
    </row>
    <row r="471" spans="1:51" x14ac:dyDescent="0.25">
      <c r="A471" t="s">
        <v>44</v>
      </c>
      <c r="B471">
        <v>951</v>
      </c>
      <c r="D471">
        <v>3282</v>
      </c>
      <c r="E471" t="s">
        <v>4785</v>
      </c>
      <c r="G471" t="s">
        <v>3202</v>
      </c>
      <c r="J471" t="s">
        <v>3203</v>
      </c>
      <c r="K471" t="s">
        <v>3203</v>
      </c>
      <c r="L471">
        <v>16993027000</v>
      </c>
      <c r="N471" t="s">
        <v>3205</v>
      </c>
      <c r="Q471" t="s">
        <v>778</v>
      </c>
      <c r="T471" t="s">
        <v>2541</v>
      </c>
      <c r="W471" t="s">
        <v>2559</v>
      </c>
      <c r="X471" t="s">
        <v>780</v>
      </c>
      <c r="Y471" t="s">
        <v>897</v>
      </c>
      <c r="AA471" s="31">
        <v>46072</v>
      </c>
      <c r="AD471">
        <v>7</v>
      </c>
      <c r="AE471" t="s">
        <v>22</v>
      </c>
      <c r="AF471" s="31">
        <v>46072</v>
      </c>
      <c r="AG471" s="61">
        <v>0.3463310185185185</v>
      </c>
      <c r="AI471" t="s">
        <v>795</v>
      </c>
      <c r="AJ471" s="31">
        <v>46079</v>
      </c>
      <c r="AK471" s="61">
        <v>0.96490740740740744</v>
      </c>
      <c r="AL471" t="s">
        <v>1226</v>
      </c>
      <c r="AP471" t="s">
        <v>44</v>
      </c>
      <c r="AS471" s="31"/>
      <c r="AT471">
        <v>30</v>
      </c>
      <c r="AY471">
        <v>1</v>
      </c>
    </row>
    <row r="472" spans="1:51" x14ac:dyDescent="0.25">
      <c r="A472" t="s">
        <v>22</v>
      </c>
      <c r="B472">
        <v>952</v>
      </c>
      <c r="D472">
        <v>3283</v>
      </c>
      <c r="E472" t="s">
        <v>4786</v>
      </c>
      <c r="G472" t="s">
        <v>387</v>
      </c>
      <c r="J472" t="s">
        <v>4787</v>
      </c>
      <c r="K472" t="s">
        <v>4787</v>
      </c>
      <c r="L472">
        <v>49999890528</v>
      </c>
      <c r="N472" t="s">
        <v>3208</v>
      </c>
      <c r="Q472" t="s">
        <v>778</v>
      </c>
      <c r="T472" t="s">
        <v>2541</v>
      </c>
      <c r="W472" t="s">
        <v>2791</v>
      </c>
      <c r="X472" t="s">
        <v>780</v>
      </c>
      <c r="Y472" t="s">
        <v>807</v>
      </c>
      <c r="AA472" s="31">
        <v>46112</v>
      </c>
      <c r="AB472">
        <v>862043</v>
      </c>
      <c r="AC472">
        <v>34937</v>
      </c>
      <c r="AD472">
        <v>40</v>
      </c>
      <c r="AE472" t="s">
        <v>22</v>
      </c>
      <c r="AF472" s="31">
        <v>46072</v>
      </c>
      <c r="AG472" s="61">
        <v>0.34706018518518522</v>
      </c>
      <c r="AI472" t="s">
        <v>795</v>
      </c>
      <c r="AJ472" s="31">
        <v>46112</v>
      </c>
      <c r="AK472" s="61">
        <v>0.68877314814814816</v>
      </c>
      <c r="AL472" t="s">
        <v>867</v>
      </c>
      <c r="AO472" t="s">
        <v>4788</v>
      </c>
      <c r="AP472" t="s">
        <v>22</v>
      </c>
      <c r="AS472" s="31">
        <v>46101</v>
      </c>
      <c r="AT472">
        <v>30</v>
      </c>
      <c r="AV472" t="s">
        <v>321</v>
      </c>
      <c r="AY472">
        <v>1</v>
      </c>
    </row>
    <row r="473" spans="1:51" x14ac:dyDescent="0.25">
      <c r="A473" t="s">
        <v>22</v>
      </c>
      <c r="B473">
        <v>953</v>
      </c>
      <c r="D473">
        <v>3284</v>
      </c>
      <c r="E473" t="s">
        <v>4789</v>
      </c>
      <c r="G473" t="s">
        <v>3209</v>
      </c>
      <c r="J473" t="s">
        <v>3210</v>
      </c>
      <c r="K473" t="s">
        <v>3210</v>
      </c>
      <c r="L473">
        <v>1140227929</v>
      </c>
      <c r="N473" t="s">
        <v>3212</v>
      </c>
      <c r="Q473" t="s">
        <v>778</v>
      </c>
      <c r="T473" t="s">
        <v>2541</v>
      </c>
      <c r="W473" t="s">
        <v>2559</v>
      </c>
      <c r="X473" t="s">
        <v>780</v>
      </c>
      <c r="Y473" t="s">
        <v>897</v>
      </c>
      <c r="AA473" s="31">
        <v>46081</v>
      </c>
      <c r="AD473">
        <v>12</v>
      </c>
      <c r="AE473" t="s">
        <v>22</v>
      </c>
      <c r="AF473" s="31">
        <v>46072</v>
      </c>
      <c r="AG473" s="61">
        <v>0.34765046296296298</v>
      </c>
      <c r="AI473" t="s">
        <v>795</v>
      </c>
      <c r="AJ473" s="31">
        <v>46084</v>
      </c>
      <c r="AK473" s="61">
        <v>0.8923726851851852</v>
      </c>
      <c r="AL473" t="s">
        <v>1226</v>
      </c>
      <c r="AP473" t="s">
        <v>22</v>
      </c>
      <c r="AS473" s="31"/>
      <c r="AT473">
        <v>32</v>
      </c>
      <c r="AY473">
        <v>1</v>
      </c>
    </row>
    <row r="474" spans="1:51" x14ac:dyDescent="0.25">
      <c r="A474" t="s">
        <v>31</v>
      </c>
      <c r="B474">
        <v>956</v>
      </c>
      <c r="D474">
        <v>3286</v>
      </c>
      <c r="E474" t="s">
        <v>4790</v>
      </c>
      <c r="G474" t="s">
        <v>4791</v>
      </c>
      <c r="J474" t="s">
        <v>4792</v>
      </c>
      <c r="K474" t="s">
        <v>4792</v>
      </c>
      <c r="L474">
        <v>92992307944</v>
      </c>
      <c r="N474" t="s">
        <v>4793</v>
      </c>
      <c r="Q474" t="s">
        <v>778</v>
      </c>
      <c r="T474" t="s">
        <v>2541</v>
      </c>
      <c r="W474" t="s">
        <v>2559</v>
      </c>
      <c r="X474" t="s">
        <v>780</v>
      </c>
      <c r="Y474" t="s">
        <v>781</v>
      </c>
      <c r="AA474" s="31">
        <v>46081</v>
      </c>
      <c r="AD474">
        <v>3</v>
      </c>
      <c r="AE474" t="s">
        <v>22</v>
      </c>
      <c r="AF474" s="31">
        <v>46073</v>
      </c>
      <c r="AG474" s="61">
        <v>0.57908564814814811</v>
      </c>
      <c r="AI474" t="s">
        <v>795</v>
      </c>
      <c r="AJ474" s="31">
        <v>46076</v>
      </c>
      <c r="AK474" s="61">
        <v>0.67215277777777782</v>
      </c>
      <c r="AL474" t="s">
        <v>1226</v>
      </c>
      <c r="AP474" t="s">
        <v>31</v>
      </c>
      <c r="AS474" s="31">
        <v>46076</v>
      </c>
      <c r="AT474">
        <v>30</v>
      </c>
      <c r="AY474">
        <v>1</v>
      </c>
    </row>
    <row r="475" spans="1:51" x14ac:dyDescent="0.25">
      <c r="A475" t="s">
        <v>31</v>
      </c>
      <c r="B475">
        <v>959</v>
      </c>
      <c r="D475">
        <v>3298</v>
      </c>
      <c r="E475" t="s">
        <v>4794</v>
      </c>
      <c r="G475" t="s">
        <v>400</v>
      </c>
      <c r="J475" t="s">
        <v>4795</v>
      </c>
      <c r="K475" t="s">
        <v>4795</v>
      </c>
      <c r="L475">
        <v>11988461881</v>
      </c>
      <c r="N475" t="s">
        <v>4796</v>
      </c>
      <c r="Q475" t="s">
        <v>778</v>
      </c>
      <c r="X475" t="s">
        <v>780</v>
      </c>
      <c r="Y475" t="s">
        <v>807</v>
      </c>
      <c r="AA475" s="31">
        <v>46173</v>
      </c>
      <c r="AB475">
        <v>963186</v>
      </c>
      <c r="AC475">
        <v>62062</v>
      </c>
      <c r="AD475">
        <v>51</v>
      </c>
      <c r="AE475" t="s">
        <v>31</v>
      </c>
      <c r="AF475" s="31">
        <v>46076</v>
      </c>
      <c r="AG475" s="61">
        <v>0.49402777777777779</v>
      </c>
      <c r="AI475" t="s">
        <v>782</v>
      </c>
      <c r="AJ475" s="31"/>
      <c r="AK475" s="61"/>
      <c r="AO475" t="s">
        <v>401</v>
      </c>
      <c r="AP475" t="s">
        <v>31</v>
      </c>
      <c r="AQ475" t="s">
        <v>401</v>
      </c>
      <c r="AS475" s="31">
        <v>46105</v>
      </c>
      <c r="AT475">
        <v>30</v>
      </c>
      <c r="AV475" t="s">
        <v>47</v>
      </c>
      <c r="AY475">
        <v>1</v>
      </c>
    </row>
    <row r="476" spans="1:51" x14ac:dyDescent="0.25">
      <c r="A476" t="s">
        <v>31</v>
      </c>
      <c r="B476">
        <v>960</v>
      </c>
      <c r="D476">
        <v>3299</v>
      </c>
      <c r="E476" t="s">
        <v>4797</v>
      </c>
      <c r="G476" t="s">
        <v>411</v>
      </c>
      <c r="J476" t="s">
        <v>4798</v>
      </c>
      <c r="K476" t="s">
        <v>4798</v>
      </c>
      <c r="L476">
        <v>11988461881</v>
      </c>
      <c r="N476" t="s">
        <v>4796</v>
      </c>
      <c r="Q476" t="s">
        <v>778</v>
      </c>
      <c r="X476" t="s">
        <v>780</v>
      </c>
      <c r="Y476" t="s">
        <v>807</v>
      </c>
      <c r="AA476" s="31">
        <v>46142</v>
      </c>
      <c r="AB476">
        <v>27150</v>
      </c>
      <c r="AC476">
        <v>3450</v>
      </c>
      <c r="AD476">
        <v>51</v>
      </c>
      <c r="AE476" t="s">
        <v>31</v>
      </c>
      <c r="AF476" s="31">
        <v>46076</v>
      </c>
      <c r="AG476" s="61">
        <v>0.50876157407407407</v>
      </c>
      <c r="AI476" t="s">
        <v>782</v>
      </c>
      <c r="AJ476" s="31"/>
      <c r="AK476" s="61"/>
      <c r="AO476" t="s">
        <v>401</v>
      </c>
      <c r="AP476" t="s">
        <v>31</v>
      </c>
      <c r="AQ476" t="s">
        <v>401</v>
      </c>
      <c r="AS476" s="31">
        <v>46105</v>
      </c>
      <c r="AT476">
        <v>30</v>
      </c>
      <c r="AV476" t="s">
        <v>63</v>
      </c>
      <c r="AY476">
        <v>1</v>
      </c>
    </row>
    <row r="477" spans="1:51" x14ac:dyDescent="0.25">
      <c r="A477" t="s">
        <v>44</v>
      </c>
      <c r="B477">
        <v>961</v>
      </c>
      <c r="D477">
        <v>3287</v>
      </c>
      <c r="E477" t="s">
        <v>4799</v>
      </c>
      <c r="G477" t="s">
        <v>4800</v>
      </c>
      <c r="H477">
        <v>56556830000154</v>
      </c>
      <c r="J477" t="s">
        <v>4801</v>
      </c>
      <c r="K477" t="s">
        <v>4801</v>
      </c>
      <c r="L477">
        <v>19992189262</v>
      </c>
      <c r="N477" t="s">
        <v>4802</v>
      </c>
      <c r="Q477" t="s">
        <v>778</v>
      </c>
      <c r="T477" t="s">
        <v>2541</v>
      </c>
      <c r="W477" t="s">
        <v>2559</v>
      </c>
      <c r="X477" t="s">
        <v>780</v>
      </c>
      <c r="Y477" t="s">
        <v>897</v>
      </c>
      <c r="AA477" s="31">
        <v>46081</v>
      </c>
      <c r="AD477">
        <v>2</v>
      </c>
      <c r="AE477" t="s">
        <v>22</v>
      </c>
      <c r="AF477" s="31">
        <v>46077</v>
      </c>
      <c r="AG477" s="61">
        <v>0.40216435185185179</v>
      </c>
      <c r="AI477" t="s">
        <v>795</v>
      </c>
      <c r="AJ477" s="31">
        <v>46079</v>
      </c>
      <c r="AK477" s="61">
        <v>0.96589120370370374</v>
      </c>
      <c r="AL477" t="s">
        <v>1226</v>
      </c>
      <c r="AP477" t="s">
        <v>44</v>
      </c>
      <c r="AS477" s="31">
        <v>46078</v>
      </c>
      <c r="AT477">
        <v>30</v>
      </c>
      <c r="AY477">
        <v>1</v>
      </c>
    </row>
    <row r="478" spans="1:51" x14ac:dyDescent="0.25">
      <c r="A478" t="s">
        <v>31</v>
      </c>
      <c r="B478">
        <v>962</v>
      </c>
      <c r="D478">
        <v>3290</v>
      </c>
      <c r="E478" t="s">
        <v>4803</v>
      </c>
      <c r="G478" t="s">
        <v>4804</v>
      </c>
      <c r="J478" t="s">
        <v>923</v>
      </c>
      <c r="K478" t="s">
        <v>923</v>
      </c>
      <c r="L478">
        <v>11991241336</v>
      </c>
      <c r="N478" t="s">
        <v>4805</v>
      </c>
      <c r="Q478" t="s">
        <v>778</v>
      </c>
      <c r="T478" t="s">
        <v>2541</v>
      </c>
      <c r="W478" t="s">
        <v>2791</v>
      </c>
      <c r="X478" t="s">
        <v>780</v>
      </c>
      <c r="Y478" t="s">
        <v>781</v>
      </c>
      <c r="AA478" s="31">
        <v>46081</v>
      </c>
      <c r="AD478">
        <v>2</v>
      </c>
      <c r="AE478" t="s">
        <v>22</v>
      </c>
      <c r="AF478" s="31">
        <v>46077</v>
      </c>
      <c r="AG478" s="61">
        <v>0.40444444444444438</v>
      </c>
      <c r="AI478" t="s">
        <v>795</v>
      </c>
      <c r="AJ478" s="31">
        <v>46079</v>
      </c>
      <c r="AK478" s="61">
        <v>0.75096064814814811</v>
      </c>
      <c r="AL478" t="s">
        <v>1358</v>
      </c>
      <c r="AP478" t="s">
        <v>31</v>
      </c>
      <c r="AS478" s="31">
        <v>46079</v>
      </c>
      <c r="AT478">
        <v>30</v>
      </c>
      <c r="AY478">
        <v>1</v>
      </c>
    </row>
    <row r="479" spans="1:51" x14ac:dyDescent="0.25">
      <c r="A479" t="s">
        <v>22</v>
      </c>
      <c r="B479">
        <v>963</v>
      </c>
      <c r="D479">
        <v>3293</v>
      </c>
      <c r="E479" t="s">
        <v>4806</v>
      </c>
      <c r="G479" t="s">
        <v>4807</v>
      </c>
      <c r="J479" t="s">
        <v>4808</v>
      </c>
      <c r="K479" t="s">
        <v>4808</v>
      </c>
      <c r="L479">
        <v>13981286699</v>
      </c>
      <c r="N479" t="s">
        <v>4809</v>
      </c>
      <c r="Q479" t="s">
        <v>778</v>
      </c>
      <c r="T479" t="s">
        <v>2541</v>
      </c>
      <c r="W479" t="s">
        <v>2559</v>
      </c>
      <c r="X479" t="s">
        <v>780</v>
      </c>
      <c r="Y479" t="s">
        <v>781</v>
      </c>
      <c r="AA479" s="31">
        <v>46081</v>
      </c>
      <c r="AD479">
        <v>2</v>
      </c>
      <c r="AE479" t="s">
        <v>22</v>
      </c>
      <c r="AF479" s="31">
        <v>46077</v>
      </c>
      <c r="AG479" s="61">
        <v>0.40696759259259258</v>
      </c>
      <c r="AI479" t="s">
        <v>795</v>
      </c>
      <c r="AJ479" s="31">
        <v>46079</v>
      </c>
      <c r="AK479" s="61">
        <v>0.72960648148148144</v>
      </c>
      <c r="AL479" t="s">
        <v>1226</v>
      </c>
      <c r="AM479" t="s">
        <v>4806</v>
      </c>
      <c r="AP479" t="s">
        <v>22</v>
      </c>
      <c r="AS479" s="31"/>
      <c r="AT479">
        <v>30</v>
      </c>
      <c r="AV479" t="s">
        <v>578</v>
      </c>
      <c r="AY479">
        <v>1</v>
      </c>
    </row>
    <row r="480" spans="1:51" x14ac:dyDescent="0.25">
      <c r="A480" t="s">
        <v>22</v>
      </c>
      <c r="B480">
        <v>964</v>
      </c>
      <c r="D480">
        <v>3294</v>
      </c>
      <c r="E480" t="s">
        <v>4810</v>
      </c>
      <c r="G480" t="s">
        <v>4811</v>
      </c>
      <c r="J480" t="s">
        <v>3600</v>
      </c>
      <c r="K480" t="s">
        <v>3600</v>
      </c>
      <c r="L480" t="s">
        <v>4812</v>
      </c>
      <c r="N480" t="s">
        <v>4813</v>
      </c>
      <c r="Q480" t="s">
        <v>778</v>
      </c>
      <c r="R480" t="s">
        <v>1523</v>
      </c>
      <c r="T480" t="s">
        <v>814</v>
      </c>
      <c r="W480" t="s">
        <v>4814</v>
      </c>
      <c r="X480" t="s">
        <v>780</v>
      </c>
      <c r="Y480" t="s">
        <v>897</v>
      </c>
      <c r="AA480" s="31">
        <v>46081</v>
      </c>
      <c r="AD480">
        <v>16</v>
      </c>
      <c r="AE480" t="s">
        <v>22</v>
      </c>
      <c r="AF480" s="31">
        <v>46077</v>
      </c>
      <c r="AG480" s="61">
        <v>0.4085300925925926</v>
      </c>
      <c r="AI480" t="s">
        <v>795</v>
      </c>
      <c r="AJ480" s="31">
        <v>46093</v>
      </c>
      <c r="AK480" s="61">
        <v>0.72965277777777782</v>
      </c>
      <c r="AL480" t="s">
        <v>1226</v>
      </c>
      <c r="AP480" t="s">
        <v>22</v>
      </c>
      <c r="AQ480" t="s">
        <v>458</v>
      </c>
      <c r="AS480" s="31">
        <v>46093</v>
      </c>
      <c r="AT480">
        <v>30</v>
      </c>
      <c r="AY480">
        <v>1</v>
      </c>
    </row>
    <row r="481" spans="1:51" x14ac:dyDescent="0.25">
      <c r="A481" t="s">
        <v>44</v>
      </c>
      <c r="B481">
        <v>965</v>
      </c>
      <c r="D481">
        <v>3295</v>
      </c>
      <c r="E481" t="s">
        <v>4815</v>
      </c>
      <c r="G481" t="s">
        <v>4816</v>
      </c>
      <c r="J481" t="s">
        <v>4817</v>
      </c>
      <c r="K481" t="s">
        <v>4817</v>
      </c>
      <c r="L481">
        <v>81986574539</v>
      </c>
      <c r="N481" t="s">
        <v>4818</v>
      </c>
      <c r="Q481" t="s">
        <v>778</v>
      </c>
      <c r="T481" t="s">
        <v>2541</v>
      </c>
      <c r="W481" t="s">
        <v>2559</v>
      </c>
      <c r="X481" t="s">
        <v>780</v>
      </c>
      <c r="Y481" t="s">
        <v>897</v>
      </c>
      <c r="AA481" s="31">
        <v>46081</v>
      </c>
      <c r="AD481">
        <v>1</v>
      </c>
      <c r="AE481" t="s">
        <v>22</v>
      </c>
      <c r="AF481" s="31">
        <v>46077</v>
      </c>
      <c r="AG481" s="61">
        <v>0.40925925925925932</v>
      </c>
      <c r="AI481" t="s">
        <v>795</v>
      </c>
      <c r="AJ481" s="31">
        <v>46078</v>
      </c>
      <c r="AK481" s="61">
        <v>0.45694444444444438</v>
      </c>
      <c r="AL481" t="s">
        <v>1226</v>
      </c>
      <c r="AM481" t="s">
        <v>4819</v>
      </c>
      <c r="AP481" t="s">
        <v>44</v>
      </c>
      <c r="AS481" s="31">
        <v>46078</v>
      </c>
      <c r="AT481">
        <v>30</v>
      </c>
      <c r="AY481">
        <v>1</v>
      </c>
    </row>
    <row r="482" spans="1:51" x14ac:dyDescent="0.25">
      <c r="A482" t="s">
        <v>31</v>
      </c>
      <c r="B482">
        <v>966</v>
      </c>
      <c r="D482">
        <v>3296</v>
      </c>
      <c r="G482" t="s">
        <v>4820</v>
      </c>
      <c r="J482" t="s">
        <v>4821</v>
      </c>
      <c r="K482" t="s">
        <v>4821</v>
      </c>
      <c r="L482">
        <v>62992132212</v>
      </c>
      <c r="N482" t="s">
        <v>4822</v>
      </c>
      <c r="Q482" t="s">
        <v>778</v>
      </c>
      <c r="T482" t="s">
        <v>2541</v>
      </c>
      <c r="W482" t="s">
        <v>4823</v>
      </c>
      <c r="X482" t="s">
        <v>780</v>
      </c>
      <c r="Y482" t="s">
        <v>781</v>
      </c>
      <c r="AA482" s="31">
        <v>46112</v>
      </c>
      <c r="AD482">
        <v>13</v>
      </c>
      <c r="AE482" t="s">
        <v>22</v>
      </c>
      <c r="AF482" s="31">
        <v>46077</v>
      </c>
      <c r="AG482" s="61">
        <v>0.41028935185185178</v>
      </c>
      <c r="AI482" t="s">
        <v>795</v>
      </c>
      <c r="AJ482" s="31">
        <v>46090</v>
      </c>
      <c r="AK482" s="61">
        <v>0.61659722222222224</v>
      </c>
      <c r="AL482" t="s">
        <v>796</v>
      </c>
      <c r="AP482" t="s">
        <v>31</v>
      </c>
      <c r="AS482" s="31">
        <v>46090</v>
      </c>
      <c r="AT482">
        <v>30</v>
      </c>
      <c r="AY482">
        <v>1</v>
      </c>
    </row>
    <row r="483" spans="1:51" x14ac:dyDescent="0.25">
      <c r="A483" t="s">
        <v>44</v>
      </c>
      <c r="B483">
        <v>967</v>
      </c>
      <c r="D483">
        <v>3300</v>
      </c>
      <c r="E483" t="s">
        <v>4824</v>
      </c>
      <c r="G483" t="s">
        <v>450</v>
      </c>
      <c r="J483" t="s">
        <v>4825</v>
      </c>
      <c r="K483" t="s">
        <v>4825</v>
      </c>
      <c r="L483">
        <v>67992079099</v>
      </c>
      <c r="N483" t="s">
        <v>4826</v>
      </c>
      <c r="Q483" t="s">
        <v>778</v>
      </c>
      <c r="T483" t="s">
        <v>2541</v>
      </c>
      <c r="W483" t="s">
        <v>2542</v>
      </c>
      <c r="X483" t="s">
        <v>780</v>
      </c>
      <c r="Y483" t="s">
        <v>793</v>
      </c>
      <c r="AA483" s="31">
        <v>46111</v>
      </c>
      <c r="AB483">
        <v>758068</v>
      </c>
      <c r="AC483">
        <v>9596</v>
      </c>
      <c r="AD483">
        <v>13</v>
      </c>
      <c r="AE483" t="s">
        <v>22</v>
      </c>
      <c r="AF483" s="31">
        <v>46077</v>
      </c>
      <c r="AG483" s="61">
        <v>0.4112615740740741</v>
      </c>
      <c r="AI483" t="s">
        <v>795</v>
      </c>
      <c r="AJ483" s="31">
        <v>46090</v>
      </c>
      <c r="AK483" s="61">
        <v>0.44912037037037039</v>
      </c>
      <c r="AL483" t="s">
        <v>796</v>
      </c>
      <c r="AM483" t="s">
        <v>4827</v>
      </c>
      <c r="AO483" t="s">
        <v>380</v>
      </c>
      <c r="AP483" t="s">
        <v>44</v>
      </c>
      <c r="AQ483" t="s">
        <v>4762</v>
      </c>
      <c r="AS483" s="31">
        <v>46090</v>
      </c>
      <c r="AT483">
        <v>30</v>
      </c>
      <c r="AY483">
        <v>1</v>
      </c>
    </row>
    <row r="484" spans="1:51" x14ac:dyDescent="0.25">
      <c r="A484" t="s">
        <v>22</v>
      </c>
      <c r="B484">
        <v>968</v>
      </c>
      <c r="D484">
        <v>3288</v>
      </c>
      <c r="E484" t="s">
        <v>4828</v>
      </c>
      <c r="G484" t="s">
        <v>4829</v>
      </c>
      <c r="J484" t="s">
        <v>4830</v>
      </c>
      <c r="K484" t="s">
        <v>4830</v>
      </c>
      <c r="L484" t="s">
        <v>4831</v>
      </c>
      <c r="N484" t="s">
        <v>4832</v>
      </c>
      <c r="Q484" t="s">
        <v>778</v>
      </c>
      <c r="R484" t="s">
        <v>4833</v>
      </c>
      <c r="T484" t="s">
        <v>814</v>
      </c>
      <c r="W484" t="s">
        <v>1198</v>
      </c>
      <c r="X484" t="s">
        <v>780</v>
      </c>
      <c r="Y484" t="s">
        <v>897</v>
      </c>
      <c r="AA484" s="31">
        <v>46081</v>
      </c>
      <c r="AD484">
        <v>2</v>
      </c>
      <c r="AE484" t="s">
        <v>22</v>
      </c>
      <c r="AF484" s="31">
        <v>46077</v>
      </c>
      <c r="AG484" s="61">
        <v>0.41268518518518521</v>
      </c>
      <c r="AI484" t="s">
        <v>795</v>
      </c>
      <c r="AJ484" s="31">
        <v>46079</v>
      </c>
      <c r="AK484" s="61">
        <v>0.77306712962962965</v>
      </c>
      <c r="AL484" t="s">
        <v>1226</v>
      </c>
      <c r="AP484" t="s">
        <v>22</v>
      </c>
      <c r="AS484" s="31"/>
      <c r="AT484">
        <v>30</v>
      </c>
      <c r="AY484">
        <v>1</v>
      </c>
    </row>
    <row r="485" spans="1:51" x14ac:dyDescent="0.25">
      <c r="A485" t="s">
        <v>31</v>
      </c>
      <c r="B485">
        <v>969</v>
      </c>
      <c r="D485">
        <v>3304</v>
      </c>
      <c r="G485" t="s">
        <v>396</v>
      </c>
      <c r="H485">
        <v>64688089000103</v>
      </c>
      <c r="J485" t="s">
        <v>4834</v>
      </c>
      <c r="K485" t="s">
        <v>4834</v>
      </c>
      <c r="L485" t="s">
        <v>3905</v>
      </c>
      <c r="N485" t="s">
        <v>4835</v>
      </c>
      <c r="Q485" t="s">
        <v>778</v>
      </c>
      <c r="R485" t="s">
        <v>993</v>
      </c>
      <c r="S485" t="s">
        <v>932</v>
      </c>
      <c r="X485" t="s">
        <v>780</v>
      </c>
      <c r="Y485" t="s">
        <v>793</v>
      </c>
      <c r="AA485" s="31">
        <v>46203</v>
      </c>
      <c r="AB485">
        <v>5191686</v>
      </c>
      <c r="AC485">
        <v>50562</v>
      </c>
      <c r="AD485">
        <v>16</v>
      </c>
      <c r="AE485" t="s">
        <v>31</v>
      </c>
      <c r="AF485" s="31">
        <v>46077</v>
      </c>
      <c r="AG485" s="61">
        <v>0.5290393518518518</v>
      </c>
      <c r="AI485" t="s">
        <v>795</v>
      </c>
      <c r="AJ485" s="31">
        <v>46093</v>
      </c>
      <c r="AK485" s="61">
        <v>0.71856481481481482</v>
      </c>
      <c r="AL485" t="s">
        <v>867</v>
      </c>
      <c r="AO485" t="s">
        <v>4836</v>
      </c>
      <c r="AP485" t="s">
        <v>31</v>
      </c>
      <c r="AQ485" t="s">
        <v>4668</v>
      </c>
      <c r="AS485" s="31">
        <v>46093</v>
      </c>
      <c r="AT485">
        <v>30</v>
      </c>
      <c r="AV485" t="s">
        <v>321</v>
      </c>
      <c r="AY485">
        <v>1</v>
      </c>
    </row>
    <row r="486" spans="1:51" x14ac:dyDescent="0.25">
      <c r="A486" t="s">
        <v>31</v>
      </c>
      <c r="B486">
        <v>971</v>
      </c>
      <c r="D486">
        <v>3303</v>
      </c>
      <c r="G486" t="s">
        <v>4837</v>
      </c>
      <c r="H486">
        <v>1397620000179</v>
      </c>
      <c r="J486" t="s">
        <v>4838</v>
      </c>
      <c r="K486" t="s">
        <v>4838</v>
      </c>
      <c r="L486">
        <v>37988006012</v>
      </c>
      <c r="N486" t="s">
        <v>4839</v>
      </c>
      <c r="Q486" t="s">
        <v>778</v>
      </c>
      <c r="T486" t="s">
        <v>2541</v>
      </c>
      <c r="W486" t="s">
        <v>2559</v>
      </c>
      <c r="X486" t="s">
        <v>780</v>
      </c>
      <c r="Y486" t="s">
        <v>781</v>
      </c>
      <c r="AA486" s="31">
        <v>46081</v>
      </c>
      <c r="AD486">
        <v>5</v>
      </c>
      <c r="AE486" t="s">
        <v>22</v>
      </c>
      <c r="AF486" s="31">
        <v>46078</v>
      </c>
      <c r="AG486" s="61">
        <v>0.64763888888888888</v>
      </c>
      <c r="AI486" t="s">
        <v>795</v>
      </c>
      <c r="AJ486" s="31">
        <v>46083</v>
      </c>
      <c r="AK486" s="61">
        <v>0.40182870370370372</v>
      </c>
      <c r="AL486" t="s">
        <v>1358</v>
      </c>
      <c r="AP486" t="s">
        <v>31</v>
      </c>
      <c r="AS486" s="31"/>
      <c r="AT486">
        <v>27</v>
      </c>
      <c r="AY486">
        <v>1</v>
      </c>
    </row>
    <row r="487" spans="1:51" x14ac:dyDescent="0.25">
      <c r="A487" t="s">
        <v>44</v>
      </c>
      <c r="B487">
        <v>972</v>
      </c>
      <c r="D487">
        <v>3305</v>
      </c>
      <c r="E487" t="s">
        <v>4840</v>
      </c>
      <c r="G487" t="s">
        <v>457</v>
      </c>
      <c r="H487">
        <v>51119265000144</v>
      </c>
      <c r="J487" t="s">
        <v>4841</v>
      </c>
      <c r="K487" t="s">
        <v>4841</v>
      </c>
      <c r="L487" t="s">
        <v>4842</v>
      </c>
      <c r="N487" t="s">
        <v>4843</v>
      </c>
      <c r="Q487" t="s">
        <v>778</v>
      </c>
      <c r="R487" t="s">
        <v>4844</v>
      </c>
      <c r="S487" t="s">
        <v>790</v>
      </c>
      <c r="T487" t="s">
        <v>2541</v>
      </c>
      <c r="W487" t="s">
        <v>2791</v>
      </c>
      <c r="X487" t="s">
        <v>780</v>
      </c>
      <c r="Y487" t="s">
        <v>793</v>
      </c>
      <c r="AA487" s="31">
        <v>46078</v>
      </c>
      <c r="AB487">
        <v>5842744</v>
      </c>
      <c r="AC487">
        <v>145888</v>
      </c>
      <c r="AD487">
        <v>15</v>
      </c>
      <c r="AE487" t="s">
        <v>22</v>
      </c>
      <c r="AF487" s="31">
        <v>46078</v>
      </c>
      <c r="AG487" s="61">
        <v>0.64827546296296301</v>
      </c>
      <c r="AI487" t="s">
        <v>795</v>
      </c>
      <c r="AJ487" s="31">
        <v>46093</v>
      </c>
      <c r="AK487" s="61">
        <v>0.45283564814814808</v>
      </c>
      <c r="AL487" t="s">
        <v>934</v>
      </c>
      <c r="AM487" t="s">
        <v>4845</v>
      </c>
      <c r="AO487" t="s">
        <v>458</v>
      </c>
      <c r="AP487" t="s">
        <v>44</v>
      </c>
      <c r="AQ487" t="s">
        <v>458</v>
      </c>
      <c r="AS487" s="31">
        <v>46093</v>
      </c>
      <c r="AT487">
        <v>30</v>
      </c>
      <c r="AY487">
        <v>1</v>
      </c>
    </row>
    <row r="488" spans="1:51" x14ac:dyDescent="0.25">
      <c r="A488" t="s">
        <v>44</v>
      </c>
      <c r="B488">
        <v>973</v>
      </c>
      <c r="D488">
        <v>3309</v>
      </c>
      <c r="E488" t="s">
        <v>4846</v>
      </c>
      <c r="G488" t="s">
        <v>4847</v>
      </c>
      <c r="H488">
        <v>13994329000167</v>
      </c>
      <c r="J488" t="s">
        <v>4848</v>
      </c>
      <c r="K488" t="s">
        <v>4848</v>
      </c>
      <c r="L488" t="s">
        <v>4849</v>
      </c>
      <c r="N488" t="s">
        <v>4850</v>
      </c>
      <c r="Q488" t="s">
        <v>778</v>
      </c>
      <c r="R488" t="s">
        <v>4851</v>
      </c>
      <c r="S488" t="s">
        <v>1105</v>
      </c>
      <c r="T488" t="s">
        <v>1191</v>
      </c>
      <c r="W488" t="s">
        <v>2559</v>
      </c>
      <c r="X488" t="s">
        <v>780</v>
      </c>
      <c r="Y488" t="s">
        <v>897</v>
      </c>
      <c r="AA488" s="31">
        <v>46081</v>
      </c>
      <c r="AD488">
        <v>1</v>
      </c>
      <c r="AE488" t="s">
        <v>22</v>
      </c>
      <c r="AF488" s="31">
        <v>46078</v>
      </c>
      <c r="AG488" s="61">
        <v>0.89695601851851847</v>
      </c>
      <c r="AI488" t="s">
        <v>795</v>
      </c>
      <c r="AJ488" s="31">
        <v>46079</v>
      </c>
      <c r="AK488" s="61">
        <v>0.96399305555555559</v>
      </c>
      <c r="AL488" t="s">
        <v>1226</v>
      </c>
      <c r="AP488" t="s">
        <v>44</v>
      </c>
      <c r="AS488" s="31"/>
      <c r="AT488">
        <v>30</v>
      </c>
      <c r="AY488">
        <v>1</v>
      </c>
    </row>
    <row r="489" spans="1:51" x14ac:dyDescent="0.25">
      <c r="A489" t="s">
        <v>31</v>
      </c>
      <c r="B489">
        <v>974</v>
      </c>
      <c r="D489">
        <v>3312</v>
      </c>
      <c r="G489" t="s">
        <v>4852</v>
      </c>
      <c r="J489" t="s">
        <v>4853</v>
      </c>
      <c r="K489" t="s">
        <v>4853</v>
      </c>
      <c r="L489">
        <v>3196677652</v>
      </c>
      <c r="N489" t="s">
        <v>4854</v>
      </c>
      <c r="Q489" t="s">
        <v>778</v>
      </c>
      <c r="T489" t="s">
        <v>2541</v>
      </c>
      <c r="W489" t="s">
        <v>2559</v>
      </c>
      <c r="X489" t="s">
        <v>780</v>
      </c>
      <c r="Y489" t="s">
        <v>781</v>
      </c>
      <c r="AA489" s="31">
        <v>46173</v>
      </c>
      <c r="AD489">
        <v>5</v>
      </c>
      <c r="AE489" t="s">
        <v>22</v>
      </c>
      <c r="AF489" s="31">
        <v>46079</v>
      </c>
      <c r="AG489" s="61">
        <v>0.39581018518518518</v>
      </c>
      <c r="AI489" t="s">
        <v>795</v>
      </c>
      <c r="AJ489" s="31">
        <v>46084</v>
      </c>
      <c r="AK489" s="61">
        <v>0.52052083333333332</v>
      </c>
      <c r="AL489" t="s">
        <v>1358</v>
      </c>
      <c r="AP489" t="s">
        <v>31</v>
      </c>
      <c r="AS489" s="31">
        <v>46084</v>
      </c>
      <c r="AT489">
        <v>30</v>
      </c>
      <c r="AY489">
        <v>1</v>
      </c>
    </row>
    <row r="490" spans="1:51" x14ac:dyDescent="0.25">
      <c r="A490" t="s">
        <v>22</v>
      </c>
      <c r="B490">
        <v>976</v>
      </c>
      <c r="D490">
        <v>3314</v>
      </c>
      <c r="E490" t="s">
        <v>4855</v>
      </c>
      <c r="G490" t="s">
        <v>465</v>
      </c>
      <c r="H490">
        <v>22228036000160</v>
      </c>
      <c r="J490" t="s">
        <v>4856</v>
      </c>
      <c r="K490" t="s">
        <v>4856</v>
      </c>
      <c r="L490" t="s">
        <v>4857</v>
      </c>
      <c r="N490" t="s">
        <v>4858</v>
      </c>
      <c r="Q490" t="s">
        <v>778</v>
      </c>
      <c r="R490" t="s">
        <v>4859</v>
      </c>
      <c r="S490" t="s">
        <v>790</v>
      </c>
      <c r="T490" t="s">
        <v>814</v>
      </c>
      <c r="W490" t="s">
        <v>2878</v>
      </c>
      <c r="X490" t="s">
        <v>780</v>
      </c>
      <c r="Y490" t="s">
        <v>793</v>
      </c>
      <c r="AA490" s="31">
        <v>46112</v>
      </c>
      <c r="AD490">
        <v>22</v>
      </c>
      <c r="AE490" t="s">
        <v>22</v>
      </c>
      <c r="AF490" s="31">
        <v>46079</v>
      </c>
      <c r="AG490" s="61">
        <v>0.65738425925925925</v>
      </c>
      <c r="AI490" t="s">
        <v>795</v>
      </c>
      <c r="AJ490" s="31">
        <v>46101</v>
      </c>
      <c r="AK490" s="61">
        <v>0.72321759259259255</v>
      </c>
      <c r="AL490" t="s">
        <v>796</v>
      </c>
      <c r="AO490" t="s">
        <v>395</v>
      </c>
      <c r="AP490" t="s">
        <v>22</v>
      </c>
      <c r="AQ490" t="s">
        <v>395</v>
      </c>
      <c r="AS490" s="31">
        <v>46101</v>
      </c>
      <c r="AT490">
        <v>32</v>
      </c>
      <c r="AV490" t="s">
        <v>321</v>
      </c>
      <c r="AY490">
        <v>1</v>
      </c>
    </row>
    <row r="491" spans="1:51" x14ac:dyDescent="0.25">
      <c r="A491" t="s">
        <v>22</v>
      </c>
      <c r="B491">
        <v>977</v>
      </c>
      <c r="D491">
        <v>3318</v>
      </c>
      <c r="E491" t="s">
        <v>4860</v>
      </c>
      <c r="G491" t="s">
        <v>470</v>
      </c>
      <c r="H491">
        <v>82270893000150</v>
      </c>
      <c r="J491" t="s">
        <v>4861</v>
      </c>
      <c r="K491" t="s">
        <v>4861</v>
      </c>
      <c r="L491" t="s">
        <v>4862</v>
      </c>
      <c r="N491" t="s">
        <v>4863</v>
      </c>
      <c r="Q491" t="s">
        <v>778</v>
      </c>
      <c r="R491" t="s">
        <v>4864</v>
      </c>
      <c r="S491" t="s">
        <v>1699</v>
      </c>
      <c r="X491" t="s">
        <v>780</v>
      </c>
      <c r="Y491" t="s">
        <v>816</v>
      </c>
      <c r="AA491" s="31">
        <v>46081</v>
      </c>
      <c r="AB491">
        <v>35870</v>
      </c>
      <c r="AC491">
        <v>5290</v>
      </c>
      <c r="AD491">
        <v>12</v>
      </c>
      <c r="AE491" t="s">
        <v>22</v>
      </c>
      <c r="AF491" s="31">
        <v>46079</v>
      </c>
      <c r="AG491" s="61">
        <v>0.65870370370370368</v>
      </c>
      <c r="AI491" t="s">
        <v>795</v>
      </c>
      <c r="AJ491" s="31">
        <v>46091</v>
      </c>
      <c r="AK491" s="61">
        <v>0.48899305555555561</v>
      </c>
      <c r="AL491" t="s">
        <v>858</v>
      </c>
      <c r="AO491" t="s">
        <v>395</v>
      </c>
      <c r="AP491" t="s">
        <v>22</v>
      </c>
      <c r="AQ491" t="s">
        <v>4762</v>
      </c>
      <c r="AS491" s="31"/>
      <c r="AT491">
        <v>30</v>
      </c>
      <c r="AU491">
        <v>100</v>
      </c>
      <c r="AV491" t="s">
        <v>63</v>
      </c>
      <c r="AY491">
        <v>1</v>
      </c>
    </row>
    <row r="492" spans="1:51" x14ac:dyDescent="0.25">
      <c r="A492" t="s">
        <v>44</v>
      </c>
      <c r="B492">
        <v>978</v>
      </c>
      <c r="D492">
        <v>3323</v>
      </c>
      <c r="E492" t="s">
        <v>4845</v>
      </c>
      <c r="G492" t="s">
        <v>464</v>
      </c>
      <c r="J492" t="s">
        <v>4865</v>
      </c>
      <c r="K492" t="s">
        <v>4865</v>
      </c>
      <c r="L492">
        <v>1435416311</v>
      </c>
      <c r="N492" t="s">
        <v>4843</v>
      </c>
      <c r="Q492" t="s">
        <v>778</v>
      </c>
      <c r="X492" t="s">
        <v>780</v>
      </c>
      <c r="Y492" t="s">
        <v>793</v>
      </c>
      <c r="AA492" s="31"/>
      <c r="AB492">
        <v>1105989</v>
      </c>
      <c r="AC492">
        <v>29463</v>
      </c>
      <c r="AD492">
        <v>14</v>
      </c>
      <c r="AE492" t="s">
        <v>44</v>
      </c>
      <c r="AF492" s="31">
        <v>46079</v>
      </c>
      <c r="AG492" s="61">
        <v>0.72268518518518521</v>
      </c>
      <c r="AI492" t="s">
        <v>795</v>
      </c>
      <c r="AJ492" s="31">
        <v>46093</v>
      </c>
      <c r="AK492" s="61">
        <v>0.45361111111111108</v>
      </c>
      <c r="AL492" t="s">
        <v>934</v>
      </c>
      <c r="AM492" t="s">
        <v>4845</v>
      </c>
      <c r="AO492" t="s">
        <v>458</v>
      </c>
      <c r="AQ492" t="s">
        <v>458</v>
      </c>
      <c r="AS492" s="31">
        <v>46094</v>
      </c>
      <c r="AT492">
        <v>30</v>
      </c>
      <c r="AY492">
        <v>1</v>
      </c>
    </row>
    <row r="493" spans="1:51" x14ac:dyDescent="0.25">
      <c r="A493" t="s">
        <v>44</v>
      </c>
      <c r="B493">
        <v>979</v>
      </c>
      <c r="D493">
        <v>3324</v>
      </c>
      <c r="E493" t="s">
        <v>4845</v>
      </c>
      <c r="G493" t="s">
        <v>469</v>
      </c>
      <c r="J493" t="s">
        <v>4866</v>
      </c>
      <c r="K493" t="s">
        <v>4866</v>
      </c>
      <c r="L493">
        <v>1435416311</v>
      </c>
      <c r="N493" t="s">
        <v>4843</v>
      </c>
      <c r="Q493" t="s">
        <v>778</v>
      </c>
      <c r="X493" t="s">
        <v>780</v>
      </c>
      <c r="Y493" t="s">
        <v>793</v>
      </c>
      <c r="AA493" s="31"/>
      <c r="AB493">
        <v>1600</v>
      </c>
      <c r="AC493">
        <v>252471</v>
      </c>
      <c r="AD493">
        <v>14</v>
      </c>
      <c r="AE493" t="s">
        <v>44</v>
      </c>
      <c r="AF493" s="31">
        <v>46079</v>
      </c>
      <c r="AG493" s="61">
        <v>0.73281249999999998</v>
      </c>
      <c r="AI493" t="s">
        <v>795</v>
      </c>
      <c r="AJ493" s="31">
        <v>46093</v>
      </c>
      <c r="AK493" s="61">
        <v>0.45197916666666671</v>
      </c>
      <c r="AL493" t="s">
        <v>934</v>
      </c>
      <c r="AM493" t="s">
        <v>4845</v>
      </c>
      <c r="AN493" t="s">
        <v>4733</v>
      </c>
      <c r="AO493" t="s">
        <v>458</v>
      </c>
      <c r="AS493" s="31"/>
      <c r="AT493">
        <v>30</v>
      </c>
      <c r="AY493">
        <v>1</v>
      </c>
    </row>
    <row r="494" spans="1:51" x14ac:dyDescent="0.25">
      <c r="A494" t="s">
        <v>22</v>
      </c>
      <c r="B494">
        <v>980</v>
      </c>
      <c r="D494">
        <v>3325</v>
      </c>
      <c r="G494" t="s">
        <v>475</v>
      </c>
      <c r="H494">
        <v>23059521000110</v>
      </c>
      <c r="J494" t="s">
        <v>4867</v>
      </c>
      <c r="K494" t="s">
        <v>4867</v>
      </c>
      <c r="L494" t="s">
        <v>4868</v>
      </c>
      <c r="Q494" t="s">
        <v>778</v>
      </c>
      <c r="R494" t="s">
        <v>4869</v>
      </c>
      <c r="S494" t="s">
        <v>932</v>
      </c>
      <c r="X494" t="s">
        <v>780</v>
      </c>
      <c r="Y494" t="s">
        <v>816</v>
      </c>
      <c r="AA494" s="31">
        <v>46081</v>
      </c>
      <c r="AB494">
        <v>7470289</v>
      </c>
      <c r="AC494">
        <v>1221612</v>
      </c>
      <c r="AD494">
        <v>0</v>
      </c>
      <c r="AE494" t="s">
        <v>22</v>
      </c>
      <c r="AF494" s="31">
        <v>46079</v>
      </c>
      <c r="AG494" s="61">
        <v>0.91543981481481485</v>
      </c>
      <c r="AI494" t="s">
        <v>818</v>
      </c>
      <c r="AJ494" s="31">
        <v>46079</v>
      </c>
      <c r="AK494" s="61">
        <v>0.91915509259259254</v>
      </c>
      <c r="AO494" t="s">
        <v>458</v>
      </c>
      <c r="AP494" t="s">
        <v>22</v>
      </c>
      <c r="AQ494" t="s">
        <v>511</v>
      </c>
      <c r="AS494" s="31"/>
      <c r="AT494">
        <v>90</v>
      </c>
      <c r="AV494" t="s">
        <v>4870</v>
      </c>
      <c r="AW494" t="s">
        <v>4871</v>
      </c>
      <c r="AX494" t="s">
        <v>4872</v>
      </c>
      <c r="AY494">
        <v>1</v>
      </c>
    </row>
    <row r="495" spans="1:51" x14ac:dyDescent="0.25">
      <c r="A495" t="s">
        <v>44</v>
      </c>
      <c r="B495">
        <v>981</v>
      </c>
      <c r="D495">
        <v>3328</v>
      </c>
      <c r="G495" t="s">
        <v>474</v>
      </c>
      <c r="J495" t="s">
        <v>4873</v>
      </c>
      <c r="K495" t="s">
        <v>4873</v>
      </c>
      <c r="L495">
        <v>4733683065</v>
      </c>
      <c r="N495" t="s">
        <v>3088</v>
      </c>
      <c r="Q495" t="s">
        <v>778</v>
      </c>
      <c r="X495" t="s">
        <v>780</v>
      </c>
      <c r="Y495" t="s">
        <v>857</v>
      </c>
      <c r="AA495" s="31"/>
      <c r="AB495">
        <v>1600</v>
      </c>
      <c r="AC495">
        <v>252471</v>
      </c>
      <c r="AD495">
        <v>47</v>
      </c>
      <c r="AE495" t="s">
        <v>44</v>
      </c>
      <c r="AF495" s="31">
        <v>46080</v>
      </c>
      <c r="AG495" s="61">
        <v>0.45732638888888888</v>
      </c>
      <c r="AI495" t="s">
        <v>782</v>
      </c>
      <c r="AJ495" s="31"/>
      <c r="AK495" s="61"/>
      <c r="AO495" t="s">
        <v>393</v>
      </c>
      <c r="AQ495" t="s">
        <v>393</v>
      </c>
      <c r="AS495" s="31"/>
      <c r="AT495">
        <v>30</v>
      </c>
      <c r="AY495">
        <v>1</v>
      </c>
    </row>
    <row r="496" spans="1:51" x14ac:dyDescent="0.25">
      <c r="A496" t="s">
        <v>44</v>
      </c>
      <c r="B496">
        <v>982</v>
      </c>
      <c r="D496">
        <v>3329</v>
      </c>
      <c r="G496" t="s">
        <v>479</v>
      </c>
      <c r="J496" t="s">
        <v>4874</v>
      </c>
      <c r="K496" t="s">
        <v>4874</v>
      </c>
      <c r="L496">
        <v>14998549863</v>
      </c>
      <c r="N496" t="s">
        <v>3135</v>
      </c>
      <c r="Q496" t="s">
        <v>778</v>
      </c>
      <c r="X496" t="s">
        <v>780</v>
      </c>
      <c r="Y496" t="s">
        <v>807</v>
      </c>
      <c r="AA496" s="31"/>
      <c r="AB496">
        <v>1600</v>
      </c>
      <c r="AC496">
        <v>252471</v>
      </c>
      <c r="AD496">
        <v>47</v>
      </c>
      <c r="AE496" t="s">
        <v>44</v>
      </c>
      <c r="AF496" s="31">
        <v>46080</v>
      </c>
      <c r="AG496" s="61">
        <v>0.51340277777777776</v>
      </c>
      <c r="AI496" t="s">
        <v>782</v>
      </c>
      <c r="AJ496" s="31"/>
      <c r="AK496" s="61"/>
      <c r="AO496" t="s">
        <v>480</v>
      </c>
      <c r="AQ496" t="s">
        <v>403</v>
      </c>
      <c r="AR496" t="s">
        <v>480</v>
      </c>
      <c r="AS496" s="31"/>
      <c r="AT496">
        <v>30</v>
      </c>
      <c r="AY496">
        <v>1</v>
      </c>
    </row>
    <row r="497" spans="1:51" x14ac:dyDescent="0.25">
      <c r="A497" t="s">
        <v>44</v>
      </c>
      <c r="B497">
        <v>983</v>
      </c>
      <c r="D497">
        <v>3330</v>
      </c>
      <c r="G497" t="s">
        <v>4875</v>
      </c>
      <c r="J497" t="s">
        <v>4876</v>
      </c>
      <c r="K497" t="s">
        <v>4876</v>
      </c>
      <c r="L497">
        <v>11915642482</v>
      </c>
      <c r="N497" t="s">
        <v>1111</v>
      </c>
      <c r="Q497" t="s">
        <v>778</v>
      </c>
      <c r="X497" t="s">
        <v>780</v>
      </c>
      <c r="Y497" t="s">
        <v>816</v>
      </c>
      <c r="AA497" s="31"/>
      <c r="AB497">
        <v>0</v>
      </c>
      <c r="AC497">
        <v>384454</v>
      </c>
      <c r="AD497">
        <v>33</v>
      </c>
      <c r="AE497" t="s">
        <v>44</v>
      </c>
      <c r="AF497" s="31">
        <v>46080</v>
      </c>
      <c r="AG497" s="61">
        <v>0.5448263888888889</v>
      </c>
      <c r="AI497" t="s">
        <v>818</v>
      </c>
      <c r="AJ497" s="31">
        <v>46113</v>
      </c>
      <c r="AK497" s="61">
        <v>0.44480324074074068</v>
      </c>
      <c r="AO497" t="s">
        <v>403</v>
      </c>
      <c r="AS497" s="31"/>
      <c r="AT497">
        <v>30</v>
      </c>
      <c r="AY497">
        <v>1</v>
      </c>
    </row>
    <row r="498" spans="1:51" x14ac:dyDescent="0.25">
      <c r="A498" t="s">
        <v>44</v>
      </c>
      <c r="B498">
        <v>984</v>
      </c>
      <c r="D498">
        <v>3331</v>
      </c>
      <c r="G498" t="s">
        <v>489</v>
      </c>
      <c r="J498" t="s">
        <v>4877</v>
      </c>
      <c r="K498" t="s">
        <v>4877</v>
      </c>
      <c r="L498">
        <v>1184724282</v>
      </c>
      <c r="N498" t="s">
        <v>3157</v>
      </c>
      <c r="Q498" t="s">
        <v>778</v>
      </c>
      <c r="X498" t="s">
        <v>780</v>
      </c>
      <c r="Y498" t="s">
        <v>857</v>
      </c>
      <c r="AA498" s="31"/>
      <c r="AB498">
        <v>6000</v>
      </c>
      <c r="AC498">
        <v>2000</v>
      </c>
      <c r="AD498">
        <v>47</v>
      </c>
      <c r="AE498" t="s">
        <v>44</v>
      </c>
      <c r="AF498" s="31">
        <v>46080</v>
      </c>
      <c r="AG498" s="61">
        <v>0.54798611111111106</v>
      </c>
      <c r="AI498" t="s">
        <v>782</v>
      </c>
      <c r="AJ498" s="31"/>
      <c r="AK498" s="61"/>
      <c r="AO498" t="s">
        <v>403</v>
      </c>
      <c r="AS498" s="31"/>
      <c r="AT498">
        <v>30</v>
      </c>
      <c r="AY498">
        <v>1</v>
      </c>
    </row>
    <row r="499" spans="1:51" x14ac:dyDescent="0.25">
      <c r="A499" t="s">
        <v>22</v>
      </c>
      <c r="B499">
        <v>985</v>
      </c>
      <c r="D499">
        <v>3332</v>
      </c>
      <c r="E499" t="s">
        <v>4878</v>
      </c>
      <c r="G499" t="s">
        <v>481</v>
      </c>
      <c r="J499" t="s">
        <v>4879</v>
      </c>
      <c r="K499" t="s">
        <v>4879</v>
      </c>
      <c r="L499">
        <v>4699841338</v>
      </c>
      <c r="N499" t="s">
        <v>3168</v>
      </c>
      <c r="Q499" t="s">
        <v>778</v>
      </c>
      <c r="X499" t="s">
        <v>780</v>
      </c>
      <c r="Y499" t="s">
        <v>816</v>
      </c>
      <c r="AA499" s="31">
        <v>46112</v>
      </c>
      <c r="AB499">
        <v>5007058</v>
      </c>
      <c r="AC499">
        <v>268966</v>
      </c>
      <c r="AD499">
        <v>42</v>
      </c>
      <c r="AE499" t="s">
        <v>22</v>
      </c>
      <c r="AF499" s="31">
        <v>46080</v>
      </c>
      <c r="AG499" s="61">
        <v>0.60878472222222224</v>
      </c>
      <c r="AI499" t="s">
        <v>795</v>
      </c>
      <c r="AJ499" s="31">
        <v>46122</v>
      </c>
      <c r="AK499" s="61">
        <v>0.66790509259259256</v>
      </c>
      <c r="AL499" t="s">
        <v>858</v>
      </c>
      <c r="AO499" t="s">
        <v>395</v>
      </c>
      <c r="AP499" t="s">
        <v>22</v>
      </c>
      <c r="AQ499" t="s">
        <v>395</v>
      </c>
      <c r="AS499" s="31">
        <v>46093</v>
      </c>
      <c r="AT499">
        <v>30</v>
      </c>
      <c r="AU499">
        <v>280</v>
      </c>
      <c r="AV499" t="s">
        <v>321</v>
      </c>
      <c r="AY499">
        <v>1</v>
      </c>
    </row>
    <row r="500" spans="1:51" x14ac:dyDescent="0.25">
      <c r="A500" t="s">
        <v>22</v>
      </c>
      <c r="B500">
        <v>987</v>
      </c>
      <c r="D500">
        <v>3334</v>
      </c>
      <c r="E500" t="s">
        <v>4880</v>
      </c>
      <c r="G500" t="s">
        <v>390</v>
      </c>
      <c r="H500">
        <v>7730144000142</v>
      </c>
      <c r="J500" t="s">
        <v>4881</v>
      </c>
      <c r="K500" t="s">
        <v>4881</v>
      </c>
      <c r="L500">
        <v>11994558029</v>
      </c>
      <c r="N500" t="s">
        <v>4882</v>
      </c>
      <c r="Q500" t="s">
        <v>778</v>
      </c>
      <c r="X500" t="s">
        <v>780</v>
      </c>
      <c r="Y500" t="s">
        <v>807</v>
      </c>
      <c r="AA500" s="31">
        <v>46112</v>
      </c>
      <c r="AD500">
        <v>47</v>
      </c>
      <c r="AE500" t="s">
        <v>22</v>
      </c>
      <c r="AF500" s="31">
        <v>46080</v>
      </c>
      <c r="AG500" s="61">
        <v>0.89208333333333334</v>
      </c>
      <c r="AI500" t="s">
        <v>782</v>
      </c>
      <c r="AJ500" s="31"/>
      <c r="AK500" s="61"/>
      <c r="AO500" t="s">
        <v>4706</v>
      </c>
      <c r="AP500" t="s">
        <v>22</v>
      </c>
      <c r="AQ500" t="s">
        <v>4883</v>
      </c>
      <c r="AS500" s="31">
        <v>46101</v>
      </c>
      <c r="AT500">
        <v>30</v>
      </c>
      <c r="AV500" t="s">
        <v>63</v>
      </c>
      <c r="AY500">
        <v>1</v>
      </c>
    </row>
    <row r="501" spans="1:51" x14ac:dyDescent="0.25">
      <c r="A501" t="s">
        <v>31</v>
      </c>
      <c r="B501">
        <v>990</v>
      </c>
      <c r="D501">
        <v>3335</v>
      </c>
      <c r="E501" t="s">
        <v>4884</v>
      </c>
      <c r="G501" t="s">
        <v>4885</v>
      </c>
      <c r="H501">
        <v>15497764000616</v>
      </c>
      <c r="J501" t="s">
        <v>4886</v>
      </c>
      <c r="K501" t="s">
        <v>4886</v>
      </c>
      <c r="L501" t="s">
        <v>4887</v>
      </c>
      <c r="N501" t="s">
        <v>4888</v>
      </c>
      <c r="Q501" t="s">
        <v>778</v>
      </c>
      <c r="R501" t="s">
        <v>4889</v>
      </c>
      <c r="S501" t="s">
        <v>932</v>
      </c>
      <c r="T501" t="s">
        <v>814</v>
      </c>
      <c r="W501" t="s">
        <v>2878</v>
      </c>
      <c r="X501" t="s">
        <v>780</v>
      </c>
      <c r="Y501" t="s">
        <v>857</v>
      </c>
      <c r="AA501" s="31">
        <v>46203</v>
      </c>
      <c r="AD501">
        <v>35</v>
      </c>
      <c r="AE501" t="s">
        <v>22</v>
      </c>
      <c r="AF501" s="31">
        <v>46084</v>
      </c>
      <c r="AG501" s="61">
        <v>0.89053240740740736</v>
      </c>
      <c r="AI501" t="s">
        <v>795</v>
      </c>
      <c r="AJ501" s="31">
        <v>46119</v>
      </c>
      <c r="AK501" s="61">
        <v>0.45798611111111109</v>
      </c>
      <c r="AL501" t="s">
        <v>796</v>
      </c>
      <c r="AP501" t="s">
        <v>31</v>
      </c>
      <c r="AS501" s="31">
        <v>46119</v>
      </c>
      <c r="AT501">
        <v>30</v>
      </c>
      <c r="AV501" t="s">
        <v>47</v>
      </c>
      <c r="AY501">
        <v>1</v>
      </c>
    </row>
    <row r="502" spans="1:51" x14ac:dyDescent="0.25">
      <c r="A502" t="s">
        <v>44</v>
      </c>
      <c r="B502">
        <v>991</v>
      </c>
      <c r="D502">
        <v>3339</v>
      </c>
      <c r="E502" t="s">
        <v>4890</v>
      </c>
      <c r="G502" t="s">
        <v>407</v>
      </c>
      <c r="H502">
        <v>5137778000160</v>
      </c>
      <c r="J502" t="s">
        <v>4891</v>
      </c>
      <c r="K502" t="s">
        <v>4891</v>
      </c>
      <c r="L502" t="s">
        <v>4892</v>
      </c>
      <c r="N502" t="s">
        <v>4893</v>
      </c>
      <c r="Q502" t="s">
        <v>778</v>
      </c>
      <c r="R502" t="s">
        <v>4894</v>
      </c>
      <c r="T502" t="s">
        <v>814</v>
      </c>
      <c r="W502" t="s">
        <v>2878</v>
      </c>
      <c r="X502" t="s">
        <v>780</v>
      </c>
      <c r="Y502" t="s">
        <v>857</v>
      </c>
      <c r="AA502" s="31">
        <v>46112</v>
      </c>
      <c r="AB502">
        <v>1104172</v>
      </c>
      <c r="AC502">
        <v>656776</v>
      </c>
      <c r="AD502">
        <v>20</v>
      </c>
      <c r="AE502" t="s">
        <v>22</v>
      </c>
      <c r="AF502" s="31">
        <v>46085</v>
      </c>
      <c r="AG502" s="61">
        <v>0.69291666666666663</v>
      </c>
      <c r="AI502" t="s">
        <v>795</v>
      </c>
      <c r="AJ502" s="31">
        <v>46105</v>
      </c>
      <c r="AK502" s="61">
        <v>0.64593750000000005</v>
      </c>
      <c r="AL502" t="s">
        <v>934</v>
      </c>
      <c r="AM502" t="s">
        <v>4895</v>
      </c>
      <c r="AO502" t="s">
        <v>4732</v>
      </c>
      <c r="AP502" t="s">
        <v>44</v>
      </c>
      <c r="AQ502" t="s">
        <v>4732</v>
      </c>
      <c r="AS502" s="31">
        <v>46090</v>
      </c>
      <c r="AT502">
        <v>30</v>
      </c>
      <c r="AV502" t="s">
        <v>69</v>
      </c>
      <c r="AY502">
        <v>1</v>
      </c>
    </row>
    <row r="503" spans="1:51" x14ac:dyDescent="0.25">
      <c r="A503" t="s">
        <v>22</v>
      </c>
      <c r="B503">
        <v>993</v>
      </c>
      <c r="D503">
        <v>3342</v>
      </c>
      <c r="E503" t="s">
        <v>4896</v>
      </c>
      <c r="G503" t="s">
        <v>433</v>
      </c>
      <c r="H503">
        <v>43191819000196</v>
      </c>
      <c r="J503" t="s">
        <v>4897</v>
      </c>
      <c r="K503" t="s">
        <v>4897</v>
      </c>
      <c r="L503" t="s">
        <v>4898</v>
      </c>
      <c r="N503" t="s">
        <v>4899</v>
      </c>
      <c r="Q503" t="s">
        <v>778</v>
      </c>
      <c r="R503" t="s">
        <v>4900</v>
      </c>
      <c r="S503" t="s">
        <v>1699</v>
      </c>
      <c r="X503" t="s">
        <v>780</v>
      </c>
      <c r="Y503" t="s">
        <v>807</v>
      </c>
      <c r="AA503" s="31">
        <v>46112</v>
      </c>
      <c r="AB503">
        <v>895843</v>
      </c>
      <c r="AC503">
        <v>395308</v>
      </c>
      <c r="AD503">
        <v>36</v>
      </c>
      <c r="AE503" t="s">
        <v>22</v>
      </c>
      <c r="AF503" s="31">
        <v>46086</v>
      </c>
      <c r="AG503" s="61">
        <v>0.36936342592592591</v>
      </c>
      <c r="AI503" t="s">
        <v>795</v>
      </c>
      <c r="AJ503" s="31">
        <v>46122</v>
      </c>
      <c r="AK503" s="61">
        <v>0.72621527777777772</v>
      </c>
      <c r="AL503" t="s">
        <v>867</v>
      </c>
      <c r="AO503" t="s">
        <v>4788</v>
      </c>
      <c r="AP503" t="s">
        <v>22</v>
      </c>
      <c r="AQ503" t="s">
        <v>4679</v>
      </c>
      <c r="AS503" s="31">
        <v>46101</v>
      </c>
      <c r="AT503">
        <v>30</v>
      </c>
      <c r="AV503" t="s">
        <v>2932</v>
      </c>
      <c r="AY503">
        <v>1</v>
      </c>
    </row>
    <row r="504" spans="1:51" x14ac:dyDescent="0.25">
      <c r="A504" t="s">
        <v>31</v>
      </c>
      <c r="B504">
        <v>994</v>
      </c>
      <c r="D504">
        <v>3347</v>
      </c>
      <c r="E504" t="s">
        <v>4901</v>
      </c>
      <c r="F504" t="s">
        <v>4902</v>
      </c>
      <c r="G504" t="s">
        <v>4903</v>
      </c>
      <c r="H504">
        <v>61808531000523</v>
      </c>
      <c r="J504" t="s">
        <v>4902</v>
      </c>
      <c r="K504" t="s">
        <v>4902</v>
      </c>
      <c r="L504" t="s">
        <v>4904</v>
      </c>
      <c r="N504" t="s">
        <v>4905</v>
      </c>
      <c r="Q504" t="s">
        <v>778</v>
      </c>
      <c r="R504" t="s">
        <v>1094</v>
      </c>
      <c r="S504" t="s">
        <v>790</v>
      </c>
      <c r="T504" t="s">
        <v>805</v>
      </c>
      <c r="X504" t="s">
        <v>780</v>
      </c>
      <c r="Y504" t="s">
        <v>793</v>
      </c>
      <c r="AA504" s="31">
        <v>46142</v>
      </c>
      <c r="AD504">
        <v>41</v>
      </c>
      <c r="AE504" t="s">
        <v>31</v>
      </c>
      <c r="AF504" s="31">
        <v>46086</v>
      </c>
      <c r="AG504" s="61">
        <v>0.72510416666666666</v>
      </c>
      <c r="AI504" t="s">
        <v>782</v>
      </c>
      <c r="AJ504" s="31"/>
      <c r="AK504" s="61"/>
      <c r="AP504" t="s">
        <v>31</v>
      </c>
      <c r="AQ504" t="s">
        <v>4748</v>
      </c>
      <c r="AR504" t="s">
        <v>4733</v>
      </c>
      <c r="AS504" s="31">
        <v>46127</v>
      </c>
      <c r="AT504">
        <v>30</v>
      </c>
      <c r="AV504" t="s">
        <v>63</v>
      </c>
      <c r="AY504">
        <v>1</v>
      </c>
    </row>
    <row r="505" spans="1:51" x14ac:dyDescent="0.25">
      <c r="A505" t="s">
        <v>44</v>
      </c>
      <c r="B505">
        <v>995</v>
      </c>
      <c r="D505">
        <v>3348</v>
      </c>
      <c r="E505" t="s">
        <v>4906</v>
      </c>
      <c r="F505" t="s">
        <v>4907</v>
      </c>
      <c r="G505" t="s">
        <v>415</v>
      </c>
      <c r="H505">
        <v>58092341000114</v>
      </c>
      <c r="J505" t="s">
        <v>4907</v>
      </c>
      <c r="K505" t="s">
        <v>4907</v>
      </c>
      <c r="L505" t="s">
        <v>4908</v>
      </c>
      <c r="N505" t="s">
        <v>4909</v>
      </c>
      <c r="Q505" t="s">
        <v>778</v>
      </c>
      <c r="R505" t="s">
        <v>4910</v>
      </c>
      <c r="S505" t="s">
        <v>932</v>
      </c>
      <c r="T505" t="s">
        <v>805</v>
      </c>
      <c r="X505" t="s">
        <v>780</v>
      </c>
      <c r="Y505" t="s">
        <v>793</v>
      </c>
      <c r="AA505" s="31"/>
      <c r="AB505">
        <v>686343</v>
      </c>
      <c r="AC505">
        <v>36781</v>
      </c>
      <c r="AD505">
        <v>3</v>
      </c>
      <c r="AE505" t="s">
        <v>44</v>
      </c>
      <c r="AF505" s="31">
        <v>46087</v>
      </c>
      <c r="AG505" s="61">
        <v>0.52327546296296301</v>
      </c>
      <c r="AI505" t="s">
        <v>795</v>
      </c>
      <c r="AJ505" s="31">
        <v>46090</v>
      </c>
      <c r="AK505" s="61">
        <v>0.39971064814814822</v>
      </c>
      <c r="AL505" t="s">
        <v>934</v>
      </c>
      <c r="AM505" t="s">
        <v>4906</v>
      </c>
      <c r="AO505" t="s">
        <v>4911</v>
      </c>
      <c r="AQ505" t="s">
        <v>4911</v>
      </c>
      <c r="AS505" s="31">
        <v>46087</v>
      </c>
      <c r="AT505">
        <v>50</v>
      </c>
      <c r="AY505">
        <v>1</v>
      </c>
    </row>
    <row r="506" spans="1:51" x14ac:dyDescent="0.25">
      <c r="A506" t="s">
        <v>44</v>
      </c>
      <c r="B506">
        <v>996</v>
      </c>
      <c r="D506">
        <v>3351</v>
      </c>
      <c r="E506" t="s">
        <v>4912</v>
      </c>
      <c r="F506" t="s">
        <v>4913</v>
      </c>
      <c r="G506" t="s">
        <v>432</v>
      </c>
      <c r="H506">
        <v>27672869000139</v>
      </c>
      <c r="J506" t="s">
        <v>4914</v>
      </c>
      <c r="K506" t="s">
        <v>4914</v>
      </c>
      <c r="L506" t="s">
        <v>4915</v>
      </c>
      <c r="N506" t="s">
        <v>4916</v>
      </c>
      <c r="Q506" t="s">
        <v>778</v>
      </c>
      <c r="R506" t="s">
        <v>993</v>
      </c>
      <c r="S506" t="s">
        <v>932</v>
      </c>
      <c r="X506" t="s">
        <v>780</v>
      </c>
      <c r="Y506" t="s">
        <v>857</v>
      </c>
      <c r="AA506" s="31"/>
      <c r="AB506">
        <v>7305558</v>
      </c>
      <c r="AC506">
        <v>143186</v>
      </c>
      <c r="AD506">
        <v>40</v>
      </c>
      <c r="AE506" t="s">
        <v>44</v>
      </c>
      <c r="AF506" s="31">
        <v>46087</v>
      </c>
      <c r="AG506" s="61">
        <v>0.71341435185185187</v>
      </c>
      <c r="AI506" t="s">
        <v>795</v>
      </c>
      <c r="AJ506" s="31">
        <v>46127</v>
      </c>
      <c r="AK506" s="61">
        <v>0.39947916666666672</v>
      </c>
      <c r="AL506" t="s">
        <v>934</v>
      </c>
      <c r="AM506" t="s">
        <v>4917</v>
      </c>
      <c r="AO506" t="s">
        <v>4918</v>
      </c>
      <c r="AQ506" t="s">
        <v>4748</v>
      </c>
      <c r="AS506" s="31">
        <v>46127</v>
      </c>
      <c r="AT506">
        <v>30</v>
      </c>
      <c r="AY506">
        <v>1</v>
      </c>
    </row>
    <row r="507" spans="1:51" x14ac:dyDescent="0.25">
      <c r="A507" t="s">
        <v>31</v>
      </c>
      <c r="B507">
        <v>997</v>
      </c>
      <c r="D507">
        <v>3341</v>
      </c>
      <c r="G507" t="s">
        <v>4919</v>
      </c>
      <c r="J507" t="s">
        <v>4920</v>
      </c>
      <c r="K507" t="s">
        <v>4920</v>
      </c>
      <c r="L507">
        <v>67999772326</v>
      </c>
      <c r="N507" t="s">
        <v>4921</v>
      </c>
      <c r="Q507" t="s">
        <v>778</v>
      </c>
      <c r="T507" t="s">
        <v>2541</v>
      </c>
      <c r="W507" t="s">
        <v>2559</v>
      </c>
      <c r="X507" t="s">
        <v>780</v>
      </c>
      <c r="Y507" t="s">
        <v>781</v>
      </c>
      <c r="AA507" s="31">
        <v>46112</v>
      </c>
      <c r="AD507">
        <v>1</v>
      </c>
      <c r="AE507" t="s">
        <v>22</v>
      </c>
      <c r="AF507" s="31">
        <v>46090</v>
      </c>
      <c r="AG507" s="61">
        <v>0.59471064814814811</v>
      </c>
      <c r="AI507" t="s">
        <v>795</v>
      </c>
      <c r="AJ507" s="31">
        <v>46091</v>
      </c>
      <c r="AK507" s="61">
        <v>0.41895833333333332</v>
      </c>
      <c r="AL507" t="s">
        <v>1226</v>
      </c>
      <c r="AP507" t="s">
        <v>31</v>
      </c>
      <c r="AS507" s="31"/>
      <c r="AT507">
        <v>30</v>
      </c>
      <c r="AY507">
        <v>1</v>
      </c>
    </row>
    <row r="508" spans="1:51" x14ac:dyDescent="0.25">
      <c r="A508" t="s">
        <v>44</v>
      </c>
      <c r="B508">
        <v>999</v>
      </c>
      <c r="D508">
        <v>3360</v>
      </c>
      <c r="E508" t="s">
        <v>4922</v>
      </c>
      <c r="G508" t="s">
        <v>4923</v>
      </c>
      <c r="J508" t="s">
        <v>4924</v>
      </c>
      <c r="K508" t="s">
        <v>4924</v>
      </c>
      <c r="L508">
        <v>19974124080</v>
      </c>
      <c r="N508" t="s">
        <v>4925</v>
      </c>
      <c r="Q508" t="s">
        <v>778</v>
      </c>
      <c r="T508" t="s">
        <v>2541</v>
      </c>
      <c r="W508" t="s">
        <v>2559</v>
      </c>
      <c r="X508" t="s">
        <v>780</v>
      </c>
      <c r="Y508" t="s">
        <v>897</v>
      </c>
      <c r="AA508" s="31">
        <v>46112</v>
      </c>
      <c r="AD508">
        <v>29</v>
      </c>
      <c r="AE508" t="s">
        <v>22</v>
      </c>
      <c r="AF508" s="31">
        <v>46091</v>
      </c>
      <c r="AG508" s="61">
        <v>0.38</v>
      </c>
      <c r="AI508" t="s">
        <v>795</v>
      </c>
      <c r="AJ508" s="31">
        <v>46120</v>
      </c>
      <c r="AK508" s="61">
        <v>0.72618055555555561</v>
      </c>
      <c r="AL508" t="s">
        <v>1226</v>
      </c>
      <c r="AM508" t="s">
        <v>4926</v>
      </c>
      <c r="AP508" t="s">
        <v>44</v>
      </c>
      <c r="AS508" s="31">
        <v>46100</v>
      </c>
      <c r="AT508">
        <v>30</v>
      </c>
      <c r="AY508">
        <v>1</v>
      </c>
    </row>
    <row r="509" spans="1:51" x14ac:dyDescent="0.25">
      <c r="A509" t="s">
        <v>22</v>
      </c>
      <c r="B509">
        <v>1000</v>
      </c>
      <c r="D509">
        <v>3358</v>
      </c>
      <c r="E509" t="s">
        <v>4927</v>
      </c>
      <c r="G509" t="s">
        <v>4928</v>
      </c>
      <c r="J509" t="s">
        <v>4929</v>
      </c>
      <c r="K509" t="s">
        <v>4929</v>
      </c>
      <c r="L509">
        <v>16991945630</v>
      </c>
      <c r="N509" t="s">
        <v>4930</v>
      </c>
      <c r="Q509" t="s">
        <v>778</v>
      </c>
      <c r="T509" t="s">
        <v>2541</v>
      </c>
      <c r="W509" t="s">
        <v>2791</v>
      </c>
      <c r="X509" t="s">
        <v>780</v>
      </c>
      <c r="Y509" t="s">
        <v>897</v>
      </c>
      <c r="AA509" s="31">
        <v>46112</v>
      </c>
      <c r="AD509">
        <v>2</v>
      </c>
      <c r="AE509" t="s">
        <v>22</v>
      </c>
      <c r="AF509" s="31">
        <v>46091</v>
      </c>
      <c r="AG509" s="61">
        <v>0.38824074074074072</v>
      </c>
      <c r="AI509" t="s">
        <v>795</v>
      </c>
      <c r="AJ509" s="31">
        <v>46093</v>
      </c>
      <c r="AK509" s="61">
        <v>0.72733796296296294</v>
      </c>
      <c r="AL509" t="s">
        <v>1226</v>
      </c>
      <c r="AP509" t="s">
        <v>22</v>
      </c>
      <c r="AS509" s="31">
        <v>46093</v>
      </c>
      <c r="AT509">
        <v>30</v>
      </c>
      <c r="AY509">
        <v>1</v>
      </c>
    </row>
    <row r="510" spans="1:51" x14ac:dyDescent="0.25">
      <c r="A510" t="s">
        <v>31</v>
      </c>
      <c r="B510">
        <v>1001</v>
      </c>
      <c r="D510">
        <v>3357</v>
      </c>
      <c r="E510" t="s">
        <v>4931</v>
      </c>
      <c r="G510" t="s">
        <v>406</v>
      </c>
      <c r="J510" t="s">
        <v>4932</v>
      </c>
      <c r="K510" t="s">
        <v>4932</v>
      </c>
      <c r="L510" t="s">
        <v>4933</v>
      </c>
      <c r="N510" t="s">
        <v>4934</v>
      </c>
      <c r="Q510" t="s">
        <v>778</v>
      </c>
      <c r="R510" t="s">
        <v>4935</v>
      </c>
      <c r="T510" t="s">
        <v>814</v>
      </c>
      <c r="W510" t="s">
        <v>2878</v>
      </c>
      <c r="X510" t="s">
        <v>780</v>
      </c>
      <c r="Y510" t="s">
        <v>807</v>
      </c>
      <c r="AA510" s="31">
        <v>46173</v>
      </c>
      <c r="AB510">
        <v>16800</v>
      </c>
      <c r="AC510">
        <v>12600</v>
      </c>
      <c r="AD510">
        <v>36</v>
      </c>
      <c r="AE510" t="s">
        <v>22</v>
      </c>
      <c r="AF510" s="31">
        <v>46091</v>
      </c>
      <c r="AG510" s="61">
        <v>0.38930555555555563</v>
      </c>
      <c r="AI510" t="s">
        <v>782</v>
      </c>
      <c r="AJ510" s="31"/>
      <c r="AK510" s="61"/>
      <c r="AO510" t="s">
        <v>4664</v>
      </c>
      <c r="AP510" t="s">
        <v>31</v>
      </c>
      <c r="AQ510" t="s">
        <v>4654</v>
      </c>
      <c r="AS510" s="31">
        <v>46126</v>
      </c>
      <c r="AT510">
        <v>30</v>
      </c>
      <c r="AY510">
        <v>1</v>
      </c>
    </row>
    <row r="511" spans="1:51" x14ac:dyDescent="0.25">
      <c r="A511" t="s">
        <v>44</v>
      </c>
      <c r="B511">
        <v>1002</v>
      </c>
      <c r="D511">
        <v>3356</v>
      </c>
      <c r="E511" t="s">
        <v>4936</v>
      </c>
      <c r="G511" t="s">
        <v>4937</v>
      </c>
      <c r="J511" t="s">
        <v>4938</v>
      </c>
      <c r="K511" t="s">
        <v>4938</v>
      </c>
      <c r="L511">
        <v>11989296453</v>
      </c>
      <c r="N511" t="s">
        <v>4939</v>
      </c>
      <c r="Q511" t="s">
        <v>778</v>
      </c>
      <c r="T511" t="s">
        <v>2541</v>
      </c>
      <c r="W511" t="s">
        <v>2559</v>
      </c>
      <c r="X511" t="s">
        <v>780</v>
      </c>
      <c r="Y511" t="s">
        <v>897</v>
      </c>
      <c r="AA511" s="31">
        <v>46112</v>
      </c>
      <c r="AD511">
        <v>17</v>
      </c>
      <c r="AE511" t="s">
        <v>22</v>
      </c>
      <c r="AF511" s="31">
        <v>46091</v>
      </c>
      <c r="AG511" s="61">
        <v>0.40599537037037042</v>
      </c>
      <c r="AI511" t="s">
        <v>795</v>
      </c>
      <c r="AJ511" s="31">
        <v>46108</v>
      </c>
      <c r="AK511" s="61">
        <v>0.6</v>
      </c>
      <c r="AL511" t="s">
        <v>1226</v>
      </c>
      <c r="AM511" t="s">
        <v>4940</v>
      </c>
      <c r="AP511" t="s">
        <v>44</v>
      </c>
      <c r="AS511" s="31">
        <v>46108</v>
      </c>
      <c r="AT511">
        <v>30</v>
      </c>
      <c r="AY511">
        <v>1</v>
      </c>
    </row>
    <row r="512" spans="1:51" x14ac:dyDescent="0.25">
      <c r="A512" t="s">
        <v>31</v>
      </c>
      <c r="B512">
        <v>1003</v>
      </c>
      <c r="D512">
        <v>3355</v>
      </c>
      <c r="G512" t="s">
        <v>4941</v>
      </c>
      <c r="J512" t="s">
        <v>4942</v>
      </c>
      <c r="K512" t="s">
        <v>4942</v>
      </c>
      <c r="L512">
        <v>74999642551</v>
      </c>
      <c r="N512" t="s">
        <v>4943</v>
      </c>
      <c r="Q512" t="s">
        <v>778</v>
      </c>
      <c r="T512" t="s">
        <v>2541</v>
      </c>
      <c r="W512" t="s">
        <v>2559</v>
      </c>
      <c r="X512" t="s">
        <v>780</v>
      </c>
      <c r="Y512" t="s">
        <v>781</v>
      </c>
      <c r="AA512" s="31">
        <v>46112</v>
      </c>
      <c r="AD512">
        <v>0</v>
      </c>
      <c r="AE512" t="s">
        <v>22</v>
      </c>
      <c r="AF512" s="31">
        <v>46091</v>
      </c>
      <c r="AG512" s="61">
        <v>0.40715277777777781</v>
      </c>
      <c r="AI512" t="s">
        <v>795</v>
      </c>
      <c r="AJ512" s="31">
        <v>46091</v>
      </c>
      <c r="AK512" s="61">
        <v>0.43315972222222221</v>
      </c>
      <c r="AL512" t="s">
        <v>1226</v>
      </c>
      <c r="AP512" t="s">
        <v>31</v>
      </c>
      <c r="AS512" s="31"/>
      <c r="AT512">
        <v>30</v>
      </c>
      <c r="AY512">
        <v>1</v>
      </c>
    </row>
    <row r="513" spans="1:51" x14ac:dyDescent="0.25">
      <c r="A513" t="s">
        <v>22</v>
      </c>
      <c r="B513">
        <v>1004</v>
      </c>
      <c r="D513">
        <v>3353</v>
      </c>
      <c r="E513" t="s">
        <v>4944</v>
      </c>
      <c r="G513" t="s">
        <v>416</v>
      </c>
      <c r="H513">
        <v>5291214000188</v>
      </c>
      <c r="J513" t="s">
        <v>4945</v>
      </c>
      <c r="K513" t="s">
        <v>4945</v>
      </c>
      <c r="L513" t="s">
        <v>4946</v>
      </c>
      <c r="N513" t="s">
        <v>4947</v>
      </c>
      <c r="Q513" t="s">
        <v>778</v>
      </c>
      <c r="R513" t="s">
        <v>3774</v>
      </c>
      <c r="S513" t="s">
        <v>1105</v>
      </c>
      <c r="T513" t="s">
        <v>814</v>
      </c>
      <c r="W513" t="s">
        <v>1186</v>
      </c>
      <c r="X513" t="s">
        <v>780</v>
      </c>
      <c r="Y513" t="s">
        <v>807</v>
      </c>
      <c r="AA513" s="31">
        <v>46112</v>
      </c>
      <c r="AB513">
        <v>22800</v>
      </c>
      <c r="AC513">
        <v>14256</v>
      </c>
      <c r="AD513">
        <v>10</v>
      </c>
      <c r="AE513" t="s">
        <v>22</v>
      </c>
      <c r="AF513" s="31">
        <v>46091</v>
      </c>
      <c r="AG513" s="61">
        <v>0.4117939814814815</v>
      </c>
      <c r="AI513" t="s">
        <v>795</v>
      </c>
      <c r="AJ513" s="31">
        <v>46101</v>
      </c>
      <c r="AK513" s="61">
        <v>0.72059027777777773</v>
      </c>
      <c r="AL513" t="s">
        <v>867</v>
      </c>
      <c r="AO513" t="s">
        <v>4731</v>
      </c>
      <c r="AP513" t="s">
        <v>22</v>
      </c>
      <c r="AQ513" t="s">
        <v>4731</v>
      </c>
      <c r="AS513" s="31">
        <v>46101</v>
      </c>
      <c r="AT513">
        <v>30</v>
      </c>
      <c r="AV513" t="s">
        <v>54</v>
      </c>
      <c r="AY513">
        <v>1</v>
      </c>
    </row>
    <row r="514" spans="1:51" x14ac:dyDescent="0.25">
      <c r="A514" t="s">
        <v>31</v>
      </c>
      <c r="B514">
        <v>1005</v>
      </c>
      <c r="D514">
        <v>3354</v>
      </c>
      <c r="E514" t="s">
        <v>4948</v>
      </c>
      <c r="G514" t="s">
        <v>388</v>
      </c>
      <c r="H514">
        <v>59578948000171</v>
      </c>
      <c r="J514" t="s">
        <v>4949</v>
      </c>
      <c r="K514" t="s">
        <v>4949</v>
      </c>
      <c r="L514">
        <v>11983479931</v>
      </c>
      <c r="N514" t="s">
        <v>4950</v>
      </c>
      <c r="Q514" t="s">
        <v>778</v>
      </c>
      <c r="R514" t="s">
        <v>1094</v>
      </c>
      <c r="S514" t="s">
        <v>790</v>
      </c>
      <c r="T514" t="s">
        <v>2541</v>
      </c>
      <c r="W514" t="s">
        <v>2791</v>
      </c>
      <c r="X514" t="s">
        <v>780</v>
      </c>
      <c r="Y514" t="s">
        <v>857</v>
      </c>
      <c r="AA514" s="31">
        <v>46203</v>
      </c>
      <c r="AB514">
        <v>58800</v>
      </c>
      <c r="AC514">
        <v>55164</v>
      </c>
      <c r="AD514">
        <v>36</v>
      </c>
      <c r="AE514" t="s">
        <v>22</v>
      </c>
      <c r="AF514" s="31">
        <v>46091</v>
      </c>
      <c r="AG514" s="61">
        <v>0.41351851851851851</v>
      </c>
      <c r="AI514" t="s">
        <v>782</v>
      </c>
      <c r="AJ514" s="31"/>
      <c r="AK514" s="61"/>
      <c r="AO514" t="s">
        <v>4951</v>
      </c>
      <c r="AP514" t="s">
        <v>31</v>
      </c>
      <c r="AQ514" t="s">
        <v>4788</v>
      </c>
      <c r="AR514" t="s">
        <v>4952</v>
      </c>
      <c r="AS514" s="31">
        <v>46121</v>
      </c>
      <c r="AT514">
        <v>30</v>
      </c>
      <c r="AV514" t="s">
        <v>47</v>
      </c>
      <c r="AY514">
        <v>1</v>
      </c>
    </row>
    <row r="515" spans="1:51" x14ac:dyDescent="0.25">
      <c r="A515" t="s">
        <v>44</v>
      </c>
      <c r="B515">
        <v>1006</v>
      </c>
      <c r="D515">
        <v>3343</v>
      </c>
      <c r="E515" t="s">
        <v>4953</v>
      </c>
      <c r="G515" t="s">
        <v>4954</v>
      </c>
      <c r="H515">
        <v>36882195000198</v>
      </c>
      <c r="J515" t="s">
        <v>4704</v>
      </c>
      <c r="K515" t="s">
        <v>4704</v>
      </c>
      <c r="L515" t="s">
        <v>4955</v>
      </c>
      <c r="N515" t="s">
        <v>4956</v>
      </c>
      <c r="Q515" t="s">
        <v>778</v>
      </c>
      <c r="R515" t="s">
        <v>923</v>
      </c>
      <c r="T515" t="s">
        <v>814</v>
      </c>
      <c r="W515" t="s">
        <v>2878</v>
      </c>
      <c r="X515" t="s">
        <v>780</v>
      </c>
      <c r="Y515" t="s">
        <v>897</v>
      </c>
      <c r="AA515" s="31"/>
      <c r="AD515">
        <v>0</v>
      </c>
      <c r="AE515" t="s">
        <v>22</v>
      </c>
      <c r="AF515" s="31">
        <v>46091</v>
      </c>
      <c r="AG515" s="61">
        <v>0.41641203703703711</v>
      </c>
      <c r="AI515" t="s">
        <v>795</v>
      </c>
      <c r="AJ515" s="31">
        <v>46091</v>
      </c>
      <c r="AK515" s="61">
        <v>0.70828703703703699</v>
      </c>
      <c r="AL515" t="s">
        <v>974</v>
      </c>
      <c r="AM515" t="s">
        <v>4957</v>
      </c>
      <c r="AP515" t="s">
        <v>44</v>
      </c>
      <c r="AS515" s="31"/>
      <c r="AT515">
        <v>30</v>
      </c>
      <c r="AV515" t="s">
        <v>63</v>
      </c>
      <c r="AY515">
        <v>1</v>
      </c>
    </row>
    <row r="516" spans="1:51" x14ac:dyDescent="0.25">
      <c r="A516" t="s">
        <v>31</v>
      </c>
      <c r="B516">
        <v>1007</v>
      </c>
      <c r="D516">
        <v>3344</v>
      </c>
      <c r="E516" t="s">
        <v>4958</v>
      </c>
      <c r="G516" t="s">
        <v>4959</v>
      </c>
      <c r="J516" t="s">
        <v>4960</v>
      </c>
      <c r="K516" t="s">
        <v>4960</v>
      </c>
      <c r="L516" t="s">
        <v>4961</v>
      </c>
      <c r="N516" t="s">
        <v>4962</v>
      </c>
      <c r="Q516" t="s">
        <v>778</v>
      </c>
      <c r="R516" t="s">
        <v>4963</v>
      </c>
      <c r="T516" t="s">
        <v>814</v>
      </c>
      <c r="W516" t="s">
        <v>2878</v>
      </c>
      <c r="X516" t="s">
        <v>780</v>
      </c>
      <c r="Y516" t="s">
        <v>857</v>
      </c>
      <c r="AA516" s="31">
        <v>46265</v>
      </c>
      <c r="AD516">
        <v>28</v>
      </c>
      <c r="AE516" t="s">
        <v>22</v>
      </c>
      <c r="AF516" s="31">
        <v>46091</v>
      </c>
      <c r="AG516" s="61">
        <v>0.41752314814814823</v>
      </c>
      <c r="AI516" t="s">
        <v>795</v>
      </c>
      <c r="AJ516" s="31">
        <v>46119</v>
      </c>
      <c r="AK516" s="61">
        <v>0.45309027777777777</v>
      </c>
      <c r="AL516" t="s">
        <v>867</v>
      </c>
      <c r="AP516" t="s">
        <v>31</v>
      </c>
      <c r="AS516" s="31">
        <v>46119</v>
      </c>
      <c r="AT516">
        <v>30</v>
      </c>
      <c r="AV516" t="s">
        <v>4964</v>
      </c>
      <c r="AY516">
        <v>1</v>
      </c>
    </row>
    <row r="517" spans="1:51" x14ac:dyDescent="0.25">
      <c r="A517" t="s">
        <v>22</v>
      </c>
      <c r="B517">
        <v>1008</v>
      </c>
      <c r="D517">
        <v>3346</v>
      </c>
      <c r="G517" t="s">
        <v>4965</v>
      </c>
      <c r="H517">
        <v>27672869000139</v>
      </c>
      <c r="J517" t="s">
        <v>4966</v>
      </c>
      <c r="K517" t="s">
        <v>4966</v>
      </c>
      <c r="L517" t="s">
        <v>4967</v>
      </c>
      <c r="N517" t="s">
        <v>4968</v>
      </c>
      <c r="Q517" t="s">
        <v>778</v>
      </c>
      <c r="R517" t="s">
        <v>923</v>
      </c>
      <c r="T517" t="s">
        <v>814</v>
      </c>
      <c r="W517" t="s">
        <v>1186</v>
      </c>
      <c r="X517" t="s">
        <v>780</v>
      </c>
      <c r="Y517" t="s">
        <v>781</v>
      </c>
      <c r="AA517" s="31">
        <v>46112</v>
      </c>
      <c r="AD517">
        <v>0</v>
      </c>
      <c r="AE517" t="s">
        <v>22</v>
      </c>
      <c r="AF517" s="31">
        <v>46091</v>
      </c>
      <c r="AG517" s="61">
        <v>0.41828703703703701</v>
      </c>
      <c r="AI517" t="s">
        <v>795</v>
      </c>
      <c r="AJ517" s="31">
        <v>46091</v>
      </c>
      <c r="AK517" s="61">
        <v>0.43543981481481481</v>
      </c>
      <c r="AL517" t="s">
        <v>1226</v>
      </c>
      <c r="AP517" t="s">
        <v>22</v>
      </c>
      <c r="AS517" s="31"/>
      <c r="AT517">
        <v>30</v>
      </c>
      <c r="AY517">
        <v>1</v>
      </c>
    </row>
    <row r="518" spans="1:51" x14ac:dyDescent="0.25">
      <c r="A518" t="s">
        <v>44</v>
      </c>
      <c r="B518">
        <v>1009</v>
      </c>
      <c r="D518">
        <v>3361</v>
      </c>
      <c r="E518" t="s">
        <v>4969</v>
      </c>
      <c r="F518" t="s">
        <v>4970</v>
      </c>
      <c r="G518" t="s">
        <v>440</v>
      </c>
      <c r="H518">
        <v>8878994000155</v>
      </c>
      <c r="J518" t="s">
        <v>4970</v>
      </c>
      <c r="K518" t="s">
        <v>4970</v>
      </c>
      <c r="L518" t="s">
        <v>4971</v>
      </c>
      <c r="N518" t="s">
        <v>4972</v>
      </c>
      <c r="Q518" t="s">
        <v>778</v>
      </c>
      <c r="R518" t="s">
        <v>1782</v>
      </c>
      <c r="S518" t="s">
        <v>790</v>
      </c>
      <c r="T518" t="s">
        <v>805</v>
      </c>
      <c r="X518" t="s">
        <v>780</v>
      </c>
      <c r="Y518" t="s">
        <v>793</v>
      </c>
      <c r="AA518" s="31">
        <v>46112</v>
      </c>
      <c r="AB518">
        <v>11390346</v>
      </c>
      <c r="AC518">
        <v>384882</v>
      </c>
      <c r="AD518">
        <v>36</v>
      </c>
      <c r="AE518" t="s">
        <v>44</v>
      </c>
      <c r="AF518" s="31">
        <v>46091</v>
      </c>
      <c r="AG518" s="61">
        <v>0.68298611111111107</v>
      </c>
      <c r="AI518" t="s">
        <v>782</v>
      </c>
      <c r="AJ518" s="31"/>
      <c r="AK518" s="61"/>
      <c r="AO518" t="s">
        <v>4973</v>
      </c>
      <c r="AQ518" t="s">
        <v>4731</v>
      </c>
      <c r="AR518" t="s">
        <v>4644</v>
      </c>
      <c r="AS518" s="31">
        <v>46111</v>
      </c>
      <c r="AT518">
        <v>50</v>
      </c>
      <c r="AY518">
        <v>1</v>
      </c>
    </row>
    <row r="519" spans="1:51" x14ac:dyDescent="0.25">
      <c r="A519" t="s">
        <v>22</v>
      </c>
      <c r="B519">
        <v>1011</v>
      </c>
      <c r="D519">
        <v>3365</v>
      </c>
      <c r="E519" t="s">
        <v>4974</v>
      </c>
      <c r="G519" t="s">
        <v>426</v>
      </c>
      <c r="H519">
        <v>7865166000110</v>
      </c>
      <c r="J519" t="s">
        <v>4975</v>
      </c>
      <c r="K519" t="s">
        <v>4975</v>
      </c>
      <c r="L519" t="s">
        <v>4976</v>
      </c>
      <c r="N519" t="s">
        <v>4977</v>
      </c>
      <c r="Q519" t="s">
        <v>778</v>
      </c>
      <c r="R519" t="s">
        <v>4978</v>
      </c>
      <c r="S519" t="s">
        <v>790</v>
      </c>
      <c r="T519" t="s">
        <v>814</v>
      </c>
      <c r="W519" t="s">
        <v>1186</v>
      </c>
      <c r="X519" t="s">
        <v>780</v>
      </c>
      <c r="Y519" t="s">
        <v>816</v>
      </c>
      <c r="AA519" s="31">
        <v>46112</v>
      </c>
      <c r="AB519">
        <v>870636</v>
      </c>
      <c r="AC519">
        <v>434528</v>
      </c>
      <c r="AD519">
        <v>35</v>
      </c>
      <c r="AE519" t="s">
        <v>22</v>
      </c>
      <c r="AF519" s="31">
        <v>46092</v>
      </c>
      <c r="AG519" s="61">
        <v>0.49399305555555562</v>
      </c>
      <c r="AI519" t="s">
        <v>782</v>
      </c>
      <c r="AJ519" s="31"/>
      <c r="AK519" s="61"/>
      <c r="AO519" t="s">
        <v>4788</v>
      </c>
      <c r="AP519" t="s">
        <v>22</v>
      </c>
      <c r="AQ519" t="s">
        <v>4979</v>
      </c>
      <c r="AS519" s="31">
        <v>46101</v>
      </c>
      <c r="AT519">
        <v>30</v>
      </c>
      <c r="AV519" t="s">
        <v>321</v>
      </c>
      <c r="AY519">
        <v>1</v>
      </c>
    </row>
    <row r="520" spans="1:51" x14ac:dyDescent="0.25">
      <c r="A520" t="s">
        <v>44</v>
      </c>
      <c r="B520">
        <v>1012</v>
      </c>
      <c r="D520">
        <v>3345</v>
      </c>
      <c r="E520" t="s">
        <v>4980</v>
      </c>
      <c r="F520" t="s">
        <v>4981</v>
      </c>
      <c r="G520" t="s">
        <v>425</v>
      </c>
      <c r="H520">
        <v>72770225000561</v>
      </c>
      <c r="J520" t="s">
        <v>4981</v>
      </c>
      <c r="K520" t="s">
        <v>4981</v>
      </c>
      <c r="L520" t="s">
        <v>4982</v>
      </c>
      <c r="N520" t="s">
        <v>4983</v>
      </c>
      <c r="Q520" t="s">
        <v>778</v>
      </c>
      <c r="R520" t="s">
        <v>4984</v>
      </c>
      <c r="S520" t="s">
        <v>932</v>
      </c>
      <c r="T520" t="s">
        <v>805</v>
      </c>
      <c r="X520" t="s">
        <v>780</v>
      </c>
      <c r="Y520" t="s">
        <v>807</v>
      </c>
      <c r="AA520" s="31"/>
      <c r="AB520">
        <v>52702</v>
      </c>
      <c r="AC520">
        <v>17020</v>
      </c>
      <c r="AD520">
        <v>35</v>
      </c>
      <c r="AE520" t="s">
        <v>44</v>
      </c>
      <c r="AF520" s="31">
        <v>46092</v>
      </c>
      <c r="AG520" s="61">
        <v>0.67219907407407409</v>
      </c>
      <c r="AI520" t="s">
        <v>782</v>
      </c>
      <c r="AJ520" s="31"/>
      <c r="AK520" s="61"/>
      <c r="AO520" t="s">
        <v>4664</v>
      </c>
      <c r="AQ520" t="s">
        <v>4770</v>
      </c>
      <c r="AR520" t="s">
        <v>4664</v>
      </c>
      <c r="AS520" s="31">
        <v>46101</v>
      </c>
      <c r="AT520">
        <v>50</v>
      </c>
      <c r="AY520">
        <v>1</v>
      </c>
    </row>
    <row r="521" spans="1:51" x14ac:dyDescent="0.25">
      <c r="A521" t="s">
        <v>31</v>
      </c>
      <c r="B521">
        <v>1013</v>
      </c>
      <c r="D521">
        <v>3368</v>
      </c>
      <c r="E521" t="s">
        <v>4985</v>
      </c>
      <c r="F521" t="s">
        <v>4986</v>
      </c>
      <c r="G521" t="s">
        <v>250</v>
      </c>
      <c r="H521">
        <v>10649489000180</v>
      </c>
      <c r="J521" t="s">
        <v>4986</v>
      </c>
      <c r="K521" t="s">
        <v>4986</v>
      </c>
      <c r="L521" t="s">
        <v>4987</v>
      </c>
      <c r="N521" t="s">
        <v>4988</v>
      </c>
      <c r="Q521" t="s">
        <v>778</v>
      </c>
      <c r="R521" t="s">
        <v>847</v>
      </c>
      <c r="S521" t="s">
        <v>848</v>
      </c>
      <c r="T521" t="s">
        <v>805</v>
      </c>
      <c r="X521" t="s">
        <v>780</v>
      </c>
      <c r="Y521" t="s">
        <v>793</v>
      </c>
      <c r="AA521" s="31">
        <v>46295</v>
      </c>
      <c r="AD521">
        <v>34</v>
      </c>
      <c r="AE521" t="s">
        <v>31</v>
      </c>
      <c r="AF521" s="31">
        <v>46093</v>
      </c>
      <c r="AG521" s="61">
        <v>0.42211805555555548</v>
      </c>
      <c r="AI521" t="s">
        <v>782</v>
      </c>
      <c r="AJ521" s="31"/>
      <c r="AK521" s="61"/>
      <c r="AP521" t="s">
        <v>31</v>
      </c>
      <c r="AQ521" t="s">
        <v>4918</v>
      </c>
      <c r="AR521" t="s">
        <v>4989</v>
      </c>
      <c r="AS521" s="31">
        <v>46127</v>
      </c>
      <c r="AT521">
        <v>30</v>
      </c>
      <c r="AV521" t="s">
        <v>321</v>
      </c>
      <c r="AY521">
        <v>1</v>
      </c>
    </row>
    <row r="522" spans="1:51" x14ac:dyDescent="0.25">
      <c r="A522" t="s">
        <v>22</v>
      </c>
      <c r="B522">
        <v>1014</v>
      </c>
      <c r="D522">
        <v>3371</v>
      </c>
      <c r="E522" t="s">
        <v>4990</v>
      </c>
      <c r="G522" t="s">
        <v>4991</v>
      </c>
      <c r="H522">
        <v>10633099000112</v>
      </c>
      <c r="J522" t="s">
        <v>4992</v>
      </c>
      <c r="K522" t="s">
        <v>4992</v>
      </c>
      <c r="L522" t="s">
        <v>4993</v>
      </c>
      <c r="N522" t="s">
        <v>4994</v>
      </c>
      <c r="Q522" t="s">
        <v>778</v>
      </c>
      <c r="R522" t="s">
        <v>993</v>
      </c>
      <c r="S522" t="s">
        <v>932</v>
      </c>
      <c r="X522" t="s">
        <v>780</v>
      </c>
      <c r="Y522" t="s">
        <v>857</v>
      </c>
      <c r="AA522" s="31">
        <v>46111</v>
      </c>
      <c r="AD522">
        <v>34</v>
      </c>
      <c r="AE522" t="s">
        <v>22</v>
      </c>
      <c r="AF522" s="31">
        <v>46093</v>
      </c>
      <c r="AG522" s="61">
        <v>0.50726851851851851</v>
      </c>
      <c r="AI522" t="s">
        <v>782</v>
      </c>
      <c r="AJ522" s="31"/>
      <c r="AK522" s="61"/>
      <c r="AP522" t="s">
        <v>22</v>
      </c>
      <c r="AS522" s="31">
        <v>46122</v>
      </c>
      <c r="AT522">
        <v>30</v>
      </c>
      <c r="AV522" t="s">
        <v>321</v>
      </c>
      <c r="AY522">
        <v>1</v>
      </c>
    </row>
    <row r="523" spans="1:51" x14ac:dyDescent="0.25">
      <c r="A523" t="s">
        <v>44</v>
      </c>
      <c r="B523">
        <v>1015</v>
      </c>
      <c r="D523">
        <v>3375</v>
      </c>
      <c r="E523" t="s">
        <v>4995</v>
      </c>
      <c r="G523" t="s">
        <v>4996</v>
      </c>
      <c r="H523">
        <v>35417169000126</v>
      </c>
      <c r="J523" t="s">
        <v>4997</v>
      </c>
      <c r="K523" t="s">
        <v>4997</v>
      </c>
      <c r="L523">
        <v>11992558277</v>
      </c>
      <c r="N523" t="s">
        <v>4998</v>
      </c>
      <c r="Q523" t="s">
        <v>778</v>
      </c>
      <c r="R523" t="s">
        <v>2018</v>
      </c>
      <c r="S523" t="s">
        <v>790</v>
      </c>
      <c r="X523" t="s">
        <v>780</v>
      </c>
      <c r="Y523" t="s">
        <v>857</v>
      </c>
      <c r="AA523" s="31"/>
      <c r="AD523">
        <v>34</v>
      </c>
      <c r="AE523" t="s">
        <v>44</v>
      </c>
      <c r="AF523" s="31">
        <v>46093</v>
      </c>
      <c r="AG523" s="61">
        <v>0.63280092592592596</v>
      </c>
      <c r="AI523" t="s">
        <v>782</v>
      </c>
      <c r="AJ523" s="31"/>
      <c r="AK523" s="61"/>
      <c r="AS523" s="31">
        <v>46097</v>
      </c>
      <c r="AT523">
        <v>30</v>
      </c>
      <c r="AY523">
        <v>1</v>
      </c>
    </row>
    <row r="524" spans="1:51" x14ac:dyDescent="0.25">
      <c r="A524" t="s">
        <v>44</v>
      </c>
      <c r="B524">
        <v>1016</v>
      </c>
      <c r="D524">
        <v>3373</v>
      </c>
      <c r="E524" t="s">
        <v>4999</v>
      </c>
      <c r="G524" t="s">
        <v>5000</v>
      </c>
      <c r="J524" t="s">
        <v>5001</v>
      </c>
      <c r="K524" t="s">
        <v>5001</v>
      </c>
      <c r="L524">
        <v>38998244039</v>
      </c>
      <c r="N524" t="s">
        <v>5002</v>
      </c>
      <c r="Q524" t="s">
        <v>778</v>
      </c>
      <c r="T524" t="s">
        <v>2541</v>
      </c>
      <c r="W524" t="s">
        <v>2559</v>
      </c>
      <c r="X524" t="s">
        <v>780</v>
      </c>
      <c r="Y524" t="s">
        <v>897</v>
      </c>
      <c r="AA524" s="31">
        <v>46112</v>
      </c>
      <c r="AD524">
        <v>1</v>
      </c>
      <c r="AE524" t="s">
        <v>22</v>
      </c>
      <c r="AF524" s="31">
        <v>46093</v>
      </c>
      <c r="AG524" s="61">
        <v>0.73317129629629629</v>
      </c>
      <c r="AI524" t="s">
        <v>795</v>
      </c>
      <c r="AJ524" s="31">
        <v>46094</v>
      </c>
      <c r="AK524" s="61">
        <v>0.38989583333333327</v>
      </c>
      <c r="AL524" t="s">
        <v>796</v>
      </c>
      <c r="AM524" t="s">
        <v>5003</v>
      </c>
      <c r="AP524" t="s">
        <v>44</v>
      </c>
      <c r="AS524" s="31">
        <v>46094</v>
      </c>
      <c r="AT524">
        <v>30</v>
      </c>
      <c r="AY524">
        <v>1</v>
      </c>
    </row>
    <row r="525" spans="1:51" x14ac:dyDescent="0.25">
      <c r="A525" t="s">
        <v>31</v>
      </c>
      <c r="B525">
        <v>1017</v>
      </c>
      <c r="D525">
        <v>3374</v>
      </c>
      <c r="E525" t="s">
        <v>5004</v>
      </c>
      <c r="G525" t="s">
        <v>5005</v>
      </c>
      <c r="H525">
        <v>33947903000133</v>
      </c>
      <c r="J525" t="s">
        <v>5006</v>
      </c>
      <c r="K525" t="s">
        <v>5006</v>
      </c>
      <c r="L525" t="s">
        <v>5007</v>
      </c>
      <c r="N525" t="s">
        <v>5008</v>
      </c>
      <c r="Q525" t="s">
        <v>778</v>
      </c>
      <c r="R525" t="s">
        <v>5009</v>
      </c>
      <c r="S525" t="s">
        <v>3339</v>
      </c>
      <c r="T525" t="s">
        <v>2541</v>
      </c>
      <c r="W525" t="s">
        <v>2559</v>
      </c>
      <c r="X525" t="s">
        <v>780</v>
      </c>
      <c r="Y525" t="s">
        <v>857</v>
      </c>
      <c r="AA525" s="31">
        <v>46234</v>
      </c>
      <c r="AD525">
        <v>13</v>
      </c>
      <c r="AE525" t="s">
        <v>22</v>
      </c>
      <c r="AF525" s="31">
        <v>46093</v>
      </c>
      <c r="AG525" s="61">
        <v>0.73402777777777772</v>
      </c>
      <c r="AI525" t="s">
        <v>795</v>
      </c>
      <c r="AJ525" s="31">
        <v>46106</v>
      </c>
      <c r="AK525" s="61">
        <v>0.42133101851851851</v>
      </c>
      <c r="AL525" t="s">
        <v>867</v>
      </c>
      <c r="AP525" t="s">
        <v>31</v>
      </c>
      <c r="AQ525" t="s">
        <v>5010</v>
      </c>
      <c r="AS525" s="31">
        <v>46106</v>
      </c>
      <c r="AT525">
        <v>31</v>
      </c>
      <c r="AY525">
        <v>1</v>
      </c>
    </row>
    <row r="526" spans="1:51" x14ac:dyDescent="0.25">
      <c r="A526" t="s">
        <v>44</v>
      </c>
      <c r="B526">
        <v>1018</v>
      </c>
      <c r="D526">
        <v>3379</v>
      </c>
      <c r="E526" t="s">
        <v>5011</v>
      </c>
      <c r="G526" t="s">
        <v>386</v>
      </c>
      <c r="H526">
        <v>28646036000166</v>
      </c>
      <c r="J526" t="s">
        <v>5012</v>
      </c>
      <c r="K526" t="s">
        <v>5012</v>
      </c>
      <c r="L526">
        <v>11938010304</v>
      </c>
      <c r="N526" t="s">
        <v>1793</v>
      </c>
      <c r="Q526" t="s">
        <v>778</v>
      </c>
      <c r="R526" t="s">
        <v>1794</v>
      </c>
      <c r="S526" t="s">
        <v>790</v>
      </c>
      <c r="X526" t="s">
        <v>780</v>
      </c>
      <c r="Y526" t="s">
        <v>857</v>
      </c>
      <c r="AA526" s="31"/>
      <c r="AB526">
        <v>1696</v>
      </c>
      <c r="AC526">
        <v>6400</v>
      </c>
      <c r="AD526">
        <v>17</v>
      </c>
      <c r="AE526" t="s">
        <v>44</v>
      </c>
      <c r="AF526" s="31">
        <v>46094</v>
      </c>
      <c r="AG526" s="61">
        <v>0.39907407407407408</v>
      </c>
      <c r="AI526" t="s">
        <v>795</v>
      </c>
      <c r="AJ526" s="31">
        <v>46111</v>
      </c>
      <c r="AK526" s="61">
        <v>0.71695601851851853</v>
      </c>
      <c r="AL526" t="s">
        <v>796</v>
      </c>
      <c r="AM526" t="s">
        <v>5013</v>
      </c>
      <c r="AO526" t="s">
        <v>4654</v>
      </c>
      <c r="AQ526" t="s">
        <v>4654</v>
      </c>
      <c r="AS526" s="31">
        <v>46093</v>
      </c>
      <c r="AT526">
        <v>30</v>
      </c>
      <c r="AY526">
        <v>1</v>
      </c>
    </row>
    <row r="527" spans="1:51" x14ac:dyDescent="0.25">
      <c r="A527" t="s">
        <v>31</v>
      </c>
      <c r="B527">
        <v>1019</v>
      </c>
      <c r="D527">
        <v>3381</v>
      </c>
      <c r="E527" t="s">
        <v>5014</v>
      </c>
      <c r="F527" t="s">
        <v>5015</v>
      </c>
      <c r="G527" t="s">
        <v>414</v>
      </c>
      <c r="H527">
        <v>55841149000195</v>
      </c>
      <c r="J527" t="s">
        <v>5015</v>
      </c>
      <c r="K527" t="s">
        <v>5015</v>
      </c>
      <c r="L527" t="s">
        <v>5016</v>
      </c>
      <c r="N527" t="s">
        <v>5017</v>
      </c>
      <c r="Q527" t="s">
        <v>778</v>
      </c>
      <c r="R527" t="s">
        <v>3089</v>
      </c>
      <c r="S527" t="s">
        <v>932</v>
      </c>
      <c r="T527" t="s">
        <v>805</v>
      </c>
      <c r="X527" t="s">
        <v>780</v>
      </c>
      <c r="Y527" t="s">
        <v>857</v>
      </c>
      <c r="AA527" s="31">
        <v>46234</v>
      </c>
      <c r="AB527">
        <v>58800</v>
      </c>
      <c r="AC527">
        <v>2525</v>
      </c>
      <c r="AD527">
        <v>17</v>
      </c>
      <c r="AE527" t="s">
        <v>31</v>
      </c>
      <c r="AF527" s="31">
        <v>46094</v>
      </c>
      <c r="AG527" s="61">
        <v>0.61967592592592591</v>
      </c>
      <c r="AI527" t="s">
        <v>795</v>
      </c>
      <c r="AJ527" s="31">
        <v>46111</v>
      </c>
      <c r="AK527" s="61">
        <v>0.67168981481481482</v>
      </c>
      <c r="AL527" t="s">
        <v>867</v>
      </c>
      <c r="AO527" t="s">
        <v>5018</v>
      </c>
      <c r="AP527" t="s">
        <v>31</v>
      </c>
      <c r="AQ527" t="s">
        <v>5018</v>
      </c>
      <c r="AS527" s="31">
        <v>46111</v>
      </c>
      <c r="AT527">
        <v>30</v>
      </c>
      <c r="AV527" t="s">
        <v>47</v>
      </c>
      <c r="AY527">
        <v>1</v>
      </c>
    </row>
    <row r="528" spans="1:51" x14ac:dyDescent="0.25">
      <c r="A528" t="s">
        <v>44</v>
      </c>
      <c r="B528">
        <v>1020</v>
      </c>
      <c r="D528">
        <v>3378</v>
      </c>
      <c r="E528" t="s">
        <v>5019</v>
      </c>
      <c r="G528" t="s">
        <v>5020</v>
      </c>
      <c r="J528" t="s">
        <v>5021</v>
      </c>
      <c r="K528" t="s">
        <v>5021</v>
      </c>
      <c r="L528">
        <v>6399999235</v>
      </c>
      <c r="N528" t="s">
        <v>5022</v>
      </c>
      <c r="Q528" t="s">
        <v>778</v>
      </c>
      <c r="T528" t="s">
        <v>2541</v>
      </c>
      <c r="W528" t="s">
        <v>2559</v>
      </c>
      <c r="X528" t="s">
        <v>780</v>
      </c>
      <c r="Y528" t="s">
        <v>897</v>
      </c>
      <c r="AA528" s="31">
        <v>46112</v>
      </c>
      <c r="AD528">
        <v>1</v>
      </c>
      <c r="AE528" t="s">
        <v>22</v>
      </c>
      <c r="AF528" s="31">
        <v>46097</v>
      </c>
      <c r="AG528" s="61">
        <v>0.57464120370370375</v>
      </c>
      <c r="AI528" t="s">
        <v>795</v>
      </c>
      <c r="AJ528" s="31">
        <v>46098</v>
      </c>
      <c r="AK528" s="61">
        <v>0.4019212962962963</v>
      </c>
      <c r="AL528" t="s">
        <v>1226</v>
      </c>
      <c r="AM528" t="s">
        <v>5019</v>
      </c>
      <c r="AP528" t="s">
        <v>44</v>
      </c>
      <c r="AS528" s="31">
        <v>46098</v>
      </c>
      <c r="AT528">
        <v>30</v>
      </c>
      <c r="AY528">
        <v>1</v>
      </c>
    </row>
    <row r="529" spans="1:51" x14ac:dyDescent="0.25">
      <c r="A529" t="s">
        <v>31</v>
      </c>
      <c r="B529">
        <v>1021</v>
      </c>
      <c r="D529">
        <v>3384</v>
      </c>
      <c r="E529" t="s">
        <v>5023</v>
      </c>
      <c r="G529" t="s">
        <v>5024</v>
      </c>
      <c r="J529" t="s">
        <v>5025</v>
      </c>
      <c r="K529" t="s">
        <v>5025</v>
      </c>
      <c r="L529">
        <v>11947270946</v>
      </c>
      <c r="N529" t="s">
        <v>5026</v>
      </c>
      <c r="Q529" t="s">
        <v>778</v>
      </c>
      <c r="T529" t="s">
        <v>2541</v>
      </c>
      <c r="W529" t="s">
        <v>2559</v>
      </c>
      <c r="X529" t="s">
        <v>780</v>
      </c>
      <c r="Y529" t="s">
        <v>897</v>
      </c>
      <c r="AA529" s="31">
        <v>46112</v>
      </c>
      <c r="AD529">
        <v>3</v>
      </c>
      <c r="AE529" t="s">
        <v>22</v>
      </c>
      <c r="AF529" s="31">
        <v>46097</v>
      </c>
      <c r="AG529" s="61">
        <v>0.5755555555555556</v>
      </c>
      <c r="AI529" t="s">
        <v>795</v>
      </c>
      <c r="AJ529" s="31">
        <v>46100</v>
      </c>
      <c r="AK529" s="61">
        <v>0.48016203703703703</v>
      </c>
      <c r="AL529" t="s">
        <v>867</v>
      </c>
      <c r="AP529" t="s">
        <v>31</v>
      </c>
      <c r="AS529" s="31">
        <v>46098</v>
      </c>
      <c r="AT529">
        <v>30</v>
      </c>
      <c r="AY529">
        <v>1</v>
      </c>
    </row>
    <row r="530" spans="1:51" x14ac:dyDescent="0.25">
      <c r="A530" t="s">
        <v>44</v>
      </c>
      <c r="B530">
        <v>1022</v>
      </c>
      <c r="D530">
        <v>3385</v>
      </c>
      <c r="E530" t="s">
        <v>5027</v>
      </c>
      <c r="G530" t="s">
        <v>5028</v>
      </c>
      <c r="J530" t="s">
        <v>5029</v>
      </c>
      <c r="K530" t="s">
        <v>5029</v>
      </c>
      <c r="L530">
        <v>21964945088</v>
      </c>
      <c r="N530" t="s">
        <v>5030</v>
      </c>
      <c r="Q530" t="s">
        <v>778</v>
      </c>
      <c r="T530" t="s">
        <v>2541</v>
      </c>
      <c r="W530" t="s">
        <v>2559</v>
      </c>
      <c r="X530" t="s">
        <v>780</v>
      </c>
      <c r="Y530" t="s">
        <v>897</v>
      </c>
      <c r="AA530" s="31">
        <v>46112</v>
      </c>
      <c r="AD530">
        <v>1</v>
      </c>
      <c r="AE530" t="s">
        <v>22</v>
      </c>
      <c r="AF530" s="31">
        <v>46097</v>
      </c>
      <c r="AG530" s="61">
        <v>0.57633101851851853</v>
      </c>
      <c r="AI530" t="s">
        <v>795</v>
      </c>
      <c r="AJ530" s="31">
        <v>46098</v>
      </c>
      <c r="AK530" s="61">
        <v>0.40364583333333331</v>
      </c>
      <c r="AL530" t="s">
        <v>1226</v>
      </c>
      <c r="AM530" t="s">
        <v>5027</v>
      </c>
      <c r="AP530" t="s">
        <v>44</v>
      </c>
      <c r="AS530" s="31">
        <v>46098</v>
      </c>
      <c r="AT530">
        <v>30</v>
      </c>
      <c r="AY530">
        <v>1</v>
      </c>
    </row>
    <row r="531" spans="1:51" x14ac:dyDescent="0.25">
      <c r="A531" t="s">
        <v>31</v>
      </c>
      <c r="B531">
        <v>1023</v>
      </c>
      <c r="D531">
        <v>3386</v>
      </c>
      <c r="E531" t="s">
        <v>5031</v>
      </c>
      <c r="G531" t="s">
        <v>424</v>
      </c>
      <c r="H531">
        <v>57769346000176</v>
      </c>
      <c r="J531" t="s">
        <v>5032</v>
      </c>
      <c r="K531" t="s">
        <v>5032</v>
      </c>
      <c r="L531" t="s">
        <v>5033</v>
      </c>
      <c r="N531" t="s">
        <v>5034</v>
      </c>
      <c r="Q531" t="s">
        <v>778</v>
      </c>
      <c r="R531" t="s">
        <v>5035</v>
      </c>
      <c r="S531" t="s">
        <v>973</v>
      </c>
      <c r="T531" t="s">
        <v>2541</v>
      </c>
      <c r="W531" t="s">
        <v>2791</v>
      </c>
      <c r="X531" t="s">
        <v>780</v>
      </c>
      <c r="Y531" t="s">
        <v>857</v>
      </c>
      <c r="AA531" s="31">
        <v>46234</v>
      </c>
      <c r="AD531">
        <v>22</v>
      </c>
      <c r="AE531" t="s">
        <v>22</v>
      </c>
      <c r="AF531" s="31">
        <v>46097</v>
      </c>
      <c r="AG531" s="61">
        <v>0.57715277777777774</v>
      </c>
      <c r="AI531" t="s">
        <v>795</v>
      </c>
      <c r="AJ531" s="31">
        <v>46119</v>
      </c>
      <c r="AK531" s="61">
        <v>0.44837962962962957</v>
      </c>
      <c r="AL531" t="s">
        <v>1226</v>
      </c>
      <c r="AO531" t="s">
        <v>4788</v>
      </c>
      <c r="AP531" t="s">
        <v>31</v>
      </c>
      <c r="AQ531" t="s">
        <v>4788</v>
      </c>
      <c r="AS531" s="31">
        <v>46119</v>
      </c>
      <c r="AT531">
        <v>30</v>
      </c>
      <c r="AY531">
        <v>1</v>
      </c>
    </row>
    <row r="532" spans="1:51" x14ac:dyDescent="0.25">
      <c r="A532" t="s">
        <v>22</v>
      </c>
      <c r="B532">
        <v>1024</v>
      </c>
      <c r="D532">
        <v>3388</v>
      </c>
      <c r="E532" t="s">
        <v>5036</v>
      </c>
      <c r="G532" t="s">
        <v>5037</v>
      </c>
      <c r="J532" t="s">
        <v>4086</v>
      </c>
      <c r="K532" t="s">
        <v>4086</v>
      </c>
      <c r="L532">
        <v>62991537827</v>
      </c>
      <c r="N532" t="s">
        <v>5038</v>
      </c>
      <c r="Q532" t="s">
        <v>778</v>
      </c>
      <c r="T532" t="s">
        <v>2541</v>
      </c>
      <c r="W532" t="s">
        <v>2791</v>
      </c>
      <c r="X532" t="s">
        <v>780</v>
      </c>
      <c r="Y532" t="s">
        <v>897</v>
      </c>
      <c r="AA532" s="31">
        <v>46112</v>
      </c>
      <c r="AD532">
        <v>25</v>
      </c>
      <c r="AE532" t="s">
        <v>22</v>
      </c>
      <c r="AF532" s="31">
        <v>46097</v>
      </c>
      <c r="AG532" s="61">
        <v>0.57785879629629633</v>
      </c>
      <c r="AI532" t="s">
        <v>795</v>
      </c>
      <c r="AJ532" s="31">
        <v>46122</v>
      </c>
      <c r="AK532" s="61">
        <v>0.60311342592592587</v>
      </c>
      <c r="AL532" t="s">
        <v>796</v>
      </c>
      <c r="AP532" t="s">
        <v>22</v>
      </c>
      <c r="AS532" s="31">
        <v>46101</v>
      </c>
      <c r="AT532">
        <v>30</v>
      </c>
      <c r="AY532">
        <v>1</v>
      </c>
    </row>
    <row r="533" spans="1:51" x14ac:dyDescent="0.25">
      <c r="A533" t="s">
        <v>22</v>
      </c>
      <c r="B533">
        <v>1025</v>
      </c>
      <c r="D533">
        <v>3389</v>
      </c>
      <c r="E533" t="s">
        <v>5039</v>
      </c>
      <c r="G533" t="s">
        <v>5040</v>
      </c>
      <c r="J533" t="s">
        <v>5041</v>
      </c>
      <c r="K533" t="s">
        <v>5041</v>
      </c>
      <c r="L533">
        <v>73988565500</v>
      </c>
      <c r="N533" t="s">
        <v>5042</v>
      </c>
      <c r="Q533" t="s">
        <v>778</v>
      </c>
      <c r="T533" t="s">
        <v>2541</v>
      </c>
      <c r="W533" t="s">
        <v>2791</v>
      </c>
      <c r="X533" t="s">
        <v>780</v>
      </c>
      <c r="Y533" t="s">
        <v>857</v>
      </c>
      <c r="AA533" s="31">
        <v>46112</v>
      </c>
      <c r="AD533">
        <v>25</v>
      </c>
      <c r="AE533" t="s">
        <v>22</v>
      </c>
      <c r="AF533" s="31">
        <v>46097</v>
      </c>
      <c r="AG533" s="61">
        <v>0.57847222222222228</v>
      </c>
      <c r="AI533" t="s">
        <v>795</v>
      </c>
      <c r="AJ533" s="31">
        <v>46122</v>
      </c>
      <c r="AK533" s="61">
        <v>0.61157407407407405</v>
      </c>
      <c r="AL533" t="s">
        <v>796</v>
      </c>
      <c r="AP533" t="s">
        <v>22</v>
      </c>
      <c r="AS533" s="31">
        <v>46101</v>
      </c>
      <c r="AT533">
        <v>30</v>
      </c>
      <c r="AV533" t="s">
        <v>321</v>
      </c>
      <c r="AY533">
        <v>1</v>
      </c>
    </row>
    <row r="534" spans="1:51" x14ac:dyDescent="0.25">
      <c r="A534" t="s">
        <v>44</v>
      </c>
      <c r="B534">
        <v>1026</v>
      </c>
      <c r="D534">
        <v>3390</v>
      </c>
      <c r="E534" t="s">
        <v>5043</v>
      </c>
      <c r="G534" t="s">
        <v>5044</v>
      </c>
      <c r="H534">
        <v>35511300000110</v>
      </c>
      <c r="J534" t="s">
        <v>5045</v>
      </c>
      <c r="K534" t="s">
        <v>5045</v>
      </c>
      <c r="L534">
        <v>82993812526</v>
      </c>
      <c r="N534" t="s">
        <v>5046</v>
      </c>
      <c r="Q534" t="s">
        <v>778</v>
      </c>
      <c r="T534" t="s">
        <v>2541</v>
      </c>
      <c r="W534" t="s">
        <v>2791</v>
      </c>
      <c r="X534" t="s">
        <v>780</v>
      </c>
      <c r="Y534" t="s">
        <v>897</v>
      </c>
      <c r="AA534" s="31">
        <v>46112</v>
      </c>
      <c r="AD534">
        <v>21</v>
      </c>
      <c r="AE534" t="s">
        <v>22</v>
      </c>
      <c r="AF534" s="31">
        <v>46097</v>
      </c>
      <c r="AG534" s="61">
        <v>0.57913194444444449</v>
      </c>
      <c r="AI534" t="s">
        <v>795</v>
      </c>
      <c r="AJ534" s="31">
        <v>46118</v>
      </c>
      <c r="AK534" s="61">
        <v>0.69708333333333339</v>
      </c>
      <c r="AL534" t="s">
        <v>796</v>
      </c>
      <c r="AM534" t="s">
        <v>5047</v>
      </c>
      <c r="AP534" t="s">
        <v>44</v>
      </c>
      <c r="AS534" s="31">
        <v>46118</v>
      </c>
      <c r="AT534">
        <v>30</v>
      </c>
      <c r="AY534">
        <v>1</v>
      </c>
    </row>
    <row r="535" spans="1:51" x14ac:dyDescent="0.25">
      <c r="A535" t="s">
        <v>31</v>
      </c>
      <c r="B535">
        <v>1027</v>
      </c>
      <c r="D535">
        <v>3391</v>
      </c>
      <c r="G535" t="s">
        <v>5048</v>
      </c>
      <c r="J535" t="s">
        <v>5049</v>
      </c>
      <c r="K535" t="s">
        <v>5049</v>
      </c>
      <c r="L535">
        <v>31994220888</v>
      </c>
      <c r="N535" t="s">
        <v>5050</v>
      </c>
      <c r="Q535" t="s">
        <v>778</v>
      </c>
      <c r="T535" t="s">
        <v>2541</v>
      </c>
      <c r="W535" t="s">
        <v>3115</v>
      </c>
      <c r="X535" t="s">
        <v>780</v>
      </c>
      <c r="Y535" t="s">
        <v>781</v>
      </c>
      <c r="AA535" s="31">
        <v>46234</v>
      </c>
      <c r="AD535">
        <v>2</v>
      </c>
      <c r="AE535" t="s">
        <v>22</v>
      </c>
      <c r="AF535" s="31">
        <v>46097</v>
      </c>
      <c r="AG535" s="61">
        <v>0.57983796296296297</v>
      </c>
      <c r="AI535" t="s">
        <v>795</v>
      </c>
      <c r="AJ535" s="31">
        <v>46099</v>
      </c>
      <c r="AK535" s="61">
        <v>0.45421296296296299</v>
      </c>
      <c r="AL535" t="s">
        <v>1226</v>
      </c>
      <c r="AP535" t="s">
        <v>31</v>
      </c>
      <c r="AS535" s="31">
        <v>46098</v>
      </c>
      <c r="AT535">
        <v>30</v>
      </c>
      <c r="AY535">
        <v>1</v>
      </c>
    </row>
    <row r="536" spans="1:51" x14ac:dyDescent="0.25">
      <c r="A536" t="s">
        <v>31</v>
      </c>
      <c r="B536">
        <v>1029</v>
      </c>
      <c r="D536">
        <v>3395</v>
      </c>
      <c r="E536" t="s">
        <v>5051</v>
      </c>
      <c r="G536" t="s">
        <v>5052</v>
      </c>
      <c r="H536">
        <v>6864286000130</v>
      </c>
      <c r="J536" t="s">
        <v>4704</v>
      </c>
      <c r="K536" t="s">
        <v>4704</v>
      </c>
      <c r="L536" t="s">
        <v>5053</v>
      </c>
      <c r="N536" t="s">
        <v>5054</v>
      </c>
      <c r="Q536" t="s">
        <v>778</v>
      </c>
      <c r="R536" t="s">
        <v>5055</v>
      </c>
      <c r="T536" t="s">
        <v>814</v>
      </c>
      <c r="X536" t="s">
        <v>780</v>
      </c>
      <c r="Y536" t="s">
        <v>857</v>
      </c>
      <c r="AA536" s="31">
        <v>46173</v>
      </c>
      <c r="AD536">
        <v>13</v>
      </c>
      <c r="AE536" t="s">
        <v>22</v>
      </c>
      <c r="AF536" s="31">
        <v>46098</v>
      </c>
      <c r="AG536" s="61">
        <v>0.65673611111111108</v>
      </c>
      <c r="AI536" t="s">
        <v>795</v>
      </c>
      <c r="AJ536" s="31">
        <v>46111</v>
      </c>
      <c r="AK536" s="61">
        <v>0.66320601851851857</v>
      </c>
      <c r="AL536" t="s">
        <v>974</v>
      </c>
      <c r="AP536" t="s">
        <v>31</v>
      </c>
      <c r="AS536" s="31">
        <v>46111</v>
      </c>
      <c r="AT536">
        <v>30</v>
      </c>
      <c r="AV536" t="s">
        <v>5056</v>
      </c>
      <c r="AY536">
        <v>1</v>
      </c>
    </row>
    <row r="537" spans="1:51" x14ac:dyDescent="0.25">
      <c r="A537" t="s">
        <v>44</v>
      </c>
      <c r="B537">
        <v>1030</v>
      </c>
      <c r="D537">
        <v>3396</v>
      </c>
      <c r="E537" t="s">
        <v>5057</v>
      </c>
      <c r="G537" t="s">
        <v>5058</v>
      </c>
      <c r="J537" t="s">
        <v>5059</v>
      </c>
      <c r="K537" t="s">
        <v>5059</v>
      </c>
      <c r="L537">
        <v>62985336869</v>
      </c>
      <c r="N537" t="s">
        <v>5060</v>
      </c>
      <c r="Q537" t="s">
        <v>778</v>
      </c>
      <c r="T537" t="s">
        <v>2541</v>
      </c>
      <c r="W537" t="s">
        <v>2559</v>
      </c>
      <c r="X537" t="s">
        <v>780</v>
      </c>
      <c r="Y537" t="s">
        <v>897</v>
      </c>
      <c r="AA537" s="31">
        <v>46112</v>
      </c>
      <c r="AD537">
        <v>22</v>
      </c>
      <c r="AE537" t="s">
        <v>22</v>
      </c>
      <c r="AF537" s="31">
        <v>46098</v>
      </c>
      <c r="AG537" s="61">
        <v>0.65770833333333334</v>
      </c>
      <c r="AI537" t="s">
        <v>795</v>
      </c>
      <c r="AJ537" s="31">
        <v>46120</v>
      </c>
      <c r="AK537" s="61">
        <v>0.72315972222222225</v>
      </c>
      <c r="AL537" t="s">
        <v>1226</v>
      </c>
      <c r="AM537" t="s">
        <v>5061</v>
      </c>
      <c r="AP537" t="s">
        <v>44</v>
      </c>
      <c r="AS537" s="31">
        <v>46104</v>
      </c>
      <c r="AT537">
        <v>30</v>
      </c>
      <c r="AY537">
        <v>1</v>
      </c>
    </row>
    <row r="538" spans="1:51" x14ac:dyDescent="0.25">
      <c r="A538" t="s">
        <v>22</v>
      </c>
      <c r="B538">
        <v>1031</v>
      </c>
      <c r="D538">
        <v>3397</v>
      </c>
      <c r="E538" t="s">
        <v>5062</v>
      </c>
      <c r="G538" t="s">
        <v>5063</v>
      </c>
      <c r="H538">
        <v>27742655000191</v>
      </c>
      <c r="J538" t="s">
        <v>844</v>
      </c>
      <c r="K538" t="s">
        <v>844</v>
      </c>
      <c r="L538">
        <v>21970038782</v>
      </c>
      <c r="N538" t="s">
        <v>5064</v>
      </c>
      <c r="Q538" t="s">
        <v>778</v>
      </c>
      <c r="T538" t="s">
        <v>2541</v>
      </c>
      <c r="W538" t="s">
        <v>2791</v>
      </c>
      <c r="X538" t="s">
        <v>780</v>
      </c>
      <c r="Y538" t="s">
        <v>897</v>
      </c>
      <c r="AA538" s="31">
        <v>46112</v>
      </c>
      <c r="AD538">
        <v>3</v>
      </c>
      <c r="AE538" t="s">
        <v>22</v>
      </c>
      <c r="AF538" s="31">
        <v>46098</v>
      </c>
      <c r="AG538" s="61">
        <v>0.65940972222222227</v>
      </c>
      <c r="AI538" t="s">
        <v>795</v>
      </c>
      <c r="AJ538" s="31">
        <v>46101</v>
      </c>
      <c r="AK538" s="61">
        <v>0.65554398148148152</v>
      </c>
      <c r="AL538" t="s">
        <v>1226</v>
      </c>
      <c r="AP538" t="s">
        <v>22</v>
      </c>
      <c r="AS538" s="31"/>
      <c r="AT538">
        <v>30</v>
      </c>
      <c r="AY538">
        <v>1</v>
      </c>
    </row>
    <row r="539" spans="1:51" x14ac:dyDescent="0.25">
      <c r="A539" t="s">
        <v>31</v>
      </c>
      <c r="B539">
        <v>1032</v>
      </c>
      <c r="D539">
        <v>3402</v>
      </c>
      <c r="E539" t="s">
        <v>5065</v>
      </c>
      <c r="G539" t="s">
        <v>5066</v>
      </c>
      <c r="H539">
        <v>27742655000191</v>
      </c>
      <c r="J539" t="s">
        <v>844</v>
      </c>
      <c r="K539" t="s">
        <v>844</v>
      </c>
      <c r="L539" t="s">
        <v>5067</v>
      </c>
      <c r="N539" t="s">
        <v>5068</v>
      </c>
      <c r="Q539" t="s">
        <v>778</v>
      </c>
      <c r="R539" t="s">
        <v>1633</v>
      </c>
      <c r="S539" t="s">
        <v>848</v>
      </c>
      <c r="X539" t="s">
        <v>780</v>
      </c>
      <c r="Y539" t="s">
        <v>781</v>
      </c>
      <c r="AA539" s="31">
        <v>46234</v>
      </c>
      <c r="AD539">
        <v>28</v>
      </c>
      <c r="AE539" t="s">
        <v>31</v>
      </c>
      <c r="AF539" s="31">
        <v>46099</v>
      </c>
      <c r="AG539" s="61">
        <v>0.48501157407407408</v>
      </c>
      <c r="AI539" t="s">
        <v>782</v>
      </c>
      <c r="AJ539" s="31"/>
      <c r="AK539" s="61"/>
      <c r="AP539" t="s">
        <v>31</v>
      </c>
      <c r="AS539" s="31">
        <v>46119</v>
      </c>
      <c r="AT539">
        <v>30</v>
      </c>
      <c r="AY539">
        <v>1</v>
      </c>
    </row>
    <row r="540" spans="1:51" x14ac:dyDescent="0.25">
      <c r="A540" t="s">
        <v>31</v>
      </c>
      <c r="B540">
        <v>1033</v>
      </c>
      <c r="D540">
        <v>3401</v>
      </c>
      <c r="E540" t="s">
        <v>5069</v>
      </c>
      <c r="G540" t="s">
        <v>5070</v>
      </c>
      <c r="H540">
        <v>27251864000132</v>
      </c>
      <c r="J540" t="s">
        <v>5071</v>
      </c>
      <c r="K540" t="s">
        <v>5071</v>
      </c>
      <c r="L540" t="s">
        <v>5072</v>
      </c>
      <c r="N540" t="s">
        <v>5073</v>
      </c>
      <c r="Q540" t="s">
        <v>778</v>
      </c>
      <c r="R540" t="s">
        <v>2685</v>
      </c>
      <c r="T540" t="s">
        <v>814</v>
      </c>
      <c r="W540" t="s">
        <v>1186</v>
      </c>
      <c r="X540" t="s">
        <v>780</v>
      </c>
      <c r="Y540" t="s">
        <v>857</v>
      </c>
      <c r="AA540" s="31">
        <v>46203</v>
      </c>
      <c r="AD540">
        <v>12</v>
      </c>
      <c r="AE540" t="s">
        <v>22</v>
      </c>
      <c r="AF540" s="31">
        <v>46099</v>
      </c>
      <c r="AG540" s="61">
        <v>0.64248842592592592</v>
      </c>
      <c r="AI540" t="s">
        <v>795</v>
      </c>
      <c r="AJ540" s="31">
        <v>46111</v>
      </c>
      <c r="AK540" s="61">
        <v>0.66197916666666667</v>
      </c>
      <c r="AL540" t="s">
        <v>796</v>
      </c>
      <c r="AP540" t="s">
        <v>31</v>
      </c>
      <c r="AS540" s="31">
        <v>46111</v>
      </c>
      <c r="AT540">
        <v>30</v>
      </c>
      <c r="AV540" t="s">
        <v>47</v>
      </c>
      <c r="AY540">
        <v>1</v>
      </c>
    </row>
    <row r="541" spans="1:51" x14ac:dyDescent="0.25">
      <c r="A541" t="s">
        <v>44</v>
      </c>
      <c r="B541">
        <v>1034</v>
      </c>
      <c r="D541">
        <v>3400</v>
      </c>
      <c r="E541" t="s">
        <v>5074</v>
      </c>
      <c r="G541" t="s">
        <v>5075</v>
      </c>
      <c r="J541" t="s">
        <v>5076</v>
      </c>
      <c r="K541" t="s">
        <v>5076</v>
      </c>
      <c r="L541">
        <v>11987194488</v>
      </c>
      <c r="N541" t="s">
        <v>5077</v>
      </c>
      <c r="Q541" t="s">
        <v>778</v>
      </c>
      <c r="T541" t="s">
        <v>2541</v>
      </c>
      <c r="W541" t="s">
        <v>2559</v>
      </c>
      <c r="X541" t="s">
        <v>780</v>
      </c>
      <c r="Y541" t="s">
        <v>897</v>
      </c>
      <c r="AA541" s="31">
        <v>46112</v>
      </c>
      <c r="AD541">
        <v>21</v>
      </c>
      <c r="AE541" t="s">
        <v>22</v>
      </c>
      <c r="AF541" s="31">
        <v>46099</v>
      </c>
      <c r="AG541" s="61">
        <v>0.64361111111111113</v>
      </c>
      <c r="AI541" t="s">
        <v>795</v>
      </c>
      <c r="AJ541" s="31">
        <v>46120</v>
      </c>
      <c r="AK541" s="61">
        <v>0.72401620370370368</v>
      </c>
      <c r="AL541" t="s">
        <v>1226</v>
      </c>
      <c r="AM541" t="s">
        <v>5078</v>
      </c>
      <c r="AP541" t="s">
        <v>44</v>
      </c>
      <c r="AS541" s="31">
        <v>46108</v>
      </c>
      <c r="AT541">
        <v>30</v>
      </c>
      <c r="AY541">
        <v>1</v>
      </c>
    </row>
    <row r="542" spans="1:51" x14ac:dyDescent="0.25">
      <c r="A542" t="s">
        <v>22</v>
      </c>
      <c r="B542">
        <v>1035</v>
      </c>
      <c r="D542">
        <v>3399</v>
      </c>
      <c r="E542" t="s">
        <v>5079</v>
      </c>
      <c r="G542" t="s">
        <v>5080</v>
      </c>
      <c r="J542" t="s">
        <v>5081</v>
      </c>
      <c r="K542" t="s">
        <v>5081</v>
      </c>
      <c r="L542">
        <v>62984060714</v>
      </c>
      <c r="N542" t="s">
        <v>5082</v>
      </c>
      <c r="Q542" t="s">
        <v>778</v>
      </c>
      <c r="T542" t="s">
        <v>2541</v>
      </c>
      <c r="W542" t="s">
        <v>2791</v>
      </c>
      <c r="X542" t="s">
        <v>780</v>
      </c>
      <c r="Y542" t="s">
        <v>897</v>
      </c>
      <c r="AA542" s="31">
        <v>46112</v>
      </c>
      <c r="AD542">
        <v>23</v>
      </c>
      <c r="AE542" t="s">
        <v>22</v>
      </c>
      <c r="AF542" s="31">
        <v>46099</v>
      </c>
      <c r="AG542" s="61">
        <v>0.64436342592592588</v>
      </c>
      <c r="AI542" t="s">
        <v>795</v>
      </c>
      <c r="AJ542" s="31">
        <v>46122</v>
      </c>
      <c r="AK542" s="61">
        <v>0.60195601851851854</v>
      </c>
      <c r="AL542" t="s">
        <v>796</v>
      </c>
      <c r="AP542" t="s">
        <v>22</v>
      </c>
      <c r="AS542" s="31">
        <v>46101</v>
      </c>
      <c r="AT542">
        <v>30</v>
      </c>
      <c r="AY542">
        <v>1</v>
      </c>
    </row>
    <row r="543" spans="1:51" x14ac:dyDescent="0.25">
      <c r="A543" t="s">
        <v>31</v>
      </c>
      <c r="B543">
        <v>1037</v>
      </c>
      <c r="D543">
        <v>3404</v>
      </c>
      <c r="E543" t="s">
        <v>5083</v>
      </c>
      <c r="G543" t="s">
        <v>431</v>
      </c>
      <c r="J543" t="s">
        <v>5084</v>
      </c>
      <c r="K543" t="s">
        <v>5084</v>
      </c>
      <c r="L543">
        <v>61981840031</v>
      </c>
      <c r="N543" t="s">
        <v>5085</v>
      </c>
      <c r="Q543" t="s">
        <v>778</v>
      </c>
      <c r="T543" t="s">
        <v>2541</v>
      </c>
      <c r="W543" t="s">
        <v>4823</v>
      </c>
      <c r="X543" t="s">
        <v>780</v>
      </c>
      <c r="Y543" t="s">
        <v>857</v>
      </c>
      <c r="AA543" s="31">
        <v>46112</v>
      </c>
      <c r="AD543">
        <v>6</v>
      </c>
      <c r="AE543" t="s">
        <v>22</v>
      </c>
      <c r="AF543" s="31">
        <v>46100</v>
      </c>
      <c r="AG543" s="61">
        <v>0.43497685185185192</v>
      </c>
      <c r="AI543" t="s">
        <v>795</v>
      </c>
      <c r="AJ543" s="31">
        <v>46106</v>
      </c>
      <c r="AK543" s="61">
        <v>0.41215277777777781</v>
      </c>
      <c r="AL543" t="s">
        <v>867</v>
      </c>
      <c r="AO543" t="s">
        <v>5010</v>
      </c>
      <c r="AP543" t="s">
        <v>31</v>
      </c>
      <c r="AQ543" t="s">
        <v>5010</v>
      </c>
      <c r="AS543" s="31">
        <v>46105</v>
      </c>
      <c r="AT543">
        <v>30</v>
      </c>
      <c r="AY543">
        <v>1</v>
      </c>
    </row>
    <row r="544" spans="1:51" x14ac:dyDescent="0.25">
      <c r="A544" t="s">
        <v>44</v>
      </c>
      <c r="B544">
        <v>1038</v>
      </c>
      <c r="D544">
        <v>3405</v>
      </c>
      <c r="E544" t="s">
        <v>5086</v>
      </c>
      <c r="G544" t="s">
        <v>5087</v>
      </c>
      <c r="J544" t="s">
        <v>5088</v>
      </c>
      <c r="K544" t="s">
        <v>5088</v>
      </c>
      <c r="L544">
        <v>35998394949</v>
      </c>
      <c r="N544" t="s">
        <v>5089</v>
      </c>
      <c r="Q544" t="s">
        <v>778</v>
      </c>
      <c r="T544" t="s">
        <v>2541</v>
      </c>
      <c r="W544" t="s">
        <v>2559</v>
      </c>
      <c r="X544" t="s">
        <v>780</v>
      </c>
      <c r="Y544" t="s">
        <v>897</v>
      </c>
      <c r="AA544" s="31"/>
      <c r="AD544">
        <v>0</v>
      </c>
      <c r="AE544" t="s">
        <v>22</v>
      </c>
      <c r="AF544" s="31">
        <v>46100</v>
      </c>
      <c r="AG544" s="61">
        <v>0.43748842592592591</v>
      </c>
      <c r="AI544" t="s">
        <v>795</v>
      </c>
      <c r="AJ544" s="31">
        <v>46100</v>
      </c>
      <c r="AK544" s="61">
        <v>0.51109953703703703</v>
      </c>
      <c r="AL544" t="s">
        <v>1226</v>
      </c>
      <c r="AM544" t="s">
        <v>5090</v>
      </c>
      <c r="AP544" t="s">
        <v>44</v>
      </c>
      <c r="AS544" s="31"/>
      <c r="AT544">
        <v>30</v>
      </c>
      <c r="AY544">
        <v>1</v>
      </c>
    </row>
    <row r="545" spans="1:51" x14ac:dyDescent="0.25">
      <c r="A545" t="s">
        <v>31</v>
      </c>
      <c r="B545">
        <v>1040</v>
      </c>
      <c r="D545">
        <v>3408</v>
      </c>
      <c r="E545" t="s">
        <v>5091</v>
      </c>
      <c r="G545" t="s">
        <v>5092</v>
      </c>
      <c r="H545">
        <v>40707794000142</v>
      </c>
      <c r="J545" t="s">
        <v>5093</v>
      </c>
      <c r="K545" t="s">
        <v>5093</v>
      </c>
      <c r="L545">
        <v>71999081968</v>
      </c>
      <c r="N545" t="s">
        <v>5094</v>
      </c>
      <c r="Q545" t="s">
        <v>778</v>
      </c>
      <c r="T545" t="s">
        <v>2541</v>
      </c>
      <c r="W545" t="s">
        <v>2559</v>
      </c>
      <c r="X545" t="s">
        <v>780</v>
      </c>
      <c r="Y545" t="s">
        <v>781</v>
      </c>
      <c r="AA545" s="31">
        <v>46142</v>
      </c>
      <c r="AD545">
        <v>26</v>
      </c>
      <c r="AE545" t="s">
        <v>22</v>
      </c>
      <c r="AF545" s="31">
        <v>46101</v>
      </c>
      <c r="AG545" s="61">
        <v>0.39078703703703699</v>
      </c>
      <c r="AI545" t="s">
        <v>782</v>
      </c>
      <c r="AJ545" s="31"/>
      <c r="AK545" s="61"/>
      <c r="AP545" t="s">
        <v>31</v>
      </c>
      <c r="AS545" s="31">
        <v>46119</v>
      </c>
      <c r="AT545">
        <v>30</v>
      </c>
      <c r="AY545">
        <v>1</v>
      </c>
    </row>
    <row r="546" spans="1:51" x14ac:dyDescent="0.25">
      <c r="A546" t="s">
        <v>31</v>
      </c>
      <c r="B546">
        <v>1041</v>
      </c>
      <c r="D546">
        <v>3409</v>
      </c>
      <c r="E546" t="s">
        <v>5095</v>
      </c>
      <c r="G546" t="s">
        <v>5096</v>
      </c>
      <c r="J546" t="s">
        <v>5097</v>
      </c>
      <c r="K546" t="s">
        <v>5097</v>
      </c>
      <c r="L546">
        <v>67999748649</v>
      </c>
      <c r="N546" t="s">
        <v>5098</v>
      </c>
      <c r="Q546" t="s">
        <v>778</v>
      </c>
      <c r="T546" t="s">
        <v>2541</v>
      </c>
      <c r="W546" t="s">
        <v>4823</v>
      </c>
      <c r="X546" t="s">
        <v>780</v>
      </c>
      <c r="Y546" t="s">
        <v>781</v>
      </c>
      <c r="AA546" s="31"/>
      <c r="AD546">
        <v>3</v>
      </c>
      <c r="AE546" t="s">
        <v>22</v>
      </c>
      <c r="AF546" s="31">
        <v>46101</v>
      </c>
      <c r="AG546" s="61">
        <v>0.64495370370370375</v>
      </c>
      <c r="AI546" t="s">
        <v>795</v>
      </c>
      <c r="AJ546" s="31">
        <v>46104</v>
      </c>
      <c r="AK546" s="61">
        <v>0.52674768518518522</v>
      </c>
      <c r="AL546" t="s">
        <v>867</v>
      </c>
      <c r="AP546" t="s">
        <v>31</v>
      </c>
      <c r="AS546" s="31">
        <v>46104</v>
      </c>
      <c r="AT546">
        <v>30</v>
      </c>
      <c r="AY546">
        <v>1</v>
      </c>
    </row>
    <row r="547" spans="1:51" x14ac:dyDescent="0.25">
      <c r="A547" t="s">
        <v>44</v>
      </c>
      <c r="B547">
        <v>1044</v>
      </c>
      <c r="D547">
        <v>3414</v>
      </c>
      <c r="E547" t="s">
        <v>5099</v>
      </c>
      <c r="G547" t="s">
        <v>5100</v>
      </c>
      <c r="J547" t="s">
        <v>5101</v>
      </c>
      <c r="K547" t="s">
        <v>5101</v>
      </c>
      <c r="L547">
        <v>9991419327</v>
      </c>
      <c r="N547" t="s">
        <v>5102</v>
      </c>
      <c r="Q547" t="s">
        <v>778</v>
      </c>
      <c r="S547" t="s">
        <v>5103</v>
      </c>
      <c r="T547" t="s">
        <v>1191</v>
      </c>
      <c r="W547" t="s">
        <v>5104</v>
      </c>
      <c r="X547" t="s">
        <v>780</v>
      </c>
      <c r="Y547" t="s">
        <v>897</v>
      </c>
      <c r="AA547" s="31">
        <v>46105</v>
      </c>
      <c r="AD547">
        <v>16</v>
      </c>
      <c r="AE547" t="s">
        <v>22</v>
      </c>
      <c r="AF547" s="31">
        <v>46104</v>
      </c>
      <c r="AG547" s="61">
        <v>0.57486111111111116</v>
      </c>
      <c r="AI547" t="s">
        <v>795</v>
      </c>
      <c r="AJ547" s="31">
        <v>46120</v>
      </c>
      <c r="AK547" s="61">
        <v>0.72234953703703708</v>
      </c>
      <c r="AL547" t="s">
        <v>1226</v>
      </c>
      <c r="AM547" t="s">
        <v>5105</v>
      </c>
      <c r="AP547" t="s">
        <v>44</v>
      </c>
      <c r="AS547" s="31">
        <v>46104</v>
      </c>
      <c r="AT547">
        <v>30</v>
      </c>
      <c r="AY547">
        <v>1</v>
      </c>
    </row>
    <row r="548" spans="1:51" x14ac:dyDescent="0.25">
      <c r="A548" t="s">
        <v>31</v>
      </c>
      <c r="B548">
        <v>1045</v>
      </c>
      <c r="D548">
        <v>3412</v>
      </c>
      <c r="E548" t="s">
        <v>5106</v>
      </c>
      <c r="G548" t="s">
        <v>5107</v>
      </c>
      <c r="J548" t="s">
        <v>5108</v>
      </c>
      <c r="K548" t="s">
        <v>5108</v>
      </c>
      <c r="L548">
        <v>62993734302</v>
      </c>
      <c r="N548" t="s">
        <v>5109</v>
      </c>
      <c r="Q548" t="s">
        <v>778</v>
      </c>
      <c r="T548" t="s">
        <v>2541</v>
      </c>
      <c r="W548" t="s">
        <v>2559</v>
      </c>
      <c r="X548" t="s">
        <v>780</v>
      </c>
      <c r="Y548" t="s">
        <v>781</v>
      </c>
      <c r="AA548" s="31">
        <v>46142</v>
      </c>
      <c r="AD548">
        <v>15</v>
      </c>
      <c r="AE548" t="s">
        <v>22</v>
      </c>
      <c r="AF548" s="31">
        <v>46104</v>
      </c>
      <c r="AG548" s="61">
        <v>0.57579861111111108</v>
      </c>
      <c r="AI548" t="s">
        <v>795</v>
      </c>
      <c r="AJ548" s="31">
        <v>46119</v>
      </c>
      <c r="AK548" s="61">
        <v>0.40035879629629628</v>
      </c>
      <c r="AL548" t="s">
        <v>1226</v>
      </c>
      <c r="AP548" t="s">
        <v>31</v>
      </c>
      <c r="AS548" s="31">
        <v>46119</v>
      </c>
      <c r="AT548">
        <v>30</v>
      </c>
      <c r="AY548">
        <v>1</v>
      </c>
    </row>
    <row r="549" spans="1:51" x14ac:dyDescent="0.25">
      <c r="A549" t="s">
        <v>44</v>
      </c>
      <c r="B549">
        <v>1046</v>
      </c>
      <c r="D549">
        <v>3411</v>
      </c>
      <c r="E549" t="s">
        <v>5110</v>
      </c>
      <c r="G549" t="s">
        <v>5111</v>
      </c>
      <c r="H549">
        <v>32354207000150</v>
      </c>
      <c r="J549" t="s">
        <v>5112</v>
      </c>
      <c r="K549" t="s">
        <v>5112</v>
      </c>
      <c r="L549">
        <v>27999328628</v>
      </c>
      <c r="N549" t="s">
        <v>5113</v>
      </c>
      <c r="Q549" t="s">
        <v>778</v>
      </c>
      <c r="R549" t="s">
        <v>5114</v>
      </c>
      <c r="S549" t="s">
        <v>5115</v>
      </c>
      <c r="T549" t="s">
        <v>2541</v>
      </c>
      <c r="W549" t="s">
        <v>2791</v>
      </c>
      <c r="X549" t="s">
        <v>780</v>
      </c>
      <c r="Y549" t="s">
        <v>897</v>
      </c>
      <c r="AA549" s="31">
        <v>46112</v>
      </c>
      <c r="AD549">
        <v>4</v>
      </c>
      <c r="AE549" t="s">
        <v>22</v>
      </c>
      <c r="AF549" s="31">
        <v>46104</v>
      </c>
      <c r="AG549" s="61">
        <v>0.57660879629629624</v>
      </c>
      <c r="AI549" t="s">
        <v>795</v>
      </c>
      <c r="AJ549" s="31">
        <v>46108</v>
      </c>
      <c r="AK549" s="61">
        <v>0.60454861111111113</v>
      </c>
      <c r="AL549" t="s">
        <v>796</v>
      </c>
      <c r="AM549" t="s">
        <v>5116</v>
      </c>
      <c r="AP549" t="s">
        <v>44</v>
      </c>
      <c r="AS549" s="31">
        <v>46108</v>
      </c>
      <c r="AT549">
        <v>30</v>
      </c>
      <c r="AY549">
        <v>1</v>
      </c>
    </row>
    <row r="550" spans="1:51" x14ac:dyDescent="0.25">
      <c r="A550" t="s">
        <v>44</v>
      </c>
      <c r="B550">
        <v>1047</v>
      </c>
      <c r="D550">
        <v>3417</v>
      </c>
      <c r="G550" t="s">
        <v>446</v>
      </c>
      <c r="J550" t="s">
        <v>5117</v>
      </c>
      <c r="K550" t="s">
        <v>5117</v>
      </c>
      <c r="L550">
        <v>11947600755</v>
      </c>
      <c r="N550" t="s">
        <v>2262</v>
      </c>
      <c r="Q550" t="s">
        <v>778</v>
      </c>
      <c r="X550" t="s">
        <v>780</v>
      </c>
      <c r="Y550" t="s">
        <v>816</v>
      </c>
      <c r="AA550" s="31"/>
      <c r="AB550">
        <v>1652929</v>
      </c>
      <c r="AC550">
        <v>0</v>
      </c>
      <c r="AD550">
        <v>0</v>
      </c>
      <c r="AE550" t="s">
        <v>44</v>
      </c>
      <c r="AF550" s="31">
        <v>46105</v>
      </c>
      <c r="AG550" s="61">
        <v>0.67167824074074078</v>
      </c>
      <c r="AI550" t="s">
        <v>818</v>
      </c>
      <c r="AJ550" s="31">
        <v>46105</v>
      </c>
      <c r="AK550" s="61">
        <v>0.67298611111111106</v>
      </c>
      <c r="AO550" t="s">
        <v>4654</v>
      </c>
      <c r="AS550" s="31"/>
      <c r="AT550">
        <v>90</v>
      </c>
      <c r="AY550">
        <v>1</v>
      </c>
    </row>
    <row r="551" spans="1:51" x14ac:dyDescent="0.25">
      <c r="A551" t="s">
        <v>44</v>
      </c>
      <c r="B551">
        <v>1049</v>
      </c>
      <c r="D551">
        <v>3420</v>
      </c>
      <c r="E551" t="s">
        <v>5118</v>
      </c>
      <c r="G551" t="s">
        <v>5119</v>
      </c>
      <c r="H551">
        <v>33582253000170</v>
      </c>
      <c r="J551" t="s">
        <v>5120</v>
      </c>
      <c r="K551" t="s">
        <v>5120</v>
      </c>
      <c r="L551" t="s">
        <v>5121</v>
      </c>
      <c r="N551" t="s">
        <v>5122</v>
      </c>
      <c r="Q551" t="s">
        <v>778</v>
      </c>
      <c r="R551" t="s">
        <v>5123</v>
      </c>
      <c r="S551" t="s">
        <v>1105</v>
      </c>
      <c r="T551" t="s">
        <v>814</v>
      </c>
      <c r="W551" t="s">
        <v>5124</v>
      </c>
      <c r="X551" t="s">
        <v>780</v>
      </c>
      <c r="Y551" t="s">
        <v>897</v>
      </c>
      <c r="AA551" s="31">
        <v>46112</v>
      </c>
      <c r="AD551">
        <v>7</v>
      </c>
      <c r="AE551" t="s">
        <v>22</v>
      </c>
      <c r="AF551" s="31">
        <v>46106</v>
      </c>
      <c r="AG551" s="61">
        <v>0.68858796296296299</v>
      </c>
      <c r="AI551" t="s">
        <v>795</v>
      </c>
      <c r="AJ551" s="31">
        <v>46113</v>
      </c>
      <c r="AK551" s="61">
        <v>0.4372685185185185</v>
      </c>
      <c r="AL551" t="s">
        <v>1226</v>
      </c>
      <c r="AM551" t="s">
        <v>5118</v>
      </c>
      <c r="AP551" t="s">
        <v>44</v>
      </c>
      <c r="AS551" s="31">
        <v>46112</v>
      </c>
      <c r="AT551">
        <v>30</v>
      </c>
      <c r="AY551">
        <v>1</v>
      </c>
    </row>
    <row r="552" spans="1:51" x14ac:dyDescent="0.25">
      <c r="A552" t="s">
        <v>44</v>
      </c>
      <c r="B552">
        <v>1050</v>
      </c>
      <c r="D552">
        <v>3427</v>
      </c>
      <c r="E552" t="s">
        <v>4917</v>
      </c>
      <c r="G552" t="s">
        <v>454</v>
      </c>
      <c r="J552" t="s">
        <v>5125</v>
      </c>
      <c r="K552" t="s">
        <v>5125</v>
      </c>
      <c r="L552">
        <v>11988736515</v>
      </c>
      <c r="N552" t="s">
        <v>4916</v>
      </c>
      <c r="Q552" t="s">
        <v>778</v>
      </c>
      <c r="X552" t="s">
        <v>780</v>
      </c>
      <c r="Y552" t="s">
        <v>857</v>
      </c>
      <c r="AA552" s="31"/>
      <c r="AB552">
        <v>1600</v>
      </c>
      <c r="AC552">
        <v>252471</v>
      </c>
      <c r="AD552">
        <v>20</v>
      </c>
      <c r="AE552" t="s">
        <v>44</v>
      </c>
      <c r="AF552" s="31">
        <v>46107</v>
      </c>
      <c r="AG552" s="61">
        <v>0.6632986111111111</v>
      </c>
      <c r="AI552" t="s">
        <v>795</v>
      </c>
      <c r="AJ552" s="31">
        <v>46127</v>
      </c>
      <c r="AK552" s="61">
        <v>0.40313657407407399</v>
      </c>
      <c r="AL552" t="s">
        <v>934</v>
      </c>
      <c r="AM552" t="s">
        <v>4917</v>
      </c>
      <c r="AO552" t="s">
        <v>4918</v>
      </c>
      <c r="AQ552" t="s">
        <v>4679</v>
      </c>
      <c r="AS552" s="31">
        <v>46127</v>
      </c>
      <c r="AT552">
        <v>50</v>
      </c>
      <c r="AY552">
        <v>1</v>
      </c>
    </row>
    <row r="553" spans="1:51" x14ac:dyDescent="0.25">
      <c r="A553" t="s">
        <v>44</v>
      </c>
      <c r="B553">
        <v>1051</v>
      </c>
      <c r="D553">
        <v>3428</v>
      </c>
      <c r="E553" t="s">
        <v>4917</v>
      </c>
      <c r="G553" t="s">
        <v>461</v>
      </c>
      <c r="J553" t="s">
        <v>5126</v>
      </c>
      <c r="K553" t="s">
        <v>5126</v>
      </c>
      <c r="L553">
        <v>11988736515</v>
      </c>
      <c r="N553" t="s">
        <v>4916</v>
      </c>
      <c r="Q553" t="s">
        <v>778</v>
      </c>
      <c r="X553" t="s">
        <v>780</v>
      </c>
      <c r="Y553" t="s">
        <v>857</v>
      </c>
      <c r="AA553" s="31"/>
      <c r="AB553">
        <v>13100</v>
      </c>
      <c r="AC553">
        <v>1800</v>
      </c>
      <c r="AD553">
        <v>20</v>
      </c>
      <c r="AE553" t="s">
        <v>44</v>
      </c>
      <c r="AF553" s="31">
        <v>46107</v>
      </c>
      <c r="AG553" s="61">
        <v>0.66609953703703706</v>
      </c>
      <c r="AI553" t="s">
        <v>795</v>
      </c>
      <c r="AJ553" s="31">
        <v>46127</v>
      </c>
      <c r="AK553" s="61">
        <v>0.40047453703703711</v>
      </c>
      <c r="AL553" t="s">
        <v>934</v>
      </c>
      <c r="AM553" t="s">
        <v>4917</v>
      </c>
      <c r="AO553" t="s">
        <v>4918</v>
      </c>
      <c r="AQ553" t="s">
        <v>4612</v>
      </c>
      <c r="AS553" s="31">
        <v>46127</v>
      </c>
      <c r="AT553">
        <v>50</v>
      </c>
      <c r="AY553">
        <v>1</v>
      </c>
    </row>
    <row r="554" spans="1:51" x14ac:dyDescent="0.25">
      <c r="A554" t="s">
        <v>31</v>
      </c>
      <c r="B554">
        <v>1052</v>
      </c>
      <c r="D554">
        <v>3423</v>
      </c>
      <c r="E554" t="s">
        <v>5127</v>
      </c>
      <c r="G554" t="s">
        <v>5128</v>
      </c>
      <c r="H554">
        <v>48440778000148</v>
      </c>
      <c r="J554" t="s">
        <v>5129</v>
      </c>
      <c r="K554" t="s">
        <v>5129</v>
      </c>
      <c r="L554">
        <v>11912958843</v>
      </c>
      <c r="N554" t="s">
        <v>5130</v>
      </c>
      <c r="Q554" t="s">
        <v>778</v>
      </c>
      <c r="S554" t="s">
        <v>5131</v>
      </c>
      <c r="T554" t="s">
        <v>1191</v>
      </c>
      <c r="W554" t="s">
        <v>2791</v>
      </c>
      <c r="X554" t="s">
        <v>780</v>
      </c>
      <c r="Y554" t="s">
        <v>781</v>
      </c>
      <c r="AA554" s="31">
        <v>46112</v>
      </c>
      <c r="AD554">
        <v>20</v>
      </c>
      <c r="AE554" t="s">
        <v>22</v>
      </c>
      <c r="AF554" s="31">
        <v>46107</v>
      </c>
      <c r="AG554" s="61">
        <v>0.70391203703703709</v>
      </c>
      <c r="AI554" t="s">
        <v>782</v>
      </c>
      <c r="AJ554" s="31"/>
      <c r="AK554" s="61"/>
      <c r="AP554" t="s">
        <v>31</v>
      </c>
      <c r="AS554" s="31">
        <v>46119</v>
      </c>
      <c r="AT554">
        <v>30</v>
      </c>
      <c r="AY554">
        <v>1</v>
      </c>
    </row>
    <row r="555" spans="1:51" x14ac:dyDescent="0.25">
      <c r="A555" t="s">
        <v>44</v>
      </c>
      <c r="B555">
        <v>1053</v>
      </c>
      <c r="D555">
        <v>3424</v>
      </c>
      <c r="E555" t="s">
        <v>5132</v>
      </c>
      <c r="G555" t="s">
        <v>5133</v>
      </c>
      <c r="H555">
        <v>4486490000139</v>
      </c>
      <c r="J555" t="s">
        <v>5134</v>
      </c>
      <c r="K555" t="s">
        <v>5134</v>
      </c>
      <c r="L555">
        <v>47988227474</v>
      </c>
      <c r="N555" t="s">
        <v>5135</v>
      </c>
      <c r="Q555" t="s">
        <v>778</v>
      </c>
      <c r="T555" t="s">
        <v>2541</v>
      </c>
      <c r="W555" t="s">
        <v>2791</v>
      </c>
      <c r="X555" t="s">
        <v>780</v>
      </c>
      <c r="Y555" t="s">
        <v>897</v>
      </c>
      <c r="AA555" s="31">
        <v>46107</v>
      </c>
      <c r="AD555">
        <v>20</v>
      </c>
      <c r="AE555" t="s">
        <v>22</v>
      </c>
      <c r="AF555" s="31">
        <v>46107</v>
      </c>
      <c r="AG555" s="61">
        <v>0.7056365740740741</v>
      </c>
      <c r="AI555" t="s">
        <v>782</v>
      </c>
      <c r="AJ555" s="31"/>
      <c r="AK555" s="61"/>
      <c r="AP555" t="s">
        <v>44</v>
      </c>
      <c r="AS555" s="31"/>
      <c r="AT555">
        <v>30</v>
      </c>
      <c r="AY555">
        <v>1</v>
      </c>
    </row>
    <row r="556" spans="1:51" x14ac:dyDescent="0.25">
      <c r="A556" t="s">
        <v>31</v>
      </c>
      <c r="B556">
        <v>1054</v>
      </c>
      <c r="D556">
        <v>3425</v>
      </c>
      <c r="E556" t="s">
        <v>5136</v>
      </c>
      <c r="G556" t="s">
        <v>5137</v>
      </c>
      <c r="J556" t="s">
        <v>5138</v>
      </c>
      <c r="K556" t="s">
        <v>5138</v>
      </c>
      <c r="L556">
        <v>11984731999</v>
      </c>
      <c r="N556" t="s">
        <v>5139</v>
      </c>
      <c r="Q556" t="s">
        <v>778</v>
      </c>
      <c r="S556" t="s">
        <v>5140</v>
      </c>
      <c r="T556" t="s">
        <v>1191</v>
      </c>
      <c r="W556" t="s">
        <v>2559</v>
      </c>
      <c r="X556" t="s">
        <v>780</v>
      </c>
      <c r="Y556" t="s">
        <v>781</v>
      </c>
      <c r="AA556" s="31">
        <v>46107</v>
      </c>
      <c r="AD556">
        <v>11</v>
      </c>
      <c r="AE556" t="s">
        <v>22</v>
      </c>
      <c r="AF556" s="31">
        <v>46107</v>
      </c>
      <c r="AG556" s="61">
        <v>0.70751157407407406</v>
      </c>
      <c r="AI556" t="s">
        <v>795</v>
      </c>
      <c r="AJ556" s="31">
        <v>46118</v>
      </c>
      <c r="AK556" s="61">
        <v>0.53096064814814814</v>
      </c>
      <c r="AL556" t="s">
        <v>1226</v>
      </c>
      <c r="AP556" t="s">
        <v>31</v>
      </c>
      <c r="AS556" s="31">
        <v>46113</v>
      </c>
      <c r="AT556">
        <v>30</v>
      </c>
      <c r="AY556">
        <v>1</v>
      </c>
    </row>
    <row r="557" spans="1:51" x14ac:dyDescent="0.25">
      <c r="A557" t="s">
        <v>31</v>
      </c>
      <c r="B557">
        <v>1055</v>
      </c>
      <c r="D557">
        <v>3429</v>
      </c>
      <c r="E557" t="s">
        <v>5141</v>
      </c>
      <c r="G557" t="s">
        <v>5142</v>
      </c>
      <c r="J557" t="s">
        <v>5143</v>
      </c>
      <c r="K557" t="s">
        <v>5143</v>
      </c>
      <c r="L557">
        <v>61999781085</v>
      </c>
      <c r="N557" t="s">
        <v>5144</v>
      </c>
      <c r="Q557" t="s">
        <v>778</v>
      </c>
      <c r="T557" t="s">
        <v>2541</v>
      </c>
      <c r="W557" t="s">
        <v>2559</v>
      </c>
      <c r="X557" t="s">
        <v>780</v>
      </c>
      <c r="Y557" t="s">
        <v>781</v>
      </c>
      <c r="AA557" s="31">
        <v>46112</v>
      </c>
      <c r="AD557">
        <v>3</v>
      </c>
      <c r="AE557" t="s">
        <v>22</v>
      </c>
      <c r="AF557" s="31">
        <v>46108</v>
      </c>
      <c r="AG557" s="61">
        <v>0.4294560185185185</v>
      </c>
      <c r="AI557" t="s">
        <v>795</v>
      </c>
      <c r="AJ557" s="31">
        <v>46111</v>
      </c>
      <c r="AK557" s="61">
        <v>0.73829861111111106</v>
      </c>
      <c r="AL557" t="s">
        <v>1226</v>
      </c>
      <c r="AP557" t="s">
        <v>31</v>
      </c>
      <c r="AS557" s="31">
        <v>46111</v>
      </c>
      <c r="AT557">
        <v>30</v>
      </c>
      <c r="AY557">
        <v>1</v>
      </c>
    </row>
    <row r="558" spans="1:51" x14ac:dyDescent="0.25">
      <c r="A558" t="s">
        <v>44</v>
      </c>
      <c r="B558">
        <v>1059</v>
      </c>
      <c r="D558">
        <v>3455</v>
      </c>
      <c r="E558" t="s">
        <v>5145</v>
      </c>
      <c r="G558" t="s">
        <v>467</v>
      </c>
      <c r="J558" t="s">
        <v>5146</v>
      </c>
      <c r="K558" t="s">
        <v>5146</v>
      </c>
      <c r="L558">
        <v>1532835196</v>
      </c>
      <c r="N558" t="s">
        <v>4972</v>
      </c>
      <c r="Q558" t="s">
        <v>778</v>
      </c>
      <c r="X558" t="s">
        <v>780</v>
      </c>
      <c r="Y558" t="s">
        <v>793</v>
      </c>
      <c r="AA558" s="31"/>
      <c r="AB558">
        <v>1600</v>
      </c>
      <c r="AC558">
        <v>384454</v>
      </c>
      <c r="AD558">
        <v>16</v>
      </c>
      <c r="AE558" t="s">
        <v>44</v>
      </c>
      <c r="AF558" s="31">
        <v>46111</v>
      </c>
      <c r="AG558" s="61">
        <v>0.63893518518518522</v>
      </c>
      <c r="AI558" t="s">
        <v>782</v>
      </c>
      <c r="AJ558" s="31"/>
      <c r="AK558" s="61"/>
      <c r="AO558" t="s">
        <v>4973</v>
      </c>
      <c r="AQ558" t="s">
        <v>4644</v>
      </c>
      <c r="AS558" s="31">
        <v>46111</v>
      </c>
      <c r="AT558">
        <v>50</v>
      </c>
      <c r="AY558">
        <v>1</v>
      </c>
    </row>
    <row r="559" spans="1:51" x14ac:dyDescent="0.25">
      <c r="A559" t="s">
        <v>44</v>
      </c>
      <c r="B559">
        <v>1060</v>
      </c>
      <c r="D559">
        <v>3460</v>
      </c>
      <c r="G559" t="s">
        <v>472</v>
      </c>
      <c r="J559" t="s">
        <v>5147</v>
      </c>
      <c r="K559" t="s">
        <v>5147</v>
      </c>
      <c r="L559">
        <v>19974080034</v>
      </c>
      <c r="N559" t="s">
        <v>1111</v>
      </c>
      <c r="Q559" t="s">
        <v>778</v>
      </c>
      <c r="X559" t="s">
        <v>780</v>
      </c>
      <c r="Y559" t="s">
        <v>793</v>
      </c>
      <c r="AA559" s="31"/>
      <c r="AB559">
        <v>34236</v>
      </c>
      <c r="AC559">
        <v>42768</v>
      </c>
      <c r="AD559">
        <v>16</v>
      </c>
      <c r="AE559" t="s">
        <v>44</v>
      </c>
      <c r="AF559" s="31">
        <v>46111</v>
      </c>
      <c r="AG559" s="61">
        <v>0.67641203703703701</v>
      </c>
      <c r="AI559" t="s">
        <v>782</v>
      </c>
      <c r="AJ559" s="31"/>
      <c r="AK559" s="61"/>
      <c r="AO559" t="s">
        <v>5148</v>
      </c>
      <c r="AQ559" t="s">
        <v>5149</v>
      </c>
      <c r="AS559" s="31"/>
      <c r="AT559">
        <v>50</v>
      </c>
      <c r="AY559">
        <v>1</v>
      </c>
    </row>
    <row r="560" spans="1:51" x14ac:dyDescent="0.25">
      <c r="A560" t="s">
        <v>44</v>
      </c>
      <c r="B560">
        <v>1061</v>
      </c>
      <c r="D560">
        <v>3466</v>
      </c>
      <c r="G560" t="s">
        <v>477</v>
      </c>
      <c r="J560" t="s">
        <v>5150</v>
      </c>
      <c r="K560" t="s">
        <v>5150</v>
      </c>
      <c r="L560">
        <v>11947895866</v>
      </c>
      <c r="N560" t="s">
        <v>1111</v>
      </c>
      <c r="Q560" t="s">
        <v>778</v>
      </c>
      <c r="X560" t="s">
        <v>780</v>
      </c>
      <c r="Y560" t="s">
        <v>793</v>
      </c>
      <c r="AA560" s="31"/>
      <c r="AB560">
        <v>13568</v>
      </c>
      <c r="AC560">
        <v>0</v>
      </c>
      <c r="AD560">
        <v>16</v>
      </c>
      <c r="AE560" t="s">
        <v>44</v>
      </c>
      <c r="AF560" s="31">
        <v>46111</v>
      </c>
      <c r="AG560" s="61">
        <v>0.69383101851851847</v>
      </c>
      <c r="AI560" t="s">
        <v>782</v>
      </c>
      <c r="AJ560" s="31"/>
      <c r="AK560" s="61"/>
      <c r="AO560" t="s">
        <v>4680</v>
      </c>
      <c r="AQ560" t="s">
        <v>4680</v>
      </c>
      <c r="AS560" s="31"/>
      <c r="AT560">
        <v>30</v>
      </c>
      <c r="AY560">
        <v>1</v>
      </c>
    </row>
    <row r="561" spans="1:51" x14ac:dyDescent="0.25">
      <c r="A561" t="s">
        <v>44</v>
      </c>
      <c r="B561">
        <v>1062</v>
      </c>
      <c r="D561">
        <v>3093</v>
      </c>
      <c r="G561" t="s">
        <v>483</v>
      </c>
      <c r="H561">
        <v>53629067000156</v>
      </c>
      <c r="J561" t="s">
        <v>2825</v>
      </c>
      <c r="K561" t="s">
        <v>2825</v>
      </c>
      <c r="L561" t="s">
        <v>2826</v>
      </c>
      <c r="N561" t="s">
        <v>2827</v>
      </c>
      <c r="Q561" t="s">
        <v>778</v>
      </c>
      <c r="R561" t="s">
        <v>2828</v>
      </c>
      <c r="S561" t="s">
        <v>1699</v>
      </c>
      <c r="T561" t="s">
        <v>814</v>
      </c>
      <c r="W561" t="s">
        <v>1186</v>
      </c>
      <c r="X561" t="s">
        <v>780</v>
      </c>
      <c r="Y561" t="s">
        <v>793</v>
      </c>
      <c r="AA561" s="31"/>
      <c r="AB561">
        <v>68743</v>
      </c>
      <c r="AC561">
        <v>143186</v>
      </c>
      <c r="AD561">
        <v>0</v>
      </c>
      <c r="AE561" t="s">
        <v>44</v>
      </c>
      <c r="AF561" s="31">
        <v>46111</v>
      </c>
      <c r="AG561" s="61">
        <v>0.72445601851851849</v>
      </c>
      <c r="AI561" t="s">
        <v>795</v>
      </c>
      <c r="AJ561" s="31">
        <v>46111</v>
      </c>
      <c r="AK561" s="61">
        <v>0.74094907407407407</v>
      </c>
      <c r="AL561" t="s">
        <v>934</v>
      </c>
      <c r="AM561" t="s">
        <v>5151</v>
      </c>
      <c r="AO561" t="s">
        <v>4714</v>
      </c>
      <c r="AQ561" t="s">
        <v>4714</v>
      </c>
      <c r="AS561" s="31"/>
      <c r="AT561">
        <v>30</v>
      </c>
      <c r="AY561">
        <v>1</v>
      </c>
    </row>
    <row r="562" spans="1:51" x14ac:dyDescent="0.25">
      <c r="A562" t="s">
        <v>44</v>
      </c>
      <c r="B562">
        <v>1063</v>
      </c>
      <c r="D562">
        <v>3467</v>
      </c>
      <c r="G562" t="s">
        <v>487</v>
      </c>
      <c r="J562" t="s">
        <v>5152</v>
      </c>
      <c r="K562" t="s">
        <v>5152</v>
      </c>
      <c r="L562">
        <v>43996693593</v>
      </c>
      <c r="N562" t="s">
        <v>1111</v>
      </c>
      <c r="Q562" t="s">
        <v>778</v>
      </c>
      <c r="X562" t="s">
        <v>780</v>
      </c>
      <c r="Y562" t="s">
        <v>793</v>
      </c>
      <c r="AA562" s="31"/>
      <c r="AB562">
        <v>1600</v>
      </c>
      <c r="AC562">
        <v>252471</v>
      </c>
      <c r="AD562">
        <v>0</v>
      </c>
      <c r="AE562" t="s">
        <v>44</v>
      </c>
      <c r="AF562" s="31">
        <v>46111</v>
      </c>
      <c r="AG562" s="61">
        <v>0.73722222222222222</v>
      </c>
      <c r="AI562" t="s">
        <v>795</v>
      </c>
      <c r="AJ562" s="31">
        <v>46111</v>
      </c>
      <c r="AK562" s="61">
        <v>0.74140046296296291</v>
      </c>
      <c r="AL562" t="s">
        <v>934</v>
      </c>
      <c r="AM562" t="s">
        <v>5151</v>
      </c>
      <c r="AO562" t="s">
        <v>4691</v>
      </c>
      <c r="AQ562" t="s">
        <v>4714</v>
      </c>
      <c r="AR562" t="s">
        <v>4691</v>
      </c>
      <c r="AS562" s="31"/>
      <c r="AT562">
        <v>30</v>
      </c>
      <c r="AY562">
        <v>1</v>
      </c>
    </row>
    <row r="563" spans="1:51" x14ac:dyDescent="0.25">
      <c r="A563" t="s">
        <v>31</v>
      </c>
      <c r="B563">
        <v>1064</v>
      </c>
      <c r="D563">
        <v>3446</v>
      </c>
      <c r="E563" t="s">
        <v>5153</v>
      </c>
      <c r="G563" t="s">
        <v>5154</v>
      </c>
      <c r="J563" t="s">
        <v>5155</v>
      </c>
      <c r="K563" t="s">
        <v>5155</v>
      </c>
      <c r="L563">
        <v>31971564261</v>
      </c>
      <c r="N563" t="s">
        <v>5156</v>
      </c>
      <c r="Q563" t="s">
        <v>778</v>
      </c>
      <c r="T563" t="s">
        <v>2541</v>
      </c>
      <c r="W563" t="s">
        <v>2559</v>
      </c>
      <c r="X563" t="s">
        <v>780</v>
      </c>
      <c r="Y563" t="s">
        <v>781</v>
      </c>
      <c r="AA563" s="31">
        <v>46142</v>
      </c>
      <c r="AD563">
        <v>7</v>
      </c>
      <c r="AE563" t="s">
        <v>22</v>
      </c>
      <c r="AF563" s="31">
        <v>46112</v>
      </c>
      <c r="AG563" s="61">
        <v>0.42952546296296301</v>
      </c>
      <c r="AI563" t="s">
        <v>795</v>
      </c>
      <c r="AJ563" s="31">
        <v>46119</v>
      </c>
      <c r="AK563" s="61">
        <v>0.38395833333333329</v>
      </c>
      <c r="AL563" t="s">
        <v>1226</v>
      </c>
      <c r="AP563" t="s">
        <v>31</v>
      </c>
      <c r="AS563" s="31">
        <v>46113</v>
      </c>
      <c r="AT563">
        <v>30</v>
      </c>
      <c r="AY563">
        <v>1</v>
      </c>
    </row>
    <row r="564" spans="1:51" x14ac:dyDescent="0.25">
      <c r="A564" t="s">
        <v>44</v>
      </c>
      <c r="B564">
        <v>1065</v>
      </c>
      <c r="D564">
        <v>3447</v>
      </c>
      <c r="E564" t="s">
        <v>5157</v>
      </c>
      <c r="G564" t="s">
        <v>5158</v>
      </c>
      <c r="J564" t="s">
        <v>5158</v>
      </c>
      <c r="K564" t="s">
        <v>5158</v>
      </c>
      <c r="L564">
        <v>15991197046</v>
      </c>
      <c r="N564" t="s">
        <v>5159</v>
      </c>
      <c r="Q564" t="s">
        <v>778</v>
      </c>
      <c r="S564" t="s">
        <v>5160</v>
      </c>
      <c r="T564" t="s">
        <v>1191</v>
      </c>
      <c r="W564" t="s">
        <v>2559</v>
      </c>
      <c r="X564" t="s">
        <v>780</v>
      </c>
      <c r="Y564" t="s">
        <v>781</v>
      </c>
      <c r="AA564" s="31">
        <v>46112</v>
      </c>
      <c r="AD564">
        <v>0</v>
      </c>
      <c r="AE564" t="s">
        <v>22</v>
      </c>
      <c r="AF564" s="31">
        <v>46112</v>
      </c>
      <c r="AG564" s="61">
        <v>0.4331712962962963</v>
      </c>
      <c r="AI564" t="s">
        <v>795</v>
      </c>
      <c r="AJ564" s="31">
        <v>46112</v>
      </c>
      <c r="AK564" s="61">
        <v>0.62230324074074073</v>
      </c>
      <c r="AL564" t="s">
        <v>1226</v>
      </c>
      <c r="AM564" t="s">
        <v>5157</v>
      </c>
      <c r="AP564" t="s">
        <v>44</v>
      </c>
      <c r="AS564" s="31"/>
      <c r="AT564">
        <v>30</v>
      </c>
      <c r="AY564">
        <v>1</v>
      </c>
    </row>
    <row r="565" spans="1:51" x14ac:dyDescent="0.25">
      <c r="A565" t="s">
        <v>44</v>
      </c>
      <c r="B565">
        <v>1066</v>
      </c>
      <c r="D565">
        <v>3448</v>
      </c>
      <c r="E565" t="s">
        <v>5161</v>
      </c>
      <c r="G565" t="s">
        <v>5162</v>
      </c>
      <c r="H565">
        <v>4827674000115</v>
      </c>
      <c r="J565" t="s">
        <v>5163</v>
      </c>
      <c r="K565" t="s">
        <v>5163</v>
      </c>
      <c r="L565" t="s">
        <v>5164</v>
      </c>
      <c r="N565" t="s">
        <v>5165</v>
      </c>
      <c r="Q565" t="s">
        <v>778</v>
      </c>
      <c r="R565" t="s">
        <v>5166</v>
      </c>
      <c r="S565" t="s">
        <v>874</v>
      </c>
      <c r="T565" t="s">
        <v>2541</v>
      </c>
      <c r="W565" t="s">
        <v>2791</v>
      </c>
      <c r="X565" t="s">
        <v>780</v>
      </c>
      <c r="Y565" t="s">
        <v>897</v>
      </c>
      <c r="AA565" s="31"/>
      <c r="AD565">
        <v>6</v>
      </c>
      <c r="AE565" t="s">
        <v>22</v>
      </c>
      <c r="AF565" s="31">
        <v>46112</v>
      </c>
      <c r="AG565" s="61">
        <v>0.43893518518518521</v>
      </c>
      <c r="AI565" t="s">
        <v>795</v>
      </c>
      <c r="AJ565" s="31">
        <v>46118</v>
      </c>
      <c r="AK565" s="61">
        <v>0.69900462962962961</v>
      </c>
      <c r="AL565" t="s">
        <v>796</v>
      </c>
      <c r="AM565" t="s">
        <v>5167</v>
      </c>
      <c r="AP565" t="s">
        <v>44</v>
      </c>
      <c r="AS565" s="31">
        <v>46118</v>
      </c>
      <c r="AT565">
        <v>30</v>
      </c>
      <c r="AY565">
        <v>1</v>
      </c>
    </row>
    <row r="566" spans="1:51" x14ac:dyDescent="0.25">
      <c r="A566" t="s">
        <v>31</v>
      </c>
      <c r="B566">
        <v>1067</v>
      </c>
      <c r="D566">
        <v>3468</v>
      </c>
      <c r="E566" t="s">
        <v>5168</v>
      </c>
      <c r="G566" t="s">
        <v>5169</v>
      </c>
      <c r="H566">
        <v>50649054000150</v>
      </c>
      <c r="J566" t="s">
        <v>5170</v>
      </c>
      <c r="K566" t="s">
        <v>5170</v>
      </c>
      <c r="L566" t="s">
        <v>5171</v>
      </c>
      <c r="N566" t="s">
        <v>5172</v>
      </c>
      <c r="Q566" t="s">
        <v>778</v>
      </c>
      <c r="R566" t="s">
        <v>847</v>
      </c>
      <c r="S566" t="s">
        <v>848</v>
      </c>
      <c r="T566" t="s">
        <v>1191</v>
      </c>
      <c r="W566" t="s">
        <v>2559</v>
      </c>
      <c r="X566" t="s">
        <v>780</v>
      </c>
      <c r="Y566" t="s">
        <v>781</v>
      </c>
      <c r="AA566" s="31"/>
      <c r="AD566">
        <v>0</v>
      </c>
      <c r="AE566" t="s">
        <v>22</v>
      </c>
      <c r="AF566" s="31">
        <v>46112</v>
      </c>
      <c r="AG566" s="61">
        <v>0.44137731481481479</v>
      </c>
      <c r="AI566" t="s">
        <v>795</v>
      </c>
      <c r="AJ566" s="31">
        <v>46112</v>
      </c>
      <c r="AK566" s="61">
        <v>0.63928240740740738</v>
      </c>
      <c r="AL566" t="s">
        <v>1226</v>
      </c>
      <c r="AP566" t="s">
        <v>31</v>
      </c>
      <c r="AS566" s="31"/>
      <c r="AT566">
        <v>30</v>
      </c>
      <c r="AY566">
        <v>1</v>
      </c>
    </row>
    <row r="567" spans="1:51" x14ac:dyDescent="0.25">
      <c r="A567" t="s">
        <v>44</v>
      </c>
      <c r="B567">
        <v>1068</v>
      </c>
      <c r="D567">
        <v>3471</v>
      </c>
      <c r="G567" t="s">
        <v>491</v>
      </c>
      <c r="J567" t="s">
        <v>5173</v>
      </c>
      <c r="K567" t="s">
        <v>5173</v>
      </c>
      <c r="L567" t="s">
        <v>5174</v>
      </c>
      <c r="N567" t="s">
        <v>1111</v>
      </c>
      <c r="Q567" t="s">
        <v>778</v>
      </c>
      <c r="X567" t="s">
        <v>780</v>
      </c>
      <c r="Y567" t="s">
        <v>793</v>
      </c>
      <c r="AA567" s="31"/>
      <c r="AB567">
        <v>1600</v>
      </c>
      <c r="AC567">
        <v>384454</v>
      </c>
      <c r="AD567">
        <v>15</v>
      </c>
      <c r="AE567" t="s">
        <v>44</v>
      </c>
      <c r="AF567" s="31">
        <v>46112</v>
      </c>
      <c r="AG567" s="61">
        <v>0.63679398148148147</v>
      </c>
      <c r="AI567" t="s">
        <v>782</v>
      </c>
      <c r="AJ567" s="31"/>
      <c r="AK567" s="61"/>
      <c r="AO567" t="s">
        <v>4918</v>
      </c>
      <c r="AQ567" t="s">
        <v>4918</v>
      </c>
      <c r="AS567" s="31"/>
      <c r="AT567">
        <v>50</v>
      </c>
      <c r="AY567">
        <v>1</v>
      </c>
    </row>
    <row r="568" spans="1:51" x14ac:dyDescent="0.25">
      <c r="A568" t="s">
        <v>44</v>
      </c>
      <c r="B568">
        <v>1069</v>
      </c>
      <c r="D568">
        <v>3472</v>
      </c>
      <c r="G568" t="s">
        <v>495</v>
      </c>
      <c r="J568" t="s">
        <v>5175</v>
      </c>
      <c r="K568" t="s">
        <v>5175</v>
      </c>
      <c r="L568">
        <v>7530217768</v>
      </c>
      <c r="N568" t="s">
        <v>1111</v>
      </c>
      <c r="Q568" t="s">
        <v>778</v>
      </c>
      <c r="X568" t="s">
        <v>780</v>
      </c>
      <c r="Y568" t="s">
        <v>793</v>
      </c>
      <c r="AA568" s="31"/>
      <c r="AB568">
        <v>8480</v>
      </c>
      <c r="AC568">
        <v>3564</v>
      </c>
      <c r="AD568">
        <v>15</v>
      </c>
      <c r="AE568" t="s">
        <v>44</v>
      </c>
      <c r="AF568" s="31">
        <v>46112</v>
      </c>
      <c r="AG568" s="61">
        <v>0.65101851851851855</v>
      </c>
      <c r="AI568" t="s">
        <v>782</v>
      </c>
      <c r="AJ568" s="31"/>
      <c r="AK568" s="61"/>
      <c r="AO568" t="s">
        <v>5176</v>
      </c>
      <c r="AQ568" t="s">
        <v>5176</v>
      </c>
      <c r="AS568" s="31"/>
      <c r="AT568">
        <v>30</v>
      </c>
      <c r="AY568">
        <v>1</v>
      </c>
    </row>
    <row r="569" spans="1:51" x14ac:dyDescent="0.25">
      <c r="A569" t="s">
        <v>44</v>
      </c>
      <c r="B569">
        <v>1072</v>
      </c>
      <c r="D569">
        <v>3474</v>
      </c>
      <c r="E569" t="s">
        <v>5177</v>
      </c>
      <c r="G569" t="s">
        <v>5178</v>
      </c>
      <c r="H569">
        <v>27728774000190</v>
      </c>
      <c r="J569" t="s">
        <v>5179</v>
      </c>
      <c r="K569" t="s">
        <v>5179</v>
      </c>
      <c r="L569" t="s">
        <v>5180</v>
      </c>
      <c r="N569" t="s">
        <v>5181</v>
      </c>
      <c r="Q569" t="s">
        <v>778</v>
      </c>
      <c r="R569" t="s">
        <v>5182</v>
      </c>
      <c r="S569" t="s">
        <v>5183</v>
      </c>
      <c r="T569" t="s">
        <v>1191</v>
      </c>
      <c r="W569" t="s">
        <v>2559</v>
      </c>
      <c r="X569" t="s">
        <v>780</v>
      </c>
      <c r="Y569" t="s">
        <v>781</v>
      </c>
      <c r="AA569" s="31"/>
      <c r="AD569">
        <v>0</v>
      </c>
      <c r="AE569" t="s">
        <v>22</v>
      </c>
      <c r="AF569" s="31">
        <v>46113</v>
      </c>
      <c r="AG569" s="61">
        <v>0.48964120370370368</v>
      </c>
      <c r="AI569" t="s">
        <v>795</v>
      </c>
      <c r="AJ569" s="31">
        <v>46113</v>
      </c>
      <c r="AK569" s="61">
        <v>0.64266203703703706</v>
      </c>
      <c r="AL569" t="s">
        <v>1226</v>
      </c>
      <c r="AM569" t="s">
        <v>5177</v>
      </c>
      <c r="AP569" t="s">
        <v>44</v>
      </c>
      <c r="AS569" s="31"/>
      <c r="AT569">
        <v>30</v>
      </c>
      <c r="AY569">
        <v>1</v>
      </c>
    </row>
    <row r="570" spans="1:51" x14ac:dyDescent="0.25">
      <c r="A570" t="s">
        <v>44</v>
      </c>
      <c r="B570">
        <v>1073</v>
      </c>
      <c r="D570">
        <v>3479</v>
      </c>
      <c r="E570" t="s">
        <v>5184</v>
      </c>
      <c r="G570" t="s">
        <v>5185</v>
      </c>
      <c r="H570">
        <v>667476000261</v>
      </c>
      <c r="J570" t="s">
        <v>5186</v>
      </c>
      <c r="K570" t="s">
        <v>5186</v>
      </c>
      <c r="L570">
        <v>44988361402</v>
      </c>
      <c r="N570" t="s">
        <v>5187</v>
      </c>
      <c r="Q570" t="s">
        <v>778</v>
      </c>
      <c r="T570" t="s">
        <v>2541</v>
      </c>
      <c r="W570" t="s">
        <v>2559</v>
      </c>
      <c r="X570" t="s">
        <v>780</v>
      </c>
      <c r="Y570" t="s">
        <v>897</v>
      </c>
      <c r="AA570" s="31"/>
      <c r="AD570">
        <v>1</v>
      </c>
      <c r="AE570" t="s">
        <v>22</v>
      </c>
      <c r="AF570" s="31">
        <v>46118</v>
      </c>
      <c r="AG570" s="61">
        <v>0.47232638888888889</v>
      </c>
      <c r="AI570" t="s">
        <v>795</v>
      </c>
      <c r="AJ570" s="31">
        <v>46119</v>
      </c>
      <c r="AK570" s="61">
        <v>0.68859953703703702</v>
      </c>
      <c r="AL570" t="s">
        <v>1226</v>
      </c>
      <c r="AM570" t="s">
        <v>5184</v>
      </c>
      <c r="AP570" t="s">
        <v>44</v>
      </c>
      <c r="AS570" s="31">
        <v>46119</v>
      </c>
      <c r="AT570">
        <v>30</v>
      </c>
      <c r="AY570">
        <v>1</v>
      </c>
    </row>
    <row r="571" spans="1:51" x14ac:dyDescent="0.25">
      <c r="A571" t="s">
        <v>31</v>
      </c>
      <c r="B571">
        <v>1074</v>
      </c>
      <c r="D571">
        <v>3478</v>
      </c>
      <c r="E571" t="s">
        <v>5188</v>
      </c>
      <c r="G571" t="s">
        <v>5189</v>
      </c>
      <c r="H571">
        <v>34777766000107</v>
      </c>
      <c r="J571" t="s">
        <v>5190</v>
      </c>
      <c r="K571" t="s">
        <v>5190</v>
      </c>
      <c r="L571" t="s">
        <v>5191</v>
      </c>
      <c r="N571" t="s">
        <v>5192</v>
      </c>
      <c r="Q571" t="s">
        <v>778</v>
      </c>
      <c r="R571" t="s">
        <v>5193</v>
      </c>
      <c r="S571" t="s">
        <v>1105</v>
      </c>
      <c r="T571" t="s">
        <v>2541</v>
      </c>
      <c r="W571" t="s">
        <v>2559</v>
      </c>
      <c r="X571" t="s">
        <v>780</v>
      </c>
      <c r="Y571" t="s">
        <v>781</v>
      </c>
      <c r="AA571" s="31"/>
      <c r="AD571">
        <v>4</v>
      </c>
      <c r="AE571" t="s">
        <v>22</v>
      </c>
      <c r="AF571" s="31">
        <v>46118</v>
      </c>
      <c r="AG571" s="61">
        <v>0.47351851851851851</v>
      </c>
      <c r="AI571" t="s">
        <v>795</v>
      </c>
      <c r="AJ571" s="31">
        <v>46122</v>
      </c>
      <c r="AK571" s="61">
        <v>0.44310185185185191</v>
      </c>
      <c r="AL571" t="s">
        <v>5194</v>
      </c>
      <c r="AP571" t="s">
        <v>31</v>
      </c>
      <c r="AS571" s="31">
        <v>46119</v>
      </c>
      <c r="AT571">
        <v>27</v>
      </c>
      <c r="AY571">
        <v>1</v>
      </c>
    </row>
    <row r="572" spans="1:51" x14ac:dyDescent="0.25">
      <c r="A572" t="s">
        <v>44</v>
      </c>
      <c r="B572">
        <v>1075</v>
      </c>
      <c r="D572">
        <v>3480</v>
      </c>
      <c r="E572" t="s">
        <v>5195</v>
      </c>
      <c r="G572" t="s">
        <v>5196</v>
      </c>
      <c r="J572" t="s">
        <v>5197</v>
      </c>
      <c r="K572" t="s">
        <v>5197</v>
      </c>
      <c r="L572">
        <v>22997047181</v>
      </c>
      <c r="N572" t="s">
        <v>5198</v>
      </c>
      <c r="Q572" t="s">
        <v>778</v>
      </c>
      <c r="T572" t="s">
        <v>2541</v>
      </c>
      <c r="W572" t="s">
        <v>2559</v>
      </c>
      <c r="X572" t="s">
        <v>780</v>
      </c>
      <c r="Y572" t="s">
        <v>781</v>
      </c>
      <c r="AA572" s="31"/>
      <c r="AD572">
        <v>0</v>
      </c>
      <c r="AE572" t="s">
        <v>22</v>
      </c>
      <c r="AF572" s="31">
        <v>46118</v>
      </c>
      <c r="AG572" s="61">
        <v>0.47479166666666672</v>
      </c>
      <c r="AI572" t="s">
        <v>795</v>
      </c>
      <c r="AJ572" s="31">
        <v>46118</v>
      </c>
      <c r="AK572" s="61">
        <v>0.72045138888888893</v>
      </c>
      <c r="AL572" t="s">
        <v>1226</v>
      </c>
      <c r="AM572" t="s">
        <v>5199</v>
      </c>
      <c r="AP572" t="s">
        <v>44</v>
      </c>
      <c r="AS572" s="31"/>
      <c r="AT572">
        <v>30</v>
      </c>
      <c r="AY572">
        <v>1</v>
      </c>
    </row>
    <row r="573" spans="1:51" x14ac:dyDescent="0.25">
      <c r="A573" t="s">
        <v>31</v>
      </c>
      <c r="B573">
        <v>1076</v>
      </c>
      <c r="D573">
        <v>3482</v>
      </c>
      <c r="E573" t="s">
        <v>5200</v>
      </c>
      <c r="G573" t="s">
        <v>5201</v>
      </c>
      <c r="J573" t="s">
        <v>5201</v>
      </c>
      <c r="K573" t="s">
        <v>5201</v>
      </c>
      <c r="L573">
        <v>4694441158</v>
      </c>
      <c r="N573" t="s">
        <v>5202</v>
      </c>
      <c r="Q573" t="s">
        <v>778</v>
      </c>
      <c r="T573" t="s">
        <v>2541</v>
      </c>
      <c r="W573" t="s">
        <v>2559</v>
      </c>
      <c r="X573" t="s">
        <v>780</v>
      </c>
      <c r="Y573" t="s">
        <v>781</v>
      </c>
      <c r="AA573" s="31"/>
      <c r="AD573">
        <v>1</v>
      </c>
      <c r="AE573" t="s">
        <v>22</v>
      </c>
      <c r="AF573" s="31">
        <v>46118</v>
      </c>
      <c r="AG573" s="61">
        <v>0.47599537037037037</v>
      </c>
      <c r="AI573" t="s">
        <v>795</v>
      </c>
      <c r="AJ573" s="31">
        <v>46119</v>
      </c>
      <c r="AK573" s="61">
        <v>0.3805324074074074</v>
      </c>
      <c r="AL573" t="s">
        <v>1226</v>
      </c>
      <c r="AP573" t="s">
        <v>31</v>
      </c>
      <c r="AS573" s="31"/>
      <c r="AT573">
        <v>30</v>
      </c>
      <c r="AY573">
        <v>1</v>
      </c>
    </row>
    <row r="574" spans="1:51" x14ac:dyDescent="0.25">
      <c r="A574" t="s">
        <v>44</v>
      </c>
      <c r="B574">
        <v>1077</v>
      </c>
      <c r="D574">
        <v>3483</v>
      </c>
      <c r="E574" t="s">
        <v>5203</v>
      </c>
      <c r="G574" t="s">
        <v>5204</v>
      </c>
      <c r="H574">
        <v>2861273000156</v>
      </c>
      <c r="J574" t="s">
        <v>5205</v>
      </c>
      <c r="K574" t="s">
        <v>5205</v>
      </c>
      <c r="L574">
        <v>5330256162</v>
      </c>
      <c r="N574" t="s">
        <v>5206</v>
      </c>
      <c r="Q574" t="s">
        <v>778</v>
      </c>
      <c r="T574" t="s">
        <v>2541</v>
      </c>
      <c r="W574" t="s">
        <v>2559</v>
      </c>
      <c r="X574" t="s">
        <v>780</v>
      </c>
      <c r="Y574" t="s">
        <v>781</v>
      </c>
      <c r="AA574" s="31"/>
      <c r="AD574">
        <v>0</v>
      </c>
      <c r="AE574" t="s">
        <v>22</v>
      </c>
      <c r="AF574" s="31">
        <v>46118</v>
      </c>
      <c r="AG574" s="61">
        <v>0.47758101851851847</v>
      </c>
      <c r="AI574" t="s">
        <v>795</v>
      </c>
      <c r="AJ574" s="31">
        <v>46118</v>
      </c>
      <c r="AK574" s="61">
        <v>0.70814814814814819</v>
      </c>
      <c r="AL574" t="s">
        <v>1226</v>
      </c>
      <c r="AM574" t="s">
        <v>5203</v>
      </c>
      <c r="AP574" t="s">
        <v>44</v>
      </c>
      <c r="AS574" s="31"/>
      <c r="AT574">
        <v>28</v>
      </c>
      <c r="AY574">
        <v>1</v>
      </c>
    </row>
    <row r="575" spans="1:51" x14ac:dyDescent="0.25">
      <c r="A575" t="s">
        <v>44</v>
      </c>
      <c r="B575">
        <v>1078</v>
      </c>
      <c r="D575">
        <v>3497</v>
      </c>
      <c r="G575" t="s">
        <v>5207</v>
      </c>
      <c r="J575" t="s">
        <v>5208</v>
      </c>
      <c r="K575" t="s">
        <v>5208</v>
      </c>
      <c r="L575">
        <v>7530217768</v>
      </c>
      <c r="N575" t="s">
        <v>5209</v>
      </c>
      <c r="Q575" t="s">
        <v>778</v>
      </c>
      <c r="X575" t="s">
        <v>780</v>
      </c>
      <c r="Y575" t="s">
        <v>793</v>
      </c>
      <c r="AA575" s="31"/>
      <c r="AB575">
        <v>8100</v>
      </c>
      <c r="AC575">
        <v>1080</v>
      </c>
      <c r="AD575">
        <v>7</v>
      </c>
      <c r="AE575" t="s">
        <v>44</v>
      </c>
      <c r="AF575" s="31">
        <v>46120</v>
      </c>
      <c r="AG575" s="61">
        <v>0.70204861111111116</v>
      </c>
      <c r="AI575" t="s">
        <v>782</v>
      </c>
      <c r="AJ575" s="31"/>
      <c r="AK575" s="61"/>
      <c r="AO575" t="s">
        <v>5210</v>
      </c>
      <c r="AS575" s="31"/>
      <c r="AT575">
        <v>50</v>
      </c>
      <c r="AY575">
        <v>1</v>
      </c>
    </row>
    <row r="576" spans="1:51" x14ac:dyDescent="0.25">
      <c r="A576" t="s">
        <v>44</v>
      </c>
      <c r="B576">
        <v>1079</v>
      </c>
      <c r="D576">
        <v>3501</v>
      </c>
      <c r="E576" t="s">
        <v>5211</v>
      </c>
      <c r="G576" t="s">
        <v>5212</v>
      </c>
      <c r="H576">
        <v>48260432000168</v>
      </c>
      <c r="J576" t="s">
        <v>5213</v>
      </c>
      <c r="K576" t="s">
        <v>5213</v>
      </c>
      <c r="Q576" t="s">
        <v>778</v>
      </c>
      <c r="T576" t="s">
        <v>805</v>
      </c>
      <c r="X576" t="s">
        <v>780</v>
      </c>
      <c r="Y576" t="s">
        <v>781</v>
      </c>
      <c r="AA576" s="31"/>
      <c r="AD576">
        <v>6</v>
      </c>
      <c r="AE576" t="s">
        <v>44</v>
      </c>
      <c r="AF576" s="31">
        <v>46121</v>
      </c>
      <c r="AG576" s="61">
        <v>0.3903935185185185</v>
      </c>
      <c r="AI576" t="s">
        <v>782</v>
      </c>
      <c r="AJ576" s="31"/>
      <c r="AK576" s="61"/>
      <c r="AS576" s="31"/>
      <c r="AT576">
        <v>30</v>
      </c>
      <c r="AY576">
        <v>1</v>
      </c>
    </row>
    <row r="577" spans="1:51" x14ac:dyDescent="0.25">
      <c r="A577" t="s">
        <v>44</v>
      </c>
      <c r="B577">
        <v>1080</v>
      </c>
      <c r="D577">
        <v>3502</v>
      </c>
      <c r="E577" t="s">
        <v>5214</v>
      </c>
      <c r="G577" t="s">
        <v>5215</v>
      </c>
      <c r="H577">
        <v>19398581000190</v>
      </c>
      <c r="J577" t="s">
        <v>5216</v>
      </c>
      <c r="K577" t="s">
        <v>5216</v>
      </c>
      <c r="L577">
        <v>48988044437</v>
      </c>
      <c r="N577" t="s">
        <v>5217</v>
      </c>
      <c r="Q577" t="s">
        <v>778</v>
      </c>
      <c r="R577" t="s">
        <v>5218</v>
      </c>
      <c r="S577" t="s">
        <v>932</v>
      </c>
      <c r="X577" t="s">
        <v>780</v>
      </c>
      <c r="Y577" t="s">
        <v>781</v>
      </c>
      <c r="AA577" s="31"/>
      <c r="AD577">
        <v>6</v>
      </c>
      <c r="AE577" t="s">
        <v>44</v>
      </c>
      <c r="AF577" s="31">
        <v>46121</v>
      </c>
      <c r="AG577" s="61">
        <v>0.42430555555555549</v>
      </c>
      <c r="AI577" t="s">
        <v>782</v>
      </c>
      <c r="AJ577" s="31"/>
      <c r="AK577" s="61"/>
      <c r="AS577" s="31"/>
      <c r="AT577">
        <v>30</v>
      </c>
      <c r="AY577">
        <v>1</v>
      </c>
    </row>
    <row r="578" spans="1:51" x14ac:dyDescent="0.25">
      <c r="A578" t="s">
        <v>44</v>
      </c>
      <c r="B578">
        <v>1081</v>
      </c>
      <c r="D578">
        <v>3504</v>
      </c>
      <c r="E578" t="s">
        <v>5219</v>
      </c>
      <c r="F578" t="s">
        <v>5220</v>
      </c>
      <c r="G578" t="s">
        <v>5221</v>
      </c>
      <c r="H578">
        <v>73445454000654</v>
      </c>
      <c r="J578" t="s">
        <v>5220</v>
      </c>
      <c r="K578" t="s">
        <v>5220</v>
      </c>
      <c r="L578" t="s">
        <v>5222</v>
      </c>
      <c r="N578" t="s">
        <v>5223</v>
      </c>
      <c r="Q578" t="s">
        <v>778</v>
      </c>
      <c r="R578" t="s">
        <v>1094</v>
      </c>
      <c r="S578" t="s">
        <v>790</v>
      </c>
      <c r="T578" t="s">
        <v>805</v>
      </c>
      <c r="X578" t="s">
        <v>780</v>
      </c>
      <c r="Y578" t="s">
        <v>781</v>
      </c>
      <c r="AA578" s="31"/>
      <c r="AD578">
        <v>6</v>
      </c>
      <c r="AE578" t="s">
        <v>44</v>
      </c>
      <c r="AF578" s="31">
        <v>46121</v>
      </c>
      <c r="AG578" s="61">
        <v>0.44763888888888892</v>
      </c>
      <c r="AI578" t="s">
        <v>782</v>
      </c>
      <c r="AJ578" s="31"/>
      <c r="AK578" s="61"/>
      <c r="AS578" s="31"/>
      <c r="AT578">
        <v>30</v>
      </c>
      <c r="AY578">
        <v>1</v>
      </c>
    </row>
    <row r="579" spans="1:51" x14ac:dyDescent="0.25">
      <c r="A579" t="s">
        <v>31</v>
      </c>
      <c r="B579">
        <v>1082</v>
      </c>
      <c r="D579">
        <v>3488</v>
      </c>
      <c r="E579" t="s">
        <v>5224</v>
      </c>
      <c r="G579" t="s">
        <v>5225</v>
      </c>
      <c r="J579" t="s">
        <v>5226</v>
      </c>
      <c r="K579" t="s">
        <v>5226</v>
      </c>
      <c r="L579">
        <v>51981230645</v>
      </c>
      <c r="N579" t="s">
        <v>5227</v>
      </c>
      <c r="Q579" t="s">
        <v>778</v>
      </c>
      <c r="T579" t="s">
        <v>2541</v>
      </c>
      <c r="W579" t="s">
        <v>2559</v>
      </c>
      <c r="X579" t="s">
        <v>780</v>
      </c>
      <c r="Y579" t="s">
        <v>781</v>
      </c>
      <c r="AA579" s="31">
        <v>46142</v>
      </c>
      <c r="AD579">
        <v>5</v>
      </c>
      <c r="AE579" t="s">
        <v>22</v>
      </c>
      <c r="AF579" s="31">
        <v>46122</v>
      </c>
      <c r="AG579" s="61">
        <v>0.36518518518518522</v>
      </c>
      <c r="AI579" t="s">
        <v>782</v>
      </c>
      <c r="AJ579" s="31"/>
      <c r="AK579" s="61"/>
      <c r="AP579" t="s">
        <v>31</v>
      </c>
      <c r="AS579" s="31"/>
      <c r="AT579">
        <v>28</v>
      </c>
      <c r="AY579">
        <v>1</v>
      </c>
    </row>
    <row r="580" spans="1:51" x14ac:dyDescent="0.25">
      <c r="A580" t="s">
        <v>44</v>
      </c>
      <c r="B580">
        <v>1083</v>
      </c>
      <c r="D580">
        <v>3491</v>
      </c>
      <c r="E580" t="s">
        <v>5228</v>
      </c>
      <c r="G580" t="s">
        <v>5229</v>
      </c>
      <c r="H580">
        <v>91241034000123</v>
      </c>
      <c r="J580" t="s">
        <v>5230</v>
      </c>
      <c r="K580" t="s">
        <v>5230</v>
      </c>
      <c r="L580" t="s">
        <v>5231</v>
      </c>
      <c r="N580" t="s">
        <v>5232</v>
      </c>
      <c r="Q580" t="s">
        <v>778</v>
      </c>
      <c r="R580" t="s">
        <v>1912</v>
      </c>
      <c r="S580" t="s">
        <v>1027</v>
      </c>
      <c r="T580" t="s">
        <v>2541</v>
      </c>
      <c r="W580" t="s">
        <v>2559</v>
      </c>
      <c r="X580" t="s">
        <v>780</v>
      </c>
      <c r="Y580" t="s">
        <v>781</v>
      </c>
      <c r="AA580" s="31"/>
      <c r="AD580">
        <v>0</v>
      </c>
      <c r="AE580" t="s">
        <v>22</v>
      </c>
      <c r="AF580" s="31">
        <v>46122</v>
      </c>
      <c r="AG580" s="61">
        <v>0.36634259259259261</v>
      </c>
      <c r="AI580" t="s">
        <v>795</v>
      </c>
      <c r="AJ580" s="31">
        <v>46122</v>
      </c>
      <c r="AK580" s="61">
        <v>0.43622685185185178</v>
      </c>
      <c r="AL580" t="s">
        <v>5194</v>
      </c>
      <c r="AM580" t="s">
        <v>5233</v>
      </c>
      <c r="AP580" t="s">
        <v>44</v>
      </c>
      <c r="AS580" s="31"/>
      <c r="AT580">
        <v>30</v>
      </c>
      <c r="AY580">
        <v>1</v>
      </c>
    </row>
    <row r="581" spans="1:51" x14ac:dyDescent="0.25">
      <c r="A581" t="s">
        <v>44</v>
      </c>
      <c r="B581">
        <v>1084</v>
      </c>
      <c r="D581">
        <v>3492</v>
      </c>
      <c r="E581" t="s">
        <v>5234</v>
      </c>
      <c r="G581" t="s">
        <v>5235</v>
      </c>
      <c r="J581" t="s">
        <v>5236</v>
      </c>
      <c r="K581" t="s">
        <v>5236</v>
      </c>
      <c r="L581">
        <v>62991773767</v>
      </c>
      <c r="N581" t="s">
        <v>5237</v>
      </c>
      <c r="Q581" t="s">
        <v>778</v>
      </c>
      <c r="T581" t="s">
        <v>2541</v>
      </c>
      <c r="W581" t="s">
        <v>2791</v>
      </c>
      <c r="X581" t="s">
        <v>780</v>
      </c>
      <c r="Y581" t="s">
        <v>897</v>
      </c>
      <c r="AA581" s="31"/>
      <c r="AD581">
        <v>5</v>
      </c>
      <c r="AE581" t="s">
        <v>22</v>
      </c>
      <c r="AF581" s="31">
        <v>46122</v>
      </c>
      <c r="AG581" s="61">
        <v>0.36747685185185192</v>
      </c>
      <c r="AI581" t="s">
        <v>782</v>
      </c>
      <c r="AJ581" s="31"/>
      <c r="AK581" s="61"/>
      <c r="AP581" t="s">
        <v>44</v>
      </c>
      <c r="AS581" s="31"/>
      <c r="AT581">
        <v>29</v>
      </c>
      <c r="AY581">
        <v>1</v>
      </c>
    </row>
    <row r="582" spans="1:51" x14ac:dyDescent="0.25">
      <c r="A582" t="s">
        <v>31</v>
      </c>
      <c r="B582">
        <v>1085</v>
      </c>
      <c r="D582">
        <v>3494</v>
      </c>
      <c r="G582" t="s">
        <v>5238</v>
      </c>
      <c r="H582">
        <v>21233195000190</v>
      </c>
      <c r="J582" t="s">
        <v>5239</v>
      </c>
      <c r="K582" t="s">
        <v>5239</v>
      </c>
      <c r="L582" t="s">
        <v>5240</v>
      </c>
      <c r="N582" t="s">
        <v>5241</v>
      </c>
      <c r="Q582" t="s">
        <v>778</v>
      </c>
      <c r="R582" t="s">
        <v>5242</v>
      </c>
      <c r="S582" t="s">
        <v>790</v>
      </c>
      <c r="T582" t="s">
        <v>2541</v>
      </c>
      <c r="W582" t="s">
        <v>2559</v>
      </c>
      <c r="X582" t="s">
        <v>780</v>
      </c>
      <c r="Y582" t="s">
        <v>781</v>
      </c>
      <c r="AA582" s="31">
        <v>46142</v>
      </c>
      <c r="AD582">
        <v>5</v>
      </c>
      <c r="AE582" t="s">
        <v>22</v>
      </c>
      <c r="AF582" s="31">
        <v>46122</v>
      </c>
      <c r="AG582" s="61">
        <v>0.36834490740740738</v>
      </c>
      <c r="AI582" t="s">
        <v>782</v>
      </c>
      <c r="AJ582" s="31"/>
      <c r="AK582" s="61"/>
      <c r="AP582" t="s">
        <v>31</v>
      </c>
      <c r="AS582" s="31"/>
      <c r="AT582">
        <v>30</v>
      </c>
      <c r="AY582">
        <v>1</v>
      </c>
    </row>
    <row r="583" spans="1:51" x14ac:dyDescent="0.25">
      <c r="A583" t="s">
        <v>31</v>
      </c>
      <c r="B583">
        <v>1086</v>
      </c>
      <c r="D583">
        <v>3496</v>
      </c>
      <c r="E583" t="s">
        <v>5243</v>
      </c>
      <c r="G583" t="s">
        <v>5244</v>
      </c>
      <c r="H583">
        <v>3634113000137</v>
      </c>
      <c r="J583" t="s">
        <v>5245</v>
      </c>
      <c r="K583" t="s">
        <v>5245</v>
      </c>
      <c r="N583" t="s">
        <v>5246</v>
      </c>
      <c r="Q583" t="s">
        <v>778</v>
      </c>
      <c r="R583" t="s">
        <v>3141</v>
      </c>
      <c r="T583" t="s">
        <v>1191</v>
      </c>
      <c r="W583" t="s">
        <v>5247</v>
      </c>
      <c r="X583" t="s">
        <v>780</v>
      </c>
      <c r="Y583" t="s">
        <v>781</v>
      </c>
      <c r="AA583" s="31">
        <v>46122</v>
      </c>
      <c r="AD583">
        <v>5</v>
      </c>
      <c r="AE583" t="s">
        <v>22</v>
      </c>
      <c r="AF583" s="31">
        <v>46122</v>
      </c>
      <c r="AG583" s="61">
        <v>0.36944444444444452</v>
      </c>
      <c r="AI583" t="s">
        <v>782</v>
      </c>
      <c r="AJ583" s="31"/>
      <c r="AK583" s="61"/>
      <c r="AP583" t="s">
        <v>31</v>
      </c>
      <c r="AS583" s="31"/>
      <c r="AT583">
        <v>30</v>
      </c>
      <c r="AY583">
        <v>1</v>
      </c>
    </row>
    <row r="584" spans="1:51" x14ac:dyDescent="0.25">
      <c r="A584" t="s">
        <v>22</v>
      </c>
      <c r="B584">
        <v>1087</v>
      </c>
      <c r="D584">
        <v>3495</v>
      </c>
      <c r="G584" t="s">
        <v>5248</v>
      </c>
      <c r="J584" t="s">
        <v>5249</v>
      </c>
      <c r="K584" t="s">
        <v>5249</v>
      </c>
      <c r="L584">
        <v>8191451469</v>
      </c>
      <c r="N584" t="s">
        <v>5250</v>
      </c>
      <c r="Q584" t="s">
        <v>778</v>
      </c>
      <c r="T584" t="s">
        <v>2541</v>
      </c>
      <c r="W584" t="s">
        <v>2559</v>
      </c>
      <c r="X584" t="s">
        <v>780</v>
      </c>
      <c r="Y584" t="s">
        <v>781</v>
      </c>
      <c r="AA584" s="31">
        <v>46142</v>
      </c>
      <c r="AD584">
        <v>0</v>
      </c>
      <c r="AE584" t="s">
        <v>22</v>
      </c>
      <c r="AF584" s="31">
        <v>46122</v>
      </c>
      <c r="AG584" s="61">
        <v>0.37062499999999998</v>
      </c>
      <c r="AI584" t="s">
        <v>795</v>
      </c>
      <c r="AJ584" s="31">
        <v>46122</v>
      </c>
      <c r="AK584" s="61">
        <v>0.5893518518518519</v>
      </c>
      <c r="AL584" t="s">
        <v>867</v>
      </c>
      <c r="AP584" t="s">
        <v>22</v>
      </c>
      <c r="AS584" s="31"/>
      <c r="AT584">
        <v>30</v>
      </c>
      <c r="AY584">
        <v>1</v>
      </c>
    </row>
    <row r="585" spans="1:51" x14ac:dyDescent="0.25">
      <c r="A585" t="s">
        <v>22</v>
      </c>
      <c r="B585">
        <v>1088</v>
      </c>
      <c r="D585">
        <v>3498</v>
      </c>
      <c r="G585" t="s">
        <v>5251</v>
      </c>
      <c r="J585" t="s">
        <v>5252</v>
      </c>
      <c r="K585" t="s">
        <v>5252</v>
      </c>
      <c r="L585">
        <v>92991313828</v>
      </c>
      <c r="N585" t="s">
        <v>5253</v>
      </c>
      <c r="Q585" t="s">
        <v>778</v>
      </c>
      <c r="T585" t="s">
        <v>2541</v>
      </c>
      <c r="W585" t="s">
        <v>2559</v>
      </c>
      <c r="X585" t="s">
        <v>780</v>
      </c>
      <c r="Y585" t="s">
        <v>781</v>
      </c>
      <c r="AA585" s="31"/>
      <c r="AD585">
        <v>0</v>
      </c>
      <c r="AE585" t="s">
        <v>22</v>
      </c>
      <c r="AF585" s="31">
        <v>46122</v>
      </c>
      <c r="AG585" s="61">
        <v>0.37111111111111111</v>
      </c>
      <c r="AI585" t="s">
        <v>795</v>
      </c>
      <c r="AJ585" s="31">
        <v>46122</v>
      </c>
      <c r="AK585" s="61">
        <v>0.60116898148148146</v>
      </c>
      <c r="AL585" t="s">
        <v>5194</v>
      </c>
      <c r="AP585" t="s">
        <v>22</v>
      </c>
      <c r="AS585" s="31"/>
      <c r="AT585">
        <v>30</v>
      </c>
      <c r="AY585">
        <v>1</v>
      </c>
    </row>
    <row r="586" spans="1:51" x14ac:dyDescent="0.25">
      <c r="A586" t="s">
        <v>44</v>
      </c>
      <c r="B586">
        <v>1089</v>
      </c>
      <c r="D586">
        <v>3509</v>
      </c>
      <c r="G586" t="s">
        <v>5254</v>
      </c>
      <c r="H586">
        <v>3654966000130</v>
      </c>
      <c r="J586" t="s">
        <v>5255</v>
      </c>
      <c r="K586" t="s">
        <v>5255</v>
      </c>
      <c r="L586">
        <v>27999346494</v>
      </c>
      <c r="N586" t="s">
        <v>5256</v>
      </c>
      <c r="Q586" t="s">
        <v>778</v>
      </c>
      <c r="S586" t="s">
        <v>5257</v>
      </c>
      <c r="T586" t="s">
        <v>1191</v>
      </c>
      <c r="W586" t="s">
        <v>2559</v>
      </c>
      <c r="X586" t="s">
        <v>780</v>
      </c>
      <c r="Y586" t="s">
        <v>781</v>
      </c>
      <c r="AA586" s="31"/>
      <c r="AD586">
        <v>0</v>
      </c>
      <c r="AE586" t="s">
        <v>22</v>
      </c>
      <c r="AF586" s="31">
        <v>46122</v>
      </c>
      <c r="AG586" s="61">
        <v>0.37174768518518519</v>
      </c>
      <c r="AI586" t="s">
        <v>795</v>
      </c>
      <c r="AJ586" s="31">
        <v>46122</v>
      </c>
      <c r="AK586" s="61">
        <v>0.43357638888888889</v>
      </c>
      <c r="AL586" t="s">
        <v>1226</v>
      </c>
      <c r="AM586" t="s">
        <v>5258</v>
      </c>
      <c r="AP586" t="s">
        <v>44</v>
      </c>
      <c r="AS586" s="31"/>
      <c r="AT586">
        <v>30</v>
      </c>
      <c r="AY586">
        <v>1</v>
      </c>
    </row>
    <row r="587" spans="1:51" x14ac:dyDescent="0.25">
      <c r="A587" t="s">
        <v>31</v>
      </c>
      <c r="B587">
        <v>1090</v>
      </c>
      <c r="D587">
        <v>3508</v>
      </c>
      <c r="E587" t="s">
        <v>5259</v>
      </c>
      <c r="G587" t="s">
        <v>5260</v>
      </c>
      <c r="J587" t="s">
        <v>5261</v>
      </c>
      <c r="K587" t="s">
        <v>5261</v>
      </c>
      <c r="L587">
        <v>11949454465</v>
      </c>
      <c r="N587" t="s">
        <v>5262</v>
      </c>
      <c r="Q587" t="s">
        <v>778</v>
      </c>
      <c r="T587" t="s">
        <v>2541</v>
      </c>
      <c r="W587" t="s">
        <v>2559</v>
      </c>
      <c r="X587" t="s">
        <v>780</v>
      </c>
      <c r="Y587" t="s">
        <v>781</v>
      </c>
      <c r="AA587" s="31">
        <v>46142</v>
      </c>
      <c r="AD587">
        <v>0</v>
      </c>
      <c r="AE587" t="s">
        <v>22</v>
      </c>
      <c r="AF587" s="31">
        <v>46122</v>
      </c>
      <c r="AG587" s="61">
        <v>0.37243055555555549</v>
      </c>
      <c r="AI587" t="s">
        <v>795</v>
      </c>
      <c r="AJ587" s="31">
        <v>46122</v>
      </c>
      <c r="AK587" s="61">
        <v>0.44673611111111111</v>
      </c>
      <c r="AL587" t="s">
        <v>1226</v>
      </c>
      <c r="AM587" t="s">
        <v>5263</v>
      </c>
      <c r="AP587" t="s">
        <v>31</v>
      </c>
      <c r="AS587" s="31"/>
      <c r="AT587">
        <v>30</v>
      </c>
      <c r="AY587">
        <v>1</v>
      </c>
    </row>
    <row r="588" spans="1:51" x14ac:dyDescent="0.25">
      <c r="A588" t="s">
        <v>44</v>
      </c>
      <c r="B588">
        <v>1091</v>
      </c>
      <c r="D588">
        <v>3507</v>
      </c>
      <c r="E588" t="s">
        <v>5264</v>
      </c>
      <c r="G588" t="s">
        <v>5265</v>
      </c>
      <c r="J588" t="s">
        <v>5266</v>
      </c>
      <c r="K588" t="s">
        <v>5266</v>
      </c>
      <c r="L588">
        <v>54996551297</v>
      </c>
      <c r="N588" t="s">
        <v>5267</v>
      </c>
      <c r="Q588" t="s">
        <v>778</v>
      </c>
      <c r="T588" t="s">
        <v>2541</v>
      </c>
      <c r="W588" t="s">
        <v>2559</v>
      </c>
      <c r="X588" t="s">
        <v>780</v>
      </c>
      <c r="Y588" t="s">
        <v>897</v>
      </c>
      <c r="AA588" s="31">
        <v>46142</v>
      </c>
      <c r="AD588">
        <v>0</v>
      </c>
      <c r="AE588" t="s">
        <v>22</v>
      </c>
      <c r="AF588" s="31">
        <v>46122</v>
      </c>
      <c r="AG588" s="61">
        <v>0.37309027777777781</v>
      </c>
      <c r="AI588" t="s">
        <v>795</v>
      </c>
      <c r="AJ588" s="31">
        <v>46122</v>
      </c>
      <c r="AK588" s="61">
        <v>0.43474537037037042</v>
      </c>
      <c r="AL588" t="s">
        <v>1226</v>
      </c>
      <c r="AM588" t="s">
        <v>5268</v>
      </c>
      <c r="AP588" t="s">
        <v>44</v>
      </c>
      <c r="AS588" s="31"/>
      <c r="AT588">
        <v>30</v>
      </c>
      <c r="AY588">
        <v>1</v>
      </c>
    </row>
    <row r="589" spans="1:51" x14ac:dyDescent="0.25">
      <c r="A589" t="s">
        <v>31</v>
      </c>
      <c r="B589">
        <v>1092</v>
      </c>
      <c r="D589">
        <v>3506</v>
      </c>
      <c r="G589" t="s">
        <v>5269</v>
      </c>
      <c r="J589" t="s">
        <v>5270</v>
      </c>
      <c r="K589" t="s">
        <v>5270</v>
      </c>
      <c r="L589">
        <v>11994260700</v>
      </c>
      <c r="N589" t="s">
        <v>5271</v>
      </c>
      <c r="Q589" t="s">
        <v>778</v>
      </c>
      <c r="S589" t="s">
        <v>5272</v>
      </c>
      <c r="T589" t="s">
        <v>1191</v>
      </c>
      <c r="W589" t="s">
        <v>3115</v>
      </c>
      <c r="X589" t="s">
        <v>780</v>
      </c>
      <c r="Y589" t="s">
        <v>781</v>
      </c>
      <c r="AA589" s="31">
        <v>46142</v>
      </c>
      <c r="AD589">
        <v>5</v>
      </c>
      <c r="AE589" t="s">
        <v>22</v>
      </c>
      <c r="AF589" s="31">
        <v>46122</v>
      </c>
      <c r="AG589" s="61">
        <v>0.37375000000000003</v>
      </c>
      <c r="AI589" t="s">
        <v>782</v>
      </c>
      <c r="AJ589" s="31"/>
      <c r="AK589" s="61"/>
      <c r="AP589" t="s">
        <v>31</v>
      </c>
      <c r="AS589" s="31"/>
      <c r="AT589">
        <v>30</v>
      </c>
      <c r="AY589">
        <v>1</v>
      </c>
    </row>
    <row r="590" spans="1:51" x14ac:dyDescent="0.25">
      <c r="A590" t="s">
        <v>31</v>
      </c>
      <c r="B590">
        <v>1093</v>
      </c>
      <c r="D590">
        <v>3487</v>
      </c>
      <c r="G590" t="s">
        <v>5273</v>
      </c>
      <c r="H590">
        <v>9313543000133</v>
      </c>
      <c r="J590" t="s">
        <v>5274</v>
      </c>
      <c r="K590" t="s">
        <v>5274</v>
      </c>
      <c r="L590" t="s">
        <v>5275</v>
      </c>
      <c r="N590" t="s">
        <v>5276</v>
      </c>
      <c r="Q590" t="s">
        <v>778</v>
      </c>
      <c r="R590" t="s">
        <v>5277</v>
      </c>
      <c r="T590" t="s">
        <v>814</v>
      </c>
      <c r="W590" t="s">
        <v>1198</v>
      </c>
      <c r="X590" t="s">
        <v>780</v>
      </c>
      <c r="Y590" t="s">
        <v>781</v>
      </c>
      <c r="AA590" s="31">
        <v>46265</v>
      </c>
      <c r="AD590">
        <v>5</v>
      </c>
      <c r="AE590" t="s">
        <v>22</v>
      </c>
      <c r="AF590" s="31">
        <v>46122</v>
      </c>
      <c r="AG590" s="61">
        <v>0.37526620370370373</v>
      </c>
      <c r="AI590" t="s">
        <v>782</v>
      </c>
      <c r="AJ590" s="31"/>
      <c r="AK590" s="61"/>
      <c r="AP590" t="s">
        <v>31</v>
      </c>
      <c r="AS590" s="31"/>
      <c r="AT590">
        <v>30</v>
      </c>
      <c r="AY590">
        <v>1</v>
      </c>
    </row>
    <row r="591" spans="1:51" x14ac:dyDescent="0.25">
      <c r="A591" t="s">
        <v>22</v>
      </c>
      <c r="B591">
        <v>1094</v>
      </c>
      <c r="D591">
        <v>3499</v>
      </c>
      <c r="G591" t="s">
        <v>5278</v>
      </c>
      <c r="J591" t="s">
        <v>5279</v>
      </c>
      <c r="K591" t="s">
        <v>5279</v>
      </c>
      <c r="L591">
        <v>11947878080</v>
      </c>
      <c r="N591" t="s">
        <v>5280</v>
      </c>
      <c r="Q591" t="s">
        <v>778</v>
      </c>
      <c r="T591" t="s">
        <v>2541</v>
      </c>
      <c r="W591" t="s">
        <v>2791</v>
      </c>
      <c r="X591" t="s">
        <v>780</v>
      </c>
      <c r="Y591" t="s">
        <v>781</v>
      </c>
      <c r="AA591" s="31">
        <v>46142</v>
      </c>
      <c r="AD591">
        <v>5</v>
      </c>
      <c r="AE591" t="s">
        <v>22</v>
      </c>
      <c r="AF591" s="31">
        <v>46122</v>
      </c>
      <c r="AG591" s="61">
        <v>0.37623842592592588</v>
      </c>
      <c r="AI591" t="s">
        <v>782</v>
      </c>
      <c r="AJ591" s="31"/>
      <c r="AK591" s="61"/>
      <c r="AP591" t="s">
        <v>22</v>
      </c>
      <c r="AS591" s="31"/>
      <c r="AT591">
        <v>30</v>
      </c>
      <c r="AY591">
        <v>1</v>
      </c>
    </row>
    <row r="592" spans="1:51" x14ac:dyDescent="0.25">
      <c r="A592" t="s">
        <v>44</v>
      </c>
      <c r="B592">
        <v>1095</v>
      </c>
      <c r="D592">
        <v>3489</v>
      </c>
      <c r="E592" t="s">
        <v>5281</v>
      </c>
      <c r="G592" t="s">
        <v>389</v>
      </c>
      <c r="J592" t="s">
        <v>5282</v>
      </c>
      <c r="K592" t="s">
        <v>5282</v>
      </c>
      <c r="L592" t="s">
        <v>5283</v>
      </c>
      <c r="N592" t="s">
        <v>5284</v>
      </c>
      <c r="Q592" t="s">
        <v>778</v>
      </c>
      <c r="R592" t="s">
        <v>5285</v>
      </c>
      <c r="T592" t="s">
        <v>814</v>
      </c>
      <c r="W592" t="s">
        <v>1186</v>
      </c>
      <c r="X592" t="s">
        <v>780</v>
      </c>
      <c r="Y592" t="s">
        <v>897</v>
      </c>
      <c r="AA592" s="31">
        <v>46142</v>
      </c>
      <c r="AD592">
        <v>5</v>
      </c>
      <c r="AE592" t="s">
        <v>22</v>
      </c>
      <c r="AF592" s="31">
        <v>46122</v>
      </c>
      <c r="AG592" s="61">
        <v>0.37702546296296302</v>
      </c>
      <c r="AI592" t="s">
        <v>782</v>
      </c>
      <c r="AJ592" s="31"/>
      <c r="AK592" s="61"/>
      <c r="AP592" t="s">
        <v>44</v>
      </c>
      <c r="AS592" s="31"/>
      <c r="AT592">
        <v>30</v>
      </c>
      <c r="AY592">
        <v>1</v>
      </c>
    </row>
    <row r="593" spans="1:51" x14ac:dyDescent="0.25">
      <c r="A593" t="s">
        <v>22</v>
      </c>
      <c r="B593">
        <v>1096</v>
      </c>
      <c r="D593">
        <v>3513</v>
      </c>
      <c r="G593" t="s">
        <v>5286</v>
      </c>
      <c r="J593" t="s">
        <v>5287</v>
      </c>
      <c r="K593" t="s">
        <v>5287</v>
      </c>
      <c r="L593">
        <v>11996146290</v>
      </c>
      <c r="N593" t="s">
        <v>1111</v>
      </c>
      <c r="Q593" t="s">
        <v>778</v>
      </c>
      <c r="X593" t="s">
        <v>780</v>
      </c>
      <c r="Y593" t="s">
        <v>807</v>
      </c>
      <c r="AA593" s="31"/>
      <c r="AB593">
        <v>26350</v>
      </c>
      <c r="AC593">
        <v>3450</v>
      </c>
      <c r="AD593">
        <v>5</v>
      </c>
      <c r="AE593" t="s">
        <v>22</v>
      </c>
      <c r="AF593" s="31">
        <v>46122</v>
      </c>
      <c r="AG593" s="61">
        <v>0.38574074074074072</v>
      </c>
      <c r="AI593" t="s">
        <v>782</v>
      </c>
      <c r="AJ593" s="31"/>
      <c r="AK593" s="61"/>
      <c r="AP593" t="s">
        <v>22</v>
      </c>
      <c r="AS593" s="31"/>
      <c r="AT593">
        <v>30</v>
      </c>
      <c r="AY593">
        <v>1</v>
      </c>
    </row>
    <row r="594" spans="1:51" x14ac:dyDescent="0.25">
      <c r="A594" t="s">
        <v>31</v>
      </c>
      <c r="B594">
        <v>1097</v>
      </c>
      <c r="D594">
        <v>3514</v>
      </c>
      <c r="F594" t="s">
        <v>5288</v>
      </c>
      <c r="G594" t="s">
        <v>5289</v>
      </c>
      <c r="H594">
        <v>7382350000109</v>
      </c>
      <c r="J594" t="s">
        <v>5288</v>
      </c>
      <c r="K594" t="s">
        <v>5288</v>
      </c>
      <c r="L594" t="s">
        <v>2012</v>
      </c>
      <c r="N594" t="s">
        <v>2013</v>
      </c>
      <c r="Q594" t="s">
        <v>778</v>
      </c>
      <c r="R594" t="s">
        <v>1094</v>
      </c>
      <c r="S594" t="s">
        <v>790</v>
      </c>
      <c r="T594" t="s">
        <v>805</v>
      </c>
      <c r="X594" t="s">
        <v>780</v>
      </c>
      <c r="Y594" t="s">
        <v>781</v>
      </c>
      <c r="AA594" s="31"/>
      <c r="AD594">
        <v>5</v>
      </c>
      <c r="AE594" t="s">
        <v>31</v>
      </c>
      <c r="AF594" s="31">
        <v>46122</v>
      </c>
      <c r="AG594" s="61">
        <v>0.62817129629629631</v>
      </c>
      <c r="AI594" t="s">
        <v>782</v>
      </c>
      <c r="AJ594" s="31"/>
      <c r="AK594" s="61"/>
      <c r="AP594" t="s">
        <v>31</v>
      </c>
      <c r="AS594" s="31"/>
      <c r="AT594">
        <v>30</v>
      </c>
      <c r="AY594">
        <v>1</v>
      </c>
    </row>
    <row r="595" spans="1:51" x14ac:dyDescent="0.25">
      <c r="A595" t="s">
        <v>31</v>
      </c>
      <c r="B595">
        <v>1098</v>
      </c>
      <c r="D595">
        <v>3516</v>
      </c>
      <c r="F595" t="s">
        <v>5290</v>
      </c>
      <c r="G595" t="s">
        <v>5291</v>
      </c>
      <c r="H595">
        <v>34355470000190</v>
      </c>
      <c r="J595" t="s">
        <v>5290</v>
      </c>
      <c r="K595" t="s">
        <v>5290</v>
      </c>
      <c r="L595" t="s">
        <v>5292</v>
      </c>
      <c r="N595" t="s">
        <v>5293</v>
      </c>
      <c r="Q595" t="s">
        <v>778</v>
      </c>
      <c r="R595" t="s">
        <v>1094</v>
      </c>
      <c r="S595" t="s">
        <v>790</v>
      </c>
      <c r="T595" t="s">
        <v>805</v>
      </c>
      <c r="X595" t="s">
        <v>780</v>
      </c>
      <c r="Y595" t="s">
        <v>781</v>
      </c>
      <c r="AA595" s="31"/>
      <c r="AD595">
        <v>0</v>
      </c>
      <c r="AE595" t="s">
        <v>31</v>
      </c>
      <c r="AF595" s="31">
        <v>46122</v>
      </c>
      <c r="AG595" s="61">
        <v>0.65776620370370376</v>
      </c>
      <c r="AI595" t="s">
        <v>795</v>
      </c>
      <c r="AJ595" s="31">
        <v>46122</v>
      </c>
      <c r="AK595" s="61">
        <v>0.65869212962962964</v>
      </c>
      <c r="AL595" t="s">
        <v>1226</v>
      </c>
      <c r="AP595" t="s">
        <v>31</v>
      </c>
      <c r="AS595" s="31"/>
      <c r="AT595">
        <v>30</v>
      </c>
      <c r="AY595">
        <v>1</v>
      </c>
    </row>
    <row r="596" spans="1:51" x14ac:dyDescent="0.25">
      <c r="A596" t="s">
        <v>31</v>
      </c>
      <c r="B596">
        <v>1099</v>
      </c>
      <c r="D596">
        <v>3518</v>
      </c>
      <c r="F596" t="s">
        <v>5294</v>
      </c>
      <c r="G596" t="s">
        <v>5295</v>
      </c>
      <c r="H596">
        <v>527682000195</v>
      </c>
      <c r="J596" t="s">
        <v>5294</v>
      </c>
      <c r="K596" t="s">
        <v>5294</v>
      </c>
      <c r="L596" t="s">
        <v>5296</v>
      </c>
      <c r="N596" t="s">
        <v>5297</v>
      </c>
      <c r="Q596" t="s">
        <v>778</v>
      </c>
      <c r="R596" t="s">
        <v>5298</v>
      </c>
      <c r="S596" t="s">
        <v>790</v>
      </c>
      <c r="T596" t="s">
        <v>805</v>
      </c>
      <c r="X596" t="s">
        <v>780</v>
      </c>
      <c r="Y596" t="s">
        <v>781</v>
      </c>
      <c r="AA596" s="31"/>
      <c r="AD596">
        <v>5</v>
      </c>
      <c r="AE596" t="s">
        <v>31</v>
      </c>
      <c r="AF596" s="31">
        <v>46122</v>
      </c>
      <c r="AG596" s="61">
        <v>0.71690972222222227</v>
      </c>
      <c r="AI596" t="s">
        <v>782</v>
      </c>
      <c r="AJ596" s="31"/>
      <c r="AK596" s="61"/>
      <c r="AP596" t="s">
        <v>31</v>
      </c>
      <c r="AS596" s="31"/>
      <c r="AT596">
        <v>28</v>
      </c>
      <c r="AY596">
        <v>1</v>
      </c>
    </row>
    <row r="597" spans="1:51" x14ac:dyDescent="0.25">
      <c r="A597" t="s">
        <v>31</v>
      </c>
      <c r="B597">
        <v>1100</v>
      </c>
      <c r="D597">
        <v>3522</v>
      </c>
      <c r="F597" t="s">
        <v>5299</v>
      </c>
      <c r="G597" t="s">
        <v>5300</v>
      </c>
      <c r="H597">
        <v>28516601000170</v>
      </c>
      <c r="J597" t="s">
        <v>5299</v>
      </c>
      <c r="K597" t="s">
        <v>5299</v>
      </c>
      <c r="L597" t="s">
        <v>5301</v>
      </c>
      <c r="N597" t="s">
        <v>5302</v>
      </c>
      <c r="Q597" t="s">
        <v>778</v>
      </c>
      <c r="R597" t="s">
        <v>5303</v>
      </c>
      <c r="S597" t="s">
        <v>790</v>
      </c>
      <c r="T597" t="s">
        <v>805</v>
      </c>
      <c r="X597" t="s">
        <v>780</v>
      </c>
      <c r="Y597" t="s">
        <v>781</v>
      </c>
      <c r="AA597" s="31"/>
      <c r="AD597">
        <v>5</v>
      </c>
      <c r="AE597" t="s">
        <v>31</v>
      </c>
      <c r="AF597" s="31">
        <v>46122</v>
      </c>
      <c r="AG597" s="61">
        <v>0.72449074074074071</v>
      </c>
      <c r="AI597" t="s">
        <v>782</v>
      </c>
      <c r="AJ597" s="31"/>
      <c r="AK597" s="61"/>
      <c r="AP597" t="s">
        <v>31</v>
      </c>
      <c r="AS597" s="31"/>
      <c r="AT597">
        <v>30</v>
      </c>
      <c r="AY597">
        <v>1</v>
      </c>
    </row>
    <row r="598" spans="1:51" x14ac:dyDescent="0.25">
      <c r="A598" t="s">
        <v>31</v>
      </c>
      <c r="B598">
        <v>1101</v>
      </c>
      <c r="D598">
        <v>3530</v>
      </c>
      <c r="F598" t="s">
        <v>5304</v>
      </c>
      <c r="G598" t="s">
        <v>398</v>
      </c>
      <c r="H598">
        <v>12259254000108</v>
      </c>
      <c r="J598" t="s">
        <v>5304</v>
      </c>
      <c r="K598" t="s">
        <v>5304</v>
      </c>
      <c r="L598" t="s">
        <v>4915</v>
      </c>
      <c r="N598" t="s">
        <v>5305</v>
      </c>
      <c r="Q598" t="s">
        <v>778</v>
      </c>
      <c r="R598" t="s">
        <v>1094</v>
      </c>
      <c r="S598" t="s">
        <v>790</v>
      </c>
      <c r="T598" t="s">
        <v>805</v>
      </c>
      <c r="X598" t="s">
        <v>780</v>
      </c>
      <c r="Y598" t="s">
        <v>857</v>
      </c>
      <c r="AA598" s="31">
        <v>46234</v>
      </c>
      <c r="AD598">
        <v>2</v>
      </c>
      <c r="AE598" t="s">
        <v>31</v>
      </c>
      <c r="AF598" s="31">
        <v>46125</v>
      </c>
      <c r="AG598" s="61">
        <v>0.52216435185185184</v>
      </c>
      <c r="AI598" t="s">
        <v>782</v>
      </c>
      <c r="AJ598" s="31"/>
      <c r="AK598" s="61"/>
      <c r="AP598" t="s">
        <v>31</v>
      </c>
      <c r="AS598" s="31"/>
      <c r="AT598">
        <v>30</v>
      </c>
      <c r="AY598">
        <v>1</v>
      </c>
    </row>
    <row r="599" spans="1:51" x14ac:dyDescent="0.25">
      <c r="A599" t="s">
        <v>44</v>
      </c>
      <c r="B599">
        <v>1102</v>
      </c>
      <c r="D599">
        <v>3533</v>
      </c>
      <c r="F599" t="s">
        <v>5306</v>
      </c>
      <c r="G599" t="s">
        <v>5307</v>
      </c>
      <c r="H599">
        <v>50306471000524</v>
      </c>
      <c r="J599" t="s">
        <v>5306</v>
      </c>
      <c r="K599" t="s">
        <v>5306</v>
      </c>
      <c r="L599" t="s">
        <v>5308</v>
      </c>
      <c r="N599" t="s">
        <v>5309</v>
      </c>
      <c r="Q599" t="s">
        <v>778</v>
      </c>
      <c r="R599" t="s">
        <v>1596</v>
      </c>
      <c r="S599" t="s">
        <v>790</v>
      </c>
      <c r="T599" t="s">
        <v>805</v>
      </c>
      <c r="X599" t="s">
        <v>780</v>
      </c>
      <c r="Y599" t="s">
        <v>781</v>
      </c>
      <c r="AA599" s="31"/>
      <c r="AD599">
        <v>2</v>
      </c>
      <c r="AE599" t="s">
        <v>44</v>
      </c>
      <c r="AF599" s="31">
        <v>46125</v>
      </c>
      <c r="AG599" s="61">
        <v>0.63520833333333337</v>
      </c>
      <c r="AI599" t="s">
        <v>782</v>
      </c>
      <c r="AJ599" s="31"/>
      <c r="AK599" s="61"/>
      <c r="AS599" s="31"/>
      <c r="AT599">
        <v>30</v>
      </c>
      <c r="AW599" t="s">
        <v>4741</v>
      </c>
      <c r="AY599">
        <v>1</v>
      </c>
    </row>
    <row r="600" spans="1:51" x14ac:dyDescent="0.25">
      <c r="A600" t="s">
        <v>31</v>
      </c>
      <c r="B600">
        <v>1103</v>
      </c>
      <c r="D600">
        <v>3534</v>
      </c>
      <c r="E600" t="s">
        <v>5310</v>
      </c>
      <c r="G600" t="s">
        <v>409</v>
      </c>
      <c r="H600">
        <v>8822792000191</v>
      </c>
      <c r="J600" t="s">
        <v>5311</v>
      </c>
      <c r="K600" t="s">
        <v>5311</v>
      </c>
      <c r="L600" t="s">
        <v>5312</v>
      </c>
      <c r="N600" t="s">
        <v>5313</v>
      </c>
      <c r="Q600" t="s">
        <v>778</v>
      </c>
      <c r="R600" t="s">
        <v>1094</v>
      </c>
      <c r="S600" t="s">
        <v>790</v>
      </c>
      <c r="T600" t="s">
        <v>814</v>
      </c>
      <c r="W600" t="s">
        <v>2878</v>
      </c>
      <c r="X600" t="s">
        <v>780</v>
      </c>
      <c r="Y600" t="s">
        <v>857</v>
      </c>
      <c r="AA600" s="31">
        <v>46295</v>
      </c>
      <c r="AD600">
        <v>1</v>
      </c>
      <c r="AE600" t="s">
        <v>22</v>
      </c>
      <c r="AF600" s="31">
        <v>46126</v>
      </c>
      <c r="AG600" s="61">
        <v>0.41895833333333332</v>
      </c>
      <c r="AI600" t="s">
        <v>782</v>
      </c>
      <c r="AJ600" s="31"/>
      <c r="AK600" s="61"/>
      <c r="AP600" t="s">
        <v>31</v>
      </c>
      <c r="AS600" s="31"/>
      <c r="AT600">
        <v>30</v>
      </c>
      <c r="AY600">
        <v>1</v>
      </c>
    </row>
    <row r="601" spans="1:51" x14ac:dyDescent="0.25">
      <c r="A601" t="s">
        <v>31</v>
      </c>
      <c r="B601">
        <v>1104</v>
      </c>
      <c r="D601">
        <v>3527</v>
      </c>
      <c r="E601" t="s">
        <v>5314</v>
      </c>
      <c r="G601" t="s">
        <v>5315</v>
      </c>
      <c r="J601" t="s">
        <v>5316</v>
      </c>
      <c r="K601" t="s">
        <v>5316</v>
      </c>
      <c r="L601">
        <v>33988611992</v>
      </c>
      <c r="N601" t="s">
        <v>5317</v>
      </c>
      <c r="Q601" t="s">
        <v>778</v>
      </c>
      <c r="S601" t="s">
        <v>5318</v>
      </c>
      <c r="T601" t="s">
        <v>1191</v>
      </c>
      <c r="W601" t="s">
        <v>2559</v>
      </c>
      <c r="X601" t="s">
        <v>780</v>
      </c>
      <c r="Y601" t="s">
        <v>781</v>
      </c>
      <c r="AA601" s="31">
        <v>46142</v>
      </c>
      <c r="AD601">
        <v>0</v>
      </c>
      <c r="AE601" t="s">
        <v>22</v>
      </c>
      <c r="AF601" s="31">
        <v>46126</v>
      </c>
      <c r="AG601" s="61">
        <v>0.4208101851851852</v>
      </c>
      <c r="AI601" t="s">
        <v>795</v>
      </c>
      <c r="AJ601" s="31">
        <v>46126</v>
      </c>
      <c r="AK601" s="61">
        <v>0.43841435185185179</v>
      </c>
      <c r="AL601" t="s">
        <v>1226</v>
      </c>
      <c r="AP601" t="s">
        <v>31</v>
      </c>
      <c r="AS601" s="31"/>
      <c r="AT601">
        <v>30</v>
      </c>
      <c r="AY601">
        <v>1</v>
      </c>
    </row>
    <row r="602" spans="1:51" x14ac:dyDescent="0.25">
      <c r="A602" t="s">
        <v>44</v>
      </c>
      <c r="B602">
        <v>1105</v>
      </c>
      <c r="D602">
        <v>3524</v>
      </c>
      <c r="E602" t="s">
        <v>5319</v>
      </c>
      <c r="G602" t="s">
        <v>5320</v>
      </c>
      <c r="J602" t="s">
        <v>5321</v>
      </c>
      <c r="K602" t="s">
        <v>5321</v>
      </c>
      <c r="L602">
        <v>66996472785</v>
      </c>
      <c r="N602" t="s">
        <v>5322</v>
      </c>
      <c r="Q602" t="s">
        <v>778</v>
      </c>
      <c r="T602" t="s">
        <v>2541</v>
      </c>
      <c r="W602" t="s">
        <v>2559</v>
      </c>
      <c r="X602" t="s">
        <v>780</v>
      </c>
      <c r="Y602" t="s">
        <v>897</v>
      </c>
      <c r="AA602" s="31">
        <v>46126</v>
      </c>
      <c r="AD602">
        <v>0</v>
      </c>
      <c r="AE602" t="s">
        <v>22</v>
      </c>
      <c r="AF602" s="31">
        <v>46126</v>
      </c>
      <c r="AG602" s="61">
        <v>0.42281249999999998</v>
      </c>
      <c r="AI602" t="s">
        <v>795</v>
      </c>
      <c r="AJ602" s="31">
        <v>46126</v>
      </c>
      <c r="AK602" s="61">
        <v>0.49921296296296302</v>
      </c>
      <c r="AL602" t="s">
        <v>1226</v>
      </c>
      <c r="AM602" t="s">
        <v>5323</v>
      </c>
      <c r="AP602" t="s">
        <v>44</v>
      </c>
      <c r="AS602" s="31"/>
      <c r="AT602">
        <v>30</v>
      </c>
      <c r="AY602">
        <v>1</v>
      </c>
    </row>
    <row r="603" spans="1:51" x14ac:dyDescent="0.25">
      <c r="A603" t="s">
        <v>44</v>
      </c>
      <c r="B603">
        <v>1106</v>
      </c>
      <c r="D603">
        <v>3525</v>
      </c>
      <c r="G603" t="s">
        <v>5324</v>
      </c>
      <c r="J603" t="s">
        <v>4841</v>
      </c>
      <c r="K603" t="s">
        <v>4841</v>
      </c>
      <c r="L603">
        <v>64999291080</v>
      </c>
      <c r="N603" t="s">
        <v>5325</v>
      </c>
      <c r="Q603" t="s">
        <v>778</v>
      </c>
      <c r="S603" t="s">
        <v>5326</v>
      </c>
      <c r="T603" t="s">
        <v>1191</v>
      </c>
      <c r="W603" t="s">
        <v>3115</v>
      </c>
      <c r="X603" t="s">
        <v>780</v>
      </c>
      <c r="Y603" t="s">
        <v>781</v>
      </c>
      <c r="AA603" s="31">
        <v>46126</v>
      </c>
      <c r="AD603">
        <v>1</v>
      </c>
      <c r="AE603" t="s">
        <v>22</v>
      </c>
      <c r="AF603" s="31">
        <v>46126</v>
      </c>
      <c r="AG603" s="61">
        <v>0.42342592592592587</v>
      </c>
      <c r="AI603" t="s">
        <v>782</v>
      </c>
      <c r="AJ603" s="31"/>
      <c r="AK603" s="61"/>
      <c r="AP603" t="s">
        <v>44</v>
      </c>
      <c r="AS603" s="31"/>
      <c r="AT603">
        <v>30</v>
      </c>
      <c r="AY603">
        <v>1</v>
      </c>
    </row>
    <row r="604" spans="1:51" x14ac:dyDescent="0.25">
      <c r="A604" t="s">
        <v>44</v>
      </c>
      <c r="B604">
        <v>1107</v>
      </c>
      <c r="D604">
        <v>3526</v>
      </c>
      <c r="G604" t="s">
        <v>5327</v>
      </c>
      <c r="H604">
        <v>52975803000165</v>
      </c>
      <c r="J604" t="s">
        <v>5328</v>
      </c>
      <c r="K604" t="s">
        <v>5328</v>
      </c>
      <c r="L604">
        <v>85994341515</v>
      </c>
      <c r="N604" t="s">
        <v>5329</v>
      </c>
      <c r="Q604" t="s">
        <v>778</v>
      </c>
      <c r="R604" t="s">
        <v>5330</v>
      </c>
      <c r="S604" t="s">
        <v>5331</v>
      </c>
      <c r="T604" t="s">
        <v>2541</v>
      </c>
      <c r="W604" t="s">
        <v>3115</v>
      </c>
      <c r="X604" t="s">
        <v>780</v>
      </c>
      <c r="Y604" t="s">
        <v>781</v>
      </c>
      <c r="AA604" s="31">
        <v>46126</v>
      </c>
      <c r="AD604">
        <v>1</v>
      </c>
      <c r="AE604" t="s">
        <v>22</v>
      </c>
      <c r="AF604" s="31">
        <v>46126</v>
      </c>
      <c r="AG604" s="61">
        <v>0.42473379629629632</v>
      </c>
      <c r="AI604" t="s">
        <v>782</v>
      </c>
      <c r="AJ604" s="31"/>
      <c r="AK604" s="61"/>
      <c r="AP604" t="s">
        <v>44</v>
      </c>
      <c r="AS604" s="31"/>
      <c r="AT604">
        <v>30</v>
      </c>
      <c r="AY604">
        <v>1</v>
      </c>
    </row>
    <row r="605" spans="1:51" x14ac:dyDescent="0.25">
      <c r="A605" t="s">
        <v>44</v>
      </c>
      <c r="B605">
        <v>1113</v>
      </c>
      <c r="D605">
        <v>3542</v>
      </c>
      <c r="F605" t="s">
        <v>5332</v>
      </c>
      <c r="G605" t="s">
        <v>399</v>
      </c>
      <c r="H605">
        <v>38116840000197</v>
      </c>
      <c r="J605" t="s">
        <v>5332</v>
      </c>
      <c r="K605" t="s">
        <v>5332</v>
      </c>
      <c r="L605" t="s">
        <v>5333</v>
      </c>
      <c r="N605" t="s">
        <v>5334</v>
      </c>
      <c r="Q605" t="s">
        <v>778</v>
      </c>
      <c r="R605" t="s">
        <v>2945</v>
      </c>
      <c r="S605" t="s">
        <v>1105</v>
      </c>
      <c r="T605" t="s">
        <v>805</v>
      </c>
      <c r="X605" t="s">
        <v>780</v>
      </c>
      <c r="Y605" t="s">
        <v>857</v>
      </c>
      <c r="AA605" s="31"/>
      <c r="AD605">
        <v>1</v>
      </c>
      <c r="AE605" t="s">
        <v>44</v>
      </c>
      <c r="AF605" s="31">
        <v>46126</v>
      </c>
      <c r="AG605" s="61">
        <v>0.69707175925925924</v>
      </c>
      <c r="AI605" t="s">
        <v>782</v>
      </c>
      <c r="AJ605" s="31"/>
      <c r="AK605" s="61"/>
      <c r="AQ605" t="s">
        <v>4698</v>
      </c>
      <c r="AS605" s="31"/>
      <c r="AT605">
        <v>50</v>
      </c>
      <c r="AY605">
        <v>1</v>
      </c>
    </row>
    <row r="606" spans="1:51" x14ac:dyDescent="0.25">
      <c r="A606" t="s">
        <v>44</v>
      </c>
      <c r="B606">
        <v>1114</v>
      </c>
      <c r="D606">
        <v>3544</v>
      </c>
      <c r="G606" t="s">
        <v>410</v>
      </c>
      <c r="H606">
        <v>38116840000197</v>
      </c>
      <c r="J606" t="s">
        <v>5335</v>
      </c>
      <c r="K606" t="s">
        <v>5335</v>
      </c>
      <c r="L606">
        <v>3133780033</v>
      </c>
      <c r="N606" t="s">
        <v>5334</v>
      </c>
      <c r="Q606" t="s">
        <v>778</v>
      </c>
      <c r="R606" t="s">
        <v>2945</v>
      </c>
      <c r="S606" t="s">
        <v>1105</v>
      </c>
      <c r="X606" t="s">
        <v>780</v>
      </c>
      <c r="Y606" t="s">
        <v>857</v>
      </c>
      <c r="AA606" s="31"/>
      <c r="AD606">
        <v>1</v>
      </c>
      <c r="AE606" t="s">
        <v>44</v>
      </c>
      <c r="AF606" s="31">
        <v>46126</v>
      </c>
      <c r="AG606" s="61">
        <v>0.69881944444444444</v>
      </c>
      <c r="AI606" t="s">
        <v>782</v>
      </c>
      <c r="AJ606" s="31"/>
      <c r="AK606" s="61"/>
      <c r="AR606" t="s">
        <v>4698</v>
      </c>
      <c r="AS606" s="31"/>
      <c r="AT606">
        <v>50</v>
      </c>
      <c r="AY606">
        <v>1</v>
      </c>
    </row>
  </sheetData>
  <pageMargins left="0.511811024" right="0.511811024" top="0.78740157499999996" bottom="0.78740157499999996" header="0.31496062000000002" footer="0.3149606200000000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AX717"/>
  <sheetViews>
    <sheetView topLeftCell="A433" workbookViewId="0">
      <selection activeCell="A712" sqref="A712"/>
    </sheetView>
  </sheetViews>
  <sheetFormatPr defaultRowHeight="15" x14ac:dyDescent="0.25"/>
  <cols>
    <col min="1" max="1" width="17.85546875" bestFit="1" customWidth="1"/>
    <col min="2" max="2" width="17" bestFit="1" customWidth="1"/>
    <col min="3" max="3" width="11.28515625" bestFit="1" customWidth="1"/>
    <col min="4" max="4" width="11.85546875" bestFit="1" customWidth="1"/>
    <col min="5" max="6" width="80.85546875" bestFit="1" customWidth="1"/>
    <col min="7" max="7" width="67.28515625" bestFit="1" customWidth="1"/>
    <col min="8" max="8" width="12" bestFit="1" customWidth="1"/>
    <col min="9" max="9" width="76" bestFit="1" customWidth="1"/>
    <col min="10" max="10" width="80.85546875" bestFit="1" customWidth="1"/>
    <col min="11" max="11" width="40.7109375" bestFit="1" customWidth="1"/>
    <col min="12" max="12" width="18.7109375" bestFit="1" customWidth="1"/>
    <col min="13" max="13" width="44.28515625" bestFit="1" customWidth="1"/>
    <col min="14" max="14" width="17" bestFit="1" customWidth="1"/>
    <col min="15" max="15" width="30.140625" bestFit="1" customWidth="1"/>
    <col min="16" max="16" width="35.28515625" bestFit="1" customWidth="1"/>
    <col min="17" max="17" width="25.140625" bestFit="1" customWidth="1"/>
    <col min="18" max="18" width="19" bestFit="1" customWidth="1"/>
    <col min="19" max="19" width="23.140625" bestFit="1" customWidth="1"/>
    <col min="20" max="20" width="18" bestFit="1" customWidth="1"/>
    <col min="21" max="21" width="20" bestFit="1" customWidth="1"/>
    <col min="22" max="22" width="59.7109375" bestFit="1" customWidth="1"/>
    <col min="23" max="23" width="16.28515625" bestFit="1" customWidth="1"/>
    <col min="24" max="24" width="30.140625" bestFit="1" customWidth="1"/>
    <col min="25" max="25" width="31.85546875" bestFit="1" customWidth="1"/>
    <col min="26" max="26" width="28.28515625" bestFit="1" customWidth="1"/>
    <col min="27" max="27" width="12" bestFit="1" customWidth="1"/>
    <col min="28" max="28" width="14" bestFit="1" customWidth="1"/>
    <col min="29" max="29" width="25.7109375" bestFit="1" customWidth="1"/>
    <col min="30" max="30" width="17.85546875" bestFit="1" customWidth="1"/>
    <col min="31" max="31" width="16.42578125" bestFit="1" customWidth="1"/>
    <col min="32" max="32" width="16.5703125" bestFit="1" customWidth="1"/>
    <col min="33" max="33" width="15.7109375" bestFit="1" customWidth="1"/>
    <col min="34" max="34" width="8.5703125" bestFit="1" customWidth="1"/>
    <col min="35" max="35" width="21" bestFit="1" customWidth="1"/>
    <col min="36" max="36" width="21.140625" bestFit="1" customWidth="1"/>
    <col min="37" max="37" width="56.140625" bestFit="1" customWidth="1"/>
    <col min="38" max="38" width="80.85546875" bestFit="1" customWidth="1"/>
    <col min="39" max="39" width="19.7109375" bestFit="1" customWidth="1"/>
    <col min="40" max="40" width="15.28515625" bestFit="1" customWidth="1"/>
    <col min="41" max="41" width="17.85546875" bestFit="1" customWidth="1"/>
    <col min="42" max="43" width="19.7109375" bestFit="1" customWidth="1"/>
    <col min="44" max="44" width="16.5703125" bestFit="1" customWidth="1"/>
    <col min="45" max="45" width="13.85546875" bestFit="1" customWidth="1"/>
    <col min="46" max="46" width="8.140625" bestFit="1" customWidth="1"/>
    <col min="47" max="47" width="33.85546875" bestFit="1" customWidth="1"/>
    <col min="48" max="48" width="11.85546875" bestFit="1" customWidth="1"/>
    <col min="49" max="49" width="16.7109375" bestFit="1" customWidth="1"/>
    <col min="50" max="50" width="7.140625" bestFit="1" customWidth="1"/>
  </cols>
  <sheetData>
    <row r="1" spans="1:50" x14ac:dyDescent="0.25">
      <c r="A1" t="s">
        <v>212</v>
      </c>
      <c r="B1" t="s">
        <v>731</v>
      </c>
      <c r="C1" t="s">
        <v>732</v>
      </c>
      <c r="D1" t="s">
        <v>733</v>
      </c>
      <c r="E1" t="s">
        <v>734</v>
      </c>
      <c r="F1" t="s">
        <v>735</v>
      </c>
      <c r="G1" t="s">
        <v>736</v>
      </c>
      <c r="H1" t="s">
        <v>40</v>
      </c>
      <c r="I1" t="s">
        <v>737</v>
      </c>
      <c r="J1" t="s">
        <v>738</v>
      </c>
      <c r="K1" t="s">
        <v>739</v>
      </c>
      <c r="L1" t="s">
        <v>740</v>
      </c>
      <c r="M1" t="s">
        <v>741</v>
      </c>
      <c r="N1" t="s">
        <v>742</v>
      </c>
      <c r="O1" t="s">
        <v>743</v>
      </c>
      <c r="P1" t="s">
        <v>744</v>
      </c>
      <c r="Q1" t="s">
        <v>745</v>
      </c>
      <c r="R1" t="s">
        <v>746</v>
      </c>
      <c r="S1" t="s">
        <v>747</v>
      </c>
      <c r="T1" t="s">
        <v>748</v>
      </c>
      <c r="U1" t="s">
        <v>749</v>
      </c>
      <c r="V1" t="s">
        <v>750</v>
      </c>
      <c r="W1" t="s">
        <v>751</v>
      </c>
      <c r="X1" t="s">
        <v>752</v>
      </c>
      <c r="Y1" t="s">
        <v>753</v>
      </c>
      <c r="Z1" t="s">
        <v>754</v>
      </c>
      <c r="AA1" t="s">
        <v>755</v>
      </c>
      <c r="AB1" t="s">
        <v>756</v>
      </c>
      <c r="AC1" t="s">
        <v>757</v>
      </c>
      <c r="AD1" t="s">
        <v>758</v>
      </c>
      <c r="AE1" t="s">
        <v>759</v>
      </c>
      <c r="AF1" t="s">
        <v>760</v>
      </c>
      <c r="AG1" t="s">
        <v>761</v>
      </c>
      <c r="AH1" t="s">
        <v>762</v>
      </c>
      <c r="AI1" t="s">
        <v>763</v>
      </c>
      <c r="AJ1" t="s">
        <v>764</v>
      </c>
      <c r="AK1" t="s">
        <v>765</v>
      </c>
      <c r="AL1" t="s">
        <v>766</v>
      </c>
      <c r="AM1" t="s">
        <v>767</v>
      </c>
      <c r="AN1" t="s">
        <v>249</v>
      </c>
      <c r="AO1" t="s">
        <v>768</v>
      </c>
      <c r="AP1" t="s">
        <v>214</v>
      </c>
      <c r="AQ1" t="s">
        <v>769</v>
      </c>
      <c r="AR1" t="s">
        <v>770</v>
      </c>
      <c r="AS1" t="s">
        <v>260</v>
      </c>
      <c r="AT1" t="s">
        <v>258</v>
      </c>
      <c r="AU1" t="s">
        <v>771</v>
      </c>
      <c r="AV1" t="s">
        <v>257</v>
      </c>
      <c r="AW1" t="s">
        <v>772</v>
      </c>
      <c r="AX1" t="s">
        <v>4593</v>
      </c>
    </row>
    <row r="2" spans="1:50" x14ac:dyDescent="0.25">
      <c r="A2" t="s">
        <v>22</v>
      </c>
      <c r="B2">
        <v>87</v>
      </c>
      <c r="D2">
        <v>548</v>
      </c>
      <c r="G2" t="s">
        <v>774</v>
      </c>
      <c r="J2" t="s">
        <v>775</v>
      </c>
      <c r="K2" t="s">
        <v>776</v>
      </c>
      <c r="M2" t="s">
        <v>777</v>
      </c>
      <c r="V2" t="s">
        <v>779</v>
      </c>
      <c r="W2" t="s">
        <v>780</v>
      </c>
      <c r="X2" t="s">
        <v>781</v>
      </c>
      <c r="Z2" s="31"/>
      <c r="AA2">
        <v>0</v>
      </c>
      <c r="AB2">
        <v>27562</v>
      </c>
      <c r="AC2">
        <v>540</v>
      </c>
      <c r="AD2" t="s">
        <v>22</v>
      </c>
      <c r="AE2" s="31">
        <v>45622</v>
      </c>
      <c r="AF2" s="61">
        <v>0.72627314814814814</v>
      </c>
      <c r="AH2" t="s">
        <v>782</v>
      </c>
      <c r="AI2" s="31"/>
      <c r="AJ2" s="61"/>
      <c r="AO2" t="s">
        <v>22</v>
      </c>
      <c r="AR2" s="31"/>
      <c r="AX2">
        <v>1</v>
      </c>
    </row>
    <row r="3" spans="1:50" x14ac:dyDescent="0.25">
      <c r="A3" t="s">
        <v>44</v>
      </c>
      <c r="B3">
        <v>88</v>
      </c>
      <c r="D3">
        <v>269</v>
      </c>
      <c r="F3" t="s">
        <v>783</v>
      </c>
      <c r="G3" t="s">
        <v>5336</v>
      </c>
      <c r="H3">
        <v>24870219000100</v>
      </c>
      <c r="J3" t="s">
        <v>785</v>
      </c>
      <c r="K3" t="s">
        <v>786</v>
      </c>
      <c r="M3" t="s">
        <v>787</v>
      </c>
      <c r="O3" t="s">
        <v>788</v>
      </c>
      <c r="Q3" t="s">
        <v>789</v>
      </c>
      <c r="R3" t="s">
        <v>790</v>
      </c>
      <c r="S3" t="s">
        <v>791</v>
      </c>
      <c r="V3" t="s">
        <v>5337</v>
      </c>
      <c r="W3" t="s">
        <v>780</v>
      </c>
      <c r="X3" t="s">
        <v>793</v>
      </c>
      <c r="Z3" s="31"/>
      <c r="AC3">
        <v>55</v>
      </c>
      <c r="AD3" t="s">
        <v>794</v>
      </c>
      <c r="AE3" s="31">
        <v>45623</v>
      </c>
      <c r="AF3" s="61">
        <v>0.60320601851851852</v>
      </c>
      <c r="AH3" t="s">
        <v>795</v>
      </c>
      <c r="AI3" s="31">
        <v>45678</v>
      </c>
      <c r="AJ3" s="61">
        <v>0.49710648148148151</v>
      </c>
      <c r="AK3" t="s">
        <v>5338</v>
      </c>
      <c r="AL3" t="s">
        <v>5339</v>
      </c>
      <c r="AM3" t="s">
        <v>798</v>
      </c>
      <c r="AN3" t="s">
        <v>799</v>
      </c>
      <c r="AO3" t="s">
        <v>794</v>
      </c>
      <c r="AP3" t="s">
        <v>798</v>
      </c>
      <c r="AR3" s="31"/>
      <c r="AX3">
        <v>1</v>
      </c>
    </row>
    <row r="4" spans="1:50" x14ac:dyDescent="0.25">
      <c r="A4" t="s">
        <v>22</v>
      </c>
      <c r="B4">
        <v>89</v>
      </c>
      <c r="D4">
        <v>439</v>
      </c>
      <c r="E4" t="s">
        <v>800</v>
      </c>
      <c r="G4" t="s">
        <v>801</v>
      </c>
      <c r="H4">
        <v>51921277000198</v>
      </c>
      <c r="J4" t="s">
        <v>802</v>
      </c>
      <c r="K4" t="s">
        <v>803</v>
      </c>
      <c r="M4" t="s">
        <v>804</v>
      </c>
      <c r="S4" t="s">
        <v>805</v>
      </c>
      <c r="V4" t="s">
        <v>806</v>
      </c>
      <c r="W4" t="s">
        <v>780</v>
      </c>
      <c r="X4" t="s">
        <v>807</v>
      </c>
      <c r="Z4" s="31"/>
      <c r="AC4">
        <v>63</v>
      </c>
      <c r="AD4" t="s">
        <v>594</v>
      </c>
      <c r="AE4" s="31">
        <v>45623</v>
      </c>
      <c r="AF4" s="61">
        <v>0.6035300925925926</v>
      </c>
      <c r="AH4" t="s">
        <v>795</v>
      </c>
      <c r="AI4" s="31">
        <v>45686</v>
      </c>
      <c r="AJ4" s="61">
        <v>4.445601851851852E-2</v>
      </c>
      <c r="AK4" t="s">
        <v>808</v>
      </c>
      <c r="AM4" t="s">
        <v>798</v>
      </c>
      <c r="AO4" t="s">
        <v>594</v>
      </c>
      <c r="AR4" s="31"/>
      <c r="AX4">
        <v>1</v>
      </c>
    </row>
    <row r="5" spans="1:50" x14ac:dyDescent="0.25">
      <c r="A5" t="s">
        <v>44</v>
      </c>
      <c r="B5">
        <v>90</v>
      </c>
      <c r="D5">
        <v>372</v>
      </c>
      <c r="E5" t="s">
        <v>809</v>
      </c>
      <c r="G5" t="s">
        <v>810</v>
      </c>
      <c r="H5">
        <v>1740627000575</v>
      </c>
      <c r="J5" t="s">
        <v>811</v>
      </c>
      <c r="K5" t="s">
        <v>812</v>
      </c>
      <c r="M5" t="s">
        <v>813</v>
      </c>
      <c r="S5" t="s">
        <v>814</v>
      </c>
      <c r="V5" t="s">
        <v>5340</v>
      </c>
      <c r="W5" t="s">
        <v>780</v>
      </c>
      <c r="X5" t="s">
        <v>816</v>
      </c>
      <c r="Y5" t="s">
        <v>817</v>
      </c>
      <c r="Z5" s="31"/>
      <c r="AA5">
        <v>14416</v>
      </c>
      <c r="AB5">
        <v>18072</v>
      </c>
      <c r="AC5">
        <v>266</v>
      </c>
      <c r="AD5" t="s">
        <v>594</v>
      </c>
      <c r="AE5" s="31">
        <v>45623</v>
      </c>
      <c r="AF5" s="61">
        <v>0.64762731481481484</v>
      </c>
      <c r="AH5" t="s">
        <v>818</v>
      </c>
      <c r="AI5" s="31">
        <v>45889</v>
      </c>
      <c r="AJ5" s="61">
        <v>0.4010185185185185</v>
      </c>
      <c r="AM5" t="s">
        <v>819</v>
      </c>
      <c r="AN5" t="s">
        <v>820</v>
      </c>
      <c r="AO5" t="s">
        <v>594</v>
      </c>
      <c r="AP5" t="s">
        <v>821</v>
      </c>
      <c r="AQ5" t="s">
        <v>820</v>
      </c>
      <c r="AR5" s="31"/>
      <c r="AX5">
        <v>1</v>
      </c>
    </row>
    <row r="6" spans="1:50" x14ac:dyDescent="0.25">
      <c r="A6" t="s">
        <v>44</v>
      </c>
      <c r="B6">
        <v>91</v>
      </c>
      <c r="D6">
        <v>502</v>
      </c>
      <c r="E6" t="s">
        <v>822</v>
      </c>
      <c r="G6" t="s">
        <v>823</v>
      </c>
      <c r="H6">
        <v>8196258000117</v>
      </c>
      <c r="J6" t="s">
        <v>5341</v>
      </c>
      <c r="K6" t="s">
        <v>825</v>
      </c>
      <c r="M6" t="s">
        <v>826</v>
      </c>
      <c r="S6" t="s">
        <v>814</v>
      </c>
      <c r="V6" t="s">
        <v>5342</v>
      </c>
      <c r="W6" t="s">
        <v>780</v>
      </c>
      <c r="X6" t="s">
        <v>793</v>
      </c>
      <c r="Z6" s="31"/>
      <c r="AC6">
        <v>55</v>
      </c>
      <c r="AD6" t="s">
        <v>594</v>
      </c>
      <c r="AE6" s="31">
        <v>45623</v>
      </c>
      <c r="AF6" s="61">
        <v>0.64908564814814818</v>
      </c>
      <c r="AH6" t="s">
        <v>795</v>
      </c>
      <c r="AI6" s="31">
        <v>45678</v>
      </c>
      <c r="AJ6" s="61">
        <v>0.49982638888888892</v>
      </c>
      <c r="AK6" t="s">
        <v>5338</v>
      </c>
      <c r="AL6" t="s">
        <v>5339</v>
      </c>
      <c r="AM6" t="s">
        <v>828</v>
      </c>
      <c r="AN6" t="s">
        <v>829</v>
      </c>
      <c r="AO6" t="s">
        <v>594</v>
      </c>
      <c r="AP6" t="s">
        <v>830</v>
      </c>
      <c r="AR6" s="31"/>
      <c r="AX6">
        <v>1</v>
      </c>
    </row>
    <row r="7" spans="1:50" x14ac:dyDescent="0.25">
      <c r="A7" t="s">
        <v>44</v>
      </c>
      <c r="B7">
        <v>92</v>
      </c>
      <c r="D7">
        <v>360</v>
      </c>
      <c r="E7" t="s">
        <v>831</v>
      </c>
      <c r="F7" t="s">
        <v>832</v>
      </c>
      <c r="G7" t="s">
        <v>833</v>
      </c>
      <c r="H7">
        <v>32364538000171</v>
      </c>
      <c r="J7" t="s">
        <v>834</v>
      </c>
      <c r="K7" t="s">
        <v>835</v>
      </c>
      <c r="M7" t="s">
        <v>836</v>
      </c>
      <c r="Q7" t="s">
        <v>837</v>
      </c>
      <c r="R7" t="s">
        <v>790</v>
      </c>
      <c r="S7" t="s">
        <v>805</v>
      </c>
      <c r="V7" t="s">
        <v>838</v>
      </c>
      <c r="W7" t="s">
        <v>780</v>
      </c>
      <c r="X7" t="s">
        <v>807</v>
      </c>
      <c r="Z7" s="31"/>
      <c r="AA7">
        <v>2496</v>
      </c>
      <c r="AC7">
        <v>62</v>
      </c>
      <c r="AD7" t="s">
        <v>594</v>
      </c>
      <c r="AE7" s="31">
        <v>45623</v>
      </c>
      <c r="AF7" s="61">
        <v>0.6508680555555556</v>
      </c>
      <c r="AH7" t="s">
        <v>795</v>
      </c>
      <c r="AI7" s="31">
        <v>45685</v>
      </c>
      <c r="AJ7" s="61">
        <v>0.64828703703703705</v>
      </c>
      <c r="AK7" t="s">
        <v>5338</v>
      </c>
      <c r="AL7" t="s">
        <v>5343</v>
      </c>
      <c r="AM7" t="s">
        <v>840</v>
      </c>
      <c r="AN7" t="s">
        <v>841</v>
      </c>
      <c r="AO7" t="s">
        <v>594</v>
      </c>
      <c r="AP7" t="s">
        <v>821</v>
      </c>
      <c r="AR7" s="31"/>
      <c r="AX7">
        <v>1</v>
      </c>
    </row>
    <row r="8" spans="1:50" x14ac:dyDescent="0.25">
      <c r="A8" t="s">
        <v>22</v>
      </c>
      <c r="B8">
        <v>93</v>
      </c>
      <c r="D8">
        <v>598</v>
      </c>
      <c r="E8" t="s">
        <v>842</v>
      </c>
      <c r="G8" t="s">
        <v>5344</v>
      </c>
      <c r="H8">
        <v>3375396000492</v>
      </c>
      <c r="J8" t="s">
        <v>844</v>
      </c>
      <c r="K8" t="s">
        <v>845</v>
      </c>
      <c r="M8" t="s">
        <v>846</v>
      </c>
      <c r="Q8" t="s">
        <v>847</v>
      </c>
      <c r="R8" t="s">
        <v>848</v>
      </c>
      <c r="S8" t="s">
        <v>791</v>
      </c>
      <c r="V8" t="s">
        <v>5345</v>
      </c>
      <c r="W8" t="s">
        <v>780</v>
      </c>
      <c r="X8" t="s">
        <v>807</v>
      </c>
      <c r="Z8" s="31"/>
      <c r="AA8">
        <v>0</v>
      </c>
      <c r="AB8">
        <v>0</v>
      </c>
      <c r="AC8">
        <v>61</v>
      </c>
      <c r="AD8" t="s">
        <v>22</v>
      </c>
      <c r="AE8" s="31">
        <v>45624</v>
      </c>
      <c r="AF8" s="61">
        <v>0.36658564814814809</v>
      </c>
      <c r="AH8" t="s">
        <v>795</v>
      </c>
      <c r="AI8" s="31">
        <v>45685</v>
      </c>
      <c r="AJ8" s="61">
        <v>0.69954861111111111</v>
      </c>
      <c r="AK8" t="s">
        <v>5338</v>
      </c>
      <c r="AL8" t="s">
        <v>850</v>
      </c>
      <c r="AO8" t="s">
        <v>22</v>
      </c>
      <c r="AR8" s="31"/>
      <c r="AX8">
        <v>1</v>
      </c>
    </row>
    <row r="9" spans="1:50" x14ac:dyDescent="0.25">
      <c r="A9" t="s">
        <v>44</v>
      </c>
      <c r="B9">
        <v>94</v>
      </c>
      <c r="D9">
        <v>378</v>
      </c>
      <c r="F9" t="s">
        <v>851</v>
      </c>
      <c r="G9" t="s">
        <v>852</v>
      </c>
      <c r="H9">
        <v>11650898000160</v>
      </c>
      <c r="J9" t="s">
        <v>853</v>
      </c>
      <c r="K9" t="s">
        <v>854</v>
      </c>
      <c r="M9" t="s">
        <v>855</v>
      </c>
      <c r="O9" t="s">
        <v>856</v>
      </c>
      <c r="S9" t="s">
        <v>791</v>
      </c>
      <c r="V9" t="s">
        <v>5337</v>
      </c>
      <c r="W9" t="s">
        <v>780</v>
      </c>
      <c r="X9" t="s">
        <v>857</v>
      </c>
      <c r="Z9" s="31"/>
      <c r="AA9">
        <v>0</v>
      </c>
      <c r="AB9">
        <v>0</v>
      </c>
      <c r="AC9">
        <v>61</v>
      </c>
      <c r="AD9" t="s">
        <v>794</v>
      </c>
      <c r="AE9" s="31">
        <v>45624</v>
      </c>
      <c r="AF9" s="61">
        <v>0.62634259259259262</v>
      </c>
      <c r="AH9" t="s">
        <v>795</v>
      </c>
      <c r="AI9" s="31">
        <v>45685</v>
      </c>
      <c r="AJ9" s="61">
        <v>0.58120370370370367</v>
      </c>
      <c r="AK9" t="s">
        <v>858</v>
      </c>
      <c r="AL9" t="s">
        <v>859</v>
      </c>
      <c r="AM9" t="s">
        <v>860</v>
      </c>
      <c r="AO9" t="s">
        <v>794</v>
      </c>
      <c r="AR9" s="31"/>
      <c r="AX9">
        <v>1</v>
      </c>
    </row>
    <row r="10" spans="1:50" x14ac:dyDescent="0.25">
      <c r="A10" t="s">
        <v>22</v>
      </c>
      <c r="B10">
        <v>95</v>
      </c>
      <c r="D10">
        <v>778</v>
      </c>
      <c r="E10" t="s">
        <v>861</v>
      </c>
      <c r="G10" t="s">
        <v>862</v>
      </c>
      <c r="H10">
        <v>15211327000180</v>
      </c>
      <c r="J10" t="s">
        <v>863</v>
      </c>
      <c r="K10" t="s">
        <v>864</v>
      </c>
      <c r="M10" t="s">
        <v>865</v>
      </c>
      <c r="S10" t="s">
        <v>791</v>
      </c>
      <c r="V10" t="s">
        <v>5346</v>
      </c>
      <c r="W10" t="s">
        <v>780</v>
      </c>
      <c r="X10" t="s">
        <v>793</v>
      </c>
      <c r="Z10" s="31"/>
      <c r="AC10">
        <v>39</v>
      </c>
      <c r="AD10" t="s">
        <v>22</v>
      </c>
      <c r="AE10" s="31">
        <v>45625</v>
      </c>
      <c r="AF10" s="61">
        <v>0.58859953703703705</v>
      </c>
      <c r="AH10" t="s">
        <v>795</v>
      </c>
      <c r="AI10" s="31">
        <v>45664</v>
      </c>
      <c r="AJ10" s="61">
        <v>0.70936342592592594</v>
      </c>
      <c r="AK10" t="s">
        <v>5347</v>
      </c>
      <c r="AO10" t="s">
        <v>594</v>
      </c>
      <c r="AP10" t="s">
        <v>868</v>
      </c>
      <c r="AR10" s="31"/>
      <c r="AX10">
        <v>1</v>
      </c>
    </row>
    <row r="11" spans="1:50" x14ac:dyDescent="0.25">
      <c r="A11" t="s">
        <v>44</v>
      </c>
      <c r="B11">
        <v>96</v>
      </c>
      <c r="C11">
        <v>155</v>
      </c>
      <c r="D11">
        <v>812</v>
      </c>
      <c r="G11" t="s">
        <v>869</v>
      </c>
      <c r="H11">
        <v>13609763000186</v>
      </c>
      <c r="I11" t="s">
        <v>870</v>
      </c>
      <c r="J11" t="s">
        <v>870</v>
      </c>
      <c r="K11" t="s">
        <v>871</v>
      </c>
      <c r="M11" t="s">
        <v>872</v>
      </c>
      <c r="Q11" t="s">
        <v>873</v>
      </c>
      <c r="R11" t="s">
        <v>874</v>
      </c>
      <c r="S11" t="s">
        <v>791</v>
      </c>
      <c r="V11" t="s">
        <v>875</v>
      </c>
      <c r="W11" t="s">
        <v>780</v>
      </c>
      <c r="X11" t="s">
        <v>816</v>
      </c>
      <c r="Y11" t="s">
        <v>817</v>
      </c>
      <c r="Z11" s="31">
        <v>45688</v>
      </c>
      <c r="AA11">
        <v>8479884</v>
      </c>
      <c r="AB11">
        <v>630984</v>
      </c>
      <c r="AC11">
        <v>62</v>
      </c>
      <c r="AD11" t="s">
        <v>22</v>
      </c>
      <c r="AE11" s="31">
        <v>45627</v>
      </c>
      <c r="AF11" s="61">
        <v>0.85458333333333336</v>
      </c>
      <c r="AH11" t="s">
        <v>818</v>
      </c>
      <c r="AI11" s="31">
        <v>45689</v>
      </c>
      <c r="AJ11" s="61">
        <v>6.9525462962962969E-2</v>
      </c>
      <c r="AN11" t="s">
        <v>876</v>
      </c>
      <c r="AO11" t="s">
        <v>44</v>
      </c>
      <c r="AP11" t="s">
        <v>876</v>
      </c>
      <c r="AR11" s="31"/>
      <c r="AX11">
        <v>1</v>
      </c>
    </row>
    <row r="12" spans="1:50" x14ac:dyDescent="0.25">
      <c r="A12" t="s">
        <v>44</v>
      </c>
      <c r="B12">
        <v>97</v>
      </c>
      <c r="C12">
        <v>155</v>
      </c>
      <c r="D12">
        <v>813</v>
      </c>
      <c r="G12" t="s">
        <v>877</v>
      </c>
      <c r="H12">
        <v>13609763000186</v>
      </c>
      <c r="I12" t="s">
        <v>870</v>
      </c>
      <c r="J12" t="s">
        <v>878</v>
      </c>
      <c r="K12" t="s">
        <v>879</v>
      </c>
      <c r="M12" t="s">
        <v>872</v>
      </c>
      <c r="Q12" t="s">
        <v>873</v>
      </c>
      <c r="R12" t="s">
        <v>874</v>
      </c>
      <c r="V12" t="s">
        <v>880</v>
      </c>
      <c r="W12" t="s">
        <v>780</v>
      </c>
      <c r="X12" t="s">
        <v>807</v>
      </c>
      <c r="Z12" s="31"/>
      <c r="AC12">
        <v>82</v>
      </c>
      <c r="AD12" t="s">
        <v>22</v>
      </c>
      <c r="AE12" s="31">
        <v>45627</v>
      </c>
      <c r="AF12" s="61">
        <v>0.8545949074074074</v>
      </c>
      <c r="AH12" t="s">
        <v>795</v>
      </c>
      <c r="AI12" s="31">
        <v>45709</v>
      </c>
      <c r="AJ12" s="61">
        <v>0.5092592592592593</v>
      </c>
      <c r="AK12" t="s">
        <v>858</v>
      </c>
      <c r="AL12" t="s">
        <v>5348</v>
      </c>
      <c r="AN12" t="s">
        <v>876</v>
      </c>
      <c r="AP12" t="s">
        <v>876</v>
      </c>
      <c r="AR12" s="31"/>
      <c r="AX12">
        <v>1</v>
      </c>
    </row>
    <row r="13" spans="1:50" x14ac:dyDescent="0.25">
      <c r="A13" t="s">
        <v>44</v>
      </c>
      <c r="B13">
        <v>98</v>
      </c>
      <c r="C13">
        <v>156</v>
      </c>
      <c r="D13">
        <v>816</v>
      </c>
      <c r="G13" t="s">
        <v>882</v>
      </c>
      <c r="H13">
        <v>3921447000272</v>
      </c>
      <c r="I13" t="s">
        <v>627</v>
      </c>
      <c r="J13" t="s">
        <v>883</v>
      </c>
      <c r="K13" t="s">
        <v>884</v>
      </c>
      <c r="M13" t="s">
        <v>885</v>
      </c>
      <c r="Q13" t="s">
        <v>886</v>
      </c>
      <c r="R13" t="s">
        <v>790</v>
      </c>
      <c r="V13" t="s">
        <v>887</v>
      </c>
      <c r="W13" t="s">
        <v>780</v>
      </c>
      <c r="X13" t="s">
        <v>816</v>
      </c>
      <c r="Z13" s="31"/>
      <c r="AA13">
        <v>532332</v>
      </c>
      <c r="AB13">
        <v>292918</v>
      </c>
      <c r="AC13">
        <v>110</v>
      </c>
      <c r="AD13" t="s">
        <v>22</v>
      </c>
      <c r="AE13" s="31">
        <v>45627</v>
      </c>
      <c r="AF13" s="61">
        <v>0.8545949074074074</v>
      </c>
      <c r="AH13" t="s">
        <v>818</v>
      </c>
      <c r="AI13" s="31">
        <v>45737</v>
      </c>
      <c r="AJ13" s="61">
        <v>0.45113425925925932</v>
      </c>
      <c r="AN13" t="s">
        <v>888</v>
      </c>
      <c r="AP13" t="s">
        <v>889</v>
      </c>
      <c r="AQ13" t="s">
        <v>890</v>
      </c>
      <c r="AR13" s="31"/>
      <c r="AX13">
        <v>1</v>
      </c>
    </row>
    <row r="14" spans="1:50" x14ac:dyDescent="0.25">
      <c r="A14" t="s">
        <v>44</v>
      </c>
      <c r="B14">
        <v>99</v>
      </c>
      <c r="C14">
        <v>157</v>
      </c>
      <c r="D14">
        <v>818</v>
      </c>
      <c r="G14" t="s">
        <v>891</v>
      </c>
      <c r="H14">
        <v>55773964000164</v>
      </c>
      <c r="I14" t="s">
        <v>892</v>
      </c>
      <c r="J14" t="s">
        <v>844</v>
      </c>
      <c r="K14" t="s">
        <v>893</v>
      </c>
      <c r="M14" t="s">
        <v>894</v>
      </c>
      <c r="Q14" t="s">
        <v>895</v>
      </c>
      <c r="R14" t="s">
        <v>790</v>
      </c>
      <c r="V14" t="s">
        <v>896</v>
      </c>
      <c r="W14" t="s">
        <v>780</v>
      </c>
      <c r="X14" t="s">
        <v>897</v>
      </c>
      <c r="Z14" s="31"/>
      <c r="AC14">
        <v>11</v>
      </c>
      <c r="AD14" t="s">
        <v>22</v>
      </c>
      <c r="AE14" s="31">
        <v>45627</v>
      </c>
      <c r="AF14" s="61">
        <v>0.8545949074074074</v>
      </c>
      <c r="AH14" t="s">
        <v>795</v>
      </c>
      <c r="AI14" s="31">
        <v>45638</v>
      </c>
      <c r="AJ14" s="61">
        <v>0.41818287037037039</v>
      </c>
      <c r="AK14" t="s">
        <v>898</v>
      </c>
      <c r="AL14" t="s">
        <v>899</v>
      </c>
      <c r="AR14" s="31"/>
      <c r="AX14">
        <v>1</v>
      </c>
    </row>
    <row r="15" spans="1:50" x14ac:dyDescent="0.25">
      <c r="A15" t="s">
        <v>44</v>
      </c>
      <c r="B15">
        <v>100</v>
      </c>
      <c r="C15">
        <v>156</v>
      </c>
      <c r="D15">
        <v>816</v>
      </c>
      <c r="G15" t="s">
        <v>900</v>
      </c>
      <c r="H15">
        <v>3921447000272</v>
      </c>
      <c r="I15" t="s">
        <v>627</v>
      </c>
      <c r="J15" t="s">
        <v>883</v>
      </c>
      <c r="K15" t="s">
        <v>884</v>
      </c>
      <c r="M15" t="s">
        <v>885</v>
      </c>
      <c r="Q15" t="s">
        <v>886</v>
      </c>
      <c r="R15" t="s">
        <v>790</v>
      </c>
      <c r="V15" t="s">
        <v>901</v>
      </c>
      <c r="W15" t="s">
        <v>780</v>
      </c>
      <c r="X15" t="s">
        <v>816</v>
      </c>
      <c r="Z15" s="31"/>
      <c r="AA15">
        <v>1600</v>
      </c>
      <c r="AB15">
        <v>256119</v>
      </c>
      <c r="AC15">
        <v>110</v>
      </c>
      <c r="AD15" t="s">
        <v>22</v>
      </c>
      <c r="AE15" s="31">
        <v>45627</v>
      </c>
      <c r="AF15" s="61">
        <v>0.8545949074074074</v>
      </c>
      <c r="AH15" t="s">
        <v>795</v>
      </c>
      <c r="AI15" s="31">
        <v>45737</v>
      </c>
      <c r="AJ15" s="61">
        <v>0.43179398148148151</v>
      </c>
      <c r="AK15" t="s">
        <v>5338</v>
      </c>
      <c r="AL15" t="s">
        <v>5349</v>
      </c>
      <c r="AN15" t="s">
        <v>888</v>
      </c>
      <c r="AP15" t="s">
        <v>903</v>
      </c>
      <c r="AQ15" t="s">
        <v>890</v>
      </c>
      <c r="AR15" s="31"/>
      <c r="AX15">
        <v>1</v>
      </c>
    </row>
    <row r="16" spans="1:50" x14ac:dyDescent="0.25">
      <c r="A16" t="s">
        <v>44</v>
      </c>
      <c r="B16">
        <v>101</v>
      </c>
      <c r="C16">
        <v>158</v>
      </c>
      <c r="D16">
        <v>821</v>
      </c>
      <c r="G16" t="s">
        <v>904</v>
      </c>
      <c r="H16">
        <v>4207648000194</v>
      </c>
      <c r="I16" t="s">
        <v>905</v>
      </c>
      <c r="J16" t="s">
        <v>906</v>
      </c>
      <c r="K16" t="s">
        <v>907</v>
      </c>
      <c r="M16" t="s">
        <v>908</v>
      </c>
      <c r="Q16" t="s">
        <v>909</v>
      </c>
      <c r="R16" t="s">
        <v>790</v>
      </c>
      <c r="V16" t="s">
        <v>838</v>
      </c>
      <c r="W16" t="s">
        <v>780</v>
      </c>
      <c r="X16" t="s">
        <v>807</v>
      </c>
      <c r="Z16" s="31">
        <v>45688</v>
      </c>
      <c r="AA16">
        <v>3928</v>
      </c>
      <c r="AC16">
        <v>51</v>
      </c>
      <c r="AD16" t="s">
        <v>22</v>
      </c>
      <c r="AE16" s="31">
        <v>45627</v>
      </c>
      <c r="AF16" s="61">
        <v>0.8545949074074074</v>
      </c>
      <c r="AH16" t="s">
        <v>795</v>
      </c>
      <c r="AI16" s="31">
        <v>45678</v>
      </c>
      <c r="AJ16" s="61">
        <v>0.49775462962962957</v>
      </c>
      <c r="AK16" t="s">
        <v>5338</v>
      </c>
      <c r="AL16" t="s">
        <v>5339</v>
      </c>
      <c r="AM16" t="s">
        <v>910</v>
      </c>
      <c r="AN16" t="s">
        <v>911</v>
      </c>
      <c r="AO16" t="s">
        <v>594</v>
      </c>
      <c r="AP16" t="s">
        <v>911</v>
      </c>
      <c r="AR16" s="31"/>
      <c r="AX16">
        <v>1</v>
      </c>
    </row>
    <row r="17" spans="1:50" x14ac:dyDescent="0.25">
      <c r="A17" t="s">
        <v>44</v>
      </c>
      <c r="B17">
        <v>102</v>
      </c>
      <c r="C17">
        <v>159</v>
      </c>
      <c r="D17">
        <v>823</v>
      </c>
      <c r="G17" t="s">
        <v>5350</v>
      </c>
      <c r="H17">
        <v>43526090000161</v>
      </c>
      <c r="I17" t="s">
        <v>913</v>
      </c>
      <c r="J17" t="s">
        <v>914</v>
      </c>
      <c r="K17" t="s">
        <v>915</v>
      </c>
      <c r="M17" t="s">
        <v>916</v>
      </c>
      <c r="Q17" t="s">
        <v>909</v>
      </c>
      <c r="R17" t="s">
        <v>790</v>
      </c>
      <c r="V17" t="s">
        <v>896</v>
      </c>
      <c r="W17" t="s">
        <v>780</v>
      </c>
      <c r="X17" t="s">
        <v>816</v>
      </c>
      <c r="Z17" s="31">
        <v>45632</v>
      </c>
      <c r="AA17">
        <v>49012</v>
      </c>
      <c r="AC17">
        <v>18</v>
      </c>
      <c r="AD17" t="s">
        <v>22</v>
      </c>
      <c r="AE17" s="31">
        <v>45627</v>
      </c>
      <c r="AF17" s="61">
        <v>0.8545949074074074</v>
      </c>
      <c r="AH17" t="s">
        <v>818</v>
      </c>
      <c r="AI17" s="31">
        <v>45645</v>
      </c>
      <c r="AJ17" s="61">
        <v>0.61006944444444444</v>
      </c>
      <c r="AN17" t="s">
        <v>917</v>
      </c>
      <c r="AP17" t="s">
        <v>918</v>
      </c>
      <c r="AR17" s="31"/>
      <c r="AX17">
        <v>1</v>
      </c>
    </row>
    <row r="18" spans="1:50" x14ac:dyDescent="0.25">
      <c r="A18" t="s">
        <v>44</v>
      </c>
      <c r="B18">
        <v>103</v>
      </c>
      <c r="C18">
        <v>160</v>
      </c>
      <c r="D18">
        <v>825</v>
      </c>
      <c r="G18" t="s">
        <v>919</v>
      </c>
      <c r="H18">
        <v>4949701000122</v>
      </c>
      <c r="I18" t="s">
        <v>595</v>
      </c>
      <c r="J18" t="s">
        <v>920</v>
      </c>
      <c r="K18" t="s">
        <v>921</v>
      </c>
      <c r="M18" t="s">
        <v>922</v>
      </c>
      <c r="Q18" t="s">
        <v>923</v>
      </c>
      <c r="R18" t="s">
        <v>790</v>
      </c>
      <c r="V18" t="s">
        <v>875</v>
      </c>
      <c r="W18" t="s">
        <v>780</v>
      </c>
      <c r="X18" t="s">
        <v>816</v>
      </c>
      <c r="Y18" t="s">
        <v>817</v>
      </c>
      <c r="Z18" s="31">
        <v>45688</v>
      </c>
      <c r="AA18">
        <v>46854</v>
      </c>
      <c r="AB18">
        <v>348312</v>
      </c>
      <c r="AC18">
        <v>54</v>
      </c>
      <c r="AD18" t="s">
        <v>22</v>
      </c>
      <c r="AE18" s="31">
        <v>45627</v>
      </c>
      <c r="AF18" s="61">
        <v>0.8545949074074074</v>
      </c>
      <c r="AH18" t="s">
        <v>818</v>
      </c>
      <c r="AI18" s="31">
        <v>45681</v>
      </c>
      <c r="AJ18" s="61">
        <v>0.50578703703703709</v>
      </c>
      <c r="AN18" t="s">
        <v>924</v>
      </c>
      <c r="AP18" t="s">
        <v>924</v>
      </c>
      <c r="AQ18" t="s">
        <v>925</v>
      </c>
      <c r="AR18" s="31"/>
      <c r="AX18">
        <v>1</v>
      </c>
    </row>
    <row r="19" spans="1:50" x14ac:dyDescent="0.25">
      <c r="A19" t="s">
        <v>44</v>
      </c>
      <c r="B19">
        <v>104</v>
      </c>
      <c r="C19">
        <v>161</v>
      </c>
      <c r="D19">
        <v>843</v>
      </c>
      <c r="G19" t="s">
        <v>926</v>
      </c>
      <c r="H19">
        <v>2609426000172</v>
      </c>
      <c r="I19" t="s">
        <v>927</v>
      </c>
      <c r="J19" t="s">
        <v>928</v>
      </c>
      <c r="K19" t="s">
        <v>929</v>
      </c>
      <c r="M19" t="s">
        <v>930</v>
      </c>
      <c r="Q19" t="s">
        <v>931</v>
      </c>
      <c r="R19" t="s">
        <v>932</v>
      </c>
      <c r="S19" t="s">
        <v>933</v>
      </c>
      <c r="V19" t="s">
        <v>896</v>
      </c>
      <c r="W19" t="s">
        <v>780</v>
      </c>
      <c r="X19" t="s">
        <v>807</v>
      </c>
      <c r="Z19" s="31"/>
      <c r="AC19">
        <v>120</v>
      </c>
      <c r="AD19" t="s">
        <v>22</v>
      </c>
      <c r="AE19" s="31">
        <v>45627</v>
      </c>
      <c r="AF19" s="61">
        <v>0.8545949074074074</v>
      </c>
      <c r="AH19" t="s">
        <v>795</v>
      </c>
      <c r="AI19" s="31">
        <v>45747</v>
      </c>
      <c r="AJ19" s="61">
        <v>0.6567708333333333</v>
      </c>
      <c r="AK19" t="s">
        <v>934</v>
      </c>
      <c r="AL19" t="s">
        <v>5351</v>
      </c>
      <c r="AN19" t="s">
        <v>936</v>
      </c>
      <c r="AP19" t="s">
        <v>937</v>
      </c>
      <c r="AR19" s="31"/>
      <c r="AX19">
        <v>1</v>
      </c>
    </row>
    <row r="20" spans="1:50" x14ac:dyDescent="0.25">
      <c r="A20" t="s">
        <v>44</v>
      </c>
      <c r="B20">
        <v>105</v>
      </c>
      <c r="C20">
        <v>162</v>
      </c>
      <c r="D20">
        <v>829</v>
      </c>
      <c r="G20" t="s">
        <v>938</v>
      </c>
      <c r="H20">
        <v>17545517000169</v>
      </c>
      <c r="I20" t="s">
        <v>939</v>
      </c>
      <c r="J20" t="s">
        <v>940</v>
      </c>
      <c r="K20" t="s">
        <v>941</v>
      </c>
      <c r="M20" t="s">
        <v>942</v>
      </c>
      <c r="Q20" t="s">
        <v>943</v>
      </c>
      <c r="R20" t="s">
        <v>790</v>
      </c>
      <c r="V20" t="s">
        <v>944</v>
      </c>
      <c r="W20" t="s">
        <v>780</v>
      </c>
      <c r="X20" t="s">
        <v>807</v>
      </c>
      <c r="Z20" s="31"/>
      <c r="AC20">
        <v>58</v>
      </c>
      <c r="AD20" t="s">
        <v>22</v>
      </c>
      <c r="AE20" s="31">
        <v>45627</v>
      </c>
      <c r="AF20" s="61">
        <v>0.8545949074074074</v>
      </c>
      <c r="AH20" t="s">
        <v>795</v>
      </c>
      <c r="AI20" s="31">
        <v>45685</v>
      </c>
      <c r="AJ20" s="61">
        <v>0.6466898148148148</v>
      </c>
      <c r="AK20" t="s">
        <v>5338</v>
      </c>
      <c r="AL20" t="s">
        <v>5339</v>
      </c>
      <c r="AM20" t="s">
        <v>945</v>
      </c>
      <c r="AN20" t="s">
        <v>946</v>
      </c>
      <c r="AO20" t="s">
        <v>594</v>
      </c>
      <c r="AP20" t="s">
        <v>947</v>
      </c>
      <c r="AR20" s="31"/>
      <c r="AX20">
        <v>1</v>
      </c>
    </row>
    <row r="21" spans="1:50" x14ac:dyDescent="0.25">
      <c r="A21" t="s">
        <v>44</v>
      </c>
      <c r="B21">
        <v>106</v>
      </c>
      <c r="C21">
        <v>162</v>
      </c>
      <c r="D21">
        <v>829</v>
      </c>
      <c r="G21" t="s">
        <v>948</v>
      </c>
      <c r="H21">
        <v>17545517000169</v>
      </c>
      <c r="I21" t="s">
        <v>939</v>
      </c>
      <c r="J21" t="s">
        <v>940</v>
      </c>
      <c r="K21" t="s">
        <v>941</v>
      </c>
      <c r="M21" t="s">
        <v>942</v>
      </c>
      <c r="Q21" t="s">
        <v>943</v>
      </c>
      <c r="R21" t="s">
        <v>790</v>
      </c>
      <c r="V21" t="s">
        <v>949</v>
      </c>
      <c r="W21" t="s">
        <v>780</v>
      </c>
      <c r="X21" t="s">
        <v>807</v>
      </c>
      <c r="Z21" s="31"/>
      <c r="AC21">
        <v>58</v>
      </c>
      <c r="AD21" t="s">
        <v>22</v>
      </c>
      <c r="AE21" s="31">
        <v>45627</v>
      </c>
      <c r="AF21" s="61">
        <v>0.8545949074074074</v>
      </c>
      <c r="AH21" t="s">
        <v>795</v>
      </c>
      <c r="AI21" s="31">
        <v>45685</v>
      </c>
      <c r="AJ21" s="61">
        <v>0.64710648148148153</v>
      </c>
      <c r="AK21" t="s">
        <v>5338</v>
      </c>
      <c r="AL21" t="s">
        <v>5339</v>
      </c>
      <c r="AM21" t="s">
        <v>945</v>
      </c>
      <c r="AN21" t="s">
        <v>946</v>
      </c>
      <c r="AO21" t="s">
        <v>594</v>
      </c>
      <c r="AP21" t="s">
        <v>947</v>
      </c>
      <c r="AR21" s="31"/>
      <c r="AX21">
        <v>1</v>
      </c>
    </row>
    <row r="22" spans="1:50" x14ac:dyDescent="0.25">
      <c r="A22" t="s">
        <v>44</v>
      </c>
      <c r="B22">
        <v>107</v>
      </c>
      <c r="C22">
        <v>163</v>
      </c>
      <c r="D22">
        <v>832</v>
      </c>
      <c r="G22" t="s">
        <v>950</v>
      </c>
      <c r="H22">
        <v>5861238000125</v>
      </c>
      <c r="I22" t="s">
        <v>951</v>
      </c>
      <c r="J22" t="s">
        <v>952</v>
      </c>
      <c r="K22" t="s">
        <v>953</v>
      </c>
      <c r="M22" t="s">
        <v>954</v>
      </c>
      <c r="Q22" t="s">
        <v>955</v>
      </c>
      <c r="R22" t="s">
        <v>956</v>
      </c>
      <c r="V22" t="s">
        <v>591</v>
      </c>
      <c r="W22" t="s">
        <v>780</v>
      </c>
      <c r="X22" t="s">
        <v>807</v>
      </c>
      <c r="Z22" s="31"/>
      <c r="AC22">
        <v>58</v>
      </c>
      <c r="AD22" t="s">
        <v>22</v>
      </c>
      <c r="AE22" s="31">
        <v>45627</v>
      </c>
      <c r="AF22" s="61">
        <v>0.8545949074074074</v>
      </c>
      <c r="AH22" t="s">
        <v>795</v>
      </c>
      <c r="AI22" s="31">
        <v>45685</v>
      </c>
      <c r="AJ22" s="61">
        <v>0.64769675925925929</v>
      </c>
      <c r="AK22" t="s">
        <v>934</v>
      </c>
      <c r="AN22" t="s">
        <v>957</v>
      </c>
      <c r="AP22" t="s">
        <v>957</v>
      </c>
      <c r="AR22" s="31"/>
      <c r="AX22">
        <v>1</v>
      </c>
    </row>
    <row r="23" spans="1:50" x14ac:dyDescent="0.25">
      <c r="A23" t="s">
        <v>44</v>
      </c>
      <c r="B23">
        <v>108</v>
      </c>
      <c r="C23">
        <v>160</v>
      </c>
      <c r="D23">
        <v>825</v>
      </c>
      <c r="G23" t="s">
        <v>958</v>
      </c>
      <c r="H23">
        <v>4949701000122</v>
      </c>
      <c r="I23" t="s">
        <v>595</v>
      </c>
      <c r="J23" t="s">
        <v>920</v>
      </c>
      <c r="K23" t="s">
        <v>921</v>
      </c>
      <c r="M23" t="s">
        <v>922</v>
      </c>
      <c r="Q23" t="s">
        <v>923</v>
      </c>
      <c r="R23" t="s">
        <v>790</v>
      </c>
      <c r="V23" t="s">
        <v>880</v>
      </c>
      <c r="W23" t="s">
        <v>780</v>
      </c>
      <c r="X23" t="s">
        <v>816</v>
      </c>
      <c r="Y23" t="s">
        <v>959</v>
      </c>
      <c r="Z23" s="31">
        <v>45688</v>
      </c>
      <c r="AA23">
        <v>1600</v>
      </c>
      <c r="AB23">
        <v>224819</v>
      </c>
      <c r="AC23">
        <v>60</v>
      </c>
      <c r="AD23" t="s">
        <v>22</v>
      </c>
      <c r="AE23" s="31">
        <v>45627</v>
      </c>
      <c r="AF23" s="61">
        <v>0.8545949074074074</v>
      </c>
      <c r="AH23" t="s">
        <v>818</v>
      </c>
      <c r="AI23" s="31">
        <v>45687</v>
      </c>
      <c r="AJ23" s="61">
        <v>0.39712962962962961</v>
      </c>
      <c r="AN23" t="s">
        <v>960</v>
      </c>
      <c r="AP23" t="s">
        <v>961</v>
      </c>
      <c r="AQ23" t="s">
        <v>925</v>
      </c>
      <c r="AR23" s="31"/>
      <c r="AX23">
        <v>1</v>
      </c>
    </row>
    <row r="24" spans="1:50" x14ac:dyDescent="0.25">
      <c r="A24" t="s">
        <v>44</v>
      </c>
      <c r="B24">
        <v>109</v>
      </c>
      <c r="C24">
        <v>164</v>
      </c>
      <c r="D24">
        <v>835</v>
      </c>
      <c r="G24" t="s">
        <v>962</v>
      </c>
      <c r="H24">
        <v>2531826000102</v>
      </c>
      <c r="I24" t="s">
        <v>963</v>
      </c>
      <c r="J24" t="s">
        <v>964</v>
      </c>
      <c r="K24" t="s">
        <v>965</v>
      </c>
      <c r="M24" t="s">
        <v>966</v>
      </c>
      <c r="Q24" t="s">
        <v>873</v>
      </c>
      <c r="R24" t="s">
        <v>874</v>
      </c>
      <c r="V24" t="s">
        <v>896</v>
      </c>
      <c r="W24" t="s">
        <v>780</v>
      </c>
      <c r="X24" t="s">
        <v>857</v>
      </c>
      <c r="Z24" s="31"/>
      <c r="AC24">
        <v>18</v>
      </c>
      <c r="AD24" t="s">
        <v>22</v>
      </c>
      <c r="AE24" s="31">
        <v>45627</v>
      </c>
      <c r="AF24" s="61">
        <v>0.8545949074074074</v>
      </c>
      <c r="AH24" t="s">
        <v>795</v>
      </c>
      <c r="AI24" s="31">
        <v>45645</v>
      </c>
      <c r="AJ24" s="61">
        <v>0.63103009259259257</v>
      </c>
      <c r="AK24" t="s">
        <v>898</v>
      </c>
      <c r="AL24" t="s">
        <v>5352</v>
      </c>
      <c r="AN24" t="s">
        <v>799</v>
      </c>
      <c r="AP24" t="s">
        <v>798</v>
      </c>
      <c r="AR24" s="31"/>
      <c r="AX24">
        <v>1</v>
      </c>
    </row>
    <row r="25" spans="1:50" x14ac:dyDescent="0.25">
      <c r="A25" t="s">
        <v>44</v>
      </c>
      <c r="B25">
        <v>110</v>
      </c>
      <c r="C25">
        <v>165</v>
      </c>
      <c r="D25">
        <v>836</v>
      </c>
      <c r="G25" t="s">
        <v>968</v>
      </c>
      <c r="H25">
        <v>29341068000116</v>
      </c>
      <c r="I25" t="s">
        <v>969</v>
      </c>
      <c r="J25" t="s">
        <v>969</v>
      </c>
      <c r="K25" t="s">
        <v>970</v>
      </c>
      <c r="M25" t="s">
        <v>971</v>
      </c>
      <c r="Q25" t="s">
        <v>972</v>
      </c>
      <c r="R25" t="s">
        <v>973</v>
      </c>
      <c r="V25" t="s">
        <v>896</v>
      </c>
      <c r="W25" t="s">
        <v>780</v>
      </c>
      <c r="X25" t="s">
        <v>793</v>
      </c>
      <c r="Z25" s="31"/>
      <c r="AC25">
        <v>57</v>
      </c>
      <c r="AD25" t="s">
        <v>22</v>
      </c>
      <c r="AE25" s="31">
        <v>45627</v>
      </c>
      <c r="AF25" s="61">
        <v>0.8545949074074074</v>
      </c>
      <c r="AH25" t="s">
        <v>795</v>
      </c>
      <c r="AI25" s="31">
        <v>45684</v>
      </c>
      <c r="AJ25" s="61">
        <v>0.4944560185185185</v>
      </c>
      <c r="AK25" t="s">
        <v>5353</v>
      </c>
      <c r="AL25" t="s">
        <v>5354</v>
      </c>
      <c r="AN25" t="s">
        <v>799</v>
      </c>
      <c r="AP25" t="s">
        <v>798</v>
      </c>
      <c r="AR25" s="31"/>
      <c r="AX25">
        <v>1</v>
      </c>
    </row>
    <row r="26" spans="1:50" x14ac:dyDescent="0.25">
      <c r="A26" t="s">
        <v>44</v>
      </c>
      <c r="B26">
        <v>111</v>
      </c>
      <c r="C26">
        <v>165</v>
      </c>
      <c r="D26">
        <v>837</v>
      </c>
      <c r="G26" t="s">
        <v>976</v>
      </c>
      <c r="H26">
        <v>29341068000116</v>
      </c>
      <c r="I26" t="s">
        <v>969</v>
      </c>
      <c r="J26" t="s">
        <v>977</v>
      </c>
      <c r="K26" t="s">
        <v>970</v>
      </c>
      <c r="M26" t="s">
        <v>971</v>
      </c>
      <c r="Q26" t="s">
        <v>972</v>
      </c>
      <c r="R26" t="s">
        <v>973</v>
      </c>
      <c r="V26" t="s">
        <v>901</v>
      </c>
      <c r="W26" t="s">
        <v>780</v>
      </c>
      <c r="X26" t="s">
        <v>793</v>
      </c>
      <c r="Z26" s="31"/>
      <c r="AC26">
        <v>57</v>
      </c>
      <c r="AD26" t="s">
        <v>22</v>
      </c>
      <c r="AE26" s="31">
        <v>45627</v>
      </c>
      <c r="AF26" s="61">
        <v>0.8545949074074074</v>
      </c>
      <c r="AH26" t="s">
        <v>795</v>
      </c>
      <c r="AI26" s="31">
        <v>45684</v>
      </c>
      <c r="AJ26" s="61">
        <v>0.49512731481481481</v>
      </c>
      <c r="AK26" t="s">
        <v>5353</v>
      </c>
      <c r="AL26" t="s">
        <v>5354</v>
      </c>
      <c r="AN26" t="s">
        <v>799</v>
      </c>
      <c r="AP26" t="s">
        <v>798</v>
      </c>
      <c r="AR26" s="31"/>
      <c r="AX26">
        <v>1</v>
      </c>
    </row>
    <row r="27" spans="1:50" x14ac:dyDescent="0.25">
      <c r="A27" t="s">
        <v>44</v>
      </c>
      <c r="B27">
        <v>113</v>
      </c>
      <c r="C27">
        <v>167</v>
      </c>
      <c r="D27">
        <v>842</v>
      </c>
      <c r="G27" t="s">
        <v>978</v>
      </c>
      <c r="H27">
        <v>7973104000121</v>
      </c>
      <c r="I27" t="s">
        <v>979</v>
      </c>
      <c r="J27" t="s">
        <v>980</v>
      </c>
      <c r="K27" t="s">
        <v>981</v>
      </c>
      <c r="M27" t="s">
        <v>982</v>
      </c>
      <c r="Q27" t="s">
        <v>983</v>
      </c>
      <c r="R27" t="s">
        <v>932</v>
      </c>
      <c r="V27" t="s">
        <v>984</v>
      </c>
      <c r="W27" t="s">
        <v>780</v>
      </c>
      <c r="X27" t="s">
        <v>807</v>
      </c>
      <c r="Z27" s="31"/>
      <c r="AC27">
        <v>81</v>
      </c>
      <c r="AD27" t="s">
        <v>22</v>
      </c>
      <c r="AE27" s="31">
        <v>45627</v>
      </c>
      <c r="AF27" s="61">
        <v>0.85460648148148144</v>
      </c>
      <c r="AH27" t="s">
        <v>795</v>
      </c>
      <c r="AI27" s="31">
        <v>45708</v>
      </c>
      <c r="AJ27" s="61">
        <v>0.47692129629629632</v>
      </c>
      <c r="AK27" t="s">
        <v>5338</v>
      </c>
      <c r="AL27" t="s">
        <v>5355</v>
      </c>
      <c r="AN27" t="s">
        <v>986</v>
      </c>
      <c r="AR27" s="31"/>
      <c r="AX27">
        <v>1</v>
      </c>
    </row>
    <row r="28" spans="1:50" x14ac:dyDescent="0.25">
      <c r="A28" t="s">
        <v>44</v>
      </c>
      <c r="B28">
        <v>114</v>
      </c>
      <c r="C28">
        <v>161</v>
      </c>
      <c r="D28">
        <v>827</v>
      </c>
      <c r="G28" t="s">
        <v>987</v>
      </c>
      <c r="H28">
        <v>2609426000172</v>
      </c>
      <c r="I28" t="s">
        <v>927</v>
      </c>
      <c r="J28" t="s">
        <v>928</v>
      </c>
      <c r="K28" t="s">
        <v>929</v>
      </c>
      <c r="M28" t="s">
        <v>930</v>
      </c>
      <c r="Q28" t="s">
        <v>931</v>
      </c>
      <c r="R28" t="s">
        <v>932</v>
      </c>
      <c r="S28" t="s">
        <v>933</v>
      </c>
      <c r="V28" t="s">
        <v>901</v>
      </c>
      <c r="W28" t="s">
        <v>780</v>
      </c>
      <c r="X28" t="s">
        <v>807</v>
      </c>
      <c r="Z28" s="31"/>
      <c r="AC28">
        <v>120</v>
      </c>
      <c r="AD28" t="s">
        <v>22</v>
      </c>
      <c r="AE28" s="31">
        <v>45627</v>
      </c>
      <c r="AF28" s="61">
        <v>0.85460648148148144</v>
      </c>
      <c r="AH28" t="s">
        <v>795</v>
      </c>
      <c r="AI28" s="31">
        <v>45747</v>
      </c>
      <c r="AJ28" s="61">
        <v>0.65732638888888884</v>
      </c>
      <c r="AK28" t="s">
        <v>934</v>
      </c>
      <c r="AL28" t="s">
        <v>5356</v>
      </c>
      <c r="AN28" t="s">
        <v>936</v>
      </c>
      <c r="AP28" t="s">
        <v>937</v>
      </c>
      <c r="AR28" s="31"/>
      <c r="AX28">
        <v>1</v>
      </c>
    </row>
    <row r="29" spans="1:50" x14ac:dyDescent="0.25">
      <c r="A29" t="s">
        <v>44</v>
      </c>
      <c r="B29">
        <v>116</v>
      </c>
      <c r="D29">
        <v>847</v>
      </c>
      <c r="G29" t="s">
        <v>989</v>
      </c>
      <c r="H29">
        <v>58151616000143</v>
      </c>
      <c r="J29" t="s">
        <v>990</v>
      </c>
      <c r="K29" t="s">
        <v>991</v>
      </c>
      <c r="M29" t="s">
        <v>992</v>
      </c>
      <c r="Q29" t="s">
        <v>993</v>
      </c>
      <c r="R29" t="s">
        <v>932</v>
      </c>
      <c r="V29" t="s">
        <v>994</v>
      </c>
      <c r="W29" t="s">
        <v>780</v>
      </c>
      <c r="X29" t="s">
        <v>816</v>
      </c>
      <c r="Y29" t="s">
        <v>995</v>
      </c>
      <c r="Z29" s="31">
        <v>45688</v>
      </c>
      <c r="AA29">
        <v>4736912</v>
      </c>
      <c r="AB29">
        <v>98326</v>
      </c>
      <c r="AC29">
        <v>53</v>
      </c>
      <c r="AD29" t="s">
        <v>44</v>
      </c>
      <c r="AE29" s="31">
        <v>45628</v>
      </c>
      <c r="AF29" s="61">
        <v>0.39987268518518521</v>
      </c>
      <c r="AH29" t="s">
        <v>818</v>
      </c>
      <c r="AI29" s="31">
        <v>45681</v>
      </c>
      <c r="AJ29" s="61">
        <v>0.47471064814814817</v>
      </c>
      <c r="AN29" t="s">
        <v>996</v>
      </c>
      <c r="AO29" t="s">
        <v>44</v>
      </c>
      <c r="AP29" t="s">
        <v>997</v>
      </c>
      <c r="AR29" s="31"/>
      <c r="AX29">
        <v>1</v>
      </c>
    </row>
    <row r="30" spans="1:50" x14ac:dyDescent="0.25">
      <c r="A30" t="s">
        <v>44</v>
      </c>
      <c r="B30">
        <v>118</v>
      </c>
      <c r="D30">
        <v>851</v>
      </c>
      <c r="G30" t="s">
        <v>998</v>
      </c>
      <c r="H30">
        <v>64582232000188</v>
      </c>
      <c r="J30" t="s">
        <v>999</v>
      </c>
      <c r="K30" t="s">
        <v>1000</v>
      </c>
      <c r="M30" t="s">
        <v>1001</v>
      </c>
      <c r="W30" t="s">
        <v>780</v>
      </c>
      <c r="X30" t="s">
        <v>807</v>
      </c>
      <c r="Z30" s="31">
        <v>45688</v>
      </c>
      <c r="AA30">
        <v>202945</v>
      </c>
      <c r="AC30">
        <v>64</v>
      </c>
      <c r="AD30" t="s">
        <v>44</v>
      </c>
      <c r="AE30" s="31">
        <v>45630</v>
      </c>
      <c r="AF30" s="61">
        <v>0.49253472222222222</v>
      </c>
      <c r="AH30" t="s">
        <v>795</v>
      </c>
      <c r="AI30" s="31">
        <v>45694</v>
      </c>
      <c r="AJ30" s="61">
        <v>0.66188657407407403</v>
      </c>
      <c r="AK30" t="s">
        <v>858</v>
      </c>
      <c r="AL30" t="s">
        <v>5357</v>
      </c>
      <c r="AM30" t="s">
        <v>830</v>
      </c>
      <c r="AN30" t="s">
        <v>1003</v>
      </c>
      <c r="AO30" t="s">
        <v>44</v>
      </c>
      <c r="AP30" t="s">
        <v>996</v>
      </c>
      <c r="AR30" s="31"/>
      <c r="AX30">
        <v>1</v>
      </c>
    </row>
    <row r="31" spans="1:50" x14ac:dyDescent="0.25">
      <c r="A31" t="s">
        <v>44</v>
      </c>
      <c r="B31">
        <v>122</v>
      </c>
      <c r="D31">
        <v>855</v>
      </c>
      <c r="E31" t="s">
        <v>1004</v>
      </c>
      <c r="G31" t="s">
        <v>1005</v>
      </c>
      <c r="H31">
        <v>8520654000158</v>
      </c>
      <c r="J31" t="s">
        <v>1006</v>
      </c>
      <c r="K31" t="s">
        <v>1007</v>
      </c>
      <c r="M31" t="s">
        <v>1008</v>
      </c>
      <c r="S31" t="s">
        <v>791</v>
      </c>
      <c r="V31" t="s">
        <v>5358</v>
      </c>
      <c r="W31" t="s">
        <v>780</v>
      </c>
      <c r="X31" t="s">
        <v>816</v>
      </c>
      <c r="Y31" t="s">
        <v>817</v>
      </c>
      <c r="Z31" s="31">
        <v>46112</v>
      </c>
      <c r="AA31">
        <v>4519984</v>
      </c>
      <c r="AB31">
        <v>522464</v>
      </c>
      <c r="AC31">
        <v>512</v>
      </c>
      <c r="AD31" t="s">
        <v>594</v>
      </c>
      <c r="AE31" s="31">
        <v>45630</v>
      </c>
      <c r="AF31" s="61">
        <v>0.61173611111111115</v>
      </c>
      <c r="AH31" t="s">
        <v>818</v>
      </c>
      <c r="AI31" s="31">
        <v>46142</v>
      </c>
      <c r="AJ31" s="61">
        <v>0.60101851851851851</v>
      </c>
      <c r="AM31" t="s">
        <v>997</v>
      </c>
      <c r="AN31" t="s">
        <v>1010</v>
      </c>
      <c r="AO31" t="s">
        <v>44</v>
      </c>
      <c r="AP31" t="s">
        <v>1011</v>
      </c>
      <c r="AQ31" t="s">
        <v>1010</v>
      </c>
      <c r="AR31" s="31">
        <v>46049</v>
      </c>
      <c r="AS31">
        <v>80</v>
      </c>
      <c r="AX31">
        <v>1</v>
      </c>
    </row>
    <row r="32" spans="1:50" x14ac:dyDescent="0.25">
      <c r="A32" t="s">
        <v>44</v>
      </c>
      <c r="B32">
        <v>125</v>
      </c>
      <c r="D32">
        <v>860</v>
      </c>
      <c r="G32" t="s">
        <v>5359</v>
      </c>
      <c r="J32" t="s">
        <v>5360</v>
      </c>
      <c r="K32" t="s">
        <v>991</v>
      </c>
      <c r="M32" t="s">
        <v>992</v>
      </c>
      <c r="V32" t="s">
        <v>994</v>
      </c>
      <c r="W32" t="s">
        <v>780</v>
      </c>
      <c r="X32" t="s">
        <v>816</v>
      </c>
      <c r="Z32" s="31">
        <v>45688</v>
      </c>
      <c r="AA32">
        <v>1600</v>
      </c>
      <c r="AB32">
        <v>157626</v>
      </c>
      <c r="AC32">
        <v>49</v>
      </c>
      <c r="AD32" t="s">
        <v>44</v>
      </c>
      <c r="AE32" s="31">
        <v>45632</v>
      </c>
      <c r="AF32" s="61">
        <v>0.68636574074074075</v>
      </c>
      <c r="AH32" t="s">
        <v>818</v>
      </c>
      <c r="AI32" s="31">
        <v>45681</v>
      </c>
      <c r="AJ32" s="61">
        <v>0.48759259259259258</v>
      </c>
      <c r="AN32" t="s">
        <v>996</v>
      </c>
      <c r="AP32" t="s">
        <v>829</v>
      </c>
      <c r="AR32" s="31"/>
      <c r="AX32">
        <v>1</v>
      </c>
    </row>
    <row r="33" spans="1:50" x14ac:dyDescent="0.25">
      <c r="A33" t="s">
        <v>44</v>
      </c>
      <c r="B33">
        <v>127</v>
      </c>
      <c r="D33">
        <v>981</v>
      </c>
      <c r="G33" t="s">
        <v>1015</v>
      </c>
      <c r="H33">
        <v>48885921000105</v>
      </c>
      <c r="J33" t="s">
        <v>1016</v>
      </c>
      <c r="K33" t="s">
        <v>1017</v>
      </c>
      <c r="M33" t="s">
        <v>1018</v>
      </c>
      <c r="S33" t="s">
        <v>791</v>
      </c>
      <c r="W33" t="s">
        <v>780</v>
      </c>
      <c r="X33" t="s">
        <v>816</v>
      </c>
      <c r="Z33" s="31">
        <v>45657</v>
      </c>
      <c r="AA33">
        <v>450</v>
      </c>
      <c r="AC33">
        <v>2</v>
      </c>
      <c r="AD33" t="s">
        <v>44</v>
      </c>
      <c r="AE33" s="31">
        <v>45636</v>
      </c>
      <c r="AF33" s="61">
        <v>0.44290509259259259</v>
      </c>
      <c r="AH33" t="s">
        <v>818</v>
      </c>
      <c r="AI33" s="31">
        <v>45638</v>
      </c>
      <c r="AJ33" s="61">
        <v>0.67709490740740741</v>
      </c>
      <c r="AM33" t="s">
        <v>1019</v>
      </c>
      <c r="AN33" t="s">
        <v>1020</v>
      </c>
      <c r="AO33" t="s">
        <v>44</v>
      </c>
      <c r="AP33" t="s">
        <v>996</v>
      </c>
      <c r="AQ33" t="s">
        <v>1021</v>
      </c>
      <c r="AR33" s="31"/>
      <c r="AX33">
        <v>1</v>
      </c>
    </row>
    <row r="34" spans="1:50" x14ac:dyDescent="0.25">
      <c r="A34" t="s">
        <v>44</v>
      </c>
      <c r="B34">
        <v>130</v>
      </c>
      <c r="D34">
        <v>987</v>
      </c>
      <c r="G34" t="s">
        <v>1022</v>
      </c>
      <c r="H34">
        <v>5691820000190</v>
      </c>
      <c r="J34" t="s">
        <v>57</v>
      </c>
      <c r="K34" t="s">
        <v>1024</v>
      </c>
      <c r="M34" t="s">
        <v>1025</v>
      </c>
      <c r="Q34" t="s">
        <v>1026</v>
      </c>
      <c r="R34" t="s">
        <v>1027</v>
      </c>
      <c r="V34" t="s">
        <v>994</v>
      </c>
      <c r="W34" t="s">
        <v>780</v>
      </c>
      <c r="X34" t="s">
        <v>816</v>
      </c>
      <c r="Z34" s="31">
        <v>45688</v>
      </c>
      <c r="AA34">
        <v>0</v>
      </c>
      <c r="AB34">
        <v>3564</v>
      </c>
      <c r="AC34">
        <v>43</v>
      </c>
      <c r="AD34" t="s">
        <v>44</v>
      </c>
      <c r="AE34" s="31">
        <v>45638</v>
      </c>
      <c r="AF34" s="61">
        <v>0.38504629629629628</v>
      </c>
      <c r="AH34" t="s">
        <v>818</v>
      </c>
      <c r="AI34" s="31">
        <v>45681</v>
      </c>
      <c r="AJ34" s="61">
        <v>0.46354166666666669</v>
      </c>
      <c r="AM34" t="s">
        <v>821</v>
      </c>
      <c r="AN34" t="s">
        <v>821</v>
      </c>
      <c r="AO34" t="s">
        <v>44</v>
      </c>
      <c r="AP34" t="s">
        <v>821</v>
      </c>
      <c r="AR34" s="31"/>
      <c r="AX34">
        <v>1</v>
      </c>
    </row>
    <row r="35" spans="1:50" x14ac:dyDescent="0.25">
      <c r="A35" t="s">
        <v>44</v>
      </c>
      <c r="B35">
        <v>131</v>
      </c>
      <c r="D35">
        <v>990</v>
      </c>
      <c r="G35" t="s">
        <v>1028</v>
      </c>
      <c r="J35" t="s">
        <v>1029</v>
      </c>
      <c r="K35" t="s">
        <v>1030</v>
      </c>
      <c r="M35" t="s">
        <v>1031</v>
      </c>
      <c r="W35" t="s">
        <v>780</v>
      </c>
      <c r="X35" t="s">
        <v>857</v>
      </c>
      <c r="Z35" s="31"/>
      <c r="AA35">
        <v>37964</v>
      </c>
      <c r="AC35">
        <v>7</v>
      </c>
      <c r="AD35" t="s">
        <v>44</v>
      </c>
      <c r="AE35" s="31">
        <v>45638</v>
      </c>
      <c r="AF35" s="61">
        <v>0.45196759259259262</v>
      </c>
      <c r="AH35" t="s">
        <v>795</v>
      </c>
      <c r="AI35" s="31">
        <v>45645</v>
      </c>
      <c r="AJ35" s="61">
        <v>0.40232638888888889</v>
      </c>
      <c r="AK35" t="s">
        <v>5353</v>
      </c>
      <c r="AL35" t="s">
        <v>5361</v>
      </c>
      <c r="AN35" t="s">
        <v>1033</v>
      </c>
      <c r="AP35" t="s">
        <v>1021</v>
      </c>
      <c r="AQ35" t="s">
        <v>1033</v>
      </c>
      <c r="AR35" s="31"/>
      <c r="AX35">
        <v>1</v>
      </c>
    </row>
    <row r="36" spans="1:50" x14ac:dyDescent="0.25">
      <c r="A36" t="s">
        <v>44</v>
      </c>
      <c r="B36">
        <v>135</v>
      </c>
      <c r="D36">
        <v>996</v>
      </c>
      <c r="G36" t="s">
        <v>1034</v>
      </c>
      <c r="J36" t="s">
        <v>1035</v>
      </c>
      <c r="K36" t="s">
        <v>1036</v>
      </c>
      <c r="M36" t="s">
        <v>1037</v>
      </c>
      <c r="V36" t="s">
        <v>994</v>
      </c>
      <c r="W36" t="s">
        <v>780</v>
      </c>
      <c r="X36" t="s">
        <v>816</v>
      </c>
      <c r="Z36" s="31"/>
      <c r="AA36">
        <v>28832</v>
      </c>
      <c r="AB36">
        <v>110248</v>
      </c>
      <c r="AC36">
        <v>83</v>
      </c>
      <c r="AD36" t="s">
        <v>44</v>
      </c>
      <c r="AE36" s="31">
        <v>45638</v>
      </c>
      <c r="AF36" s="61">
        <v>0.72285879629629635</v>
      </c>
      <c r="AH36" t="s">
        <v>795</v>
      </c>
      <c r="AI36" s="31">
        <v>45721</v>
      </c>
      <c r="AJ36" s="61">
        <v>0.46725694444444438</v>
      </c>
      <c r="AK36" t="s">
        <v>5338</v>
      </c>
      <c r="AL36" t="s">
        <v>5362</v>
      </c>
      <c r="AN36" t="s">
        <v>1039</v>
      </c>
      <c r="AR36" s="31"/>
      <c r="AX36">
        <v>1</v>
      </c>
    </row>
    <row r="37" spans="1:50" x14ac:dyDescent="0.25">
      <c r="A37" t="s">
        <v>44</v>
      </c>
      <c r="B37">
        <v>138</v>
      </c>
      <c r="D37">
        <v>1103</v>
      </c>
      <c r="G37" t="s">
        <v>1040</v>
      </c>
      <c r="H37">
        <v>54734384000103</v>
      </c>
      <c r="J37" t="s">
        <v>607</v>
      </c>
      <c r="K37" t="s">
        <v>1042</v>
      </c>
      <c r="M37" t="s">
        <v>1043</v>
      </c>
      <c r="V37" t="s">
        <v>994</v>
      </c>
      <c r="W37" t="s">
        <v>780</v>
      </c>
      <c r="X37" t="s">
        <v>807</v>
      </c>
      <c r="Z37" s="31"/>
      <c r="AA37">
        <v>49588</v>
      </c>
      <c r="AC37">
        <v>23</v>
      </c>
      <c r="AD37" t="s">
        <v>44</v>
      </c>
      <c r="AE37" s="31">
        <v>45643</v>
      </c>
      <c r="AF37" s="61">
        <v>0.51571759259259264</v>
      </c>
      <c r="AH37" t="s">
        <v>795</v>
      </c>
      <c r="AI37" s="31">
        <v>45666</v>
      </c>
      <c r="AJ37" s="61">
        <v>0.6648263888888889</v>
      </c>
      <c r="AK37" t="s">
        <v>5338</v>
      </c>
      <c r="AL37" t="s">
        <v>5363</v>
      </c>
      <c r="AN37" t="s">
        <v>1045</v>
      </c>
      <c r="AP37" t="s">
        <v>1033</v>
      </c>
      <c r="AR37" s="31"/>
      <c r="AX37">
        <v>1</v>
      </c>
    </row>
    <row r="38" spans="1:50" x14ac:dyDescent="0.25">
      <c r="A38" t="s">
        <v>44</v>
      </c>
      <c r="B38">
        <v>139</v>
      </c>
      <c r="D38">
        <v>1113</v>
      </c>
      <c r="G38" t="s">
        <v>5364</v>
      </c>
      <c r="J38" t="s">
        <v>5365</v>
      </c>
      <c r="K38" t="s">
        <v>1048</v>
      </c>
      <c r="M38" t="s">
        <v>1049</v>
      </c>
      <c r="W38" t="s">
        <v>780</v>
      </c>
      <c r="X38" t="s">
        <v>793</v>
      </c>
      <c r="Z38" s="31">
        <v>45688</v>
      </c>
      <c r="AA38">
        <v>168592</v>
      </c>
      <c r="AB38">
        <v>6426</v>
      </c>
      <c r="AC38">
        <v>40</v>
      </c>
      <c r="AD38" t="s">
        <v>44</v>
      </c>
      <c r="AE38" s="31">
        <v>45645</v>
      </c>
      <c r="AF38" s="61">
        <v>0.40438657407407408</v>
      </c>
      <c r="AH38" t="s">
        <v>795</v>
      </c>
      <c r="AI38" s="31">
        <v>45685</v>
      </c>
      <c r="AJ38" s="61">
        <v>0.60306712962962961</v>
      </c>
      <c r="AK38" t="s">
        <v>934</v>
      </c>
      <c r="AL38" t="s">
        <v>5366</v>
      </c>
      <c r="AM38" t="s">
        <v>1003</v>
      </c>
      <c r="AN38" t="s">
        <v>1003</v>
      </c>
      <c r="AP38" t="s">
        <v>1003</v>
      </c>
      <c r="AR38" s="31"/>
      <c r="AX38">
        <v>1</v>
      </c>
    </row>
    <row r="39" spans="1:50" x14ac:dyDescent="0.25">
      <c r="A39" t="s">
        <v>44</v>
      </c>
      <c r="B39">
        <v>140</v>
      </c>
      <c r="D39">
        <v>1114</v>
      </c>
      <c r="G39" t="s">
        <v>1051</v>
      </c>
      <c r="J39" t="s">
        <v>1061</v>
      </c>
      <c r="K39" t="s">
        <v>1042</v>
      </c>
      <c r="M39" t="s">
        <v>1043</v>
      </c>
      <c r="W39" t="s">
        <v>780</v>
      </c>
      <c r="X39" t="s">
        <v>816</v>
      </c>
      <c r="Y39" t="s">
        <v>995</v>
      </c>
      <c r="Z39" s="31">
        <v>45688</v>
      </c>
      <c r="AA39">
        <v>4587892</v>
      </c>
      <c r="AB39">
        <v>628168</v>
      </c>
      <c r="AC39">
        <v>36</v>
      </c>
      <c r="AD39" t="s">
        <v>44</v>
      </c>
      <c r="AE39" s="31">
        <v>45645</v>
      </c>
      <c r="AF39" s="61">
        <v>0.41775462962962961</v>
      </c>
      <c r="AH39" t="s">
        <v>818</v>
      </c>
      <c r="AI39" s="31">
        <v>45681</v>
      </c>
      <c r="AJ39" s="61">
        <v>0.51848379629629626</v>
      </c>
      <c r="AN39" t="s">
        <v>1053</v>
      </c>
      <c r="AP39" t="s">
        <v>1054</v>
      </c>
      <c r="AQ39" t="s">
        <v>1055</v>
      </c>
      <c r="AR39" s="31"/>
      <c r="AX39">
        <v>1</v>
      </c>
    </row>
    <row r="40" spans="1:50" x14ac:dyDescent="0.25">
      <c r="A40" t="s">
        <v>44</v>
      </c>
      <c r="B40">
        <v>141</v>
      </c>
      <c r="C40">
        <v>159</v>
      </c>
      <c r="D40">
        <v>1115</v>
      </c>
      <c r="G40" t="s">
        <v>1056</v>
      </c>
      <c r="H40">
        <v>43526090000161</v>
      </c>
      <c r="I40" t="s">
        <v>913</v>
      </c>
      <c r="J40" t="s">
        <v>5367</v>
      </c>
      <c r="K40" t="s">
        <v>915</v>
      </c>
      <c r="M40" t="s">
        <v>916</v>
      </c>
      <c r="Q40" t="s">
        <v>909</v>
      </c>
      <c r="R40" t="s">
        <v>790</v>
      </c>
      <c r="W40" t="s">
        <v>780</v>
      </c>
      <c r="X40" t="s">
        <v>816</v>
      </c>
      <c r="Y40" t="s">
        <v>959</v>
      </c>
      <c r="Z40" s="31">
        <v>45688</v>
      </c>
      <c r="AA40">
        <v>1600</v>
      </c>
      <c r="AB40">
        <v>2500</v>
      </c>
      <c r="AC40">
        <v>42</v>
      </c>
      <c r="AD40" t="s">
        <v>44</v>
      </c>
      <c r="AE40" s="31">
        <v>45645</v>
      </c>
      <c r="AF40" s="61">
        <v>0.61128472222222219</v>
      </c>
      <c r="AH40" t="s">
        <v>818</v>
      </c>
      <c r="AI40" s="31">
        <v>45685</v>
      </c>
      <c r="AJ40" s="61">
        <v>0.68137731481481478</v>
      </c>
      <c r="AL40" t="s">
        <v>1058</v>
      </c>
      <c r="AM40" t="s">
        <v>1039</v>
      </c>
      <c r="AN40" t="s">
        <v>1059</v>
      </c>
      <c r="AR40" s="31"/>
      <c r="AX40">
        <v>1</v>
      </c>
    </row>
    <row r="41" spans="1:50" x14ac:dyDescent="0.25">
      <c r="A41" t="s">
        <v>44</v>
      </c>
      <c r="B41">
        <v>142</v>
      </c>
      <c r="D41">
        <v>1117</v>
      </c>
      <c r="G41" t="s">
        <v>1060</v>
      </c>
      <c r="J41" t="s">
        <v>1061</v>
      </c>
      <c r="K41" t="s">
        <v>1042</v>
      </c>
      <c r="M41" t="s">
        <v>1043</v>
      </c>
      <c r="W41" t="s">
        <v>780</v>
      </c>
      <c r="X41" t="s">
        <v>816</v>
      </c>
      <c r="Z41" s="31">
        <v>45688</v>
      </c>
      <c r="AA41">
        <v>1600</v>
      </c>
      <c r="AB41">
        <v>243721</v>
      </c>
      <c r="AC41">
        <v>35</v>
      </c>
      <c r="AD41" t="s">
        <v>44</v>
      </c>
      <c r="AE41" s="31">
        <v>45646</v>
      </c>
      <c r="AF41" s="61">
        <v>0.60428240740740746</v>
      </c>
      <c r="AH41" t="s">
        <v>818</v>
      </c>
      <c r="AI41" s="31">
        <v>45681</v>
      </c>
      <c r="AJ41" s="61">
        <v>0.58530092592592597</v>
      </c>
      <c r="AN41" t="s">
        <v>1053</v>
      </c>
      <c r="AP41" t="s">
        <v>1054</v>
      </c>
      <c r="AQ41" t="s">
        <v>1055</v>
      </c>
      <c r="AR41" s="31"/>
      <c r="AX41">
        <v>1</v>
      </c>
    </row>
    <row r="42" spans="1:50" x14ac:dyDescent="0.25">
      <c r="A42" t="s">
        <v>22</v>
      </c>
      <c r="B42">
        <v>144</v>
      </c>
      <c r="D42">
        <v>181</v>
      </c>
      <c r="E42" t="s">
        <v>1062</v>
      </c>
      <c r="G42" t="s">
        <v>5368</v>
      </c>
      <c r="H42">
        <v>27805256000122</v>
      </c>
      <c r="J42" t="s">
        <v>1064</v>
      </c>
      <c r="K42" t="s">
        <v>1065</v>
      </c>
      <c r="Q42" t="s">
        <v>1066</v>
      </c>
      <c r="R42" t="s">
        <v>1067</v>
      </c>
      <c r="S42" t="s">
        <v>1068</v>
      </c>
      <c r="V42" t="s">
        <v>5369</v>
      </c>
      <c r="W42" t="s">
        <v>780</v>
      </c>
      <c r="X42" t="s">
        <v>816</v>
      </c>
      <c r="Y42" t="s">
        <v>817</v>
      </c>
      <c r="Z42" s="31"/>
      <c r="AA42">
        <v>146772</v>
      </c>
      <c r="AB42">
        <v>1102804</v>
      </c>
      <c r="AC42">
        <v>154</v>
      </c>
      <c r="AD42" t="s">
        <v>22</v>
      </c>
      <c r="AE42" s="31">
        <v>45664</v>
      </c>
      <c r="AF42" s="61">
        <v>0.70750000000000002</v>
      </c>
      <c r="AH42" t="s">
        <v>818</v>
      </c>
      <c r="AI42" s="31">
        <v>45686</v>
      </c>
      <c r="AJ42" s="61">
        <v>4.5011574074074072E-2</v>
      </c>
      <c r="AL42" t="s">
        <v>1058</v>
      </c>
      <c r="AN42" t="s">
        <v>1070</v>
      </c>
      <c r="AO42" t="s">
        <v>22</v>
      </c>
      <c r="AP42" t="s">
        <v>1070</v>
      </c>
      <c r="AR42" s="31"/>
      <c r="AX42">
        <v>1</v>
      </c>
    </row>
    <row r="43" spans="1:50" x14ac:dyDescent="0.25">
      <c r="A43" t="s">
        <v>22</v>
      </c>
      <c r="B43">
        <v>145</v>
      </c>
      <c r="D43">
        <v>12</v>
      </c>
      <c r="E43" t="s">
        <v>5370</v>
      </c>
      <c r="F43" t="s">
        <v>1072</v>
      </c>
      <c r="G43" t="s">
        <v>1073</v>
      </c>
      <c r="H43">
        <v>22752240000185</v>
      </c>
      <c r="J43" t="s">
        <v>1074</v>
      </c>
      <c r="K43" t="s">
        <v>1075</v>
      </c>
      <c r="M43" t="s">
        <v>1076</v>
      </c>
      <c r="Q43" t="s">
        <v>1077</v>
      </c>
      <c r="S43" t="s">
        <v>791</v>
      </c>
      <c r="V43" t="s">
        <v>806</v>
      </c>
      <c r="W43" t="s">
        <v>780</v>
      </c>
      <c r="X43" t="s">
        <v>807</v>
      </c>
      <c r="Z43" s="31"/>
      <c r="AC43">
        <v>38</v>
      </c>
      <c r="AD43" t="s">
        <v>22</v>
      </c>
      <c r="AE43" s="31">
        <v>45664</v>
      </c>
      <c r="AF43" s="61">
        <v>0.73380787037037032</v>
      </c>
      <c r="AH43" t="s">
        <v>795</v>
      </c>
      <c r="AI43" s="31">
        <v>45702</v>
      </c>
      <c r="AJ43" s="61">
        <v>0.64967592592592593</v>
      </c>
      <c r="AK43" t="s">
        <v>5338</v>
      </c>
      <c r="AP43" t="s">
        <v>960</v>
      </c>
      <c r="AR43" s="31"/>
      <c r="AX43">
        <v>1</v>
      </c>
    </row>
    <row r="44" spans="1:50" x14ac:dyDescent="0.25">
      <c r="A44" t="s">
        <v>44</v>
      </c>
      <c r="B44">
        <v>148</v>
      </c>
      <c r="D44">
        <v>270</v>
      </c>
      <c r="E44" t="s">
        <v>5371</v>
      </c>
      <c r="F44" t="s">
        <v>1079</v>
      </c>
      <c r="G44" t="s">
        <v>1080</v>
      </c>
      <c r="H44">
        <v>45723541000186</v>
      </c>
      <c r="J44" t="s">
        <v>1081</v>
      </c>
      <c r="K44" t="s">
        <v>1082</v>
      </c>
      <c r="M44" t="s">
        <v>1083</v>
      </c>
      <c r="O44" t="s">
        <v>1084</v>
      </c>
      <c r="Q44" t="s">
        <v>1085</v>
      </c>
      <c r="R44" t="s">
        <v>790</v>
      </c>
      <c r="S44" t="s">
        <v>791</v>
      </c>
      <c r="V44" t="s">
        <v>1086</v>
      </c>
      <c r="W44" t="s">
        <v>780</v>
      </c>
      <c r="X44" t="s">
        <v>807</v>
      </c>
      <c r="Z44" s="31"/>
      <c r="AA44">
        <v>16960</v>
      </c>
      <c r="AB44">
        <v>4714</v>
      </c>
      <c r="AC44">
        <v>72</v>
      </c>
      <c r="AD44" t="s">
        <v>794</v>
      </c>
      <c r="AE44" s="31">
        <v>45665</v>
      </c>
      <c r="AF44" s="61">
        <v>0.46423611111111113</v>
      </c>
      <c r="AH44" t="s">
        <v>795</v>
      </c>
      <c r="AI44" s="31">
        <v>45737</v>
      </c>
      <c r="AJ44" s="61">
        <v>0.43061342592592589</v>
      </c>
      <c r="AK44" t="s">
        <v>858</v>
      </c>
      <c r="AL44" t="s">
        <v>5372</v>
      </c>
      <c r="AN44" t="s">
        <v>1088</v>
      </c>
      <c r="AO44" t="s">
        <v>794</v>
      </c>
      <c r="AP44" t="s">
        <v>1089</v>
      </c>
      <c r="AQ44" t="s">
        <v>1088</v>
      </c>
      <c r="AR44" s="31"/>
      <c r="AX44">
        <v>1</v>
      </c>
    </row>
    <row r="45" spans="1:50" x14ac:dyDescent="0.25">
      <c r="A45" t="s">
        <v>44</v>
      </c>
      <c r="B45">
        <v>151</v>
      </c>
      <c r="D45">
        <v>1540</v>
      </c>
      <c r="G45" t="s">
        <v>1090</v>
      </c>
      <c r="H45">
        <v>21733807000103</v>
      </c>
      <c r="J45" t="s">
        <v>5373</v>
      </c>
      <c r="K45" t="s">
        <v>1092</v>
      </c>
      <c r="M45" t="s">
        <v>1093</v>
      </c>
      <c r="Q45" t="s">
        <v>1094</v>
      </c>
      <c r="R45" t="s">
        <v>790</v>
      </c>
      <c r="W45" t="s">
        <v>780</v>
      </c>
      <c r="X45" t="s">
        <v>807</v>
      </c>
      <c r="Z45" s="31"/>
      <c r="AA45">
        <v>4830624</v>
      </c>
      <c r="AB45">
        <v>384549</v>
      </c>
      <c r="AC45">
        <v>43</v>
      </c>
      <c r="AD45" t="s">
        <v>44</v>
      </c>
      <c r="AE45" s="31">
        <v>45666</v>
      </c>
      <c r="AF45" s="61">
        <v>0.66763888888888889</v>
      </c>
      <c r="AH45" t="s">
        <v>795</v>
      </c>
      <c r="AI45" s="31">
        <v>45709</v>
      </c>
      <c r="AJ45" s="61">
        <v>0.60252314814814811</v>
      </c>
      <c r="AK45" t="s">
        <v>934</v>
      </c>
      <c r="AL45" t="s">
        <v>5374</v>
      </c>
      <c r="AN45" t="s">
        <v>1088</v>
      </c>
      <c r="AP45" t="s">
        <v>1096</v>
      </c>
      <c r="AQ45" t="s">
        <v>1039</v>
      </c>
      <c r="AR45" s="31"/>
      <c r="AX45">
        <v>1</v>
      </c>
    </row>
    <row r="46" spans="1:50" x14ac:dyDescent="0.25">
      <c r="A46" t="s">
        <v>22</v>
      </c>
      <c r="B46">
        <v>154</v>
      </c>
      <c r="C46">
        <v>177</v>
      </c>
      <c r="D46">
        <v>1546</v>
      </c>
      <c r="G46" t="s">
        <v>1097</v>
      </c>
      <c r="H46">
        <v>58636773000149</v>
      </c>
      <c r="I46" t="s">
        <v>1098</v>
      </c>
      <c r="J46" t="s">
        <v>1099</v>
      </c>
      <c r="K46" t="s">
        <v>1100</v>
      </c>
      <c r="M46" t="s">
        <v>1101</v>
      </c>
      <c r="N46" t="s">
        <v>1102</v>
      </c>
      <c r="P46" t="s">
        <v>5375</v>
      </c>
      <c r="Q46" t="s">
        <v>1104</v>
      </c>
      <c r="R46" t="s">
        <v>1105</v>
      </c>
      <c r="S46" t="s">
        <v>814</v>
      </c>
      <c r="T46" t="s">
        <v>814</v>
      </c>
      <c r="V46" t="s">
        <v>5376</v>
      </c>
      <c r="W46" t="s">
        <v>780</v>
      </c>
      <c r="X46" t="s">
        <v>807</v>
      </c>
      <c r="Y46" t="s">
        <v>817</v>
      </c>
      <c r="Z46" s="31"/>
      <c r="AA46">
        <v>5689656</v>
      </c>
      <c r="AB46">
        <v>259936</v>
      </c>
      <c r="AC46">
        <v>151</v>
      </c>
      <c r="AD46" t="s">
        <v>794</v>
      </c>
      <c r="AE46" s="31">
        <v>45667</v>
      </c>
      <c r="AF46" s="61">
        <v>0.50881944444444449</v>
      </c>
      <c r="AH46" t="s">
        <v>795</v>
      </c>
      <c r="AI46" s="31">
        <v>45818</v>
      </c>
      <c r="AJ46" s="61">
        <v>0.61144675925925929</v>
      </c>
      <c r="AK46" t="s">
        <v>858</v>
      </c>
      <c r="AM46" t="s">
        <v>1107</v>
      </c>
      <c r="AN46" t="s">
        <v>960</v>
      </c>
      <c r="AO46" t="s">
        <v>22</v>
      </c>
      <c r="AP46" t="s">
        <v>1107</v>
      </c>
      <c r="AR46" s="31"/>
      <c r="AX46">
        <v>1</v>
      </c>
    </row>
    <row r="47" spans="1:50" x14ac:dyDescent="0.25">
      <c r="A47" t="s">
        <v>22</v>
      </c>
      <c r="B47">
        <v>155</v>
      </c>
      <c r="D47">
        <v>1547</v>
      </c>
      <c r="G47" t="s">
        <v>1108</v>
      </c>
      <c r="J47" t="s">
        <v>1109</v>
      </c>
      <c r="K47" t="s">
        <v>1110</v>
      </c>
      <c r="M47" t="s">
        <v>1111</v>
      </c>
      <c r="W47" t="s">
        <v>780</v>
      </c>
      <c r="X47" t="s">
        <v>857</v>
      </c>
      <c r="Z47" s="31"/>
      <c r="AC47">
        <v>18</v>
      </c>
      <c r="AD47" t="s">
        <v>22</v>
      </c>
      <c r="AE47" s="31">
        <v>45667</v>
      </c>
      <c r="AF47" s="61">
        <v>0.61699074074074078</v>
      </c>
      <c r="AH47" t="s">
        <v>795</v>
      </c>
      <c r="AI47" s="31">
        <v>45685</v>
      </c>
      <c r="AJ47" s="61">
        <v>0.70386574074074071</v>
      </c>
      <c r="AK47" t="s">
        <v>5338</v>
      </c>
      <c r="AL47" t="s">
        <v>1112</v>
      </c>
      <c r="AN47" t="s">
        <v>1113</v>
      </c>
      <c r="AO47" t="s">
        <v>22</v>
      </c>
      <c r="AP47" t="s">
        <v>1113</v>
      </c>
      <c r="AR47" s="31"/>
      <c r="AX47">
        <v>1</v>
      </c>
    </row>
    <row r="48" spans="1:50" x14ac:dyDescent="0.25">
      <c r="A48" t="s">
        <v>22</v>
      </c>
      <c r="B48">
        <v>164</v>
      </c>
      <c r="D48">
        <v>1582</v>
      </c>
      <c r="G48" t="s">
        <v>1114</v>
      </c>
      <c r="H48">
        <v>2675142000184</v>
      </c>
      <c r="J48" t="s">
        <v>1115</v>
      </c>
      <c r="K48" t="s">
        <v>1116</v>
      </c>
      <c r="M48" t="s">
        <v>1117</v>
      </c>
      <c r="Q48" t="s">
        <v>923</v>
      </c>
      <c r="S48" t="s">
        <v>814</v>
      </c>
      <c r="V48" t="s">
        <v>1118</v>
      </c>
      <c r="W48" t="s">
        <v>780</v>
      </c>
      <c r="X48" t="s">
        <v>807</v>
      </c>
      <c r="Z48" s="31"/>
      <c r="AC48">
        <v>65</v>
      </c>
      <c r="AD48" t="s">
        <v>794</v>
      </c>
      <c r="AE48" s="31">
        <v>45672</v>
      </c>
      <c r="AF48" s="61">
        <v>0.73280092592592594</v>
      </c>
      <c r="AH48" t="s">
        <v>795</v>
      </c>
      <c r="AI48" s="31">
        <v>45737</v>
      </c>
      <c r="AJ48" s="61">
        <v>0.60968750000000005</v>
      </c>
      <c r="AK48" t="s">
        <v>5377</v>
      </c>
      <c r="AM48" t="s">
        <v>1120</v>
      </c>
      <c r="AN48" t="s">
        <v>960</v>
      </c>
      <c r="AO48" t="s">
        <v>794</v>
      </c>
      <c r="AP48" t="s">
        <v>1121</v>
      </c>
      <c r="AR48" s="31"/>
      <c r="AX48">
        <v>1</v>
      </c>
    </row>
    <row r="49" spans="1:50" x14ac:dyDescent="0.25">
      <c r="A49" t="s">
        <v>44</v>
      </c>
      <c r="B49">
        <v>166</v>
      </c>
      <c r="D49">
        <v>745</v>
      </c>
      <c r="F49" t="s">
        <v>1122</v>
      </c>
      <c r="G49" t="s">
        <v>1123</v>
      </c>
      <c r="H49">
        <v>48314771000180</v>
      </c>
      <c r="J49" t="s">
        <v>1124</v>
      </c>
      <c r="K49" t="s">
        <v>1125</v>
      </c>
      <c r="M49" t="s">
        <v>1126</v>
      </c>
      <c r="O49" t="s">
        <v>1127</v>
      </c>
      <c r="V49" t="s">
        <v>1128</v>
      </c>
      <c r="W49" t="s">
        <v>780</v>
      </c>
      <c r="X49" t="s">
        <v>857</v>
      </c>
      <c r="Z49" s="31"/>
      <c r="AC49">
        <v>36</v>
      </c>
      <c r="AD49" t="s">
        <v>794</v>
      </c>
      <c r="AE49" s="31">
        <v>45673</v>
      </c>
      <c r="AF49" s="61">
        <v>0.46156249999999999</v>
      </c>
      <c r="AH49" t="s">
        <v>795</v>
      </c>
      <c r="AI49" s="31">
        <v>45709</v>
      </c>
      <c r="AJ49" s="61">
        <v>0.50829861111111108</v>
      </c>
      <c r="AK49" t="s">
        <v>5338</v>
      </c>
      <c r="AL49" t="s">
        <v>5378</v>
      </c>
      <c r="AM49" t="s">
        <v>1130</v>
      </c>
      <c r="AO49" t="s">
        <v>794</v>
      </c>
      <c r="AP49" t="s">
        <v>1131</v>
      </c>
      <c r="AR49" s="31"/>
      <c r="AX49">
        <v>1</v>
      </c>
    </row>
    <row r="50" spans="1:50" x14ac:dyDescent="0.25">
      <c r="A50" t="s">
        <v>22</v>
      </c>
      <c r="B50">
        <v>167</v>
      </c>
      <c r="D50">
        <v>1599</v>
      </c>
      <c r="G50" t="s">
        <v>1132</v>
      </c>
      <c r="J50" t="s">
        <v>1133</v>
      </c>
      <c r="K50" t="s">
        <v>1134</v>
      </c>
      <c r="M50" t="s">
        <v>1111</v>
      </c>
      <c r="S50" t="s">
        <v>933</v>
      </c>
      <c r="V50" t="s">
        <v>1135</v>
      </c>
      <c r="W50" t="s">
        <v>780</v>
      </c>
      <c r="X50" t="s">
        <v>807</v>
      </c>
      <c r="Y50" t="s">
        <v>817</v>
      </c>
      <c r="Z50" s="31">
        <v>45808</v>
      </c>
      <c r="AA50">
        <v>46000</v>
      </c>
      <c r="AB50">
        <v>308546</v>
      </c>
      <c r="AC50">
        <v>82</v>
      </c>
      <c r="AD50" t="s">
        <v>22</v>
      </c>
      <c r="AE50" s="31">
        <v>45673</v>
      </c>
      <c r="AF50" s="61">
        <v>0.58497685185185189</v>
      </c>
      <c r="AH50" t="s">
        <v>795</v>
      </c>
      <c r="AI50" s="31">
        <v>45755</v>
      </c>
      <c r="AJ50" s="61">
        <v>0.39619212962962957</v>
      </c>
      <c r="AK50" t="s">
        <v>858</v>
      </c>
      <c r="AN50" t="s">
        <v>1136</v>
      </c>
      <c r="AO50" t="s">
        <v>22</v>
      </c>
      <c r="AP50" t="s">
        <v>1136</v>
      </c>
      <c r="AR50" s="31"/>
      <c r="AX50">
        <v>1</v>
      </c>
    </row>
    <row r="51" spans="1:50" x14ac:dyDescent="0.25">
      <c r="A51" t="s">
        <v>44</v>
      </c>
      <c r="B51">
        <v>169</v>
      </c>
      <c r="D51">
        <v>735</v>
      </c>
      <c r="F51" t="s">
        <v>1137</v>
      </c>
      <c r="G51" t="s">
        <v>1138</v>
      </c>
      <c r="H51">
        <v>16941656000149</v>
      </c>
      <c r="J51" t="s">
        <v>1139</v>
      </c>
      <c r="K51" t="s">
        <v>1140</v>
      </c>
      <c r="M51" t="s">
        <v>1141</v>
      </c>
      <c r="O51" t="s">
        <v>1142</v>
      </c>
      <c r="W51" t="s">
        <v>780</v>
      </c>
      <c r="X51" t="s">
        <v>793</v>
      </c>
      <c r="Z51" s="31"/>
      <c r="AA51">
        <v>16700</v>
      </c>
      <c r="AB51">
        <v>18186</v>
      </c>
      <c r="AC51">
        <v>6</v>
      </c>
      <c r="AD51" t="s">
        <v>794</v>
      </c>
      <c r="AE51" s="31">
        <v>45673</v>
      </c>
      <c r="AF51" s="61">
        <v>0.71754629629629629</v>
      </c>
      <c r="AH51" t="s">
        <v>795</v>
      </c>
      <c r="AI51" s="31">
        <v>45679</v>
      </c>
      <c r="AJ51" s="61">
        <v>0.50843749999999999</v>
      </c>
      <c r="AK51" t="s">
        <v>5338</v>
      </c>
      <c r="AL51" t="s">
        <v>5379</v>
      </c>
      <c r="AM51" t="s">
        <v>1144</v>
      </c>
      <c r="AN51" t="s">
        <v>1145</v>
      </c>
      <c r="AO51" t="s">
        <v>794</v>
      </c>
      <c r="AP51" t="s">
        <v>1146</v>
      </c>
      <c r="AR51" s="31"/>
      <c r="AX51">
        <v>1</v>
      </c>
    </row>
    <row r="52" spans="1:50" x14ac:dyDescent="0.25">
      <c r="A52" t="s">
        <v>44</v>
      </c>
      <c r="B52">
        <v>174</v>
      </c>
      <c r="D52">
        <v>734</v>
      </c>
      <c r="F52" t="s">
        <v>1147</v>
      </c>
      <c r="G52" t="s">
        <v>1148</v>
      </c>
      <c r="H52">
        <v>66559436000123</v>
      </c>
      <c r="J52" t="s">
        <v>1149</v>
      </c>
      <c r="K52" t="s">
        <v>1150</v>
      </c>
      <c r="M52" t="s">
        <v>1151</v>
      </c>
      <c r="O52" t="s">
        <v>1152</v>
      </c>
      <c r="W52" t="s">
        <v>780</v>
      </c>
      <c r="X52" t="s">
        <v>781</v>
      </c>
      <c r="Z52" s="31"/>
      <c r="AC52">
        <v>31</v>
      </c>
      <c r="AD52" t="s">
        <v>794</v>
      </c>
      <c r="AE52" s="31">
        <v>45678</v>
      </c>
      <c r="AF52" s="61">
        <v>0.4437962962962963</v>
      </c>
      <c r="AH52" t="s">
        <v>795</v>
      </c>
      <c r="AI52" s="31">
        <v>45709</v>
      </c>
      <c r="AJ52" s="61">
        <v>0.45508101851851851</v>
      </c>
      <c r="AK52" t="s">
        <v>5338</v>
      </c>
      <c r="AL52" t="s">
        <v>5380</v>
      </c>
      <c r="AM52" t="s">
        <v>1154</v>
      </c>
      <c r="AO52" t="s">
        <v>794</v>
      </c>
      <c r="AP52" t="s">
        <v>1155</v>
      </c>
      <c r="AR52" s="31"/>
      <c r="AX52">
        <v>1</v>
      </c>
    </row>
    <row r="53" spans="1:50" x14ac:dyDescent="0.25">
      <c r="A53" t="s">
        <v>44</v>
      </c>
      <c r="B53">
        <v>178</v>
      </c>
      <c r="D53">
        <v>1619</v>
      </c>
      <c r="G53" t="s">
        <v>5381</v>
      </c>
      <c r="H53">
        <v>2306559000331</v>
      </c>
      <c r="J53" t="s">
        <v>5382</v>
      </c>
      <c r="K53" t="s">
        <v>1158</v>
      </c>
      <c r="M53" t="s">
        <v>1159</v>
      </c>
      <c r="W53" t="s">
        <v>780</v>
      </c>
      <c r="X53" t="s">
        <v>807</v>
      </c>
      <c r="Y53" t="s">
        <v>817</v>
      </c>
      <c r="Z53" s="31"/>
      <c r="AA53">
        <v>11520</v>
      </c>
      <c r="AB53">
        <v>14114</v>
      </c>
      <c r="AC53">
        <v>30</v>
      </c>
      <c r="AD53" t="s">
        <v>44</v>
      </c>
      <c r="AE53" s="31">
        <v>45679</v>
      </c>
      <c r="AF53" s="61">
        <v>0.51081018518518517</v>
      </c>
      <c r="AH53" t="s">
        <v>795</v>
      </c>
      <c r="AI53" s="31">
        <v>45709</v>
      </c>
      <c r="AJ53" s="61">
        <v>0.50973379629629634</v>
      </c>
      <c r="AK53" t="s">
        <v>5353</v>
      </c>
      <c r="AL53" t="s">
        <v>5383</v>
      </c>
      <c r="AN53" t="s">
        <v>1145</v>
      </c>
      <c r="AP53" t="s">
        <v>1161</v>
      </c>
      <c r="AR53" s="31"/>
      <c r="AX53">
        <v>1</v>
      </c>
    </row>
    <row r="54" spans="1:50" x14ac:dyDescent="0.25">
      <c r="A54" t="s">
        <v>44</v>
      </c>
      <c r="B54">
        <v>179</v>
      </c>
      <c r="D54">
        <v>1621</v>
      </c>
      <c r="G54" t="s">
        <v>5384</v>
      </c>
      <c r="J54" t="s">
        <v>5385</v>
      </c>
      <c r="K54" t="s">
        <v>1164</v>
      </c>
      <c r="M54" t="s">
        <v>1165</v>
      </c>
      <c r="W54" t="s">
        <v>780</v>
      </c>
      <c r="X54" t="s">
        <v>793</v>
      </c>
      <c r="Y54" t="s">
        <v>817</v>
      </c>
      <c r="Z54" s="31"/>
      <c r="AA54">
        <v>61056</v>
      </c>
      <c r="AB54">
        <v>625045</v>
      </c>
      <c r="AC54">
        <v>14</v>
      </c>
      <c r="AD54" t="s">
        <v>44</v>
      </c>
      <c r="AE54" s="31">
        <v>45680</v>
      </c>
      <c r="AF54" s="61">
        <v>0.39780092592592592</v>
      </c>
      <c r="AH54" t="s">
        <v>795</v>
      </c>
      <c r="AI54" s="31">
        <v>45694</v>
      </c>
      <c r="AJ54" s="61">
        <v>0.66874999999999996</v>
      </c>
      <c r="AK54" t="s">
        <v>5347</v>
      </c>
      <c r="AL54" t="s">
        <v>5386</v>
      </c>
      <c r="AN54" t="s">
        <v>1167</v>
      </c>
      <c r="AP54" t="s">
        <v>1168</v>
      </c>
      <c r="AQ54" t="s">
        <v>1167</v>
      </c>
      <c r="AR54" s="31"/>
      <c r="AX54">
        <v>1</v>
      </c>
    </row>
    <row r="55" spans="1:50" x14ac:dyDescent="0.25">
      <c r="A55" t="s">
        <v>44</v>
      </c>
      <c r="B55">
        <v>183</v>
      </c>
      <c r="D55">
        <v>1631</v>
      </c>
      <c r="G55" t="s">
        <v>5387</v>
      </c>
      <c r="J55" t="s">
        <v>643</v>
      </c>
      <c r="K55" t="s">
        <v>1171</v>
      </c>
      <c r="M55" t="s">
        <v>1172</v>
      </c>
      <c r="S55" t="s">
        <v>1068</v>
      </c>
      <c r="W55" t="s">
        <v>780</v>
      </c>
      <c r="X55" t="s">
        <v>816</v>
      </c>
      <c r="Y55" t="s">
        <v>817</v>
      </c>
      <c r="Z55" s="31"/>
      <c r="AA55">
        <v>16960</v>
      </c>
      <c r="AB55">
        <v>863104</v>
      </c>
      <c r="AC55">
        <v>103</v>
      </c>
      <c r="AD55" t="s">
        <v>44</v>
      </c>
      <c r="AE55" s="31">
        <v>45681</v>
      </c>
      <c r="AF55" s="61">
        <v>0.4445486111111111</v>
      </c>
      <c r="AH55" t="s">
        <v>818</v>
      </c>
      <c r="AI55" s="31">
        <v>45784</v>
      </c>
      <c r="AJ55" s="61">
        <v>0.37054398148148149</v>
      </c>
      <c r="AN55" t="s">
        <v>890</v>
      </c>
      <c r="AP55" t="s">
        <v>1168</v>
      </c>
      <c r="AR55" s="31"/>
      <c r="AX55">
        <v>1</v>
      </c>
    </row>
    <row r="56" spans="1:50" x14ac:dyDescent="0.25">
      <c r="A56" t="s">
        <v>44</v>
      </c>
      <c r="B56">
        <v>187</v>
      </c>
      <c r="D56">
        <v>1642</v>
      </c>
      <c r="G56" t="s">
        <v>1173</v>
      </c>
      <c r="J56" t="s">
        <v>1174</v>
      </c>
      <c r="K56" t="s">
        <v>1175</v>
      </c>
      <c r="M56" t="s">
        <v>1176</v>
      </c>
      <c r="W56" t="s">
        <v>780</v>
      </c>
      <c r="X56" t="s">
        <v>857</v>
      </c>
      <c r="Z56" s="31"/>
      <c r="AC56">
        <v>49</v>
      </c>
      <c r="AD56" t="s">
        <v>44</v>
      </c>
      <c r="AE56" s="31">
        <v>45684</v>
      </c>
      <c r="AF56" s="61">
        <v>0.62056712962962968</v>
      </c>
      <c r="AH56" t="s">
        <v>795</v>
      </c>
      <c r="AI56" s="31">
        <v>45733</v>
      </c>
      <c r="AJ56" s="61">
        <v>0.41342592592592592</v>
      </c>
      <c r="AK56" t="s">
        <v>5338</v>
      </c>
      <c r="AL56" t="s">
        <v>5388</v>
      </c>
      <c r="AP56" t="s">
        <v>1167</v>
      </c>
      <c r="AR56" s="31"/>
      <c r="AX56">
        <v>1</v>
      </c>
    </row>
    <row r="57" spans="1:50" x14ac:dyDescent="0.25">
      <c r="A57" t="s">
        <v>44</v>
      </c>
      <c r="B57">
        <v>188</v>
      </c>
      <c r="D57">
        <v>1643</v>
      </c>
      <c r="G57" t="s">
        <v>1178</v>
      </c>
      <c r="J57" t="s">
        <v>1179</v>
      </c>
      <c r="K57" t="s">
        <v>1180</v>
      </c>
      <c r="M57" t="s">
        <v>1093</v>
      </c>
      <c r="W57" t="s">
        <v>780</v>
      </c>
      <c r="X57" t="s">
        <v>807</v>
      </c>
      <c r="Z57" s="31"/>
      <c r="AA57">
        <v>1600</v>
      </c>
      <c r="AB57">
        <v>314528</v>
      </c>
      <c r="AC57">
        <v>25</v>
      </c>
      <c r="AD57" t="s">
        <v>44</v>
      </c>
      <c r="AE57" s="31">
        <v>45684</v>
      </c>
      <c r="AF57" s="61">
        <v>0.65873842592592591</v>
      </c>
      <c r="AH57" t="s">
        <v>795</v>
      </c>
      <c r="AI57" s="31">
        <v>45709</v>
      </c>
      <c r="AJ57" s="61">
        <v>0.60328703703703701</v>
      </c>
      <c r="AK57" t="s">
        <v>934</v>
      </c>
      <c r="AN57" t="s">
        <v>1145</v>
      </c>
      <c r="AP57" t="s">
        <v>1096</v>
      </c>
      <c r="AR57" s="31"/>
      <c r="AX57">
        <v>1</v>
      </c>
    </row>
    <row r="58" spans="1:50" x14ac:dyDescent="0.25">
      <c r="A58" t="s">
        <v>44</v>
      </c>
      <c r="B58">
        <v>191</v>
      </c>
      <c r="D58">
        <v>1651</v>
      </c>
      <c r="G58" t="s">
        <v>1181</v>
      </c>
      <c r="J58" t="s">
        <v>5385</v>
      </c>
      <c r="K58" t="s">
        <v>1164</v>
      </c>
      <c r="M58" t="s">
        <v>1165</v>
      </c>
      <c r="W58" t="s">
        <v>780</v>
      </c>
      <c r="X58" t="s">
        <v>793</v>
      </c>
      <c r="Z58" s="31"/>
      <c r="AA58">
        <v>1600</v>
      </c>
      <c r="AB58">
        <v>4063</v>
      </c>
      <c r="AC58">
        <v>9</v>
      </c>
      <c r="AD58" t="s">
        <v>44</v>
      </c>
      <c r="AE58" s="31">
        <v>45685</v>
      </c>
      <c r="AF58" s="61">
        <v>0.62687499999999996</v>
      </c>
      <c r="AH58" t="s">
        <v>795</v>
      </c>
      <c r="AI58" s="31">
        <v>45694</v>
      </c>
      <c r="AJ58" s="61">
        <v>0.66998842592592589</v>
      </c>
      <c r="AK58" t="s">
        <v>5347</v>
      </c>
      <c r="AL58" t="s">
        <v>5386</v>
      </c>
      <c r="AR58" s="31"/>
      <c r="AX58">
        <v>1</v>
      </c>
    </row>
    <row r="59" spans="1:50" x14ac:dyDescent="0.25">
      <c r="A59" t="s">
        <v>22</v>
      </c>
      <c r="B59">
        <v>193</v>
      </c>
      <c r="D59">
        <v>1608</v>
      </c>
      <c r="G59" t="s">
        <v>1182</v>
      </c>
      <c r="H59">
        <v>2142286000175</v>
      </c>
      <c r="J59" t="s">
        <v>1183</v>
      </c>
      <c r="K59" t="s">
        <v>1184</v>
      </c>
      <c r="M59" t="s">
        <v>1185</v>
      </c>
      <c r="Q59" t="s">
        <v>923</v>
      </c>
      <c r="S59" t="s">
        <v>814</v>
      </c>
      <c r="V59" t="s">
        <v>1186</v>
      </c>
      <c r="W59" t="s">
        <v>780</v>
      </c>
      <c r="X59" t="s">
        <v>807</v>
      </c>
      <c r="Z59" s="31"/>
      <c r="AC59">
        <v>9</v>
      </c>
      <c r="AD59" t="s">
        <v>22</v>
      </c>
      <c r="AE59" s="31">
        <v>45685</v>
      </c>
      <c r="AF59" s="61">
        <v>0.69854166666666662</v>
      </c>
      <c r="AH59" t="s">
        <v>795</v>
      </c>
      <c r="AI59" s="31">
        <v>45694</v>
      </c>
      <c r="AJ59" s="61">
        <v>0.72714120370370372</v>
      </c>
      <c r="AK59" t="s">
        <v>5347</v>
      </c>
      <c r="AN59" t="s">
        <v>1187</v>
      </c>
      <c r="AP59" t="s">
        <v>1187</v>
      </c>
      <c r="AR59" s="31"/>
      <c r="AX59">
        <v>1</v>
      </c>
    </row>
    <row r="60" spans="1:50" x14ac:dyDescent="0.25">
      <c r="A60" t="s">
        <v>22</v>
      </c>
      <c r="B60">
        <v>195</v>
      </c>
      <c r="D60">
        <v>1603</v>
      </c>
      <c r="G60" t="s">
        <v>1188</v>
      </c>
      <c r="J60" t="s">
        <v>1189</v>
      </c>
      <c r="K60" t="s">
        <v>1190</v>
      </c>
      <c r="M60" t="s">
        <v>1111</v>
      </c>
      <c r="S60" t="s">
        <v>1191</v>
      </c>
      <c r="W60" t="s">
        <v>780</v>
      </c>
      <c r="X60" t="s">
        <v>807</v>
      </c>
      <c r="Z60" s="31"/>
      <c r="AC60">
        <v>9</v>
      </c>
      <c r="AD60" t="s">
        <v>22</v>
      </c>
      <c r="AE60" s="31">
        <v>45685</v>
      </c>
      <c r="AF60" s="61">
        <v>0.71567129629629633</v>
      </c>
      <c r="AH60" t="s">
        <v>795</v>
      </c>
      <c r="AI60" s="31">
        <v>45694</v>
      </c>
      <c r="AJ60" s="61">
        <v>0.73074074074074069</v>
      </c>
      <c r="AK60" t="s">
        <v>858</v>
      </c>
      <c r="AN60" t="s">
        <v>1187</v>
      </c>
      <c r="AP60" t="s">
        <v>1187</v>
      </c>
      <c r="AR60" s="31"/>
      <c r="AX60">
        <v>1</v>
      </c>
    </row>
    <row r="61" spans="1:50" x14ac:dyDescent="0.25">
      <c r="A61" t="s">
        <v>22</v>
      </c>
      <c r="B61">
        <v>196</v>
      </c>
      <c r="D61">
        <v>1596</v>
      </c>
      <c r="F61" t="s">
        <v>1192</v>
      </c>
      <c r="G61" t="s">
        <v>1193</v>
      </c>
      <c r="H61">
        <v>56884678000139</v>
      </c>
      <c r="J61" t="s">
        <v>1194</v>
      </c>
      <c r="K61" t="s">
        <v>1195</v>
      </c>
      <c r="M61" t="s">
        <v>1196</v>
      </c>
      <c r="Q61" t="s">
        <v>1197</v>
      </c>
      <c r="R61" t="s">
        <v>790</v>
      </c>
      <c r="S61" t="s">
        <v>1191</v>
      </c>
      <c r="V61" t="s">
        <v>1198</v>
      </c>
      <c r="W61" t="s">
        <v>780</v>
      </c>
      <c r="X61" t="s">
        <v>807</v>
      </c>
      <c r="Z61" s="31"/>
      <c r="AC61">
        <v>1</v>
      </c>
      <c r="AD61" t="s">
        <v>22</v>
      </c>
      <c r="AE61" s="31">
        <v>45685</v>
      </c>
      <c r="AF61" s="61">
        <v>0.71672453703703709</v>
      </c>
      <c r="AH61" t="s">
        <v>795</v>
      </c>
      <c r="AI61" s="31">
        <v>45686</v>
      </c>
      <c r="AJ61" s="61">
        <v>4.1851851851851848E-2</v>
      </c>
      <c r="AK61" t="s">
        <v>5347</v>
      </c>
      <c r="AN61" t="s">
        <v>1187</v>
      </c>
      <c r="AO61" t="s">
        <v>22</v>
      </c>
      <c r="AP61" t="s">
        <v>1187</v>
      </c>
      <c r="AR61" s="31"/>
      <c r="AX61">
        <v>1</v>
      </c>
    </row>
    <row r="62" spans="1:50" x14ac:dyDescent="0.25">
      <c r="A62" t="s">
        <v>22</v>
      </c>
      <c r="B62">
        <v>197</v>
      </c>
      <c r="D62">
        <v>1598</v>
      </c>
      <c r="G62" t="s">
        <v>1199</v>
      </c>
      <c r="J62" t="s">
        <v>5389</v>
      </c>
      <c r="K62" t="s">
        <v>1201</v>
      </c>
      <c r="M62" t="s">
        <v>1111</v>
      </c>
      <c r="S62" t="s">
        <v>1191</v>
      </c>
      <c r="V62" t="s">
        <v>1198</v>
      </c>
      <c r="W62" t="s">
        <v>780</v>
      </c>
      <c r="X62" t="s">
        <v>807</v>
      </c>
      <c r="Z62" s="31"/>
      <c r="AC62">
        <v>1</v>
      </c>
      <c r="AD62" t="s">
        <v>22</v>
      </c>
      <c r="AE62" s="31">
        <v>45685</v>
      </c>
      <c r="AF62" s="61">
        <v>0.71711805555555552</v>
      </c>
      <c r="AH62" t="s">
        <v>795</v>
      </c>
      <c r="AI62" s="31">
        <v>45686</v>
      </c>
      <c r="AJ62" s="61">
        <v>4.3159722222222217E-2</v>
      </c>
      <c r="AK62" t="s">
        <v>5347</v>
      </c>
      <c r="AN62" t="s">
        <v>1187</v>
      </c>
      <c r="AP62" t="s">
        <v>1187</v>
      </c>
      <c r="AR62" s="31"/>
      <c r="AX62">
        <v>1</v>
      </c>
    </row>
    <row r="63" spans="1:50" x14ac:dyDescent="0.25">
      <c r="A63" t="s">
        <v>22</v>
      </c>
      <c r="B63">
        <v>198</v>
      </c>
      <c r="D63">
        <v>1600</v>
      </c>
      <c r="G63" t="s">
        <v>1202</v>
      </c>
      <c r="J63" t="s">
        <v>1203</v>
      </c>
      <c r="K63" t="s">
        <v>1204</v>
      </c>
      <c r="M63" t="s">
        <v>1205</v>
      </c>
      <c r="Q63" t="s">
        <v>1206</v>
      </c>
      <c r="S63" t="s">
        <v>814</v>
      </c>
      <c r="V63" t="s">
        <v>1198</v>
      </c>
      <c r="W63" t="s">
        <v>780</v>
      </c>
      <c r="X63" t="s">
        <v>807</v>
      </c>
      <c r="Z63" s="31"/>
      <c r="AC63">
        <v>1</v>
      </c>
      <c r="AD63" t="s">
        <v>22</v>
      </c>
      <c r="AE63" s="31">
        <v>45685</v>
      </c>
      <c r="AF63" s="61">
        <v>0.71755787037037033</v>
      </c>
      <c r="AH63" t="s">
        <v>795</v>
      </c>
      <c r="AI63" s="31">
        <v>45686</v>
      </c>
      <c r="AJ63" s="61">
        <v>4.5671296296296293E-2</v>
      </c>
      <c r="AK63" t="s">
        <v>5347</v>
      </c>
      <c r="AN63" t="s">
        <v>1187</v>
      </c>
      <c r="AP63" t="s">
        <v>1187</v>
      </c>
      <c r="AR63" s="31"/>
      <c r="AX63">
        <v>1</v>
      </c>
    </row>
    <row r="64" spans="1:50" x14ac:dyDescent="0.25">
      <c r="A64" t="s">
        <v>22</v>
      </c>
      <c r="B64">
        <v>199</v>
      </c>
      <c r="D64">
        <v>1623</v>
      </c>
      <c r="E64" t="s">
        <v>5390</v>
      </c>
      <c r="G64" t="s">
        <v>1208</v>
      </c>
      <c r="J64" t="s">
        <v>1209</v>
      </c>
      <c r="K64" t="s">
        <v>1210</v>
      </c>
      <c r="M64" t="s">
        <v>1211</v>
      </c>
      <c r="Q64" t="s">
        <v>1212</v>
      </c>
      <c r="S64" t="s">
        <v>1068</v>
      </c>
      <c r="V64" t="s">
        <v>1068</v>
      </c>
      <c r="W64" t="s">
        <v>780</v>
      </c>
      <c r="X64" t="s">
        <v>807</v>
      </c>
      <c r="Z64" s="31"/>
      <c r="AC64">
        <v>9</v>
      </c>
      <c r="AD64" t="s">
        <v>22</v>
      </c>
      <c r="AE64" s="31">
        <v>45685</v>
      </c>
      <c r="AF64" s="61">
        <v>0.71810185185185182</v>
      </c>
      <c r="AH64" t="s">
        <v>795</v>
      </c>
      <c r="AI64" s="31">
        <v>45694</v>
      </c>
      <c r="AJ64" s="61">
        <v>0.73619212962962965</v>
      </c>
      <c r="AK64" t="s">
        <v>5347</v>
      </c>
      <c r="AN64" t="s">
        <v>1187</v>
      </c>
      <c r="AQ64" t="s">
        <v>1187</v>
      </c>
      <c r="AR64" s="31"/>
      <c r="AX64">
        <v>1</v>
      </c>
    </row>
    <row r="65" spans="1:50" x14ac:dyDescent="0.25">
      <c r="A65" t="s">
        <v>44</v>
      </c>
      <c r="B65">
        <v>200</v>
      </c>
      <c r="D65">
        <v>1660</v>
      </c>
      <c r="G65" t="s">
        <v>1213</v>
      </c>
      <c r="J65" t="s">
        <v>1214</v>
      </c>
      <c r="K65" t="s">
        <v>1215</v>
      </c>
      <c r="M65" t="s">
        <v>1216</v>
      </c>
      <c r="W65" t="s">
        <v>780</v>
      </c>
      <c r="X65" t="s">
        <v>897</v>
      </c>
      <c r="Z65" s="31"/>
      <c r="AC65">
        <v>51</v>
      </c>
      <c r="AD65" t="s">
        <v>44</v>
      </c>
      <c r="AE65" s="31">
        <v>45686</v>
      </c>
      <c r="AF65" s="61">
        <v>0.39648148148148149</v>
      </c>
      <c r="AH65" t="s">
        <v>795</v>
      </c>
      <c r="AI65" s="31">
        <v>45737</v>
      </c>
      <c r="AJ65" s="61">
        <v>0.61332175925925925</v>
      </c>
      <c r="AK65" t="s">
        <v>858</v>
      </c>
      <c r="AL65" t="s">
        <v>5391</v>
      </c>
      <c r="AP65" t="s">
        <v>1059</v>
      </c>
      <c r="AR65" s="31"/>
      <c r="AX65">
        <v>1</v>
      </c>
    </row>
    <row r="66" spans="1:50" x14ac:dyDescent="0.25">
      <c r="A66" t="s">
        <v>22</v>
      </c>
      <c r="B66">
        <v>201</v>
      </c>
      <c r="D66">
        <v>198</v>
      </c>
      <c r="F66" t="s">
        <v>1218</v>
      </c>
      <c r="G66" t="s">
        <v>1219</v>
      </c>
      <c r="H66">
        <v>13474916000125</v>
      </c>
      <c r="J66" t="s">
        <v>1220</v>
      </c>
      <c r="K66" t="s">
        <v>1221</v>
      </c>
      <c r="M66" t="s">
        <v>1222</v>
      </c>
      <c r="O66" t="s">
        <v>1223</v>
      </c>
      <c r="Q66" t="s">
        <v>1224</v>
      </c>
      <c r="R66" t="s">
        <v>790</v>
      </c>
      <c r="S66" t="s">
        <v>791</v>
      </c>
      <c r="V66" t="s">
        <v>1225</v>
      </c>
      <c r="W66" t="s">
        <v>780</v>
      </c>
      <c r="X66" t="s">
        <v>857</v>
      </c>
      <c r="Z66" s="31"/>
      <c r="AC66">
        <v>8</v>
      </c>
      <c r="AD66" t="s">
        <v>794</v>
      </c>
      <c r="AE66" s="31">
        <v>45686</v>
      </c>
      <c r="AF66" s="61">
        <v>0.49991898148148151</v>
      </c>
      <c r="AH66" t="s">
        <v>795</v>
      </c>
      <c r="AI66" s="31">
        <v>45694</v>
      </c>
      <c r="AJ66" s="61">
        <v>0.57891203703703709</v>
      </c>
      <c r="AK66" t="s">
        <v>5392</v>
      </c>
      <c r="AM66" t="s">
        <v>1227</v>
      </c>
      <c r="AO66" t="s">
        <v>794</v>
      </c>
      <c r="AP66" t="s">
        <v>1228</v>
      </c>
      <c r="AR66" s="31"/>
      <c r="AX66">
        <v>1</v>
      </c>
    </row>
    <row r="67" spans="1:50" x14ac:dyDescent="0.25">
      <c r="A67" t="s">
        <v>44</v>
      </c>
      <c r="B67">
        <v>202</v>
      </c>
      <c r="D67">
        <v>1665</v>
      </c>
      <c r="G67" t="s">
        <v>5393</v>
      </c>
      <c r="J67" t="s">
        <v>1035</v>
      </c>
      <c r="K67" t="s">
        <v>1036</v>
      </c>
      <c r="M67" t="s">
        <v>1037</v>
      </c>
      <c r="W67" t="s">
        <v>780</v>
      </c>
      <c r="X67" t="s">
        <v>816</v>
      </c>
      <c r="Z67" s="31"/>
      <c r="AA67">
        <v>1600</v>
      </c>
      <c r="AB67">
        <v>1824</v>
      </c>
      <c r="AC67">
        <v>34</v>
      </c>
      <c r="AD67" t="s">
        <v>44</v>
      </c>
      <c r="AE67" s="31">
        <v>45687</v>
      </c>
      <c r="AF67" s="61">
        <v>0.41543981481481479</v>
      </c>
      <c r="AH67" t="s">
        <v>795</v>
      </c>
      <c r="AI67" s="31">
        <v>45721</v>
      </c>
      <c r="AJ67" s="61">
        <v>0.46659722222222222</v>
      </c>
      <c r="AK67" t="s">
        <v>5338</v>
      </c>
      <c r="AL67" t="s">
        <v>5394</v>
      </c>
      <c r="AN67" t="s">
        <v>1039</v>
      </c>
      <c r="AR67" s="31"/>
      <c r="AX67">
        <v>1</v>
      </c>
    </row>
    <row r="68" spans="1:50" x14ac:dyDescent="0.25">
      <c r="A68" t="s">
        <v>44</v>
      </c>
      <c r="B68">
        <v>203</v>
      </c>
      <c r="D68">
        <v>1666</v>
      </c>
      <c r="G68" t="s">
        <v>1232</v>
      </c>
      <c r="J68" t="s">
        <v>1233</v>
      </c>
      <c r="K68" t="s">
        <v>1234</v>
      </c>
      <c r="M68" t="s">
        <v>1235</v>
      </c>
      <c r="W68" t="s">
        <v>780</v>
      </c>
      <c r="X68" t="s">
        <v>857</v>
      </c>
      <c r="Z68" s="31"/>
      <c r="AC68">
        <v>22</v>
      </c>
      <c r="AD68" t="s">
        <v>44</v>
      </c>
      <c r="AE68" s="31">
        <v>45687</v>
      </c>
      <c r="AF68" s="61">
        <v>0.45832175925925928</v>
      </c>
      <c r="AH68" t="s">
        <v>795</v>
      </c>
      <c r="AI68" s="31">
        <v>45709</v>
      </c>
      <c r="AJ68" s="61">
        <v>0.50681712962962966</v>
      </c>
      <c r="AK68" t="s">
        <v>858</v>
      </c>
      <c r="AL68" t="s">
        <v>5395</v>
      </c>
      <c r="AP68" t="s">
        <v>1237</v>
      </c>
      <c r="AR68" s="31"/>
      <c r="AX68">
        <v>1</v>
      </c>
    </row>
    <row r="69" spans="1:50" x14ac:dyDescent="0.25">
      <c r="A69" t="s">
        <v>44</v>
      </c>
      <c r="B69">
        <v>204</v>
      </c>
      <c r="D69">
        <v>1669</v>
      </c>
      <c r="G69" t="s">
        <v>1238</v>
      </c>
      <c r="J69" t="s">
        <v>1239</v>
      </c>
      <c r="K69" t="s">
        <v>1240</v>
      </c>
      <c r="M69" t="s">
        <v>1241</v>
      </c>
      <c r="W69" t="s">
        <v>780</v>
      </c>
      <c r="X69" t="s">
        <v>781</v>
      </c>
      <c r="Z69" s="31"/>
      <c r="AA69">
        <v>837998</v>
      </c>
      <c r="AB69">
        <v>516364</v>
      </c>
      <c r="AC69">
        <v>0</v>
      </c>
      <c r="AD69" t="s">
        <v>22</v>
      </c>
      <c r="AE69" s="31">
        <v>45689</v>
      </c>
      <c r="AF69" s="61">
        <v>7.4224537037037033E-2</v>
      </c>
      <c r="AH69" t="s">
        <v>818</v>
      </c>
      <c r="AI69" s="31">
        <v>45689</v>
      </c>
      <c r="AJ69" s="61">
        <v>0.14140046296296299</v>
      </c>
      <c r="AR69" s="31"/>
      <c r="AX69">
        <v>1</v>
      </c>
    </row>
    <row r="70" spans="1:50" x14ac:dyDescent="0.25">
      <c r="A70" t="s">
        <v>22</v>
      </c>
      <c r="B70">
        <v>205</v>
      </c>
      <c r="D70">
        <v>1670</v>
      </c>
      <c r="G70" t="s">
        <v>1242</v>
      </c>
      <c r="J70" t="s">
        <v>1243</v>
      </c>
      <c r="K70" t="s">
        <v>1244</v>
      </c>
      <c r="M70" t="s">
        <v>1245</v>
      </c>
      <c r="W70" t="s">
        <v>780</v>
      </c>
      <c r="X70" t="s">
        <v>816</v>
      </c>
      <c r="Z70" s="31"/>
      <c r="AA70">
        <v>299984</v>
      </c>
      <c r="AB70">
        <v>0</v>
      </c>
      <c r="AC70">
        <v>0</v>
      </c>
      <c r="AD70" t="s">
        <v>22</v>
      </c>
      <c r="AE70" s="31">
        <v>45689</v>
      </c>
      <c r="AF70" s="61">
        <v>9.1087962962962968E-2</v>
      </c>
      <c r="AH70" t="s">
        <v>818</v>
      </c>
      <c r="AI70" s="31">
        <v>45689</v>
      </c>
      <c r="AJ70" s="61">
        <v>9.9201388888888895E-2</v>
      </c>
      <c r="AN70" t="s">
        <v>888</v>
      </c>
      <c r="AO70" t="s">
        <v>22</v>
      </c>
      <c r="AP70" t="s">
        <v>888</v>
      </c>
      <c r="AR70" s="31"/>
      <c r="AX70">
        <v>1</v>
      </c>
    </row>
    <row r="71" spans="1:50" x14ac:dyDescent="0.25">
      <c r="A71" t="s">
        <v>22</v>
      </c>
      <c r="B71">
        <v>206</v>
      </c>
      <c r="D71">
        <v>1671</v>
      </c>
      <c r="G71" t="s">
        <v>1246</v>
      </c>
      <c r="J71" t="s">
        <v>1247</v>
      </c>
      <c r="K71" t="s">
        <v>1248</v>
      </c>
      <c r="M71" t="s">
        <v>1249</v>
      </c>
      <c r="W71" t="s">
        <v>780</v>
      </c>
      <c r="X71" t="s">
        <v>816</v>
      </c>
      <c r="Z71" s="31"/>
      <c r="AA71">
        <v>1936</v>
      </c>
      <c r="AB71">
        <v>0</v>
      </c>
      <c r="AC71">
        <v>0</v>
      </c>
      <c r="AD71" t="s">
        <v>22</v>
      </c>
      <c r="AE71" s="31">
        <v>45689</v>
      </c>
      <c r="AF71" s="61">
        <v>9.2152777777777778E-2</v>
      </c>
      <c r="AH71" t="s">
        <v>818</v>
      </c>
      <c r="AI71" s="31">
        <v>45689</v>
      </c>
      <c r="AJ71" s="61">
        <v>9.7048611111111113E-2</v>
      </c>
      <c r="AN71" t="s">
        <v>1250</v>
      </c>
      <c r="AO71" t="s">
        <v>22</v>
      </c>
      <c r="AP71" t="s">
        <v>1250</v>
      </c>
      <c r="AR71" s="31"/>
      <c r="AX71">
        <v>1</v>
      </c>
    </row>
    <row r="72" spans="1:50" x14ac:dyDescent="0.25">
      <c r="A72" t="s">
        <v>22</v>
      </c>
      <c r="B72">
        <v>207</v>
      </c>
      <c r="D72">
        <v>1672</v>
      </c>
      <c r="G72" t="s">
        <v>1251</v>
      </c>
      <c r="J72" t="s">
        <v>1252</v>
      </c>
      <c r="M72" t="s">
        <v>1253</v>
      </c>
      <c r="W72" t="s">
        <v>780</v>
      </c>
      <c r="X72" t="s">
        <v>816</v>
      </c>
      <c r="Z72" s="31"/>
      <c r="AA72">
        <v>6160</v>
      </c>
      <c r="AB72">
        <v>0</v>
      </c>
      <c r="AC72">
        <v>0</v>
      </c>
      <c r="AD72" t="s">
        <v>22</v>
      </c>
      <c r="AE72" s="31">
        <v>45689</v>
      </c>
      <c r="AF72" s="61">
        <v>9.2499999999999999E-2</v>
      </c>
      <c r="AH72" t="s">
        <v>818</v>
      </c>
      <c r="AI72" s="31">
        <v>45689</v>
      </c>
      <c r="AJ72" s="61">
        <v>9.7812499999999997E-2</v>
      </c>
      <c r="AN72" t="s">
        <v>1254</v>
      </c>
      <c r="AO72" t="s">
        <v>22</v>
      </c>
      <c r="AP72" t="s">
        <v>1254</v>
      </c>
      <c r="AR72" s="31"/>
      <c r="AX72">
        <v>1</v>
      </c>
    </row>
    <row r="73" spans="1:50" x14ac:dyDescent="0.25">
      <c r="A73" t="s">
        <v>22</v>
      </c>
      <c r="B73">
        <v>208</v>
      </c>
      <c r="D73">
        <v>1673</v>
      </c>
      <c r="G73" t="s">
        <v>1255</v>
      </c>
      <c r="J73" t="s">
        <v>678</v>
      </c>
      <c r="M73" t="s">
        <v>1256</v>
      </c>
      <c r="W73" t="s">
        <v>780</v>
      </c>
      <c r="X73" t="s">
        <v>816</v>
      </c>
      <c r="Z73" s="31"/>
      <c r="AA73">
        <v>486308</v>
      </c>
      <c r="AB73">
        <v>3564</v>
      </c>
      <c r="AC73">
        <v>0</v>
      </c>
      <c r="AD73" t="s">
        <v>22</v>
      </c>
      <c r="AE73" s="31">
        <v>45689</v>
      </c>
      <c r="AF73" s="61">
        <v>9.331018518518519E-2</v>
      </c>
      <c r="AH73" t="s">
        <v>818</v>
      </c>
      <c r="AI73" s="31">
        <v>45689</v>
      </c>
      <c r="AJ73" s="61">
        <v>9.6041666666666664E-2</v>
      </c>
      <c r="AN73" t="s">
        <v>1070</v>
      </c>
      <c r="AO73" t="s">
        <v>22</v>
      </c>
      <c r="AP73" t="s">
        <v>1070</v>
      </c>
      <c r="AR73" s="31"/>
      <c r="AX73">
        <v>1</v>
      </c>
    </row>
    <row r="74" spans="1:50" x14ac:dyDescent="0.25">
      <c r="A74" t="s">
        <v>44</v>
      </c>
      <c r="B74">
        <v>209</v>
      </c>
      <c r="D74">
        <v>1710</v>
      </c>
      <c r="G74" t="s">
        <v>5396</v>
      </c>
      <c r="J74" t="s">
        <v>5397</v>
      </c>
      <c r="K74" t="s">
        <v>1259</v>
      </c>
      <c r="M74" t="s">
        <v>1260</v>
      </c>
      <c r="S74" t="s">
        <v>1068</v>
      </c>
      <c r="W74" t="s">
        <v>780</v>
      </c>
      <c r="X74" t="s">
        <v>857</v>
      </c>
      <c r="Y74" t="s">
        <v>817</v>
      </c>
      <c r="Z74" s="31"/>
      <c r="AC74">
        <v>68</v>
      </c>
      <c r="AD74" t="s">
        <v>44</v>
      </c>
      <c r="AE74" s="31">
        <v>45694</v>
      </c>
      <c r="AF74" s="61">
        <v>0.4337152777777778</v>
      </c>
      <c r="AH74" t="s">
        <v>795</v>
      </c>
      <c r="AI74" s="31">
        <v>45762</v>
      </c>
      <c r="AJ74" s="61">
        <v>0.69322916666666667</v>
      </c>
      <c r="AK74" t="s">
        <v>5338</v>
      </c>
      <c r="AL74" t="s">
        <v>5398</v>
      </c>
      <c r="AP74" t="s">
        <v>1262</v>
      </c>
      <c r="AR74" s="31"/>
      <c r="AX74">
        <v>1</v>
      </c>
    </row>
    <row r="75" spans="1:50" x14ac:dyDescent="0.25">
      <c r="A75" t="s">
        <v>44</v>
      </c>
      <c r="B75">
        <v>210</v>
      </c>
      <c r="D75">
        <v>1711</v>
      </c>
      <c r="G75" t="s">
        <v>1263</v>
      </c>
      <c r="H75">
        <v>12792269000137</v>
      </c>
      <c r="J75" t="s">
        <v>624</v>
      </c>
      <c r="K75" t="s">
        <v>1264</v>
      </c>
      <c r="M75" t="s">
        <v>1265</v>
      </c>
      <c r="V75" t="s">
        <v>1266</v>
      </c>
      <c r="W75" t="s">
        <v>780</v>
      </c>
      <c r="X75" t="s">
        <v>816</v>
      </c>
      <c r="Y75" t="s">
        <v>995</v>
      </c>
      <c r="Z75" s="31"/>
      <c r="AA75">
        <v>65920</v>
      </c>
      <c r="AB75">
        <v>481924</v>
      </c>
      <c r="AC75">
        <v>25</v>
      </c>
      <c r="AD75" t="s">
        <v>44</v>
      </c>
      <c r="AE75" s="31">
        <v>45694</v>
      </c>
      <c r="AF75" s="61">
        <v>0.45374999999999999</v>
      </c>
      <c r="AH75" t="s">
        <v>818</v>
      </c>
      <c r="AI75" s="31">
        <v>45719</v>
      </c>
      <c r="AJ75" s="61">
        <v>0.4811111111111111</v>
      </c>
      <c r="AN75" t="s">
        <v>1262</v>
      </c>
      <c r="AP75" t="s">
        <v>1262</v>
      </c>
      <c r="AQ75" t="s">
        <v>1267</v>
      </c>
      <c r="AR75" s="31"/>
      <c r="AX75">
        <v>1</v>
      </c>
    </row>
    <row r="76" spans="1:50" x14ac:dyDescent="0.25">
      <c r="A76" t="s">
        <v>44</v>
      </c>
      <c r="B76">
        <v>211</v>
      </c>
      <c r="D76">
        <v>1712</v>
      </c>
      <c r="G76" t="s">
        <v>1268</v>
      </c>
      <c r="J76" t="s">
        <v>5399</v>
      </c>
      <c r="K76" t="s">
        <v>1264</v>
      </c>
      <c r="M76" t="s">
        <v>1265</v>
      </c>
      <c r="V76" t="s">
        <v>1266</v>
      </c>
      <c r="W76" t="s">
        <v>780</v>
      </c>
      <c r="X76" t="s">
        <v>816</v>
      </c>
      <c r="Z76" s="31"/>
      <c r="AA76">
        <v>1600</v>
      </c>
      <c r="AB76">
        <v>25908</v>
      </c>
      <c r="AC76">
        <v>14</v>
      </c>
      <c r="AD76" t="s">
        <v>44</v>
      </c>
      <c r="AE76" s="31">
        <v>45694</v>
      </c>
      <c r="AF76" s="61">
        <v>0.48604166666666659</v>
      </c>
      <c r="AH76" t="s">
        <v>795</v>
      </c>
      <c r="AI76" s="31">
        <v>45708</v>
      </c>
      <c r="AJ76" s="61">
        <v>0.66526620370370371</v>
      </c>
      <c r="AK76" t="s">
        <v>858</v>
      </c>
      <c r="AL76" t="s">
        <v>5400</v>
      </c>
      <c r="AN76" t="s">
        <v>1262</v>
      </c>
      <c r="AP76" t="s">
        <v>1262</v>
      </c>
      <c r="AQ76" t="s">
        <v>1267</v>
      </c>
      <c r="AR76" s="31"/>
      <c r="AX76">
        <v>1</v>
      </c>
    </row>
    <row r="77" spans="1:50" x14ac:dyDescent="0.25">
      <c r="A77" t="s">
        <v>44</v>
      </c>
      <c r="B77">
        <v>212</v>
      </c>
      <c r="D77">
        <v>1713</v>
      </c>
      <c r="G77" t="s">
        <v>5401</v>
      </c>
      <c r="J77" t="s">
        <v>1272</v>
      </c>
      <c r="K77" t="s">
        <v>1273</v>
      </c>
      <c r="M77" t="s">
        <v>1274</v>
      </c>
      <c r="S77" t="s">
        <v>1068</v>
      </c>
      <c r="W77" t="s">
        <v>780</v>
      </c>
      <c r="X77" t="s">
        <v>857</v>
      </c>
      <c r="Y77" t="s">
        <v>817</v>
      </c>
      <c r="Z77" s="31"/>
      <c r="AC77">
        <v>60</v>
      </c>
      <c r="AD77" t="s">
        <v>44</v>
      </c>
      <c r="AE77" s="31">
        <v>45694</v>
      </c>
      <c r="AF77" s="61">
        <v>0.5163078703703704</v>
      </c>
      <c r="AH77" t="s">
        <v>795</v>
      </c>
      <c r="AI77" s="31">
        <v>45754</v>
      </c>
      <c r="AJ77" s="61">
        <v>0.4931828703703704</v>
      </c>
      <c r="AK77" t="s">
        <v>5338</v>
      </c>
      <c r="AL77" t="s">
        <v>1275</v>
      </c>
      <c r="AP77" t="s">
        <v>1262</v>
      </c>
      <c r="AR77" s="31"/>
      <c r="AX77">
        <v>1</v>
      </c>
    </row>
    <row r="78" spans="1:50" x14ac:dyDescent="0.25">
      <c r="A78" t="s">
        <v>44</v>
      </c>
      <c r="B78">
        <v>213</v>
      </c>
      <c r="D78">
        <v>1714</v>
      </c>
      <c r="G78" t="s">
        <v>5402</v>
      </c>
      <c r="J78" t="s">
        <v>5403</v>
      </c>
      <c r="K78" t="s">
        <v>1278</v>
      </c>
      <c r="M78" t="s">
        <v>1279</v>
      </c>
      <c r="W78" t="s">
        <v>780</v>
      </c>
      <c r="X78" t="s">
        <v>897</v>
      </c>
      <c r="Z78" s="31"/>
      <c r="AA78">
        <v>14400</v>
      </c>
      <c r="AB78">
        <v>18034</v>
      </c>
      <c r="AC78">
        <v>43</v>
      </c>
      <c r="AD78" t="s">
        <v>44</v>
      </c>
      <c r="AE78" s="31">
        <v>45694</v>
      </c>
      <c r="AF78" s="61">
        <v>0.52555555555555555</v>
      </c>
      <c r="AH78" t="s">
        <v>795</v>
      </c>
      <c r="AI78" s="31">
        <v>45737</v>
      </c>
      <c r="AJ78" s="61">
        <v>0.60868055555555556</v>
      </c>
      <c r="AK78" t="s">
        <v>858</v>
      </c>
      <c r="AL78" t="s">
        <v>5404</v>
      </c>
      <c r="AN78" t="s">
        <v>1281</v>
      </c>
      <c r="AP78" t="s">
        <v>1262</v>
      </c>
      <c r="AR78" s="31"/>
      <c r="AX78">
        <v>1</v>
      </c>
    </row>
    <row r="79" spans="1:50" x14ac:dyDescent="0.25">
      <c r="A79" t="s">
        <v>22</v>
      </c>
      <c r="B79">
        <v>214</v>
      </c>
      <c r="D79">
        <v>1661</v>
      </c>
      <c r="G79" t="s">
        <v>1282</v>
      </c>
      <c r="J79" t="s">
        <v>914</v>
      </c>
      <c r="K79" t="s">
        <v>1283</v>
      </c>
      <c r="M79" t="s">
        <v>1284</v>
      </c>
      <c r="Q79" t="s">
        <v>1285</v>
      </c>
      <c r="S79" t="s">
        <v>814</v>
      </c>
      <c r="W79" t="s">
        <v>780</v>
      </c>
      <c r="X79" t="s">
        <v>807</v>
      </c>
      <c r="Z79" s="31"/>
      <c r="AC79">
        <v>0</v>
      </c>
      <c r="AD79" t="s">
        <v>22</v>
      </c>
      <c r="AE79" s="31">
        <v>45694</v>
      </c>
      <c r="AF79" s="61">
        <v>0.57986111111111116</v>
      </c>
      <c r="AH79" t="s">
        <v>795</v>
      </c>
      <c r="AI79" s="31">
        <v>45694</v>
      </c>
      <c r="AJ79" s="61">
        <v>0.72984953703703703</v>
      </c>
      <c r="AK79" t="s">
        <v>5347</v>
      </c>
      <c r="AN79" t="s">
        <v>1286</v>
      </c>
      <c r="AP79" t="s">
        <v>1286</v>
      </c>
      <c r="AR79" s="31"/>
      <c r="AX79">
        <v>1</v>
      </c>
    </row>
    <row r="80" spans="1:50" x14ac:dyDescent="0.25">
      <c r="A80" t="s">
        <v>22</v>
      </c>
      <c r="B80">
        <v>215</v>
      </c>
      <c r="D80">
        <v>1715</v>
      </c>
      <c r="G80" t="s">
        <v>1287</v>
      </c>
      <c r="J80" t="s">
        <v>1288</v>
      </c>
      <c r="K80" t="s">
        <v>1289</v>
      </c>
      <c r="M80" t="s">
        <v>1290</v>
      </c>
      <c r="S80" t="s">
        <v>814</v>
      </c>
      <c r="V80" t="s">
        <v>5405</v>
      </c>
      <c r="W80" t="s">
        <v>780</v>
      </c>
      <c r="X80" t="s">
        <v>807</v>
      </c>
      <c r="Z80" s="31"/>
      <c r="AA80">
        <v>43740</v>
      </c>
      <c r="AB80">
        <v>158239</v>
      </c>
      <c r="AC80">
        <v>13</v>
      </c>
      <c r="AD80" t="s">
        <v>22</v>
      </c>
      <c r="AE80" s="31">
        <v>45694</v>
      </c>
      <c r="AF80" s="61">
        <v>0.58037037037037043</v>
      </c>
      <c r="AH80" t="s">
        <v>795</v>
      </c>
      <c r="AI80" s="31">
        <v>45707</v>
      </c>
      <c r="AJ80" s="61">
        <v>0.38752314814814809</v>
      </c>
      <c r="AK80" t="s">
        <v>5347</v>
      </c>
      <c r="AN80" t="s">
        <v>1292</v>
      </c>
      <c r="AP80" t="s">
        <v>1293</v>
      </c>
      <c r="AR80" s="31"/>
      <c r="AX80">
        <v>1</v>
      </c>
    </row>
    <row r="81" spans="1:50" x14ac:dyDescent="0.25">
      <c r="A81" t="s">
        <v>22</v>
      </c>
      <c r="B81">
        <v>219</v>
      </c>
      <c r="D81">
        <v>1720</v>
      </c>
      <c r="G81" t="s">
        <v>1294</v>
      </c>
      <c r="J81" t="s">
        <v>1295</v>
      </c>
      <c r="K81" t="s">
        <v>1296</v>
      </c>
      <c r="M81" t="s">
        <v>1297</v>
      </c>
      <c r="W81" t="s">
        <v>780</v>
      </c>
      <c r="X81" t="s">
        <v>816</v>
      </c>
      <c r="Z81" s="31"/>
      <c r="AA81">
        <v>14400</v>
      </c>
      <c r="AB81">
        <v>122984</v>
      </c>
      <c r="AC81">
        <v>8</v>
      </c>
      <c r="AD81" t="s">
        <v>22</v>
      </c>
      <c r="AE81" s="31">
        <v>45694</v>
      </c>
      <c r="AF81" s="61">
        <v>0.73803240740740739</v>
      </c>
      <c r="AH81" t="s">
        <v>818</v>
      </c>
      <c r="AI81" s="31">
        <v>45702</v>
      </c>
      <c r="AJ81" s="61">
        <v>0.46967592592592589</v>
      </c>
      <c r="AN81" t="s">
        <v>1293</v>
      </c>
      <c r="AO81" t="s">
        <v>22</v>
      </c>
      <c r="AP81" t="s">
        <v>1293</v>
      </c>
      <c r="AR81" s="31"/>
      <c r="AX81">
        <v>1</v>
      </c>
    </row>
    <row r="82" spans="1:50" x14ac:dyDescent="0.25">
      <c r="A82" t="s">
        <v>44</v>
      </c>
      <c r="B82">
        <v>230</v>
      </c>
      <c r="D82">
        <v>1734</v>
      </c>
      <c r="G82" t="s">
        <v>5406</v>
      </c>
      <c r="J82" t="s">
        <v>5407</v>
      </c>
      <c r="K82" t="s">
        <v>1300</v>
      </c>
      <c r="M82" t="s">
        <v>1301</v>
      </c>
      <c r="S82" t="s">
        <v>1068</v>
      </c>
      <c r="V82" t="s">
        <v>5408</v>
      </c>
      <c r="W82" t="s">
        <v>780</v>
      </c>
      <c r="X82" t="s">
        <v>816</v>
      </c>
      <c r="Y82" t="s">
        <v>817</v>
      </c>
      <c r="Z82" s="31"/>
      <c r="AA82">
        <v>56000</v>
      </c>
      <c r="AB82">
        <v>2101739</v>
      </c>
      <c r="AC82">
        <v>161</v>
      </c>
      <c r="AD82" t="s">
        <v>44</v>
      </c>
      <c r="AE82" s="31">
        <v>45698</v>
      </c>
      <c r="AF82" s="61">
        <v>0.32956018518518521</v>
      </c>
      <c r="AH82" t="s">
        <v>795</v>
      </c>
      <c r="AI82" s="31">
        <v>45859</v>
      </c>
      <c r="AJ82" s="61">
        <v>0.40759259259259262</v>
      </c>
      <c r="AK82" t="s">
        <v>5338</v>
      </c>
      <c r="AL82" t="s">
        <v>5409</v>
      </c>
      <c r="AN82" t="s">
        <v>1304</v>
      </c>
      <c r="AP82" t="s">
        <v>1305</v>
      </c>
      <c r="AR82" s="31"/>
      <c r="AX82">
        <v>1</v>
      </c>
    </row>
    <row r="83" spans="1:50" x14ac:dyDescent="0.25">
      <c r="A83" t="s">
        <v>22</v>
      </c>
      <c r="B83">
        <v>231</v>
      </c>
      <c r="D83">
        <v>1733</v>
      </c>
      <c r="E83" t="s">
        <v>5410</v>
      </c>
      <c r="F83" t="s">
        <v>1307</v>
      </c>
      <c r="G83" t="s">
        <v>1308</v>
      </c>
      <c r="H83">
        <v>14936505000258</v>
      </c>
      <c r="J83" t="s">
        <v>5411</v>
      </c>
      <c r="K83" t="s">
        <v>1310</v>
      </c>
      <c r="M83" t="s">
        <v>1311</v>
      </c>
      <c r="Q83" t="s">
        <v>1312</v>
      </c>
      <c r="R83" t="s">
        <v>790</v>
      </c>
      <c r="S83" t="s">
        <v>1068</v>
      </c>
      <c r="V83" t="s">
        <v>1068</v>
      </c>
      <c r="W83" t="s">
        <v>780</v>
      </c>
      <c r="X83" t="s">
        <v>897</v>
      </c>
      <c r="Z83" s="31"/>
      <c r="AC83">
        <v>38</v>
      </c>
      <c r="AD83" t="s">
        <v>794</v>
      </c>
      <c r="AE83" s="31">
        <v>45699</v>
      </c>
      <c r="AF83" s="61">
        <v>0.65057870370370374</v>
      </c>
      <c r="AH83" t="s">
        <v>795</v>
      </c>
      <c r="AI83" s="31">
        <v>45737</v>
      </c>
      <c r="AJ83" s="61">
        <v>0.63589120370370367</v>
      </c>
      <c r="AK83" t="s">
        <v>5412</v>
      </c>
      <c r="AL83" t="s">
        <v>1313</v>
      </c>
      <c r="AM83" t="s">
        <v>1314</v>
      </c>
      <c r="AO83" t="s">
        <v>794</v>
      </c>
      <c r="AP83" t="s">
        <v>1315</v>
      </c>
      <c r="AR83" s="31"/>
      <c r="AX83">
        <v>1</v>
      </c>
    </row>
    <row r="84" spans="1:50" x14ac:dyDescent="0.25">
      <c r="A84" t="s">
        <v>22</v>
      </c>
      <c r="B84">
        <v>232</v>
      </c>
      <c r="D84">
        <v>1704</v>
      </c>
      <c r="G84" t="s">
        <v>1316</v>
      </c>
      <c r="H84">
        <v>29432229000187</v>
      </c>
      <c r="J84" t="s">
        <v>1317</v>
      </c>
      <c r="K84" t="s">
        <v>1318</v>
      </c>
      <c r="M84" t="s">
        <v>1319</v>
      </c>
      <c r="S84" t="s">
        <v>805</v>
      </c>
      <c r="V84" t="s">
        <v>1320</v>
      </c>
      <c r="W84" t="s">
        <v>780</v>
      </c>
      <c r="X84" t="s">
        <v>897</v>
      </c>
      <c r="Z84" s="31"/>
      <c r="AC84">
        <v>42</v>
      </c>
      <c r="AD84" t="s">
        <v>794</v>
      </c>
      <c r="AE84" s="31">
        <v>45700</v>
      </c>
      <c r="AF84" s="61">
        <v>0.45228009259259261</v>
      </c>
      <c r="AH84" t="s">
        <v>795</v>
      </c>
      <c r="AI84" s="31">
        <v>45742</v>
      </c>
      <c r="AJ84" s="61">
        <v>0.73261574074074076</v>
      </c>
      <c r="AK84" t="s">
        <v>5347</v>
      </c>
      <c r="AM84" t="s">
        <v>1321</v>
      </c>
      <c r="AO84" t="s">
        <v>794</v>
      </c>
      <c r="AP84" t="s">
        <v>1322</v>
      </c>
      <c r="AR84" s="31"/>
      <c r="AX84">
        <v>1</v>
      </c>
    </row>
    <row r="85" spans="1:50" x14ac:dyDescent="0.25">
      <c r="A85" t="s">
        <v>44</v>
      </c>
      <c r="B85">
        <v>233</v>
      </c>
      <c r="D85">
        <v>1747</v>
      </c>
      <c r="G85" t="s">
        <v>5413</v>
      </c>
      <c r="J85" t="s">
        <v>5414</v>
      </c>
      <c r="K85" t="s">
        <v>1325</v>
      </c>
      <c r="M85" t="s">
        <v>1326</v>
      </c>
      <c r="V85" t="s">
        <v>1327</v>
      </c>
      <c r="W85" t="s">
        <v>780</v>
      </c>
      <c r="X85" t="s">
        <v>816</v>
      </c>
      <c r="Z85" s="31"/>
      <c r="AA85">
        <v>60534</v>
      </c>
      <c r="AB85">
        <v>27562</v>
      </c>
      <c r="AC85">
        <v>18</v>
      </c>
      <c r="AD85" t="s">
        <v>44</v>
      </c>
      <c r="AE85" s="31">
        <v>45701</v>
      </c>
      <c r="AF85" s="61">
        <v>0.4293865740740741</v>
      </c>
      <c r="AH85" t="s">
        <v>818</v>
      </c>
      <c r="AI85" s="31">
        <v>45719</v>
      </c>
      <c r="AJ85" s="61">
        <v>0.4816435185185185</v>
      </c>
      <c r="AN85" t="s">
        <v>1328</v>
      </c>
      <c r="AP85" t="s">
        <v>1305</v>
      </c>
      <c r="AR85" s="31"/>
      <c r="AX85">
        <v>1</v>
      </c>
    </row>
    <row r="86" spans="1:50" x14ac:dyDescent="0.25">
      <c r="A86" t="s">
        <v>44</v>
      </c>
      <c r="B86">
        <v>234</v>
      </c>
      <c r="D86">
        <v>1748</v>
      </c>
      <c r="G86" t="s">
        <v>1329</v>
      </c>
      <c r="H86">
        <v>26981837000152</v>
      </c>
      <c r="J86" t="s">
        <v>1330</v>
      </c>
      <c r="K86" t="s">
        <v>1331</v>
      </c>
      <c r="M86" t="s">
        <v>1332</v>
      </c>
      <c r="Q86" t="s">
        <v>1333</v>
      </c>
      <c r="R86" t="s">
        <v>1334</v>
      </c>
      <c r="V86" t="s">
        <v>1327</v>
      </c>
      <c r="W86" t="s">
        <v>780</v>
      </c>
      <c r="X86" t="s">
        <v>793</v>
      </c>
      <c r="Z86" s="31"/>
      <c r="AA86">
        <v>40440</v>
      </c>
      <c r="AB86">
        <v>340574</v>
      </c>
      <c r="AC86">
        <v>11</v>
      </c>
      <c r="AD86" t="s">
        <v>44</v>
      </c>
      <c r="AE86" s="31">
        <v>45701</v>
      </c>
      <c r="AF86" s="61">
        <v>0.45105324074074082</v>
      </c>
      <c r="AH86" t="s">
        <v>795</v>
      </c>
      <c r="AI86" s="31">
        <v>45712</v>
      </c>
      <c r="AJ86" s="61">
        <v>0.69750000000000001</v>
      </c>
      <c r="AK86" t="s">
        <v>5347</v>
      </c>
      <c r="AL86" t="s">
        <v>1335</v>
      </c>
      <c r="AN86" t="s">
        <v>1328</v>
      </c>
      <c r="AP86" t="s">
        <v>1336</v>
      </c>
      <c r="AR86" s="31"/>
      <c r="AX86">
        <v>1</v>
      </c>
    </row>
    <row r="87" spans="1:50" x14ac:dyDescent="0.25">
      <c r="A87" t="s">
        <v>44</v>
      </c>
      <c r="B87">
        <v>235</v>
      </c>
      <c r="D87">
        <v>1750</v>
      </c>
      <c r="G87" t="s">
        <v>5415</v>
      </c>
      <c r="H87">
        <v>43530585000164</v>
      </c>
      <c r="J87" t="s">
        <v>5416</v>
      </c>
      <c r="K87" t="s">
        <v>1339</v>
      </c>
      <c r="M87" t="s">
        <v>1340</v>
      </c>
      <c r="Q87" t="s">
        <v>1341</v>
      </c>
      <c r="R87" t="s">
        <v>932</v>
      </c>
      <c r="V87" t="s">
        <v>1327</v>
      </c>
      <c r="W87" t="s">
        <v>780</v>
      </c>
      <c r="X87" t="s">
        <v>793</v>
      </c>
      <c r="Z87" s="31"/>
      <c r="AA87">
        <v>4663152</v>
      </c>
      <c r="AB87">
        <v>15528</v>
      </c>
      <c r="AC87">
        <v>11</v>
      </c>
      <c r="AD87" t="s">
        <v>44</v>
      </c>
      <c r="AE87" s="31">
        <v>45701</v>
      </c>
      <c r="AF87" s="61">
        <v>0.46368055555555548</v>
      </c>
      <c r="AH87" t="s">
        <v>795</v>
      </c>
      <c r="AI87" s="31">
        <v>45712</v>
      </c>
      <c r="AJ87" s="61">
        <v>0.71800925925925929</v>
      </c>
      <c r="AK87" t="s">
        <v>5347</v>
      </c>
      <c r="AL87" t="s">
        <v>1342</v>
      </c>
      <c r="AN87" t="s">
        <v>1343</v>
      </c>
      <c r="AP87" t="s">
        <v>1336</v>
      </c>
      <c r="AR87" s="31"/>
      <c r="AX87">
        <v>1</v>
      </c>
    </row>
    <row r="88" spans="1:50" x14ac:dyDescent="0.25">
      <c r="A88" t="s">
        <v>44</v>
      </c>
      <c r="B88">
        <v>236</v>
      </c>
      <c r="D88">
        <v>1754</v>
      </c>
      <c r="G88" t="s">
        <v>1344</v>
      </c>
      <c r="H88">
        <v>43530585000164</v>
      </c>
      <c r="J88" t="s">
        <v>1345</v>
      </c>
      <c r="K88" t="s">
        <v>1339</v>
      </c>
      <c r="M88" t="s">
        <v>1340</v>
      </c>
      <c r="Q88" t="s">
        <v>1341</v>
      </c>
      <c r="R88" t="s">
        <v>932</v>
      </c>
      <c r="V88" t="s">
        <v>1327</v>
      </c>
      <c r="W88" t="s">
        <v>780</v>
      </c>
      <c r="X88" t="s">
        <v>793</v>
      </c>
      <c r="Z88" s="31"/>
      <c r="AA88">
        <v>23580</v>
      </c>
      <c r="AB88">
        <v>3060</v>
      </c>
      <c r="AC88">
        <v>11</v>
      </c>
      <c r="AD88" t="s">
        <v>44</v>
      </c>
      <c r="AE88" s="31">
        <v>45701</v>
      </c>
      <c r="AF88" s="61">
        <v>0.46849537037037042</v>
      </c>
      <c r="AH88" t="s">
        <v>795</v>
      </c>
      <c r="AI88" s="31">
        <v>45712</v>
      </c>
      <c r="AJ88" s="61">
        <v>0.71834490740740742</v>
      </c>
      <c r="AK88" t="s">
        <v>5347</v>
      </c>
      <c r="AL88" t="s">
        <v>1342</v>
      </c>
      <c r="AN88" t="s">
        <v>1343</v>
      </c>
      <c r="AP88" t="s">
        <v>1336</v>
      </c>
      <c r="AR88" s="31"/>
      <c r="AX88">
        <v>1</v>
      </c>
    </row>
    <row r="89" spans="1:50" x14ac:dyDescent="0.25">
      <c r="A89" t="s">
        <v>44</v>
      </c>
      <c r="B89">
        <v>237</v>
      </c>
      <c r="D89">
        <v>1758</v>
      </c>
      <c r="G89" t="s">
        <v>1346</v>
      </c>
      <c r="H89">
        <v>12182313000197</v>
      </c>
      <c r="J89" t="s">
        <v>1347</v>
      </c>
      <c r="K89" t="s">
        <v>1348</v>
      </c>
      <c r="M89" t="s">
        <v>1349</v>
      </c>
      <c r="Q89" t="s">
        <v>1350</v>
      </c>
      <c r="R89" t="s">
        <v>874</v>
      </c>
      <c r="S89" t="s">
        <v>1068</v>
      </c>
      <c r="V89" t="s">
        <v>1327</v>
      </c>
      <c r="W89" t="s">
        <v>780</v>
      </c>
      <c r="X89" t="s">
        <v>793</v>
      </c>
      <c r="Y89" t="s">
        <v>817</v>
      </c>
      <c r="Z89" s="31"/>
      <c r="AA89">
        <v>85500</v>
      </c>
      <c r="AB89">
        <v>769354</v>
      </c>
      <c r="AC89">
        <v>62</v>
      </c>
      <c r="AD89" t="s">
        <v>44</v>
      </c>
      <c r="AE89" s="31">
        <v>45701</v>
      </c>
      <c r="AF89" s="61">
        <v>0.47734953703703698</v>
      </c>
      <c r="AH89" t="s">
        <v>795</v>
      </c>
      <c r="AI89" s="31">
        <v>45763</v>
      </c>
      <c r="AJ89" s="61">
        <v>0.39438657407407413</v>
      </c>
      <c r="AK89" t="s">
        <v>5338</v>
      </c>
      <c r="AL89" t="s">
        <v>5417</v>
      </c>
      <c r="AN89" t="s">
        <v>1352</v>
      </c>
      <c r="AP89" t="s">
        <v>1305</v>
      </c>
      <c r="AR89" s="31"/>
      <c r="AX89">
        <v>1</v>
      </c>
    </row>
    <row r="90" spans="1:50" x14ac:dyDescent="0.25">
      <c r="A90" t="s">
        <v>22</v>
      </c>
      <c r="B90">
        <v>242</v>
      </c>
      <c r="D90">
        <v>1746</v>
      </c>
      <c r="G90" t="s">
        <v>1353</v>
      </c>
      <c r="H90">
        <v>865166000170</v>
      </c>
      <c r="J90" t="s">
        <v>1354</v>
      </c>
      <c r="K90" t="s">
        <v>1355</v>
      </c>
      <c r="M90" t="s">
        <v>1356</v>
      </c>
      <c r="Q90" t="s">
        <v>1104</v>
      </c>
      <c r="S90" t="s">
        <v>814</v>
      </c>
      <c r="V90" t="s">
        <v>5418</v>
      </c>
      <c r="W90" t="s">
        <v>780</v>
      </c>
      <c r="X90" t="s">
        <v>807</v>
      </c>
      <c r="Z90" s="31"/>
      <c r="AC90">
        <v>25</v>
      </c>
      <c r="AD90" t="s">
        <v>22</v>
      </c>
      <c r="AE90" s="31">
        <v>45701</v>
      </c>
      <c r="AF90" s="61">
        <v>0.73598379629629629</v>
      </c>
      <c r="AH90" t="s">
        <v>795</v>
      </c>
      <c r="AI90" s="31">
        <v>45726</v>
      </c>
      <c r="AJ90" s="61">
        <v>0.73435185185185181</v>
      </c>
      <c r="AK90" t="s">
        <v>5419</v>
      </c>
      <c r="AO90" t="s">
        <v>22</v>
      </c>
      <c r="AP90" t="s">
        <v>1359</v>
      </c>
      <c r="AR90" s="31"/>
      <c r="AX90">
        <v>1</v>
      </c>
    </row>
    <row r="91" spans="1:50" x14ac:dyDescent="0.25">
      <c r="A91" t="s">
        <v>22</v>
      </c>
      <c r="B91">
        <v>245</v>
      </c>
      <c r="D91">
        <v>1763</v>
      </c>
      <c r="G91" t="s">
        <v>1360</v>
      </c>
      <c r="H91">
        <v>30164963000191</v>
      </c>
      <c r="J91" t="s">
        <v>1361</v>
      </c>
      <c r="K91" t="s">
        <v>1362</v>
      </c>
      <c r="M91" t="s">
        <v>1363</v>
      </c>
      <c r="Q91" t="s">
        <v>923</v>
      </c>
      <c r="S91" t="s">
        <v>814</v>
      </c>
      <c r="V91" t="s">
        <v>5405</v>
      </c>
      <c r="W91" t="s">
        <v>780</v>
      </c>
      <c r="X91" t="s">
        <v>816</v>
      </c>
      <c r="Z91" s="31"/>
      <c r="AA91">
        <v>46332</v>
      </c>
      <c r="AB91">
        <v>257546</v>
      </c>
      <c r="AC91">
        <v>35</v>
      </c>
      <c r="AD91" t="s">
        <v>22</v>
      </c>
      <c r="AE91" s="31">
        <v>45702</v>
      </c>
      <c r="AF91" s="61">
        <v>0.46055555555555561</v>
      </c>
      <c r="AH91" t="s">
        <v>818</v>
      </c>
      <c r="AI91" s="31">
        <v>45737</v>
      </c>
      <c r="AJ91" s="61">
        <v>0.61858796296296292</v>
      </c>
      <c r="AN91" t="s">
        <v>1364</v>
      </c>
      <c r="AO91" t="s">
        <v>22</v>
      </c>
      <c r="AP91" t="s">
        <v>1359</v>
      </c>
      <c r="AR91" s="31"/>
      <c r="AX91">
        <v>1</v>
      </c>
    </row>
    <row r="92" spans="1:50" x14ac:dyDescent="0.25">
      <c r="A92" t="s">
        <v>22</v>
      </c>
      <c r="B92">
        <v>246</v>
      </c>
      <c r="D92">
        <v>1768</v>
      </c>
      <c r="G92" t="s">
        <v>1365</v>
      </c>
      <c r="J92" t="s">
        <v>1366</v>
      </c>
      <c r="K92" t="s">
        <v>1296</v>
      </c>
      <c r="M92" t="s">
        <v>1297</v>
      </c>
      <c r="W92" t="s">
        <v>780</v>
      </c>
      <c r="X92" t="s">
        <v>816</v>
      </c>
      <c r="Z92" s="31"/>
      <c r="AA92">
        <v>0</v>
      </c>
      <c r="AB92">
        <v>3062</v>
      </c>
      <c r="AC92">
        <v>0</v>
      </c>
      <c r="AD92" t="s">
        <v>22</v>
      </c>
      <c r="AE92" s="31">
        <v>45702</v>
      </c>
      <c r="AF92" s="61">
        <v>0.4742939814814815</v>
      </c>
      <c r="AH92" t="s">
        <v>818</v>
      </c>
      <c r="AI92" s="31">
        <v>45702</v>
      </c>
      <c r="AJ92" s="61">
        <v>0.47730324074074082</v>
      </c>
      <c r="AN92" t="s">
        <v>1328</v>
      </c>
      <c r="AO92" t="s">
        <v>22</v>
      </c>
      <c r="AP92" t="s">
        <v>1328</v>
      </c>
      <c r="AR92" s="31"/>
      <c r="AX92">
        <v>1</v>
      </c>
    </row>
    <row r="93" spans="1:50" x14ac:dyDescent="0.25">
      <c r="A93" t="s">
        <v>22</v>
      </c>
      <c r="B93">
        <v>248</v>
      </c>
      <c r="D93">
        <v>1770</v>
      </c>
      <c r="G93" t="s">
        <v>1367</v>
      </c>
      <c r="J93" t="s">
        <v>5420</v>
      </c>
      <c r="K93" t="s">
        <v>1369</v>
      </c>
      <c r="M93" t="s">
        <v>1370</v>
      </c>
      <c r="S93" t="s">
        <v>1068</v>
      </c>
      <c r="V93" t="s">
        <v>1327</v>
      </c>
      <c r="W93" t="s">
        <v>780</v>
      </c>
      <c r="X93" t="s">
        <v>807</v>
      </c>
      <c r="Y93" t="s">
        <v>817</v>
      </c>
      <c r="Z93" s="31"/>
      <c r="AA93">
        <v>64600</v>
      </c>
      <c r="AB93">
        <v>199064</v>
      </c>
      <c r="AC93">
        <v>53</v>
      </c>
      <c r="AD93" t="s">
        <v>22</v>
      </c>
      <c r="AE93" s="31">
        <v>45702</v>
      </c>
      <c r="AF93" s="61">
        <v>0.67921296296296296</v>
      </c>
      <c r="AH93" t="s">
        <v>795</v>
      </c>
      <c r="AI93" s="31">
        <v>45755</v>
      </c>
      <c r="AJ93" s="61">
        <v>0.37805555555555548</v>
      </c>
      <c r="AK93" t="s">
        <v>858</v>
      </c>
      <c r="AN93" t="s">
        <v>1343</v>
      </c>
      <c r="AP93" t="s">
        <v>1328</v>
      </c>
      <c r="AR93" s="31"/>
      <c r="AX93">
        <v>1</v>
      </c>
    </row>
    <row r="94" spans="1:50" x14ac:dyDescent="0.25">
      <c r="A94" t="s">
        <v>22</v>
      </c>
      <c r="B94">
        <v>249</v>
      </c>
      <c r="D94">
        <v>1771</v>
      </c>
      <c r="G94" t="s">
        <v>1371</v>
      </c>
      <c r="J94" t="s">
        <v>1372</v>
      </c>
      <c r="K94" t="s">
        <v>1373</v>
      </c>
      <c r="M94" t="s">
        <v>1111</v>
      </c>
      <c r="S94" t="s">
        <v>933</v>
      </c>
      <c r="V94" t="s">
        <v>1327</v>
      </c>
      <c r="W94" t="s">
        <v>780</v>
      </c>
      <c r="X94" t="s">
        <v>807</v>
      </c>
      <c r="Y94" t="s">
        <v>817</v>
      </c>
      <c r="Z94" s="31"/>
      <c r="AA94">
        <v>16000</v>
      </c>
      <c r="AB94">
        <v>3724</v>
      </c>
      <c r="AC94">
        <v>116</v>
      </c>
      <c r="AD94" t="s">
        <v>22</v>
      </c>
      <c r="AE94" s="31">
        <v>45702</v>
      </c>
      <c r="AF94" s="61">
        <v>0.68333333333333335</v>
      </c>
      <c r="AH94" t="s">
        <v>795</v>
      </c>
      <c r="AI94" s="31">
        <v>45818</v>
      </c>
      <c r="AJ94" s="61">
        <v>0.61789351851851848</v>
      </c>
      <c r="AK94" t="s">
        <v>858</v>
      </c>
      <c r="AN94" t="s">
        <v>1374</v>
      </c>
      <c r="AO94" t="s">
        <v>22</v>
      </c>
      <c r="AP94" t="s">
        <v>1343</v>
      </c>
      <c r="AR94" s="31"/>
      <c r="AX94">
        <v>1</v>
      </c>
    </row>
    <row r="95" spans="1:50" x14ac:dyDescent="0.25">
      <c r="A95" t="s">
        <v>22</v>
      </c>
      <c r="B95">
        <v>250</v>
      </c>
      <c r="D95">
        <v>1772</v>
      </c>
      <c r="G95" t="s">
        <v>1375</v>
      </c>
      <c r="J95" t="s">
        <v>1239</v>
      </c>
      <c r="K95" t="s">
        <v>1376</v>
      </c>
      <c r="M95" t="s">
        <v>1111</v>
      </c>
      <c r="S95" t="s">
        <v>1068</v>
      </c>
      <c r="V95" t="s">
        <v>5421</v>
      </c>
      <c r="W95" t="s">
        <v>780</v>
      </c>
      <c r="X95" t="s">
        <v>857</v>
      </c>
      <c r="Y95" t="s">
        <v>817</v>
      </c>
      <c r="Z95" s="31">
        <v>46935</v>
      </c>
      <c r="AC95">
        <v>208</v>
      </c>
      <c r="AD95" t="s">
        <v>22</v>
      </c>
      <c r="AE95" s="31">
        <v>45702</v>
      </c>
      <c r="AF95" s="61">
        <v>0.68557870370370366</v>
      </c>
      <c r="AH95" t="s">
        <v>795</v>
      </c>
      <c r="AI95" s="31">
        <v>45910</v>
      </c>
      <c r="AJ95" s="61">
        <v>0.6743055555555556</v>
      </c>
      <c r="AK95" t="s">
        <v>5338</v>
      </c>
      <c r="AO95" t="s">
        <v>22</v>
      </c>
      <c r="AP95" t="s">
        <v>1378</v>
      </c>
      <c r="AR95" s="31"/>
      <c r="AX95">
        <v>1</v>
      </c>
    </row>
    <row r="96" spans="1:50" x14ac:dyDescent="0.25">
      <c r="A96" t="s">
        <v>22</v>
      </c>
      <c r="B96">
        <v>253</v>
      </c>
      <c r="D96">
        <v>1776</v>
      </c>
      <c r="G96" t="s">
        <v>1379</v>
      </c>
      <c r="J96" t="s">
        <v>1380</v>
      </c>
      <c r="K96" t="s">
        <v>1381</v>
      </c>
      <c r="M96" t="s">
        <v>1111</v>
      </c>
      <c r="S96" t="s">
        <v>1068</v>
      </c>
      <c r="V96" t="s">
        <v>5422</v>
      </c>
      <c r="W96" t="s">
        <v>780</v>
      </c>
      <c r="X96" t="s">
        <v>807</v>
      </c>
      <c r="Y96" t="s">
        <v>817</v>
      </c>
      <c r="Z96" s="31">
        <v>46037</v>
      </c>
      <c r="AA96">
        <v>48000</v>
      </c>
      <c r="AB96">
        <v>1690959</v>
      </c>
      <c r="AC96">
        <v>299</v>
      </c>
      <c r="AD96" t="s">
        <v>22</v>
      </c>
      <c r="AE96" s="31">
        <v>45702</v>
      </c>
      <c r="AF96" s="61">
        <v>0.72782407407407412</v>
      </c>
      <c r="AH96" t="s">
        <v>795</v>
      </c>
      <c r="AI96" s="31">
        <v>46001</v>
      </c>
      <c r="AJ96" s="61">
        <v>0.71494212962962966</v>
      </c>
      <c r="AK96" t="s">
        <v>858</v>
      </c>
      <c r="AN96" t="s">
        <v>1383</v>
      </c>
      <c r="AO96" t="s">
        <v>22</v>
      </c>
      <c r="AP96" t="s">
        <v>1359</v>
      </c>
      <c r="AR96" s="31"/>
      <c r="AX96">
        <v>1</v>
      </c>
    </row>
    <row r="97" spans="1:50" x14ac:dyDescent="0.25">
      <c r="A97" t="s">
        <v>22</v>
      </c>
      <c r="B97">
        <v>254</v>
      </c>
      <c r="D97">
        <v>1777</v>
      </c>
      <c r="G97" t="s">
        <v>1384</v>
      </c>
      <c r="J97" t="s">
        <v>1385</v>
      </c>
      <c r="K97" t="s">
        <v>1386</v>
      </c>
      <c r="M97" t="s">
        <v>1111</v>
      </c>
      <c r="S97" t="s">
        <v>1068</v>
      </c>
      <c r="V97" t="s">
        <v>1327</v>
      </c>
      <c r="W97" t="s">
        <v>780</v>
      </c>
      <c r="X97" t="s">
        <v>897</v>
      </c>
      <c r="Y97" t="s">
        <v>817</v>
      </c>
      <c r="Z97" s="31"/>
      <c r="AC97">
        <v>40</v>
      </c>
      <c r="AD97" t="s">
        <v>22</v>
      </c>
      <c r="AE97" s="31">
        <v>45702</v>
      </c>
      <c r="AF97" s="61">
        <v>0.73282407407407413</v>
      </c>
      <c r="AH97" t="s">
        <v>795</v>
      </c>
      <c r="AI97" s="31">
        <v>45742</v>
      </c>
      <c r="AJ97" s="61">
        <v>0.72969907407407408</v>
      </c>
      <c r="AK97" t="s">
        <v>5392</v>
      </c>
      <c r="AP97" t="s">
        <v>1359</v>
      </c>
      <c r="AR97" s="31"/>
      <c r="AX97">
        <v>1</v>
      </c>
    </row>
    <row r="98" spans="1:50" x14ac:dyDescent="0.25">
      <c r="A98" t="s">
        <v>22</v>
      </c>
      <c r="B98">
        <v>255</v>
      </c>
      <c r="D98">
        <v>1778</v>
      </c>
      <c r="G98" t="s">
        <v>1387</v>
      </c>
      <c r="J98" t="s">
        <v>1388</v>
      </c>
      <c r="K98" t="s">
        <v>1389</v>
      </c>
      <c r="M98" t="s">
        <v>1111</v>
      </c>
      <c r="S98" t="s">
        <v>1068</v>
      </c>
      <c r="V98" t="s">
        <v>1327</v>
      </c>
      <c r="W98" t="s">
        <v>780</v>
      </c>
      <c r="X98" t="s">
        <v>897</v>
      </c>
      <c r="Y98" t="s">
        <v>817</v>
      </c>
      <c r="Z98" s="31"/>
      <c r="AC98">
        <v>116</v>
      </c>
      <c r="AD98" t="s">
        <v>22</v>
      </c>
      <c r="AE98" s="31">
        <v>45702</v>
      </c>
      <c r="AF98" s="61">
        <v>0.73409722222222218</v>
      </c>
      <c r="AH98" t="s">
        <v>795</v>
      </c>
      <c r="AI98" s="31">
        <v>45818</v>
      </c>
      <c r="AJ98" s="61">
        <v>0.61849537037037039</v>
      </c>
      <c r="AK98" t="s">
        <v>5338</v>
      </c>
      <c r="AP98" t="s">
        <v>1378</v>
      </c>
      <c r="AR98" s="31"/>
      <c r="AX98">
        <v>1</v>
      </c>
    </row>
    <row r="99" spans="1:50" x14ac:dyDescent="0.25">
      <c r="A99" t="s">
        <v>22</v>
      </c>
      <c r="B99">
        <v>256</v>
      </c>
      <c r="D99">
        <v>1781</v>
      </c>
      <c r="G99" t="s">
        <v>1390</v>
      </c>
      <c r="J99" t="s">
        <v>5423</v>
      </c>
      <c r="K99" t="s">
        <v>1392</v>
      </c>
      <c r="M99" t="s">
        <v>1393</v>
      </c>
      <c r="S99" t="s">
        <v>933</v>
      </c>
      <c r="W99" t="s">
        <v>780</v>
      </c>
      <c r="X99" t="s">
        <v>857</v>
      </c>
      <c r="Y99" t="s">
        <v>817</v>
      </c>
      <c r="Z99" s="31"/>
      <c r="AC99">
        <v>37</v>
      </c>
      <c r="AD99" t="s">
        <v>22</v>
      </c>
      <c r="AE99" s="31">
        <v>45705</v>
      </c>
      <c r="AF99" s="61">
        <v>0.51423611111111112</v>
      </c>
      <c r="AH99" t="s">
        <v>795</v>
      </c>
      <c r="AI99" s="31">
        <v>45742</v>
      </c>
      <c r="AJ99" s="61">
        <v>0.73364583333333333</v>
      </c>
      <c r="AK99" t="s">
        <v>858</v>
      </c>
      <c r="AN99" t="s">
        <v>1378</v>
      </c>
      <c r="AO99" t="s">
        <v>22</v>
      </c>
      <c r="AP99" t="s">
        <v>1378</v>
      </c>
      <c r="AR99" s="31"/>
      <c r="AX99">
        <v>1</v>
      </c>
    </row>
    <row r="100" spans="1:50" x14ac:dyDescent="0.25">
      <c r="A100" t="s">
        <v>22</v>
      </c>
      <c r="B100">
        <v>257</v>
      </c>
      <c r="D100">
        <v>1780</v>
      </c>
      <c r="G100" t="s">
        <v>1394</v>
      </c>
      <c r="J100" t="s">
        <v>1395</v>
      </c>
      <c r="K100" t="s">
        <v>1396</v>
      </c>
      <c r="M100" t="s">
        <v>1397</v>
      </c>
      <c r="Q100" t="s">
        <v>1398</v>
      </c>
      <c r="S100" t="s">
        <v>814</v>
      </c>
      <c r="V100" t="s">
        <v>5424</v>
      </c>
      <c r="W100" t="s">
        <v>780</v>
      </c>
      <c r="X100" t="s">
        <v>807</v>
      </c>
      <c r="Y100" t="s">
        <v>817</v>
      </c>
      <c r="Z100" s="31"/>
      <c r="AA100">
        <v>1234935</v>
      </c>
      <c r="AB100">
        <v>833725</v>
      </c>
      <c r="AC100">
        <v>113</v>
      </c>
      <c r="AD100" t="s">
        <v>22</v>
      </c>
      <c r="AE100" s="31">
        <v>45705</v>
      </c>
      <c r="AF100" s="61">
        <v>0.53861111111111115</v>
      </c>
      <c r="AH100" t="s">
        <v>795</v>
      </c>
      <c r="AI100" s="31">
        <v>45818</v>
      </c>
      <c r="AJ100" s="61">
        <v>0.60993055555555553</v>
      </c>
      <c r="AK100" t="s">
        <v>5353</v>
      </c>
      <c r="AN100" t="s">
        <v>1378</v>
      </c>
      <c r="AO100" t="s">
        <v>22</v>
      </c>
      <c r="AP100" t="s">
        <v>1378</v>
      </c>
      <c r="AR100" s="31"/>
      <c r="AX100">
        <v>1</v>
      </c>
    </row>
    <row r="101" spans="1:50" x14ac:dyDescent="0.25">
      <c r="A101" t="s">
        <v>22</v>
      </c>
      <c r="B101">
        <v>258</v>
      </c>
      <c r="D101">
        <v>1782</v>
      </c>
      <c r="G101" t="s">
        <v>1400</v>
      </c>
      <c r="J101" t="s">
        <v>1401</v>
      </c>
      <c r="K101" t="s">
        <v>1402</v>
      </c>
      <c r="M101" t="s">
        <v>1403</v>
      </c>
      <c r="V101" t="s">
        <v>1327</v>
      </c>
      <c r="W101" t="s">
        <v>780</v>
      </c>
      <c r="X101" t="s">
        <v>807</v>
      </c>
      <c r="Z101" s="31"/>
      <c r="AC101">
        <v>21</v>
      </c>
      <c r="AD101" t="s">
        <v>22</v>
      </c>
      <c r="AE101" s="31">
        <v>45705</v>
      </c>
      <c r="AF101" s="61">
        <v>0.54</v>
      </c>
      <c r="AH101" t="s">
        <v>795</v>
      </c>
      <c r="AI101" s="31">
        <v>45726</v>
      </c>
      <c r="AJ101" s="61">
        <v>0.73636574074074079</v>
      </c>
      <c r="AK101" t="s">
        <v>5347</v>
      </c>
      <c r="AN101" t="s">
        <v>1378</v>
      </c>
      <c r="AO101" t="s">
        <v>22</v>
      </c>
      <c r="AP101" t="s">
        <v>1378</v>
      </c>
      <c r="AR101" s="31"/>
      <c r="AX101">
        <v>1</v>
      </c>
    </row>
    <row r="102" spans="1:50" x14ac:dyDescent="0.25">
      <c r="A102" t="s">
        <v>22</v>
      </c>
      <c r="B102">
        <v>259</v>
      </c>
      <c r="D102">
        <v>1783</v>
      </c>
      <c r="G102" t="s">
        <v>1404</v>
      </c>
      <c r="J102" t="s">
        <v>5425</v>
      </c>
      <c r="K102" t="s">
        <v>1406</v>
      </c>
      <c r="M102" t="s">
        <v>1111</v>
      </c>
      <c r="S102" t="s">
        <v>1068</v>
      </c>
      <c r="V102" t="s">
        <v>5426</v>
      </c>
      <c r="W102" t="s">
        <v>780</v>
      </c>
      <c r="X102" t="s">
        <v>897</v>
      </c>
      <c r="Y102" t="s">
        <v>817</v>
      </c>
      <c r="Z102" s="31"/>
      <c r="AC102">
        <v>75</v>
      </c>
      <c r="AD102" t="s">
        <v>22</v>
      </c>
      <c r="AE102" s="31">
        <v>45705</v>
      </c>
      <c r="AF102" s="61">
        <v>0.55487268518518518</v>
      </c>
      <c r="AH102" t="s">
        <v>795</v>
      </c>
      <c r="AI102" s="31">
        <v>45780</v>
      </c>
      <c r="AJ102" s="61">
        <v>0.45906249999999998</v>
      </c>
      <c r="AK102" t="s">
        <v>5338</v>
      </c>
      <c r="AO102" t="s">
        <v>22</v>
      </c>
      <c r="AP102" t="s">
        <v>1408</v>
      </c>
      <c r="AR102" s="31"/>
      <c r="AX102">
        <v>1</v>
      </c>
    </row>
    <row r="103" spans="1:50" x14ac:dyDescent="0.25">
      <c r="A103" t="s">
        <v>22</v>
      </c>
      <c r="B103">
        <v>260</v>
      </c>
      <c r="D103">
        <v>1785</v>
      </c>
      <c r="G103" t="s">
        <v>1409</v>
      </c>
      <c r="J103" t="s">
        <v>5427</v>
      </c>
      <c r="K103" t="s">
        <v>1411</v>
      </c>
      <c r="M103" t="s">
        <v>1111</v>
      </c>
      <c r="S103" t="s">
        <v>1068</v>
      </c>
      <c r="V103" t="s">
        <v>1266</v>
      </c>
      <c r="W103" t="s">
        <v>780</v>
      </c>
      <c r="X103" t="s">
        <v>897</v>
      </c>
      <c r="Y103" t="s">
        <v>817</v>
      </c>
      <c r="Z103" s="31"/>
      <c r="AC103">
        <v>37</v>
      </c>
      <c r="AD103" t="s">
        <v>22</v>
      </c>
      <c r="AE103" s="31">
        <v>45705</v>
      </c>
      <c r="AF103" s="61">
        <v>0.55835648148148154</v>
      </c>
      <c r="AH103" t="s">
        <v>795</v>
      </c>
      <c r="AI103" s="31">
        <v>45742</v>
      </c>
      <c r="AJ103" s="61">
        <v>0.73165509259259254</v>
      </c>
      <c r="AK103" t="s">
        <v>5347</v>
      </c>
      <c r="AO103" t="s">
        <v>22</v>
      </c>
      <c r="AP103" t="s">
        <v>1408</v>
      </c>
      <c r="AR103" s="31"/>
      <c r="AX103">
        <v>1</v>
      </c>
    </row>
    <row r="104" spans="1:50" x14ac:dyDescent="0.25">
      <c r="A104" t="s">
        <v>44</v>
      </c>
      <c r="B104">
        <v>261</v>
      </c>
      <c r="D104">
        <v>1786</v>
      </c>
      <c r="G104" t="s">
        <v>1412</v>
      </c>
      <c r="J104" t="s">
        <v>1413</v>
      </c>
      <c r="K104" t="s">
        <v>1414</v>
      </c>
      <c r="M104" t="s">
        <v>1340</v>
      </c>
      <c r="V104" t="s">
        <v>1327</v>
      </c>
      <c r="W104" t="s">
        <v>780</v>
      </c>
      <c r="X104" t="s">
        <v>793</v>
      </c>
      <c r="Z104" s="31"/>
      <c r="AA104">
        <v>1600</v>
      </c>
      <c r="AB104">
        <v>2101</v>
      </c>
      <c r="AC104">
        <v>7</v>
      </c>
      <c r="AD104" t="s">
        <v>44</v>
      </c>
      <c r="AE104" s="31">
        <v>45705</v>
      </c>
      <c r="AF104" s="61">
        <v>0.62410879629629634</v>
      </c>
      <c r="AH104" t="s">
        <v>795</v>
      </c>
      <c r="AI104" s="31">
        <v>45712</v>
      </c>
      <c r="AJ104" s="61">
        <v>0.71869212962962958</v>
      </c>
      <c r="AK104" t="s">
        <v>5347</v>
      </c>
      <c r="AL104" t="s">
        <v>1342</v>
      </c>
      <c r="AN104" t="s">
        <v>1343</v>
      </c>
      <c r="AP104" t="s">
        <v>1336</v>
      </c>
      <c r="AR104" s="31"/>
      <c r="AX104">
        <v>1</v>
      </c>
    </row>
    <row r="105" spans="1:50" x14ac:dyDescent="0.25">
      <c r="A105" t="s">
        <v>22</v>
      </c>
      <c r="B105">
        <v>263</v>
      </c>
      <c r="D105">
        <v>1790</v>
      </c>
      <c r="E105" t="s">
        <v>1415</v>
      </c>
      <c r="G105" t="s">
        <v>1416</v>
      </c>
      <c r="J105" t="s">
        <v>1417</v>
      </c>
      <c r="K105" t="s">
        <v>1418</v>
      </c>
      <c r="M105" t="s">
        <v>1111</v>
      </c>
      <c r="S105" t="s">
        <v>791</v>
      </c>
      <c r="V105" t="s">
        <v>1419</v>
      </c>
      <c r="W105" t="s">
        <v>780</v>
      </c>
      <c r="X105" t="s">
        <v>793</v>
      </c>
      <c r="Y105" t="s">
        <v>817</v>
      </c>
      <c r="Z105" s="31">
        <v>46053</v>
      </c>
      <c r="AC105">
        <v>364</v>
      </c>
      <c r="AD105" t="s">
        <v>22</v>
      </c>
      <c r="AE105" s="31">
        <v>45706</v>
      </c>
      <c r="AF105" s="61">
        <v>0.41710648148148149</v>
      </c>
      <c r="AH105" t="s">
        <v>795</v>
      </c>
      <c r="AI105" s="31">
        <v>46070</v>
      </c>
      <c r="AJ105" s="61">
        <v>0.60356481481481483</v>
      </c>
      <c r="AK105" t="s">
        <v>5338</v>
      </c>
      <c r="AL105" t="s">
        <v>1420</v>
      </c>
      <c r="AN105" t="s">
        <v>1421</v>
      </c>
      <c r="AO105" t="s">
        <v>22</v>
      </c>
      <c r="AP105" t="s">
        <v>1422</v>
      </c>
      <c r="AQ105" t="s">
        <v>1422</v>
      </c>
      <c r="AR105" s="31">
        <v>46045</v>
      </c>
      <c r="AS105">
        <v>50</v>
      </c>
      <c r="AX105">
        <v>1</v>
      </c>
    </row>
    <row r="106" spans="1:50" x14ac:dyDescent="0.25">
      <c r="A106" t="s">
        <v>44</v>
      </c>
      <c r="B106">
        <v>266</v>
      </c>
      <c r="D106">
        <v>1866</v>
      </c>
      <c r="G106" t="s">
        <v>1424</v>
      </c>
      <c r="H106">
        <v>8652421000109</v>
      </c>
      <c r="J106" t="s">
        <v>5428</v>
      </c>
      <c r="K106" t="s">
        <v>1426</v>
      </c>
      <c r="M106" t="s">
        <v>1427</v>
      </c>
      <c r="Q106" t="s">
        <v>1428</v>
      </c>
      <c r="R106" t="s">
        <v>1027</v>
      </c>
      <c r="W106" t="s">
        <v>780</v>
      </c>
      <c r="X106" t="s">
        <v>897</v>
      </c>
      <c r="Z106" s="31"/>
      <c r="AA106">
        <v>14400</v>
      </c>
      <c r="AB106">
        <v>18034</v>
      </c>
      <c r="AC106">
        <v>30</v>
      </c>
      <c r="AD106" t="s">
        <v>44</v>
      </c>
      <c r="AE106" s="31">
        <v>45707</v>
      </c>
      <c r="AF106" s="61">
        <v>0.70996527777777774</v>
      </c>
      <c r="AH106" t="s">
        <v>795</v>
      </c>
      <c r="AI106" s="31">
        <v>45737</v>
      </c>
      <c r="AJ106" s="61">
        <v>0.61376157407407406</v>
      </c>
      <c r="AK106" t="s">
        <v>858</v>
      </c>
      <c r="AL106" t="s">
        <v>5429</v>
      </c>
      <c r="AN106" t="s">
        <v>1430</v>
      </c>
      <c r="AP106" t="s">
        <v>1430</v>
      </c>
      <c r="AR106" s="31"/>
      <c r="AX106">
        <v>1</v>
      </c>
    </row>
    <row r="107" spans="1:50" x14ac:dyDescent="0.25">
      <c r="A107" t="s">
        <v>44</v>
      </c>
      <c r="B107">
        <v>267</v>
      </c>
      <c r="D107">
        <v>1871</v>
      </c>
      <c r="G107" t="s">
        <v>5430</v>
      </c>
      <c r="H107">
        <v>21969045000149</v>
      </c>
      <c r="J107" t="s">
        <v>118</v>
      </c>
      <c r="K107" t="s">
        <v>1433</v>
      </c>
      <c r="M107" t="s">
        <v>1434</v>
      </c>
      <c r="Q107" t="s">
        <v>1435</v>
      </c>
      <c r="R107" t="s">
        <v>790</v>
      </c>
      <c r="S107" t="s">
        <v>1068</v>
      </c>
      <c r="V107" t="s">
        <v>1266</v>
      </c>
      <c r="W107" t="s">
        <v>780</v>
      </c>
      <c r="X107" t="s">
        <v>816</v>
      </c>
      <c r="Y107" t="s">
        <v>817</v>
      </c>
      <c r="Z107" s="31"/>
      <c r="AA107">
        <v>88000</v>
      </c>
      <c r="AB107">
        <v>450432</v>
      </c>
      <c r="AC107">
        <v>64</v>
      </c>
      <c r="AD107" t="s">
        <v>44</v>
      </c>
      <c r="AE107" s="31">
        <v>45707</v>
      </c>
      <c r="AF107" s="61">
        <v>0.71253472222222225</v>
      </c>
      <c r="AH107" t="s">
        <v>818</v>
      </c>
      <c r="AI107" s="31">
        <v>45771</v>
      </c>
      <c r="AJ107" s="61">
        <v>0.50746527777777772</v>
      </c>
      <c r="AN107" t="s">
        <v>1436</v>
      </c>
      <c r="AR107" s="31"/>
      <c r="AX107">
        <v>1</v>
      </c>
    </row>
    <row r="108" spans="1:50" x14ac:dyDescent="0.25">
      <c r="A108" t="s">
        <v>44</v>
      </c>
      <c r="B108">
        <v>268</v>
      </c>
      <c r="D108">
        <v>1874</v>
      </c>
      <c r="G108" t="s">
        <v>1437</v>
      </c>
      <c r="H108">
        <v>52556578000122</v>
      </c>
      <c r="J108" t="s">
        <v>1438</v>
      </c>
      <c r="K108" t="s">
        <v>1439</v>
      </c>
      <c r="M108" t="s">
        <v>1440</v>
      </c>
      <c r="Q108" t="s">
        <v>1441</v>
      </c>
      <c r="R108" t="s">
        <v>790</v>
      </c>
      <c r="S108" t="s">
        <v>1068</v>
      </c>
      <c r="V108" t="s">
        <v>1266</v>
      </c>
      <c r="W108" t="s">
        <v>780</v>
      </c>
      <c r="X108" t="s">
        <v>897</v>
      </c>
      <c r="Y108" t="s">
        <v>817</v>
      </c>
      <c r="Z108" s="31"/>
      <c r="AC108">
        <v>54</v>
      </c>
      <c r="AD108" t="s">
        <v>44</v>
      </c>
      <c r="AE108" s="31">
        <v>45708</v>
      </c>
      <c r="AF108" s="61">
        <v>0.44270833333333331</v>
      </c>
      <c r="AH108" t="s">
        <v>795</v>
      </c>
      <c r="AI108" s="31">
        <v>45762</v>
      </c>
      <c r="AJ108" s="61">
        <v>0.69423611111111116</v>
      </c>
      <c r="AK108" t="s">
        <v>5338</v>
      </c>
      <c r="AL108" t="s">
        <v>5431</v>
      </c>
      <c r="AR108" s="31"/>
      <c r="AX108">
        <v>1</v>
      </c>
    </row>
    <row r="109" spans="1:50" x14ac:dyDescent="0.25">
      <c r="A109" t="s">
        <v>44</v>
      </c>
      <c r="B109">
        <v>270</v>
      </c>
      <c r="C109">
        <v>167</v>
      </c>
      <c r="D109">
        <v>1880</v>
      </c>
      <c r="G109" t="s">
        <v>1443</v>
      </c>
      <c r="H109">
        <v>7973104000121</v>
      </c>
      <c r="I109" t="s">
        <v>979</v>
      </c>
      <c r="J109" t="s">
        <v>1239</v>
      </c>
      <c r="K109" t="s">
        <v>981</v>
      </c>
      <c r="M109" t="s">
        <v>982</v>
      </c>
      <c r="Q109" t="s">
        <v>983</v>
      </c>
      <c r="R109" t="s">
        <v>932</v>
      </c>
      <c r="W109" t="s">
        <v>780</v>
      </c>
      <c r="X109" t="s">
        <v>816</v>
      </c>
      <c r="Z109" s="31"/>
      <c r="AA109">
        <v>0</v>
      </c>
      <c r="AB109">
        <v>49896</v>
      </c>
      <c r="AC109">
        <v>11</v>
      </c>
      <c r="AD109" t="s">
        <v>44</v>
      </c>
      <c r="AE109" s="31">
        <v>45708</v>
      </c>
      <c r="AF109" s="61">
        <v>0.48841435185185178</v>
      </c>
      <c r="AH109" t="s">
        <v>818</v>
      </c>
      <c r="AI109" s="31">
        <v>45719</v>
      </c>
      <c r="AJ109" s="61">
        <v>0.48200231481481481</v>
      </c>
      <c r="AN109" t="s">
        <v>1436</v>
      </c>
      <c r="AR109" s="31"/>
      <c r="AX109">
        <v>1</v>
      </c>
    </row>
    <row r="110" spans="1:50" x14ac:dyDescent="0.25">
      <c r="A110" t="s">
        <v>44</v>
      </c>
      <c r="B110">
        <v>272</v>
      </c>
      <c r="D110">
        <v>1882</v>
      </c>
      <c r="G110" t="s">
        <v>5432</v>
      </c>
      <c r="J110" t="s">
        <v>5432</v>
      </c>
      <c r="K110" t="s">
        <v>1446</v>
      </c>
      <c r="M110" t="s">
        <v>1447</v>
      </c>
      <c r="S110" t="s">
        <v>1068</v>
      </c>
      <c r="V110" t="s">
        <v>1327</v>
      </c>
      <c r="W110" t="s">
        <v>780</v>
      </c>
      <c r="X110" t="s">
        <v>897</v>
      </c>
      <c r="Y110" t="s">
        <v>817</v>
      </c>
      <c r="Z110" s="31"/>
      <c r="AC110">
        <v>50</v>
      </c>
      <c r="AD110" t="s">
        <v>44</v>
      </c>
      <c r="AE110" s="31">
        <v>45712</v>
      </c>
      <c r="AF110" s="61">
        <v>0.39177083333333329</v>
      </c>
      <c r="AH110" t="s">
        <v>795</v>
      </c>
      <c r="AI110" s="31">
        <v>45762</v>
      </c>
      <c r="AJ110" s="61">
        <v>0.69267361111111114</v>
      </c>
      <c r="AK110" t="s">
        <v>5338</v>
      </c>
      <c r="AL110" t="s">
        <v>5433</v>
      </c>
      <c r="AP110" t="s">
        <v>1262</v>
      </c>
      <c r="AR110" s="31"/>
      <c r="AX110">
        <v>1</v>
      </c>
    </row>
    <row r="111" spans="1:50" x14ac:dyDescent="0.25">
      <c r="A111" t="s">
        <v>31</v>
      </c>
      <c r="B111">
        <v>273</v>
      </c>
      <c r="D111">
        <v>1883</v>
      </c>
      <c r="G111" t="s">
        <v>1449</v>
      </c>
      <c r="J111" t="s">
        <v>1450</v>
      </c>
      <c r="K111" t="s">
        <v>1451</v>
      </c>
      <c r="M111" t="s">
        <v>1452</v>
      </c>
      <c r="S111" t="s">
        <v>1068</v>
      </c>
      <c r="W111" t="s">
        <v>780</v>
      </c>
      <c r="X111" t="s">
        <v>816</v>
      </c>
      <c r="Y111" t="s">
        <v>817</v>
      </c>
      <c r="Z111" s="31"/>
      <c r="AA111">
        <v>55440</v>
      </c>
      <c r="AB111">
        <v>560465</v>
      </c>
      <c r="AC111">
        <v>39</v>
      </c>
      <c r="AD111" t="s">
        <v>31</v>
      </c>
      <c r="AE111" s="31">
        <v>45712</v>
      </c>
      <c r="AF111" s="61">
        <v>0.66232638888888884</v>
      </c>
      <c r="AH111" t="s">
        <v>795</v>
      </c>
      <c r="AI111" s="31">
        <v>45751</v>
      </c>
      <c r="AJ111" s="61">
        <v>0.64483796296296292</v>
      </c>
      <c r="AK111" t="s">
        <v>5347</v>
      </c>
      <c r="AN111" t="s">
        <v>1453</v>
      </c>
      <c r="AO111" t="s">
        <v>31</v>
      </c>
      <c r="AP111" t="s">
        <v>1454</v>
      </c>
      <c r="AQ111" t="s">
        <v>1455</v>
      </c>
      <c r="AR111" s="31"/>
      <c r="AX111">
        <v>1</v>
      </c>
    </row>
    <row r="112" spans="1:50" x14ac:dyDescent="0.25">
      <c r="A112" t="s">
        <v>44</v>
      </c>
      <c r="B112">
        <v>277</v>
      </c>
      <c r="D112">
        <v>1887</v>
      </c>
      <c r="G112" t="s">
        <v>1456</v>
      </c>
      <c r="J112" t="s">
        <v>622</v>
      </c>
      <c r="K112" t="s">
        <v>1458</v>
      </c>
      <c r="M112" t="s">
        <v>1459</v>
      </c>
      <c r="W112" t="s">
        <v>780</v>
      </c>
      <c r="X112" t="s">
        <v>816</v>
      </c>
      <c r="Z112" s="31"/>
      <c r="AA112">
        <v>0</v>
      </c>
      <c r="AB112">
        <v>3564</v>
      </c>
      <c r="AC112">
        <v>5</v>
      </c>
      <c r="AD112" t="s">
        <v>44</v>
      </c>
      <c r="AE112" s="31">
        <v>45714</v>
      </c>
      <c r="AF112" s="61">
        <v>0.38343749999999999</v>
      </c>
      <c r="AH112" t="s">
        <v>818</v>
      </c>
      <c r="AI112" s="31">
        <v>45719</v>
      </c>
      <c r="AJ112" s="61">
        <v>0.48221064814814812</v>
      </c>
      <c r="AN112" t="s">
        <v>1460</v>
      </c>
      <c r="AR112" s="31"/>
      <c r="AX112">
        <v>1</v>
      </c>
    </row>
    <row r="113" spans="1:50" x14ac:dyDescent="0.25">
      <c r="A113" t="s">
        <v>44</v>
      </c>
      <c r="B113">
        <v>279</v>
      </c>
      <c r="D113">
        <v>1890</v>
      </c>
      <c r="G113" t="s">
        <v>1461</v>
      </c>
      <c r="J113" t="s">
        <v>1462</v>
      </c>
      <c r="K113" t="s">
        <v>1463</v>
      </c>
      <c r="M113" t="s">
        <v>1111</v>
      </c>
      <c r="W113" t="s">
        <v>780</v>
      </c>
      <c r="X113" t="s">
        <v>897</v>
      </c>
      <c r="Z113" s="31"/>
      <c r="AC113">
        <v>2</v>
      </c>
      <c r="AD113" t="s">
        <v>22</v>
      </c>
      <c r="AE113" s="31">
        <v>45714</v>
      </c>
      <c r="AF113" s="61">
        <v>0.73251157407407408</v>
      </c>
      <c r="AH113" t="s">
        <v>795</v>
      </c>
      <c r="AI113" s="31">
        <v>45716</v>
      </c>
      <c r="AJ113" s="61">
        <v>0.71136574074074077</v>
      </c>
      <c r="AK113" t="s">
        <v>5392</v>
      </c>
      <c r="AL113" t="s">
        <v>5434</v>
      </c>
      <c r="AO113" t="s">
        <v>44</v>
      </c>
      <c r="AR113" s="31"/>
      <c r="AX113">
        <v>1</v>
      </c>
    </row>
    <row r="114" spans="1:50" x14ac:dyDescent="0.25">
      <c r="A114" t="s">
        <v>44</v>
      </c>
      <c r="B114">
        <v>281</v>
      </c>
      <c r="D114">
        <v>1892</v>
      </c>
      <c r="G114" t="s">
        <v>1465</v>
      </c>
      <c r="J114" t="s">
        <v>5435</v>
      </c>
      <c r="K114" t="s">
        <v>1467</v>
      </c>
      <c r="M114" t="s">
        <v>1468</v>
      </c>
      <c r="S114" t="s">
        <v>1068</v>
      </c>
      <c r="W114" t="s">
        <v>780</v>
      </c>
      <c r="X114" t="s">
        <v>816</v>
      </c>
      <c r="Y114" t="s">
        <v>817</v>
      </c>
      <c r="Z114" s="31"/>
      <c r="AA114">
        <v>0</v>
      </c>
      <c r="AB114">
        <v>449635</v>
      </c>
      <c r="AC114">
        <v>55</v>
      </c>
      <c r="AD114" t="s">
        <v>44</v>
      </c>
      <c r="AE114" s="31">
        <v>45716</v>
      </c>
      <c r="AF114" s="61">
        <v>0.42606481481481479</v>
      </c>
      <c r="AH114" t="s">
        <v>818</v>
      </c>
      <c r="AI114" s="31">
        <v>45771</v>
      </c>
      <c r="AJ114" s="61">
        <v>0.50797453703703699</v>
      </c>
      <c r="AN114" t="s">
        <v>1383</v>
      </c>
      <c r="AP114" t="s">
        <v>1460</v>
      </c>
      <c r="AR114" s="31"/>
      <c r="AX114">
        <v>1</v>
      </c>
    </row>
    <row r="115" spans="1:50" x14ac:dyDescent="0.25">
      <c r="A115" t="s">
        <v>44</v>
      </c>
      <c r="B115">
        <v>282</v>
      </c>
      <c r="D115">
        <v>1894</v>
      </c>
      <c r="G115" t="s">
        <v>1469</v>
      </c>
      <c r="J115" t="s">
        <v>113</v>
      </c>
      <c r="K115" t="s">
        <v>1471</v>
      </c>
      <c r="M115" t="s">
        <v>1472</v>
      </c>
      <c r="S115" t="s">
        <v>1068</v>
      </c>
      <c r="W115" t="s">
        <v>780</v>
      </c>
      <c r="X115" t="s">
        <v>793</v>
      </c>
      <c r="Y115" t="s">
        <v>817</v>
      </c>
      <c r="Z115" s="31"/>
      <c r="AA115">
        <v>1600</v>
      </c>
      <c r="AB115">
        <v>5</v>
      </c>
      <c r="AC115">
        <v>47</v>
      </c>
      <c r="AD115" t="s">
        <v>44</v>
      </c>
      <c r="AE115" s="31">
        <v>45716</v>
      </c>
      <c r="AF115" s="61">
        <v>0.70343750000000005</v>
      </c>
      <c r="AH115" t="s">
        <v>795</v>
      </c>
      <c r="AI115" s="31">
        <v>45763</v>
      </c>
      <c r="AJ115" s="61">
        <v>0.3946527777777778</v>
      </c>
      <c r="AK115" t="s">
        <v>5338</v>
      </c>
      <c r="AL115" t="s">
        <v>5417</v>
      </c>
      <c r="AN115" t="s">
        <v>1352</v>
      </c>
      <c r="AP115" t="s">
        <v>1305</v>
      </c>
      <c r="AR115" s="31"/>
      <c r="AX115">
        <v>1</v>
      </c>
    </row>
    <row r="116" spans="1:50" x14ac:dyDescent="0.25">
      <c r="A116" t="s">
        <v>31</v>
      </c>
      <c r="B116">
        <v>283</v>
      </c>
      <c r="D116">
        <v>1895</v>
      </c>
      <c r="G116" t="s">
        <v>1473</v>
      </c>
      <c r="H116">
        <v>37075503000136</v>
      </c>
      <c r="J116" t="s">
        <v>1474</v>
      </c>
      <c r="K116" t="s">
        <v>1475</v>
      </c>
      <c r="M116" t="s">
        <v>1476</v>
      </c>
      <c r="Q116" t="s">
        <v>1477</v>
      </c>
      <c r="R116" t="s">
        <v>932</v>
      </c>
      <c r="W116" t="s">
        <v>780</v>
      </c>
      <c r="X116" t="s">
        <v>816</v>
      </c>
      <c r="Z116" s="31"/>
      <c r="AA116">
        <v>63000</v>
      </c>
      <c r="AB116">
        <v>211328</v>
      </c>
      <c r="AC116">
        <v>20</v>
      </c>
      <c r="AD116" t="s">
        <v>31</v>
      </c>
      <c r="AE116" s="31">
        <v>45720</v>
      </c>
      <c r="AF116" s="61">
        <v>0.40530092592592593</v>
      </c>
      <c r="AH116" t="s">
        <v>818</v>
      </c>
      <c r="AI116" s="31">
        <v>45740</v>
      </c>
      <c r="AJ116" s="61">
        <v>0.80163194444444441</v>
      </c>
      <c r="AN116" t="s">
        <v>1478</v>
      </c>
      <c r="AO116" t="s">
        <v>31</v>
      </c>
      <c r="AR116" s="31"/>
      <c r="AX116">
        <v>1</v>
      </c>
    </row>
    <row r="117" spans="1:50" x14ac:dyDescent="0.25">
      <c r="A117" t="s">
        <v>31</v>
      </c>
      <c r="B117">
        <v>284</v>
      </c>
      <c r="D117">
        <v>1897</v>
      </c>
      <c r="G117" t="s">
        <v>1479</v>
      </c>
      <c r="H117">
        <v>37075503000136</v>
      </c>
      <c r="J117" t="s">
        <v>1474</v>
      </c>
      <c r="K117" t="s">
        <v>1475</v>
      </c>
      <c r="M117" t="s">
        <v>1476</v>
      </c>
      <c r="Q117" t="s">
        <v>1477</v>
      </c>
      <c r="R117" t="s">
        <v>932</v>
      </c>
      <c r="S117" t="s">
        <v>1068</v>
      </c>
      <c r="W117" t="s">
        <v>780</v>
      </c>
      <c r="X117" t="s">
        <v>816</v>
      </c>
      <c r="Z117" s="31"/>
      <c r="AA117">
        <v>1600</v>
      </c>
      <c r="AB117">
        <v>287073</v>
      </c>
      <c r="AC117">
        <v>22</v>
      </c>
      <c r="AD117" t="s">
        <v>31</v>
      </c>
      <c r="AE117" s="31">
        <v>45720</v>
      </c>
      <c r="AF117" s="61">
        <v>0.63810185185185186</v>
      </c>
      <c r="AH117" t="s">
        <v>818</v>
      </c>
      <c r="AI117" s="31">
        <v>45742</v>
      </c>
      <c r="AJ117" s="61">
        <v>0.4453125</v>
      </c>
      <c r="AN117" t="s">
        <v>1478</v>
      </c>
      <c r="AO117" t="s">
        <v>31</v>
      </c>
      <c r="AP117" t="s">
        <v>1478</v>
      </c>
      <c r="AR117" s="31"/>
      <c r="AX117">
        <v>1</v>
      </c>
    </row>
    <row r="118" spans="1:50" x14ac:dyDescent="0.25">
      <c r="A118" t="s">
        <v>31</v>
      </c>
      <c r="B118">
        <v>286</v>
      </c>
      <c r="D118">
        <v>1900</v>
      </c>
      <c r="G118" t="s">
        <v>1480</v>
      </c>
      <c r="H118">
        <v>37075503000136</v>
      </c>
      <c r="J118" t="s">
        <v>1474</v>
      </c>
      <c r="K118" t="s">
        <v>1482</v>
      </c>
      <c r="M118" t="s">
        <v>1476</v>
      </c>
      <c r="Q118" t="s">
        <v>1477</v>
      </c>
      <c r="R118" t="s">
        <v>932</v>
      </c>
      <c r="S118" t="s">
        <v>791</v>
      </c>
      <c r="W118" t="s">
        <v>780</v>
      </c>
      <c r="X118" t="s">
        <v>807</v>
      </c>
      <c r="Y118" t="s">
        <v>817</v>
      </c>
      <c r="Z118" s="31"/>
      <c r="AA118">
        <v>23580</v>
      </c>
      <c r="AB118">
        <v>1800</v>
      </c>
      <c r="AC118">
        <v>65</v>
      </c>
      <c r="AD118" t="s">
        <v>31</v>
      </c>
      <c r="AE118" s="31">
        <v>45726</v>
      </c>
      <c r="AF118" s="61">
        <v>0.63922453703703708</v>
      </c>
      <c r="AH118" t="s">
        <v>795</v>
      </c>
      <c r="AI118" s="31">
        <v>45791</v>
      </c>
      <c r="AJ118" s="61">
        <v>0.48103009259259261</v>
      </c>
      <c r="AK118" t="s">
        <v>934</v>
      </c>
      <c r="AN118" t="s">
        <v>1483</v>
      </c>
      <c r="AO118" t="s">
        <v>31</v>
      </c>
      <c r="AP118" t="s">
        <v>1483</v>
      </c>
      <c r="AR118" s="31"/>
      <c r="AX118">
        <v>1</v>
      </c>
    </row>
    <row r="119" spans="1:50" x14ac:dyDescent="0.25">
      <c r="A119" t="s">
        <v>22</v>
      </c>
      <c r="B119">
        <v>287</v>
      </c>
      <c r="D119">
        <v>1902</v>
      </c>
      <c r="G119" t="s">
        <v>1484</v>
      </c>
      <c r="H119">
        <v>7764744000202</v>
      </c>
      <c r="J119" t="s">
        <v>1485</v>
      </c>
      <c r="K119" t="s">
        <v>1486</v>
      </c>
      <c r="M119" t="s">
        <v>1487</v>
      </c>
      <c r="S119" t="s">
        <v>791</v>
      </c>
      <c r="V119" t="s">
        <v>1488</v>
      </c>
      <c r="W119" t="s">
        <v>780</v>
      </c>
      <c r="X119" t="s">
        <v>807</v>
      </c>
      <c r="Y119" t="s">
        <v>817</v>
      </c>
      <c r="Z119" s="31"/>
      <c r="AA119">
        <v>16000</v>
      </c>
      <c r="AB119">
        <v>68607</v>
      </c>
      <c r="AC119">
        <v>54</v>
      </c>
      <c r="AD119" t="s">
        <v>22</v>
      </c>
      <c r="AE119" s="31">
        <v>45726</v>
      </c>
      <c r="AF119" s="61">
        <v>0.69724537037037038</v>
      </c>
      <c r="AH119" t="s">
        <v>795</v>
      </c>
      <c r="AI119" s="31">
        <v>45780</v>
      </c>
      <c r="AJ119" s="61">
        <v>0.44266203703703699</v>
      </c>
      <c r="AK119" t="s">
        <v>5353</v>
      </c>
      <c r="AN119" t="s">
        <v>1489</v>
      </c>
      <c r="AO119" t="s">
        <v>22</v>
      </c>
      <c r="AP119" t="s">
        <v>1490</v>
      </c>
      <c r="AQ119" t="s">
        <v>1491</v>
      </c>
      <c r="AR119" s="31"/>
      <c r="AX119">
        <v>1</v>
      </c>
    </row>
    <row r="120" spans="1:50" x14ac:dyDescent="0.25">
      <c r="A120" t="s">
        <v>44</v>
      </c>
      <c r="B120">
        <v>291</v>
      </c>
      <c r="D120">
        <v>1904</v>
      </c>
      <c r="G120" t="s">
        <v>1492</v>
      </c>
      <c r="J120" t="s">
        <v>1493</v>
      </c>
      <c r="K120" t="s">
        <v>1494</v>
      </c>
      <c r="M120" t="s">
        <v>1495</v>
      </c>
      <c r="S120" t="s">
        <v>1496</v>
      </c>
      <c r="W120" t="s">
        <v>780</v>
      </c>
      <c r="X120" t="s">
        <v>816</v>
      </c>
      <c r="Y120" t="s">
        <v>817</v>
      </c>
      <c r="Z120" s="31"/>
      <c r="AA120">
        <v>12720</v>
      </c>
      <c r="AB120">
        <v>1764</v>
      </c>
      <c r="AC120">
        <v>47</v>
      </c>
      <c r="AD120" t="s">
        <v>44</v>
      </c>
      <c r="AE120" s="31">
        <v>45729</v>
      </c>
      <c r="AF120" s="61">
        <v>0.59673611111111113</v>
      </c>
      <c r="AH120" t="s">
        <v>818</v>
      </c>
      <c r="AI120" s="31">
        <v>45776</v>
      </c>
      <c r="AJ120" s="61">
        <v>0.60798611111111112</v>
      </c>
      <c r="AN120" t="s">
        <v>1497</v>
      </c>
      <c r="AP120" t="s">
        <v>1497</v>
      </c>
      <c r="AR120" s="31"/>
      <c r="AX120">
        <v>1</v>
      </c>
    </row>
    <row r="121" spans="1:50" x14ac:dyDescent="0.25">
      <c r="A121" t="s">
        <v>22</v>
      </c>
      <c r="B121">
        <v>293</v>
      </c>
      <c r="D121">
        <v>1907</v>
      </c>
      <c r="G121" t="s">
        <v>1498</v>
      </c>
      <c r="J121" t="s">
        <v>1499</v>
      </c>
      <c r="K121" t="s">
        <v>1500</v>
      </c>
      <c r="M121" t="s">
        <v>1501</v>
      </c>
      <c r="Q121" t="s">
        <v>1502</v>
      </c>
      <c r="S121" t="s">
        <v>814</v>
      </c>
      <c r="V121" t="s">
        <v>1198</v>
      </c>
      <c r="W121" t="s">
        <v>780</v>
      </c>
      <c r="X121" t="s">
        <v>857</v>
      </c>
      <c r="Y121" t="s">
        <v>817</v>
      </c>
      <c r="Z121" s="31"/>
      <c r="AC121">
        <v>21</v>
      </c>
      <c r="AD121" t="s">
        <v>22</v>
      </c>
      <c r="AE121" s="31">
        <v>45733</v>
      </c>
      <c r="AF121" s="61">
        <v>0.37027777777777782</v>
      </c>
      <c r="AH121" t="s">
        <v>795</v>
      </c>
      <c r="AI121" s="31">
        <v>45754</v>
      </c>
      <c r="AJ121" s="61">
        <v>0.58361111111111108</v>
      </c>
      <c r="AK121" t="s">
        <v>858</v>
      </c>
      <c r="AN121" t="s">
        <v>1503</v>
      </c>
      <c r="AP121" t="s">
        <v>1503</v>
      </c>
      <c r="AR121" s="31"/>
      <c r="AX121">
        <v>1</v>
      </c>
    </row>
    <row r="122" spans="1:50" x14ac:dyDescent="0.25">
      <c r="A122" t="s">
        <v>22</v>
      </c>
      <c r="B122">
        <v>294</v>
      </c>
      <c r="D122">
        <v>1908</v>
      </c>
      <c r="G122" t="s">
        <v>1504</v>
      </c>
      <c r="J122" t="s">
        <v>1505</v>
      </c>
      <c r="K122" t="s">
        <v>1506</v>
      </c>
      <c r="M122" t="s">
        <v>1111</v>
      </c>
      <c r="S122" t="s">
        <v>1191</v>
      </c>
      <c r="W122" t="s">
        <v>780</v>
      </c>
      <c r="X122" t="s">
        <v>857</v>
      </c>
      <c r="Y122" t="s">
        <v>817</v>
      </c>
      <c r="Z122" s="31"/>
      <c r="AC122">
        <v>21</v>
      </c>
      <c r="AD122" t="s">
        <v>22</v>
      </c>
      <c r="AE122" s="31">
        <v>45733</v>
      </c>
      <c r="AF122" s="61">
        <v>0.37392361111111111</v>
      </c>
      <c r="AH122" t="s">
        <v>795</v>
      </c>
      <c r="AI122" s="31">
        <v>45754</v>
      </c>
      <c r="AJ122" s="61">
        <v>0.49223379629629632</v>
      </c>
      <c r="AK122" t="s">
        <v>858</v>
      </c>
      <c r="AN122" t="s">
        <v>1503</v>
      </c>
      <c r="AO122" t="s">
        <v>22</v>
      </c>
      <c r="AP122" t="s">
        <v>1503</v>
      </c>
      <c r="AR122" s="31"/>
      <c r="AX122">
        <v>1</v>
      </c>
    </row>
    <row r="123" spans="1:50" x14ac:dyDescent="0.25">
      <c r="A123" t="s">
        <v>44</v>
      </c>
      <c r="B123">
        <v>295</v>
      </c>
      <c r="D123">
        <v>1909</v>
      </c>
      <c r="G123" t="s">
        <v>1507</v>
      </c>
      <c r="J123" t="s">
        <v>1508</v>
      </c>
      <c r="K123" t="s">
        <v>1509</v>
      </c>
      <c r="M123" t="s">
        <v>1510</v>
      </c>
      <c r="S123" t="s">
        <v>933</v>
      </c>
      <c r="W123" t="s">
        <v>780</v>
      </c>
      <c r="X123" t="s">
        <v>807</v>
      </c>
      <c r="Y123" t="s">
        <v>817</v>
      </c>
      <c r="Z123" s="31"/>
      <c r="AA123">
        <v>79920</v>
      </c>
      <c r="AB123">
        <v>33813</v>
      </c>
      <c r="AC123">
        <v>59</v>
      </c>
      <c r="AD123" t="s">
        <v>44</v>
      </c>
      <c r="AE123" s="31">
        <v>45733</v>
      </c>
      <c r="AF123" s="61">
        <v>0.52471064814814816</v>
      </c>
      <c r="AH123" t="s">
        <v>795</v>
      </c>
      <c r="AI123" s="31">
        <v>45792</v>
      </c>
      <c r="AJ123" s="61">
        <v>0.68163194444444442</v>
      </c>
      <c r="AK123" t="s">
        <v>5338</v>
      </c>
      <c r="AL123" t="s">
        <v>5339</v>
      </c>
      <c r="AN123" t="s">
        <v>1511</v>
      </c>
      <c r="AP123" t="s">
        <v>1512</v>
      </c>
      <c r="AR123" s="31"/>
      <c r="AX123">
        <v>1</v>
      </c>
    </row>
    <row r="124" spans="1:50" x14ac:dyDescent="0.25">
      <c r="A124" t="s">
        <v>44</v>
      </c>
      <c r="B124">
        <v>298</v>
      </c>
      <c r="D124">
        <v>1913</v>
      </c>
      <c r="G124" t="s">
        <v>1513</v>
      </c>
      <c r="J124" t="s">
        <v>1514</v>
      </c>
      <c r="K124" t="s">
        <v>1509</v>
      </c>
      <c r="M124" t="s">
        <v>1515</v>
      </c>
      <c r="S124" t="s">
        <v>933</v>
      </c>
      <c r="W124" t="s">
        <v>780</v>
      </c>
      <c r="X124" t="s">
        <v>807</v>
      </c>
      <c r="Y124" t="s">
        <v>817</v>
      </c>
      <c r="Z124" s="31"/>
      <c r="AA124">
        <v>1600</v>
      </c>
      <c r="AB124">
        <v>3196</v>
      </c>
      <c r="AC124">
        <v>58</v>
      </c>
      <c r="AD124" t="s">
        <v>44</v>
      </c>
      <c r="AE124" s="31">
        <v>45734</v>
      </c>
      <c r="AF124" s="61">
        <v>0.62533564814814813</v>
      </c>
      <c r="AH124" t="s">
        <v>795</v>
      </c>
      <c r="AI124" s="31">
        <v>45792</v>
      </c>
      <c r="AJ124" s="61">
        <v>0.68206018518518519</v>
      </c>
      <c r="AK124" t="s">
        <v>5338</v>
      </c>
      <c r="AL124" t="s">
        <v>5339</v>
      </c>
      <c r="AN124" t="s">
        <v>1511</v>
      </c>
      <c r="AP124" t="s">
        <v>1512</v>
      </c>
      <c r="AR124" s="31"/>
      <c r="AX124">
        <v>1</v>
      </c>
    </row>
    <row r="125" spans="1:50" x14ac:dyDescent="0.25">
      <c r="A125" t="s">
        <v>44</v>
      </c>
      <c r="B125">
        <v>301</v>
      </c>
      <c r="D125">
        <v>1916</v>
      </c>
      <c r="G125" t="s">
        <v>1516</v>
      </c>
      <c r="J125" t="s">
        <v>1725</v>
      </c>
      <c r="K125" t="s">
        <v>1458</v>
      </c>
      <c r="M125" t="s">
        <v>1459</v>
      </c>
      <c r="S125" t="s">
        <v>791</v>
      </c>
      <c r="W125" t="s">
        <v>780</v>
      </c>
      <c r="X125" t="s">
        <v>816</v>
      </c>
      <c r="Z125" s="31"/>
      <c r="AA125">
        <v>2339208</v>
      </c>
      <c r="AB125">
        <v>0</v>
      </c>
      <c r="AC125">
        <v>13</v>
      </c>
      <c r="AD125" t="s">
        <v>44</v>
      </c>
      <c r="AE125" s="31">
        <v>45736</v>
      </c>
      <c r="AF125" s="61">
        <v>0.61819444444444449</v>
      </c>
      <c r="AH125" t="s">
        <v>818</v>
      </c>
      <c r="AI125" s="31">
        <v>45749</v>
      </c>
      <c r="AJ125" s="61">
        <v>0.42002314814814817</v>
      </c>
      <c r="AN125" t="s">
        <v>1518</v>
      </c>
      <c r="AR125" s="31"/>
      <c r="AX125">
        <v>1</v>
      </c>
    </row>
    <row r="126" spans="1:50" x14ac:dyDescent="0.25">
      <c r="A126" t="s">
        <v>44</v>
      </c>
      <c r="B126">
        <v>303</v>
      </c>
      <c r="D126">
        <v>1919</v>
      </c>
      <c r="G126" t="s">
        <v>1519</v>
      </c>
      <c r="J126" t="s">
        <v>1520</v>
      </c>
      <c r="K126" t="s">
        <v>1521</v>
      </c>
      <c r="M126" t="s">
        <v>1522</v>
      </c>
      <c r="Q126" t="s">
        <v>1523</v>
      </c>
      <c r="S126" t="s">
        <v>814</v>
      </c>
      <c r="V126" t="s">
        <v>1186</v>
      </c>
      <c r="W126" t="s">
        <v>780</v>
      </c>
      <c r="X126" t="s">
        <v>816</v>
      </c>
      <c r="Y126" t="s">
        <v>817</v>
      </c>
      <c r="Z126" s="31"/>
      <c r="AA126">
        <v>583848</v>
      </c>
      <c r="AB126">
        <v>229112</v>
      </c>
      <c r="AC126">
        <v>57</v>
      </c>
      <c r="AD126" t="s">
        <v>22</v>
      </c>
      <c r="AE126" s="31">
        <v>45741</v>
      </c>
      <c r="AF126" s="61">
        <v>0.38427083333333328</v>
      </c>
      <c r="AH126" t="s">
        <v>818</v>
      </c>
      <c r="AI126" s="31">
        <v>45798</v>
      </c>
      <c r="AJ126" s="61">
        <v>0.37590277777777781</v>
      </c>
      <c r="AN126" t="s">
        <v>1524</v>
      </c>
      <c r="AP126" t="s">
        <v>1525</v>
      </c>
      <c r="AQ126" t="s">
        <v>1524</v>
      </c>
      <c r="AR126" s="31"/>
      <c r="AX126">
        <v>1</v>
      </c>
    </row>
    <row r="127" spans="1:50" x14ac:dyDescent="0.25">
      <c r="A127" t="s">
        <v>44</v>
      </c>
      <c r="B127">
        <v>304</v>
      </c>
      <c r="D127">
        <v>1922</v>
      </c>
      <c r="G127" t="s">
        <v>1526</v>
      </c>
      <c r="J127" t="s">
        <v>5436</v>
      </c>
      <c r="K127" t="s">
        <v>1458</v>
      </c>
      <c r="M127" t="s">
        <v>1459</v>
      </c>
      <c r="W127" t="s">
        <v>780</v>
      </c>
      <c r="X127" t="s">
        <v>816</v>
      </c>
      <c r="Z127" s="31"/>
      <c r="AA127">
        <v>0</v>
      </c>
      <c r="AB127">
        <v>14256</v>
      </c>
      <c r="AC127">
        <v>0</v>
      </c>
      <c r="AD127" t="s">
        <v>44</v>
      </c>
      <c r="AE127" s="31">
        <v>45742</v>
      </c>
      <c r="AF127" s="61">
        <v>0.51811342592592591</v>
      </c>
      <c r="AH127" t="s">
        <v>818</v>
      </c>
      <c r="AI127" s="31">
        <v>45742</v>
      </c>
      <c r="AJ127" s="61">
        <v>0.51986111111111111</v>
      </c>
      <c r="AN127" t="s">
        <v>1528</v>
      </c>
      <c r="AR127" s="31"/>
      <c r="AX127">
        <v>1</v>
      </c>
    </row>
    <row r="128" spans="1:50" x14ac:dyDescent="0.25">
      <c r="A128" t="s">
        <v>44</v>
      </c>
      <c r="B128">
        <v>305</v>
      </c>
      <c r="D128">
        <v>1923</v>
      </c>
      <c r="G128" t="s">
        <v>5437</v>
      </c>
      <c r="H128">
        <v>49695060000165</v>
      </c>
      <c r="J128" t="s">
        <v>1530</v>
      </c>
      <c r="K128" t="s">
        <v>1531</v>
      </c>
      <c r="M128" t="s">
        <v>1532</v>
      </c>
      <c r="Q128" t="s">
        <v>1094</v>
      </c>
      <c r="R128" t="s">
        <v>790</v>
      </c>
      <c r="S128" t="s">
        <v>1191</v>
      </c>
      <c r="W128" t="s">
        <v>780</v>
      </c>
      <c r="X128" t="s">
        <v>793</v>
      </c>
      <c r="Y128" t="s">
        <v>817</v>
      </c>
      <c r="Z128" s="31"/>
      <c r="AA128">
        <v>64448</v>
      </c>
      <c r="AB128">
        <v>159326</v>
      </c>
      <c r="AC128">
        <v>50</v>
      </c>
      <c r="AD128" t="s">
        <v>44</v>
      </c>
      <c r="AE128" s="31">
        <v>45742</v>
      </c>
      <c r="AF128" s="61">
        <v>0.53810185185185189</v>
      </c>
      <c r="AH128" t="s">
        <v>795</v>
      </c>
      <c r="AI128" s="31">
        <v>45792</v>
      </c>
      <c r="AJ128" s="61">
        <v>0.64240740740740743</v>
      </c>
      <c r="AK128" t="s">
        <v>5338</v>
      </c>
      <c r="AL128" t="s">
        <v>1533</v>
      </c>
      <c r="AN128" t="s">
        <v>1525</v>
      </c>
      <c r="AP128" t="s">
        <v>1528</v>
      </c>
      <c r="AR128" s="31"/>
      <c r="AX128">
        <v>1</v>
      </c>
    </row>
    <row r="129" spans="1:50" x14ac:dyDescent="0.25">
      <c r="A129" t="s">
        <v>44</v>
      </c>
      <c r="B129">
        <v>311</v>
      </c>
      <c r="D129">
        <v>1942</v>
      </c>
      <c r="G129" t="s">
        <v>1534</v>
      </c>
      <c r="J129" t="s">
        <v>642</v>
      </c>
      <c r="K129" t="s">
        <v>1535</v>
      </c>
      <c r="M129" t="s">
        <v>1536</v>
      </c>
      <c r="W129" t="s">
        <v>780</v>
      </c>
      <c r="X129" t="s">
        <v>816</v>
      </c>
      <c r="Y129" t="s">
        <v>1537</v>
      </c>
      <c r="Z129" s="31"/>
      <c r="AA129">
        <v>16960</v>
      </c>
      <c r="AB129">
        <v>10810</v>
      </c>
      <c r="AC129">
        <v>43</v>
      </c>
      <c r="AD129" t="s">
        <v>44</v>
      </c>
      <c r="AE129" s="31">
        <v>45743</v>
      </c>
      <c r="AF129" s="61">
        <v>0.53383101851851855</v>
      </c>
      <c r="AH129" t="s">
        <v>818</v>
      </c>
      <c r="AI129" s="31">
        <v>45786</v>
      </c>
      <c r="AJ129" s="61">
        <v>0.50201388888888887</v>
      </c>
      <c r="AN129" t="s">
        <v>1524</v>
      </c>
      <c r="AP129" t="s">
        <v>1525</v>
      </c>
      <c r="AQ129" t="s">
        <v>1538</v>
      </c>
      <c r="AR129" s="31"/>
      <c r="AX129">
        <v>1</v>
      </c>
    </row>
    <row r="130" spans="1:50" x14ac:dyDescent="0.25">
      <c r="A130" t="s">
        <v>22</v>
      </c>
      <c r="B130">
        <v>313</v>
      </c>
      <c r="D130">
        <v>1944</v>
      </c>
      <c r="G130" t="s">
        <v>1539</v>
      </c>
      <c r="H130">
        <v>1787082000129</v>
      </c>
      <c r="J130" t="s">
        <v>1540</v>
      </c>
      <c r="K130" t="s">
        <v>1541</v>
      </c>
      <c r="M130" t="s">
        <v>1542</v>
      </c>
      <c r="S130" t="s">
        <v>933</v>
      </c>
      <c r="V130" t="s">
        <v>1488</v>
      </c>
      <c r="W130" t="s">
        <v>780</v>
      </c>
      <c r="X130" t="s">
        <v>816</v>
      </c>
      <c r="Y130" t="s">
        <v>817</v>
      </c>
      <c r="Z130" s="31">
        <v>46904</v>
      </c>
      <c r="AA130">
        <v>51200</v>
      </c>
      <c r="AB130">
        <v>42262</v>
      </c>
      <c r="AC130">
        <v>75</v>
      </c>
      <c r="AD130" t="s">
        <v>22</v>
      </c>
      <c r="AE130" s="31">
        <v>45743</v>
      </c>
      <c r="AF130" s="61">
        <v>0.66615740740740736</v>
      </c>
      <c r="AH130" t="s">
        <v>795</v>
      </c>
      <c r="AI130" s="31">
        <v>45818</v>
      </c>
      <c r="AJ130" s="61">
        <v>0.51120370370370372</v>
      </c>
      <c r="AK130" t="s">
        <v>5347</v>
      </c>
      <c r="AN130" t="s">
        <v>1374</v>
      </c>
      <c r="AO130" t="s">
        <v>22</v>
      </c>
      <c r="AP130" t="s">
        <v>1543</v>
      </c>
      <c r="AR130" s="31"/>
      <c r="AX130">
        <v>1</v>
      </c>
    </row>
    <row r="131" spans="1:50" x14ac:dyDescent="0.25">
      <c r="A131" t="s">
        <v>22</v>
      </c>
      <c r="B131">
        <v>314</v>
      </c>
      <c r="D131">
        <v>1948</v>
      </c>
      <c r="G131" t="s">
        <v>1544</v>
      </c>
      <c r="J131" t="s">
        <v>1462</v>
      </c>
      <c r="K131" t="s">
        <v>1545</v>
      </c>
      <c r="M131" t="s">
        <v>1111</v>
      </c>
      <c r="W131" t="s">
        <v>780</v>
      </c>
      <c r="X131" t="s">
        <v>897</v>
      </c>
      <c r="Z131" s="31"/>
      <c r="AC131">
        <v>10</v>
      </c>
      <c r="AD131" t="s">
        <v>22</v>
      </c>
      <c r="AE131" s="31">
        <v>45744</v>
      </c>
      <c r="AF131" s="61">
        <v>0.46645833333333331</v>
      </c>
      <c r="AH131" t="s">
        <v>795</v>
      </c>
      <c r="AI131" s="31">
        <v>45754</v>
      </c>
      <c r="AJ131" s="61">
        <v>0.60836805555555551</v>
      </c>
      <c r="AK131" t="s">
        <v>5392</v>
      </c>
      <c r="AO131" t="s">
        <v>22</v>
      </c>
      <c r="AP131" t="s">
        <v>1546</v>
      </c>
      <c r="AR131" s="31"/>
      <c r="AX131">
        <v>1</v>
      </c>
    </row>
    <row r="132" spans="1:50" x14ac:dyDescent="0.25">
      <c r="A132" t="s">
        <v>44</v>
      </c>
      <c r="B132">
        <v>315</v>
      </c>
      <c r="D132">
        <v>1949</v>
      </c>
      <c r="G132" t="s">
        <v>1547</v>
      </c>
      <c r="J132" t="s">
        <v>1548</v>
      </c>
      <c r="K132" t="s">
        <v>1549</v>
      </c>
      <c r="M132" t="s">
        <v>1522</v>
      </c>
      <c r="W132" t="s">
        <v>780</v>
      </c>
      <c r="X132" t="s">
        <v>816</v>
      </c>
      <c r="Y132" t="s">
        <v>995</v>
      </c>
      <c r="Z132" s="31"/>
      <c r="AA132">
        <v>1600</v>
      </c>
      <c r="AB132">
        <v>180443</v>
      </c>
      <c r="AC132">
        <v>54</v>
      </c>
      <c r="AD132" t="s">
        <v>44</v>
      </c>
      <c r="AE132" s="31">
        <v>45744</v>
      </c>
      <c r="AF132" s="61">
        <v>0.49288194444444439</v>
      </c>
      <c r="AH132" t="s">
        <v>818</v>
      </c>
      <c r="AI132" s="31">
        <v>45798</v>
      </c>
      <c r="AJ132" s="61">
        <v>0.37681712962962971</v>
      </c>
      <c r="AN132" t="s">
        <v>1524</v>
      </c>
      <c r="AP132" t="s">
        <v>1525</v>
      </c>
      <c r="AR132" s="31"/>
      <c r="AX132">
        <v>1</v>
      </c>
    </row>
    <row r="133" spans="1:50" x14ac:dyDescent="0.25">
      <c r="A133" t="s">
        <v>44</v>
      </c>
      <c r="B133">
        <v>316</v>
      </c>
      <c r="D133">
        <v>1950</v>
      </c>
      <c r="G133" t="s">
        <v>1550</v>
      </c>
      <c r="H133">
        <v>49695060000165</v>
      </c>
      <c r="J133" t="s">
        <v>1551</v>
      </c>
      <c r="K133" t="s">
        <v>1531</v>
      </c>
      <c r="M133" t="s">
        <v>1532</v>
      </c>
      <c r="Q133" t="s">
        <v>1094</v>
      </c>
      <c r="R133" t="s">
        <v>790</v>
      </c>
      <c r="W133" t="s">
        <v>780</v>
      </c>
      <c r="X133" t="s">
        <v>793</v>
      </c>
      <c r="Z133" s="31"/>
      <c r="AA133">
        <v>1600</v>
      </c>
      <c r="AB133">
        <v>2178</v>
      </c>
      <c r="AC133">
        <v>48</v>
      </c>
      <c r="AD133" t="s">
        <v>44</v>
      </c>
      <c r="AE133" s="31">
        <v>45744</v>
      </c>
      <c r="AF133" s="61">
        <v>0.62916666666666665</v>
      </c>
      <c r="AH133" t="s">
        <v>795</v>
      </c>
      <c r="AI133" s="31">
        <v>45792</v>
      </c>
      <c r="AJ133" s="61">
        <v>0.64351851851851849</v>
      </c>
      <c r="AK133" t="s">
        <v>5338</v>
      </c>
      <c r="AL133" t="s">
        <v>1533</v>
      </c>
      <c r="AM133" t="s">
        <v>1528</v>
      </c>
      <c r="AN133" t="s">
        <v>1528</v>
      </c>
      <c r="AP133" t="s">
        <v>1528</v>
      </c>
      <c r="AR133" s="31"/>
      <c r="AX133">
        <v>1</v>
      </c>
    </row>
    <row r="134" spans="1:50" x14ac:dyDescent="0.25">
      <c r="A134" t="s">
        <v>44</v>
      </c>
      <c r="B134">
        <v>317</v>
      </c>
      <c r="D134">
        <v>1952</v>
      </c>
      <c r="G134" t="s">
        <v>5438</v>
      </c>
      <c r="H134">
        <v>8652421000109</v>
      </c>
      <c r="J134" t="s">
        <v>1553</v>
      </c>
      <c r="K134" t="s">
        <v>1554</v>
      </c>
      <c r="M134" t="s">
        <v>1427</v>
      </c>
      <c r="Q134" t="s">
        <v>1428</v>
      </c>
      <c r="R134" t="s">
        <v>1027</v>
      </c>
      <c r="W134" t="s">
        <v>780</v>
      </c>
      <c r="X134" t="s">
        <v>807</v>
      </c>
      <c r="Z134" s="31"/>
      <c r="AA134">
        <v>74860</v>
      </c>
      <c r="AB134">
        <v>641932</v>
      </c>
      <c r="AC134">
        <v>48</v>
      </c>
      <c r="AD134" t="s">
        <v>44</v>
      </c>
      <c r="AE134" s="31">
        <v>45744</v>
      </c>
      <c r="AF134" s="61">
        <v>0.65123842592592596</v>
      </c>
      <c r="AH134" t="s">
        <v>795</v>
      </c>
      <c r="AI134" s="31">
        <v>45792</v>
      </c>
      <c r="AJ134" s="61">
        <v>0.48288194444444438</v>
      </c>
      <c r="AK134" t="s">
        <v>5338</v>
      </c>
      <c r="AL134" t="s">
        <v>5439</v>
      </c>
      <c r="AN134" t="s">
        <v>1524</v>
      </c>
      <c r="AP134" t="s">
        <v>1556</v>
      </c>
      <c r="AR134" s="31"/>
      <c r="AX134">
        <v>1</v>
      </c>
    </row>
    <row r="135" spans="1:50" x14ac:dyDescent="0.25">
      <c r="A135" t="s">
        <v>44</v>
      </c>
      <c r="B135">
        <v>318</v>
      </c>
      <c r="D135">
        <v>1957</v>
      </c>
      <c r="G135" t="s">
        <v>1557</v>
      </c>
      <c r="H135">
        <v>8652421000109</v>
      </c>
      <c r="J135" t="s">
        <v>1558</v>
      </c>
      <c r="K135" t="s">
        <v>1559</v>
      </c>
      <c r="M135" t="s">
        <v>1427</v>
      </c>
      <c r="W135" t="s">
        <v>780</v>
      </c>
      <c r="X135" t="s">
        <v>793</v>
      </c>
      <c r="Z135" s="31"/>
      <c r="AC135">
        <v>19</v>
      </c>
      <c r="AD135" t="s">
        <v>44</v>
      </c>
      <c r="AE135" s="31">
        <v>45744</v>
      </c>
      <c r="AF135" s="61">
        <v>0.65327546296296302</v>
      </c>
      <c r="AH135" t="s">
        <v>795</v>
      </c>
      <c r="AI135" s="31">
        <v>45763</v>
      </c>
      <c r="AJ135" s="61">
        <v>0.40211805555555558</v>
      </c>
      <c r="AK135" t="s">
        <v>5338</v>
      </c>
      <c r="AL135" t="s">
        <v>5440</v>
      </c>
      <c r="AN135" t="s">
        <v>1524</v>
      </c>
      <c r="AP135" t="s">
        <v>1556</v>
      </c>
      <c r="AR135" s="31"/>
      <c r="AX135">
        <v>1</v>
      </c>
    </row>
    <row r="136" spans="1:50" x14ac:dyDescent="0.25">
      <c r="A136" t="s">
        <v>44</v>
      </c>
      <c r="B136">
        <v>319</v>
      </c>
      <c r="D136">
        <v>1958</v>
      </c>
      <c r="G136" t="s">
        <v>5441</v>
      </c>
      <c r="J136" t="s">
        <v>5442</v>
      </c>
      <c r="K136" t="s">
        <v>1024</v>
      </c>
      <c r="M136" t="s">
        <v>1025</v>
      </c>
      <c r="W136" t="s">
        <v>780</v>
      </c>
      <c r="X136" t="s">
        <v>816</v>
      </c>
      <c r="Z136" s="31"/>
      <c r="AA136">
        <v>1760013</v>
      </c>
      <c r="AB136">
        <v>0</v>
      </c>
      <c r="AC136">
        <v>0</v>
      </c>
      <c r="AD136" t="s">
        <v>44</v>
      </c>
      <c r="AE136" s="31">
        <v>45747</v>
      </c>
      <c r="AF136" s="61">
        <v>0.47290509259259261</v>
      </c>
      <c r="AH136" t="s">
        <v>818</v>
      </c>
      <c r="AI136" s="31">
        <v>45747</v>
      </c>
      <c r="AJ136" s="61">
        <v>0.48357638888888888</v>
      </c>
      <c r="AN136" t="s">
        <v>1497</v>
      </c>
      <c r="AR136" s="31"/>
      <c r="AX136">
        <v>1</v>
      </c>
    </row>
    <row r="137" spans="1:50" x14ac:dyDescent="0.25">
      <c r="A137" t="s">
        <v>44</v>
      </c>
      <c r="B137">
        <v>321</v>
      </c>
      <c r="D137">
        <v>1961</v>
      </c>
      <c r="G137" t="s">
        <v>1557</v>
      </c>
      <c r="J137" t="s">
        <v>1558</v>
      </c>
      <c r="K137" t="s">
        <v>1563</v>
      </c>
      <c r="M137" t="s">
        <v>1427</v>
      </c>
      <c r="W137" t="s">
        <v>780</v>
      </c>
      <c r="X137" t="s">
        <v>807</v>
      </c>
      <c r="Z137" s="31"/>
      <c r="AA137">
        <v>1600</v>
      </c>
      <c r="AB137">
        <v>462522</v>
      </c>
      <c r="AC137">
        <v>45</v>
      </c>
      <c r="AD137" t="s">
        <v>44</v>
      </c>
      <c r="AE137" s="31">
        <v>45747</v>
      </c>
      <c r="AF137" s="61">
        <v>0.63219907407407405</v>
      </c>
      <c r="AH137" t="s">
        <v>795</v>
      </c>
      <c r="AI137" s="31">
        <v>45792</v>
      </c>
      <c r="AJ137" s="61">
        <v>0.48388888888888892</v>
      </c>
      <c r="AK137" t="s">
        <v>5338</v>
      </c>
      <c r="AL137" t="s">
        <v>5439</v>
      </c>
      <c r="AN137" t="s">
        <v>1524</v>
      </c>
      <c r="AP137" t="s">
        <v>1556</v>
      </c>
      <c r="AR137" s="31"/>
      <c r="AX137">
        <v>1</v>
      </c>
    </row>
    <row r="138" spans="1:50" x14ac:dyDescent="0.25">
      <c r="A138" t="s">
        <v>44</v>
      </c>
      <c r="B138">
        <v>322</v>
      </c>
      <c r="D138">
        <v>1962</v>
      </c>
      <c r="G138" t="s">
        <v>1564</v>
      </c>
      <c r="J138" t="s">
        <v>1565</v>
      </c>
      <c r="K138" t="s">
        <v>991</v>
      </c>
      <c r="M138" t="s">
        <v>992</v>
      </c>
      <c r="W138" t="s">
        <v>780</v>
      </c>
      <c r="X138" t="s">
        <v>816</v>
      </c>
      <c r="Z138" s="31"/>
      <c r="AA138">
        <v>0</v>
      </c>
      <c r="AB138">
        <v>30002</v>
      </c>
      <c r="AC138">
        <v>24</v>
      </c>
      <c r="AD138" t="s">
        <v>44</v>
      </c>
      <c r="AE138" s="31">
        <v>45747</v>
      </c>
      <c r="AF138" s="61">
        <v>0.69299768518518523</v>
      </c>
      <c r="AH138" t="s">
        <v>818</v>
      </c>
      <c r="AI138" s="31">
        <v>45771</v>
      </c>
      <c r="AJ138" s="61">
        <v>0.50261574074074078</v>
      </c>
      <c r="AN138" t="s">
        <v>1524</v>
      </c>
      <c r="AR138" s="31"/>
      <c r="AX138">
        <v>1</v>
      </c>
    </row>
    <row r="139" spans="1:50" x14ac:dyDescent="0.25">
      <c r="A139" t="s">
        <v>44</v>
      </c>
      <c r="B139">
        <v>323</v>
      </c>
      <c r="D139">
        <v>1963</v>
      </c>
      <c r="G139" t="s">
        <v>5443</v>
      </c>
      <c r="J139" t="s">
        <v>5444</v>
      </c>
      <c r="K139" t="s">
        <v>1568</v>
      </c>
      <c r="M139" t="s">
        <v>1569</v>
      </c>
      <c r="W139" t="s">
        <v>780</v>
      </c>
      <c r="X139" t="s">
        <v>793</v>
      </c>
      <c r="Z139" s="31"/>
      <c r="AA139">
        <v>16960</v>
      </c>
      <c r="AB139">
        <v>1980</v>
      </c>
      <c r="AC139">
        <v>64</v>
      </c>
      <c r="AD139" t="s">
        <v>44</v>
      </c>
      <c r="AE139" s="31">
        <v>45747</v>
      </c>
      <c r="AF139" s="61">
        <v>0.70123842592592589</v>
      </c>
      <c r="AH139" t="s">
        <v>795</v>
      </c>
      <c r="AI139" s="31">
        <v>45811</v>
      </c>
      <c r="AJ139" s="61">
        <v>0.46266203703703701</v>
      </c>
      <c r="AK139" t="s">
        <v>858</v>
      </c>
      <c r="AL139" t="s">
        <v>5445</v>
      </c>
      <c r="AN139" t="s">
        <v>1524</v>
      </c>
      <c r="AP139" t="s">
        <v>1524</v>
      </c>
      <c r="AR139" s="31"/>
      <c r="AX139">
        <v>1</v>
      </c>
    </row>
    <row r="140" spans="1:50" x14ac:dyDescent="0.25">
      <c r="A140" t="s">
        <v>44</v>
      </c>
      <c r="B140">
        <v>328</v>
      </c>
      <c r="D140">
        <v>1970</v>
      </c>
      <c r="G140" t="s">
        <v>5446</v>
      </c>
      <c r="J140" t="s">
        <v>5447</v>
      </c>
      <c r="K140" t="s">
        <v>1573</v>
      </c>
      <c r="M140" t="s">
        <v>1574</v>
      </c>
      <c r="W140" t="s">
        <v>780</v>
      </c>
      <c r="X140" t="s">
        <v>897</v>
      </c>
      <c r="Z140" s="31"/>
      <c r="AC140">
        <v>71</v>
      </c>
      <c r="AD140" t="s">
        <v>44</v>
      </c>
      <c r="AE140" s="31">
        <v>45748</v>
      </c>
      <c r="AF140" s="61">
        <v>0.6648263888888889</v>
      </c>
      <c r="AH140" t="s">
        <v>795</v>
      </c>
      <c r="AI140" s="31">
        <v>45819</v>
      </c>
      <c r="AJ140" s="61">
        <v>0.60791666666666666</v>
      </c>
      <c r="AK140" t="s">
        <v>5338</v>
      </c>
      <c r="AL140" t="s">
        <v>5448</v>
      </c>
      <c r="AM140" t="s">
        <v>1576</v>
      </c>
      <c r="AR140" s="31"/>
      <c r="AX140">
        <v>1</v>
      </c>
    </row>
    <row r="141" spans="1:50" x14ac:dyDescent="0.25">
      <c r="A141" t="s">
        <v>44</v>
      </c>
      <c r="B141">
        <v>333</v>
      </c>
      <c r="D141">
        <v>1977</v>
      </c>
      <c r="G141" t="s">
        <v>5449</v>
      </c>
      <c r="H141">
        <v>32921219000110</v>
      </c>
      <c r="J141" t="s">
        <v>693</v>
      </c>
      <c r="K141" t="s">
        <v>1579</v>
      </c>
      <c r="M141" t="s">
        <v>1580</v>
      </c>
      <c r="V141" t="s">
        <v>1581</v>
      </c>
      <c r="W141" t="s">
        <v>780</v>
      </c>
      <c r="X141" t="s">
        <v>807</v>
      </c>
      <c r="Z141" s="31"/>
      <c r="AA141">
        <v>69112</v>
      </c>
      <c r="AB141">
        <v>318388</v>
      </c>
      <c r="AC141">
        <v>88</v>
      </c>
      <c r="AD141" t="s">
        <v>44</v>
      </c>
      <c r="AE141" s="31">
        <v>45750</v>
      </c>
      <c r="AF141" s="61">
        <v>0.66128472222222223</v>
      </c>
      <c r="AH141" t="s">
        <v>795</v>
      </c>
      <c r="AI141" s="31">
        <v>45838</v>
      </c>
      <c r="AJ141" s="61">
        <v>0.63310185185185186</v>
      </c>
      <c r="AK141" t="s">
        <v>934</v>
      </c>
      <c r="AL141" t="s">
        <v>5450</v>
      </c>
      <c r="AN141" t="s">
        <v>1583</v>
      </c>
      <c r="AO141" t="s">
        <v>44</v>
      </c>
      <c r="AP141" t="s">
        <v>1583</v>
      </c>
      <c r="AQ141" t="s">
        <v>1584</v>
      </c>
      <c r="AR141" s="31"/>
      <c r="AX141">
        <v>1</v>
      </c>
    </row>
    <row r="142" spans="1:50" x14ac:dyDescent="0.25">
      <c r="A142" t="s">
        <v>31</v>
      </c>
      <c r="B142">
        <v>334</v>
      </c>
      <c r="D142">
        <v>1978</v>
      </c>
      <c r="G142" t="s">
        <v>1585</v>
      </c>
      <c r="H142">
        <v>55940574000131</v>
      </c>
      <c r="J142" t="s">
        <v>1586</v>
      </c>
      <c r="K142" t="s">
        <v>1587</v>
      </c>
      <c r="M142" t="s">
        <v>1588</v>
      </c>
      <c r="S142" t="s">
        <v>933</v>
      </c>
      <c r="V142" t="s">
        <v>1581</v>
      </c>
      <c r="W142" t="s">
        <v>780</v>
      </c>
      <c r="X142" t="s">
        <v>807</v>
      </c>
      <c r="Y142" t="s">
        <v>995</v>
      </c>
      <c r="Z142" s="31">
        <v>46053</v>
      </c>
      <c r="AC142">
        <v>228</v>
      </c>
      <c r="AD142" t="s">
        <v>31</v>
      </c>
      <c r="AE142" s="31">
        <v>45751</v>
      </c>
      <c r="AF142" s="61">
        <v>0.64585648148148145</v>
      </c>
      <c r="AH142" t="s">
        <v>795</v>
      </c>
      <c r="AI142" s="31">
        <v>45979</v>
      </c>
      <c r="AJ142" s="61">
        <v>0.39087962962962958</v>
      </c>
      <c r="AK142" t="s">
        <v>5338</v>
      </c>
      <c r="AN142" t="s">
        <v>1589</v>
      </c>
      <c r="AO142" t="s">
        <v>31</v>
      </c>
      <c r="AP142" t="s">
        <v>1590</v>
      </c>
      <c r="AQ142" t="s">
        <v>1591</v>
      </c>
      <c r="AR142" s="31"/>
      <c r="AX142">
        <v>1</v>
      </c>
    </row>
    <row r="143" spans="1:50" x14ac:dyDescent="0.25">
      <c r="A143" t="s">
        <v>44</v>
      </c>
      <c r="B143">
        <v>336</v>
      </c>
      <c r="D143">
        <v>1980</v>
      </c>
      <c r="G143" t="s">
        <v>5451</v>
      </c>
      <c r="H143">
        <v>56262451000151</v>
      </c>
      <c r="J143" t="s">
        <v>1593</v>
      </c>
      <c r="K143" t="s">
        <v>1594</v>
      </c>
      <c r="M143" t="s">
        <v>1595</v>
      </c>
      <c r="Q143" t="s">
        <v>1596</v>
      </c>
      <c r="R143" t="s">
        <v>790</v>
      </c>
      <c r="W143" t="s">
        <v>780</v>
      </c>
      <c r="X143" t="s">
        <v>807</v>
      </c>
      <c r="Z143" s="31"/>
      <c r="AA143">
        <v>110486</v>
      </c>
      <c r="AB143">
        <v>704412</v>
      </c>
      <c r="AC143">
        <v>16</v>
      </c>
      <c r="AD143" t="s">
        <v>44</v>
      </c>
      <c r="AE143" s="31">
        <v>45754</v>
      </c>
      <c r="AF143" s="61">
        <v>0.42481481481481481</v>
      </c>
      <c r="AH143" t="s">
        <v>795</v>
      </c>
      <c r="AI143" s="31">
        <v>45770</v>
      </c>
      <c r="AJ143" s="61">
        <v>0.62724537037037043</v>
      </c>
      <c r="AK143" t="s">
        <v>934</v>
      </c>
      <c r="AL143" t="s">
        <v>5452</v>
      </c>
      <c r="AM143" t="s">
        <v>1598</v>
      </c>
      <c r="AN143" t="s">
        <v>1576</v>
      </c>
      <c r="AR143" s="31"/>
      <c r="AX143">
        <v>1</v>
      </c>
    </row>
    <row r="144" spans="1:50" x14ac:dyDescent="0.25">
      <c r="A144" t="s">
        <v>22</v>
      </c>
      <c r="B144">
        <v>338</v>
      </c>
      <c r="D144">
        <v>1983</v>
      </c>
      <c r="G144" t="s">
        <v>1599</v>
      </c>
      <c r="H144">
        <v>750764000102</v>
      </c>
      <c r="J144" t="s">
        <v>5453</v>
      </c>
      <c r="K144" t="s">
        <v>1601</v>
      </c>
      <c r="M144" t="s">
        <v>1602</v>
      </c>
      <c r="W144" t="s">
        <v>780</v>
      </c>
      <c r="X144" t="s">
        <v>807</v>
      </c>
      <c r="Z144" s="31"/>
      <c r="AA144">
        <v>50000</v>
      </c>
      <c r="AB144">
        <v>30502</v>
      </c>
      <c r="AC144">
        <v>26</v>
      </c>
      <c r="AD144" t="s">
        <v>22</v>
      </c>
      <c r="AE144" s="31">
        <v>45754</v>
      </c>
      <c r="AF144" s="61">
        <v>0.60024305555555557</v>
      </c>
      <c r="AH144" t="s">
        <v>795</v>
      </c>
      <c r="AI144" s="31">
        <v>45780</v>
      </c>
      <c r="AJ144" s="61">
        <v>0.44513888888888892</v>
      </c>
      <c r="AK144" t="s">
        <v>5347</v>
      </c>
      <c r="AN144" t="s">
        <v>1603</v>
      </c>
      <c r="AO144" t="s">
        <v>22</v>
      </c>
      <c r="AP144" t="s">
        <v>1604</v>
      </c>
      <c r="AR144" s="31"/>
      <c r="AX144">
        <v>1</v>
      </c>
    </row>
    <row r="145" spans="1:50" x14ac:dyDescent="0.25">
      <c r="A145" t="s">
        <v>44</v>
      </c>
      <c r="B145">
        <v>343</v>
      </c>
      <c r="D145">
        <v>1988</v>
      </c>
      <c r="G145" t="s">
        <v>5454</v>
      </c>
      <c r="J145" t="s">
        <v>1606</v>
      </c>
      <c r="K145" t="s">
        <v>1607</v>
      </c>
      <c r="M145" t="s">
        <v>1608</v>
      </c>
      <c r="W145" t="s">
        <v>780</v>
      </c>
      <c r="X145" t="s">
        <v>793</v>
      </c>
      <c r="Z145" s="31"/>
      <c r="AA145">
        <v>32400</v>
      </c>
      <c r="AB145">
        <v>104544</v>
      </c>
      <c r="AC145">
        <v>34</v>
      </c>
      <c r="AD145" t="s">
        <v>44</v>
      </c>
      <c r="AE145" s="31">
        <v>45758</v>
      </c>
      <c r="AF145" s="61">
        <v>0.4972685185185185</v>
      </c>
      <c r="AH145" t="s">
        <v>795</v>
      </c>
      <c r="AI145" s="31">
        <v>45792</v>
      </c>
      <c r="AJ145" s="61">
        <v>0.47031250000000002</v>
      </c>
      <c r="AK145" t="s">
        <v>5338</v>
      </c>
      <c r="AL145" t="s">
        <v>5455</v>
      </c>
      <c r="AN145" t="s">
        <v>1610</v>
      </c>
      <c r="AP145" t="s">
        <v>1610</v>
      </c>
      <c r="AR145" s="31"/>
      <c r="AX145">
        <v>1</v>
      </c>
    </row>
    <row r="146" spans="1:50" x14ac:dyDescent="0.25">
      <c r="A146" t="s">
        <v>44</v>
      </c>
      <c r="B146">
        <v>346</v>
      </c>
      <c r="D146">
        <v>1991</v>
      </c>
      <c r="G146" t="s">
        <v>1611</v>
      </c>
      <c r="J146" t="s">
        <v>5456</v>
      </c>
      <c r="K146" t="s">
        <v>1613</v>
      </c>
      <c r="M146" t="s">
        <v>1614</v>
      </c>
      <c r="V146" t="s">
        <v>5457</v>
      </c>
      <c r="W146" t="s">
        <v>780</v>
      </c>
      <c r="X146" t="s">
        <v>816</v>
      </c>
      <c r="Z146" s="31">
        <v>46053</v>
      </c>
      <c r="AA146">
        <v>51306</v>
      </c>
      <c r="AB146">
        <v>2700</v>
      </c>
      <c r="AC146">
        <v>296</v>
      </c>
      <c r="AD146" t="s">
        <v>44</v>
      </c>
      <c r="AE146" s="31">
        <v>45762</v>
      </c>
      <c r="AF146" s="61">
        <v>0.62379629629629629</v>
      </c>
      <c r="AH146" t="s">
        <v>818</v>
      </c>
      <c r="AI146" s="31">
        <v>45783</v>
      </c>
      <c r="AJ146" s="61">
        <v>0.48605324074074069</v>
      </c>
      <c r="AL146" t="s">
        <v>1058</v>
      </c>
      <c r="AN146" t="s">
        <v>888</v>
      </c>
      <c r="AP146" t="s">
        <v>888</v>
      </c>
      <c r="AR146" s="31">
        <v>46028</v>
      </c>
      <c r="AX146">
        <v>1</v>
      </c>
    </row>
    <row r="147" spans="1:50" x14ac:dyDescent="0.25">
      <c r="A147" t="s">
        <v>44</v>
      </c>
      <c r="B147">
        <v>347</v>
      </c>
      <c r="D147">
        <v>1992</v>
      </c>
      <c r="G147" t="s">
        <v>5458</v>
      </c>
      <c r="J147" t="s">
        <v>5459</v>
      </c>
      <c r="K147" t="s">
        <v>1613</v>
      </c>
      <c r="M147" t="s">
        <v>1614</v>
      </c>
      <c r="W147" t="s">
        <v>780</v>
      </c>
      <c r="X147" t="s">
        <v>807</v>
      </c>
      <c r="Z147" s="31"/>
      <c r="AA147">
        <v>15216</v>
      </c>
      <c r="AB147">
        <v>37684</v>
      </c>
      <c r="AC147">
        <v>21</v>
      </c>
      <c r="AD147" t="s">
        <v>44</v>
      </c>
      <c r="AE147" s="31">
        <v>45762</v>
      </c>
      <c r="AF147" s="61">
        <v>0.62471064814814814</v>
      </c>
      <c r="AH147" t="s">
        <v>795</v>
      </c>
      <c r="AI147" s="31">
        <v>45783</v>
      </c>
      <c r="AJ147" s="61">
        <v>0.4869560185185185</v>
      </c>
      <c r="AK147" t="s">
        <v>5347</v>
      </c>
      <c r="AL147" t="s">
        <v>1618</v>
      </c>
      <c r="AN147" t="s">
        <v>1584</v>
      </c>
      <c r="AP147" t="s">
        <v>1619</v>
      </c>
      <c r="AR147" s="31"/>
      <c r="AX147">
        <v>1</v>
      </c>
    </row>
    <row r="148" spans="1:50" x14ac:dyDescent="0.25">
      <c r="A148" t="s">
        <v>44</v>
      </c>
      <c r="B148">
        <v>348</v>
      </c>
      <c r="D148">
        <v>1993</v>
      </c>
      <c r="G148" t="s">
        <v>5460</v>
      </c>
      <c r="J148" t="s">
        <v>5461</v>
      </c>
      <c r="K148" t="s">
        <v>1622</v>
      </c>
      <c r="M148" t="s">
        <v>1623</v>
      </c>
      <c r="W148" t="s">
        <v>780</v>
      </c>
      <c r="X148" t="s">
        <v>816</v>
      </c>
      <c r="Y148" t="s">
        <v>995</v>
      </c>
      <c r="Z148" s="31"/>
      <c r="AA148">
        <v>15264</v>
      </c>
      <c r="AB148">
        <v>8210</v>
      </c>
      <c r="AC148">
        <v>22</v>
      </c>
      <c r="AD148" t="s">
        <v>44</v>
      </c>
      <c r="AE148" s="31">
        <v>45762</v>
      </c>
      <c r="AF148" s="61">
        <v>0.7232291666666667</v>
      </c>
      <c r="AH148" t="s">
        <v>818</v>
      </c>
      <c r="AI148" s="31">
        <v>45784</v>
      </c>
      <c r="AJ148" s="61">
        <v>0.37145833333333328</v>
      </c>
      <c r="AN148" t="s">
        <v>1624</v>
      </c>
      <c r="AR148" s="31"/>
      <c r="AX148">
        <v>1</v>
      </c>
    </row>
    <row r="149" spans="1:50" x14ac:dyDescent="0.25">
      <c r="A149" t="s">
        <v>44</v>
      </c>
      <c r="B149">
        <v>351</v>
      </c>
      <c r="D149">
        <v>1997</v>
      </c>
      <c r="G149" t="s">
        <v>1625</v>
      </c>
      <c r="H149">
        <v>56262451000151</v>
      </c>
      <c r="J149" t="s">
        <v>1626</v>
      </c>
      <c r="K149" t="s">
        <v>1594</v>
      </c>
      <c r="M149" t="s">
        <v>1595</v>
      </c>
      <c r="Q149" t="s">
        <v>1596</v>
      </c>
      <c r="R149" t="s">
        <v>790</v>
      </c>
      <c r="W149" t="s">
        <v>780</v>
      </c>
      <c r="X149" t="s">
        <v>807</v>
      </c>
      <c r="Z149" s="31"/>
      <c r="AA149">
        <v>1620001</v>
      </c>
      <c r="AB149">
        <v>3400</v>
      </c>
      <c r="AC149">
        <v>6</v>
      </c>
      <c r="AD149" t="s">
        <v>44</v>
      </c>
      <c r="AE149" s="31">
        <v>45764</v>
      </c>
      <c r="AF149" s="61">
        <v>0.43085648148148148</v>
      </c>
      <c r="AH149" t="s">
        <v>795</v>
      </c>
      <c r="AI149" s="31">
        <v>45770</v>
      </c>
      <c r="AJ149" s="61">
        <v>0.62804398148148144</v>
      </c>
      <c r="AK149" t="s">
        <v>934</v>
      </c>
      <c r="AL149" t="s">
        <v>5452</v>
      </c>
      <c r="AN149" t="s">
        <v>1598</v>
      </c>
      <c r="AP149" t="s">
        <v>1576</v>
      </c>
      <c r="AR149" s="31"/>
      <c r="AX149">
        <v>1</v>
      </c>
    </row>
    <row r="150" spans="1:50" x14ac:dyDescent="0.25">
      <c r="A150" t="s">
        <v>44</v>
      </c>
      <c r="B150">
        <v>352</v>
      </c>
      <c r="D150">
        <v>1999</v>
      </c>
      <c r="G150" t="s">
        <v>1627</v>
      </c>
      <c r="J150" t="s">
        <v>1628</v>
      </c>
      <c r="K150" t="s">
        <v>1629</v>
      </c>
      <c r="M150" t="s">
        <v>1595</v>
      </c>
      <c r="W150" t="s">
        <v>780</v>
      </c>
      <c r="X150" t="s">
        <v>807</v>
      </c>
      <c r="Z150" s="31"/>
      <c r="AA150">
        <v>16200</v>
      </c>
      <c r="AB150">
        <v>2160</v>
      </c>
      <c r="AC150">
        <v>6</v>
      </c>
      <c r="AD150" t="s">
        <v>44</v>
      </c>
      <c r="AE150" s="31">
        <v>45764</v>
      </c>
      <c r="AF150" s="61">
        <v>0.46605324074074073</v>
      </c>
      <c r="AH150" t="s">
        <v>795</v>
      </c>
      <c r="AI150" s="31">
        <v>45770</v>
      </c>
      <c r="AJ150" s="61">
        <v>0.62869212962962961</v>
      </c>
      <c r="AK150" t="s">
        <v>934</v>
      </c>
      <c r="AL150" t="s">
        <v>5452</v>
      </c>
      <c r="AN150" t="s">
        <v>1598</v>
      </c>
      <c r="AP150" t="s">
        <v>1576</v>
      </c>
      <c r="AR150" s="31"/>
      <c r="AX150">
        <v>1</v>
      </c>
    </row>
    <row r="151" spans="1:50" x14ac:dyDescent="0.25">
      <c r="A151" t="s">
        <v>44</v>
      </c>
      <c r="B151">
        <v>353</v>
      </c>
      <c r="D151">
        <v>2000</v>
      </c>
      <c r="G151" t="s">
        <v>1630</v>
      </c>
      <c r="H151">
        <v>8678467000105</v>
      </c>
      <c r="J151" t="s">
        <v>5462</v>
      </c>
      <c r="K151" t="s">
        <v>1632</v>
      </c>
      <c r="Q151" t="s">
        <v>1633</v>
      </c>
      <c r="R151" t="s">
        <v>848</v>
      </c>
      <c r="V151" t="s">
        <v>1419</v>
      </c>
      <c r="W151" t="s">
        <v>780</v>
      </c>
      <c r="X151" t="s">
        <v>807</v>
      </c>
      <c r="Z151" s="31"/>
      <c r="AA151">
        <v>5667184</v>
      </c>
      <c r="AB151">
        <v>539533</v>
      </c>
      <c r="AC151">
        <v>68</v>
      </c>
      <c r="AD151" t="s">
        <v>44</v>
      </c>
      <c r="AE151" s="31">
        <v>45764</v>
      </c>
      <c r="AF151" s="61">
        <v>0.51119212962962968</v>
      </c>
      <c r="AH151" t="s">
        <v>795</v>
      </c>
      <c r="AI151" s="31">
        <v>45832</v>
      </c>
      <c r="AJ151" s="61">
        <v>0.4964351851851852</v>
      </c>
      <c r="AK151" t="s">
        <v>934</v>
      </c>
      <c r="AL151" t="s">
        <v>5463</v>
      </c>
      <c r="AN151" t="s">
        <v>1583</v>
      </c>
      <c r="AP151" t="s">
        <v>1583</v>
      </c>
      <c r="AR151" s="31"/>
      <c r="AX151">
        <v>1</v>
      </c>
    </row>
    <row r="152" spans="1:50" x14ac:dyDescent="0.25">
      <c r="A152" t="s">
        <v>44</v>
      </c>
      <c r="B152">
        <v>354</v>
      </c>
      <c r="D152">
        <v>2002</v>
      </c>
      <c r="G152" t="s">
        <v>5464</v>
      </c>
      <c r="H152">
        <v>8678467000105</v>
      </c>
      <c r="J152" t="s">
        <v>5465</v>
      </c>
      <c r="K152" t="s">
        <v>1632</v>
      </c>
      <c r="Q152" t="s">
        <v>1633</v>
      </c>
      <c r="R152" t="s">
        <v>848</v>
      </c>
      <c r="V152" t="s">
        <v>1419</v>
      </c>
      <c r="W152" t="s">
        <v>780</v>
      </c>
      <c r="X152" t="s">
        <v>807</v>
      </c>
      <c r="Z152" s="31"/>
      <c r="AA152">
        <v>1600</v>
      </c>
      <c r="AB152">
        <v>28747</v>
      </c>
      <c r="AC152">
        <v>68</v>
      </c>
      <c r="AD152" t="s">
        <v>44</v>
      </c>
      <c r="AE152" s="31">
        <v>45764</v>
      </c>
      <c r="AF152" s="61">
        <v>0.59777777777777774</v>
      </c>
      <c r="AH152" t="s">
        <v>795</v>
      </c>
      <c r="AI152" s="31">
        <v>45832</v>
      </c>
      <c r="AJ152" s="61">
        <v>0.49752314814814808</v>
      </c>
      <c r="AK152" t="s">
        <v>934</v>
      </c>
      <c r="AL152" t="s">
        <v>5466</v>
      </c>
      <c r="AN152" t="s">
        <v>1583</v>
      </c>
      <c r="AP152" t="s">
        <v>1583</v>
      </c>
      <c r="AR152" s="31"/>
      <c r="AX152">
        <v>1</v>
      </c>
    </row>
    <row r="153" spans="1:50" x14ac:dyDescent="0.25">
      <c r="A153" t="s">
        <v>44</v>
      </c>
      <c r="B153">
        <v>355</v>
      </c>
      <c r="D153">
        <v>2004</v>
      </c>
      <c r="G153" t="s">
        <v>1638</v>
      </c>
      <c r="J153" t="s">
        <v>1639</v>
      </c>
      <c r="K153" t="s">
        <v>1579</v>
      </c>
      <c r="M153" t="s">
        <v>1640</v>
      </c>
      <c r="V153" t="s">
        <v>1581</v>
      </c>
      <c r="W153" t="s">
        <v>780</v>
      </c>
      <c r="X153" t="s">
        <v>807</v>
      </c>
      <c r="Z153" s="31"/>
      <c r="AA153">
        <v>1600</v>
      </c>
      <c r="AB153">
        <v>32107</v>
      </c>
      <c r="AC153">
        <v>74</v>
      </c>
      <c r="AD153" t="s">
        <v>44</v>
      </c>
      <c r="AE153" s="31">
        <v>45764</v>
      </c>
      <c r="AF153" s="61">
        <v>0.64312499999999995</v>
      </c>
      <c r="AH153" t="s">
        <v>795</v>
      </c>
      <c r="AI153" s="31">
        <v>45838</v>
      </c>
      <c r="AJ153" s="61">
        <v>0.63413194444444443</v>
      </c>
      <c r="AK153" t="s">
        <v>934</v>
      </c>
      <c r="AL153" t="s">
        <v>5467</v>
      </c>
      <c r="AN153" t="s">
        <v>1583</v>
      </c>
      <c r="AP153" t="s">
        <v>1583</v>
      </c>
      <c r="AQ153" t="s">
        <v>1584</v>
      </c>
      <c r="AR153" s="31"/>
      <c r="AX153">
        <v>1</v>
      </c>
    </row>
    <row r="154" spans="1:50" x14ac:dyDescent="0.25">
      <c r="A154" t="s">
        <v>44</v>
      </c>
      <c r="B154">
        <v>358</v>
      </c>
      <c r="D154">
        <v>2008</v>
      </c>
      <c r="G154" t="s">
        <v>1642</v>
      </c>
      <c r="J154" t="s">
        <v>1643</v>
      </c>
      <c r="K154" t="s">
        <v>1644</v>
      </c>
      <c r="M154" t="s">
        <v>1645</v>
      </c>
      <c r="Q154" t="s">
        <v>1646</v>
      </c>
      <c r="S154" t="s">
        <v>814</v>
      </c>
      <c r="V154" t="s">
        <v>1186</v>
      </c>
      <c r="W154" t="s">
        <v>780</v>
      </c>
      <c r="X154" t="s">
        <v>793</v>
      </c>
      <c r="Z154" s="31"/>
      <c r="AA154">
        <v>58088</v>
      </c>
      <c r="AB154">
        <v>112089</v>
      </c>
      <c r="AC154">
        <v>17</v>
      </c>
      <c r="AD154" t="s">
        <v>22</v>
      </c>
      <c r="AE154" s="31">
        <v>45775</v>
      </c>
      <c r="AF154" s="61">
        <v>0.6950115740740741</v>
      </c>
      <c r="AH154" t="s">
        <v>795</v>
      </c>
      <c r="AI154" s="31">
        <v>45792</v>
      </c>
      <c r="AJ154" s="61">
        <v>0.64664351851851853</v>
      </c>
      <c r="AK154" t="s">
        <v>5338</v>
      </c>
      <c r="AL154" t="s">
        <v>1647</v>
      </c>
      <c r="AN154" t="s">
        <v>1589</v>
      </c>
      <c r="AO154" t="s">
        <v>44</v>
      </c>
      <c r="AP154" t="s">
        <v>1589</v>
      </c>
      <c r="AR154" s="31"/>
      <c r="AX154">
        <v>1</v>
      </c>
    </row>
    <row r="155" spans="1:50" x14ac:dyDescent="0.25">
      <c r="A155" t="s">
        <v>22</v>
      </c>
      <c r="B155">
        <v>359</v>
      </c>
      <c r="D155">
        <v>2019</v>
      </c>
      <c r="G155" t="s">
        <v>1648</v>
      </c>
      <c r="J155" t="s">
        <v>1649</v>
      </c>
      <c r="K155" t="s">
        <v>1650</v>
      </c>
      <c r="M155" t="s">
        <v>1651</v>
      </c>
      <c r="W155" t="s">
        <v>780</v>
      </c>
      <c r="X155" t="s">
        <v>816</v>
      </c>
      <c r="Z155" s="31"/>
      <c r="AA155">
        <v>40000</v>
      </c>
      <c r="AB155">
        <v>23581</v>
      </c>
      <c r="AC155">
        <v>43</v>
      </c>
      <c r="AD155" t="s">
        <v>22</v>
      </c>
      <c r="AE155" s="31">
        <v>45775</v>
      </c>
      <c r="AF155" s="61">
        <v>0.69732638888888887</v>
      </c>
      <c r="AH155" t="s">
        <v>818</v>
      </c>
      <c r="AI155" s="31">
        <v>45818</v>
      </c>
      <c r="AJ155" s="61">
        <v>0.51094907407407408</v>
      </c>
      <c r="AN155" t="s">
        <v>1652</v>
      </c>
      <c r="AO155" t="s">
        <v>22</v>
      </c>
      <c r="AP155" t="s">
        <v>1653</v>
      </c>
      <c r="AR155" s="31"/>
      <c r="AX155">
        <v>1</v>
      </c>
    </row>
    <row r="156" spans="1:50" x14ac:dyDescent="0.25">
      <c r="A156" t="s">
        <v>22</v>
      </c>
      <c r="B156">
        <v>360</v>
      </c>
      <c r="D156">
        <v>1986</v>
      </c>
      <c r="G156" t="s">
        <v>1654</v>
      </c>
      <c r="J156" t="s">
        <v>1655</v>
      </c>
      <c r="K156" t="s">
        <v>1656</v>
      </c>
      <c r="M156" t="s">
        <v>1657</v>
      </c>
      <c r="Q156" t="s">
        <v>923</v>
      </c>
      <c r="S156" t="s">
        <v>814</v>
      </c>
      <c r="V156" t="s">
        <v>1186</v>
      </c>
      <c r="W156" t="s">
        <v>780</v>
      </c>
      <c r="X156" t="s">
        <v>807</v>
      </c>
      <c r="Z156" s="31"/>
      <c r="AA156">
        <v>68400</v>
      </c>
      <c r="AB156">
        <v>302046</v>
      </c>
      <c r="AC156">
        <v>43</v>
      </c>
      <c r="AD156" t="s">
        <v>22</v>
      </c>
      <c r="AE156" s="31">
        <v>45775</v>
      </c>
      <c r="AF156" s="61">
        <v>0.70218749999999996</v>
      </c>
      <c r="AH156" t="s">
        <v>795</v>
      </c>
      <c r="AI156" s="31">
        <v>45818</v>
      </c>
      <c r="AJ156" s="61">
        <v>0.61357638888888888</v>
      </c>
      <c r="AK156" t="s">
        <v>858</v>
      </c>
      <c r="AN156" t="s">
        <v>1652</v>
      </c>
      <c r="AO156" t="s">
        <v>22</v>
      </c>
      <c r="AP156" t="s">
        <v>1653</v>
      </c>
      <c r="AR156" s="31"/>
      <c r="AX156">
        <v>1</v>
      </c>
    </row>
    <row r="157" spans="1:50" x14ac:dyDescent="0.25">
      <c r="A157" t="s">
        <v>44</v>
      </c>
      <c r="B157">
        <v>361</v>
      </c>
      <c r="D157">
        <v>2010</v>
      </c>
      <c r="G157" t="s">
        <v>1658</v>
      </c>
      <c r="J157" t="s">
        <v>1659</v>
      </c>
      <c r="K157" t="s">
        <v>1660</v>
      </c>
      <c r="M157" t="s">
        <v>1645</v>
      </c>
      <c r="W157" t="s">
        <v>780</v>
      </c>
      <c r="X157" t="s">
        <v>793</v>
      </c>
      <c r="Z157" s="31"/>
      <c r="AA157">
        <v>26200</v>
      </c>
      <c r="AB157">
        <v>3400</v>
      </c>
      <c r="AC157">
        <v>16</v>
      </c>
      <c r="AD157" t="s">
        <v>44</v>
      </c>
      <c r="AE157" s="31">
        <v>45776</v>
      </c>
      <c r="AF157" s="61">
        <v>0.6177893518518518</v>
      </c>
      <c r="AH157" t="s">
        <v>795</v>
      </c>
      <c r="AI157" s="31">
        <v>45792</v>
      </c>
      <c r="AJ157" s="61">
        <v>0.64693287037037039</v>
      </c>
      <c r="AK157" t="s">
        <v>5338</v>
      </c>
      <c r="AL157" t="s">
        <v>1647</v>
      </c>
      <c r="AN157" t="s">
        <v>1589</v>
      </c>
      <c r="AP157" t="s">
        <v>1589</v>
      </c>
      <c r="AR157" s="31"/>
      <c r="AX157">
        <v>1</v>
      </c>
    </row>
    <row r="158" spans="1:50" x14ac:dyDescent="0.25">
      <c r="A158" t="s">
        <v>44</v>
      </c>
      <c r="B158">
        <v>362</v>
      </c>
      <c r="D158">
        <v>2011</v>
      </c>
      <c r="G158" t="s">
        <v>5468</v>
      </c>
      <c r="J158" t="s">
        <v>5469</v>
      </c>
      <c r="K158" t="s">
        <v>1613</v>
      </c>
      <c r="M158" t="s">
        <v>1614</v>
      </c>
      <c r="W158" t="s">
        <v>780</v>
      </c>
      <c r="X158" t="s">
        <v>807</v>
      </c>
      <c r="Z158" s="31"/>
      <c r="AA158">
        <v>1600</v>
      </c>
      <c r="AB158">
        <v>1026</v>
      </c>
      <c r="AC158">
        <v>7</v>
      </c>
      <c r="AD158" t="s">
        <v>44</v>
      </c>
      <c r="AE158" s="31">
        <v>45776</v>
      </c>
      <c r="AF158" s="61">
        <v>0.70245370370370375</v>
      </c>
      <c r="AH158" t="s">
        <v>795</v>
      </c>
      <c r="AI158" s="31">
        <v>45783</v>
      </c>
      <c r="AJ158" s="61">
        <v>0.62656250000000002</v>
      </c>
      <c r="AK158" t="s">
        <v>5347</v>
      </c>
      <c r="AN158" t="s">
        <v>1584</v>
      </c>
      <c r="AP158" t="s">
        <v>1619</v>
      </c>
      <c r="AR158" s="31"/>
      <c r="AX158">
        <v>1</v>
      </c>
    </row>
    <row r="159" spans="1:50" x14ac:dyDescent="0.25">
      <c r="A159" t="s">
        <v>31</v>
      </c>
      <c r="B159">
        <v>366</v>
      </c>
      <c r="D159">
        <v>2015</v>
      </c>
      <c r="G159" t="s">
        <v>1663</v>
      </c>
      <c r="J159" t="s">
        <v>1664</v>
      </c>
      <c r="M159" t="s">
        <v>1665</v>
      </c>
      <c r="W159" t="s">
        <v>780</v>
      </c>
      <c r="X159" t="s">
        <v>816</v>
      </c>
      <c r="Z159" s="31"/>
      <c r="AA159">
        <v>3360</v>
      </c>
      <c r="AB159">
        <v>165372</v>
      </c>
      <c r="AC159">
        <v>19</v>
      </c>
      <c r="AD159" t="s">
        <v>31</v>
      </c>
      <c r="AE159" s="31">
        <v>45777</v>
      </c>
      <c r="AF159" s="61">
        <v>0.63238425925925923</v>
      </c>
      <c r="AH159" t="s">
        <v>818</v>
      </c>
      <c r="AI159" s="31">
        <v>45796</v>
      </c>
      <c r="AJ159" s="61">
        <v>0.37675925925925918</v>
      </c>
      <c r="AN159" t="s">
        <v>1666</v>
      </c>
      <c r="AP159" t="s">
        <v>1666</v>
      </c>
      <c r="AR159" s="31"/>
      <c r="AX159">
        <v>1</v>
      </c>
    </row>
    <row r="160" spans="1:50" x14ac:dyDescent="0.25">
      <c r="A160" t="s">
        <v>44</v>
      </c>
      <c r="B160">
        <v>367</v>
      </c>
      <c r="D160">
        <v>2016</v>
      </c>
      <c r="G160" t="s">
        <v>1667</v>
      </c>
      <c r="J160" t="s">
        <v>1668</v>
      </c>
      <c r="K160" t="s">
        <v>1660</v>
      </c>
      <c r="M160" t="s">
        <v>1645</v>
      </c>
      <c r="W160" t="s">
        <v>780</v>
      </c>
      <c r="X160" t="s">
        <v>793</v>
      </c>
      <c r="Z160" s="31"/>
      <c r="AA160">
        <v>1600</v>
      </c>
      <c r="AB160">
        <v>210169</v>
      </c>
      <c r="AC160">
        <v>15</v>
      </c>
      <c r="AD160" t="s">
        <v>44</v>
      </c>
      <c r="AE160" s="31">
        <v>45777</v>
      </c>
      <c r="AF160" s="61">
        <v>0.64599537037037036</v>
      </c>
      <c r="AH160" t="s">
        <v>795</v>
      </c>
      <c r="AI160" s="31">
        <v>45792</v>
      </c>
      <c r="AJ160" s="61">
        <v>0.64718750000000003</v>
      </c>
      <c r="AK160" t="s">
        <v>5338</v>
      </c>
      <c r="AL160" t="s">
        <v>1647</v>
      </c>
      <c r="AN160" t="s">
        <v>1589</v>
      </c>
      <c r="AP160" t="s">
        <v>1589</v>
      </c>
      <c r="AR160" s="31"/>
      <c r="AX160">
        <v>1</v>
      </c>
    </row>
    <row r="161" spans="1:50" x14ac:dyDescent="0.25">
      <c r="A161" t="s">
        <v>22</v>
      </c>
      <c r="B161">
        <v>368</v>
      </c>
      <c r="D161">
        <v>2017</v>
      </c>
      <c r="G161" t="s">
        <v>1669</v>
      </c>
      <c r="H161">
        <v>18677964000134</v>
      </c>
      <c r="J161" t="s">
        <v>640</v>
      </c>
      <c r="K161" t="s">
        <v>1670</v>
      </c>
      <c r="M161" t="s">
        <v>1671</v>
      </c>
      <c r="W161" t="s">
        <v>780</v>
      </c>
      <c r="X161" t="s">
        <v>816</v>
      </c>
      <c r="Z161" s="31"/>
      <c r="AA161">
        <v>14000</v>
      </c>
      <c r="AB161">
        <v>886</v>
      </c>
      <c r="AC161">
        <v>0</v>
      </c>
      <c r="AD161" t="s">
        <v>22</v>
      </c>
      <c r="AE161" s="31">
        <v>45779</v>
      </c>
      <c r="AF161" s="61">
        <v>0.58202546296296298</v>
      </c>
      <c r="AH161" t="s">
        <v>818</v>
      </c>
      <c r="AI161" s="31">
        <v>45779</v>
      </c>
      <c r="AJ161" s="61">
        <v>0.58649305555555553</v>
      </c>
      <c r="AN161" t="s">
        <v>1672</v>
      </c>
      <c r="AO161" t="s">
        <v>22</v>
      </c>
      <c r="AP161" t="s">
        <v>1672</v>
      </c>
      <c r="AR161" s="31"/>
      <c r="AX161">
        <v>1</v>
      </c>
    </row>
    <row r="162" spans="1:50" x14ac:dyDescent="0.25">
      <c r="A162" t="s">
        <v>22</v>
      </c>
      <c r="B162">
        <v>369</v>
      </c>
      <c r="D162">
        <v>2018</v>
      </c>
      <c r="G162" t="s">
        <v>1673</v>
      </c>
      <c r="H162">
        <v>10906096000105</v>
      </c>
      <c r="J162" t="s">
        <v>641</v>
      </c>
      <c r="K162" t="s">
        <v>1674</v>
      </c>
      <c r="M162" t="s">
        <v>1675</v>
      </c>
      <c r="W162" t="s">
        <v>780</v>
      </c>
      <c r="X162" t="s">
        <v>781</v>
      </c>
      <c r="Z162" s="31"/>
      <c r="AA162">
        <v>13600</v>
      </c>
      <c r="AB162">
        <v>886</v>
      </c>
      <c r="AC162">
        <v>0</v>
      </c>
      <c r="AD162" t="s">
        <v>22</v>
      </c>
      <c r="AE162" s="31">
        <v>45779</v>
      </c>
      <c r="AF162" s="61">
        <v>0.58754629629629629</v>
      </c>
      <c r="AH162" t="s">
        <v>818</v>
      </c>
      <c r="AI162" s="31">
        <v>45779</v>
      </c>
      <c r="AJ162" s="61">
        <v>0.58922453703703703</v>
      </c>
      <c r="AN162" t="s">
        <v>1672</v>
      </c>
      <c r="AO162" t="s">
        <v>22</v>
      </c>
      <c r="AP162" t="s">
        <v>1672</v>
      </c>
      <c r="AR162" s="31"/>
      <c r="AX162">
        <v>1</v>
      </c>
    </row>
    <row r="163" spans="1:50" x14ac:dyDescent="0.25">
      <c r="A163" t="s">
        <v>22</v>
      </c>
      <c r="B163">
        <v>370</v>
      </c>
      <c r="D163">
        <v>2020</v>
      </c>
      <c r="G163" t="s">
        <v>1676</v>
      </c>
      <c r="J163" t="s">
        <v>5470</v>
      </c>
      <c r="K163" t="s">
        <v>1678</v>
      </c>
      <c r="M163" t="s">
        <v>1111</v>
      </c>
      <c r="V163" t="s">
        <v>1419</v>
      </c>
      <c r="W163" t="s">
        <v>780</v>
      </c>
      <c r="X163" t="s">
        <v>807</v>
      </c>
      <c r="Z163" s="31"/>
      <c r="AA163">
        <v>51250</v>
      </c>
      <c r="AB163">
        <v>33381</v>
      </c>
      <c r="AC163">
        <v>114</v>
      </c>
      <c r="AD163" t="s">
        <v>22</v>
      </c>
      <c r="AE163" s="31">
        <v>45780</v>
      </c>
      <c r="AF163" s="61">
        <v>0.46067129629629627</v>
      </c>
      <c r="AH163" t="s">
        <v>795</v>
      </c>
      <c r="AI163" s="31">
        <v>45894</v>
      </c>
      <c r="AJ163" s="61">
        <v>0.60730324074074071</v>
      </c>
      <c r="AK163" t="s">
        <v>5338</v>
      </c>
      <c r="AO163" t="s">
        <v>22</v>
      </c>
      <c r="AP163" t="s">
        <v>1679</v>
      </c>
      <c r="AR163" s="31"/>
      <c r="AX163">
        <v>1</v>
      </c>
    </row>
    <row r="164" spans="1:50" x14ac:dyDescent="0.25">
      <c r="A164" t="s">
        <v>44</v>
      </c>
      <c r="B164">
        <v>375</v>
      </c>
      <c r="D164">
        <v>2024</v>
      </c>
      <c r="G164" t="s">
        <v>1680</v>
      </c>
      <c r="J164" t="s">
        <v>1681</v>
      </c>
      <c r="K164" t="s">
        <v>1682</v>
      </c>
      <c r="M164" t="s">
        <v>1683</v>
      </c>
      <c r="W164" t="s">
        <v>780</v>
      </c>
      <c r="X164" t="s">
        <v>793</v>
      </c>
      <c r="Z164" s="31"/>
      <c r="AA164">
        <v>69112</v>
      </c>
      <c r="AB164">
        <v>508112</v>
      </c>
      <c r="AC164">
        <v>7</v>
      </c>
      <c r="AD164" t="s">
        <v>44</v>
      </c>
      <c r="AE164" s="31">
        <v>45785</v>
      </c>
      <c r="AF164" s="61">
        <v>0.67459490740740746</v>
      </c>
      <c r="AH164" t="s">
        <v>795</v>
      </c>
      <c r="AI164" s="31">
        <v>45792</v>
      </c>
      <c r="AJ164" s="61">
        <v>0.6825</v>
      </c>
      <c r="AK164" t="s">
        <v>934</v>
      </c>
      <c r="AN164" t="s">
        <v>1684</v>
      </c>
      <c r="AP164" t="s">
        <v>1684</v>
      </c>
      <c r="AR164" s="31"/>
      <c r="AX164">
        <v>1</v>
      </c>
    </row>
    <row r="165" spans="1:50" x14ac:dyDescent="0.25">
      <c r="A165" t="s">
        <v>44</v>
      </c>
      <c r="B165">
        <v>376</v>
      </c>
      <c r="D165">
        <v>2025</v>
      </c>
      <c r="G165" t="s">
        <v>1685</v>
      </c>
      <c r="J165" t="s">
        <v>1686</v>
      </c>
      <c r="K165" t="s">
        <v>1682</v>
      </c>
      <c r="M165" t="s">
        <v>1683</v>
      </c>
      <c r="W165" t="s">
        <v>780</v>
      </c>
      <c r="X165" t="s">
        <v>793</v>
      </c>
      <c r="Z165" s="31"/>
      <c r="AA165">
        <v>1600</v>
      </c>
      <c r="AB165">
        <v>32107</v>
      </c>
      <c r="AC165">
        <v>7</v>
      </c>
      <c r="AD165" t="s">
        <v>44</v>
      </c>
      <c r="AE165" s="31">
        <v>45785</v>
      </c>
      <c r="AF165" s="61">
        <v>0.68726851851851856</v>
      </c>
      <c r="AH165" t="s">
        <v>795</v>
      </c>
      <c r="AI165" s="31">
        <v>45792</v>
      </c>
      <c r="AJ165" s="61">
        <v>0.68280092592592589</v>
      </c>
      <c r="AK165" t="s">
        <v>934</v>
      </c>
      <c r="AN165" t="s">
        <v>1684</v>
      </c>
      <c r="AP165" t="s">
        <v>1684</v>
      </c>
      <c r="AR165" s="31"/>
      <c r="AX165">
        <v>1</v>
      </c>
    </row>
    <row r="166" spans="1:50" x14ac:dyDescent="0.25">
      <c r="A166" t="s">
        <v>22</v>
      </c>
      <c r="B166">
        <v>379</v>
      </c>
      <c r="D166">
        <v>2199</v>
      </c>
      <c r="G166" t="s">
        <v>1687</v>
      </c>
      <c r="J166" t="s">
        <v>1688</v>
      </c>
      <c r="K166" t="s">
        <v>1689</v>
      </c>
      <c r="S166" t="s">
        <v>933</v>
      </c>
      <c r="V166" t="s">
        <v>1419</v>
      </c>
      <c r="W166" t="s">
        <v>780</v>
      </c>
      <c r="X166" t="s">
        <v>807</v>
      </c>
      <c r="Z166" s="31"/>
      <c r="AA166">
        <v>68400</v>
      </c>
      <c r="AB166">
        <v>17345</v>
      </c>
      <c r="AC166">
        <v>108</v>
      </c>
      <c r="AD166" t="s">
        <v>22</v>
      </c>
      <c r="AE166" s="31">
        <v>45786</v>
      </c>
      <c r="AF166" s="61">
        <v>0.66736111111111107</v>
      </c>
      <c r="AH166" t="s">
        <v>795</v>
      </c>
      <c r="AI166" s="31">
        <v>45894</v>
      </c>
      <c r="AJ166" s="61">
        <v>0.6030092592592593</v>
      </c>
      <c r="AK166" t="s">
        <v>5353</v>
      </c>
      <c r="AR166" s="31"/>
      <c r="AX166">
        <v>1</v>
      </c>
    </row>
    <row r="167" spans="1:50" x14ac:dyDescent="0.25">
      <c r="A167" t="s">
        <v>44</v>
      </c>
      <c r="B167">
        <v>382</v>
      </c>
      <c r="D167">
        <v>2031</v>
      </c>
      <c r="G167" t="s">
        <v>5471</v>
      </c>
      <c r="H167">
        <v>27173648000116</v>
      </c>
      <c r="J167" t="s">
        <v>1691</v>
      </c>
      <c r="K167" t="s">
        <v>1692</v>
      </c>
      <c r="M167" t="s">
        <v>1693</v>
      </c>
      <c r="Q167" t="s">
        <v>1094</v>
      </c>
      <c r="R167" t="s">
        <v>790</v>
      </c>
      <c r="W167" t="s">
        <v>780</v>
      </c>
      <c r="X167" t="s">
        <v>781</v>
      </c>
      <c r="Z167" s="31"/>
      <c r="AC167">
        <v>50</v>
      </c>
      <c r="AD167" t="s">
        <v>44</v>
      </c>
      <c r="AE167" s="31">
        <v>45789</v>
      </c>
      <c r="AF167" s="61">
        <v>0.64024305555555561</v>
      </c>
      <c r="AH167" t="s">
        <v>795</v>
      </c>
      <c r="AI167" s="31">
        <v>45839</v>
      </c>
      <c r="AJ167" s="61">
        <v>0.40694444444444439</v>
      </c>
      <c r="AK167" t="s">
        <v>5338</v>
      </c>
      <c r="AL167" t="s">
        <v>5472</v>
      </c>
      <c r="AP167" t="s">
        <v>1695</v>
      </c>
      <c r="AR167" s="31"/>
      <c r="AX167">
        <v>1</v>
      </c>
    </row>
    <row r="168" spans="1:50" x14ac:dyDescent="0.25">
      <c r="A168" t="s">
        <v>44</v>
      </c>
      <c r="B168">
        <v>383</v>
      </c>
      <c r="D168">
        <v>2033</v>
      </c>
      <c r="G168" t="s">
        <v>1696</v>
      </c>
      <c r="H168">
        <v>86890639000105</v>
      </c>
      <c r="J168" t="s">
        <v>1697</v>
      </c>
      <c r="Q168" t="s">
        <v>1698</v>
      </c>
      <c r="R168" t="s">
        <v>1699</v>
      </c>
      <c r="W168" t="s">
        <v>780</v>
      </c>
      <c r="X168" t="s">
        <v>781</v>
      </c>
      <c r="Z168" s="31"/>
      <c r="AC168">
        <v>50</v>
      </c>
      <c r="AD168" t="s">
        <v>44</v>
      </c>
      <c r="AE168" s="31">
        <v>45789</v>
      </c>
      <c r="AF168" s="61">
        <v>0.64898148148148149</v>
      </c>
      <c r="AH168" t="s">
        <v>795</v>
      </c>
      <c r="AI168" s="31">
        <v>45839</v>
      </c>
      <c r="AJ168" s="61">
        <v>0.40733796296296299</v>
      </c>
      <c r="AK168" t="s">
        <v>5338</v>
      </c>
      <c r="AL168" t="s">
        <v>5472</v>
      </c>
      <c r="AR168" s="31"/>
      <c r="AX168">
        <v>1</v>
      </c>
    </row>
    <row r="169" spans="1:50" x14ac:dyDescent="0.25">
      <c r="A169" t="s">
        <v>44</v>
      </c>
      <c r="B169">
        <v>384</v>
      </c>
      <c r="D169">
        <v>2036</v>
      </c>
      <c r="G169" t="s">
        <v>1700</v>
      </c>
      <c r="J169" t="s">
        <v>5473</v>
      </c>
      <c r="K169" t="s">
        <v>1702</v>
      </c>
      <c r="M169" t="s">
        <v>1703</v>
      </c>
      <c r="V169" t="s">
        <v>1704</v>
      </c>
      <c r="W169" t="s">
        <v>780</v>
      </c>
      <c r="X169" t="s">
        <v>816</v>
      </c>
      <c r="Z169" s="31"/>
      <c r="AA169">
        <v>3230634</v>
      </c>
      <c r="AB169">
        <v>17706</v>
      </c>
      <c r="AC169">
        <v>35</v>
      </c>
      <c r="AD169" t="s">
        <v>44</v>
      </c>
      <c r="AE169" s="31">
        <v>45790</v>
      </c>
      <c r="AF169" s="61">
        <v>0.7193518518518518</v>
      </c>
      <c r="AH169" t="s">
        <v>818</v>
      </c>
      <c r="AI169" s="31">
        <v>45825</v>
      </c>
      <c r="AJ169" s="61">
        <v>0.68025462962962968</v>
      </c>
      <c r="AN169" t="s">
        <v>1695</v>
      </c>
      <c r="AP169" t="s">
        <v>1705</v>
      </c>
      <c r="AR169" s="31"/>
      <c r="AX169">
        <v>1</v>
      </c>
    </row>
    <row r="170" spans="1:50" x14ac:dyDescent="0.25">
      <c r="A170" t="s">
        <v>44</v>
      </c>
      <c r="B170">
        <v>385</v>
      </c>
      <c r="D170">
        <v>2037</v>
      </c>
      <c r="G170" t="s">
        <v>1706</v>
      </c>
      <c r="J170" t="s">
        <v>1707</v>
      </c>
      <c r="K170" t="s">
        <v>1708</v>
      </c>
      <c r="M170" t="s">
        <v>1703</v>
      </c>
      <c r="V170" t="s">
        <v>1704</v>
      </c>
      <c r="W170" t="s">
        <v>780</v>
      </c>
      <c r="X170" t="s">
        <v>816</v>
      </c>
      <c r="Z170" s="31"/>
      <c r="AA170">
        <v>0</v>
      </c>
      <c r="AB170">
        <v>208313</v>
      </c>
      <c r="AC170">
        <v>35</v>
      </c>
      <c r="AD170" t="s">
        <v>44</v>
      </c>
      <c r="AE170" s="31">
        <v>45790</v>
      </c>
      <c r="AF170" s="61">
        <v>0.72012731481481485</v>
      </c>
      <c r="AH170" t="s">
        <v>818</v>
      </c>
      <c r="AI170" s="31">
        <v>45825</v>
      </c>
      <c r="AJ170" s="61">
        <v>0.68076388888888884</v>
      </c>
      <c r="AN170" t="s">
        <v>1695</v>
      </c>
      <c r="AP170" t="s">
        <v>1705</v>
      </c>
      <c r="AR170" s="31"/>
      <c r="AX170">
        <v>1</v>
      </c>
    </row>
    <row r="171" spans="1:50" x14ac:dyDescent="0.25">
      <c r="A171" t="s">
        <v>44</v>
      </c>
      <c r="B171">
        <v>405</v>
      </c>
      <c r="D171">
        <v>2061</v>
      </c>
      <c r="G171" t="s">
        <v>5474</v>
      </c>
      <c r="J171" t="s">
        <v>5475</v>
      </c>
      <c r="K171" t="s">
        <v>1711</v>
      </c>
      <c r="M171" t="s">
        <v>1712</v>
      </c>
      <c r="V171" t="s">
        <v>1419</v>
      </c>
      <c r="W171" t="s">
        <v>780</v>
      </c>
      <c r="X171" t="s">
        <v>807</v>
      </c>
      <c r="Z171" s="31"/>
      <c r="AC171">
        <v>20</v>
      </c>
      <c r="AD171" t="s">
        <v>44</v>
      </c>
      <c r="AE171" s="31">
        <v>45805</v>
      </c>
      <c r="AF171" s="61">
        <v>0.3974537037037037</v>
      </c>
      <c r="AH171" t="s">
        <v>795</v>
      </c>
      <c r="AI171" s="31">
        <v>45825</v>
      </c>
      <c r="AJ171" s="61">
        <v>0.6817361111111111</v>
      </c>
      <c r="AK171" t="s">
        <v>5419</v>
      </c>
      <c r="AL171" t="s">
        <v>1713</v>
      </c>
      <c r="AN171" t="s">
        <v>1714</v>
      </c>
      <c r="AP171" t="s">
        <v>1714</v>
      </c>
      <c r="AR171" s="31"/>
      <c r="AX171">
        <v>1</v>
      </c>
    </row>
    <row r="172" spans="1:50" x14ac:dyDescent="0.25">
      <c r="A172" t="s">
        <v>44</v>
      </c>
      <c r="B172">
        <v>406</v>
      </c>
      <c r="D172">
        <v>2062</v>
      </c>
      <c r="G172" t="s">
        <v>1715</v>
      </c>
      <c r="H172">
        <v>5215210000110</v>
      </c>
      <c r="J172" t="s">
        <v>1716</v>
      </c>
      <c r="K172" t="s">
        <v>1717</v>
      </c>
      <c r="Q172" t="s">
        <v>1698</v>
      </c>
      <c r="R172" t="s">
        <v>1699</v>
      </c>
      <c r="V172" t="s">
        <v>1718</v>
      </c>
      <c r="W172" t="s">
        <v>780</v>
      </c>
      <c r="X172" t="s">
        <v>857</v>
      </c>
      <c r="Z172" s="31"/>
      <c r="AA172">
        <v>622008</v>
      </c>
      <c r="AB172">
        <v>23661</v>
      </c>
      <c r="AC172">
        <v>26</v>
      </c>
      <c r="AD172" t="s">
        <v>44</v>
      </c>
      <c r="AE172" s="31">
        <v>45805</v>
      </c>
      <c r="AF172" s="61">
        <v>0.41018518518518521</v>
      </c>
      <c r="AH172" t="s">
        <v>795</v>
      </c>
      <c r="AI172" s="31">
        <v>45831</v>
      </c>
      <c r="AJ172" s="61">
        <v>0.36943287037037043</v>
      </c>
      <c r="AK172" t="s">
        <v>5338</v>
      </c>
      <c r="AL172" t="s">
        <v>5476</v>
      </c>
      <c r="AN172" t="s">
        <v>1720</v>
      </c>
      <c r="AP172" t="s">
        <v>1721</v>
      </c>
      <c r="AR172" s="31"/>
      <c r="AX172">
        <v>1</v>
      </c>
    </row>
    <row r="173" spans="1:50" x14ac:dyDescent="0.25">
      <c r="A173" t="s">
        <v>44</v>
      </c>
      <c r="B173">
        <v>407</v>
      </c>
      <c r="D173">
        <v>2065</v>
      </c>
      <c r="G173" t="s">
        <v>1722</v>
      </c>
      <c r="H173">
        <v>5215210000110</v>
      </c>
      <c r="J173" t="s">
        <v>1716</v>
      </c>
      <c r="K173" t="s">
        <v>1717</v>
      </c>
      <c r="Q173" t="s">
        <v>1698</v>
      </c>
      <c r="R173" t="s">
        <v>1699</v>
      </c>
      <c r="V173" t="s">
        <v>1718</v>
      </c>
      <c r="W173" t="s">
        <v>780</v>
      </c>
      <c r="X173" t="s">
        <v>857</v>
      </c>
      <c r="Z173" s="31"/>
      <c r="AA173">
        <v>1600</v>
      </c>
      <c r="AB173">
        <v>26507</v>
      </c>
      <c r="AC173">
        <v>26</v>
      </c>
      <c r="AD173" t="s">
        <v>44</v>
      </c>
      <c r="AE173" s="31">
        <v>45805</v>
      </c>
      <c r="AF173" s="61">
        <v>0.41281250000000003</v>
      </c>
      <c r="AH173" t="s">
        <v>795</v>
      </c>
      <c r="AI173" s="31">
        <v>45831</v>
      </c>
      <c r="AJ173" s="61">
        <v>0.37035879629629631</v>
      </c>
      <c r="AK173" t="s">
        <v>5338</v>
      </c>
      <c r="AL173" t="s">
        <v>1723</v>
      </c>
      <c r="AN173" t="s">
        <v>1720</v>
      </c>
      <c r="AP173" t="s">
        <v>1721</v>
      </c>
      <c r="AR173" s="31"/>
      <c r="AX173">
        <v>1</v>
      </c>
    </row>
    <row r="174" spans="1:50" x14ac:dyDescent="0.25">
      <c r="A174" t="s">
        <v>44</v>
      </c>
      <c r="B174">
        <v>408</v>
      </c>
      <c r="D174">
        <v>2068</v>
      </c>
      <c r="G174" t="s">
        <v>1724</v>
      </c>
      <c r="J174" t="s">
        <v>1725</v>
      </c>
      <c r="K174" t="s">
        <v>1458</v>
      </c>
      <c r="M174" t="s">
        <v>1459</v>
      </c>
      <c r="W174" t="s">
        <v>780</v>
      </c>
      <c r="X174" t="s">
        <v>816</v>
      </c>
      <c r="Y174" t="s">
        <v>995</v>
      </c>
      <c r="Z174" s="31"/>
      <c r="AA174">
        <v>123066</v>
      </c>
      <c r="AB174">
        <v>0</v>
      </c>
      <c r="AC174">
        <v>0</v>
      </c>
      <c r="AD174" t="s">
        <v>44</v>
      </c>
      <c r="AE174" s="31">
        <v>45805</v>
      </c>
      <c r="AF174" s="61">
        <v>0.42335648148148147</v>
      </c>
      <c r="AH174" t="s">
        <v>818</v>
      </c>
      <c r="AI174" s="31">
        <v>45805</v>
      </c>
      <c r="AJ174" s="61">
        <v>0.43202546296296301</v>
      </c>
      <c r="AN174" t="s">
        <v>1726</v>
      </c>
      <c r="AR174" s="31"/>
      <c r="AX174">
        <v>1</v>
      </c>
    </row>
    <row r="175" spans="1:50" x14ac:dyDescent="0.25">
      <c r="A175" t="s">
        <v>44</v>
      </c>
      <c r="B175">
        <v>409</v>
      </c>
      <c r="D175">
        <v>2069</v>
      </c>
      <c r="G175" t="s">
        <v>1727</v>
      </c>
      <c r="H175">
        <v>56262451000151</v>
      </c>
      <c r="J175" t="s">
        <v>1728</v>
      </c>
      <c r="K175" t="s">
        <v>1594</v>
      </c>
      <c r="M175" t="s">
        <v>1595</v>
      </c>
      <c r="Q175" t="s">
        <v>1596</v>
      </c>
      <c r="R175" t="s">
        <v>790</v>
      </c>
      <c r="W175" t="s">
        <v>780</v>
      </c>
      <c r="X175" t="s">
        <v>807</v>
      </c>
      <c r="Z175" s="31"/>
      <c r="AA175">
        <v>52258</v>
      </c>
      <c r="AB175">
        <v>606364</v>
      </c>
      <c r="AC175">
        <v>6</v>
      </c>
      <c r="AD175" t="s">
        <v>44</v>
      </c>
      <c r="AE175" s="31">
        <v>45805</v>
      </c>
      <c r="AF175" s="61">
        <v>0.43896990740740738</v>
      </c>
      <c r="AH175" t="s">
        <v>795</v>
      </c>
      <c r="AI175" s="31">
        <v>45811</v>
      </c>
      <c r="AJ175" s="61">
        <v>0.41700231481481481</v>
      </c>
      <c r="AK175" t="s">
        <v>5347</v>
      </c>
      <c r="AL175" t="s">
        <v>5477</v>
      </c>
      <c r="AN175" t="s">
        <v>1730</v>
      </c>
      <c r="AR175" s="31"/>
      <c r="AX175">
        <v>1</v>
      </c>
    </row>
    <row r="176" spans="1:50" x14ac:dyDescent="0.25">
      <c r="A176" t="s">
        <v>44</v>
      </c>
      <c r="B176">
        <v>410</v>
      </c>
      <c r="D176">
        <v>2071</v>
      </c>
      <c r="G176" t="s">
        <v>1731</v>
      </c>
      <c r="H176">
        <v>56262451000151</v>
      </c>
      <c r="J176" t="s">
        <v>1732</v>
      </c>
      <c r="K176" t="s">
        <v>1594</v>
      </c>
      <c r="M176" t="s">
        <v>1595</v>
      </c>
      <c r="Q176" t="s">
        <v>1596</v>
      </c>
      <c r="R176" t="s">
        <v>790</v>
      </c>
      <c r="W176" t="s">
        <v>780</v>
      </c>
      <c r="X176" t="s">
        <v>807</v>
      </c>
      <c r="Z176" s="31"/>
      <c r="AA176">
        <v>42400</v>
      </c>
      <c r="AB176">
        <v>5560</v>
      </c>
      <c r="AC176">
        <v>6</v>
      </c>
      <c r="AD176" t="s">
        <v>44</v>
      </c>
      <c r="AE176" s="31">
        <v>45805</v>
      </c>
      <c r="AF176" s="61">
        <v>0.44361111111111112</v>
      </c>
      <c r="AH176" t="s">
        <v>795</v>
      </c>
      <c r="AI176" s="31">
        <v>45811</v>
      </c>
      <c r="AJ176" s="61">
        <v>0.41766203703703703</v>
      </c>
      <c r="AK176" t="s">
        <v>5347</v>
      </c>
      <c r="AL176" t="s">
        <v>5478</v>
      </c>
      <c r="AN176" t="s">
        <v>1730</v>
      </c>
      <c r="AR176" s="31"/>
      <c r="AX176">
        <v>1</v>
      </c>
    </row>
    <row r="177" spans="1:50" x14ac:dyDescent="0.25">
      <c r="A177" t="s">
        <v>44</v>
      </c>
      <c r="B177">
        <v>412</v>
      </c>
      <c r="D177">
        <v>2075</v>
      </c>
      <c r="G177" t="s">
        <v>1734</v>
      </c>
      <c r="J177" t="s">
        <v>1735</v>
      </c>
      <c r="K177" t="s">
        <v>1736</v>
      </c>
      <c r="M177" t="s">
        <v>1737</v>
      </c>
      <c r="V177" t="s">
        <v>1419</v>
      </c>
      <c r="W177" t="s">
        <v>780</v>
      </c>
      <c r="X177" t="s">
        <v>807</v>
      </c>
      <c r="Z177" s="31"/>
      <c r="AA177">
        <v>26200</v>
      </c>
      <c r="AB177">
        <v>3400</v>
      </c>
      <c r="AC177">
        <v>92</v>
      </c>
      <c r="AD177" t="s">
        <v>44</v>
      </c>
      <c r="AE177" s="31">
        <v>45805</v>
      </c>
      <c r="AF177" s="61">
        <v>0.45153935185185179</v>
      </c>
      <c r="AH177" t="s">
        <v>795</v>
      </c>
      <c r="AI177" s="31">
        <v>45897</v>
      </c>
      <c r="AJ177" s="61">
        <v>0.64814814814814814</v>
      </c>
      <c r="AK177" t="s">
        <v>934</v>
      </c>
      <c r="AN177" t="s">
        <v>1721</v>
      </c>
      <c r="AP177" t="s">
        <v>1721</v>
      </c>
      <c r="AR177" s="31"/>
      <c r="AX177">
        <v>1</v>
      </c>
    </row>
    <row r="178" spans="1:50" x14ac:dyDescent="0.25">
      <c r="A178" t="s">
        <v>44</v>
      </c>
      <c r="B178">
        <v>413</v>
      </c>
      <c r="D178">
        <v>2076</v>
      </c>
      <c r="G178" t="s">
        <v>1738</v>
      </c>
      <c r="J178" t="s">
        <v>1739</v>
      </c>
      <c r="K178" t="s">
        <v>1740</v>
      </c>
      <c r="M178" t="s">
        <v>1741</v>
      </c>
      <c r="W178" t="s">
        <v>780</v>
      </c>
      <c r="X178" t="s">
        <v>857</v>
      </c>
      <c r="Z178" s="31"/>
      <c r="AC178">
        <v>12</v>
      </c>
      <c r="AD178" t="s">
        <v>44</v>
      </c>
      <c r="AE178" s="31">
        <v>45805</v>
      </c>
      <c r="AF178" s="61">
        <v>0.46685185185185191</v>
      </c>
      <c r="AH178" t="s">
        <v>795</v>
      </c>
      <c r="AI178" s="31">
        <v>45817</v>
      </c>
      <c r="AJ178" s="61">
        <v>0.66245370370370371</v>
      </c>
      <c r="AK178" t="s">
        <v>5338</v>
      </c>
      <c r="AL178" t="s">
        <v>5479</v>
      </c>
      <c r="AP178" t="s">
        <v>1743</v>
      </c>
      <c r="AR178" s="31"/>
      <c r="AX178">
        <v>1</v>
      </c>
    </row>
    <row r="179" spans="1:50" x14ac:dyDescent="0.25">
      <c r="A179" t="s">
        <v>44</v>
      </c>
      <c r="B179">
        <v>415</v>
      </c>
      <c r="D179">
        <v>2127</v>
      </c>
      <c r="G179" t="s">
        <v>1744</v>
      </c>
      <c r="J179" t="s">
        <v>1745</v>
      </c>
      <c r="K179" t="s">
        <v>1746</v>
      </c>
      <c r="M179" t="s">
        <v>1747</v>
      </c>
      <c r="W179" t="s">
        <v>780</v>
      </c>
      <c r="X179" t="s">
        <v>857</v>
      </c>
      <c r="Z179" s="31"/>
      <c r="AA179">
        <v>622008</v>
      </c>
      <c r="AB179">
        <v>28481</v>
      </c>
      <c r="AC179">
        <v>12</v>
      </c>
      <c r="AD179" t="s">
        <v>44</v>
      </c>
      <c r="AE179" s="31">
        <v>45807</v>
      </c>
      <c r="AF179" s="61">
        <v>0.38197916666666659</v>
      </c>
      <c r="AH179" t="s">
        <v>795</v>
      </c>
      <c r="AI179" s="31">
        <v>45819</v>
      </c>
      <c r="AJ179" s="61">
        <v>0.6005787037037037</v>
      </c>
      <c r="AK179" t="s">
        <v>934</v>
      </c>
      <c r="AL179" t="s">
        <v>5480</v>
      </c>
      <c r="AN179" t="s">
        <v>1714</v>
      </c>
      <c r="AP179" t="s">
        <v>1720</v>
      </c>
      <c r="AR179" s="31"/>
      <c r="AX179">
        <v>1</v>
      </c>
    </row>
    <row r="180" spans="1:50" x14ac:dyDescent="0.25">
      <c r="A180" t="s">
        <v>44</v>
      </c>
      <c r="B180">
        <v>416</v>
      </c>
      <c r="D180">
        <v>2132</v>
      </c>
      <c r="G180" t="s">
        <v>1749</v>
      </c>
      <c r="J180" t="s">
        <v>1750</v>
      </c>
      <c r="K180" t="s">
        <v>1746</v>
      </c>
      <c r="M180" t="s">
        <v>1747</v>
      </c>
      <c r="W180" t="s">
        <v>780</v>
      </c>
      <c r="X180" t="s">
        <v>793</v>
      </c>
      <c r="Z180" s="31"/>
      <c r="AA180">
        <v>1600</v>
      </c>
      <c r="AB180">
        <v>28747</v>
      </c>
      <c r="AC180">
        <v>12</v>
      </c>
      <c r="AD180" t="s">
        <v>44</v>
      </c>
      <c r="AE180" s="31">
        <v>45807</v>
      </c>
      <c r="AF180" s="61">
        <v>0.4244560185185185</v>
      </c>
      <c r="AH180" t="s">
        <v>795</v>
      </c>
      <c r="AI180" s="31">
        <v>45819</v>
      </c>
      <c r="AJ180" s="61">
        <v>0.60103009259259255</v>
      </c>
      <c r="AK180" t="s">
        <v>934</v>
      </c>
      <c r="AL180" t="s">
        <v>5481</v>
      </c>
      <c r="AN180" t="s">
        <v>1714</v>
      </c>
      <c r="AP180" t="s">
        <v>1720</v>
      </c>
      <c r="AR180" s="31"/>
      <c r="AX180">
        <v>1</v>
      </c>
    </row>
    <row r="181" spans="1:50" x14ac:dyDescent="0.25">
      <c r="A181" t="s">
        <v>44</v>
      </c>
      <c r="B181">
        <v>417</v>
      </c>
      <c r="D181">
        <v>2133</v>
      </c>
      <c r="G181" t="s">
        <v>5482</v>
      </c>
      <c r="J181" t="s">
        <v>5483</v>
      </c>
      <c r="K181" t="s">
        <v>1754</v>
      </c>
      <c r="M181" t="s">
        <v>1755</v>
      </c>
      <c r="V181" t="s">
        <v>1718</v>
      </c>
      <c r="W181" t="s">
        <v>780</v>
      </c>
      <c r="X181" t="s">
        <v>793</v>
      </c>
      <c r="Z181" s="31"/>
      <c r="AA181">
        <v>16960</v>
      </c>
      <c r="AB181">
        <v>40572</v>
      </c>
      <c r="AC181">
        <v>52</v>
      </c>
      <c r="AD181" t="s">
        <v>44</v>
      </c>
      <c r="AE181" s="31">
        <v>45807</v>
      </c>
      <c r="AF181" s="61">
        <v>0.43975694444444452</v>
      </c>
      <c r="AH181" t="s">
        <v>795</v>
      </c>
      <c r="AI181" s="31">
        <v>45859</v>
      </c>
      <c r="AJ181" s="61">
        <v>0.38516203703703711</v>
      </c>
      <c r="AK181" t="s">
        <v>5338</v>
      </c>
      <c r="AL181" t="s">
        <v>5484</v>
      </c>
      <c r="AN181" t="s">
        <v>1714</v>
      </c>
      <c r="AP181" t="s">
        <v>1720</v>
      </c>
      <c r="AR181" s="31"/>
      <c r="AX181">
        <v>1</v>
      </c>
    </row>
    <row r="182" spans="1:50" x14ac:dyDescent="0.25">
      <c r="A182" t="s">
        <v>44</v>
      </c>
      <c r="B182">
        <v>419</v>
      </c>
      <c r="D182">
        <v>2144</v>
      </c>
      <c r="G182" t="s">
        <v>1757</v>
      </c>
      <c r="J182" t="s">
        <v>1758</v>
      </c>
      <c r="K182" t="s">
        <v>1759</v>
      </c>
      <c r="M182" t="s">
        <v>1760</v>
      </c>
      <c r="V182" t="s">
        <v>1704</v>
      </c>
      <c r="W182" t="s">
        <v>780</v>
      </c>
      <c r="X182" t="s">
        <v>816</v>
      </c>
      <c r="Z182" s="31"/>
      <c r="AA182">
        <v>1600</v>
      </c>
      <c r="AB182">
        <v>1833334</v>
      </c>
      <c r="AC182">
        <v>52</v>
      </c>
      <c r="AD182" t="s">
        <v>44</v>
      </c>
      <c r="AE182" s="31">
        <v>45807</v>
      </c>
      <c r="AF182" s="61">
        <v>0.58697916666666672</v>
      </c>
      <c r="AH182" t="s">
        <v>795</v>
      </c>
      <c r="AI182" s="31">
        <v>45859</v>
      </c>
      <c r="AJ182" s="61">
        <v>0.40807870370370369</v>
      </c>
      <c r="AK182" t="s">
        <v>5338</v>
      </c>
      <c r="AL182" t="s">
        <v>5409</v>
      </c>
      <c r="AN182" t="s">
        <v>1721</v>
      </c>
      <c r="AR182" s="31"/>
      <c r="AX182">
        <v>1</v>
      </c>
    </row>
    <row r="183" spans="1:50" x14ac:dyDescent="0.25">
      <c r="A183" t="s">
        <v>44</v>
      </c>
      <c r="B183">
        <v>422</v>
      </c>
      <c r="D183">
        <v>2141</v>
      </c>
      <c r="G183" t="s">
        <v>1761</v>
      </c>
      <c r="H183">
        <v>27898532000144</v>
      </c>
      <c r="J183" t="s">
        <v>1762</v>
      </c>
      <c r="K183" t="s">
        <v>1763</v>
      </c>
      <c r="M183" t="s">
        <v>1764</v>
      </c>
      <c r="Q183" t="s">
        <v>1765</v>
      </c>
      <c r="R183" t="s">
        <v>790</v>
      </c>
      <c r="S183" t="s">
        <v>1766</v>
      </c>
      <c r="W183" t="s">
        <v>780</v>
      </c>
      <c r="X183" t="s">
        <v>857</v>
      </c>
      <c r="Z183" s="31"/>
      <c r="AA183">
        <v>69592</v>
      </c>
      <c r="AB183">
        <v>23661</v>
      </c>
      <c r="AC183">
        <v>42</v>
      </c>
      <c r="AD183" t="s">
        <v>594</v>
      </c>
      <c r="AE183" s="31">
        <v>45810</v>
      </c>
      <c r="AF183" s="61">
        <v>0.45253472222222219</v>
      </c>
      <c r="AH183" t="s">
        <v>795</v>
      </c>
      <c r="AI183" s="31">
        <v>45852</v>
      </c>
      <c r="AJ183" s="61">
        <v>0.43975694444444452</v>
      </c>
      <c r="AK183" t="s">
        <v>5338</v>
      </c>
      <c r="AL183" t="s">
        <v>5485</v>
      </c>
      <c r="AM183" t="s">
        <v>1768</v>
      </c>
      <c r="AN183" t="s">
        <v>1769</v>
      </c>
      <c r="AO183" t="s">
        <v>594</v>
      </c>
      <c r="AP183" t="s">
        <v>1770</v>
      </c>
      <c r="AQ183" t="s">
        <v>1771</v>
      </c>
      <c r="AR183" s="31"/>
      <c r="AX183">
        <v>1</v>
      </c>
    </row>
    <row r="184" spans="1:50" x14ac:dyDescent="0.25">
      <c r="A184" t="s">
        <v>31</v>
      </c>
      <c r="B184">
        <v>423</v>
      </c>
      <c r="D184">
        <v>2179</v>
      </c>
      <c r="G184" t="s">
        <v>1772</v>
      </c>
      <c r="H184">
        <v>62182753000112</v>
      </c>
      <c r="J184" t="s">
        <v>1133</v>
      </c>
      <c r="K184" t="s">
        <v>1587</v>
      </c>
      <c r="M184" t="s">
        <v>1588</v>
      </c>
      <c r="S184" t="s">
        <v>933</v>
      </c>
      <c r="V184" t="s">
        <v>1581</v>
      </c>
      <c r="W184" t="s">
        <v>780</v>
      </c>
      <c r="X184" t="s">
        <v>807</v>
      </c>
      <c r="Z184" s="31"/>
      <c r="AA184">
        <v>14280</v>
      </c>
      <c r="AB184">
        <v>127673</v>
      </c>
      <c r="AC184">
        <v>168</v>
      </c>
      <c r="AD184" t="s">
        <v>31</v>
      </c>
      <c r="AE184" s="31">
        <v>45811</v>
      </c>
      <c r="AF184" s="61">
        <v>0.48096064814814821</v>
      </c>
      <c r="AH184" t="s">
        <v>795</v>
      </c>
      <c r="AI184" s="31">
        <v>45979</v>
      </c>
      <c r="AJ184" s="61">
        <v>0.39922453703703698</v>
      </c>
      <c r="AK184" t="s">
        <v>5338</v>
      </c>
      <c r="AN184" t="s">
        <v>1773</v>
      </c>
      <c r="AO184" t="s">
        <v>31</v>
      </c>
      <c r="AP184" t="s">
        <v>1773</v>
      </c>
      <c r="AR184" s="31"/>
      <c r="AX184">
        <v>1</v>
      </c>
    </row>
    <row r="185" spans="1:50" x14ac:dyDescent="0.25">
      <c r="A185" t="s">
        <v>44</v>
      </c>
      <c r="B185">
        <v>425</v>
      </c>
      <c r="D185">
        <v>2181</v>
      </c>
      <c r="G185" t="s">
        <v>1774</v>
      </c>
      <c r="H185">
        <v>3971592000187</v>
      </c>
      <c r="J185" t="s">
        <v>1775</v>
      </c>
      <c r="K185" t="s">
        <v>1776</v>
      </c>
      <c r="Q185" t="s">
        <v>1777</v>
      </c>
      <c r="R185" t="s">
        <v>1027</v>
      </c>
      <c r="V185" t="s">
        <v>1718</v>
      </c>
      <c r="W185" t="s">
        <v>780</v>
      </c>
      <c r="X185" t="s">
        <v>857</v>
      </c>
      <c r="Z185" s="31"/>
      <c r="AC185">
        <v>26</v>
      </c>
      <c r="AD185" t="s">
        <v>44</v>
      </c>
      <c r="AE185" s="31">
        <v>45813</v>
      </c>
      <c r="AF185" s="61">
        <v>0.45299768518518518</v>
      </c>
      <c r="AH185" t="s">
        <v>795</v>
      </c>
      <c r="AI185" s="31">
        <v>45839</v>
      </c>
      <c r="AJ185" s="61">
        <v>0.41417824074074072</v>
      </c>
      <c r="AK185" t="s">
        <v>5338</v>
      </c>
      <c r="AL185" t="s">
        <v>5472</v>
      </c>
      <c r="AR185" s="31"/>
      <c r="AX185">
        <v>1</v>
      </c>
    </row>
    <row r="186" spans="1:50" x14ac:dyDescent="0.25">
      <c r="A186" t="s">
        <v>44</v>
      </c>
      <c r="B186">
        <v>426</v>
      </c>
      <c r="D186">
        <v>2186</v>
      </c>
      <c r="G186" t="s">
        <v>1778</v>
      </c>
      <c r="H186">
        <v>480542000290</v>
      </c>
      <c r="J186" t="s">
        <v>5486</v>
      </c>
      <c r="K186" t="s">
        <v>1780</v>
      </c>
      <c r="M186" t="s">
        <v>1781</v>
      </c>
      <c r="Q186" t="s">
        <v>1782</v>
      </c>
      <c r="R186" t="s">
        <v>790</v>
      </c>
      <c r="W186" t="s">
        <v>780</v>
      </c>
      <c r="X186" t="s">
        <v>781</v>
      </c>
      <c r="Z186" s="31"/>
      <c r="AC186">
        <v>26</v>
      </c>
      <c r="AD186" t="s">
        <v>44</v>
      </c>
      <c r="AE186" s="31">
        <v>45813</v>
      </c>
      <c r="AF186" s="61">
        <v>0.46081018518518518</v>
      </c>
      <c r="AH186" t="s">
        <v>795</v>
      </c>
      <c r="AI186" s="31">
        <v>45839</v>
      </c>
      <c r="AJ186" s="61">
        <v>0.40780092592592587</v>
      </c>
      <c r="AK186" t="s">
        <v>5338</v>
      </c>
      <c r="AL186" t="s">
        <v>5472</v>
      </c>
      <c r="AR186" s="31"/>
      <c r="AX186">
        <v>1</v>
      </c>
    </row>
    <row r="187" spans="1:50" x14ac:dyDescent="0.25">
      <c r="A187" t="s">
        <v>44</v>
      </c>
      <c r="B187">
        <v>428</v>
      </c>
      <c r="D187">
        <v>2189</v>
      </c>
      <c r="G187" t="s">
        <v>1783</v>
      </c>
      <c r="H187">
        <v>10509268000107</v>
      </c>
      <c r="J187" t="s">
        <v>5487</v>
      </c>
      <c r="K187" t="s">
        <v>1785</v>
      </c>
      <c r="M187" t="s">
        <v>1786</v>
      </c>
      <c r="Q187" t="s">
        <v>1787</v>
      </c>
      <c r="R187" t="s">
        <v>790</v>
      </c>
      <c r="V187" t="s">
        <v>1718</v>
      </c>
      <c r="W187" t="s">
        <v>780</v>
      </c>
      <c r="X187" t="s">
        <v>857</v>
      </c>
      <c r="Z187" s="31"/>
      <c r="AA187">
        <v>73430</v>
      </c>
      <c r="AB187">
        <v>37382</v>
      </c>
      <c r="AC187">
        <v>24</v>
      </c>
      <c r="AD187" t="s">
        <v>44</v>
      </c>
      <c r="AE187" s="31">
        <v>45814</v>
      </c>
      <c r="AF187" s="61">
        <v>0.42849537037037039</v>
      </c>
      <c r="AH187" t="s">
        <v>795</v>
      </c>
      <c r="AI187" s="31">
        <v>45838</v>
      </c>
      <c r="AJ187" s="61">
        <v>0.62945601851851851</v>
      </c>
      <c r="AK187" t="s">
        <v>5338</v>
      </c>
      <c r="AL187" t="s">
        <v>5488</v>
      </c>
      <c r="AN187" t="s">
        <v>1789</v>
      </c>
      <c r="AP187" t="s">
        <v>1790</v>
      </c>
      <c r="AQ187" t="s">
        <v>1769</v>
      </c>
      <c r="AR187" s="31"/>
      <c r="AX187">
        <v>1</v>
      </c>
    </row>
    <row r="188" spans="1:50" x14ac:dyDescent="0.25">
      <c r="A188" t="s">
        <v>44</v>
      </c>
      <c r="B188">
        <v>431</v>
      </c>
      <c r="D188">
        <v>2194</v>
      </c>
      <c r="G188" t="s">
        <v>386</v>
      </c>
      <c r="H188">
        <v>28646036000166</v>
      </c>
      <c r="J188" t="s">
        <v>5489</v>
      </c>
      <c r="K188" t="s">
        <v>1792</v>
      </c>
      <c r="M188" t="s">
        <v>1793</v>
      </c>
      <c r="Q188" t="s">
        <v>1794</v>
      </c>
      <c r="R188" t="s">
        <v>790</v>
      </c>
      <c r="V188" t="s">
        <v>1718</v>
      </c>
      <c r="W188" t="s">
        <v>780</v>
      </c>
      <c r="X188" t="s">
        <v>807</v>
      </c>
      <c r="Z188" s="31"/>
      <c r="AA188">
        <v>16960</v>
      </c>
      <c r="AB188">
        <v>70432</v>
      </c>
      <c r="AC188">
        <v>80</v>
      </c>
      <c r="AD188" t="s">
        <v>44</v>
      </c>
      <c r="AE188" s="31">
        <v>45817</v>
      </c>
      <c r="AF188" s="61">
        <v>0.47589120370370369</v>
      </c>
      <c r="AH188" t="s">
        <v>795</v>
      </c>
      <c r="AI188" s="31">
        <v>45897</v>
      </c>
      <c r="AJ188" s="61">
        <v>0.64936342592592589</v>
      </c>
      <c r="AK188" t="s">
        <v>5338</v>
      </c>
      <c r="AL188" t="s">
        <v>5339</v>
      </c>
      <c r="AN188" t="s">
        <v>4654</v>
      </c>
      <c r="AP188" t="s">
        <v>1771</v>
      </c>
      <c r="AQ188" t="s">
        <v>4654</v>
      </c>
      <c r="AR188" s="31"/>
      <c r="AX188">
        <v>1</v>
      </c>
    </row>
    <row r="189" spans="1:50" x14ac:dyDescent="0.25">
      <c r="A189" t="s">
        <v>44</v>
      </c>
      <c r="B189">
        <v>433</v>
      </c>
      <c r="D189">
        <v>2197</v>
      </c>
      <c r="G189" t="s">
        <v>5490</v>
      </c>
      <c r="J189" t="s">
        <v>5491</v>
      </c>
      <c r="K189" t="s">
        <v>1797</v>
      </c>
      <c r="M189" t="s">
        <v>1111</v>
      </c>
      <c r="W189" t="s">
        <v>780</v>
      </c>
      <c r="X189" t="s">
        <v>857</v>
      </c>
      <c r="Z189" s="31"/>
      <c r="AA189">
        <v>16960</v>
      </c>
      <c r="AB189">
        <v>998</v>
      </c>
      <c r="AC189">
        <v>20</v>
      </c>
      <c r="AD189" t="s">
        <v>44</v>
      </c>
      <c r="AE189" s="31">
        <v>45819</v>
      </c>
      <c r="AF189" s="61">
        <v>0.3787962962962963</v>
      </c>
      <c r="AH189" t="s">
        <v>795</v>
      </c>
      <c r="AI189" s="31">
        <v>45839</v>
      </c>
      <c r="AJ189" s="61">
        <v>0.41629629629629628</v>
      </c>
      <c r="AK189" t="s">
        <v>5338</v>
      </c>
      <c r="AL189" t="s">
        <v>5492</v>
      </c>
      <c r="AN189" t="s">
        <v>1799</v>
      </c>
      <c r="AP189" t="s">
        <v>1799</v>
      </c>
      <c r="AR189" s="31"/>
      <c r="AX189">
        <v>1</v>
      </c>
    </row>
    <row r="190" spans="1:50" x14ac:dyDescent="0.25">
      <c r="A190" t="s">
        <v>22</v>
      </c>
      <c r="B190">
        <v>434</v>
      </c>
      <c r="D190">
        <v>2198</v>
      </c>
      <c r="G190" t="s">
        <v>1800</v>
      </c>
      <c r="J190" t="s">
        <v>1243</v>
      </c>
      <c r="K190" t="s">
        <v>1801</v>
      </c>
      <c r="M190" t="s">
        <v>1802</v>
      </c>
      <c r="S190" t="s">
        <v>933</v>
      </c>
      <c r="V190" t="s">
        <v>1718</v>
      </c>
      <c r="W190" t="s">
        <v>780</v>
      </c>
      <c r="X190" t="s">
        <v>857</v>
      </c>
      <c r="Y190" t="s">
        <v>817</v>
      </c>
      <c r="Z190" s="31"/>
      <c r="AC190">
        <v>90</v>
      </c>
      <c r="AD190" t="s">
        <v>22</v>
      </c>
      <c r="AE190" s="31">
        <v>45820</v>
      </c>
      <c r="AF190" s="61">
        <v>0.6342592592592593</v>
      </c>
      <c r="AH190" t="s">
        <v>795</v>
      </c>
      <c r="AI190" s="31">
        <v>45910</v>
      </c>
      <c r="AJ190" s="61">
        <v>0.67572916666666671</v>
      </c>
      <c r="AK190" t="s">
        <v>5338</v>
      </c>
      <c r="AO190" t="s">
        <v>22</v>
      </c>
      <c r="AR190" s="31"/>
      <c r="AX190">
        <v>1</v>
      </c>
    </row>
    <row r="191" spans="1:50" x14ac:dyDescent="0.25">
      <c r="A191" t="s">
        <v>22</v>
      </c>
      <c r="B191">
        <v>435</v>
      </c>
      <c r="D191">
        <v>2200</v>
      </c>
      <c r="G191" t="s">
        <v>1803</v>
      </c>
      <c r="J191" t="s">
        <v>1804</v>
      </c>
      <c r="K191" t="s">
        <v>1805</v>
      </c>
      <c r="M191" t="s">
        <v>1111</v>
      </c>
      <c r="S191" t="s">
        <v>933</v>
      </c>
      <c r="V191" t="s">
        <v>1419</v>
      </c>
      <c r="W191" t="s">
        <v>780</v>
      </c>
      <c r="X191" t="s">
        <v>816</v>
      </c>
      <c r="Z191" s="31"/>
      <c r="AA191">
        <v>28800</v>
      </c>
      <c r="AB191">
        <v>201012</v>
      </c>
      <c r="AC191">
        <v>56</v>
      </c>
      <c r="AD191" t="s">
        <v>22</v>
      </c>
      <c r="AE191" s="31">
        <v>45820</v>
      </c>
      <c r="AF191" s="61">
        <v>0.68391203703703707</v>
      </c>
      <c r="AH191" t="s">
        <v>818</v>
      </c>
      <c r="AI191" s="31">
        <v>45876</v>
      </c>
      <c r="AJ191" s="61">
        <v>0.50437500000000002</v>
      </c>
      <c r="AO191" t="s">
        <v>22</v>
      </c>
      <c r="AR191" s="31"/>
      <c r="AX191">
        <v>1</v>
      </c>
    </row>
    <row r="192" spans="1:50" x14ac:dyDescent="0.25">
      <c r="A192" t="s">
        <v>44</v>
      </c>
      <c r="B192">
        <v>447</v>
      </c>
      <c r="D192">
        <v>2213</v>
      </c>
      <c r="G192" t="s">
        <v>1810</v>
      </c>
      <c r="J192" t="s">
        <v>5493</v>
      </c>
      <c r="K192" t="s">
        <v>1812</v>
      </c>
      <c r="M192" t="s">
        <v>1813</v>
      </c>
      <c r="W192" t="s">
        <v>780</v>
      </c>
      <c r="X192" t="s">
        <v>816</v>
      </c>
      <c r="Z192" s="31"/>
      <c r="AA192">
        <v>1782</v>
      </c>
      <c r="AB192">
        <v>3564</v>
      </c>
      <c r="AC192">
        <v>2</v>
      </c>
      <c r="AD192" t="s">
        <v>44</v>
      </c>
      <c r="AE192" s="31">
        <v>45824</v>
      </c>
      <c r="AF192" s="61">
        <v>0.6651273148148148</v>
      </c>
      <c r="AH192" t="s">
        <v>818</v>
      </c>
      <c r="AI192" s="31">
        <v>45826</v>
      </c>
      <c r="AJ192" s="61">
        <v>0.61760416666666662</v>
      </c>
      <c r="AN192" t="s">
        <v>1771</v>
      </c>
      <c r="AP192" t="s">
        <v>1771</v>
      </c>
      <c r="AR192" s="31"/>
      <c r="AX192">
        <v>1</v>
      </c>
    </row>
    <row r="193" spans="1:50" x14ac:dyDescent="0.25">
      <c r="A193" t="s">
        <v>44</v>
      </c>
      <c r="B193">
        <v>451</v>
      </c>
      <c r="D193">
        <v>2217</v>
      </c>
      <c r="G193" t="s">
        <v>1814</v>
      </c>
      <c r="H193">
        <v>27898532000144</v>
      </c>
      <c r="J193" t="s">
        <v>1815</v>
      </c>
      <c r="K193" t="s">
        <v>1816</v>
      </c>
      <c r="M193" t="s">
        <v>1764</v>
      </c>
      <c r="Q193" t="s">
        <v>1817</v>
      </c>
      <c r="R193" t="s">
        <v>790</v>
      </c>
      <c r="W193" t="s">
        <v>780</v>
      </c>
      <c r="X193" t="s">
        <v>857</v>
      </c>
      <c r="Z193" s="31"/>
      <c r="AA193">
        <v>1600</v>
      </c>
      <c r="AB193">
        <v>26507</v>
      </c>
      <c r="AC193">
        <v>26</v>
      </c>
      <c r="AD193" t="s">
        <v>44</v>
      </c>
      <c r="AE193" s="31">
        <v>45826</v>
      </c>
      <c r="AF193" s="61">
        <v>0.60541666666666671</v>
      </c>
      <c r="AH193" t="s">
        <v>795</v>
      </c>
      <c r="AI193" s="31">
        <v>45852</v>
      </c>
      <c r="AJ193" s="61">
        <v>0.44032407407407409</v>
      </c>
      <c r="AK193" t="s">
        <v>5338</v>
      </c>
      <c r="AL193" t="s">
        <v>5485</v>
      </c>
      <c r="AN193" t="s">
        <v>1769</v>
      </c>
      <c r="AP193" t="s">
        <v>1771</v>
      </c>
      <c r="AR193" s="31"/>
      <c r="AX193">
        <v>1</v>
      </c>
    </row>
    <row r="194" spans="1:50" x14ac:dyDescent="0.25">
      <c r="A194" t="s">
        <v>44</v>
      </c>
      <c r="B194">
        <v>453</v>
      </c>
      <c r="D194">
        <v>2219</v>
      </c>
      <c r="G194" t="s">
        <v>1818</v>
      </c>
      <c r="J194" t="s">
        <v>1819</v>
      </c>
      <c r="K194" t="s">
        <v>1579</v>
      </c>
      <c r="M194" t="s">
        <v>1580</v>
      </c>
      <c r="V194" t="s">
        <v>1718</v>
      </c>
      <c r="W194" t="s">
        <v>780</v>
      </c>
      <c r="X194" t="s">
        <v>807</v>
      </c>
      <c r="Z194" s="31"/>
      <c r="AA194">
        <v>29680</v>
      </c>
      <c r="AB194">
        <v>0</v>
      </c>
      <c r="AC194">
        <v>7</v>
      </c>
      <c r="AD194" t="s">
        <v>44</v>
      </c>
      <c r="AE194" s="31">
        <v>45831</v>
      </c>
      <c r="AF194" s="61">
        <v>0.38500000000000001</v>
      </c>
      <c r="AH194" t="s">
        <v>795</v>
      </c>
      <c r="AI194" s="31">
        <v>45838</v>
      </c>
      <c r="AJ194" s="61">
        <v>0.63365740740740739</v>
      </c>
      <c r="AK194" t="s">
        <v>934</v>
      </c>
      <c r="AL194" t="s">
        <v>5494</v>
      </c>
      <c r="AN194" t="s">
        <v>1789</v>
      </c>
      <c r="AP194" t="s">
        <v>1789</v>
      </c>
      <c r="AR194" s="31"/>
      <c r="AX194">
        <v>1</v>
      </c>
    </row>
    <row r="195" spans="1:50" x14ac:dyDescent="0.25">
      <c r="A195" t="s">
        <v>44</v>
      </c>
      <c r="B195">
        <v>455</v>
      </c>
      <c r="D195">
        <v>2221</v>
      </c>
      <c r="G195" t="s">
        <v>1821</v>
      </c>
      <c r="H195">
        <v>1537246000160</v>
      </c>
      <c r="J195" t="s">
        <v>1822</v>
      </c>
      <c r="K195" t="s">
        <v>1823</v>
      </c>
      <c r="M195" t="s">
        <v>1824</v>
      </c>
      <c r="Q195" t="s">
        <v>1825</v>
      </c>
      <c r="R195" t="s">
        <v>790</v>
      </c>
      <c r="W195" t="s">
        <v>780</v>
      </c>
      <c r="X195" t="s">
        <v>781</v>
      </c>
      <c r="Z195" s="31"/>
      <c r="AC195">
        <v>7</v>
      </c>
      <c r="AD195" t="s">
        <v>44</v>
      </c>
      <c r="AE195" s="31">
        <v>45832</v>
      </c>
      <c r="AF195" s="61">
        <v>0.46826388888888892</v>
      </c>
      <c r="AH195" t="s">
        <v>795</v>
      </c>
      <c r="AI195" s="31">
        <v>45839</v>
      </c>
      <c r="AJ195" s="61">
        <v>0.40962962962962962</v>
      </c>
      <c r="AK195" t="s">
        <v>5338</v>
      </c>
      <c r="AL195" t="s">
        <v>5472</v>
      </c>
      <c r="AR195" s="31"/>
      <c r="AX195">
        <v>1</v>
      </c>
    </row>
    <row r="196" spans="1:50" x14ac:dyDescent="0.25">
      <c r="A196" t="s">
        <v>44</v>
      </c>
      <c r="B196">
        <v>456</v>
      </c>
      <c r="D196">
        <v>2226</v>
      </c>
      <c r="G196" t="s">
        <v>1826</v>
      </c>
      <c r="H196">
        <v>1684187000152</v>
      </c>
      <c r="J196" t="s">
        <v>5495</v>
      </c>
      <c r="K196" t="s">
        <v>1828</v>
      </c>
      <c r="Q196" t="s">
        <v>1094</v>
      </c>
      <c r="R196" t="s">
        <v>790</v>
      </c>
      <c r="W196" t="s">
        <v>780</v>
      </c>
      <c r="X196" t="s">
        <v>781</v>
      </c>
      <c r="Z196" s="31"/>
      <c r="AC196">
        <v>7</v>
      </c>
      <c r="AD196" t="s">
        <v>44</v>
      </c>
      <c r="AE196" s="31">
        <v>45832</v>
      </c>
      <c r="AF196" s="61">
        <v>0.47282407407407412</v>
      </c>
      <c r="AH196" t="s">
        <v>795</v>
      </c>
      <c r="AI196" s="31">
        <v>45839</v>
      </c>
      <c r="AJ196" s="61">
        <v>0.4099652777777778</v>
      </c>
      <c r="AK196" t="s">
        <v>5338</v>
      </c>
      <c r="AL196" t="s">
        <v>5472</v>
      </c>
      <c r="AR196" s="31"/>
      <c r="AX196">
        <v>1</v>
      </c>
    </row>
    <row r="197" spans="1:50" x14ac:dyDescent="0.25">
      <c r="A197" t="s">
        <v>44</v>
      </c>
      <c r="B197">
        <v>457</v>
      </c>
      <c r="D197">
        <v>2230</v>
      </c>
      <c r="G197" t="s">
        <v>1829</v>
      </c>
      <c r="H197">
        <v>28895260000191</v>
      </c>
      <c r="J197" t="s">
        <v>5496</v>
      </c>
      <c r="K197" t="s">
        <v>1831</v>
      </c>
      <c r="M197" t="s">
        <v>1832</v>
      </c>
      <c r="Q197" t="s">
        <v>1833</v>
      </c>
      <c r="R197" t="s">
        <v>790</v>
      </c>
      <c r="W197" t="s">
        <v>780</v>
      </c>
      <c r="X197" t="s">
        <v>781</v>
      </c>
      <c r="Z197" s="31"/>
      <c r="AC197">
        <v>7</v>
      </c>
      <c r="AD197" t="s">
        <v>44</v>
      </c>
      <c r="AE197" s="31">
        <v>45832</v>
      </c>
      <c r="AF197" s="61">
        <v>0.47787037037037039</v>
      </c>
      <c r="AH197" t="s">
        <v>795</v>
      </c>
      <c r="AI197" s="31">
        <v>45839</v>
      </c>
      <c r="AJ197" s="61">
        <v>0.41031250000000002</v>
      </c>
      <c r="AK197" t="s">
        <v>5338</v>
      </c>
      <c r="AL197" t="s">
        <v>5472</v>
      </c>
      <c r="AR197" s="31"/>
      <c r="AX197">
        <v>1</v>
      </c>
    </row>
    <row r="198" spans="1:50" x14ac:dyDescent="0.25">
      <c r="A198" t="s">
        <v>44</v>
      </c>
      <c r="B198">
        <v>462</v>
      </c>
      <c r="D198">
        <v>2237</v>
      </c>
      <c r="G198" t="s">
        <v>1834</v>
      </c>
      <c r="H198">
        <v>61630786000115</v>
      </c>
      <c r="J198" t="s">
        <v>5497</v>
      </c>
      <c r="K198" t="s">
        <v>1836</v>
      </c>
      <c r="Q198" t="s">
        <v>1837</v>
      </c>
      <c r="R198" t="s">
        <v>790</v>
      </c>
      <c r="W198" t="s">
        <v>780</v>
      </c>
      <c r="X198" t="s">
        <v>857</v>
      </c>
      <c r="Z198" s="31"/>
      <c r="AA198">
        <v>80560</v>
      </c>
      <c r="AB198">
        <v>249008</v>
      </c>
      <c r="AC198">
        <v>1</v>
      </c>
      <c r="AD198" t="s">
        <v>44</v>
      </c>
      <c r="AE198" s="31">
        <v>45833</v>
      </c>
      <c r="AF198" s="61">
        <v>0.43809027777777781</v>
      </c>
      <c r="AH198" t="s">
        <v>795</v>
      </c>
      <c r="AI198" s="31">
        <v>45834</v>
      </c>
      <c r="AJ198" s="61">
        <v>0.44855324074074082</v>
      </c>
      <c r="AK198" t="s">
        <v>5338</v>
      </c>
      <c r="AL198" t="s">
        <v>5498</v>
      </c>
      <c r="AN198" t="s">
        <v>1771</v>
      </c>
      <c r="AP198" t="s">
        <v>1839</v>
      </c>
      <c r="AR198" s="31"/>
      <c r="AX198">
        <v>1</v>
      </c>
    </row>
    <row r="199" spans="1:50" x14ac:dyDescent="0.25">
      <c r="A199" t="s">
        <v>44</v>
      </c>
      <c r="B199">
        <v>463</v>
      </c>
      <c r="D199">
        <v>2239</v>
      </c>
      <c r="G199" t="s">
        <v>5499</v>
      </c>
      <c r="H199">
        <v>61630786000115</v>
      </c>
      <c r="J199" t="s">
        <v>1841</v>
      </c>
      <c r="K199" t="s">
        <v>1836</v>
      </c>
      <c r="Q199" t="s">
        <v>1837</v>
      </c>
      <c r="R199" t="s">
        <v>790</v>
      </c>
      <c r="W199" t="s">
        <v>780</v>
      </c>
      <c r="X199" t="s">
        <v>857</v>
      </c>
      <c r="Z199" s="31"/>
      <c r="AA199">
        <v>1600</v>
      </c>
      <c r="AB199">
        <v>278556</v>
      </c>
      <c r="AC199">
        <v>1</v>
      </c>
      <c r="AD199" t="s">
        <v>44</v>
      </c>
      <c r="AE199" s="31">
        <v>45833</v>
      </c>
      <c r="AF199" s="61">
        <v>0.44237268518518519</v>
      </c>
      <c r="AH199" t="s">
        <v>795</v>
      </c>
      <c r="AI199" s="31">
        <v>45834</v>
      </c>
      <c r="AJ199" s="61">
        <v>0.44890046296296299</v>
      </c>
      <c r="AK199" t="s">
        <v>5338</v>
      </c>
      <c r="AL199" t="s">
        <v>5498</v>
      </c>
      <c r="AN199" t="s">
        <v>1771</v>
      </c>
      <c r="AP199" t="s">
        <v>1839</v>
      </c>
      <c r="AR199" s="31"/>
      <c r="AX199">
        <v>1</v>
      </c>
    </row>
    <row r="200" spans="1:50" x14ac:dyDescent="0.25">
      <c r="A200" t="s">
        <v>44</v>
      </c>
      <c r="B200">
        <v>466</v>
      </c>
      <c r="D200">
        <v>2243</v>
      </c>
      <c r="G200" t="s">
        <v>5500</v>
      </c>
      <c r="J200" t="s">
        <v>5501</v>
      </c>
      <c r="K200" t="s">
        <v>1844</v>
      </c>
      <c r="M200" t="s">
        <v>1845</v>
      </c>
      <c r="W200" t="s">
        <v>780</v>
      </c>
      <c r="X200" t="s">
        <v>816</v>
      </c>
      <c r="Z200" s="31"/>
      <c r="AA200">
        <v>0</v>
      </c>
      <c r="AB200">
        <v>54887</v>
      </c>
      <c r="AC200">
        <v>5</v>
      </c>
      <c r="AD200" t="s">
        <v>44</v>
      </c>
      <c r="AE200" s="31">
        <v>45833</v>
      </c>
      <c r="AF200" s="61">
        <v>0.60601851851851851</v>
      </c>
      <c r="AH200" t="s">
        <v>818</v>
      </c>
      <c r="AI200" s="31">
        <v>45838</v>
      </c>
      <c r="AJ200" s="61">
        <v>0.35708333333333331</v>
      </c>
      <c r="AN200" t="s">
        <v>1846</v>
      </c>
      <c r="AP200" t="s">
        <v>1846</v>
      </c>
      <c r="AR200" s="31"/>
      <c r="AX200">
        <v>1</v>
      </c>
    </row>
    <row r="201" spans="1:50" x14ac:dyDescent="0.25">
      <c r="A201" t="s">
        <v>44</v>
      </c>
      <c r="B201">
        <v>467</v>
      </c>
      <c r="D201">
        <v>2244</v>
      </c>
      <c r="G201" t="s">
        <v>5502</v>
      </c>
      <c r="J201" t="s">
        <v>5503</v>
      </c>
      <c r="K201" t="s">
        <v>1785</v>
      </c>
      <c r="M201" t="s">
        <v>1786</v>
      </c>
      <c r="W201" t="s">
        <v>780</v>
      </c>
      <c r="X201" t="s">
        <v>857</v>
      </c>
      <c r="Z201" s="31"/>
      <c r="AA201">
        <v>1600</v>
      </c>
      <c r="AB201">
        <v>309656</v>
      </c>
      <c r="AC201">
        <v>5</v>
      </c>
      <c r="AD201" t="s">
        <v>44</v>
      </c>
      <c r="AE201" s="31">
        <v>45833</v>
      </c>
      <c r="AF201" s="61">
        <v>0.66252314814814817</v>
      </c>
      <c r="AH201" t="s">
        <v>795</v>
      </c>
      <c r="AI201" s="31">
        <v>45838</v>
      </c>
      <c r="AJ201" s="61">
        <v>0.62982638888888887</v>
      </c>
      <c r="AK201" t="s">
        <v>5338</v>
      </c>
      <c r="AL201" t="s">
        <v>5488</v>
      </c>
      <c r="AN201" t="s">
        <v>1789</v>
      </c>
      <c r="AP201" t="s">
        <v>1769</v>
      </c>
      <c r="AR201" s="31"/>
      <c r="AX201">
        <v>1</v>
      </c>
    </row>
    <row r="202" spans="1:50" x14ac:dyDescent="0.25">
      <c r="A202" t="s">
        <v>44</v>
      </c>
      <c r="B202">
        <v>468</v>
      </c>
      <c r="D202">
        <v>2245</v>
      </c>
      <c r="G202" t="s">
        <v>1849</v>
      </c>
      <c r="H202">
        <v>9509581000166</v>
      </c>
      <c r="J202" t="s">
        <v>5504</v>
      </c>
      <c r="K202" t="s">
        <v>1851</v>
      </c>
      <c r="M202" t="s">
        <v>1852</v>
      </c>
      <c r="Q202" t="s">
        <v>1094</v>
      </c>
      <c r="R202" t="s">
        <v>790</v>
      </c>
      <c r="W202" t="s">
        <v>780</v>
      </c>
      <c r="X202" t="s">
        <v>793</v>
      </c>
      <c r="Z202" s="31"/>
      <c r="AA202">
        <v>10800</v>
      </c>
      <c r="AB202">
        <v>450</v>
      </c>
      <c r="AC202">
        <v>5</v>
      </c>
      <c r="AD202" t="s">
        <v>44</v>
      </c>
      <c r="AE202" s="31">
        <v>45833</v>
      </c>
      <c r="AF202" s="61">
        <v>0.6728587962962963</v>
      </c>
      <c r="AH202" t="s">
        <v>795</v>
      </c>
      <c r="AI202" s="31">
        <v>45838</v>
      </c>
      <c r="AJ202" s="61">
        <v>0.62880787037037034</v>
      </c>
      <c r="AK202" t="s">
        <v>5338</v>
      </c>
      <c r="AL202" t="s">
        <v>5505</v>
      </c>
      <c r="AN202" t="s">
        <v>1854</v>
      </c>
      <c r="AP202" t="s">
        <v>1790</v>
      </c>
      <c r="AR202" s="31"/>
      <c r="AX202">
        <v>1</v>
      </c>
    </row>
    <row r="203" spans="1:50" x14ac:dyDescent="0.25">
      <c r="A203" t="s">
        <v>44</v>
      </c>
      <c r="B203">
        <v>469</v>
      </c>
      <c r="D203">
        <v>2250</v>
      </c>
      <c r="G203" t="s">
        <v>1855</v>
      </c>
      <c r="J203" t="s">
        <v>1856</v>
      </c>
      <c r="K203" t="s">
        <v>1857</v>
      </c>
      <c r="M203" t="s">
        <v>1858</v>
      </c>
      <c r="W203" t="s">
        <v>780</v>
      </c>
      <c r="X203" t="s">
        <v>816</v>
      </c>
      <c r="Z203" s="31"/>
      <c r="AA203">
        <v>607121</v>
      </c>
      <c r="AB203">
        <v>0</v>
      </c>
      <c r="AC203">
        <v>25</v>
      </c>
      <c r="AD203" t="s">
        <v>44</v>
      </c>
      <c r="AE203" s="31">
        <v>45834</v>
      </c>
      <c r="AF203" s="61">
        <v>0.49910879629629629</v>
      </c>
      <c r="AH203" t="s">
        <v>818</v>
      </c>
      <c r="AI203" s="31">
        <v>45859</v>
      </c>
      <c r="AJ203" s="61">
        <v>0.38678240740740738</v>
      </c>
      <c r="AN203" t="s">
        <v>1859</v>
      </c>
      <c r="AP203" t="s">
        <v>1859</v>
      </c>
      <c r="AR203" s="31"/>
      <c r="AX203">
        <v>1</v>
      </c>
    </row>
    <row r="204" spans="1:50" x14ac:dyDescent="0.25">
      <c r="A204" t="s">
        <v>44</v>
      </c>
      <c r="B204">
        <v>470</v>
      </c>
      <c r="D204">
        <v>2272</v>
      </c>
      <c r="G204" t="s">
        <v>1860</v>
      </c>
      <c r="H204">
        <v>912882000161</v>
      </c>
      <c r="J204" t="s">
        <v>5506</v>
      </c>
      <c r="K204" t="s">
        <v>1862</v>
      </c>
      <c r="M204" t="s">
        <v>1863</v>
      </c>
      <c r="Q204" t="s">
        <v>1864</v>
      </c>
      <c r="R204" t="s">
        <v>1027</v>
      </c>
      <c r="V204" t="s">
        <v>1718</v>
      </c>
      <c r="W204" t="s">
        <v>780</v>
      </c>
      <c r="X204" t="s">
        <v>807</v>
      </c>
      <c r="Z204" s="31"/>
      <c r="AA204">
        <v>16960</v>
      </c>
      <c r="AB204">
        <v>14034</v>
      </c>
      <c r="AC204">
        <v>84</v>
      </c>
      <c r="AD204" t="s">
        <v>44</v>
      </c>
      <c r="AE204" s="31">
        <v>45838</v>
      </c>
      <c r="AF204" s="61">
        <v>0.49502314814814807</v>
      </c>
      <c r="AH204" t="s">
        <v>795</v>
      </c>
      <c r="AI204" s="31">
        <v>45922</v>
      </c>
      <c r="AJ204" s="61">
        <v>0.4777777777777778</v>
      </c>
      <c r="AK204" t="s">
        <v>5338</v>
      </c>
      <c r="AL204" t="s">
        <v>5507</v>
      </c>
      <c r="AN204" t="s">
        <v>1866</v>
      </c>
      <c r="AP204" t="s">
        <v>1866</v>
      </c>
      <c r="AR204" s="31"/>
      <c r="AX204">
        <v>1</v>
      </c>
    </row>
    <row r="205" spans="1:50" x14ac:dyDescent="0.25">
      <c r="A205" t="s">
        <v>31</v>
      </c>
      <c r="B205">
        <v>475</v>
      </c>
      <c r="D205">
        <v>2299</v>
      </c>
      <c r="G205" t="s">
        <v>1867</v>
      </c>
      <c r="H205">
        <v>3436772000169</v>
      </c>
      <c r="J205" t="s">
        <v>1868</v>
      </c>
      <c r="K205" t="s">
        <v>1869</v>
      </c>
      <c r="M205" t="s">
        <v>1870</v>
      </c>
      <c r="Q205" t="s">
        <v>1094</v>
      </c>
      <c r="R205" t="s">
        <v>790</v>
      </c>
      <c r="W205" t="s">
        <v>780</v>
      </c>
      <c r="X205" t="s">
        <v>793</v>
      </c>
      <c r="Z205" s="31"/>
      <c r="AC205">
        <v>60</v>
      </c>
      <c r="AD205" t="s">
        <v>31</v>
      </c>
      <c r="AE205" s="31">
        <v>45842</v>
      </c>
      <c r="AF205" s="61">
        <v>0.39122685185185191</v>
      </c>
      <c r="AH205" t="s">
        <v>795</v>
      </c>
      <c r="AI205" s="31">
        <v>45902</v>
      </c>
      <c r="AJ205" s="61">
        <v>0.41572916666666659</v>
      </c>
      <c r="AK205" t="s">
        <v>5338</v>
      </c>
      <c r="AN205" t="s">
        <v>1871</v>
      </c>
      <c r="AP205" t="s">
        <v>1872</v>
      </c>
      <c r="AR205" s="31"/>
      <c r="AX205">
        <v>1</v>
      </c>
    </row>
    <row r="206" spans="1:50" x14ac:dyDescent="0.25">
      <c r="A206" t="s">
        <v>44</v>
      </c>
      <c r="B206">
        <v>485</v>
      </c>
      <c r="D206">
        <v>2341</v>
      </c>
      <c r="G206" t="s">
        <v>5508</v>
      </c>
      <c r="H206">
        <v>20750928000109</v>
      </c>
      <c r="J206" t="s">
        <v>5509</v>
      </c>
      <c r="K206" t="s">
        <v>1875</v>
      </c>
      <c r="M206" t="s">
        <v>1876</v>
      </c>
      <c r="Q206" t="s">
        <v>1877</v>
      </c>
      <c r="R206" t="s">
        <v>932</v>
      </c>
      <c r="V206" t="s">
        <v>1419</v>
      </c>
      <c r="W206" t="s">
        <v>780</v>
      </c>
      <c r="X206" t="s">
        <v>816</v>
      </c>
      <c r="Z206" s="31"/>
      <c r="AA206">
        <v>6429976</v>
      </c>
      <c r="AB206">
        <v>399322</v>
      </c>
      <c r="AC206">
        <v>73</v>
      </c>
      <c r="AD206" t="s">
        <v>44</v>
      </c>
      <c r="AE206" s="31">
        <v>45852</v>
      </c>
      <c r="AF206" s="61">
        <v>0.42383101851851851</v>
      </c>
      <c r="AH206" t="s">
        <v>818</v>
      </c>
      <c r="AI206" s="31">
        <v>45925</v>
      </c>
      <c r="AJ206" s="61">
        <v>0.63105324074074076</v>
      </c>
      <c r="AN206" t="s">
        <v>1878</v>
      </c>
      <c r="AP206" t="s">
        <v>1879</v>
      </c>
      <c r="AR206" s="31"/>
      <c r="AX206">
        <v>1</v>
      </c>
    </row>
    <row r="207" spans="1:50" x14ac:dyDescent="0.25">
      <c r="A207" t="s">
        <v>44</v>
      </c>
      <c r="B207">
        <v>486</v>
      </c>
      <c r="D207">
        <v>2343</v>
      </c>
      <c r="G207" t="s">
        <v>1880</v>
      </c>
      <c r="H207">
        <v>20750928000109</v>
      </c>
      <c r="J207" t="s">
        <v>5510</v>
      </c>
      <c r="K207" t="s">
        <v>1875</v>
      </c>
      <c r="M207" t="s">
        <v>1876</v>
      </c>
      <c r="Q207" t="s">
        <v>1877</v>
      </c>
      <c r="R207" t="s">
        <v>932</v>
      </c>
      <c r="W207" t="s">
        <v>780</v>
      </c>
      <c r="X207" t="s">
        <v>816</v>
      </c>
      <c r="Z207" s="31"/>
      <c r="AA207">
        <v>1600</v>
      </c>
      <c r="AB207">
        <v>2325</v>
      </c>
      <c r="AC207">
        <v>73</v>
      </c>
      <c r="AD207" t="s">
        <v>44</v>
      </c>
      <c r="AE207" s="31">
        <v>45852</v>
      </c>
      <c r="AF207" s="61">
        <v>0.4576736111111111</v>
      </c>
      <c r="AH207" t="s">
        <v>795</v>
      </c>
      <c r="AI207" s="31">
        <v>45925</v>
      </c>
      <c r="AJ207" s="61">
        <v>0.62450231481481477</v>
      </c>
      <c r="AK207" t="s">
        <v>858</v>
      </c>
      <c r="AL207" t="s">
        <v>5511</v>
      </c>
      <c r="AN207" t="s">
        <v>1878</v>
      </c>
      <c r="AP207" t="s">
        <v>1879</v>
      </c>
      <c r="AR207" s="31"/>
      <c r="AX207">
        <v>1</v>
      </c>
    </row>
    <row r="208" spans="1:50" x14ac:dyDescent="0.25">
      <c r="A208" t="s">
        <v>44</v>
      </c>
      <c r="B208">
        <v>487</v>
      </c>
      <c r="D208">
        <v>2345</v>
      </c>
      <c r="G208" t="s">
        <v>1883</v>
      </c>
      <c r="J208" t="s">
        <v>1884</v>
      </c>
      <c r="K208" t="s">
        <v>1042</v>
      </c>
      <c r="M208" t="s">
        <v>1043</v>
      </c>
      <c r="W208" t="s">
        <v>780</v>
      </c>
      <c r="X208" t="s">
        <v>816</v>
      </c>
      <c r="Z208" s="31"/>
      <c r="AA208">
        <v>0</v>
      </c>
      <c r="AB208">
        <v>14256</v>
      </c>
      <c r="AC208">
        <v>7</v>
      </c>
      <c r="AD208" t="s">
        <v>44</v>
      </c>
      <c r="AE208" s="31">
        <v>45852</v>
      </c>
      <c r="AF208" s="61">
        <v>0.61031250000000004</v>
      </c>
      <c r="AH208" t="s">
        <v>818</v>
      </c>
      <c r="AI208" s="31">
        <v>45859</v>
      </c>
      <c r="AJ208" s="61">
        <v>0.39141203703703698</v>
      </c>
      <c r="AN208" t="s">
        <v>1885</v>
      </c>
      <c r="AP208" t="s">
        <v>1885</v>
      </c>
      <c r="AR208" s="31"/>
      <c r="AX208">
        <v>1</v>
      </c>
    </row>
    <row r="209" spans="1:50" x14ac:dyDescent="0.25">
      <c r="A209" t="s">
        <v>44</v>
      </c>
      <c r="B209">
        <v>488</v>
      </c>
      <c r="D209">
        <v>2346</v>
      </c>
      <c r="E209" t="s">
        <v>1886</v>
      </c>
      <c r="G209" t="s">
        <v>1887</v>
      </c>
      <c r="H209">
        <v>20750928000109</v>
      </c>
      <c r="J209" t="s">
        <v>1888</v>
      </c>
      <c r="K209" t="s">
        <v>1889</v>
      </c>
      <c r="M209" t="s">
        <v>1876</v>
      </c>
      <c r="V209" t="s">
        <v>1704</v>
      </c>
      <c r="W209" t="s">
        <v>780</v>
      </c>
      <c r="X209" t="s">
        <v>816</v>
      </c>
      <c r="Z209" s="31">
        <v>46055</v>
      </c>
      <c r="AA209">
        <v>26200</v>
      </c>
      <c r="AB209">
        <v>3400</v>
      </c>
      <c r="AC209">
        <v>206</v>
      </c>
      <c r="AD209" t="s">
        <v>44</v>
      </c>
      <c r="AE209" s="31">
        <v>45853</v>
      </c>
      <c r="AF209" s="61">
        <v>0.72690972222222228</v>
      </c>
      <c r="AH209" t="s">
        <v>818</v>
      </c>
      <c r="AI209" s="31">
        <v>46059</v>
      </c>
      <c r="AJ209" s="61">
        <v>0.50700231481481484</v>
      </c>
      <c r="AN209" t="s">
        <v>1878</v>
      </c>
      <c r="AO209" t="s">
        <v>44</v>
      </c>
      <c r="AP209" t="s">
        <v>1879</v>
      </c>
      <c r="AR209" s="31">
        <v>46001</v>
      </c>
      <c r="AX209">
        <v>1</v>
      </c>
    </row>
    <row r="210" spans="1:50" x14ac:dyDescent="0.25">
      <c r="A210" t="s">
        <v>44</v>
      </c>
      <c r="B210">
        <v>493</v>
      </c>
      <c r="D210">
        <v>2352</v>
      </c>
      <c r="G210" t="s">
        <v>1890</v>
      </c>
      <c r="H210">
        <v>39750889000160</v>
      </c>
      <c r="J210" t="s">
        <v>1891</v>
      </c>
      <c r="K210" t="s">
        <v>1892</v>
      </c>
      <c r="M210" t="s">
        <v>1580</v>
      </c>
      <c r="Q210" t="s">
        <v>1794</v>
      </c>
      <c r="R210" t="s">
        <v>790</v>
      </c>
      <c r="W210" t="s">
        <v>780</v>
      </c>
      <c r="X210" t="s">
        <v>816</v>
      </c>
      <c r="Y210" t="s">
        <v>995</v>
      </c>
      <c r="Z210" s="31"/>
      <c r="AA210">
        <v>4327344</v>
      </c>
      <c r="AB210">
        <v>37442</v>
      </c>
      <c r="AC210">
        <v>42</v>
      </c>
      <c r="AD210" t="s">
        <v>44</v>
      </c>
      <c r="AE210" s="31">
        <v>45855</v>
      </c>
      <c r="AF210" s="61">
        <v>0.5997569444444445</v>
      </c>
      <c r="AH210" t="s">
        <v>818</v>
      </c>
      <c r="AI210" s="31">
        <v>45897</v>
      </c>
      <c r="AJ210" s="61">
        <v>0.63119212962962967</v>
      </c>
      <c r="AN210" t="s">
        <v>1893</v>
      </c>
      <c r="AP210" t="s">
        <v>1893</v>
      </c>
      <c r="AR210" s="31"/>
      <c r="AX210">
        <v>1</v>
      </c>
    </row>
    <row r="211" spans="1:50" x14ac:dyDescent="0.25">
      <c r="A211" t="s">
        <v>44</v>
      </c>
      <c r="B211">
        <v>494</v>
      </c>
      <c r="D211">
        <v>2354</v>
      </c>
      <c r="G211" t="s">
        <v>1894</v>
      </c>
      <c r="J211" t="s">
        <v>1895</v>
      </c>
      <c r="K211" t="s">
        <v>1579</v>
      </c>
      <c r="M211" t="s">
        <v>1580</v>
      </c>
      <c r="W211" t="s">
        <v>780</v>
      </c>
      <c r="X211" t="s">
        <v>816</v>
      </c>
      <c r="Y211" t="s">
        <v>995</v>
      </c>
      <c r="Z211" s="31"/>
      <c r="AA211">
        <v>1167696</v>
      </c>
      <c r="AB211">
        <v>0</v>
      </c>
      <c r="AC211">
        <v>42</v>
      </c>
      <c r="AD211" t="s">
        <v>44</v>
      </c>
      <c r="AE211" s="31">
        <v>45855</v>
      </c>
      <c r="AF211" s="61">
        <v>0.60982638888888885</v>
      </c>
      <c r="AH211" t="s">
        <v>818</v>
      </c>
      <c r="AI211" s="31">
        <v>45897</v>
      </c>
      <c r="AJ211" s="61">
        <v>0.63295138888888891</v>
      </c>
      <c r="AN211" t="s">
        <v>1893</v>
      </c>
      <c r="AP211" t="s">
        <v>1893</v>
      </c>
      <c r="AR211" s="31"/>
      <c r="AX211">
        <v>1</v>
      </c>
    </row>
    <row r="212" spans="1:50" x14ac:dyDescent="0.25">
      <c r="A212" t="s">
        <v>44</v>
      </c>
      <c r="B212">
        <v>495</v>
      </c>
      <c r="D212">
        <v>2356</v>
      </c>
      <c r="G212" t="s">
        <v>5512</v>
      </c>
      <c r="J212" t="s">
        <v>5513</v>
      </c>
      <c r="K212" t="s">
        <v>1898</v>
      </c>
      <c r="M212" t="s">
        <v>1899</v>
      </c>
      <c r="V212" t="s">
        <v>1718</v>
      </c>
      <c r="W212" t="s">
        <v>780</v>
      </c>
      <c r="X212" t="s">
        <v>807</v>
      </c>
      <c r="Z212" s="31"/>
      <c r="AA212">
        <v>16960</v>
      </c>
      <c r="AB212">
        <v>10748</v>
      </c>
      <c r="AC212">
        <v>67</v>
      </c>
      <c r="AD212" t="s">
        <v>44</v>
      </c>
      <c r="AE212" s="31">
        <v>45855</v>
      </c>
      <c r="AF212" s="61">
        <v>0.66787037037037034</v>
      </c>
      <c r="AH212" t="s">
        <v>795</v>
      </c>
      <c r="AI212" s="31">
        <v>45922</v>
      </c>
      <c r="AJ212" s="61">
        <v>0.48292824074074081</v>
      </c>
      <c r="AK212" t="s">
        <v>858</v>
      </c>
      <c r="AL212" t="s">
        <v>5514</v>
      </c>
      <c r="AN212" t="s">
        <v>1885</v>
      </c>
      <c r="AP212" t="s">
        <v>1885</v>
      </c>
      <c r="AQ212" t="s">
        <v>1901</v>
      </c>
      <c r="AR212" s="31"/>
      <c r="AX212">
        <v>1</v>
      </c>
    </row>
    <row r="213" spans="1:50" x14ac:dyDescent="0.25">
      <c r="A213" t="s">
        <v>44</v>
      </c>
      <c r="B213">
        <v>496</v>
      </c>
      <c r="D213">
        <v>2361</v>
      </c>
      <c r="E213" t="s">
        <v>1902</v>
      </c>
      <c r="F213" t="s">
        <v>1903</v>
      </c>
      <c r="G213" t="s">
        <v>1904</v>
      </c>
      <c r="H213">
        <v>60444098000521</v>
      </c>
      <c r="J213" t="s">
        <v>1903</v>
      </c>
      <c r="K213" t="s">
        <v>1905</v>
      </c>
      <c r="M213" t="s">
        <v>1906</v>
      </c>
      <c r="Q213" t="s">
        <v>1907</v>
      </c>
      <c r="R213" t="s">
        <v>790</v>
      </c>
      <c r="S213" t="s">
        <v>805</v>
      </c>
      <c r="V213" t="s">
        <v>1581</v>
      </c>
      <c r="W213" t="s">
        <v>780</v>
      </c>
      <c r="X213" t="s">
        <v>816</v>
      </c>
      <c r="Y213" t="s">
        <v>1537</v>
      </c>
      <c r="Z213" s="31">
        <v>46052</v>
      </c>
      <c r="AA213">
        <v>16960</v>
      </c>
      <c r="AB213">
        <v>37395</v>
      </c>
      <c r="AC213">
        <v>166</v>
      </c>
      <c r="AD213" t="s">
        <v>44</v>
      </c>
      <c r="AE213" s="31">
        <v>45861</v>
      </c>
      <c r="AF213" s="61">
        <v>0.49577546296296299</v>
      </c>
      <c r="AH213" t="s">
        <v>818</v>
      </c>
      <c r="AI213" s="31">
        <v>46027</v>
      </c>
      <c r="AJ213" s="61">
        <v>0.61862268518518515</v>
      </c>
      <c r="AN213" t="s">
        <v>1885</v>
      </c>
      <c r="AO213" t="s">
        <v>44</v>
      </c>
      <c r="AP213" t="s">
        <v>1908</v>
      </c>
      <c r="AQ213" t="s">
        <v>1885</v>
      </c>
      <c r="AR213" s="31">
        <v>46003</v>
      </c>
      <c r="AX213">
        <v>1</v>
      </c>
    </row>
    <row r="214" spans="1:50" x14ac:dyDescent="0.25">
      <c r="A214" t="s">
        <v>44</v>
      </c>
      <c r="B214">
        <v>497</v>
      </c>
      <c r="D214">
        <v>2363</v>
      </c>
      <c r="F214" t="s">
        <v>1909</v>
      </c>
      <c r="G214" t="s">
        <v>1910</v>
      </c>
      <c r="H214">
        <v>8306975000154</v>
      </c>
      <c r="J214" t="s">
        <v>1909</v>
      </c>
      <c r="K214" t="s">
        <v>1911</v>
      </c>
      <c r="Q214" t="s">
        <v>1912</v>
      </c>
      <c r="R214" t="s">
        <v>1027</v>
      </c>
      <c r="S214" t="s">
        <v>805</v>
      </c>
      <c r="W214" t="s">
        <v>780</v>
      </c>
      <c r="X214" t="s">
        <v>816</v>
      </c>
      <c r="Z214" s="31"/>
      <c r="AA214">
        <v>16960</v>
      </c>
      <c r="AB214">
        <v>2455</v>
      </c>
      <c r="AC214">
        <v>64</v>
      </c>
      <c r="AD214" t="s">
        <v>44</v>
      </c>
      <c r="AE214" s="31">
        <v>45861</v>
      </c>
      <c r="AF214" s="61">
        <v>0.50347222222222221</v>
      </c>
      <c r="AH214" t="s">
        <v>818</v>
      </c>
      <c r="AI214" s="31">
        <v>45925</v>
      </c>
      <c r="AJ214" s="61">
        <v>0.62386574074074075</v>
      </c>
      <c r="AN214" t="s">
        <v>1913</v>
      </c>
      <c r="AP214" t="s">
        <v>1908</v>
      </c>
      <c r="AQ214" t="s">
        <v>1913</v>
      </c>
      <c r="AR214" s="31"/>
      <c r="AX214">
        <v>1</v>
      </c>
    </row>
    <row r="215" spans="1:50" x14ac:dyDescent="0.25">
      <c r="A215" t="s">
        <v>44</v>
      </c>
      <c r="B215">
        <v>503</v>
      </c>
      <c r="D215">
        <v>2433</v>
      </c>
      <c r="G215" t="s">
        <v>5515</v>
      </c>
      <c r="H215">
        <v>46083438000181</v>
      </c>
      <c r="J215" t="s">
        <v>5516</v>
      </c>
      <c r="K215" t="s">
        <v>1916</v>
      </c>
      <c r="M215" t="s">
        <v>1917</v>
      </c>
      <c r="S215" t="s">
        <v>805</v>
      </c>
      <c r="W215" t="s">
        <v>780</v>
      </c>
      <c r="X215" t="s">
        <v>857</v>
      </c>
      <c r="Z215" s="31"/>
      <c r="AA215">
        <v>16960</v>
      </c>
      <c r="AB215">
        <v>998</v>
      </c>
      <c r="AC215">
        <v>29</v>
      </c>
      <c r="AD215" t="s">
        <v>44</v>
      </c>
      <c r="AE215" s="31">
        <v>45868</v>
      </c>
      <c r="AF215" s="61">
        <v>0.49329861111111112</v>
      </c>
      <c r="AH215" t="s">
        <v>795</v>
      </c>
      <c r="AI215" s="31">
        <v>45897</v>
      </c>
      <c r="AJ215" s="61">
        <v>0.69715277777777773</v>
      </c>
      <c r="AK215" t="s">
        <v>5338</v>
      </c>
      <c r="AL215" t="s">
        <v>1918</v>
      </c>
      <c r="AN215" t="s">
        <v>1919</v>
      </c>
      <c r="AP215" t="s">
        <v>1919</v>
      </c>
      <c r="AR215" s="31"/>
      <c r="AX215">
        <v>1</v>
      </c>
    </row>
    <row r="216" spans="1:50" x14ac:dyDescent="0.25">
      <c r="A216" t="s">
        <v>44</v>
      </c>
      <c r="B216">
        <v>504</v>
      </c>
      <c r="D216">
        <v>2434</v>
      </c>
      <c r="G216" t="s">
        <v>1920</v>
      </c>
      <c r="H216">
        <v>8306975000154</v>
      </c>
      <c r="J216" t="s">
        <v>1921</v>
      </c>
      <c r="K216" t="s">
        <v>1922</v>
      </c>
      <c r="Q216" t="s">
        <v>1912</v>
      </c>
      <c r="R216" t="s">
        <v>1027</v>
      </c>
      <c r="V216" t="s">
        <v>1419</v>
      </c>
      <c r="W216" t="s">
        <v>780</v>
      </c>
      <c r="X216" t="s">
        <v>807</v>
      </c>
      <c r="Z216" s="31"/>
      <c r="AA216">
        <v>87344</v>
      </c>
      <c r="AB216">
        <v>514788</v>
      </c>
      <c r="AC216">
        <v>41</v>
      </c>
      <c r="AD216" t="s">
        <v>44</v>
      </c>
      <c r="AE216" s="31">
        <v>45868</v>
      </c>
      <c r="AF216" s="61">
        <v>0.63407407407407412</v>
      </c>
      <c r="AH216" t="s">
        <v>795</v>
      </c>
      <c r="AI216" s="31">
        <v>45909</v>
      </c>
      <c r="AJ216" s="61">
        <v>0.64981481481481485</v>
      </c>
      <c r="AK216" t="s">
        <v>858</v>
      </c>
      <c r="AL216" t="s">
        <v>5517</v>
      </c>
      <c r="AN216" t="s">
        <v>1924</v>
      </c>
      <c r="AR216" s="31"/>
      <c r="AX216">
        <v>1</v>
      </c>
    </row>
    <row r="217" spans="1:50" x14ac:dyDescent="0.25">
      <c r="A217" t="s">
        <v>44</v>
      </c>
      <c r="B217">
        <v>505</v>
      </c>
      <c r="D217">
        <v>2436</v>
      </c>
      <c r="G217" t="s">
        <v>1925</v>
      </c>
      <c r="H217">
        <v>8306975000154</v>
      </c>
      <c r="J217" t="s">
        <v>1926</v>
      </c>
      <c r="K217" t="s">
        <v>1922</v>
      </c>
      <c r="Q217" t="s">
        <v>1912</v>
      </c>
      <c r="R217" t="s">
        <v>1027</v>
      </c>
      <c r="W217" t="s">
        <v>780</v>
      </c>
      <c r="X217" t="s">
        <v>857</v>
      </c>
      <c r="Z217" s="31"/>
      <c r="AA217">
        <v>1600</v>
      </c>
      <c r="AB217">
        <v>334556</v>
      </c>
      <c r="AC217">
        <v>30</v>
      </c>
      <c r="AD217" t="s">
        <v>44</v>
      </c>
      <c r="AE217" s="31">
        <v>45868</v>
      </c>
      <c r="AF217" s="61">
        <v>0.67164351851851856</v>
      </c>
      <c r="AH217" t="s">
        <v>795</v>
      </c>
      <c r="AI217" s="31">
        <v>45898</v>
      </c>
      <c r="AJ217" s="61">
        <v>0.65936342592592589</v>
      </c>
      <c r="AK217" t="s">
        <v>858</v>
      </c>
      <c r="AL217" t="s">
        <v>5518</v>
      </c>
      <c r="AN217" t="s">
        <v>1919</v>
      </c>
      <c r="AR217" s="31"/>
      <c r="AX217">
        <v>1</v>
      </c>
    </row>
    <row r="218" spans="1:50" x14ac:dyDescent="0.25">
      <c r="A218" t="s">
        <v>44</v>
      </c>
      <c r="B218">
        <v>506</v>
      </c>
      <c r="D218">
        <v>2439</v>
      </c>
      <c r="G218" t="s">
        <v>1928</v>
      </c>
      <c r="H218">
        <v>30924882000142</v>
      </c>
      <c r="J218" t="s">
        <v>1929</v>
      </c>
      <c r="M218" t="s">
        <v>1760</v>
      </c>
      <c r="S218" t="s">
        <v>805</v>
      </c>
      <c r="V218" t="s">
        <v>1704</v>
      </c>
      <c r="W218" t="s">
        <v>780</v>
      </c>
      <c r="X218" t="s">
        <v>816</v>
      </c>
      <c r="Z218" s="31"/>
      <c r="AA218">
        <v>72240</v>
      </c>
      <c r="AB218">
        <v>2167539</v>
      </c>
      <c r="AC218">
        <v>56</v>
      </c>
      <c r="AD218" t="s">
        <v>44</v>
      </c>
      <c r="AE218" s="31">
        <v>45868</v>
      </c>
      <c r="AF218" s="61">
        <v>0.68521990740740746</v>
      </c>
      <c r="AH218" t="s">
        <v>795</v>
      </c>
      <c r="AI218" s="31">
        <v>45924</v>
      </c>
      <c r="AJ218" s="61">
        <v>0.3992013888888889</v>
      </c>
      <c r="AK218" t="s">
        <v>858</v>
      </c>
      <c r="AL218" t="s">
        <v>5519</v>
      </c>
      <c r="AN218" t="s">
        <v>1919</v>
      </c>
      <c r="AR218" s="31"/>
      <c r="AX218">
        <v>1</v>
      </c>
    </row>
    <row r="219" spans="1:50" x14ac:dyDescent="0.25">
      <c r="A219" t="s">
        <v>44</v>
      </c>
      <c r="B219">
        <v>507</v>
      </c>
      <c r="D219">
        <v>2440</v>
      </c>
      <c r="G219" t="s">
        <v>1931</v>
      </c>
      <c r="H219">
        <v>30924882000142</v>
      </c>
      <c r="J219" t="s">
        <v>1932</v>
      </c>
      <c r="K219" t="s">
        <v>1759</v>
      </c>
      <c r="M219" t="s">
        <v>1933</v>
      </c>
      <c r="Q219" t="s">
        <v>1633</v>
      </c>
      <c r="R219" t="s">
        <v>848</v>
      </c>
      <c r="V219" t="s">
        <v>1581</v>
      </c>
      <c r="W219" t="s">
        <v>780</v>
      </c>
      <c r="X219" t="s">
        <v>816</v>
      </c>
      <c r="Z219" s="31"/>
      <c r="AA219">
        <v>1620001</v>
      </c>
      <c r="AB219">
        <v>2900</v>
      </c>
      <c r="AC219">
        <v>56</v>
      </c>
      <c r="AD219" t="s">
        <v>44</v>
      </c>
      <c r="AE219" s="31">
        <v>45868</v>
      </c>
      <c r="AF219" s="61">
        <v>0.72228009259259263</v>
      </c>
      <c r="AH219" t="s">
        <v>795</v>
      </c>
      <c r="AI219" s="31">
        <v>45924</v>
      </c>
      <c r="AJ219" s="61">
        <v>0.38725694444444442</v>
      </c>
      <c r="AK219" t="s">
        <v>858</v>
      </c>
      <c r="AL219" t="s">
        <v>5520</v>
      </c>
      <c r="AN219" t="s">
        <v>1919</v>
      </c>
      <c r="AR219" s="31"/>
      <c r="AX219">
        <v>1</v>
      </c>
    </row>
    <row r="220" spans="1:50" x14ac:dyDescent="0.25">
      <c r="A220" t="s">
        <v>44</v>
      </c>
      <c r="B220">
        <v>508</v>
      </c>
      <c r="D220">
        <v>2442</v>
      </c>
      <c r="G220" t="s">
        <v>1935</v>
      </c>
      <c r="J220" t="s">
        <v>5493</v>
      </c>
      <c r="K220" t="s">
        <v>1936</v>
      </c>
      <c r="M220" t="s">
        <v>1813</v>
      </c>
      <c r="W220" t="s">
        <v>780</v>
      </c>
      <c r="X220" t="s">
        <v>816</v>
      </c>
      <c r="Z220" s="31"/>
      <c r="AA220">
        <v>62169</v>
      </c>
      <c r="AB220">
        <v>0</v>
      </c>
      <c r="AC220">
        <v>53</v>
      </c>
      <c r="AD220" t="s">
        <v>44</v>
      </c>
      <c r="AE220" s="31">
        <v>45869</v>
      </c>
      <c r="AF220" s="61">
        <v>0.38049768518518517</v>
      </c>
      <c r="AH220" t="s">
        <v>818</v>
      </c>
      <c r="AI220" s="31">
        <v>45922</v>
      </c>
      <c r="AJ220" s="61">
        <v>0.44719907407407411</v>
      </c>
      <c r="AN220" t="s">
        <v>1937</v>
      </c>
      <c r="AP220" t="s">
        <v>1937</v>
      </c>
      <c r="AR220" s="31"/>
      <c r="AX220">
        <v>1</v>
      </c>
    </row>
    <row r="221" spans="1:50" x14ac:dyDescent="0.25">
      <c r="A221" t="s">
        <v>44</v>
      </c>
      <c r="B221">
        <v>509</v>
      </c>
      <c r="D221">
        <v>2443</v>
      </c>
      <c r="F221" t="s">
        <v>1938</v>
      </c>
      <c r="G221" t="s">
        <v>1939</v>
      </c>
      <c r="H221">
        <v>6346005000157</v>
      </c>
      <c r="J221" t="s">
        <v>1938</v>
      </c>
      <c r="K221" t="s">
        <v>1940</v>
      </c>
      <c r="M221" t="s">
        <v>1941</v>
      </c>
      <c r="Q221" t="s">
        <v>1942</v>
      </c>
      <c r="R221" t="s">
        <v>790</v>
      </c>
      <c r="S221" t="s">
        <v>805</v>
      </c>
      <c r="W221" t="s">
        <v>780</v>
      </c>
      <c r="X221" t="s">
        <v>857</v>
      </c>
      <c r="Z221" s="31"/>
      <c r="AA221">
        <v>16960</v>
      </c>
      <c r="AB221">
        <v>67275</v>
      </c>
      <c r="AC221">
        <v>28</v>
      </c>
      <c r="AD221" t="s">
        <v>44</v>
      </c>
      <c r="AE221" s="31">
        <v>45869</v>
      </c>
      <c r="AF221" s="61">
        <v>0.49811342592592589</v>
      </c>
      <c r="AH221" t="s">
        <v>795</v>
      </c>
      <c r="AI221" s="31">
        <v>45897</v>
      </c>
      <c r="AJ221" s="61">
        <v>0.68432870370370369</v>
      </c>
      <c r="AK221" t="s">
        <v>5347</v>
      </c>
      <c r="AL221" t="s">
        <v>5521</v>
      </c>
      <c r="AN221" t="s">
        <v>1944</v>
      </c>
      <c r="AP221" t="s">
        <v>1944</v>
      </c>
      <c r="AQ221" t="s">
        <v>1945</v>
      </c>
      <c r="AR221" s="31"/>
      <c r="AX221">
        <v>1</v>
      </c>
    </row>
    <row r="222" spans="1:50" x14ac:dyDescent="0.25">
      <c r="A222" t="s">
        <v>44</v>
      </c>
      <c r="B222">
        <v>510</v>
      </c>
      <c r="D222">
        <v>2446</v>
      </c>
      <c r="F222" t="s">
        <v>1946</v>
      </c>
      <c r="G222" t="s">
        <v>1947</v>
      </c>
      <c r="H222">
        <v>60315995000101</v>
      </c>
      <c r="J222" t="s">
        <v>1946</v>
      </c>
      <c r="K222" t="s">
        <v>1948</v>
      </c>
      <c r="M222" t="s">
        <v>1949</v>
      </c>
      <c r="Q222" t="s">
        <v>1950</v>
      </c>
      <c r="R222" t="s">
        <v>790</v>
      </c>
      <c r="S222" t="s">
        <v>805</v>
      </c>
      <c r="W222" t="s">
        <v>780</v>
      </c>
      <c r="X222" t="s">
        <v>857</v>
      </c>
      <c r="Z222" s="31"/>
      <c r="AA222">
        <v>94976</v>
      </c>
      <c r="AB222">
        <v>566152</v>
      </c>
      <c r="AC222">
        <v>29</v>
      </c>
      <c r="AD222" t="s">
        <v>44</v>
      </c>
      <c r="AE222" s="31">
        <v>45869</v>
      </c>
      <c r="AF222" s="61">
        <v>0.71494212962962966</v>
      </c>
      <c r="AH222" t="s">
        <v>795</v>
      </c>
      <c r="AI222" s="31">
        <v>45898</v>
      </c>
      <c r="AJ222" s="61">
        <v>0.46232638888888888</v>
      </c>
      <c r="AK222" t="s">
        <v>5338</v>
      </c>
      <c r="AL222" t="s">
        <v>1951</v>
      </c>
      <c r="AN222" t="s">
        <v>1952</v>
      </c>
      <c r="AP222" t="s">
        <v>1952</v>
      </c>
      <c r="AQ222" t="s">
        <v>1953</v>
      </c>
      <c r="AR222" s="31"/>
      <c r="AX222">
        <v>1</v>
      </c>
    </row>
    <row r="223" spans="1:50" x14ac:dyDescent="0.25">
      <c r="A223" t="s">
        <v>22</v>
      </c>
      <c r="B223">
        <v>516</v>
      </c>
      <c r="D223">
        <v>2454</v>
      </c>
      <c r="G223" t="s">
        <v>1954</v>
      </c>
      <c r="H223">
        <v>72677693000162</v>
      </c>
      <c r="J223" t="s">
        <v>1955</v>
      </c>
      <c r="K223" t="s">
        <v>1956</v>
      </c>
      <c r="M223" t="s">
        <v>1957</v>
      </c>
      <c r="Q223" t="s">
        <v>1958</v>
      </c>
      <c r="S223" t="s">
        <v>814</v>
      </c>
      <c r="V223" t="s">
        <v>1186</v>
      </c>
      <c r="W223" t="s">
        <v>780</v>
      </c>
      <c r="X223" t="s">
        <v>807</v>
      </c>
      <c r="Z223" s="31"/>
      <c r="AC223">
        <v>53</v>
      </c>
      <c r="AD223" t="s">
        <v>22</v>
      </c>
      <c r="AE223" s="31">
        <v>45876</v>
      </c>
      <c r="AF223" s="61">
        <v>0.50568287037037041</v>
      </c>
      <c r="AH223" t="s">
        <v>795</v>
      </c>
      <c r="AI223" s="31">
        <v>45929</v>
      </c>
      <c r="AJ223" s="61">
        <v>0.69144675925925925</v>
      </c>
      <c r="AK223" t="s">
        <v>5338</v>
      </c>
      <c r="AO223" t="s">
        <v>22</v>
      </c>
      <c r="AP223" t="s">
        <v>1959</v>
      </c>
      <c r="AR223" s="31"/>
      <c r="AX223">
        <v>1</v>
      </c>
    </row>
    <row r="224" spans="1:50" x14ac:dyDescent="0.25">
      <c r="A224" t="s">
        <v>22</v>
      </c>
      <c r="B224">
        <v>517</v>
      </c>
      <c r="D224">
        <v>2453</v>
      </c>
      <c r="G224" t="s">
        <v>1960</v>
      </c>
      <c r="H224">
        <v>38470026000176</v>
      </c>
      <c r="J224" t="s">
        <v>1961</v>
      </c>
      <c r="K224" t="s">
        <v>1962</v>
      </c>
      <c r="M224" t="s">
        <v>1963</v>
      </c>
      <c r="Q224" t="s">
        <v>923</v>
      </c>
      <c r="S224" t="s">
        <v>814</v>
      </c>
      <c r="W224" t="s">
        <v>780</v>
      </c>
      <c r="X224" t="s">
        <v>897</v>
      </c>
      <c r="Z224" s="31"/>
      <c r="AC224">
        <v>53</v>
      </c>
      <c r="AD224" t="s">
        <v>22</v>
      </c>
      <c r="AE224" s="31">
        <v>45876</v>
      </c>
      <c r="AF224" s="61">
        <v>0.50621527777777775</v>
      </c>
      <c r="AH224" t="s">
        <v>795</v>
      </c>
      <c r="AI224" s="31">
        <v>45929</v>
      </c>
      <c r="AJ224" s="61">
        <v>0.69302083333333331</v>
      </c>
      <c r="AK224" t="s">
        <v>5338</v>
      </c>
      <c r="AO224" t="s">
        <v>22</v>
      </c>
      <c r="AR224" s="31"/>
      <c r="AX224">
        <v>1</v>
      </c>
    </row>
    <row r="225" spans="1:50" x14ac:dyDescent="0.25">
      <c r="A225" t="s">
        <v>22</v>
      </c>
      <c r="B225">
        <v>518</v>
      </c>
      <c r="D225">
        <v>2456</v>
      </c>
      <c r="E225" t="s">
        <v>5522</v>
      </c>
      <c r="G225" t="s">
        <v>5523</v>
      </c>
      <c r="H225">
        <v>30340720000167</v>
      </c>
      <c r="J225" t="s">
        <v>1499</v>
      </c>
      <c r="K225" t="s">
        <v>1967</v>
      </c>
      <c r="M225" t="s">
        <v>1968</v>
      </c>
      <c r="S225" t="s">
        <v>791</v>
      </c>
      <c r="V225" t="s">
        <v>1581</v>
      </c>
      <c r="W225" t="s">
        <v>780</v>
      </c>
      <c r="X225" t="s">
        <v>816</v>
      </c>
      <c r="Z225" s="31">
        <v>46112</v>
      </c>
      <c r="AA225">
        <v>27340</v>
      </c>
      <c r="AB225">
        <v>32992</v>
      </c>
      <c r="AC225">
        <v>246</v>
      </c>
      <c r="AD225" t="s">
        <v>22</v>
      </c>
      <c r="AE225" s="31">
        <v>45876</v>
      </c>
      <c r="AF225" s="61">
        <v>0.58170138888888889</v>
      </c>
      <c r="AH225" t="s">
        <v>795</v>
      </c>
      <c r="AI225" s="31">
        <v>46122</v>
      </c>
      <c r="AJ225" s="61">
        <v>0.70623842592592589</v>
      </c>
      <c r="AK225" t="s">
        <v>5338</v>
      </c>
      <c r="AN225" t="s">
        <v>4706</v>
      </c>
      <c r="AO225" t="s">
        <v>22</v>
      </c>
      <c r="AP225" t="s">
        <v>4603</v>
      </c>
      <c r="AR225" s="31">
        <v>46122</v>
      </c>
      <c r="AS225">
        <v>90</v>
      </c>
      <c r="AT225" t="s">
        <v>1012</v>
      </c>
      <c r="AU225" t="s">
        <v>4707</v>
      </c>
      <c r="AV225" t="s">
        <v>1971</v>
      </c>
      <c r="AW225" t="s">
        <v>1972</v>
      </c>
      <c r="AX225">
        <v>1</v>
      </c>
    </row>
    <row r="226" spans="1:50" x14ac:dyDescent="0.25">
      <c r="A226" t="s">
        <v>22</v>
      </c>
      <c r="B226">
        <v>519</v>
      </c>
      <c r="D226">
        <v>2457</v>
      </c>
      <c r="G226" t="s">
        <v>1973</v>
      </c>
      <c r="J226" t="s">
        <v>1974</v>
      </c>
      <c r="K226" t="s">
        <v>1975</v>
      </c>
      <c r="M226" t="s">
        <v>1976</v>
      </c>
      <c r="W226" t="s">
        <v>780</v>
      </c>
      <c r="X226" t="s">
        <v>807</v>
      </c>
      <c r="Z226" s="31"/>
      <c r="AC226">
        <v>34</v>
      </c>
      <c r="AD226" t="s">
        <v>22</v>
      </c>
      <c r="AE226" s="31">
        <v>45876</v>
      </c>
      <c r="AF226" s="61">
        <v>0.58745370370370376</v>
      </c>
      <c r="AH226" t="s">
        <v>795</v>
      </c>
      <c r="AI226" s="31">
        <v>45910</v>
      </c>
      <c r="AJ226" s="61">
        <v>0.67646990740740742</v>
      </c>
      <c r="AK226" t="s">
        <v>5347</v>
      </c>
      <c r="AN226" t="s">
        <v>1944</v>
      </c>
      <c r="AO226" t="s">
        <v>22</v>
      </c>
      <c r="AP226" t="s">
        <v>1959</v>
      </c>
      <c r="AR226" s="31"/>
      <c r="AX226">
        <v>1</v>
      </c>
    </row>
    <row r="227" spans="1:50" x14ac:dyDescent="0.25">
      <c r="A227" t="s">
        <v>22</v>
      </c>
      <c r="B227">
        <v>521</v>
      </c>
      <c r="D227">
        <v>2459</v>
      </c>
      <c r="G227" t="s">
        <v>1977</v>
      </c>
      <c r="H227">
        <v>7380599000428</v>
      </c>
      <c r="J227" t="s">
        <v>1978</v>
      </c>
      <c r="K227" t="s">
        <v>1979</v>
      </c>
      <c r="M227" t="s">
        <v>1980</v>
      </c>
      <c r="W227" t="s">
        <v>780</v>
      </c>
      <c r="X227" t="s">
        <v>816</v>
      </c>
      <c r="Z227" s="31"/>
      <c r="AA227">
        <v>55500</v>
      </c>
      <c r="AB227">
        <v>53662</v>
      </c>
      <c r="AC227">
        <v>17</v>
      </c>
      <c r="AD227" t="s">
        <v>22</v>
      </c>
      <c r="AE227" s="31">
        <v>45877</v>
      </c>
      <c r="AF227" s="61">
        <v>0.49023148148148149</v>
      </c>
      <c r="AH227" t="s">
        <v>818</v>
      </c>
      <c r="AI227" s="31">
        <v>45894</v>
      </c>
      <c r="AJ227" s="61">
        <v>0.60188657407407409</v>
      </c>
      <c r="AN227" t="s">
        <v>1981</v>
      </c>
      <c r="AO227" t="s">
        <v>22</v>
      </c>
      <c r="AP227" t="s">
        <v>1981</v>
      </c>
      <c r="AR227" s="31"/>
      <c r="AX227">
        <v>1</v>
      </c>
    </row>
    <row r="228" spans="1:50" x14ac:dyDescent="0.25">
      <c r="A228" t="s">
        <v>31</v>
      </c>
      <c r="B228">
        <v>531</v>
      </c>
      <c r="D228">
        <v>2475</v>
      </c>
      <c r="G228" t="s">
        <v>1982</v>
      </c>
      <c r="H228">
        <v>19733550000148</v>
      </c>
      <c r="J228" t="s">
        <v>1983</v>
      </c>
      <c r="K228" t="s">
        <v>1984</v>
      </c>
      <c r="M228" t="s">
        <v>1985</v>
      </c>
      <c r="Q228" t="s">
        <v>1986</v>
      </c>
      <c r="R228" t="s">
        <v>790</v>
      </c>
      <c r="W228" t="s">
        <v>780</v>
      </c>
      <c r="X228" t="s">
        <v>807</v>
      </c>
      <c r="Z228" s="31"/>
      <c r="AA228">
        <v>84420</v>
      </c>
      <c r="AB228">
        <v>4137</v>
      </c>
      <c r="AC228">
        <v>34</v>
      </c>
      <c r="AD228" t="s">
        <v>31</v>
      </c>
      <c r="AE228" s="31">
        <v>45889</v>
      </c>
      <c r="AF228" s="61">
        <v>0.38679398148148147</v>
      </c>
      <c r="AH228" t="s">
        <v>795</v>
      </c>
      <c r="AI228" s="31">
        <v>45923</v>
      </c>
      <c r="AJ228" s="61">
        <v>0.46545138888888887</v>
      </c>
      <c r="AK228" t="s">
        <v>5347</v>
      </c>
      <c r="AN228" t="s">
        <v>1987</v>
      </c>
      <c r="AP228" t="s">
        <v>1913</v>
      </c>
      <c r="AR228" s="31"/>
      <c r="AX228">
        <v>1</v>
      </c>
    </row>
    <row r="229" spans="1:50" x14ac:dyDescent="0.25">
      <c r="A229" t="s">
        <v>44</v>
      </c>
      <c r="B229">
        <v>532</v>
      </c>
      <c r="D229">
        <v>2478</v>
      </c>
      <c r="F229" t="s">
        <v>1988</v>
      </c>
      <c r="G229" t="s">
        <v>1989</v>
      </c>
      <c r="H229">
        <v>12902777000120</v>
      </c>
      <c r="J229" t="s">
        <v>1988</v>
      </c>
      <c r="K229" t="s">
        <v>1990</v>
      </c>
      <c r="M229" t="s">
        <v>1991</v>
      </c>
      <c r="Q229" t="s">
        <v>1950</v>
      </c>
      <c r="R229" t="s">
        <v>790</v>
      </c>
      <c r="S229" t="s">
        <v>805</v>
      </c>
      <c r="W229" t="s">
        <v>780</v>
      </c>
      <c r="X229" t="s">
        <v>857</v>
      </c>
      <c r="Z229" s="31"/>
      <c r="AA229">
        <v>16960</v>
      </c>
      <c r="AB229">
        <v>4910</v>
      </c>
      <c r="AC229">
        <v>69</v>
      </c>
      <c r="AD229" t="s">
        <v>44</v>
      </c>
      <c r="AE229" s="31">
        <v>45889</v>
      </c>
      <c r="AF229" s="61">
        <v>0.41239583333333341</v>
      </c>
      <c r="AH229" t="s">
        <v>795</v>
      </c>
      <c r="AI229" s="31">
        <v>45958</v>
      </c>
      <c r="AJ229" s="61">
        <v>0.43328703703703703</v>
      </c>
      <c r="AK229" t="s">
        <v>5338</v>
      </c>
      <c r="AL229" t="s">
        <v>1992</v>
      </c>
      <c r="AN229" t="s">
        <v>1913</v>
      </c>
      <c r="AP229" t="s">
        <v>1993</v>
      </c>
      <c r="AR229" s="31"/>
      <c r="AX229">
        <v>1</v>
      </c>
    </row>
    <row r="230" spans="1:50" x14ac:dyDescent="0.25">
      <c r="A230" t="s">
        <v>44</v>
      </c>
      <c r="B230">
        <v>534</v>
      </c>
      <c r="D230">
        <v>2481</v>
      </c>
      <c r="F230" t="s">
        <v>1994</v>
      </c>
      <c r="G230" t="s">
        <v>1995</v>
      </c>
      <c r="H230">
        <v>12589391000291</v>
      </c>
      <c r="J230" t="s">
        <v>1994</v>
      </c>
      <c r="K230" t="s">
        <v>1996</v>
      </c>
      <c r="M230" t="s">
        <v>1997</v>
      </c>
      <c r="Q230" t="s">
        <v>1998</v>
      </c>
      <c r="R230" t="s">
        <v>790</v>
      </c>
      <c r="S230" t="s">
        <v>805</v>
      </c>
      <c r="V230" t="s">
        <v>5524</v>
      </c>
      <c r="W230" t="s">
        <v>780</v>
      </c>
      <c r="X230" t="s">
        <v>857</v>
      </c>
      <c r="Z230" s="31"/>
      <c r="AA230">
        <v>16960</v>
      </c>
      <c r="AB230">
        <v>56568</v>
      </c>
      <c r="AC230">
        <v>20</v>
      </c>
      <c r="AD230" t="s">
        <v>44</v>
      </c>
      <c r="AE230" s="31">
        <v>45889</v>
      </c>
      <c r="AF230" s="61">
        <v>0.41663194444444451</v>
      </c>
      <c r="AH230" t="s">
        <v>795</v>
      </c>
      <c r="AI230" s="31">
        <v>45909</v>
      </c>
      <c r="AJ230" s="61">
        <v>0.6489583333333333</v>
      </c>
      <c r="AK230" t="s">
        <v>858</v>
      </c>
      <c r="AL230" t="s">
        <v>5525</v>
      </c>
      <c r="AN230" t="s">
        <v>2001</v>
      </c>
      <c r="AP230" t="s">
        <v>2002</v>
      </c>
      <c r="AR230" s="31"/>
      <c r="AX230">
        <v>1</v>
      </c>
    </row>
    <row r="231" spans="1:50" x14ac:dyDescent="0.25">
      <c r="A231" t="s">
        <v>44</v>
      </c>
      <c r="B231">
        <v>537</v>
      </c>
      <c r="D231">
        <v>2486</v>
      </c>
      <c r="E231" t="s">
        <v>2003</v>
      </c>
      <c r="G231" t="s">
        <v>2004</v>
      </c>
      <c r="H231">
        <v>4049280000183</v>
      </c>
      <c r="J231" t="s">
        <v>2005</v>
      </c>
      <c r="K231" t="s">
        <v>2006</v>
      </c>
      <c r="M231" t="s">
        <v>2007</v>
      </c>
      <c r="Q231" t="s">
        <v>1596</v>
      </c>
      <c r="R231" t="s">
        <v>790</v>
      </c>
      <c r="V231" t="s">
        <v>1704</v>
      </c>
      <c r="W231" t="s">
        <v>780</v>
      </c>
      <c r="X231" t="s">
        <v>816</v>
      </c>
      <c r="Z231" s="31">
        <v>46038</v>
      </c>
      <c r="AA231">
        <v>51300</v>
      </c>
      <c r="AB231">
        <v>17345</v>
      </c>
      <c r="AC231">
        <v>160</v>
      </c>
      <c r="AD231" t="s">
        <v>44</v>
      </c>
      <c r="AE231" s="31">
        <v>45889</v>
      </c>
      <c r="AF231" s="61">
        <v>0.44634259259259262</v>
      </c>
      <c r="AH231" t="s">
        <v>818</v>
      </c>
      <c r="AI231" s="31">
        <v>46049</v>
      </c>
      <c r="AJ231" s="61">
        <v>0.70980324074074075</v>
      </c>
      <c r="AM231" t="s">
        <v>2008</v>
      </c>
      <c r="AN231" t="s">
        <v>2008</v>
      </c>
      <c r="AO231" t="s">
        <v>44</v>
      </c>
      <c r="AP231" t="s">
        <v>2009</v>
      </c>
      <c r="AR231" s="31">
        <v>46028</v>
      </c>
      <c r="AX231">
        <v>1</v>
      </c>
    </row>
    <row r="232" spans="1:50" x14ac:dyDescent="0.25">
      <c r="A232" t="s">
        <v>44</v>
      </c>
      <c r="B232">
        <v>539</v>
      </c>
      <c r="D232">
        <v>2490</v>
      </c>
      <c r="F232" t="s">
        <v>2010</v>
      </c>
      <c r="G232" t="s">
        <v>2011</v>
      </c>
      <c r="H232">
        <v>39679781000128</v>
      </c>
      <c r="J232" t="s">
        <v>2010</v>
      </c>
      <c r="K232" t="s">
        <v>2012</v>
      </c>
      <c r="M232" t="s">
        <v>2013</v>
      </c>
      <c r="Q232" t="s">
        <v>1094</v>
      </c>
      <c r="R232" t="s">
        <v>790</v>
      </c>
      <c r="S232" t="s">
        <v>805</v>
      </c>
      <c r="W232" t="s">
        <v>780</v>
      </c>
      <c r="X232" t="s">
        <v>857</v>
      </c>
      <c r="Z232" s="31"/>
      <c r="AA232">
        <v>67840</v>
      </c>
      <c r="AB232">
        <v>13781</v>
      </c>
      <c r="AC232">
        <v>69</v>
      </c>
      <c r="AD232" t="s">
        <v>44</v>
      </c>
      <c r="AE232" s="31">
        <v>45889</v>
      </c>
      <c r="AF232" s="61">
        <v>0.46962962962962962</v>
      </c>
      <c r="AH232" t="s">
        <v>795</v>
      </c>
      <c r="AI232" s="31">
        <v>45958</v>
      </c>
      <c r="AJ232" s="61">
        <v>0.43357638888888889</v>
      </c>
      <c r="AK232" t="s">
        <v>858</v>
      </c>
      <c r="AL232" t="s">
        <v>5352</v>
      </c>
      <c r="AN232" t="s">
        <v>2002</v>
      </c>
      <c r="AR232" s="31"/>
      <c r="AX232">
        <v>1</v>
      </c>
    </row>
    <row r="233" spans="1:50" x14ac:dyDescent="0.25">
      <c r="A233" t="s">
        <v>44</v>
      </c>
      <c r="B233">
        <v>540</v>
      </c>
      <c r="D233">
        <v>2493</v>
      </c>
      <c r="F233" t="s">
        <v>2014</v>
      </c>
      <c r="G233" t="s">
        <v>2015</v>
      </c>
      <c r="H233">
        <v>43066372000204</v>
      </c>
      <c r="J233" t="s">
        <v>2014</v>
      </c>
      <c r="K233" t="s">
        <v>2016</v>
      </c>
      <c r="M233" t="s">
        <v>2017</v>
      </c>
      <c r="Q233" t="s">
        <v>2018</v>
      </c>
      <c r="R233" t="s">
        <v>790</v>
      </c>
      <c r="S233" t="s">
        <v>805</v>
      </c>
      <c r="W233" t="s">
        <v>780</v>
      </c>
      <c r="X233" t="s">
        <v>857</v>
      </c>
      <c r="Z233" s="31"/>
      <c r="AA233">
        <v>16960</v>
      </c>
      <c r="AB233">
        <v>37712</v>
      </c>
      <c r="AC233">
        <v>71</v>
      </c>
      <c r="AD233" t="s">
        <v>44</v>
      </c>
      <c r="AE233" s="31">
        <v>45889</v>
      </c>
      <c r="AF233" s="61">
        <v>0.4788310185185185</v>
      </c>
      <c r="AH233" t="s">
        <v>795</v>
      </c>
      <c r="AI233" s="31">
        <v>45960</v>
      </c>
      <c r="AJ233" s="61">
        <v>0.42280092592592589</v>
      </c>
      <c r="AK233" t="s">
        <v>5338</v>
      </c>
      <c r="AL233" t="s">
        <v>5526</v>
      </c>
      <c r="AN233" t="s">
        <v>2020</v>
      </c>
      <c r="AP233" t="s">
        <v>2021</v>
      </c>
      <c r="AR233" s="31"/>
      <c r="AX233">
        <v>1</v>
      </c>
    </row>
    <row r="234" spans="1:50" x14ac:dyDescent="0.25">
      <c r="A234" t="s">
        <v>44</v>
      </c>
      <c r="B234">
        <v>542</v>
      </c>
      <c r="D234">
        <v>2496</v>
      </c>
      <c r="G234" t="s">
        <v>5527</v>
      </c>
      <c r="H234">
        <v>1715468000125</v>
      </c>
      <c r="J234" t="s">
        <v>2023</v>
      </c>
      <c r="K234" t="s">
        <v>2024</v>
      </c>
      <c r="M234" t="s">
        <v>2025</v>
      </c>
      <c r="Q234" t="s">
        <v>2026</v>
      </c>
      <c r="R234" t="s">
        <v>1105</v>
      </c>
      <c r="V234" t="s">
        <v>1718</v>
      </c>
      <c r="W234" t="s">
        <v>780</v>
      </c>
      <c r="X234" t="s">
        <v>793</v>
      </c>
      <c r="Z234" s="31"/>
      <c r="AA234">
        <v>212</v>
      </c>
      <c r="AB234">
        <v>69045</v>
      </c>
      <c r="AC234">
        <v>41</v>
      </c>
      <c r="AD234" t="s">
        <v>44</v>
      </c>
      <c r="AE234" s="31">
        <v>45890</v>
      </c>
      <c r="AF234" s="61">
        <v>0.39834490740740741</v>
      </c>
      <c r="AH234" t="s">
        <v>795</v>
      </c>
      <c r="AI234" s="31">
        <v>45931</v>
      </c>
      <c r="AJ234" s="61">
        <v>0.66620370370370374</v>
      </c>
      <c r="AK234" t="s">
        <v>5353</v>
      </c>
      <c r="AL234" t="s">
        <v>5528</v>
      </c>
      <c r="AN234" t="s">
        <v>2002</v>
      </c>
      <c r="AP234" t="s">
        <v>2002</v>
      </c>
      <c r="AQ234" t="s">
        <v>2028</v>
      </c>
      <c r="AR234" s="31"/>
      <c r="AX234">
        <v>1</v>
      </c>
    </row>
    <row r="235" spans="1:50" x14ac:dyDescent="0.25">
      <c r="A235" t="s">
        <v>22</v>
      </c>
      <c r="B235">
        <v>545</v>
      </c>
      <c r="D235">
        <v>2464</v>
      </c>
      <c r="G235" t="s">
        <v>2029</v>
      </c>
      <c r="J235" t="s">
        <v>914</v>
      </c>
      <c r="K235" t="s">
        <v>2030</v>
      </c>
      <c r="M235" t="s">
        <v>2031</v>
      </c>
      <c r="Q235" t="s">
        <v>923</v>
      </c>
      <c r="S235" t="s">
        <v>814</v>
      </c>
      <c r="W235" t="s">
        <v>780</v>
      </c>
      <c r="X235" t="s">
        <v>793</v>
      </c>
      <c r="Z235" s="31"/>
      <c r="AA235">
        <v>47500</v>
      </c>
      <c r="AB235">
        <v>28571</v>
      </c>
      <c r="AC235">
        <v>3</v>
      </c>
      <c r="AD235" t="s">
        <v>22</v>
      </c>
      <c r="AE235" s="31">
        <v>45891</v>
      </c>
      <c r="AF235" s="61">
        <v>0.68766203703703699</v>
      </c>
      <c r="AH235" t="s">
        <v>795</v>
      </c>
      <c r="AI235" s="31">
        <v>45894</v>
      </c>
      <c r="AJ235" s="61">
        <v>0.61422453703703705</v>
      </c>
      <c r="AK235" t="s">
        <v>5347</v>
      </c>
      <c r="AN235" t="s">
        <v>1944</v>
      </c>
      <c r="AO235" t="s">
        <v>22</v>
      </c>
      <c r="AP235" t="s">
        <v>1913</v>
      </c>
      <c r="AR235" s="31"/>
      <c r="AX235">
        <v>1</v>
      </c>
    </row>
    <row r="236" spans="1:50" x14ac:dyDescent="0.25">
      <c r="A236" t="s">
        <v>22</v>
      </c>
      <c r="B236">
        <v>546</v>
      </c>
      <c r="D236">
        <v>2463</v>
      </c>
      <c r="G236" t="s">
        <v>2032</v>
      </c>
      <c r="H236">
        <v>27616615000101</v>
      </c>
      <c r="J236" t="s">
        <v>2033</v>
      </c>
      <c r="K236" t="s">
        <v>2034</v>
      </c>
      <c r="M236" t="s">
        <v>2035</v>
      </c>
      <c r="Q236" t="s">
        <v>2036</v>
      </c>
      <c r="S236" t="s">
        <v>814</v>
      </c>
      <c r="V236" t="s">
        <v>1198</v>
      </c>
      <c r="W236" t="s">
        <v>780</v>
      </c>
      <c r="X236" t="s">
        <v>807</v>
      </c>
      <c r="Z236" s="31"/>
      <c r="AA236">
        <v>56000</v>
      </c>
      <c r="AB236">
        <v>340834</v>
      </c>
      <c r="AC236">
        <v>38</v>
      </c>
      <c r="AD236" t="s">
        <v>22</v>
      </c>
      <c r="AE236" s="31">
        <v>45891</v>
      </c>
      <c r="AF236" s="61">
        <v>0.68803240740740745</v>
      </c>
      <c r="AH236" t="s">
        <v>795</v>
      </c>
      <c r="AI236" s="31">
        <v>45929</v>
      </c>
      <c r="AJ236" s="61">
        <v>0.69619212962962962</v>
      </c>
      <c r="AK236" t="s">
        <v>5338</v>
      </c>
      <c r="AN236" t="s">
        <v>2037</v>
      </c>
      <c r="AO236" t="s">
        <v>22</v>
      </c>
      <c r="AP236" t="s">
        <v>2037</v>
      </c>
      <c r="AR236" s="31"/>
      <c r="AX236">
        <v>1</v>
      </c>
    </row>
    <row r="237" spans="1:50" x14ac:dyDescent="0.25">
      <c r="A237" t="s">
        <v>22</v>
      </c>
      <c r="B237">
        <v>550</v>
      </c>
      <c r="D237">
        <v>2506</v>
      </c>
      <c r="G237" t="s">
        <v>2038</v>
      </c>
      <c r="H237">
        <v>7225431000103</v>
      </c>
      <c r="J237" t="s">
        <v>2039</v>
      </c>
      <c r="K237" t="s">
        <v>2040</v>
      </c>
      <c r="M237" t="s">
        <v>2041</v>
      </c>
      <c r="W237" t="s">
        <v>780</v>
      </c>
      <c r="X237" t="s">
        <v>807</v>
      </c>
      <c r="Z237" s="31"/>
      <c r="AA237">
        <v>519984</v>
      </c>
      <c r="AB237">
        <v>15378</v>
      </c>
      <c r="AC237">
        <v>0</v>
      </c>
      <c r="AD237" t="s">
        <v>22</v>
      </c>
      <c r="AE237" s="31">
        <v>45894</v>
      </c>
      <c r="AF237" s="61">
        <v>0.60456018518518517</v>
      </c>
      <c r="AH237" t="s">
        <v>795</v>
      </c>
      <c r="AI237" s="31">
        <v>45894</v>
      </c>
      <c r="AJ237" s="61">
        <v>0.60668981481481477</v>
      </c>
      <c r="AK237" t="s">
        <v>5347</v>
      </c>
      <c r="AN237" t="s">
        <v>2042</v>
      </c>
      <c r="AO237" t="s">
        <v>22</v>
      </c>
      <c r="AP237" t="s">
        <v>2042</v>
      </c>
      <c r="AR237" s="31"/>
      <c r="AX237">
        <v>1</v>
      </c>
    </row>
    <row r="238" spans="1:50" x14ac:dyDescent="0.25">
      <c r="A238" t="s">
        <v>22</v>
      </c>
      <c r="B238">
        <v>552</v>
      </c>
      <c r="D238">
        <v>2508</v>
      </c>
      <c r="E238" t="s">
        <v>2043</v>
      </c>
      <c r="G238" t="s">
        <v>2044</v>
      </c>
      <c r="H238">
        <v>17739326000138</v>
      </c>
      <c r="J238" t="s">
        <v>2045</v>
      </c>
      <c r="K238" t="s">
        <v>2046</v>
      </c>
      <c r="M238" t="s">
        <v>2047</v>
      </c>
      <c r="V238" t="s">
        <v>1718</v>
      </c>
      <c r="W238" t="s">
        <v>780</v>
      </c>
      <c r="X238" t="s">
        <v>807</v>
      </c>
      <c r="Z238" s="31">
        <v>46044</v>
      </c>
      <c r="AA238">
        <v>15359994</v>
      </c>
      <c r="AB238">
        <v>924744</v>
      </c>
      <c r="AC238">
        <v>151</v>
      </c>
      <c r="AD238" t="s">
        <v>22</v>
      </c>
      <c r="AE238" s="31">
        <v>45894</v>
      </c>
      <c r="AF238" s="61">
        <v>0.61782407407407403</v>
      </c>
      <c r="AH238" t="s">
        <v>795</v>
      </c>
      <c r="AI238" s="31">
        <v>46045</v>
      </c>
      <c r="AJ238" s="61">
        <v>0.46665509259259258</v>
      </c>
      <c r="AK238" t="s">
        <v>858</v>
      </c>
      <c r="AN238" t="s">
        <v>2048</v>
      </c>
      <c r="AO238" t="s">
        <v>22</v>
      </c>
      <c r="AP238" t="s">
        <v>2048</v>
      </c>
      <c r="AR238" s="31">
        <v>46044</v>
      </c>
      <c r="AX238">
        <v>1</v>
      </c>
    </row>
    <row r="239" spans="1:50" x14ac:dyDescent="0.25">
      <c r="A239" t="s">
        <v>22</v>
      </c>
      <c r="B239">
        <v>553</v>
      </c>
      <c r="D239">
        <v>2509</v>
      </c>
      <c r="G239" t="s">
        <v>2049</v>
      </c>
      <c r="J239" t="s">
        <v>2050</v>
      </c>
      <c r="K239" t="s">
        <v>2051</v>
      </c>
      <c r="M239" t="s">
        <v>1111</v>
      </c>
      <c r="W239" t="s">
        <v>780</v>
      </c>
      <c r="X239" t="s">
        <v>816</v>
      </c>
      <c r="Z239" s="31"/>
      <c r="AA239">
        <v>9600</v>
      </c>
      <c r="AB239">
        <v>412064</v>
      </c>
      <c r="AC239">
        <v>84</v>
      </c>
      <c r="AD239" t="s">
        <v>22</v>
      </c>
      <c r="AE239" s="31">
        <v>45894</v>
      </c>
      <c r="AF239" s="61">
        <v>0.62391203703703701</v>
      </c>
      <c r="AH239" t="s">
        <v>818</v>
      </c>
      <c r="AI239" s="31">
        <v>45978</v>
      </c>
      <c r="AJ239" s="61">
        <v>0.64375000000000004</v>
      </c>
      <c r="AN239" t="s">
        <v>2048</v>
      </c>
      <c r="AO239" t="s">
        <v>22</v>
      </c>
      <c r="AP239" t="s">
        <v>2048</v>
      </c>
      <c r="AR239" s="31"/>
      <c r="AX239">
        <v>1</v>
      </c>
    </row>
    <row r="240" spans="1:50" x14ac:dyDescent="0.25">
      <c r="A240" t="s">
        <v>44</v>
      </c>
      <c r="B240">
        <v>557</v>
      </c>
      <c r="D240">
        <v>2516</v>
      </c>
      <c r="G240" t="s">
        <v>2052</v>
      </c>
      <c r="H240">
        <v>59716480000134</v>
      </c>
      <c r="J240" t="s">
        <v>5529</v>
      </c>
      <c r="K240" t="s">
        <v>2054</v>
      </c>
      <c r="M240" t="s">
        <v>2055</v>
      </c>
      <c r="Q240" t="s">
        <v>2056</v>
      </c>
      <c r="R240" t="s">
        <v>790</v>
      </c>
      <c r="W240" t="s">
        <v>780</v>
      </c>
      <c r="X240" t="s">
        <v>793</v>
      </c>
      <c r="Z240" s="31"/>
      <c r="AC240">
        <v>0</v>
      </c>
      <c r="AD240" t="s">
        <v>44</v>
      </c>
      <c r="AE240" s="31">
        <v>45897</v>
      </c>
      <c r="AF240" s="61">
        <v>0.70465277777777779</v>
      </c>
      <c r="AH240" t="s">
        <v>795</v>
      </c>
      <c r="AI240" s="31">
        <v>45897</v>
      </c>
      <c r="AJ240" s="61">
        <v>0.70849537037037036</v>
      </c>
      <c r="AK240" t="s">
        <v>5347</v>
      </c>
      <c r="AL240" t="s">
        <v>5530</v>
      </c>
      <c r="AN240" t="s">
        <v>2058</v>
      </c>
      <c r="AP240" t="s">
        <v>2058</v>
      </c>
      <c r="AR240" s="31"/>
      <c r="AX240">
        <v>1</v>
      </c>
    </row>
    <row r="241" spans="1:50" x14ac:dyDescent="0.25">
      <c r="A241" t="s">
        <v>44</v>
      </c>
      <c r="B241">
        <v>558</v>
      </c>
      <c r="D241">
        <v>2518</v>
      </c>
      <c r="G241" t="s">
        <v>2059</v>
      </c>
      <c r="H241">
        <v>60315995000101</v>
      </c>
      <c r="J241" t="s">
        <v>5531</v>
      </c>
      <c r="K241" t="s">
        <v>2061</v>
      </c>
      <c r="M241" t="s">
        <v>2062</v>
      </c>
      <c r="Q241" t="s">
        <v>1950</v>
      </c>
      <c r="R241" t="s">
        <v>790</v>
      </c>
      <c r="W241" t="s">
        <v>780</v>
      </c>
      <c r="X241" t="s">
        <v>857</v>
      </c>
      <c r="Z241" s="31"/>
      <c r="AA241">
        <v>1600</v>
      </c>
      <c r="AB241">
        <v>323356</v>
      </c>
      <c r="AC241">
        <v>0</v>
      </c>
      <c r="AD241" t="s">
        <v>44</v>
      </c>
      <c r="AE241" s="31">
        <v>45898</v>
      </c>
      <c r="AF241" s="61">
        <v>0.44675925925925919</v>
      </c>
      <c r="AH241" t="s">
        <v>795</v>
      </c>
      <c r="AI241" s="31">
        <v>45898</v>
      </c>
      <c r="AJ241" s="61">
        <v>0.4629050925925926</v>
      </c>
      <c r="AK241" t="s">
        <v>5338</v>
      </c>
      <c r="AL241" t="s">
        <v>1951</v>
      </c>
      <c r="AN241" t="s">
        <v>1953</v>
      </c>
      <c r="AP241" t="s">
        <v>1952</v>
      </c>
      <c r="AR241" s="31"/>
      <c r="AX241">
        <v>1</v>
      </c>
    </row>
    <row r="242" spans="1:50" x14ac:dyDescent="0.25">
      <c r="A242" t="s">
        <v>44</v>
      </c>
      <c r="B242">
        <v>559</v>
      </c>
      <c r="C242">
        <v>155</v>
      </c>
      <c r="G242" t="s">
        <v>2063</v>
      </c>
      <c r="H242">
        <v>13609763000186</v>
      </c>
      <c r="I242" t="s">
        <v>870</v>
      </c>
      <c r="M242" t="s">
        <v>872</v>
      </c>
      <c r="Q242" t="s">
        <v>873</v>
      </c>
      <c r="R242" t="s">
        <v>874</v>
      </c>
      <c r="W242" t="s">
        <v>780</v>
      </c>
      <c r="X242" t="s">
        <v>857</v>
      </c>
      <c r="Z242" s="31"/>
      <c r="AA242">
        <v>16960</v>
      </c>
      <c r="AB242">
        <v>14256</v>
      </c>
      <c r="AC242">
        <v>32</v>
      </c>
      <c r="AD242" t="s">
        <v>44</v>
      </c>
      <c r="AE242" s="31">
        <v>45898</v>
      </c>
      <c r="AF242" s="61">
        <v>0.66320601851851857</v>
      </c>
      <c r="AH242" t="s">
        <v>795</v>
      </c>
      <c r="AI242" s="31">
        <v>45930</v>
      </c>
      <c r="AJ242" s="61">
        <v>0.68521990740740746</v>
      </c>
      <c r="AK242" t="s">
        <v>5338</v>
      </c>
      <c r="AL242" t="s">
        <v>5532</v>
      </c>
      <c r="AN242" t="s">
        <v>2065</v>
      </c>
      <c r="AR242" s="31"/>
      <c r="AX242">
        <v>1</v>
      </c>
    </row>
    <row r="243" spans="1:50" x14ac:dyDescent="0.25">
      <c r="A243" t="s">
        <v>44</v>
      </c>
      <c r="B243">
        <v>561</v>
      </c>
      <c r="D243">
        <v>2523</v>
      </c>
      <c r="G243" t="s">
        <v>2066</v>
      </c>
      <c r="H243">
        <v>4049280000183</v>
      </c>
      <c r="J243" t="s">
        <v>5533</v>
      </c>
      <c r="K243" t="s">
        <v>2006</v>
      </c>
      <c r="M243" t="s">
        <v>2007</v>
      </c>
      <c r="Q243" t="s">
        <v>1596</v>
      </c>
      <c r="R243" t="s">
        <v>790</v>
      </c>
      <c r="W243" t="s">
        <v>780</v>
      </c>
      <c r="X243" t="s">
        <v>816</v>
      </c>
      <c r="Z243" s="31"/>
      <c r="AA243">
        <v>1600</v>
      </c>
      <c r="AB243">
        <v>390556</v>
      </c>
      <c r="AC243">
        <v>61</v>
      </c>
      <c r="AD243" t="s">
        <v>44</v>
      </c>
      <c r="AE243" s="31">
        <v>45898</v>
      </c>
      <c r="AF243" s="61">
        <v>0.69483796296296296</v>
      </c>
      <c r="AH243" t="s">
        <v>795</v>
      </c>
      <c r="AI243" s="31">
        <v>45959</v>
      </c>
      <c r="AJ243" s="61">
        <v>0.44239583333333332</v>
      </c>
      <c r="AK243" t="s">
        <v>858</v>
      </c>
      <c r="AL243" t="s">
        <v>5534</v>
      </c>
      <c r="AM243" t="s">
        <v>2008</v>
      </c>
      <c r="AN243" t="s">
        <v>2008</v>
      </c>
      <c r="AP243" t="s">
        <v>2009</v>
      </c>
      <c r="AR243" s="31"/>
      <c r="AX243">
        <v>1</v>
      </c>
    </row>
    <row r="244" spans="1:50" x14ac:dyDescent="0.25">
      <c r="A244" t="s">
        <v>44</v>
      </c>
      <c r="B244">
        <v>562</v>
      </c>
      <c r="D244">
        <v>2526</v>
      </c>
      <c r="G244" t="s">
        <v>2069</v>
      </c>
      <c r="H244">
        <v>1715468000125</v>
      </c>
      <c r="J244" t="s">
        <v>2070</v>
      </c>
      <c r="K244" t="s">
        <v>2024</v>
      </c>
      <c r="M244" t="s">
        <v>2025</v>
      </c>
      <c r="Q244" t="s">
        <v>2026</v>
      </c>
      <c r="R244" t="s">
        <v>1105</v>
      </c>
      <c r="W244" t="s">
        <v>780</v>
      </c>
      <c r="X244" t="s">
        <v>857</v>
      </c>
      <c r="Z244" s="31"/>
      <c r="AA244">
        <v>1600</v>
      </c>
      <c r="AB244">
        <v>480156</v>
      </c>
      <c r="AC244">
        <v>33</v>
      </c>
      <c r="AD244" t="s">
        <v>44</v>
      </c>
      <c r="AE244" s="31">
        <v>45898</v>
      </c>
      <c r="AF244" s="61">
        <v>0.70328703703703699</v>
      </c>
      <c r="AH244" t="s">
        <v>795</v>
      </c>
      <c r="AI244" s="31">
        <v>45931</v>
      </c>
      <c r="AJ244" s="61">
        <v>0.66589120370370369</v>
      </c>
      <c r="AK244" t="s">
        <v>5353</v>
      </c>
      <c r="AL244" t="s">
        <v>5528</v>
      </c>
      <c r="AN244" t="s">
        <v>2002</v>
      </c>
      <c r="AR244" s="31"/>
      <c r="AX244">
        <v>1</v>
      </c>
    </row>
    <row r="245" spans="1:50" x14ac:dyDescent="0.25">
      <c r="A245" t="s">
        <v>44</v>
      </c>
      <c r="B245">
        <v>563</v>
      </c>
      <c r="D245">
        <v>2530</v>
      </c>
      <c r="G245" t="s">
        <v>2071</v>
      </c>
      <c r="H245">
        <v>1715468000125</v>
      </c>
      <c r="J245" t="s">
        <v>2072</v>
      </c>
      <c r="K245" t="s">
        <v>2024</v>
      </c>
      <c r="M245" t="s">
        <v>2025</v>
      </c>
      <c r="Q245" t="s">
        <v>2026</v>
      </c>
      <c r="R245" t="s">
        <v>1105</v>
      </c>
      <c r="W245" t="s">
        <v>780</v>
      </c>
      <c r="X245" t="s">
        <v>857</v>
      </c>
      <c r="Z245" s="31"/>
      <c r="AA245">
        <v>93280</v>
      </c>
      <c r="AB245">
        <v>1163416</v>
      </c>
      <c r="AC245">
        <v>33</v>
      </c>
      <c r="AD245" t="s">
        <v>44</v>
      </c>
      <c r="AE245" s="31">
        <v>45898</v>
      </c>
      <c r="AF245" s="61">
        <v>0.70486111111111116</v>
      </c>
      <c r="AH245" t="s">
        <v>795</v>
      </c>
      <c r="AI245" s="31">
        <v>45931</v>
      </c>
      <c r="AJ245" s="61">
        <v>0.66553240740740738</v>
      </c>
      <c r="AK245" t="s">
        <v>5353</v>
      </c>
      <c r="AL245" t="s">
        <v>5528</v>
      </c>
      <c r="AN245" t="s">
        <v>2002</v>
      </c>
      <c r="AR245" s="31"/>
      <c r="AX245">
        <v>1</v>
      </c>
    </row>
    <row r="246" spans="1:50" x14ac:dyDescent="0.25">
      <c r="A246" t="s">
        <v>44</v>
      </c>
      <c r="B246">
        <v>564</v>
      </c>
      <c r="D246">
        <v>2534</v>
      </c>
      <c r="G246" t="s">
        <v>2073</v>
      </c>
      <c r="J246" t="s">
        <v>2074</v>
      </c>
      <c r="K246" t="s">
        <v>2075</v>
      </c>
      <c r="M246" t="s">
        <v>1997</v>
      </c>
      <c r="W246" t="s">
        <v>780</v>
      </c>
      <c r="X246" t="s">
        <v>857</v>
      </c>
      <c r="Z246" s="31"/>
      <c r="AA246">
        <v>16200</v>
      </c>
      <c r="AB246">
        <v>2160</v>
      </c>
      <c r="AC246">
        <v>11</v>
      </c>
      <c r="AD246" t="s">
        <v>44</v>
      </c>
      <c r="AE246" s="31">
        <v>45898</v>
      </c>
      <c r="AF246" s="61">
        <v>0.73826388888888894</v>
      </c>
      <c r="AH246" t="s">
        <v>795</v>
      </c>
      <c r="AI246" s="31">
        <v>45909</v>
      </c>
      <c r="AJ246" s="61">
        <v>0.6477546296296296</v>
      </c>
      <c r="AK246" t="s">
        <v>858</v>
      </c>
      <c r="AL246" t="s">
        <v>5525</v>
      </c>
      <c r="AN246" t="s">
        <v>2001</v>
      </c>
      <c r="AR246" s="31"/>
      <c r="AX246">
        <v>1</v>
      </c>
    </row>
    <row r="247" spans="1:50" x14ac:dyDescent="0.25">
      <c r="A247" t="s">
        <v>31</v>
      </c>
      <c r="B247">
        <v>566</v>
      </c>
      <c r="D247">
        <v>2538</v>
      </c>
      <c r="F247" t="s">
        <v>2076</v>
      </c>
      <c r="G247" t="s">
        <v>2077</v>
      </c>
      <c r="H247">
        <v>46964028000140</v>
      </c>
      <c r="J247" t="s">
        <v>2076</v>
      </c>
      <c r="K247" t="s">
        <v>2078</v>
      </c>
      <c r="M247" t="s">
        <v>2079</v>
      </c>
      <c r="Q247" t="s">
        <v>2080</v>
      </c>
      <c r="R247" t="s">
        <v>956</v>
      </c>
      <c r="S247" t="s">
        <v>805</v>
      </c>
      <c r="W247" t="s">
        <v>780</v>
      </c>
      <c r="X247" t="s">
        <v>857</v>
      </c>
      <c r="Z247" s="31"/>
      <c r="AC247">
        <v>28</v>
      </c>
      <c r="AD247" t="s">
        <v>31</v>
      </c>
      <c r="AE247" s="31">
        <v>45902</v>
      </c>
      <c r="AF247" s="61">
        <v>0.39876157407407409</v>
      </c>
      <c r="AH247" t="s">
        <v>795</v>
      </c>
      <c r="AI247" s="31">
        <v>45930</v>
      </c>
      <c r="AJ247" s="61">
        <v>0.40609953703703711</v>
      </c>
      <c r="AK247" t="s">
        <v>5347</v>
      </c>
      <c r="AR247" s="31"/>
      <c r="AX247">
        <v>1</v>
      </c>
    </row>
    <row r="248" spans="1:50" x14ac:dyDescent="0.25">
      <c r="A248" t="s">
        <v>31</v>
      </c>
      <c r="B248">
        <v>567</v>
      </c>
      <c r="D248">
        <v>2541</v>
      </c>
      <c r="F248" t="s">
        <v>2081</v>
      </c>
      <c r="G248" t="s">
        <v>2082</v>
      </c>
      <c r="H248">
        <v>13039863000203</v>
      </c>
      <c r="J248" t="s">
        <v>2081</v>
      </c>
      <c r="K248" t="s">
        <v>5535</v>
      </c>
      <c r="M248" t="s">
        <v>2084</v>
      </c>
      <c r="Q248" t="s">
        <v>1094</v>
      </c>
      <c r="R248" t="s">
        <v>790</v>
      </c>
      <c r="S248" t="s">
        <v>805</v>
      </c>
      <c r="V248" t="s">
        <v>2085</v>
      </c>
      <c r="W248" t="s">
        <v>780</v>
      </c>
      <c r="X248" t="s">
        <v>781</v>
      </c>
      <c r="Z248" s="31"/>
      <c r="AC248">
        <v>98</v>
      </c>
      <c r="AD248" t="s">
        <v>31</v>
      </c>
      <c r="AE248" s="31">
        <v>45902</v>
      </c>
      <c r="AF248" s="61">
        <v>0.45640046296296288</v>
      </c>
      <c r="AH248" t="s">
        <v>795</v>
      </c>
      <c r="AI248" s="31">
        <v>46000</v>
      </c>
      <c r="AJ248" s="61">
        <v>0.49209490740740741</v>
      </c>
      <c r="AK248" t="s">
        <v>5338</v>
      </c>
      <c r="AR248" s="31"/>
      <c r="AX248">
        <v>1</v>
      </c>
    </row>
    <row r="249" spans="1:50" x14ac:dyDescent="0.25">
      <c r="A249" t="s">
        <v>22</v>
      </c>
      <c r="B249">
        <v>575</v>
      </c>
      <c r="D249">
        <v>2547</v>
      </c>
      <c r="G249" t="s">
        <v>2086</v>
      </c>
      <c r="J249" t="s">
        <v>2087</v>
      </c>
      <c r="K249" t="s">
        <v>2088</v>
      </c>
      <c r="M249" t="s">
        <v>2089</v>
      </c>
      <c r="Q249" t="s">
        <v>923</v>
      </c>
      <c r="S249" t="s">
        <v>814</v>
      </c>
      <c r="V249" t="s">
        <v>1198</v>
      </c>
      <c r="W249" t="s">
        <v>780</v>
      </c>
      <c r="X249" t="s">
        <v>793</v>
      </c>
      <c r="Z249" s="31"/>
      <c r="AC249">
        <v>19</v>
      </c>
      <c r="AD249" t="s">
        <v>22</v>
      </c>
      <c r="AE249" s="31">
        <v>45910</v>
      </c>
      <c r="AF249" s="61">
        <v>0.65240740740740744</v>
      </c>
      <c r="AH249" t="s">
        <v>795</v>
      </c>
      <c r="AI249" s="31">
        <v>45929</v>
      </c>
      <c r="AJ249" s="61">
        <v>0.69554398148148144</v>
      </c>
      <c r="AK249" t="s">
        <v>5392</v>
      </c>
      <c r="AN249" t="s">
        <v>2037</v>
      </c>
      <c r="AO249" t="s">
        <v>22</v>
      </c>
      <c r="AP249" t="s">
        <v>2037</v>
      </c>
      <c r="AR249" s="31"/>
      <c r="AX249">
        <v>1</v>
      </c>
    </row>
    <row r="250" spans="1:50" x14ac:dyDescent="0.25">
      <c r="A250" t="s">
        <v>44</v>
      </c>
      <c r="B250">
        <v>576</v>
      </c>
      <c r="D250">
        <v>2551</v>
      </c>
      <c r="F250" t="s">
        <v>2090</v>
      </c>
      <c r="G250" t="s">
        <v>2091</v>
      </c>
      <c r="H250">
        <v>36621794000158</v>
      </c>
      <c r="J250" t="s">
        <v>2090</v>
      </c>
      <c r="K250" t="s">
        <v>2092</v>
      </c>
      <c r="M250" t="s">
        <v>2093</v>
      </c>
      <c r="Q250" t="s">
        <v>2094</v>
      </c>
      <c r="R250" t="s">
        <v>790</v>
      </c>
      <c r="S250" t="s">
        <v>805</v>
      </c>
      <c r="W250" t="s">
        <v>780</v>
      </c>
      <c r="X250" t="s">
        <v>857</v>
      </c>
      <c r="Z250" s="31"/>
      <c r="AA250">
        <v>10176</v>
      </c>
      <c r="AB250">
        <v>2060</v>
      </c>
      <c r="AC250">
        <v>23</v>
      </c>
      <c r="AD250" t="s">
        <v>44</v>
      </c>
      <c r="AE250" s="31">
        <v>45910</v>
      </c>
      <c r="AF250" s="61">
        <v>0.66196759259259264</v>
      </c>
      <c r="AH250" t="s">
        <v>795</v>
      </c>
      <c r="AI250" s="31">
        <v>45933</v>
      </c>
      <c r="AJ250" s="61">
        <v>0.41651620370370368</v>
      </c>
      <c r="AK250" t="s">
        <v>934</v>
      </c>
      <c r="AL250" t="s">
        <v>5536</v>
      </c>
      <c r="AN250" t="s">
        <v>2096</v>
      </c>
      <c r="AP250" t="s">
        <v>2097</v>
      </c>
      <c r="AR250" s="31"/>
      <c r="AX250">
        <v>1</v>
      </c>
    </row>
    <row r="251" spans="1:50" x14ac:dyDescent="0.25">
      <c r="A251" t="s">
        <v>22</v>
      </c>
      <c r="B251">
        <v>577</v>
      </c>
      <c r="D251">
        <v>2502</v>
      </c>
      <c r="G251" t="s">
        <v>2098</v>
      </c>
      <c r="J251" t="s">
        <v>2099</v>
      </c>
      <c r="K251" t="s">
        <v>2100</v>
      </c>
      <c r="M251" t="s">
        <v>2101</v>
      </c>
      <c r="Q251" t="s">
        <v>943</v>
      </c>
      <c r="S251" t="s">
        <v>814</v>
      </c>
      <c r="V251" t="s">
        <v>1198</v>
      </c>
      <c r="W251" t="s">
        <v>780</v>
      </c>
      <c r="X251" t="s">
        <v>807</v>
      </c>
      <c r="Z251" s="31"/>
      <c r="AC251">
        <v>0</v>
      </c>
      <c r="AD251" t="s">
        <v>22</v>
      </c>
      <c r="AE251" s="31">
        <v>45910</v>
      </c>
      <c r="AF251" s="61">
        <v>0.66309027777777774</v>
      </c>
      <c r="AH251" t="s">
        <v>795</v>
      </c>
      <c r="AI251" s="31">
        <v>45910</v>
      </c>
      <c r="AJ251" s="61">
        <v>0.66420138888888891</v>
      </c>
      <c r="AK251" t="s">
        <v>5347</v>
      </c>
      <c r="AN251" t="s">
        <v>2102</v>
      </c>
      <c r="AO251" t="s">
        <v>22</v>
      </c>
      <c r="AP251" t="s">
        <v>2102</v>
      </c>
      <c r="AR251" s="31"/>
      <c r="AX251">
        <v>1</v>
      </c>
    </row>
    <row r="252" spans="1:50" x14ac:dyDescent="0.25">
      <c r="A252" t="s">
        <v>22</v>
      </c>
      <c r="B252">
        <v>578</v>
      </c>
      <c r="D252">
        <v>2515</v>
      </c>
      <c r="G252" t="s">
        <v>2103</v>
      </c>
      <c r="J252" t="s">
        <v>2104</v>
      </c>
      <c r="K252" t="s">
        <v>2105</v>
      </c>
      <c r="M252" t="s">
        <v>2106</v>
      </c>
      <c r="Q252" t="s">
        <v>923</v>
      </c>
      <c r="S252" t="s">
        <v>814</v>
      </c>
      <c r="V252" t="s">
        <v>1186</v>
      </c>
      <c r="W252" t="s">
        <v>780</v>
      </c>
      <c r="X252" t="s">
        <v>793</v>
      </c>
      <c r="Z252" s="31"/>
      <c r="AC252">
        <v>0</v>
      </c>
      <c r="AD252" t="s">
        <v>22</v>
      </c>
      <c r="AE252" s="31">
        <v>45911</v>
      </c>
      <c r="AF252" s="61">
        <v>0.35787037037037039</v>
      </c>
      <c r="AH252" t="s">
        <v>795</v>
      </c>
      <c r="AI252" s="31">
        <v>45911</v>
      </c>
      <c r="AJ252" s="61">
        <v>0.35978009259259258</v>
      </c>
      <c r="AK252" t="s">
        <v>5347</v>
      </c>
      <c r="AN252" t="s">
        <v>2107</v>
      </c>
      <c r="AP252" t="s">
        <v>2107</v>
      </c>
      <c r="AR252" s="31"/>
      <c r="AX252">
        <v>1</v>
      </c>
    </row>
    <row r="253" spans="1:50" x14ac:dyDescent="0.25">
      <c r="A253" t="s">
        <v>44</v>
      </c>
      <c r="B253">
        <v>582</v>
      </c>
      <c r="D253">
        <v>2555</v>
      </c>
      <c r="E253" t="s">
        <v>2108</v>
      </c>
      <c r="G253" t="s">
        <v>1638</v>
      </c>
      <c r="H253">
        <v>32921219000110</v>
      </c>
      <c r="J253" t="s">
        <v>1639</v>
      </c>
      <c r="K253" t="s">
        <v>2111</v>
      </c>
      <c r="M253" t="s">
        <v>1580</v>
      </c>
      <c r="V253" t="s">
        <v>1581</v>
      </c>
      <c r="W253" t="s">
        <v>780</v>
      </c>
      <c r="X253" t="s">
        <v>816</v>
      </c>
      <c r="Z253" s="31">
        <v>46055</v>
      </c>
      <c r="AA253">
        <v>1600</v>
      </c>
      <c r="AB253">
        <v>256856</v>
      </c>
      <c r="AC253">
        <v>231</v>
      </c>
      <c r="AD253" t="s">
        <v>44</v>
      </c>
      <c r="AE253" s="31">
        <v>45911</v>
      </c>
      <c r="AF253" s="61">
        <v>0.54175925925925927</v>
      </c>
      <c r="AH253" t="s">
        <v>795</v>
      </c>
      <c r="AI253" s="31">
        <v>46142</v>
      </c>
      <c r="AJ253" s="61">
        <v>0.60453703703703698</v>
      </c>
      <c r="AK253" t="s">
        <v>858</v>
      </c>
      <c r="AL253" t="s">
        <v>5537</v>
      </c>
      <c r="AN253" t="s">
        <v>2112</v>
      </c>
      <c r="AO253" t="s">
        <v>44</v>
      </c>
      <c r="AP253" t="s">
        <v>2112</v>
      </c>
      <c r="AR253" s="31">
        <v>46003</v>
      </c>
      <c r="AS253">
        <v>80</v>
      </c>
      <c r="AX253">
        <v>1</v>
      </c>
    </row>
    <row r="254" spans="1:50" x14ac:dyDescent="0.25">
      <c r="A254" t="s">
        <v>22</v>
      </c>
      <c r="B254">
        <v>583</v>
      </c>
      <c r="D254">
        <v>578</v>
      </c>
      <c r="E254" t="s">
        <v>2113</v>
      </c>
      <c r="F254" t="s">
        <v>2114</v>
      </c>
      <c r="G254" t="s">
        <v>383</v>
      </c>
      <c r="H254">
        <v>7664689000289</v>
      </c>
      <c r="J254" t="s">
        <v>2114</v>
      </c>
      <c r="K254" t="s">
        <v>5538</v>
      </c>
      <c r="M254" t="s">
        <v>2116</v>
      </c>
      <c r="Q254" t="s">
        <v>2117</v>
      </c>
      <c r="R254" t="s">
        <v>1105</v>
      </c>
      <c r="S254" t="s">
        <v>805</v>
      </c>
      <c r="V254" t="s">
        <v>5539</v>
      </c>
      <c r="W254" t="s">
        <v>780</v>
      </c>
      <c r="X254" t="s">
        <v>807</v>
      </c>
      <c r="Z254" s="31">
        <v>46142</v>
      </c>
      <c r="AA254">
        <v>100800</v>
      </c>
      <c r="AB254">
        <v>5484</v>
      </c>
      <c r="AC254">
        <v>249</v>
      </c>
      <c r="AD254" t="s">
        <v>22</v>
      </c>
      <c r="AE254" s="31">
        <v>45911</v>
      </c>
      <c r="AF254" s="61">
        <v>0.66440972222222228</v>
      </c>
      <c r="AH254" t="s">
        <v>795</v>
      </c>
      <c r="AI254" s="31">
        <v>46160</v>
      </c>
      <c r="AJ254" s="61">
        <v>0.70096064814814818</v>
      </c>
      <c r="AK254" t="s">
        <v>5338</v>
      </c>
      <c r="AN254" t="s">
        <v>384</v>
      </c>
      <c r="AO254" t="s">
        <v>22</v>
      </c>
      <c r="AP254" t="s">
        <v>384</v>
      </c>
      <c r="AR254" s="31">
        <v>46112</v>
      </c>
      <c r="AS254">
        <v>30</v>
      </c>
      <c r="AT254" t="s">
        <v>2120</v>
      </c>
      <c r="AU254" t="s">
        <v>2121</v>
      </c>
      <c r="AV254" t="s">
        <v>2122</v>
      </c>
      <c r="AW254" t="s">
        <v>2123</v>
      </c>
      <c r="AX254">
        <v>1</v>
      </c>
    </row>
    <row r="255" spans="1:50" x14ac:dyDescent="0.25">
      <c r="A255" t="s">
        <v>44</v>
      </c>
      <c r="B255">
        <v>585</v>
      </c>
      <c r="D255">
        <v>2557</v>
      </c>
      <c r="G255" t="s">
        <v>2124</v>
      </c>
      <c r="J255" t="s">
        <v>2125</v>
      </c>
      <c r="K255" t="s">
        <v>2126</v>
      </c>
      <c r="M255" t="s">
        <v>2127</v>
      </c>
      <c r="W255" t="s">
        <v>780</v>
      </c>
      <c r="X255" t="s">
        <v>793</v>
      </c>
      <c r="Z255" s="31"/>
      <c r="AA255">
        <v>58088</v>
      </c>
      <c r="AB255">
        <v>645602</v>
      </c>
      <c r="AC255">
        <v>13</v>
      </c>
      <c r="AD255" t="s">
        <v>44</v>
      </c>
      <c r="AE255" s="31">
        <v>45912</v>
      </c>
      <c r="AF255" s="61">
        <v>0.61721064814814819</v>
      </c>
      <c r="AH255" t="s">
        <v>795</v>
      </c>
      <c r="AI255" s="31">
        <v>45925</v>
      </c>
      <c r="AJ255" s="61">
        <v>0.67640046296296297</v>
      </c>
      <c r="AK255" t="s">
        <v>934</v>
      </c>
      <c r="AL255" t="s">
        <v>5540</v>
      </c>
      <c r="AN255" t="s">
        <v>2129</v>
      </c>
      <c r="AP255" t="s">
        <v>2129</v>
      </c>
      <c r="AR255" s="31"/>
      <c r="AX255">
        <v>1</v>
      </c>
    </row>
    <row r="256" spans="1:50" x14ac:dyDescent="0.25">
      <c r="A256" t="s">
        <v>31</v>
      </c>
      <c r="B256">
        <v>587</v>
      </c>
      <c r="D256">
        <v>2559</v>
      </c>
      <c r="G256" t="s">
        <v>2130</v>
      </c>
      <c r="J256" t="s">
        <v>704</v>
      </c>
      <c r="K256" t="s">
        <v>2132</v>
      </c>
      <c r="M256" t="s">
        <v>1111</v>
      </c>
      <c r="W256" t="s">
        <v>780</v>
      </c>
      <c r="X256" t="s">
        <v>816</v>
      </c>
      <c r="Z256" s="31"/>
      <c r="AA256">
        <v>64200</v>
      </c>
      <c r="AB256">
        <v>254344</v>
      </c>
      <c r="AC256">
        <v>78</v>
      </c>
      <c r="AD256" t="s">
        <v>31</v>
      </c>
      <c r="AE256" s="31">
        <v>45915</v>
      </c>
      <c r="AF256" s="61">
        <v>0.4500925925925926</v>
      </c>
      <c r="AH256" t="s">
        <v>818</v>
      </c>
      <c r="AI256" s="31">
        <v>45993</v>
      </c>
      <c r="AJ256" s="61">
        <v>0.47207175925925932</v>
      </c>
      <c r="AN256" t="s">
        <v>2133</v>
      </c>
      <c r="AP256" t="s">
        <v>2134</v>
      </c>
      <c r="AQ256" t="s">
        <v>2135</v>
      </c>
      <c r="AR256" s="31"/>
      <c r="AX256">
        <v>1</v>
      </c>
    </row>
    <row r="257" spans="1:50" x14ac:dyDescent="0.25">
      <c r="A257" t="s">
        <v>44</v>
      </c>
      <c r="B257">
        <v>589</v>
      </c>
      <c r="D257">
        <v>2561</v>
      </c>
      <c r="G257" t="s">
        <v>2136</v>
      </c>
      <c r="H257">
        <v>7548592000120</v>
      </c>
      <c r="J257" t="s">
        <v>2137</v>
      </c>
      <c r="K257" t="s">
        <v>2138</v>
      </c>
      <c r="M257" t="s">
        <v>2139</v>
      </c>
      <c r="Q257" t="s">
        <v>2080</v>
      </c>
      <c r="R257" t="s">
        <v>956</v>
      </c>
      <c r="S257" t="s">
        <v>814</v>
      </c>
      <c r="V257" t="s">
        <v>1186</v>
      </c>
      <c r="W257" t="s">
        <v>780</v>
      </c>
      <c r="X257" t="s">
        <v>793</v>
      </c>
      <c r="Z257" s="31"/>
      <c r="AA257">
        <v>103032</v>
      </c>
      <c r="AB257">
        <v>696032</v>
      </c>
      <c r="AC257">
        <v>30</v>
      </c>
      <c r="AD257" t="s">
        <v>22</v>
      </c>
      <c r="AE257" s="31">
        <v>45916</v>
      </c>
      <c r="AF257" s="61">
        <v>0.40375</v>
      </c>
      <c r="AH257" t="s">
        <v>795</v>
      </c>
      <c r="AI257" s="31">
        <v>45946</v>
      </c>
      <c r="AJ257" s="61">
        <v>0.5009837962962963</v>
      </c>
      <c r="AK257" t="s">
        <v>5338</v>
      </c>
      <c r="AL257" t="s">
        <v>2140</v>
      </c>
      <c r="AN257" t="s">
        <v>2141</v>
      </c>
      <c r="AO257" t="s">
        <v>44</v>
      </c>
      <c r="AP257" t="s">
        <v>2142</v>
      </c>
      <c r="AQ257" t="s">
        <v>2141</v>
      </c>
      <c r="AR257" s="31"/>
      <c r="AX257">
        <v>1</v>
      </c>
    </row>
    <row r="258" spans="1:50" x14ac:dyDescent="0.25">
      <c r="A258" t="s">
        <v>44</v>
      </c>
      <c r="B258">
        <v>590</v>
      </c>
      <c r="D258">
        <v>2561</v>
      </c>
      <c r="G258" t="s">
        <v>2143</v>
      </c>
      <c r="H258">
        <v>7548592000120</v>
      </c>
      <c r="J258" t="s">
        <v>2137</v>
      </c>
      <c r="K258" t="s">
        <v>2138</v>
      </c>
      <c r="M258" t="s">
        <v>2139</v>
      </c>
      <c r="Q258" t="s">
        <v>2080</v>
      </c>
      <c r="R258" t="s">
        <v>956</v>
      </c>
      <c r="S258" t="s">
        <v>814</v>
      </c>
      <c r="V258" t="s">
        <v>1186</v>
      </c>
      <c r="W258" t="s">
        <v>780</v>
      </c>
      <c r="X258" t="s">
        <v>781</v>
      </c>
      <c r="Z258" s="31"/>
      <c r="AC258">
        <v>0</v>
      </c>
      <c r="AD258" t="s">
        <v>44</v>
      </c>
      <c r="AE258" s="31">
        <v>45916</v>
      </c>
      <c r="AF258" s="61">
        <v>0.4065509259259259</v>
      </c>
      <c r="AH258" t="s">
        <v>795</v>
      </c>
      <c r="AI258" s="31">
        <v>45916</v>
      </c>
      <c r="AJ258" s="61">
        <v>0.41540509259259262</v>
      </c>
      <c r="AK258" t="s">
        <v>5392</v>
      </c>
      <c r="AL258" t="s">
        <v>5541</v>
      </c>
      <c r="AR258" s="31"/>
      <c r="AX258">
        <v>1</v>
      </c>
    </row>
    <row r="259" spans="1:50" x14ac:dyDescent="0.25">
      <c r="A259" t="s">
        <v>44</v>
      </c>
      <c r="B259">
        <v>597</v>
      </c>
      <c r="D259">
        <v>2571</v>
      </c>
      <c r="F259" t="s">
        <v>2145</v>
      </c>
      <c r="G259" t="s">
        <v>2146</v>
      </c>
      <c r="H259">
        <v>49872306000127</v>
      </c>
      <c r="J259" t="s">
        <v>2145</v>
      </c>
      <c r="K259" t="s">
        <v>2147</v>
      </c>
      <c r="M259" t="s">
        <v>2148</v>
      </c>
      <c r="Q259" t="s">
        <v>2149</v>
      </c>
      <c r="R259" t="s">
        <v>790</v>
      </c>
      <c r="S259" t="s">
        <v>805</v>
      </c>
      <c r="W259" t="s">
        <v>780</v>
      </c>
      <c r="X259" t="s">
        <v>793</v>
      </c>
      <c r="Z259" s="31"/>
      <c r="AA259">
        <v>7021439</v>
      </c>
      <c r="AB259">
        <v>37362</v>
      </c>
      <c r="AC259">
        <v>14</v>
      </c>
      <c r="AD259" t="s">
        <v>44</v>
      </c>
      <c r="AE259" s="31">
        <v>45919</v>
      </c>
      <c r="AF259" s="61">
        <v>0.65909722222222222</v>
      </c>
      <c r="AH259" t="s">
        <v>795</v>
      </c>
      <c r="AI259" s="31">
        <v>45933</v>
      </c>
      <c r="AJ259" s="61">
        <v>0.40391203703703699</v>
      </c>
      <c r="AK259" t="s">
        <v>858</v>
      </c>
      <c r="AL259" t="s">
        <v>5542</v>
      </c>
      <c r="AN259" t="s">
        <v>2096</v>
      </c>
      <c r="AP259" t="s">
        <v>2096</v>
      </c>
      <c r="AR259" s="31"/>
      <c r="AX259">
        <v>1</v>
      </c>
    </row>
    <row r="260" spans="1:50" x14ac:dyDescent="0.25">
      <c r="A260" t="s">
        <v>22</v>
      </c>
      <c r="B260">
        <v>600</v>
      </c>
      <c r="D260">
        <v>2477</v>
      </c>
      <c r="G260" t="s">
        <v>2151</v>
      </c>
      <c r="J260" t="s">
        <v>802</v>
      </c>
      <c r="K260" t="s">
        <v>2152</v>
      </c>
      <c r="M260" t="s">
        <v>2153</v>
      </c>
      <c r="Q260" t="s">
        <v>923</v>
      </c>
      <c r="S260" t="s">
        <v>814</v>
      </c>
      <c r="V260" t="s">
        <v>1186</v>
      </c>
      <c r="W260" t="s">
        <v>780</v>
      </c>
      <c r="X260" t="s">
        <v>807</v>
      </c>
      <c r="Z260" s="31"/>
      <c r="AC260">
        <v>43</v>
      </c>
      <c r="AD260" t="s">
        <v>22</v>
      </c>
      <c r="AE260" s="31">
        <v>45923</v>
      </c>
      <c r="AF260" s="61">
        <v>0.7016782407407407</v>
      </c>
      <c r="AH260" t="s">
        <v>795</v>
      </c>
      <c r="AI260" s="31">
        <v>45966</v>
      </c>
      <c r="AJ260" s="61">
        <v>0.41437499999999999</v>
      </c>
      <c r="AK260" t="s">
        <v>5392</v>
      </c>
      <c r="AN260" t="s">
        <v>2037</v>
      </c>
      <c r="AO260" t="s">
        <v>22</v>
      </c>
      <c r="AP260" t="s">
        <v>2154</v>
      </c>
      <c r="AR260" s="31"/>
      <c r="AX260">
        <v>1</v>
      </c>
    </row>
    <row r="261" spans="1:50" x14ac:dyDescent="0.25">
      <c r="A261" t="s">
        <v>44</v>
      </c>
      <c r="B261">
        <v>601</v>
      </c>
      <c r="D261">
        <v>2579</v>
      </c>
      <c r="G261" t="s">
        <v>5543</v>
      </c>
      <c r="J261" t="s">
        <v>5544</v>
      </c>
      <c r="K261" t="s">
        <v>2126</v>
      </c>
      <c r="M261" t="s">
        <v>2127</v>
      </c>
      <c r="W261" t="s">
        <v>780</v>
      </c>
      <c r="X261" t="s">
        <v>793</v>
      </c>
      <c r="Z261" s="31"/>
      <c r="AA261">
        <v>1600</v>
      </c>
      <c r="AB261">
        <v>2396</v>
      </c>
      <c r="AC261">
        <v>1</v>
      </c>
      <c r="AD261" t="s">
        <v>44</v>
      </c>
      <c r="AE261" s="31">
        <v>45924</v>
      </c>
      <c r="AF261" s="61">
        <v>0.40835648148148151</v>
      </c>
      <c r="AH261" t="s">
        <v>795</v>
      </c>
      <c r="AI261" s="31">
        <v>45925</v>
      </c>
      <c r="AJ261" s="61">
        <v>0.67701388888888892</v>
      </c>
      <c r="AK261" t="s">
        <v>934</v>
      </c>
      <c r="AL261" t="s">
        <v>5545</v>
      </c>
      <c r="AN261" t="s">
        <v>2129</v>
      </c>
      <c r="AP261" t="s">
        <v>2129</v>
      </c>
      <c r="AR261" s="31"/>
      <c r="AX261">
        <v>1</v>
      </c>
    </row>
    <row r="262" spans="1:50" x14ac:dyDescent="0.25">
      <c r="A262" t="s">
        <v>44</v>
      </c>
      <c r="B262">
        <v>602</v>
      </c>
      <c r="D262">
        <v>2582</v>
      </c>
      <c r="F262" t="s">
        <v>2158</v>
      </c>
      <c r="G262" t="s">
        <v>2159</v>
      </c>
      <c r="H262">
        <v>11392803000155</v>
      </c>
      <c r="J262" t="s">
        <v>2158</v>
      </c>
      <c r="K262" t="s">
        <v>5546</v>
      </c>
      <c r="M262" t="s">
        <v>2161</v>
      </c>
      <c r="Q262" t="s">
        <v>2162</v>
      </c>
      <c r="R262" t="s">
        <v>932</v>
      </c>
      <c r="S262" t="s">
        <v>805</v>
      </c>
      <c r="W262" t="s">
        <v>780</v>
      </c>
      <c r="X262" t="s">
        <v>793</v>
      </c>
      <c r="Z262" s="31"/>
      <c r="AC262">
        <v>42</v>
      </c>
      <c r="AD262" t="s">
        <v>44</v>
      </c>
      <c r="AE262" s="31">
        <v>45924</v>
      </c>
      <c r="AF262" s="61">
        <v>0.59084490740740736</v>
      </c>
      <c r="AH262" t="s">
        <v>795</v>
      </c>
      <c r="AI262" s="31">
        <v>45966</v>
      </c>
      <c r="AJ262" s="61">
        <v>0.39526620370370369</v>
      </c>
      <c r="AK262" t="s">
        <v>5338</v>
      </c>
      <c r="AL262" t="s">
        <v>5547</v>
      </c>
      <c r="AP262" t="s">
        <v>2037</v>
      </c>
      <c r="AR262" s="31"/>
      <c r="AX262">
        <v>1</v>
      </c>
    </row>
    <row r="263" spans="1:50" x14ac:dyDescent="0.25">
      <c r="A263" t="s">
        <v>44</v>
      </c>
      <c r="B263">
        <v>603</v>
      </c>
      <c r="D263">
        <v>2581</v>
      </c>
      <c r="G263" t="s">
        <v>2164</v>
      </c>
      <c r="H263">
        <v>8019257000105</v>
      </c>
      <c r="J263" t="s">
        <v>2165</v>
      </c>
      <c r="M263" t="s">
        <v>2166</v>
      </c>
      <c r="Q263" t="s">
        <v>2167</v>
      </c>
      <c r="S263" t="s">
        <v>933</v>
      </c>
      <c r="W263" t="s">
        <v>780</v>
      </c>
      <c r="X263" t="s">
        <v>781</v>
      </c>
      <c r="Z263" s="31"/>
      <c r="AC263">
        <v>13</v>
      </c>
      <c r="AD263" t="s">
        <v>22</v>
      </c>
      <c r="AE263" s="31">
        <v>45924</v>
      </c>
      <c r="AF263" s="61">
        <v>0.66754629629629625</v>
      </c>
      <c r="AH263" t="s">
        <v>795</v>
      </c>
      <c r="AI263" s="31">
        <v>45937</v>
      </c>
      <c r="AJ263" s="61">
        <v>0.61364583333333333</v>
      </c>
      <c r="AK263" t="s">
        <v>858</v>
      </c>
      <c r="AL263" t="s">
        <v>5548</v>
      </c>
      <c r="AO263" t="s">
        <v>44</v>
      </c>
      <c r="AP263" t="s">
        <v>2169</v>
      </c>
      <c r="AR263" s="31"/>
      <c r="AX263">
        <v>1</v>
      </c>
    </row>
    <row r="264" spans="1:50" x14ac:dyDescent="0.25">
      <c r="A264" t="s">
        <v>44</v>
      </c>
      <c r="B264">
        <v>604</v>
      </c>
      <c r="D264">
        <v>2580</v>
      </c>
      <c r="E264" t="s">
        <v>5549</v>
      </c>
      <c r="G264" t="s">
        <v>2171</v>
      </c>
      <c r="J264" t="s">
        <v>2165</v>
      </c>
      <c r="K264" t="s">
        <v>2172</v>
      </c>
      <c r="M264" t="s">
        <v>2173</v>
      </c>
      <c r="S264" t="s">
        <v>933</v>
      </c>
      <c r="W264" t="s">
        <v>780</v>
      </c>
      <c r="X264" t="s">
        <v>781</v>
      </c>
      <c r="Z264" s="31"/>
      <c r="AC264">
        <v>13</v>
      </c>
      <c r="AD264" t="s">
        <v>22</v>
      </c>
      <c r="AE264" s="31">
        <v>45924</v>
      </c>
      <c r="AF264" s="61">
        <v>0.66814814814814816</v>
      </c>
      <c r="AH264" t="s">
        <v>795</v>
      </c>
      <c r="AI264" s="31">
        <v>45937</v>
      </c>
      <c r="AJ264" s="61">
        <v>0.40031250000000002</v>
      </c>
      <c r="AK264" t="s">
        <v>858</v>
      </c>
      <c r="AL264" t="s">
        <v>5550</v>
      </c>
      <c r="AO264" t="s">
        <v>44</v>
      </c>
      <c r="AP264" t="s">
        <v>2169</v>
      </c>
      <c r="AR264" s="31"/>
      <c r="AX264">
        <v>1</v>
      </c>
    </row>
    <row r="265" spans="1:50" x14ac:dyDescent="0.25">
      <c r="A265" t="s">
        <v>44</v>
      </c>
      <c r="B265">
        <v>607</v>
      </c>
      <c r="D265">
        <v>2590</v>
      </c>
      <c r="G265" t="s">
        <v>5551</v>
      </c>
      <c r="H265">
        <v>1099426000107</v>
      </c>
      <c r="J265" t="s">
        <v>5552</v>
      </c>
      <c r="K265" t="s">
        <v>2177</v>
      </c>
      <c r="M265" t="s">
        <v>2178</v>
      </c>
      <c r="W265" t="s">
        <v>780</v>
      </c>
      <c r="X265" t="s">
        <v>807</v>
      </c>
      <c r="Z265" s="31"/>
      <c r="AA265">
        <v>1600</v>
      </c>
      <c r="AB265">
        <v>3360</v>
      </c>
      <c r="AC265">
        <v>62</v>
      </c>
      <c r="AD265" t="s">
        <v>44</v>
      </c>
      <c r="AE265" s="31">
        <v>45925</v>
      </c>
      <c r="AF265" s="61">
        <v>0.66249999999999998</v>
      </c>
      <c r="AH265" t="s">
        <v>795</v>
      </c>
      <c r="AI265" s="31">
        <v>45987</v>
      </c>
      <c r="AJ265" s="61">
        <v>0.59446759259259263</v>
      </c>
      <c r="AK265" t="s">
        <v>5338</v>
      </c>
      <c r="AL265" t="s">
        <v>5553</v>
      </c>
      <c r="AN265" t="s">
        <v>2180</v>
      </c>
      <c r="AP265" t="s">
        <v>2180</v>
      </c>
      <c r="AR265" s="31"/>
      <c r="AX265">
        <v>1</v>
      </c>
    </row>
    <row r="266" spans="1:50" x14ac:dyDescent="0.25">
      <c r="A266" t="s">
        <v>44</v>
      </c>
      <c r="B266">
        <v>608</v>
      </c>
      <c r="D266">
        <v>2591</v>
      </c>
      <c r="G266" t="s">
        <v>5554</v>
      </c>
      <c r="H266">
        <v>6302372000159</v>
      </c>
      <c r="J266" t="s">
        <v>5555</v>
      </c>
      <c r="K266" t="s">
        <v>2183</v>
      </c>
      <c r="M266" t="s">
        <v>2184</v>
      </c>
      <c r="W266" t="s">
        <v>780</v>
      </c>
      <c r="X266" t="s">
        <v>816</v>
      </c>
      <c r="Z266" s="31"/>
      <c r="AA266">
        <v>260148</v>
      </c>
      <c r="AB266">
        <v>0</v>
      </c>
      <c r="AC266">
        <v>0</v>
      </c>
      <c r="AD266" t="s">
        <v>44</v>
      </c>
      <c r="AE266" s="31">
        <v>45925</v>
      </c>
      <c r="AF266" s="61">
        <v>0.66907407407407404</v>
      </c>
      <c r="AH266" t="s">
        <v>818</v>
      </c>
      <c r="AI266" s="31">
        <v>45925</v>
      </c>
      <c r="AJ266" s="61">
        <v>0.67554398148148154</v>
      </c>
      <c r="AN266" t="s">
        <v>2102</v>
      </c>
      <c r="AP266" t="s">
        <v>2102</v>
      </c>
      <c r="AR266" s="31"/>
      <c r="AX266">
        <v>1</v>
      </c>
    </row>
    <row r="267" spans="1:50" x14ac:dyDescent="0.25">
      <c r="A267" t="s">
        <v>44</v>
      </c>
      <c r="B267">
        <v>609</v>
      </c>
      <c r="D267">
        <v>2592</v>
      </c>
      <c r="G267" t="s">
        <v>2185</v>
      </c>
      <c r="H267">
        <v>7548592000120</v>
      </c>
      <c r="J267" t="s">
        <v>5556</v>
      </c>
      <c r="K267" t="s">
        <v>2187</v>
      </c>
      <c r="M267" t="s">
        <v>2139</v>
      </c>
      <c r="Q267" t="s">
        <v>2080</v>
      </c>
      <c r="R267" t="s">
        <v>956</v>
      </c>
      <c r="W267" t="s">
        <v>780</v>
      </c>
      <c r="X267" t="s">
        <v>793</v>
      </c>
      <c r="Z267" s="31"/>
      <c r="AA267">
        <v>16200</v>
      </c>
      <c r="AB267">
        <v>2160</v>
      </c>
      <c r="AC267">
        <v>21</v>
      </c>
      <c r="AD267" t="s">
        <v>44</v>
      </c>
      <c r="AE267" s="31">
        <v>45925</v>
      </c>
      <c r="AF267" s="61">
        <v>0.6938657407407407</v>
      </c>
      <c r="AH267" t="s">
        <v>795</v>
      </c>
      <c r="AI267" s="31">
        <v>45946</v>
      </c>
      <c r="AJ267" s="61">
        <v>0.5020486111111111</v>
      </c>
      <c r="AK267" t="s">
        <v>5338</v>
      </c>
      <c r="AL267" t="s">
        <v>2140</v>
      </c>
      <c r="AN267" t="s">
        <v>2141</v>
      </c>
      <c r="AP267" t="s">
        <v>2141</v>
      </c>
      <c r="AR267" s="31"/>
      <c r="AX267">
        <v>1</v>
      </c>
    </row>
    <row r="268" spans="1:50" x14ac:dyDescent="0.25">
      <c r="A268" t="s">
        <v>44</v>
      </c>
      <c r="B268">
        <v>610</v>
      </c>
      <c r="D268">
        <v>2595</v>
      </c>
      <c r="G268" t="s">
        <v>2189</v>
      </c>
      <c r="H268">
        <v>7548592000120</v>
      </c>
      <c r="J268" t="s">
        <v>5557</v>
      </c>
      <c r="K268" t="s">
        <v>2187</v>
      </c>
      <c r="M268" t="s">
        <v>2139</v>
      </c>
      <c r="Q268" t="s">
        <v>2080</v>
      </c>
      <c r="R268" t="s">
        <v>956</v>
      </c>
      <c r="W268" t="s">
        <v>780</v>
      </c>
      <c r="X268" t="s">
        <v>793</v>
      </c>
      <c r="Z268" s="31"/>
      <c r="AA268">
        <v>1600</v>
      </c>
      <c r="AB268">
        <v>405552</v>
      </c>
      <c r="AC268">
        <v>21</v>
      </c>
      <c r="AD268" t="s">
        <v>44</v>
      </c>
      <c r="AE268" s="31">
        <v>45925</v>
      </c>
      <c r="AF268" s="61">
        <v>0.69575231481481481</v>
      </c>
      <c r="AH268" t="s">
        <v>795</v>
      </c>
      <c r="AI268" s="31">
        <v>45946</v>
      </c>
      <c r="AJ268" s="61">
        <v>0.50145833333333334</v>
      </c>
      <c r="AK268" t="s">
        <v>5338</v>
      </c>
      <c r="AL268" t="s">
        <v>2140</v>
      </c>
      <c r="AN268" t="s">
        <v>2141</v>
      </c>
      <c r="AP268" t="s">
        <v>2141</v>
      </c>
      <c r="AR268" s="31"/>
      <c r="AX268">
        <v>1</v>
      </c>
    </row>
    <row r="269" spans="1:50" x14ac:dyDescent="0.25">
      <c r="A269" t="s">
        <v>31</v>
      </c>
      <c r="B269">
        <v>611</v>
      </c>
      <c r="D269">
        <v>2598</v>
      </c>
      <c r="G269" t="s">
        <v>2191</v>
      </c>
      <c r="H269">
        <v>11861121000306</v>
      </c>
      <c r="J269" t="s">
        <v>2192</v>
      </c>
      <c r="K269" t="s">
        <v>2193</v>
      </c>
      <c r="M269" t="s">
        <v>2194</v>
      </c>
      <c r="Q269" t="s">
        <v>923</v>
      </c>
      <c r="S269" t="s">
        <v>814</v>
      </c>
      <c r="V269" t="s">
        <v>1186</v>
      </c>
      <c r="W269" t="s">
        <v>780</v>
      </c>
      <c r="X269" t="s">
        <v>793</v>
      </c>
      <c r="Z269" s="31"/>
      <c r="AC269">
        <v>28</v>
      </c>
      <c r="AD269" t="s">
        <v>22</v>
      </c>
      <c r="AE269" s="31">
        <v>45926</v>
      </c>
      <c r="AF269" s="61">
        <v>0.42531249999999998</v>
      </c>
      <c r="AH269" t="s">
        <v>795</v>
      </c>
      <c r="AI269" s="31">
        <v>45954</v>
      </c>
      <c r="AJ269" s="61">
        <v>0.50206018518518514</v>
      </c>
      <c r="AK269" t="s">
        <v>5347</v>
      </c>
      <c r="AO269" t="s">
        <v>31</v>
      </c>
      <c r="AP269" t="s">
        <v>2195</v>
      </c>
      <c r="AR269" s="31"/>
      <c r="AX269">
        <v>1</v>
      </c>
    </row>
    <row r="270" spans="1:50" x14ac:dyDescent="0.25">
      <c r="A270" t="s">
        <v>44</v>
      </c>
      <c r="B270">
        <v>613</v>
      </c>
      <c r="D270">
        <v>2600</v>
      </c>
      <c r="E270" t="s">
        <v>4708</v>
      </c>
      <c r="G270" t="s">
        <v>2197</v>
      </c>
      <c r="H270">
        <v>221294000181</v>
      </c>
      <c r="J270" t="s">
        <v>5558</v>
      </c>
      <c r="K270" t="s">
        <v>2199</v>
      </c>
      <c r="M270" t="s">
        <v>2200</v>
      </c>
      <c r="Q270" t="s">
        <v>2201</v>
      </c>
      <c r="R270" t="s">
        <v>790</v>
      </c>
      <c r="V270" t="s">
        <v>1419</v>
      </c>
      <c r="W270" t="s">
        <v>780</v>
      </c>
      <c r="X270" t="s">
        <v>807</v>
      </c>
      <c r="Z270" s="31">
        <v>46112</v>
      </c>
      <c r="AA270">
        <v>81786</v>
      </c>
      <c r="AB270">
        <v>79654</v>
      </c>
      <c r="AC270">
        <v>233</v>
      </c>
      <c r="AD270" t="s">
        <v>44</v>
      </c>
      <c r="AE270" s="31">
        <v>45929</v>
      </c>
      <c r="AF270" s="61">
        <v>0.48745370370370372</v>
      </c>
      <c r="AH270" t="s">
        <v>782</v>
      </c>
      <c r="AI270" s="31"/>
      <c r="AJ270" s="61"/>
      <c r="AM270" t="s">
        <v>2202</v>
      </c>
      <c r="AN270" t="s">
        <v>2203</v>
      </c>
      <c r="AO270" t="s">
        <v>44</v>
      </c>
      <c r="AP270" t="s">
        <v>2037</v>
      </c>
      <c r="AR270" s="31">
        <v>46077</v>
      </c>
      <c r="AS270">
        <v>50</v>
      </c>
      <c r="AX270">
        <v>1</v>
      </c>
    </row>
    <row r="271" spans="1:50" x14ac:dyDescent="0.25">
      <c r="A271" t="s">
        <v>22</v>
      </c>
      <c r="B271">
        <v>614</v>
      </c>
      <c r="D271">
        <v>2603</v>
      </c>
      <c r="E271" t="s">
        <v>2204</v>
      </c>
      <c r="G271" t="s">
        <v>2205</v>
      </c>
      <c r="H271">
        <v>9517464000144</v>
      </c>
      <c r="J271" t="s">
        <v>5559</v>
      </c>
      <c r="M271" t="s">
        <v>2207</v>
      </c>
      <c r="V271" t="s">
        <v>5539</v>
      </c>
      <c r="W271" t="s">
        <v>780</v>
      </c>
      <c r="X271" t="s">
        <v>807</v>
      </c>
      <c r="Z271" s="31">
        <v>46112</v>
      </c>
      <c r="AA271">
        <v>254760</v>
      </c>
      <c r="AB271">
        <v>1578632</v>
      </c>
      <c r="AC271">
        <v>131</v>
      </c>
      <c r="AD271" t="s">
        <v>22</v>
      </c>
      <c r="AE271" s="31">
        <v>45929</v>
      </c>
      <c r="AF271" s="61">
        <v>0.72163194444444445</v>
      </c>
      <c r="AH271" t="s">
        <v>795</v>
      </c>
      <c r="AI271" s="31">
        <v>46060</v>
      </c>
      <c r="AJ271" s="61">
        <v>0.36658564814814809</v>
      </c>
      <c r="AK271" t="s">
        <v>858</v>
      </c>
      <c r="AL271" t="s">
        <v>2208</v>
      </c>
      <c r="AN271" t="s">
        <v>2209</v>
      </c>
      <c r="AO271" t="s">
        <v>22</v>
      </c>
      <c r="AP271" t="s">
        <v>2209</v>
      </c>
      <c r="AR271" s="31">
        <v>46060</v>
      </c>
      <c r="AS271">
        <v>30</v>
      </c>
      <c r="AX271">
        <v>1</v>
      </c>
    </row>
    <row r="272" spans="1:50" x14ac:dyDescent="0.25">
      <c r="A272" t="s">
        <v>22</v>
      </c>
      <c r="B272">
        <v>615</v>
      </c>
      <c r="D272">
        <v>2604</v>
      </c>
      <c r="G272" t="s">
        <v>2210</v>
      </c>
      <c r="H272">
        <v>73114894000114</v>
      </c>
      <c r="J272" t="s">
        <v>2211</v>
      </c>
      <c r="M272" t="s">
        <v>2212</v>
      </c>
      <c r="W272" t="s">
        <v>780</v>
      </c>
      <c r="X272" t="s">
        <v>807</v>
      </c>
      <c r="Z272" s="31"/>
      <c r="AC272">
        <v>0</v>
      </c>
      <c r="AD272" t="s">
        <v>22</v>
      </c>
      <c r="AE272" s="31">
        <v>45929</v>
      </c>
      <c r="AF272" s="61">
        <v>0.72408564814814813</v>
      </c>
      <c r="AH272" t="s">
        <v>795</v>
      </c>
      <c r="AI272" s="31">
        <v>45929</v>
      </c>
      <c r="AJ272" s="61">
        <v>0.72424768518518523</v>
      </c>
      <c r="AK272" t="s">
        <v>5347</v>
      </c>
      <c r="AN272" t="s">
        <v>2213</v>
      </c>
      <c r="AO272" t="s">
        <v>22</v>
      </c>
      <c r="AP272" t="s">
        <v>2213</v>
      </c>
      <c r="AR272" s="31"/>
      <c r="AX272">
        <v>1</v>
      </c>
    </row>
    <row r="273" spans="1:50" x14ac:dyDescent="0.25">
      <c r="A273" t="s">
        <v>22</v>
      </c>
      <c r="B273">
        <v>616</v>
      </c>
      <c r="D273">
        <v>2605</v>
      </c>
      <c r="G273" t="s">
        <v>2214</v>
      </c>
      <c r="H273">
        <v>18628799000120</v>
      </c>
      <c r="J273" t="s">
        <v>2215</v>
      </c>
      <c r="K273" t="s">
        <v>2216</v>
      </c>
      <c r="M273" t="s">
        <v>2217</v>
      </c>
      <c r="Q273" t="s">
        <v>1094</v>
      </c>
      <c r="R273" t="s">
        <v>790</v>
      </c>
      <c r="W273" t="s">
        <v>780</v>
      </c>
      <c r="X273" t="s">
        <v>807</v>
      </c>
      <c r="Z273" s="31"/>
      <c r="AC273">
        <v>37</v>
      </c>
      <c r="AD273" t="s">
        <v>22</v>
      </c>
      <c r="AE273" s="31">
        <v>45929</v>
      </c>
      <c r="AF273" s="61">
        <v>0.72835648148148147</v>
      </c>
      <c r="AH273" t="s">
        <v>795</v>
      </c>
      <c r="AI273" s="31">
        <v>45966</v>
      </c>
      <c r="AJ273" s="61">
        <v>0.41305555555555562</v>
      </c>
      <c r="AK273" t="s">
        <v>5392</v>
      </c>
      <c r="AN273" t="s">
        <v>2142</v>
      </c>
      <c r="AO273" t="s">
        <v>22</v>
      </c>
      <c r="AP273" t="s">
        <v>2209</v>
      </c>
      <c r="AR273" s="31"/>
      <c r="AX273">
        <v>1</v>
      </c>
    </row>
    <row r="274" spans="1:50" x14ac:dyDescent="0.25">
      <c r="A274" t="s">
        <v>44</v>
      </c>
      <c r="B274">
        <v>618</v>
      </c>
      <c r="D274">
        <v>2609</v>
      </c>
      <c r="G274" t="s">
        <v>2218</v>
      </c>
      <c r="H274">
        <v>49872306000127</v>
      </c>
      <c r="J274" t="s">
        <v>5560</v>
      </c>
      <c r="K274" t="s">
        <v>2220</v>
      </c>
      <c r="M274" t="s">
        <v>2148</v>
      </c>
      <c r="Q274" t="s">
        <v>2149</v>
      </c>
      <c r="R274" t="s">
        <v>790</v>
      </c>
      <c r="W274" t="s">
        <v>780</v>
      </c>
      <c r="X274" t="s">
        <v>793</v>
      </c>
      <c r="Z274" s="31"/>
      <c r="AA274">
        <v>1600</v>
      </c>
      <c r="AB274">
        <v>2468</v>
      </c>
      <c r="AC274">
        <v>3</v>
      </c>
      <c r="AD274" t="s">
        <v>44</v>
      </c>
      <c r="AE274" s="31">
        <v>45930</v>
      </c>
      <c r="AF274" s="61">
        <v>0.60990740740740745</v>
      </c>
      <c r="AH274" t="s">
        <v>795</v>
      </c>
      <c r="AI274" s="31">
        <v>45933</v>
      </c>
      <c r="AJ274" s="61">
        <v>0.40452546296296299</v>
      </c>
      <c r="AK274" t="s">
        <v>858</v>
      </c>
      <c r="AL274" t="s">
        <v>5542</v>
      </c>
      <c r="AN274" t="s">
        <v>2096</v>
      </c>
      <c r="AP274" t="s">
        <v>2096</v>
      </c>
      <c r="AR274" s="31"/>
      <c r="AX274">
        <v>1</v>
      </c>
    </row>
    <row r="275" spans="1:50" x14ac:dyDescent="0.25">
      <c r="A275" t="s">
        <v>44</v>
      </c>
      <c r="B275">
        <v>619</v>
      </c>
      <c r="D275">
        <v>2614</v>
      </c>
      <c r="G275" t="s">
        <v>5561</v>
      </c>
      <c r="H275">
        <v>1099426000107</v>
      </c>
      <c r="J275" t="s">
        <v>5562</v>
      </c>
      <c r="K275" t="s">
        <v>2177</v>
      </c>
      <c r="M275" t="s">
        <v>2178</v>
      </c>
      <c r="W275" t="s">
        <v>780</v>
      </c>
      <c r="X275" t="s">
        <v>816</v>
      </c>
      <c r="Z275" s="31"/>
      <c r="AA275">
        <v>2527318</v>
      </c>
      <c r="AB275">
        <v>0</v>
      </c>
      <c r="AC275">
        <v>29</v>
      </c>
      <c r="AD275" t="s">
        <v>44</v>
      </c>
      <c r="AE275" s="31">
        <v>45930</v>
      </c>
      <c r="AF275" s="61">
        <v>0.66567129629629629</v>
      </c>
      <c r="AH275" t="s">
        <v>818</v>
      </c>
      <c r="AI275" s="31">
        <v>45959</v>
      </c>
      <c r="AJ275" s="61">
        <v>0.45207175925925919</v>
      </c>
      <c r="AN275" t="s">
        <v>2223</v>
      </c>
      <c r="AR275" s="31"/>
      <c r="AX275">
        <v>1</v>
      </c>
    </row>
    <row r="276" spans="1:50" x14ac:dyDescent="0.25">
      <c r="A276" t="s">
        <v>22</v>
      </c>
      <c r="B276">
        <v>620</v>
      </c>
      <c r="D276">
        <v>2615</v>
      </c>
      <c r="G276" t="s">
        <v>2224</v>
      </c>
      <c r="H276">
        <v>5856090000130</v>
      </c>
      <c r="J276" t="s">
        <v>5563</v>
      </c>
      <c r="M276" t="s">
        <v>2226</v>
      </c>
      <c r="W276" t="s">
        <v>780</v>
      </c>
      <c r="X276" t="s">
        <v>807</v>
      </c>
      <c r="Z276" s="31"/>
      <c r="AC276">
        <v>36</v>
      </c>
      <c r="AD276" t="s">
        <v>22</v>
      </c>
      <c r="AE276" s="31">
        <v>45930</v>
      </c>
      <c r="AF276" s="61">
        <v>0.6699074074074074</v>
      </c>
      <c r="AH276" t="s">
        <v>795</v>
      </c>
      <c r="AI276" s="31">
        <v>45966</v>
      </c>
      <c r="AJ276" s="61">
        <v>0.41229166666666672</v>
      </c>
      <c r="AK276" t="s">
        <v>5347</v>
      </c>
      <c r="AN276" t="s">
        <v>2227</v>
      </c>
      <c r="AO276" t="s">
        <v>22</v>
      </c>
      <c r="AP276" t="s">
        <v>2227</v>
      </c>
      <c r="AR276" s="31"/>
      <c r="AX276">
        <v>1</v>
      </c>
    </row>
    <row r="277" spans="1:50" x14ac:dyDescent="0.25">
      <c r="A277" t="s">
        <v>44</v>
      </c>
      <c r="B277">
        <v>621</v>
      </c>
      <c r="D277">
        <v>2616</v>
      </c>
      <c r="G277" t="s">
        <v>5564</v>
      </c>
      <c r="J277" t="s">
        <v>5565</v>
      </c>
      <c r="K277" t="s">
        <v>2230</v>
      </c>
      <c r="M277" t="s">
        <v>2231</v>
      </c>
      <c r="W277" t="s">
        <v>780</v>
      </c>
      <c r="X277" t="s">
        <v>816</v>
      </c>
      <c r="Z277" s="31"/>
      <c r="AA277">
        <v>5406</v>
      </c>
      <c r="AB277">
        <v>0</v>
      </c>
      <c r="AC277">
        <v>0</v>
      </c>
      <c r="AD277" t="s">
        <v>44</v>
      </c>
      <c r="AE277" s="31">
        <v>45930</v>
      </c>
      <c r="AF277" s="61">
        <v>0.68820601851851848</v>
      </c>
      <c r="AH277" t="s">
        <v>818</v>
      </c>
      <c r="AI277" s="31">
        <v>45930</v>
      </c>
      <c r="AJ277" s="61">
        <v>0.68903935185185183</v>
      </c>
      <c r="AN277" t="s">
        <v>2141</v>
      </c>
      <c r="AR277" s="31"/>
      <c r="AX277">
        <v>1</v>
      </c>
    </row>
    <row r="278" spans="1:50" x14ac:dyDescent="0.25">
      <c r="A278" t="s">
        <v>44</v>
      </c>
      <c r="B278">
        <v>622</v>
      </c>
      <c r="D278">
        <v>2617</v>
      </c>
      <c r="G278" t="s">
        <v>2232</v>
      </c>
      <c r="J278" t="s">
        <v>2233</v>
      </c>
      <c r="K278" t="s">
        <v>2234</v>
      </c>
      <c r="M278" t="s">
        <v>2093</v>
      </c>
      <c r="W278" t="s">
        <v>780</v>
      </c>
      <c r="X278" t="s">
        <v>857</v>
      </c>
      <c r="Z278" s="31"/>
      <c r="AA278">
        <v>1600</v>
      </c>
      <c r="AB278">
        <v>2468</v>
      </c>
      <c r="AC278">
        <v>3</v>
      </c>
      <c r="AD278" t="s">
        <v>44</v>
      </c>
      <c r="AE278" s="31">
        <v>45930</v>
      </c>
      <c r="AF278" s="61">
        <v>0.69144675925925925</v>
      </c>
      <c r="AH278" t="s">
        <v>795</v>
      </c>
      <c r="AI278" s="31">
        <v>45933</v>
      </c>
      <c r="AJ278" s="61">
        <v>0.41620370370370369</v>
      </c>
      <c r="AK278" t="s">
        <v>934</v>
      </c>
      <c r="AL278" t="s">
        <v>5536</v>
      </c>
      <c r="AN278" t="s">
        <v>2096</v>
      </c>
      <c r="AP278" t="s">
        <v>2097</v>
      </c>
      <c r="AR278" s="31"/>
      <c r="AX278">
        <v>1</v>
      </c>
    </row>
    <row r="279" spans="1:50" x14ac:dyDescent="0.25">
      <c r="A279" t="s">
        <v>44</v>
      </c>
      <c r="B279">
        <v>623</v>
      </c>
      <c r="D279">
        <v>2618</v>
      </c>
      <c r="G279" t="s">
        <v>2235</v>
      </c>
      <c r="J279" t="s">
        <v>5566</v>
      </c>
      <c r="K279" t="s">
        <v>2234</v>
      </c>
      <c r="M279" t="s">
        <v>2093</v>
      </c>
      <c r="W279" t="s">
        <v>780</v>
      </c>
      <c r="X279" t="s">
        <v>857</v>
      </c>
      <c r="Z279" s="31"/>
      <c r="AA279">
        <v>59360</v>
      </c>
      <c r="AB279">
        <v>27562</v>
      </c>
      <c r="AC279">
        <v>3</v>
      </c>
      <c r="AD279" t="s">
        <v>44</v>
      </c>
      <c r="AE279" s="31">
        <v>45930</v>
      </c>
      <c r="AF279" s="61">
        <v>0.69359953703703703</v>
      </c>
      <c r="AH279" t="s">
        <v>795</v>
      </c>
      <c r="AI279" s="31">
        <v>45933</v>
      </c>
      <c r="AJ279" s="61">
        <v>0.41586805555555562</v>
      </c>
      <c r="AK279" t="s">
        <v>934</v>
      </c>
      <c r="AL279" t="s">
        <v>5536</v>
      </c>
      <c r="AN279" t="s">
        <v>2096</v>
      </c>
      <c r="AP279" t="s">
        <v>2097</v>
      </c>
      <c r="AR279" s="31"/>
      <c r="AX279">
        <v>1</v>
      </c>
    </row>
    <row r="280" spans="1:50" x14ac:dyDescent="0.25">
      <c r="A280" t="s">
        <v>22</v>
      </c>
      <c r="B280">
        <v>624</v>
      </c>
      <c r="D280">
        <v>2619</v>
      </c>
      <c r="G280" t="s">
        <v>2237</v>
      </c>
      <c r="J280" t="s">
        <v>5567</v>
      </c>
      <c r="K280" t="s">
        <v>2239</v>
      </c>
      <c r="M280" t="s">
        <v>1111</v>
      </c>
      <c r="W280" t="s">
        <v>780</v>
      </c>
      <c r="X280" t="s">
        <v>807</v>
      </c>
      <c r="Z280" s="31"/>
      <c r="AC280">
        <v>36</v>
      </c>
      <c r="AD280" t="s">
        <v>22</v>
      </c>
      <c r="AE280" s="31">
        <v>45930</v>
      </c>
      <c r="AF280" s="61">
        <v>0.7330902777777778</v>
      </c>
      <c r="AH280" t="s">
        <v>795</v>
      </c>
      <c r="AI280" s="31">
        <v>45966</v>
      </c>
      <c r="AJ280" s="61">
        <v>0.41091435185185188</v>
      </c>
      <c r="AK280" t="s">
        <v>5338</v>
      </c>
      <c r="AN280" t="s">
        <v>2227</v>
      </c>
      <c r="AO280" t="s">
        <v>22</v>
      </c>
      <c r="AP280" t="s">
        <v>2227</v>
      </c>
      <c r="AR280" s="31"/>
      <c r="AX280">
        <v>1</v>
      </c>
    </row>
    <row r="281" spans="1:50" x14ac:dyDescent="0.25">
      <c r="A281" t="s">
        <v>44</v>
      </c>
      <c r="B281">
        <v>628</v>
      </c>
      <c r="D281">
        <v>2622</v>
      </c>
      <c r="G281" t="s">
        <v>2240</v>
      </c>
      <c r="J281" t="s">
        <v>2241</v>
      </c>
      <c r="K281" t="s">
        <v>2242</v>
      </c>
      <c r="M281" t="s">
        <v>2243</v>
      </c>
      <c r="Q281" t="s">
        <v>2244</v>
      </c>
      <c r="S281" t="s">
        <v>814</v>
      </c>
      <c r="V281" t="s">
        <v>1186</v>
      </c>
      <c r="W281" t="s">
        <v>780</v>
      </c>
      <c r="X281" t="s">
        <v>897</v>
      </c>
      <c r="Z281" s="31"/>
      <c r="AC281">
        <v>4</v>
      </c>
      <c r="AD281" t="s">
        <v>22</v>
      </c>
      <c r="AE281" s="31">
        <v>45933</v>
      </c>
      <c r="AF281" s="61">
        <v>0.46578703703703711</v>
      </c>
      <c r="AH281" t="s">
        <v>795</v>
      </c>
      <c r="AI281" s="31">
        <v>45937</v>
      </c>
      <c r="AJ281" s="61">
        <v>0.39880787037037041</v>
      </c>
      <c r="AK281" t="s">
        <v>5419</v>
      </c>
      <c r="AL281" t="s">
        <v>5568</v>
      </c>
      <c r="AO281" t="s">
        <v>44</v>
      </c>
      <c r="AR281" s="31"/>
      <c r="AX281">
        <v>1</v>
      </c>
    </row>
    <row r="282" spans="1:50" x14ac:dyDescent="0.25">
      <c r="A282" t="s">
        <v>44</v>
      </c>
      <c r="B282">
        <v>634</v>
      </c>
      <c r="D282">
        <v>2631</v>
      </c>
      <c r="F282" t="s">
        <v>2246</v>
      </c>
      <c r="G282" t="s">
        <v>2247</v>
      </c>
      <c r="H282">
        <v>43400571000126</v>
      </c>
      <c r="J282" t="s">
        <v>2246</v>
      </c>
      <c r="K282" t="s">
        <v>2248</v>
      </c>
      <c r="M282" t="s">
        <v>2249</v>
      </c>
      <c r="Q282" t="s">
        <v>2250</v>
      </c>
      <c r="R282" t="s">
        <v>790</v>
      </c>
      <c r="S282" t="s">
        <v>805</v>
      </c>
      <c r="W282" t="s">
        <v>780</v>
      </c>
      <c r="X282" t="s">
        <v>793</v>
      </c>
      <c r="Z282" s="31"/>
      <c r="AA282">
        <v>7021439</v>
      </c>
      <c r="AB282">
        <v>417338</v>
      </c>
      <c r="AC282">
        <v>20</v>
      </c>
      <c r="AD282" t="s">
        <v>44</v>
      </c>
      <c r="AE282" s="31">
        <v>45939</v>
      </c>
      <c r="AF282" s="61">
        <v>0.65773148148148153</v>
      </c>
      <c r="AH282" t="s">
        <v>795</v>
      </c>
      <c r="AI282" s="31">
        <v>45959</v>
      </c>
      <c r="AJ282" s="61">
        <v>0.4332523148148148</v>
      </c>
      <c r="AK282" t="s">
        <v>5338</v>
      </c>
      <c r="AL282" t="s">
        <v>5339</v>
      </c>
      <c r="AN282" t="s">
        <v>2251</v>
      </c>
      <c r="AP282" t="s">
        <v>2251</v>
      </c>
      <c r="AR282" s="31"/>
      <c r="AX282">
        <v>1</v>
      </c>
    </row>
    <row r="283" spans="1:50" x14ac:dyDescent="0.25">
      <c r="A283" t="s">
        <v>44</v>
      </c>
      <c r="B283">
        <v>638</v>
      </c>
      <c r="D283">
        <v>2640</v>
      </c>
      <c r="G283" t="s">
        <v>5569</v>
      </c>
      <c r="J283" t="s">
        <v>5570</v>
      </c>
      <c r="K283" t="s">
        <v>2254</v>
      </c>
      <c r="M283" t="s">
        <v>1111</v>
      </c>
      <c r="W283" t="s">
        <v>780</v>
      </c>
      <c r="X283" t="s">
        <v>807</v>
      </c>
      <c r="Z283" s="31"/>
      <c r="AC283">
        <v>62</v>
      </c>
      <c r="AD283" t="s">
        <v>44</v>
      </c>
      <c r="AE283" s="31">
        <v>45940</v>
      </c>
      <c r="AF283" s="61">
        <v>0.64271990740740736</v>
      </c>
      <c r="AH283" t="s">
        <v>795</v>
      </c>
      <c r="AI283" s="31">
        <v>46002</v>
      </c>
      <c r="AJ283" s="61">
        <v>0.64072916666666668</v>
      </c>
      <c r="AK283" t="s">
        <v>5338</v>
      </c>
      <c r="AP283" t="s">
        <v>2251</v>
      </c>
      <c r="AR283" s="31"/>
      <c r="AX283">
        <v>1</v>
      </c>
    </row>
    <row r="284" spans="1:50" x14ac:dyDescent="0.25">
      <c r="A284" t="s">
        <v>22</v>
      </c>
      <c r="B284">
        <v>639</v>
      </c>
      <c r="D284">
        <v>2644</v>
      </c>
      <c r="G284" t="s">
        <v>2255</v>
      </c>
      <c r="J284" t="s">
        <v>2256</v>
      </c>
      <c r="K284" t="s">
        <v>2257</v>
      </c>
      <c r="M284" t="s">
        <v>1111</v>
      </c>
      <c r="W284" t="s">
        <v>780</v>
      </c>
      <c r="X284" t="s">
        <v>807</v>
      </c>
      <c r="Z284" s="31"/>
      <c r="AC284">
        <v>33</v>
      </c>
      <c r="AD284" t="s">
        <v>22</v>
      </c>
      <c r="AE284" s="31">
        <v>45945</v>
      </c>
      <c r="AF284" s="61">
        <v>0.73146990740740736</v>
      </c>
      <c r="AH284" t="s">
        <v>795</v>
      </c>
      <c r="AI284" s="31">
        <v>45978</v>
      </c>
      <c r="AJ284" s="61">
        <v>0.64398148148148149</v>
      </c>
      <c r="AK284" t="s">
        <v>934</v>
      </c>
      <c r="AN284" t="s">
        <v>2258</v>
      </c>
      <c r="AO284" t="s">
        <v>22</v>
      </c>
      <c r="AP284" t="s">
        <v>2258</v>
      </c>
      <c r="AR284" s="31"/>
      <c r="AX284">
        <v>1</v>
      </c>
    </row>
    <row r="285" spans="1:50" x14ac:dyDescent="0.25">
      <c r="A285" t="s">
        <v>44</v>
      </c>
      <c r="B285">
        <v>640</v>
      </c>
      <c r="D285">
        <v>2646</v>
      </c>
      <c r="G285" t="s">
        <v>2259</v>
      </c>
      <c r="J285" t="s">
        <v>2260</v>
      </c>
      <c r="K285" t="s">
        <v>2261</v>
      </c>
      <c r="M285" t="s">
        <v>2262</v>
      </c>
      <c r="W285" t="s">
        <v>780</v>
      </c>
      <c r="X285" t="s">
        <v>816</v>
      </c>
      <c r="Z285" s="31"/>
      <c r="AA285">
        <v>1380825</v>
      </c>
      <c r="AB285">
        <v>0</v>
      </c>
      <c r="AC285">
        <v>0</v>
      </c>
      <c r="AD285" t="s">
        <v>44</v>
      </c>
      <c r="AE285" s="31">
        <v>45946</v>
      </c>
      <c r="AF285" s="61">
        <v>0.61724537037037042</v>
      </c>
      <c r="AH285" t="s">
        <v>818</v>
      </c>
      <c r="AI285" s="31">
        <v>45946</v>
      </c>
      <c r="AJ285" s="61">
        <v>0.61929398148148151</v>
      </c>
      <c r="AN285" t="s">
        <v>2263</v>
      </c>
      <c r="AR285" s="31"/>
      <c r="AX285">
        <v>1</v>
      </c>
    </row>
    <row r="286" spans="1:50" x14ac:dyDescent="0.25">
      <c r="A286" t="s">
        <v>44</v>
      </c>
      <c r="B286">
        <v>641</v>
      </c>
      <c r="D286">
        <v>2647</v>
      </c>
      <c r="G286" t="s">
        <v>2264</v>
      </c>
      <c r="J286" t="s">
        <v>2265</v>
      </c>
      <c r="K286" t="s">
        <v>2266</v>
      </c>
      <c r="M286" t="s">
        <v>2249</v>
      </c>
      <c r="W286" t="s">
        <v>780</v>
      </c>
      <c r="X286" t="s">
        <v>793</v>
      </c>
      <c r="Z286" s="31"/>
      <c r="AA286">
        <v>1600</v>
      </c>
      <c r="AB286">
        <v>3695</v>
      </c>
      <c r="AC286">
        <v>13</v>
      </c>
      <c r="AD286" t="s">
        <v>44</v>
      </c>
      <c r="AE286" s="31">
        <v>45946</v>
      </c>
      <c r="AF286" s="61">
        <v>0.69593749999999999</v>
      </c>
      <c r="AH286" t="s">
        <v>795</v>
      </c>
      <c r="AI286" s="31">
        <v>45959</v>
      </c>
      <c r="AJ286" s="61">
        <v>0.43424768518518519</v>
      </c>
      <c r="AK286" t="s">
        <v>5338</v>
      </c>
      <c r="AL286" t="s">
        <v>2267</v>
      </c>
      <c r="AN286" t="s">
        <v>2251</v>
      </c>
      <c r="AP286" t="s">
        <v>2251</v>
      </c>
      <c r="AR286" s="31"/>
      <c r="AX286">
        <v>1</v>
      </c>
    </row>
    <row r="287" spans="1:50" x14ac:dyDescent="0.25">
      <c r="A287" t="s">
        <v>44</v>
      </c>
      <c r="B287">
        <v>642</v>
      </c>
      <c r="D287">
        <v>2648</v>
      </c>
      <c r="E287" t="s">
        <v>4708</v>
      </c>
      <c r="G287" t="s">
        <v>5571</v>
      </c>
      <c r="J287" t="s">
        <v>5572</v>
      </c>
      <c r="K287" t="s">
        <v>2199</v>
      </c>
      <c r="M287" t="s">
        <v>2200</v>
      </c>
      <c r="V287" t="s">
        <v>1419</v>
      </c>
      <c r="W287" t="s">
        <v>780</v>
      </c>
      <c r="X287" t="s">
        <v>807</v>
      </c>
      <c r="Z287" s="31">
        <v>46112</v>
      </c>
      <c r="AA287">
        <v>1600</v>
      </c>
      <c r="AB287">
        <v>335607</v>
      </c>
      <c r="AC287">
        <v>215</v>
      </c>
      <c r="AD287" t="s">
        <v>44</v>
      </c>
      <c r="AE287" s="31">
        <v>45947</v>
      </c>
      <c r="AF287" s="61">
        <v>0.40686342592592589</v>
      </c>
      <c r="AH287" t="s">
        <v>782</v>
      </c>
      <c r="AI287" s="31"/>
      <c r="AJ287" s="61"/>
      <c r="AN287" t="s">
        <v>2203</v>
      </c>
      <c r="AO287" t="s">
        <v>44</v>
      </c>
      <c r="AP287" t="s">
        <v>2202</v>
      </c>
      <c r="AR287" s="31">
        <v>46077</v>
      </c>
      <c r="AS287">
        <v>50</v>
      </c>
      <c r="AX287">
        <v>1</v>
      </c>
    </row>
    <row r="288" spans="1:50" x14ac:dyDescent="0.25">
      <c r="A288" t="s">
        <v>44</v>
      </c>
      <c r="B288">
        <v>643</v>
      </c>
      <c r="D288">
        <v>2649</v>
      </c>
      <c r="E288" t="s">
        <v>2270</v>
      </c>
      <c r="G288" t="s">
        <v>2271</v>
      </c>
      <c r="H288">
        <v>43028557000143</v>
      </c>
      <c r="J288" t="s">
        <v>2272</v>
      </c>
      <c r="K288" t="s">
        <v>2261</v>
      </c>
      <c r="M288" t="s">
        <v>2262</v>
      </c>
      <c r="V288" t="s">
        <v>1581</v>
      </c>
      <c r="W288" t="s">
        <v>780</v>
      </c>
      <c r="X288" t="s">
        <v>816</v>
      </c>
      <c r="Z288" s="31">
        <v>45989</v>
      </c>
      <c r="AA288">
        <v>0</v>
      </c>
      <c r="AB288">
        <v>3564</v>
      </c>
      <c r="AC288">
        <v>129</v>
      </c>
      <c r="AD288" t="s">
        <v>44</v>
      </c>
      <c r="AE288" s="31">
        <v>45947</v>
      </c>
      <c r="AF288" s="61">
        <v>0.4088310185185185</v>
      </c>
      <c r="AH288" t="s">
        <v>795</v>
      </c>
      <c r="AI288" s="31">
        <v>46076</v>
      </c>
      <c r="AJ288" s="61">
        <v>0.43260416666666668</v>
      </c>
      <c r="AK288" t="s">
        <v>5338</v>
      </c>
      <c r="AL288" t="s">
        <v>5573</v>
      </c>
      <c r="AN288" t="s">
        <v>2273</v>
      </c>
      <c r="AO288" t="s">
        <v>44</v>
      </c>
      <c r="AP288" t="s">
        <v>2274</v>
      </c>
      <c r="AR288" s="31">
        <v>46003</v>
      </c>
      <c r="AS288">
        <v>80</v>
      </c>
      <c r="AX288">
        <v>1</v>
      </c>
    </row>
    <row r="289" spans="1:50" x14ac:dyDescent="0.25">
      <c r="A289" t="s">
        <v>44</v>
      </c>
      <c r="B289">
        <v>644</v>
      </c>
      <c r="D289">
        <v>2650</v>
      </c>
      <c r="E289" t="s">
        <v>5574</v>
      </c>
      <c r="G289" t="s">
        <v>2276</v>
      </c>
      <c r="H289">
        <v>62499934000177</v>
      </c>
      <c r="J289" t="s">
        <v>5575</v>
      </c>
      <c r="K289" t="s">
        <v>2278</v>
      </c>
      <c r="M289" t="s">
        <v>2279</v>
      </c>
      <c r="Q289" t="s">
        <v>2280</v>
      </c>
      <c r="R289" t="s">
        <v>790</v>
      </c>
      <c r="V289" t="s">
        <v>1581</v>
      </c>
      <c r="W289" t="s">
        <v>780</v>
      </c>
      <c r="X289" t="s">
        <v>807</v>
      </c>
      <c r="Z289" s="31">
        <v>46081</v>
      </c>
      <c r="AA289">
        <v>118908</v>
      </c>
      <c r="AB289">
        <v>1304844</v>
      </c>
      <c r="AC289">
        <v>117</v>
      </c>
      <c r="AD289" t="s">
        <v>44</v>
      </c>
      <c r="AE289" s="31">
        <v>45947</v>
      </c>
      <c r="AF289" s="61">
        <v>0.42344907407407412</v>
      </c>
      <c r="AH289" t="s">
        <v>795</v>
      </c>
      <c r="AI289" s="31">
        <v>46064</v>
      </c>
      <c r="AJ289" s="61">
        <v>0.7311805555555555</v>
      </c>
      <c r="AK289" t="s">
        <v>5353</v>
      </c>
      <c r="AL289" t="s">
        <v>5576</v>
      </c>
      <c r="AN289" t="s">
        <v>2282</v>
      </c>
      <c r="AO289" t="s">
        <v>44</v>
      </c>
      <c r="AP289" t="s">
        <v>2274</v>
      </c>
      <c r="AQ289" t="s">
        <v>2283</v>
      </c>
      <c r="AR289" s="31">
        <v>46056</v>
      </c>
      <c r="AS289">
        <v>80</v>
      </c>
      <c r="AX289">
        <v>1</v>
      </c>
    </row>
    <row r="290" spans="1:50" x14ac:dyDescent="0.25">
      <c r="A290" t="s">
        <v>44</v>
      </c>
      <c r="B290">
        <v>645</v>
      </c>
      <c r="D290">
        <v>2654</v>
      </c>
      <c r="E290" t="s">
        <v>5574</v>
      </c>
      <c r="G290" t="s">
        <v>2284</v>
      </c>
      <c r="H290">
        <v>62499934000177</v>
      </c>
      <c r="J290" t="s">
        <v>5577</v>
      </c>
      <c r="K290" t="s">
        <v>2278</v>
      </c>
      <c r="M290" t="s">
        <v>2279</v>
      </c>
      <c r="Q290" t="s">
        <v>2280</v>
      </c>
      <c r="R290" t="s">
        <v>790</v>
      </c>
      <c r="V290" t="s">
        <v>1581</v>
      </c>
      <c r="W290" t="s">
        <v>780</v>
      </c>
      <c r="X290" t="s">
        <v>807</v>
      </c>
      <c r="Z290" s="31">
        <v>46081</v>
      </c>
      <c r="AA290">
        <v>1600</v>
      </c>
      <c r="AB290">
        <v>68466</v>
      </c>
      <c r="AC290">
        <v>117</v>
      </c>
      <c r="AD290" t="s">
        <v>44</v>
      </c>
      <c r="AE290" s="31">
        <v>45947</v>
      </c>
      <c r="AF290" s="61">
        <v>0.42556712962962961</v>
      </c>
      <c r="AH290" t="s">
        <v>795</v>
      </c>
      <c r="AI290" s="31">
        <v>46064</v>
      </c>
      <c r="AJ290" s="61">
        <v>0.73228009259259264</v>
      </c>
      <c r="AK290" t="s">
        <v>5353</v>
      </c>
      <c r="AL290" t="s">
        <v>5576</v>
      </c>
      <c r="AN290" t="s">
        <v>2286</v>
      </c>
      <c r="AO290" t="s">
        <v>44</v>
      </c>
      <c r="AP290" t="s">
        <v>2286</v>
      </c>
      <c r="AR290" s="31">
        <v>46056</v>
      </c>
      <c r="AS290">
        <v>80</v>
      </c>
      <c r="AX290">
        <v>1</v>
      </c>
    </row>
    <row r="291" spans="1:50" x14ac:dyDescent="0.25">
      <c r="A291" t="s">
        <v>44</v>
      </c>
      <c r="B291">
        <v>656</v>
      </c>
      <c r="D291">
        <v>2261</v>
      </c>
      <c r="F291" t="s">
        <v>2287</v>
      </c>
      <c r="G291" t="s">
        <v>2288</v>
      </c>
      <c r="H291">
        <v>37905383000157</v>
      </c>
      <c r="J291" t="s">
        <v>2287</v>
      </c>
      <c r="K291" t="s">
        <v>2289</v>
      </c>
      <c r="M291" t="s">
        <v>2290</v>
      </c>
      <c r="Q291" t="s">
        <v>1094</v>
      </c>
      <c r="R291" t="s">
        <v>790</v>
      </c>
      <c r="S291" t="s">
        <v>805</v>
      </c>
      <c r="W291" t="s">
        <v>780</v>
      </c>
      <c r="X291" t="s">
        <v>857</v>
      </c>
      <c r="Z291" s="31"/>
      <c r="AC291">
        <v>34</v>
      </c>
      <c r="AD291" t="s">
        <v>44</v>
      </c>
      <c r="AE291" s="31">
        <v>45952</v>
      </c>
      <c r="AF291" s="61">
        <v>0.71155092592592595</v>
      </c>
      <c r="AH291" t="s">
        <v>795</v>
      </c>
      <c r="AI291" s="31">
        <v>45986</v>
      </c>
      <c r="AJ291" s="61">
        <v>0.70568287037037036</v>
      </c>
      <c r="AK291" t="s">
        <v>858</v>
      </c>
      <c r="AR291" s="31"/>
      <c r="AX291">
        <v>1</v>
      </c>
    </row>
    <row r="292" spans="1:50" x14ac:dyDescent="0.25">
      <c r="A292" t="s">
        <v>44</v>
      </c>
      <c r="B292">
        <v>657</v>
      </c>
      <c r="D292">
        <v>2659</v>
      </c>
      <c r="G292" t="s">
        <v>2291</v>
      </c>
      <c r="J292" t="s">
        <v>5578</v>
      </c>
      <c r="K292" t="s">
        <v>2293</v>
      </c>
      <c r="M292" t="s">
        <v>2294</v>
      </c>
      <c r="Q292" t="s">
        <v>2295</v>
      </c>
      <c r="S292" t="s">
        <v>814</v>
      </c>
      <c r="V292" t="s">
        <v>1186</v>
      </c>
      <c r="W292" t="s">
        <v>780</v>
      </c>
      <c r="X292" t="s">
        <v>857</v>
      </c>
      <c r="Z292" s="31"/>
      <c r="AA292">
        <v>38380</v>
      </c>
      <c r="AB292">
        <v>107526</v>
      </c>
      <c r="AC292">
        <v>32</v>
      </c>
      <c r="AD292" t="s">
        <v>22</v>
      </c>
      <c r="AE292" s="31">
        <v>45953</v>
      </c>
      <c r="AF292" s="61">
        <v>0.63064814814814818</v>
      </c>
      <c r="AH292" t="s">
        <v>795</v>
      </c>
      <c r="AI292" s="31">
        <v>45985</v>
      </c>
      <c r="AJ292" s="61">
        <v>0.70120370370370366</v>
      </c>
      <c r="AK292" t="s">
        <v>5347</v>
      </c>
      <c r="AL292" t="s">
        <v>5579</v>
      </c>
      <c r="AN292" t="s">
        <v>2203</v>
      </c>
      <c r="AO292" t="s">
        <v>44</v>
      </c>
      <c r="AP292" t="s">
        <v>2297</v>
      </c>
      <c r="AR292" s="31"/>
      <c r="AX292">
        <v>1</v>
      </c>
    </row>
    <row r="293" spans="1:50" x14ac:dyDescent="0.25">
      <c r="A293" t="s">
        <v>44</v>
      </c>
      <c r="B293">
        <v>659</v>
      </c>
      <c r="D293">
        <v>2680</v>
      </c>
      <c r="G293" t="s">
        <v>2298</v>
      </c>
      <c r="J293" t="s">
        <v>2299</v>
      </c>
      <c r="K293" t="s">
        <v>2300</v>
      </c>
      <c r="M293" t="s">
        <v>2301</v>
      </c>
      <c r="Q293" t="s">
        <v>923</v>
      </c>
      <c r="S293" t="s">
        <v>814</v>
      </c>
      <c r="V293" t="s">
        <v>1186</v>
      </c>
      <c r="W293" t="s">
        <v>780</v>
      </c>
      <c r="X293" t="s">
        <v>897</v>
      </c>
      <c r="Z293" s="31"/>
      <c r="AC293">
        <v>9</v>
      </c>
      <c r="AD293" t="s">
        <v>22</v>
      </c>
      <c r="AE293" s="31">
        <v>45957</v>
      </c>
      <c r="AF293" s="61">
        <v>0.65108796296296301</v>
      </c>
      <c r="AH293" t="s">
        <v>795</v>
      </c>
      <c r="AI293" s="31">
        <v>45966</v>
      </c>
      <c r="AJ293" s="61">
        <v>0.38394675925925931</v>
      </c>
      <c r="AK293" t="s">
        <v>5419</v>
      </c>
      <c r="AL293" t="s">
        <v>5580</v>
      </c>
      <c r="AO293" t="s">
        <v>44</v>
      </c>
      <c r="AR293" s="31"/>
      <c r="AX293">
        <v>1</v>
      </c>
    </row>
    <row r="294" spans="1:50" x14ac:dyDescent="0.25">
      <c r="A294" t="s">
        <v>44</v>
      </c>
      <c r="B294">
        <v>662</v>
      </c>
      <c r="D294">
        <v>2684</v>
      </c>
      <c r="E294" t="s">
        <v>5581</v>
      </c>
      <c r="F294" t="s">
        <v>2304</v>
      </c>
      <c r="G294" t="s">
        <v>2305</v>
      </c>
      <c r="H294">
        <v>44628219000105</v>
      </c>
      <c r="J294" t="s">
        <v>2304</v>
      </c>
      <c r="K294" t="s">
        <v>2306</v>
      </c>
      <c r="M294" t="s">
        <v>2307</v>
      </c>
      <c r="Q294" t="s">
        <v>2308</v>
      </c>
      <c r="R294" t="s">
        <v>932</v>
      </c>
      <c r="S294" t="s">
        <v>805</v>
      </c>
      <c r="V294" t="s">
        <v>1718</v>
      </c>
      <c r="W294" t="s">
        <v>780</v>
      </c>
      <c r="X294" t="s">
        <v>807</v>
      </c>
      <c r="Z294" s="31">
        <v>46052</v>
      </c>
      <c r="AA294">
        <v>38380</v>
      </c>
      <c r="AB294">
        <v>107526</v>
      </c>
      <c r="AC294">
        <v>80</v>
      </c>
      <c r="AD294" t="s">
        <v>44</v>
      </c>
      <c r="AE294" s="31">
        <v>45958</v>
      </c>
      <c r="AF294" s="61">
        <v>0.42758101851851849</v>
      </c>
      <c r="AH294" t="s">
        <v>795</v>
      </c>
      <c r="AI294" s="31">
        <v>46038</v>
      </c>
      <c r="AJ294" s="61">
        <v>0.66612268518518514</v>
      </c>
      <c r="AK294" t="s">
        <v>934</v>
      </c>
      <c r="AL294" t="s">
        <v>5581</v>
      </c>
      <c r="AN294" t="s">
        <v>2309</v>
      </c>
      <c r="AP294" t="s">
        <v>2203</v>
      </c>
      <c r="AR294" s="31">
        <v>46038</v>
      </c>
      <c r="AX294">
        <v>1</v>
      </c>
    </row>
    <row r="295" spans="1:50" x14ac:dyDescent="0.25">
      <c r="A295" t="s">
        <v>44</v>
      </c>
      <c r="B295">
        <v>665</v>
      </c>
      <c r="D295">
        <v>2692</v>
      </c>
      <c r="E295" t="s">
        <v>5581</v>
      </c>
      <c r="G295" t="s">
        <v>5582</v>
      </c>
      <c r="J295" t="s">
        <v>5583</v>
      </c>
      <c r="K295" t="s">
        <v>2312</v>
      </c>
      <c r="M295" t="s">
        <v>2307</v>
      </c>
      <c r="V295" t="s">
        <v>1718</v>
      </c>
      <c r="W295" t="s">
        <v>780</v>
      </c>
      <c r="X295" t="s">
        <v>807</v>
      </c>
      <c r="Z295" s="31">
        <v>46052</v>
      </c>
      <c r="AA295">
        <v>1600</v>
      </c>
      <c r="AB295">
        <v>2174</v>
      </c>
      <c r="AC295">
        <v>79</v>
      </c>
      <c r="AD295" t="s">
        <v>44</v>
      </c>
      <c r="AE295" s="31">
        <v>45959</v>
      </c>
      <c r="AF295" s="61">
        <v>0.70923611111111107</v>
      </c>
      <c r="AH295" t="s">
        <v>795</v>
      </c>
      <c r="AI295" s="31">
        <v>46038</v>
      </c>
      <c r="AJ295" s="61">
        <v>0.66703703703703698</v>
      </c>
      <c r="AK295" t="s">
        <v>934</v>
      </c>
      <c r="AL295" t="s">
        <v>5581</v>
      </c>
      <c r="AN295" t="s">
        <v>2309</v>
      </c>
      <c r="AP295" t="s">
        <v>2203</v>
      </c>
      <c r="AR295" s="31">
        <v>46038</v>
      </c>
      <c r="AX295">
        <v>1</v>
      </c>
    </row>
    <row r="296" spans="1:50" x14ac:dyDescent="0.25">
      <c r="A296" t="s">
        <v>44</v>
      </c>
      <c r="B296">
        <v>667</v>
      </c>
      <c r="D296">
        <v>2698</v>
      </c>
      <c r="G296" t="s">
        <v>2313</v>
      </c>
      <c r="J296" t="s">
        <v>2314</v>
      </c>
      <c r="K296" t="s">
        <v>2315</v>
      </c>
      <c r="M296" t="s">
        <v>2294</v>
      </c>
      <c r="W296" t="s">
        <v>780</v>
      </c>
      <c r="X296" t="s">
        <v>857</v>
      </c>
      <c r="Z296" s="31"/>
      <c r="AA296">
        <v>1600</v>
      </c>
      <c r="AB296">
        <v>21746</v>
      </c>
      <c r="AC296">
        <v>25</v>
      </c>
      <c r="AD296" t="s">
        <v>44</v>
      </c>
      <c r="AE296" s="31">
        <v>45960</v>
      </c>
      <c r="AF296" s="61">
        <v>0.45494212962962971</v>
      </c>
      <c r="AH296" t="s">
        <v>795</v>
      </c>
      <c r="AI296" s="31">
        <v>45985</v>
      </c>
      <c r="AJ296" s="61">
        <v>0.70178240740740738</v>
      </c>
      <c r="AK296" t="s">
        <v>5347</v>
      </c>
      <c r="AL296" t="s">
        <v>5579</v>
      </c>
      <c r="AN296" t="s">
        <v>2203</v>
      </c>
      <c r="AP296" t="s">
        <v>2297</v>
      </c>
      <c r="AR296" s="31"/>
      <c r="AX296">
        <v>1</v>
      </c>
    </row>
    <row r="297" spans="1:50" x14ac:dyDescent="0.25">
      <c r="A297" t="s">
        <v>44</v>
      </c>
      <c r="B297">
        <v>669</v>
      </c>
      <c r="D297">
        <v>2718</v>
      </c>
      <c r="G297" t="s">
        <v>2316</v>
      </c>
      <c r="J297" t="s">
        <v>2317</v>
      </c>
      <c r="K297" t="s">
        <v>2318</v>
      </c>
      <c r="M297" t="s">
        <v>1111</v>
      </c>
      <c r="W297" t="s">
        <v>780</v>
      </c>
      <c r="X297" t="s">
        <v>793</v>
      </c>
      <c r="Z297" s="31"/>
      <c r="AA297">
        <v>0</v>
      </c>
      <c r="AB297">
        <v>2185</v>
      </c>
      <c r="AC297">
        <v>26</v>
      </c>
      <c r="AD297" t="s">
        <v>44</v>
      </c>
      <c r="AE297" s="31">
        <v>45961</v>
      </c>
      <c r="AF297" s="61">
        <v>0.4906712962962963</v>
      </c>
      <c r="AH297" t="s">
        <v>795</v>
      </c>
      <c r="AI297" s="31">
        <v>45987</v>
      </c>
      <c r="AJ297" s="61">
        <v>0.5857175925925926</v>
      </c>
      <c r="AK297" t="s">
        <v>5338</v>
      </c>
      <c r="AL297" t="s">
        <v>5584</v>
      </c>
      <c r="AN297" t="s">
        <v>2282</v>
      </c>
      <c r="AP297" t="s">
        <v>2282</v>
      </c>
      <c r="AR297" s="31"/>
      <c r="AX297">
        <v>1</v>
      </c>
    </row>
    <row r="298" spans="1:50" x14ac:dyDescent="0.25">
      <c r="A298" t="s">
        <v>31</v>
      </c>
      <c r="B298">
        <v>672</v>
      </c>
      <c r="D298">
        <v>2729</v>
      </c>
      <c r="E298" t="s">
        <v>4710</v>
      </c>
      <c r="G298" t="s">
        <v>2321</v>
      </c>
      <c r="J298" t="s">
        <v>2322</v>
      </c>
      <c r="K298" t="s">
        <v>2323</v>
      </c>
      <c r="M298" t="s">
        <v>1111</v>
      </c>
      <c r="S298" t="s">
        <v>933</v>
      </c>
      <c r="V298" t="s">
        <v>1419</v>
      </c>
      <c r="W298" t="s">
        <v>780</v>
      </c>
      <c r="X298" t="s">
        <v>807</v>
      </c>
      <c r="Z298" s="31">
        <v>46203</v>
      </c>
      <c r="AA298">
        <v>46200</v>
      </c>
      <c r="AB298">
        <v>146047</v>
      </c>
      <c r="AC298">
        <v>191</v>
      </c>
      <c r="AD298" t="s">
        <v>31</v>
      </c>
      <c r="AE298" s="31">
        <v>45964</v>
      </c>
      <c r="AF298" s="61">
        <v>0.65491898148148153</v>
      </c>
      <c r="AH298" t="s">
        <v>795</v>
      </c>
      <c r="AI298" s="31">
        <v>46155</v>
      </c>
      <c r="AJ298" s="61">
        <v>0.40265046296296297</v>
      </c>
      <c r="AK298" t="s">
        <v>5338</v>
      </c>
      <c r="AN298" t="s">
        <v>2324</v>
      </c>
      <c r="AO298" t="s">
        <v>31</v>
      </c>
      <c r="AP298" t="s">
        <v>2325</v>
      </c>
      <c r="AQ298" t="s">
        <v>2326</v>
      </c>
      <c r="AR298" s="31">
        <v>46097</v>
      </c>
      <c r="AS298">
        <v>50</v>
      </c>
      <c r="AX298">
        <v>1</v>
      </c>
    </row>
    <row r="299" spans="1:50" x14ac:dyDescent="0.25">
      <c r="A299" t="s">
        <v>22</v>
      </c>
      <c r="B299">
        <v>673</v>
      </c>
      <c r="D299">
        <v>2730</v>
      </c>
      <c r="E299" t="s">
        <v>2327</v>
      </c>
      <c r="G299" t="s">
        <v>2328</v>
      </c>
      <c r="H299">
        <v>22949063000121</v>
      </c>
      <c r="J299" t="s">
        <v>2329</v>
      </c>
      <c r="K299" t="s">
        <v>2330</v>
      </c>
      <c r="M299" t="s">
        <v>2331</v>
      </c>
      <c r="Q299" t="s">
        <v>1094</v>
      </c>
      <c r="R299" t="s">
        <v>790</v>
      </c>
      <c r="S299" t="s">
        <v>791</v>
      </c>
      <c r="V299" t="s">
        <v>1718</v>
      </c>
      <c r="W299" t="s">
        <v>780</v>
      </c>
      <c r="X299" t="s">
        <v>807</v>
      </c>
      <c r="Z299" s="31">
        <v>46053</v>
      </c>
      <c r="AA299">
        <v>20000</v>
      </c>
      <c r="AB299">
        <v>5880</v>
      </c>
      <c r="AC299">
        <v>94</v>
      </c>
      <c r="AD299" t="s">
        <v>22</v>
      </c>
      <c r="AE299" s="31">
        <v>45966</v>
      </c>
      <c r="AF299" s="61">
        <v>0.45071759259259259</v>
      </c>
      <c r="AH299" t="s">
        <v>795</v>
      </c>
      <c r="AI299" s="31">
        <v>46060</v>
      </c>
      <c r="AJ299" s="61">
        <v>0.36284722222222221</v>
      </c>
      <c r="AK299" t="s">
        <v>5353</v>
      </c>
      <c r="AL299" t="s">
        <v>2332</v>
      </c>
      <c r="AN299" t="s">
        <v>2333</v>
      </c>
      <c r="AO299" t="s">
        <v>22</v>
      </c>
      <c r="AP299" t="s">
        <v>2334</v>
      </c>
      <c r="AR299" s="31">
        <v>46045</v>
      </c>
      <c r="AS299">
        <v>30</v>
      </c>
      <c r="AX299">
        <v>1</v>
      </c>
    </row>
    <row r="300" spans="1:50" x14ac:dyDescent="0.25">
      <c r="A300" t="s">
        <v>44</v>
      </c>
      <c r="B300">
        <v>674</v>
      </c>
      <c r="D300">
        <v>2733</v>
      </c>
      <c r="F300" t="s">
        <v>2335</v>
      </c>
      <c r="G300" t="s">
        <v>2336</v>
      </c>
      <c r="H300">
        <v>4911908000370</v>
      </c>
      <c r="J300" t="s">
        <v>2335</v>
      </c>
      <c r="K300" t="s">
        <v>2337</v>
      </c>
      <c r="M300" t="s">
        <v>2338</v>
      </c>
      <c r="Q300" t="s">
        <v>2339</v>
      </c>
      <c r="R300" t="s">
        <v>790</v>
      </c>
      <c r="S300" t="s">
        <v>805</v>
      </c>
      <c r="W300" t="s">
        <v>780</v>
      </c>
      <c r="X300" t="s">
        <v>793</v>
      </c>
      <c r="Z300" s="31"/>
      <c r="AA300">
        <v>81786</v>
      </c>
      <c r="AB300">
        <v>914979</v>
      </c>
      <c r="AC300">
        <v>21</v>
      </c>
      <c r="AD300" t="s">
        <v>44</v>
      </c>
      <c r="AE300" s="31">
        <v>45966</v>
      </c>
      <c r="AF300" s="61">
        <v>0.64677083333333329</v>
      </c>
      <c r="AH300" t="s">
        <v>795</v>
      </c>
      <c r="AI300" s="31">
        <v>45987</v>
      </c>
      <c r="AJ300" s="61">
        <v>0.5209259259259259</v>
      </c>
      <c r="AK300" t="s">
        <v>858</v>
      </c>
      <c r="AL300" t="s">
        <v>2340</v>
      </c>
      <c r="AN300" t="s">
        <v>2286</v>
      </c>
      <c r="AP300" t="s">
        <v>2341</v>
      </c>
      <c r="AR300" s="31"/>
      <c r="AX300">
        <v>1</v>
      </c>
    </row>
    <row r="301" spans="1:50" x14ac:dyDescent="0.25">
      <c r="A301" t="s">
        <v>44</v>
      </c>
      <c r="B301">
        <v>680</v>
      </c>
      <c r="D301">
        <v>2755</v>
      </c>
      <c r="G301" t="s">
        <v>2342</v>
      </c>
      <c r="J301" t="s">
        <v>2343</v>
      </c>
      <c r="K301" t="s">
        <v>1549</v>
      </c>
      <c r="M301" t="s">
        <v>1522</v>
      </c>
      <c r="W301" t="s">
        <v>780</v>
      </c>
      <c r="X301" t="s">
        <v>816</v>
      </c>
      <c r="Z301" s="31"/>
      <c r="AA301">
        <v>0</v>
      </c>
      <c r="AB301">
        <v>3564</v>
      </c>
      <c r="AC301">
        <v>13</v>
      </c>
      <c r="AD301" t="s">
        <v>44</v>
      </c>
      <c r="AE301" s="31">
        <v>45973</v>
      </c>
      <c r="AF301" s="61">
        <v>0.43079861111111112</v>
      </c>
      <c r="AH301" t="s">
        <v>818</v>
      </c>
      <c r="AI301" s="31">
        <v>45986</v>
      </c>
      <c r="AJ301" s="61">
        <v>0.64148148148148143</v>
      </c>
      <c r="AN301" t="s">
        <v>2341</v>
      </c>
      <c r="AP301" t="s">
        <v>2341</v>
      </c>
      <c r="AR301" s="31"/>
      <c r="AX301">
        <v>1</v>
      </c>
    </row>
    <row r="302" spans="1:50" x14ac:dyDescent="0.25">
      <c r="A302" t="s">
        <v>44</v>
      </c>
      <c r="B302">
        <v>681</v>
      </c>
      <c r="D302">
        <v>2756</v>
      </c>
      <c r="E302" t="s">
        <v>2344</v>
      </c>
      <c r="G302" t="s">
        <v>2345</v>
      </c>
      <c r="H302">
        <v>43252675000130</v>
      </c>
      <c r="J302" t="s">
        <v>5585</v>
      </c>
      <c r="K302" t="s">
        <v>2347</v>
      </c>
      <c r="M302" t="s">
        <v>2348</v>
      </c>
      <c r="Q302" t="s">
        <v>1787</v>
      </c>
      <c r="R302" t="s">
        <v>790</v>
      </c>
      <c r="V302" t="s">
        <v>1581</v>
      </c>
      <c r="W302" t="s">
        <v>780</v>
      </c>
      <c r="X302" t="s">
        <v>816</v>
      </c>
      <c r="Z302" s="31">
        <v>46022</v>
      </c>
      <c r="AA302">
        <v>22000</v>
      </c>
      <c r="AB302">
        <v>1800</v>
      </c>
      <c r="AC302">
        <v>54</v>
      </c>
      <c r="AD302" t="s">
        <v>44</v>
      </c>
      <c r="AE302" s="31">
        <v>45973</v>
      </c>
      <c r="AF302" s="61">
        <v>0.6058217592592593</v>
      </c>
      <c r="AH302" t="s">
        <v>818</v>
      </c>
      <c r="AI302" s="31">
        <v>46027</v>
      </c>
      <c r="AJ302" s="61">
        <v>0.61912037037037038</v>
      </c>
      <c r="AN302" t="s">
        <v>2341</v>
      </c>
      <c r="AO302" t="s">
        <v>44</v>
      </c>
      <c r="AP302" t="s">
        <v>2341</v>
      </c>
      <c r="AQ302" t="s">
        <v>2349</v>
      </c>
      <c r="AR302" s="31">
        <v>46003</v>
      </c>
      <c r="AX302">
        <v>1</v>
      </c>
    </row>
    <row r="303" spans="1:50" x14ac:dyDescent="0.25">
      <c r="A303" t="s">
        <v>44</v>
      </c>
      <c r="B303">
        <v>684</v>
      </c>
      <c r="D303">
        <v>2760</v>
      </c>
      <c r="G303" t="s">
        <v>5586</v>
      </c>
      <c r="J303" t="s">
        <v>5587</v>
      </c>
      <c r="K303" t="s">
        <v>2352</v>
      </c>
      <c r="M303" t="s">
        <v>2353</v>
      </c>
      <c r="V303" t="s">
        <v>1718</v>
      </c>
      <c r="W303" t="s">
        <v>780</v>
      </c>
      <c r="X303" t="s">
        <v>793</v>
      </c>
      <c r="Z303" s="31"/>
      <c r="AA303">
        <v>106400</v>
      </c>
      <c r="AB303">
        <v>1419164</v>
      </c>
      <c r="AC303">
        <v>13</v>
      </c>
      <c r="AD303" t="s">
        <v>44</v>
      </c>
      <c r="AE303" s="31">
        <v>45974</v>
      </c>
      <c r="AF303" s="61">
        <v>0.5064467592592593</v>
      </c>
      <c r="AH303" t="s">
        <v>795</v>
      </c>
      <c r="AI303" s="31">
        <v>45987</v>
      </c>
      <c r="AJ303" s="61">
        <v>0.53358796296296296</v>
      </c>
      <c r="AK303" t="s">
        <v>5338</v>
      </c>
      <c r="AL303" t="s">
        <v>2366</v>
      </c>
      <c r="AN303" t="s">
        <v>2355</v>
      </c>
      <c r="AP303" t="s">
        <v>2355</v>
      </c>
      <c r="AR303" s="31"/>
      <c r="AX303">
        <v>1</v>
      </c>
    </row>
    <row r="304" spans="1:50" x14ac:dyDescent="0.25">
      <c r="A304" t="s">
        <v>31</v>
      </c>
      <c r="B304">
        <v>685</v>
      </c>
      <c r="D304">
        <v>2761</v>
      </c>
      <c r="F304" t="s">
        <v>2356</v>
      </c>
      <c r="G304" t="s">
        <v>2357</v>
      </c>
      <c r="H304">
        <v>42517186000109</v>
      </c>
      <c r="J304" t="s">
        <v>2356</v>
      </c>
      <c r="K304" t="s">
        <v>2358</v>
      </c>
      <c r="M304" t="s">
        <v>2359</v>
      </c>
      <c r="Q304" t="s">
        <v>2360</v>
      </c>
      <c r="R304" t="s">
        <v>790</v>
      </c>
      <c r="S304" t="s">
        <v>805</v>
      </c>
      <c r="W304" t="s">
        <v>780</v>
      </c>
      <c r="X304" t="s">
        <v>781</v>
      </c>
      <c r="Z304" s="31"/>
      <c r="AC304">
        <v>0</v>
      </c>
      <c r="AD304" t="s">
        <v>31</v>
      </c>
      <c r="AE304" s="31">
        <v>45974</v>
      </c>
      <c r="AF304" s="61">
        <v>0.67355324074074074</v>
      </c>
      <c r="AH304" t="s">
        <v>795</v>
      </c>
      <c r="AI304" s="31">
        <v>45974</v>
      </c>
      <c r="AJ304" s="61">
        <v>0.6752893518518519</v>
      </c>
      <c r="AK304" t="s">
        <v>5347</v>
      </c>
      <c r="AO304" t="s">
        <v>31</v>
      </c>
      <c r="AR304" s="31"/>
      <c r="AX304">
        <v>1</v>
      </c>
    </row>
    <row r="305" spans="1:50" x14ac:dyDescent="0.25">
      <c r="A305" t="s">
        <v>44</v>
      </c>
      <c r="B305">
        <v>690</v>
      </c>
      <c r="D305">
        <v>2872</v>
      </c>
      <c r="G305" t="s">
        <v>5588</v>
      </c>
      <c r="J305" t="s">
        <v>5589</v>
      </c>
      <c r="K305" t="s">
        <v>1579</v>
      </c>
      <c r="M305" t="s">
        <v>1111</v>
      </c>
      <c r="V305" t="s">
        <v>1704</v>
      </c>
      <c r="W305" t="s">
        <v>780</v>
      </c>
      <c r="X305" t="s">
        <v>816</v>
      </c>
      <c r="Z305" s="31">
        <v>45987</v>
      </c>
      <c r="AA305">
        <v>0</v>
      </c>
      <c r="AB305">
        <v>114048</v>
      </c>
      <c r="AC305">
        <v>16</v>
      </c>
      <c r="AD305" t="s">
        <v>44</v>
      </c>
      <c r="AE305" s="31">
        <v>45985</v>
      </c>
      <c r="AF305" s="61">
        <v>0.70365740740740745</v>
      </c>
      <c r="AH305" t="s">
        <v>818</v>
      </c>
      <c r="AI305" s="31">
        <v>46001</v>
      </c>
      <c r="AJ305" s="61">
        <v>0.42643518518518519</v>
      </c>
      <c r="AN305" t="s">
        <v>2363</v>
      </c>
      <c r="AP305" t="s">
        <v>2363</v>
      </c>
      <c r="AR305" s="31"/>
      <c r="AX305">
        <v>1</v>
      </c>
    </row>
    <row r="306" spans="1:50" x14ac:dyDescent="0.25">
      <c r="A306" t="s">
        <v>44</v>
      </c>
      <c r="B306">
        <v>692</v>
      </c>
      <c r="D306">
        <v>2880</v>
      </c>
      <c r="G306" t="s">
        <v>5590</v>
      </c>
      <c r="J306" t="s">
        <v>5591</v>
      </c>
      <c r="K306" t="s">
        <v>2352</v>
      </c>
      <c r="M306" t="s">
        <v>2353</v>
      </c>
      <c r="V306" t="s">
        <v>1718</v>
      </c>
      <c r="W306" t="s">
        <v>780</v>
      </c>
      <c r="X306" t="s">
        <v>793</v>
      </c>
      <c r="Z306" s="31"/>
      <c r="AA306">
        <v>1600</v>
      </c>
      <c r="AB306">
        <v>860304</v>
      </c>
      <c r="AC306">
        <v>1</v>
      </c>
      <c r="AD306" t="s">
        <v>44</v>
      </c>
      <c r="AE306" s="31">
        <v>45986</v>
      </c>
      <c r="AF306" s="61">
        <v>0.62754629629629632</v>
      </c>
      <c r="AH306" t="s">
        <v>795</v>
      </c>
      <c r="AI306" s="31">
        <v>45987</v>
      </c>
      <c r="AJ306" s="61">
        <v>0.53437500000000004</v>
      </c>
      <c r="AK306" t="s">
        <v>5338</v>
      </c>
      <c r="AL306" t="s">
        <v>2366</v>
      </c>
      <c r="AN306" t="s">
        <v>2355</v>
      </c>
      <c r="AP306" t="s">
        <v>2355</v>
      </c>
      <c r="AR306" s="31"/>
      <c r="AX306">
        <v>1</v>
      </c>
    </row>
    <row r="307" spans="1:50" x14ac:dyDescent="0.25">
      <c r="A307" t="s">
        <v>44</v>
      </c>
      <c r="B307">
        <v>693</v>
      </c>
      <c r="D307">
        <v>2881</v>
      </c>
      <c r="G307" t="s">
        <v>5592</v>
      </c>
      <c r="J307" t="s">
        <v>5593</v>
      </c>
      <c r="K307" t="s">
        <v>2369</v>
      </c>
      <c r="M307" t="s">
        <v>1111</v>
      </c>
      <c r="W307" t="s">
        <v>780</v>
      </c>
      <c r="X307" t="s">
        <v>781</v>
      </c>
      <c r="Z307" s="31"/>
      <c r="AA307">
        <v>330714</v>
      </c>
      <c r="AB307">
        <v>0</v>
      </c>
      <c r="AC307">
        <v>0</v>
      </c>
      <c r="AD307" t="s">
        <v>44</v>
      </c>
      <c r="AE307" s="31">
        <v>45986</v>
      </c>
      <c r="AF307" s="61">
        <v>0.65606481481481482</v>
      </c>
      <c r="AH307" t="s">
        <v>818</v>
      </c>
      <c r="AI307" s="31">
        <v>45986</v>
      </c>
      <c r="AJ307" s="61">
        <v>0.65793981481481478</v>
      </c>
      <c r="AN307" t="s">
        <v>2283</v>
      </c>
      <c r="AP307" t="s">
        <v>2283</v>
      </c>
      <c r="AR307" s="31"/>
      <c r="AX307">
        <v>1</v>
      </c>
    </row>
    <row r="308" spans="1:50" x14ac:dyDescent="0.25">
      <c r="A308" t="s">
        <v>44</v>
      </c>
      <c r="B308">
        <v>694</v>
      </c>
      <c r="D308">
        <v>2882</v>
      </c>
      <c r="G308" t="s">
        <v>2370</v>
      </c>
      <c r="J308" t="s">
        <v>5594</v>
      </c>
      <c r="K308" t="s">
        <v>2372</v>
      </c>
      <c r="M308" t="s">
        <v>1111</v>
      </c>
      <c r="V308" t="s">
        <v>1718</v>
      </c>
      <c r="W308" t="s">
        <v>780</v>
      </c>
      <c r="X308" t="s">
        <v>793</v>
      </c>
      <c r="Z308" s="31">
        <v>46023</v>
      </c>
      <c r="AA308">
        <v>16960</v>
      </c>
      <c r="AB308">
        <v>450</v>
      </c>
      <c r="AC308">
        <v>15</v>
      </c>
      <c r="AD308" t="s">
        <v>44</v>
      </c>
      <c r="AE308" s="31">
        <v>45986</v>
      </c>
      <c r="AF308" s="61">
        <v>0.66625000000000001</v>
      </c>
      <c r="AH308" t="s">
        <v>795</v>
      </c>
      <c r="AI308" s="31">
        <v>46001</v>
      </c>
      <c r="AJ308" s="61">
        <v>0.39305555555555549</v>
      </c>
      <c r="AK308" t="s">
        <v>5338</v>
      </c>
      <c r="AL308" t="s">
        <v>5595</v>
      </c>
      <c r="AN308" t="s">
        <v>2286</v>
      </c>
      <c r="AP308" t="s">
        <v>2286</v>
      </c>
      <c r="AR308" s="31"/>
      <c r="AX308">
        <v>1</v>
      </c>
    </row>
    <row r="309" spans="1:50" x14ac:dyDescent="0.25">
      <c r="A309" t="s">
        <v>44</v>
      </c>
      <c r="B309">
        <v>695</v>
      </c>
      <c r="D309">
        <v>2883</v>
      </c>
      <c r="G309" t="s">
        <v>2374</v>
      </c>
      <c r="H309">
        <v>57524096000104</v>
      </c>
      <c r="J309" t="s">
        <v>5596</v>
      </c>
      <c r="K309" t="s">
        <v>2376</v>
      </c>
      <c r="M309" t="s">
        <v>2377</v>
      </c>
      <c r="Q309" t="s">
        <v>2378</v>
      </c>
      <c r="R309" t="s">
        <v>2379</v>
      </c>
      <c r="V309" t="s">
        <v>1718</v>
      </c>
      <c r="W309" t="s">
        <v>780</v>
      </c>
      <c r="X309" t="s">
        <v>857</v>
      </c>
      <c r="Z309" s="31"/>
      <c r="AC309">
        <v>8</v>
      </c>
      <c r="AD309" t="s">
        <v>44</v>
      </c>
      <c r="AE309" s="31">
        <v>45986</v>
      </c>
      <c r="AF309" s="61">
        <v>0.68422453703703701</v>
      </c>
      <c r="AH309" t="s">
        <v>795</v>
      </c>
      <c r="AI309" s="31">
        <v>45994</v>
      </c>
      <c r="AJ309" s="61">
        <v>0.66239583333333329</v>
      </c>
      <c r="AK309" t="s">
        <v>5338</v>
      </c>
      <c r="AL309" t="s">
        <v>5597</v>
      </c>
      <c r="AN309" t="s">
        <v>2349</v>
      </c>
      <c r="AP309" t="s">
        <v>2273</v>
      </c>
      <c r="AR309" s="31"/>
      <c r="AX309">
        <v>1</v>
      </c>
    </row>
    <row r="310" spans="1:50" x14ac:dyDescent="0.25">
      <c r="A310" t="s">
        <v>44</v>
      </c>
      <c r="B310">
        <v>696</v>
      </c>
      <c r="D310">
        <v>2885</v>
      </c>
      <c r="G310" t="s">
        <v>2381</v>
      </c>
      <c r="H310">
        <v>57524096000104</v>
      </c>
      <c r="J310" t="s">
        <v>2382</v>
      </c>
      <c r="K310" t="s">
        <v>2376</v>
      </c>
      <c r="M310" t="s">
        <v>2377</v>
      </c>
      <c r="V310" t="s">
        <v>1718</v>
      </c>
      <c r="W310" t="s">
        <v>780</v>
      </c>
      <c r="X310" t="s">
        <v>857</v>
      </c>
      <c r="Z310" s="31"/>
      <c r="AC310">
        <v>8</v>
      </c>
      <c r="AD310" t="s">
        <v>44</v>
      </c>
      <c r="AE310" s="31">
        <v>45986</v>
      </c>
      <c r="AF310" s="61">
        <v>0.70030092592592597</v>
      </c>
      <c r="AH310" t="s">
        <v>795</v>
      </c>
      <c r="AI310" s="31">
        <v>45994</v>
      </c>
      <c r="AJ310" s="61">
        <v>0.66202546296296294</v>
      </c>
      <c r="AK310" t="s">
        <v>5338</v>
      </c>
      <c r="AL310" t="s">
        <v>5597</v>
      </c>
      <c r="AN310" t="s">
        <v>2349</v>
      </c>
      <c r="AP310" t="s">
        <v>2273</v>
      </c>
      <c r="AR310" s="31"/>
      <c r="AX310">
        <v>1</v>
      </c>
    </row>
    <row r="311" spans="1:50" x14ac:dyDescent="0.25">
      <c r="A311" t="s">
        <v>44</v>
      </c>
      <c r="B311">
        <v>697</v>
      </c>
      <c r="D311">
        <v>2887</v>
      </c>
      <c r="G311" t="s">
        <v>2383</v>
      </c>
      <c r="J311" t="s">
        <v>2384</v>
      </c>
      <c r="K311" t="s">
        <v>2385</v>
      </c>
      <c r="M311" t="s">
        <v>2338</v>
      </c>
      <c r="W311" t="s">
        <v>780</v>
      </c>
      <c r="X311" t="s">
        <v>857</v>
      </c>
      <c r="Z311" s="31"/>
      <c r="AA311">
        <v>1600</v>
      </c>
      <c r="AB311">
        <v>335607</v>
      </c>
      <c r="AC311">
        <v>1</v>
      </c>
      <c r="AD311" t="s">
        <v>44</v>
      </c>
      <c r="AE311" s="31">
        <v>45986</v>
      </c>
      <c r="AF311" s="61">
        <v>0.71326388888888892</v>
      </c>
      <c r="AH311" t="s">
        <v>795</v>
      </c>
      <c r="AI311" s="31">
        <v>45987</v>
      </c>
      <c r="AJ311" s="61">
        <v>0.52252314814814815</v>
      </c>
      <c r="AK311" t="s">
        <v>858</v>
      </c>
      <c r="AL311" t="s">
        <v>2340</v>
      </c>
      <c r="AN311" t="s">
        <v>2286</v>
      </c>
      <c r="AP311" t="s">
        <v>2341</v>
      </c>
      <c r="AR311" s="31"/>
      <c r="AX311">
        <v>1</v>
      </c>
    </row>
    <row r="312" spans="1:50" x14ac:dyDescent="0.25">
      <c r="A312" t="s">
        <v>22</v>
      </c>
      <c r="B312">
        <v>700</v>
      </c>
      <c r="D312">
        <v>2874</v>
      </c>
      <c r="G312" t="s">
        <v>2386</v>
      </c>
      <c r="J312" t="s">
        <v>2387</v>
      </c>
      <c r="K312" t="s">
        <v>2388</v>
      </c>
      <c r="M312" t="s">
        <v>2389</v>
      </c>
      <c r="Q312" t="s">
        <v>2390</v>
      </c>
      <c r="S312" t="s">
        <v>814</v>
      </c>
      <c r="V312" t="s">
        <v>5598</v>
      </c>
      <c r="W312" t="s">
        <v>780</v>
      </c>
      <c r="X312" t="s">
        <v>793</v>
      </c>
      <c r="Z312" s="31">
        <v>46053</v>
      </c>
      <c r="AC312">
        <v>14</v>
      </c>
      <c r="AD312" t="s">
        <v>22</v>
      </c>
      <c r="AE312" s="31">
        <v>45987</v>
      </c>
      <c r="AF312" s="61">
        <v>0.47543981481481479</v>
      </c>
      <c r="AH312" t="s">
        <v>795</v>
      </c>
      <c r="AI312" s="31">
        <v>46001</v>
      </c>
      <c r="AJ312" s="61">
        <v>0.96790509259259261</v>
      </c>
      <c r="AK312" t="s">
        <v>934</v>
      </c>
      <c r="AN312" t="s">
        <v>2392</v>
      </c>
      <c r="AO312" t="s">
        <v>22</v>
      </c>
      <c r="AP312" t="s">
        <v>2392</v>
      </c>
      <c r="AR312" s="31"/>
      <c r="AX312">
        <v>1</v>
      </c>
    </row>
    <row r="313" spans="1:50" x14ac:dyDescent="0.25">
      <c r="A313" t="s">
        <v>22</v>
      </c>
      <c r="B313">
        <v>701</v>
      </c>
      <c r="D313">
        <v>2829</v>
      </c>
      <c r="E313" t="s">
        <v>2393</v>
      </c>
      <c r="G313" t="s">
        <v>2394</v>
      </c>
      <c r="H313">
        <v>5825017000100</v>
      </c>
      <c r="J313" t="s">
        <v>2395</v>
      </c>
      <c r="K313" t="s">
        <v>2396</v>
      </c>
      <c r="M313" t="s">
        <v>2397</v>
      </c>
      <c r="Q313" t="s">
        <v>2398</v>
      </c>
      <c r="S313" t="s">
        <v>814</v>
      </c>
      <c r="V313" t="s">
        <v>5599</v>
      </c>
      <c r="W313" t="s">
        <v>780</v>
      </c>
      <c r="X313" t="s">
        <v>807</v>
      </c>
      <c r="Z313" s="31">
        <v>46112</v>
      </c>
      <c r="AA313">
        <v>130600</v>
      </c>
      <c r="AB313">
        <v>1680982</v>
      </c>
      <c r="AC313">
        <v>173</v>
      </c>
      <c r="AD313" t="s">
        <v>22</v>
      </c>
      <c r="AE313" s="31">
        <v>45987</v>
      </c>
      <c r="AF313" s="61">
        <v>0.47600694444444452</v>
      </c>
      <c r="AH313" t="s">
        <v>795</v>
      </c>
      <c r="AI313" s="31">
        <v>46160</v>
      </c>
      <c r="AJ313" s="61">
        <v>0.70228009259259261</v>
      </c>
      <c r="AK313" t="s">
        <v>5338</v>
      </c>
      <c r="AN313" t="s">
        <v>2392</v>
      </c>
      <c r="AO313" t="s">
        <v>22</v>
      </c>
      <c r="AP313" t="s">
        <v>2392</v>
      </c>
      <c r="AR313" s="31">
        <v>46112</v>
      </c>
      <c r="AS313">
        <v>30</v>
      </c>
      <c r="AT313" t="s">
        <v>2400</v>
      </c>
      <c r="AU313" t="s">
        <v>2401</v>
      </c>
      <c r="AV313" t="s">
        <v>2402</v>
      </c>
      <c r="AW313" t="s">
        <v>2403</v>
      </c>
      <c r="AX313">
        <v>1</v>
      </c>
    </row>
    <row r="314" spans="1:50" x14ac:dyDescent="0.25">
      <c r="A314" t="s">
        <v>22</v>
      </c>
      <c r="B314">
        <v>702</v>
      </c>
      <c r="D314">
        <v>2890</v>
      </c>
      <c r="E314" t="s">
        <v>2404</v>
      </c>
      <c r="G314" t="s">
        <v>2405</v>
      </c>
      <c r="J314" t="s">
        <v>5559</v>
      </c>
      <c r="K314" t="s">
        <v>2406</v>
      </c>
      <c r="M314" t="s">
        <v>1111</v>
      </c>
      <c r="V314" t="s">
        <v>2407</v>
      </c>
      <c r="W314" t="s">
        <v>780</v>
      </c>
      <c r="X314" t="s">
        <v>816</v>
      </c>
      <c r="Z314" s="31">
        <v>46053</v>
      </c>
      <c r="AA314">
        <v>16000</v>
      </c>
      <c r="AB314">
        <v>5880</v>
      </c>
      <c r="AC314">
        <v>57</v>
      </c>
      <c r="AD314" t="s">
        <v>22</v>
      </c>
      <c r="AE314" s="31">
        <v>45987</v>
      </c>
      <c r="AF314" s="61">
        <v>0.47789351851851852</v>
      </c>
      <c r="AH314" t="s">
        <v>795</v>
      </c>
      <c r="AI314" s="31">
        <v>46044</v>
      </c>
      <c r="AJ314" s="61">
        <v>0.6855324074074074</v>
      </c>
      <c r="AK314" t="s">
        <v>934</v>
      </c>
      <c r="AL314" t="s">
        <v>2408</v>
      </c>
      <c r="AN314" t="s">
        <v>2409</v>
      </c>
      <c r="AO314" t="s">
        <v>22</v>
      </c>
      <c r="AP314" t="s">
        <v>2409</v>
      </c>
      <c r="AR314" s="31">
        <v>46031</v>
      </c>
      <c r="AX314">
        <v>1</v>
      </c>
    </row>
    <row r="315" spans="1:50" x14ac:dyDescent="0.25">
      <c r="A315" t="s">
        <v>22</v>
      </c>
      <c r="B315">
        <v>703</v>
      </c>
      <c r="D315">
        <v>2891</v>
      </c>
      <c r="E315" t="s">
        <v>2410</v>
      </c>
      <c r="G315" t="s">
        <v>2411</v>
      </c>
      <c r="H315">
        <v>7728812000105</v>
      </c>
      <c r="J315" t="s">
        <v>2412</v>
      </c>
      <c r="K315" t="s">
        <v>2413</v>
      </c>
      <c r="M315" t="s">
        <v>2414</v>
      </c>
      <c r="Q315" t="s">
        <v>1094</v>
      </c>
      <c r="R315" t="s">
        <v>790</v>
      </c>
      <c r="V315" t="s">
        <v>1718</v>
      </c>
      <c r="W315" t="s">
        <v>780</v>
      </c>
      <c r="X315" t="s">
        <v>807</v>
      </c>
      <c r="Z315" s="31">
        <v>46045</v>
      </c>
      <c r="AA315">
        <v>72000</v>
      </c>
      <c r="AB315">
        <v>8045</v>
      </c>
      <c r="AC315">
        <v>58</v>
      </c>
      <c r="AD315" t="s">
        <v>22</v>
      </c>
      <c r="AE315" s="31">
        <v>45987</v>
      </c>
      <c r="AF315" s="61">
        <v>0.47932870370370367</v>
      </c>
      <c r="AH315" t="s">
        <v>795</v>
      </c>
      <c r="AI315" s="31">
        <v>46045</v>
      </c>
      <c r="AJ315" s="61">
        <v>0.48511574074074082</v>
      </c>
      <c r="AK315" t="s">
        <v>5338</v>
      </c>
      <c r="AN315" t="s">
        <v>1421</v>
      </c>
      <c r="AO315" t="s">
        <v>22</v>
      </c>
      <c r="AP315" t="s">
        <v>1421</v>
      </c>
      <c r="AR315" s="31">
        <v>46045</v>
      </c>
      <c r="AX315">
        <v>1</v>
      </c>
    </row>
    <row r="316" spans="1:50" x14ac:dyDescent="0.25">
      <c r="A316" t="s">
        <v>22</v>
      </c>
      <c r="B316">
        <v>704</v>
      </c>
      <c r="D316">
        <v>2894</v>
      </c>
      <c r="E316" t="s">
        <v>2415</v>
      </c>
      <c r="G316" t="s">
        <v>2416</v>
      </c>
      <c r="H316">
        <v>3761404000196</v>
      </c>
      <c r="J316" t="s">
        <v>2424</v>
      </c>
      <c r="K316" t="s">
        <v>2418</v>
      </c>
      <c r="M316" t="s">
        <v>2419</v>
      </c>
      <c r="Q316" t="s">
        <v>2420</v>
      </c>
      <c r="R316" t="s">
        <v>790</v>
      </c>
      <c r="V316" t="s">
        <v>1704</v>
      </c>
      <c r="W316" t="s">
        <v>780</v>
      </c>
      <c r="X316" t="s">
        <v>816</v>
      </c>
      <c r="Z316" s="31">
        <v>46037</v>
      </c>
      <c r="AA316">
        <v>17829</v>
      </c>
      <c r="AB316">
        <v>83997</v>
      </c>
      <c r="AC316">
        <v>44</v>
      </c>
      <c r="AD316" t="s">
        <v>22</v>
      </c>
      <c r="AE316" s="31">
        <v>45987</v>
      </c>
      <c r="AF316" s="61">
        <v>0.48346064814814821</v>
      </c>
      <c r="AH316" t="s">
        <v>818</v>
      </c>
      <c r="AI316" s="31">
        <v>46031</v>
      </c>
      <c r="AJ316" s="61">
        <v>0.58515046296296291</v>
      </c>
      <c r="AN316" t="s">
        <v>2421</v>
      </c>
      <c r="AO316" t="s">
        <v>22</v>
      </c>
      <c r="AP316" t="s">
        <v>2392</v>
      </c>
      <c r="AR316" s="31">
        <v>46003</v>
      </c>
      <c r="AX316">
        <v>1</v>
      </c>
    </row>
    <row r="317" spans="1:50" x14ac:dyDescent="0.25">
      <c r="A317" t="s">
        <v>22</v>
      </c>
      <c r="B317">
        <v>705</v>
      </c>
      <c r="D317">
        <v>2896</v>
      </c>
      <c r="E317" t="s">
        <v>2422</v>
      </c>
      <c r="G317" t="s">
        <v>2423</v>
      </c>
      <c r="H317">
        <v>3761404000196</v>
      </c>
      <c r="J317" t="s">
        <v>2424</v>
      </c>
      <c r="K317" t="s">
        <v>2418</v>
      </c>
      <c r="M317" t="s">
        <v>2419</v>
      </c>
      <c r="Q317" t="s">
        <v>2420</v>
      </c>
      <c r="R317" t="s">
        <v>790</v>
      </c>
      <c r="V317" t="s">
        <v>1718</v>
      </c>
      <c r="W317" t="s">
        <v>780</v>
      </c>
      <c r="X317" t="s">
        <v>807</v>
      </c>
      <c r="Z317" s="31">
        <v>46022</v>
      </c>
      <c r="AA317">
        <v>1600</v>
      </c>
      <c r="AB317">
        <v>384454</v>
      </c>
      <c r="AC317">
        <v>44</v>
      </c>
      <c r="AD317" t="s">
        <v>22</v>
      </c>
      <c r="AE317" s="31">
        <v>45987</v>
      </c>
      <c r="AF317" s="61">
        <v>0.49594907407407413</v>
      </c>
      <c r="AH317" t="s">
        <v>795</v>
      </c>
      <c r="AI317" s="31">
        <v>46031</v>
      </c>
      <c r="AJ317" s="61">
        <v>0.59928240740740746</v>
      </c>
      <c r="AK317" t="s">
        <v>5338</v>
      </c>
      <c r="AN317" t="s">
        <v>2392</v>
      </c>
      <c r="AO317" t="s">
        <v>22</v>
      </c>
      <c r="AP317" t="s">
        <v>2392</v>
      </c>
      <c r="AR317" s="31">
        <v>46031</v>
      </c>
      <c r="AX317">
        <v>1</v>
      </c>
    </row>
    <row r="318" spans="1:50" x14ac:dyDescent="0.25">
      <c r="A318" t="s">
        <v>22</v>
      </c>
      <c r="B318">
        <v>706</v>
      </c>
      <c r="D318">
        <v>2897</v>
      </c>
      <c r="G318" t="s">
        <v>2425</v>
      </c>
      <c r="J318" t="s">
        <v>2426</v>
      </c>
      <c r="K318" t="s">
        <v>2427</v>
      </c>
      <c r="M318" t="s">
        <v>1111</v>
      </c>
      <c r="W318" t="s">
        <v>780</v>
      </c>
      <c r="X318" t="s">
        <v>807</v>
      </c>
      <c r="Z318" s="31">
        <v>46037</v>
      </c>
      <c r="AA318">
        <v>50000</v>
      </c>
      <c r="AB318">
        <v>2355</v>
      </c>
      <c r="AC318">
        <v>14</v>
      </c>
      <c r="AD318" t="s">
        <v>22</v>
      </c>
      <c r="AE318" s="31">
        <v>45987</v>
      </c>
      <c r="AF318" s="61">
        <v>0.49806712962962962</v>
      </c>
      <c r="AH318" t="s">
        <v>795</v>
      </c>
      <c r="AI318" s="31">
        <v>46001</v>
      </c>
      <c r="AJ318" s="61">
        <v>0.72103009259259254</v>
      </c>
      <c r="AK318" t="s">
        <v>934</v>
      </c>
      <c r="AN318" t="s">
        <v>2428</v>
      </c>
      <c r="AO318" t="s">
        <v>22</v>
      </c>
      <c r="AP318" t="s">
        <v>2428</v>
      </c>
      <c r="AR318" s="31"/>
      <c r="AX318">
        <v>1</v>
      </c>
    </row>
    <row r="319" spans="1:50" x14ac:dyDescent="0.25">
      <c r="A319" t="s">
        <v>22</v>
      </c>
      <c r="B319">
        <v>707</v>
      </c>
      <c r="D319">
        <v>2898</v>
      </c>
      <c r="E319" t="s">
        <v>2429</v>
      </c>
      <c r="G319" t="s">
        <v>2430</v>
      </c>
      <c r="J319" t="s">
        <v>2431</v>
      </c>
      <c r="K319" t="s">
        <v>2432</v>
      </c>
      <c r="M319" t="s">
        <v>1111</v>
      </c>
      <c r="S319" t="s">
        <v>791</v>
      </c>
      <c r="V319" t="s">
        <v>1704</v>
      </c>
      <c r="W319" t="s">
        <v>780</v>
      </c>
      <c r="X319" t="s">
        <v>807</v>
      </c>
      <c r="Z319" s="31">
        <v>46053</v>
      </c>
      <c r="AA319">
        <v>14400</v>
      </c>
      <c r="AB319">
        <v>185328</v>
      </c>
      <c r="AC319">
        <v>47</v>
      </c>
      <c r="AD319" t="s">
        <v>22</v>
      </c>
      <c r="AE319" s="31">
        <v>45987</v>
      </c>
      <c r="AF319" s="61">
        <v>0.49944444444444452</v>
      </c>
      <c r="AH319" t="s">
        <v>795</v>
      </c>
      <c r="AI319" s="31">
        <v>46034</v>
      </c>
      <c r="AJ319" s="61">
        <v>0.93351851851851853</v>
      </c>
      <c r="AK319" t="s">
        <v>5338</v>
      </c>
      <c r="AN319" t="s">
        <v>2433</v>
      </c>
      <c r="AO319" t="s">
        <v>22</v>
      </c>
      <c r="AP319" t="s">
        <v>2433</v>
      </c>
      <c r="AR319" s="31">
        <v>46034</v>
      </c>
      <c r="AX319">
        <v>1</v>
      </c>
    </row>
    <row r="320" spans="1:50" x14ac:dyDescent="0.25">
      <c r="A320" t="s">
        <v>22</v>
      </c>
      <c r="B320">
        <v>708</v>
      </c>
      <c r="D320">
        <v>2899</v>
      </c>
      <c r="G320" t="s">
        <v>2049</v>
      </c>
      <c r="J320" t="s">
        <v>2434</v>
      </c>
      <c r="K320" t="s">
        <v>1805</v>
      </c>
      <c r="M320" t="s">
        <v>1111</v>
      </c>
      <c r="W320" t="s">
        <v>780</v>
      </c>
      <c r="X320" t="s">
        <v>816</v>
      </c>
      <c r="Z320" s="31"/>
      <c r="AC320">
        <v>12</v>
      </c>
      <c r="AD320" t="s">
        <v>22</v>
      </c>
      <c r="AE320" s="31">
        <v>45987</v>
      </c>
      <c r="AF320" s="61">
        <v>0.50092592592592589</v>
      </c>
      <c r="AH320" t="s">
        <v>818</v>
      </c>
      <c r="AI320" s="31">
        <v>45999</v>
      </c>
      <c r="AJ320" s="61">
        <v>0.57885416666666667</v>
      </c>
      <c r="AN320" t="s">
        <v>2435</v>
      </c>
      <c r="AO320" t="s">
        <v>22</v>
      </c>
      <c r="AP320" t="s">
        <v>2435</v>
      </c>
      <c r="AR320" s="31"/>
      <c r="AX320">
        <v>1</v>
      </c>
    </row>
    <row r="321" spans="1:50" x14ac:dyDescent="0.25">
      <c r="A321" t="s">
        <v>22</v>
      </c>
      <c r="B321">
        <v>709</v>
      </c>
      <c r="D321">
        <v>2900</v>
      </c>
      <c r="G321" t="s">
        <v>2436</v>
      </c>
      <c r="J321" t="s">
        <v>1804</v>
      </c>
      <c r="K321" t="s">
        <v>1805</v>
      </c>
      <c r="M321" t="s">
        <v>1111</v>
      </c>
      <c r="W321" t="s">
        <v>780</v>
      </c>
      <c r="X321" t="s">
        <v>816</v>
      </c>
      <c r="Z321" s="31"/>
      <c r="AC321">
        <v>12</v>
      </c>
      <c r="AD321" t="s">
        <v>22</v>
      </c>
      <c r="AE321" s="31">
        <v>45987</v>
      </c>
      <c r="AF321" s="61">
        <v>0.50186342592592592</v>
      </c>
      <c r="AH321" t="s">
        <v>818</v>
      </c>
      <c r="AI321" s="31">
        <v>45999</v>
      </c>
      <c r="AJ321" s="61">
        <v>0.59797453703703707</v>
      </c>
      <c r="AN321" t="s">
        <v>2437</v>
      </c>
      <c r="AO321" t="s">
        <v>22</v>
      </c>
      <c r="AP321" t="s">
        <v>2437</v>
      </c>
      <c r="AR321" s="31"/>
      <c r="AX321">
        <v>1</v>
      </c>
    </row>
    <row r="322" spans="1:50" x14ac:dyDescent="0.25">
      <c r="A322" t="s">
        <v>44</v>
      </c>
      <c r="B322">
        <v>711</v>
      </c>
      <c r="D322">
        <v>2902</v>
      </c>
      <c r="E322" t="s">
        <v>2438</v>
      </c>
      <c r="G322" t="s">
        <v>5600</v>
      </c>
      <c r="J322" t="s">
        <v>5601</v>
      </c>
      <c r="K322" t="s">
        <v>2441</v>
      </c>
      <c r="M322" t="s">
        <v>1111</v>
      </c>
      <c r="V322" t="s">
        <v>1419</v>
      </c>
      <c r="W322" t="s">
        <v>780</v>
      </c>
      <c r="X322" t="s">
        <v>816</v>
      </c>
      <c r="Z322" s="31">
        <v>46062</v>
      </c>
      <c r="AA322">
        <v>235848</v>
      </c>
      <c r="AB322">
        <v>14256</v>
      </c>
      <c r="AC322">
        <v>65</v>
      </c>
      <c r="AD322" t="s">
        <v>44</v>
      </c>
      <c r="AE322" s="31">
        <v>45987</v>
      </c>
      <c r="AF322" s="61">
        <v>0.62859953703703708</v>
      </c>
      <c r="AH322" t="s">
        <v>795</v>
      </c>
      <c r="AI322" s="31">
        <v>46052</v>
      </c>
      <c r="AJ322" s="61">
        <v>0.65068287037037043</v>
      </c>
      <c r="AK322" t="s">
        <v>5338</v>
      </c>
      <c r="AL322" t="s">
        <v>5352</v>
      </c>
      <c r="AN322" t="s">
        <v>2273</v>
      </c>
      <c r="AO322" t="s">
        <v>44</v>
      </c>
      <c r="AP322" t="s">
        <v>2273</v>
      </c>
      <c r="AR322" s="31">
        <v>46003</v>
      </c>
      <c r="AX322">
        <v>1</v>
      </c>
    </row>
    <row r="323" spans="1:50" x14ac:dyDescent="0.25">
      <c r="A323" t="s">
        <v>44</v>
      </c>
      <c r="B323">
        <v>714</v>
      </c>
      <c r="D323">
        <v>2910</v>
      </c>
      <c r="G323" t="s">
        <v>2442</v>
      </c>
      <c r="J323" t="s">
        <v>2443</v>
      </c>
      <c r="K323" t="s">
        <v>2444</v>
      </c>
      <c r="M323" t="s">
        <v>1111</v>
      </c>
      <c r="W323" t="s">
        <v>780</v>
      </c>
      <c r="X323" t="s">
        <v>807</v>
      </c>
      <c r="Z323" s="31"/>
      <c r="AA323">
        <v>0</v>
      </c>
      <c r="AB323">
        <v>209</v>
      </c>
      <c r="AC323">
        <v>12</v>
      </c>
      <c r="AD323" t="s">
        <v>44</v>
      </c>
      <c r="AE323" s="31">
        <v>45989</v>
      </c>
      <c r="AF323" s="61">
        <v>0.60240740740740739</v>
      </c>
      <c r="AH323" t="s">
        <v>795</v>
      </c>
      <c r="AI323" s="31">
        <v>46001</v>
      </c>
      <c r="AJ323" s="61">
        <v>0.41670138888888891</v>
      </c>
      <c r="AK323" t="s">
        <v>858</v>
      </c>
      <c r="AL323" t="s">
        <v>5602</v>
      </c>
      <c r="AN323" t="s">
        <v>2349</v>
      </c>
      <c r="AP323" t="s">
        <v>2349</v>
      </c>
      <c r="AR323" s="31"/>
      <c r="AX323">
        <v>1</v>
      </c>
    </row>
    <row r="324" spans="1:50" x14ac:dyDescent="0.25">
      <c r="A324" t="s">
        <v>22</v>
      </c>
      <c r="B324">
        <v>717</v>
      </c>
      <c r="D324">
        <v>2945</v>
      </c>
      <c r="E324" t="s">
        <v>2446</v>
      </c>
      <c r="G324" t="s">
        <v>2447</v>
      </c>
      <c r="J324" t="s">
        <v>2448</v>
      </c>
      <c r="K324" t="s">
        <v>2449</v>
      </c>
      <c r="M324" t="s">
        <v>2450</v>
      </c>
      <c r="Q324" t="s">
        <v>923</v>
      </c>
      <c r="S324" t="s">
        <v>814</v>
      </c>
      <c r="V324" t="s">
        <v>1718</v>
      </c>
      <c r="W324" t="s">
        <v>780</v>
      </c>
      <c r="X324" t="s">
        <v>793</v>
      </c>
      <c r="Z324" s="31">
        <v>46053</v>
      </c>
      <c r="AC324">
        <v>68</v>
      </c>
      <c r="AD324" t="s">
        <v>22</v>
      </c>
      <c r="AE324" s="31">
        <v>45992</v>
      </c>
      <c r="AF324" s="61">
        <v>0.65984953703703708</v>
      </c>
      <c r="AH324" t="s">
        <v>795</v>
      </c>
      <c r="AI324" s="31">
        <v>46060</v>
      </c>
      <c r="AJ324" s="61">
        <v>0.34912037037037041</v>
      </c>
      <c r="AK324" t="s">
        <v>858</v>
      </c>
      <c r="AN324" t="s">
        <v>2451</v>
      </c>
      <c r="AO324" t="s">
        <v>22</v>
      </c>
      <c r="AP324" t="s">
        <v>2452</v>
      </c>
      <c r="AR324" s="31">
        <v>46045</v>
      </c>
      <c r="AS324">
        <v>30</v>
      </c>
      <c r="AX324">
        <v>1</v>
      </c>
    </row>
    <row r="325" spans="1:50" x14ac:dyDescent="0.25">
      <c r="A325" t="s">
        <v>22</v>
      </c>
      <c r="B325">
        <v>718</v>
      </c>
      <c r="D325">
        <v>2913</v>
      </c>
      <c r="E325" t="s">
        <v>2453</v>
      </c>
      <c r="G325" t="s">
        <v>2454</v>
      </c>
      <c r="J325" t="s">
        <v>2455</v>
      </c>
      <c r="K325" t="s">
        <v>2456</v>
      </c>
      <c r="M325" t="s">
        <v>2457</v>
      </c>
      <c r="Q325" t="s">
        <v>2458</v>
      </c>
      <c r="S325" t="s">
        <v>814</v>
      </c>
      <c r="V325" t="s">
        <v>5599</v>
      </c>
      <c r="W325" t="s">
        <v>780</v>
      </c>
      <c r="X325" t="s">
        <v>897</v>
      </c>
      <c r="Z325" s="31">
        <v>46142</v>
      </c>
      <c r="AC325">
        <v>161</v>
      </c>
      <c r="AD325" t="s">
        <v>22</v>
      </c>
      <c r="AE325" s="31">
        <v>45992</v>
      </c>
      <c r="AF325" s="61">
        <v>0.68266203703703698</v>
      </c>
      <c r="AH325" t="s">
        <v>795</v>
      </c>
      <c r="AI325" s="31">
        <v>46153</v>
      </c>
      <c r="AJ325" s="61">
        <v>0.49701388888888892</v>
      </c>
      <c r="AK325" t="s">
        <v>5338</v>
      </c>
      <c r="AN325" t="s">
        <v>2459</v>
      </c>
      <c r="AO325" t="s">
        <v>22</v>
      </c>
      <c r="AP325" t="s">
        <v>2452</v>
      </c>
      <c r="AR325" s="31">
        <v>46122</v>
      </c>
      <c r="AS325">
        <v>30</v>
      </c>
      <c r="AX325">
        <v>1</v>
      </c>
    </row>
    <row r="326" spans="1:50" x14ac:dyDescent="0.25">
      <c r="A326" t="s">
        <v>22</v>
      </c>
      <c r="B326">
        <v>719</v>
      </c>
      <c r="D326">
        <v>2904</v>
      </c>
      <c r="E326" t="s">
        <v>4711</v>
      </c>
      <c r="G326" t="s">
        <v>2461</v>
      </c>
      <c r="H326">
        <v>3674537000125</v>
      </c>
      <c r="J326" t="s">
        <v>2462</v>
      </c>
      <c r="K326" t="s">
        <v>2463</v>
      </c>
      <c r="M326" t="s">
        <v>2464</v>
      </c>
      <c r="Q326" t="s">
        <v>923</v>
      </c>
      <c r="S326" t="s">
        <v>814</v>
      </c>
      <c r="V326" t="s">
        <v>5603</v>
      </c>
      <c r="W326" t="s">
        <v>780</v>
      </c>
      <c r="X326" t="s">
        <v>807</v>
      </c>
      <c r="Z326" s="31">
        <v>46112</v>
      </c>
      <c r="AA326">
        <v>104490</v>
      </c>
      <c r="AB326">
        <v>111957</v>
      </c>
      <c r="AC326">
        <v>130</v>
      </c>
      <c r="AD326" t="s">
        <v>22</v>
      </c>
      <c r="AE326" s="31">
        <v>45992</v>
      </c>
      <c r="AF326" s="61">
        <v>0.69298611111111108</v>
      </c>
      <c r="AH326" t="s">
        <v>795</v>
      </c>
      <c r="AI326" s="31">
        <v>46122</v>
      </c>
      <c r="AJ326" s="61">
        <v>0.66306712962962966</v>
      </c>
      <c r="AK326" t="s">
        <v>5338</v>
      </c>
      <c r="AN326" t="s">
        <v>2459</v>
      </c>
      <c r="AO326" t="s">
        <v>22</v>
      </c>
      <c r="AP326" t="s">
        <v>2465</v>
      </c>
      <c r="AR326" s="31">
        <v>46101</v>
      </c>
      <c r="AS326">
        <v>30</v>
      </c>
      <c r="AT326" t="s">
        <v>2466</v>
      </c>
      <c r="AU326" t="s">
        <v>2467</v>
      </c>
      <c r="AV326" t="s">
        <v>2468</v>
      </c>
      <c r="AW326" t="s">
        <v>2469</v>
      </c>
      <c r="AX326">
        <v>1</v>
      </c>
    </row>
    <row r="327" spans="1:50" x14ac:dyDescent="0.25">
      <c r="A327" t="s">
        <v>22</v>
      </c>
      <c r="B327">
        <v>725</v>
      </c>
      <c r="D327">
        <v>2970</v>
      </c>
      <c r="E327" t="s">
        <v>5604</v>
      </c>
      <c r="G327" t="s">
        <v>2471</v>
      </c>
      <c r="J327" t="s">
        <v>2472</v>
      </c>
      <c r="K327" t="s">
        <v>2473</v>
      </c>
      <c r="M327" t="s">
        <v>1111</v>
      </c>
      <c r="V327" t="s">
        <v>5539</v>
      </c>
      <c r="W327" t="s">
        <v>780</v>
      </c>
      <c r="X327" t="s">
        <v>807</v>
      </c>
      <c r="Z327" s="31">
        <v>46112</v>
      </c>
      <c r="AA327">
        <v>315000</v>
      </c>
      <c r="AB327">
        <v>32575</v>
      </c>
      <c r="AC327">
        <v>37</v>
      </c>
      <c r="AD327" t="s">
        <v>22</v>
      </c>
      <c r="AE327" s="31">
        <v>45999</v>
      </c>
      <c r="AF327" s="61">
        <v>0.5826041666666667</v>
      </c>
      <c r="AH327" t="s">
        <v>795</v>
      </c>
      <c r="AI327" s="31">
        <v>46036</v>
      </c>
      <c r="AJ327" s="61">
        <v>0.7865509259259259</v>
      </c>
      <c r="AK327" t="s">
        <v>5353</v>
      </c>
      <c r="AL327" t="s">
        <v>5605</v>
      </c>
      <c r="AN327" t="s">
        <v>2459</v>
      </c>
      <c r="AO327" t="s">
        <v>22</v>
      </c>
      <c r="AP327" t="s">
        <v>2459</v>
      </c>
      <c r="AR327" s="31">
        <v>46031</v>
      </c>
      <c r="AX327">
        <v>1</v>
      </c>
    </row>
    <row r="328" spans="1:50" x14ac:dyDescent="0.25">
      <c r="A328" t="s">
        <v>22</v>
      </c>
      <c r="B328">
        <v>726</v>
      </c>
      <c r="D328">
        <v>2971</v>
      </c>
      <c r="G328" t="s">
        <v>2475</v>
      </c>
      <c r="J328" t="s">
        <v>1978</v>
      </c>
      <c r="K328" t="s">
        <v>1979</v>
      </c>
      <c r="M328" t="s">
        <v>1111</v>
      </c>
      <c r="W328" t="s">
        <v>780</v>
      </c>
      <c r="X328" t="s">
        <v>816</v>
      </c>
      <c r="Z328" s="31"/>
      <c r="AA328">
        <v>0</v>
      </c>
      <c r="AB328">
        <v>57024</v>
      </c>
      <c r="AC328">
        <v>0</v>
      </c>
      <c r="AD328" t="s">
        <v>22</v>
      </c>
      <c r="AE328" s="31">
        <v>45999</v>
      </c>
      <c r="AF328" s="61">
        <v>0.58803240740740736</v>
      </c>
      <c r="AH328" t="s">
        <v>818</v>
      </c>
      <c r="AI328" s="31">
        <v>45999</v>
      </c>
      <c r="AJ328" s="61">
        <v>0.58959490740740739</v>
      </c>
      <c r="AN328" t="s">
        <v>2452</v>
      </c>
      <c r="AO328" t="s">
        <v>22</v>
      </c>
      <c r="AP328" t="s">
        <v>2452</v>
      </c>
      <c r="AR328" s="31"/>
      <c r="AX328">
        <v>1</v>
      </c>
    </row>
    <row r="329" spans="1:50" x14ac:dyDescent="0.25">
      <c r="A329" t="s">
        <v>22</v>
      </c>
      <c r="B329">
        <v>727</v>
      </c>
      <c r="D329">
        <v>2969</v>
      </c>
      <c r="E329" t="s">
        <v>2476</v>
      </c>
      <c r="G329" t="s">
        <v>5606</v>
      </c>
      <c r="J329" t="s">
        <v>2478</v>
      </c>
      <c r="K329" t="s">
        <v>2479</v>
      </c>
      <c r="M329" t="s">
        <v>2480</v>
      </c>
      <c r="Q329" t="s">
        <v>2481</v>
      </c>
      <c r="S329" t="s">
        <v>814</v>
      </c>
      <c r="V329" t="s">
        <v>5598</v>
      </c>
      <c r="W329" t="s">
        <v>780</v>
      </c>
      <c r="X329" t="s">
        <v>807</v>
      </c>
      <c r="Z329" s="31">
        <v>46053</v>
      </c>
      <c r="AA329">
        <v>47200</v>
      </c>
      <c r="AB329">
        <v>22981</v>
      </c>
      <c r="AC329">
        <v>60</v>
      </c>
      <c r="AD329" t="s">
        <v>22</v>
      </c>
      <c r="AE329" s="31">
        <v>46000</v>
      </c>
      <c r="AF329" s="61">
        <v>0.59325231481481477</v>
      </c>
      <c r="AH329" t="s">
        <v>795</v>
      </c>
      <c r="AI329" s="31">
        <v>46060</v>
      </c>
      <c r="AJ329" s="61">
        <v>0.37217592592592591</v>
      </c>
      <c r="AK329" t="s">
        <v>858</v>
      </c>
      <c r="AL329" t="s">
        <v>2482</v>
      </c>
      <c r="AN329" t="s">
        <v>2483</v>
      </c>
      <c r="AO329" t="s">
        <v>22</v>
      </c>
      <c r="AP329" t="s">
        <v>2483</v>
      </c>
      <c r="AR329" s="31">
        <v>46060</v>
      </c>
      <c r="AS329">
        <v>30</v>
      </c>
      <c r="AX329">
        <v>1</v>
      </c>
    </row>
    <row r="330" spans="1:50" x14ac:dyDescent="0.25">
      <c r="A330" t="s">
        <v>22</v>
      </c>
      <c r="B330">
        <v>728</v>
      </c>
      <c r="D330">
        <v>2973</v>
      </c>
      <c r="E330" t="s">
        <v>4712</v>
      </c>
      <c r="G330" t="s">
        <v>2485</v>
      </c>
      <c r="H330">
        <v>3674537000125</v>
      </c>
      <c r="J330" t="s">
        <v>2794</v>
      </c>
      <c r="K330" t="s">
        <v>2487</v>
      </c>
      <c r="M330" t="s">
        <v>2488</v>
      </c>
      <c r="Q330" t="s">
        <v>2489</v>
      </c>
      <c r="R330" t="s">
        <v>790</v>
      </c>
      <c r="S330" t="s">
        <v>791</v>
      </c>
      <c r="V330" t="s">
        <v>1419</v>
      </c>
      <c r="W330" t="s">
        <v>780</v>
      </c>
      <c r="X330" t="s">
        <v>807</v>
      </c>
      <c r="Z330" s="31">
        <v>46112</v>
      </c>
      <c r="AA330">
        <v>1700</v>
      </c>
      <c r="AB330">
        <v>13100</v>
      </c>
      <c r="AC330">
        <v>121</v>
      </c>
      <c r="AD330" t="s">
        <v>22</v>
      </c>
      <c r="AE330" s="31">
        <v>46001</v>
      </c>
      <c r="AF330" s="61">
        <v>0.73172453703703699</v>
      </c>
      <c r="AH330" t="s">
        <v>795</v>
      </c>
      <c r="AI330" s="31">
        <v>46122</v>
      </c>
      <c r="AJ330" s="61">
        <v>0.66342592592592597</v>
      </c>
      <c r="AK330" t="s">
        <v>5338</v>
      </c>
      <c r="AN330" t="s">
        <v>2483</v>
      </c>
      <c r="AO330" t="s">
        <v>22</v>
      </c>
      <c r="AP330" t="s">
        <v>2483</v>
      </c>
      <c r="AR330" s="31">
        <v>46101</v>
      </c>
      <c r="AS330">
        <v>30</v>
      </c>
      <c r="AT330" t="s">
        <v>1012</v>
      </c>
      <c r="AU330" t="s">
        <v>69</v>
      </c>
      <c r="AV330" t="s">
        <v>2490</v>
      </c>
      <c r="AW330" t="s">
        <v>2491</v>
      </c>
      <c r="AX330">
        <v>1</v>
      </c>
    </row>
    <row r="331" spans="1:50" x14ac:dyDescent="0.25">
      <c r="A331" t="s">
        <v>22</v>
      </c>
      <c r="B331">
        <v>729</v>
      </c>
      <c r="D331">
        <v>2972</v>
      </c>
      <c r="E331" t="s">
        <v>2492</v>
      </c>
      <c r="G331" t="s">
        <v>5607</v>
      </c>
      <c r="J331" t="s">
        <v>5608</v>
      </c>
      <c r="K331" t="s">
        <v>2495</v>
      </c>
      <c r="M331" t="s">
        <v>2496</v>
      </c>
      <c r="Q331" t="s">
        <v>2497</v>
      </c>
      <c r="S331" t="s">
        <v>814</v>
      </c>
      <c r="V331" t="s">
        <v>5598</v>
      </c>
      <c r="W331" t="s">
        <v>780</v>
      </c>
      <c r="X331" t="s">
        <v>793</v>
      </c>
      <c r="Z331" s="31">
        <v>46053</v>
      </c>
      <c r="AC331">
        <v>59</v>
      </c>
      <c r="AD331" t="s">
        <v>22</v>
      </c>
      <c r="AE331" s="31">
        <v>46001</v>
      </c>
      <c r="AF331" s="61">
        <v>0.95519675925925929</v>
      </c>
      <c r="AH331" t="s">
        <v>795</v>
      </c>
      <c r="AI331" s="31">
        <v>46060</v>
      </c>
      <c r="AJ331" s="61">
        <v>0.3478472222222222</v>
      </c>
      <c r="AK331" t="s">
        <v>5338</v>
      </c>
      <c r="AL331" t="s">
        <v>2498</v>
      </c>
      <c r="AN331" t="s">
        <v>2499</v>
      </c>
      <c r="AO331" t="s">
        <v>22</v>
      </c>
      <c r="AP331" t="s">
        <v>2499</v>
      </c>
      <c r="AR331" s="31">
        <v>46059</v>
      </c>
      <c r="AS331">
        <v>30</v>
      </c>
      <c r="AX331">
        <v>1</v>
      </c>
    </row>
    <row r="332" spans="1:50" x14ac:dyDescent="0.25">
      <c r="A332" t="s">
        <v>44</v>
      </c>
      <c r="B332">
        <v>730</v>
      </c>
      <c r="D332">
        <v>2977</v>
      </c>
      <c r="E332" t="s">
        <v>5609</v>
      </c>
      <c r="F332" t="s">
        <v>2501</v>
      </c>
      <c r="G332" t="s">
        <v>2502</v>
      </c>
      <c r="H332">
        <v>50828915000168</v>
      </c>
      <c r="J332" t="s">
        <v>2501</v>
      </c>
      <c r="K332" t="s">
        <v>1531</v>
      </c>
      <c r="M332" t="s">
        <v>1532</v>
      </c>
      <c r="Q332" t="s">
        <v>1094</v>
      </c>
      <c r="R332" t="s">
        <v>790</v>
      </c>
      <c r="S332" t="s">
        <v>805</v>
      </c>
      <c r="V332" t="s">
        <v>2503</v>
      </c>
      <c r="W332" t="s">
        <v>780</v>
      </c>
      <c r="X332" t="s">
        <v>807</v>
      </c>
      <c r="Z332" s="31">
        <v>46081</v>
      </c>
      <c r="AA332">
        <v>44000</v>
      </c>
      <c r="AB332">
        <v>13781</v>
      </c>
      <c r="AC332">
        <v>134</v>
      </c>
      <c r="AD332" t="s">
        <v>44</v>
      </c>
      <c r="AE332" s="31">
        <v>46002</v>
      </c>
      <c r="AF332" s="61">
        <v>0.42090277777777779</v>
      </c>
      <c r="AH332" t="s">
        <v>795</v>
      </c>
      <c r="AI332" s="31">
        <v>46136</v>
      </c>
      <c r="AJ332" s="61">
        <v>0.39181712962962961</v>
      </c>
      <c r="AK332" t="s">
        <v>5338</v>
      </c>
      <c r="AL332" t="s">
        <v>5610</v>
      </c>
      <c r="AN332" t="s">
        <v>2504</v>
      </c>
      <c r="AO332" t="s">
        <v>44</v>
      </c>
      <c r="AP332" t="s">
        <v>2505</v>
      </c>
      <c r="AQ332" t="s">
        <v>2504</v>
      </c>
      <c r="AR332" s="31">
        <v>46136</v>
      </c>
      <c r="AS332">
        <v>50</v>
      </c>
      <c r="AX332">
        <v>1</v>
      </c>
    </row>
    <row r="333" spans="1:50" x14ac:dyDescent="0.25">
      <c r="A333" t="s">
        <v>44</v>
      </c>
      <c r="B333">
        <v>731</v>
      </c>
      <c r="D333">
        <v>2980</v>
      </c>
      <c r="G333" t="s">
        <v>5611</v>
      </c>
      <c r="J333" t="s">
        <v>5612</v>
      </c>
      <c r="K333" t="s">
        <v>2508</v>
      </c>
      <c r="M333" t="s">
        <v>1532</v>
      </c>
      <c r="V333" t="s">
        <v>1419</v>
      </c>
      <c r="W333" t="s">
        <v>780</v>
      </c>
      <c r="X333" t="s">
        <v>807</v>
      </c>
      <c r="Z333" s="31">
        <v>46053</v>
      </c>
      <c r="AA333">
        <v>8000</v>
      </c>
      <c r="AB333">
        <v>19642</v>
      </c>
      <c r="AC333">
        <v>49</v>
      </c>
      <c r="AD333" t="s">
        <v>44</v>
      </c>
      <c r="AE333" s="31">
        <v>46002</v>
      </c>
      <c r="AF333" s="61">
        <v>0.43156250000000002</v>
      </c>
      <c r="AH333" t="s">
        <v>795</v>
      </c>
      <c r="AI333" s="31">
        <v>46051</v>
      </c>
      <c r="AJ333" s="61">
        <v>0.6605092592592593</v>
      </c>
      <c r="AK333" t="s">
        <v>858</v>
      </c>
      <c r="AL333" t="s">
        <v>5613</v>
      </c>
      <c r="AN333" t="s">
        <v>2510</v>
      </c>
      <c r="AP333" t="s">
        <v>2511</v>
      </c>
      <c r="AR333" s="31">
        <v>46031</v>
      </c>
      <c r="AX333">
        <v>1</v>
      </c>
    </row>
    <row r="334" spans="1:50" x14ac:dyDescent="0.25">
      <c r="A334" t="s">
        <v>44</v>
      </c>
      <c r="B334">
        <v>732</v>
      </c>
      <c r="D334">
        <v>2981</v>
      </c>
      <c r="E334" t="s">
        <v>5614</v>
      </c>
      <c r="G334" t="s">
        <v>5615</v>
      </c>
      <c r="J334" t="s">
        <v>5616</v>
      </c>
      <c r="K334" t="s">
        <v>2508</v>
      </c>
      <c r="M334" t="s">
        <v>1532</v>
      </c>
      <c r="V334" t="s">
        <v>1419</v>
      </c>
      <c r="W334" t="s">
        <v>780</v>
      </c>
      <c r="X334" t="s">
        <v>807</v>
      </c>
      <c r="Z334" s="31">
        <v>46081</v>
      </c>
      <c r="AA334">
        <v>1600</v>
      </c>
      <c r="AB334">
        <v>34428</v>
      </c>
      <c r="AC334">
        <v>134</v>
      </c>
      <c r="AD334" t="s">
        <v>44</v>
      </c>
      <c r="AE334" s="31">
        <v>46002</v>
      </c>
      <c r="AF334" s="61">
        <v>0.43273148148148149</v>
      </c>
      <c r="AH334" t="s">
        <v>795</v>
      </c>
      <c r="AI334" s="31">
        <v>46136</v>
      </c>
      <c r="AJ334" s="61">
        <v>0.39952546296296299</v>
      </c>
      <c r="AK334" t="s">
        <v>5338</v>
      </c>
      <c r="AL334" t="s">
        <v>5610</v>
      </c>
      <c r="AN334" t="s">
        <v>2504</v>
      </c>
      <c r="AO334" t="s">
        <v>44</v>
      </c>
      <c r="AP334" t="s">
        <v>2505</v>
      </c>
      <c r="AQ334" t="s">
        <v>2504</v>
      </c>
      <c r="AR334" s="31">
        <v>46136</v>
      </c>
      <c r="AS334">
        <v>50</v>
      </c>
      <c r="AX334">
        <v>1</v>
      </c>
    </row>
    <row r="335" spans="1:50" x14ac:dyDescent="0.25">
      <c r="A335" t="s">
        <v>44</v>
      </c>
      <c r="B335">
        <v>733</v>
      </c>
      <c r="D335">
        <v>2982</v>
      </c>
      <c r="F335" t="s">
        <v>2514</v>
      </c>
      <c r="G335" t="s">
        <v>2515</v>
      </c>
      <c r="H335">
        <v>96280292000809</v>
      </c>
      <c r="J335" t="s">
        <v>2514</v>
      </c>
      <c r="K335" t="s">
        <v>5617</v>
      </c>
      <c r="M335" t="s">
        <v>2517</v>
      </c>
      <c r="Q335" t="s">
        <v>2518</v>
      </c>
      <c r="R335" t="s">
        <v>932</v>
      </c>
      <c r="S335" t="s">
        <v>805</v>
      </c>
      <c r="V335" t="s">
        <v>2407</v>
      </c>
      <c r="W335" t="s">
        <v>780</v>
      </c>
      <c r="X335" t="s">
        <v>816</v>
      </c>
      <c r="Z335" s="31">
        <v>46081</v>
      </c>
      <c r="AA335">
        <v>580005</v>
      </c>
      <c r="AB335">
        <v>7230</v>
      </c>
      <c r="AC335">
        <v>62</v>
      </c>
      <c r="AD335" t="s">
        <v>44</v>
      </c>
      <c r="AE335" s="31">
        <v>46002</v>
      </c>
      <c r="AF335" s="61">
        <v>0.47339120370370369</v>
      </c>
      <c r="AH335" t="s">
        <v>818</v>
      </c>
      <c r="AI335" s="31">
        <v>46064</v>
      </c>
      <c r="AJ335" s="61">
        <v>0.74250000000000005</v>
      </c>
      <c r="AN335" t="s">
        <v>2519</v>
      </c>
      <c r="AO335" t="s">
        <v>44</v>
      </c>
      <c r="AP335" t="s">
        <v>2520</v>
      </c>
      <c r="AR335" s="31">
        <v>46038</v>
      </c>
      <c r="AS335">
        <v>90</v>
      </c>
      <c r="AX335">
        <v>1</v>
      </c>
    </row>
    <row r="336" spans="1:50" x14ac:dyDescent="0.25">
      <c r="A336" t="s">
        <v>44</v>
      </c>
      <c r="B336">
        <v>734</v>
      </c>
      <c r="D336">
        <v>2985</v>
      </c>
      <c r="E336" t="s">
        <v>5618</v>
      </c>
      <c r="G336" t="s">
        <v>5619</v>
      </c>
      <c r="J336" t="s">
        <v>5620</v>
      </c>
      <c r="K336" t="s">
        <v>2524</v>
      </c>
      <c r="M336" t="s">
        <v>2517</v>
      </c>
      <c r="V336" t="s">
        <v>1419</v>
      </c>
      <c r="W336" t="s">
        <v>780</v>
      </c>
      <c r="X336" t="s">
        <v>807</v>
      </c>
      <c r="Z336" s="31">
        <v>46038</v>
      </c>
      <c r="AA336">
        <v>0</v>
      </c>
      <c r="AB336">
        <v>19642</v>
      </c>
      <c r="AC336">
        <v>47</v>
      </c>
      <c r="AD336" t="s">
        <v>44</v>
      </c>
      <c r="AE336" s="31">
        <v>46002</v>
      </c>
      <c r="AF336" s="61">
        <v>0.47990740740740739</v>
      </c>
      <c r="AH336" t="s">
        <v>795</v>
      </c>
      <c r="AI336" s="31">
        <v>46049</v>
      </c>
      <c r="AJ336" s="61">
        <v>0.6889467592592593</v>
      </c>
      <c r="AK336" t="s">
        <v>808</v>
      </c>
      <c r="AL336" t="s">
        <v>5618</v>
      </c>
      <c r="AN336" t="s">
        <v>2519</v>
      </c>
      <c r="AP336" t="s">
        <v>2520</v>
      </c>
      <c r="AR336" s="31">
        <v>46049</v>
      </c>
      <c r="AX336">
        <v>1</v>
      </c>
    </row>
    <row r="337" spans="1:50" x14ac:dyDescent="0.25">
      <c r="A337" t="s">
        <v>44</v>
      </c>
      <c r="B337">
        <v>735</v>
      </c>
      <c r="D337">
        <v>2986</v>
      </c>
      <c r="E337" t="s">
        <v>5621</v>
      </c>
      <c r="G337" t="s">
        <v>5622</v>
      </c>
      <c r="J337" t="s">
        <v>5623</v>
      </c>
      <c r="K337" t="s">
        <v>2524</v>
      </c>
      <c r="M337" t="s">
        <v>2517</v>
      </c>
      <c r="V337" t="s">
        <v>1581</v>
      </c>
      <c r="W337" t="s">
        <v>780</v>
      </c>
      <c r="X337" t="s">
        <v>816</v>
      </c>
      <c r="Z337" s="31">
        <v>46038</v>
      </c>
      <c r="AA337">
        <v>1600</v>
      </c>
      <c r="AB337">
        <v>524246</v>
      </c>
      <c r="AC337">
        <v>134</v>
      </c>
      <c r="AD337" t="s">
        <v>44</v>
      </c>
      <c r="AE337" s="31">
        <v>46002</v>
      </c>
      <c r="AF337" s="61">
        <v>0.4813425925925926</v>
      </c>
      <c r="AH337" t="s">
        <v>795</v>
      </c>
      <c r="AI337" s="31">
        <v>46136</v>
      </c>
      <c r="AJ337" s="61">
        <v>0.37793981481481481</v>
      </c>
      <c r="AK337" t="s">
        <v>858</v>
      </c>
      <c r="AL337" t="s">
        <v>5621</v>
      </c>
      <c r="AN337" t="s">
        <v>2519</v>
      </c>
      <c r="AO337" t="s">
        <v>44</v>
      </c>
      <c r="AP337" t="s">
        <v>2520</v>
      </c>
      <c r="AR337" s="31">
        <v>46136</v>
      </c>
      <c r="AS337">
        <v>80</v>
      </c>
      <c r="AX337">
        <v>1</v>
      </c>
    </row>
    <row r="338" spans="1:50" x14ac:dyDescent="0.25">
      <c r="A338" t="s">
        <v>44</v>
      </c>
      <c r="B338">
        <v>736</v>
      </c>
      <c r="D338">
        <v>2988</v>
      </c>
      <c r="G338" t="s">
        <v>5624</v>
      </c>
      <c r="J338" t="s">
        <v>5625</v>
      </c>
      <c r="K338" t="s">
        <v>1042</v>
      </c>
      <c r="M338" t="s">
        <v>1043</v>
      </c>
      <c r="V338" t="s">
        <v>1718</v>
      </c>
      <c r="W338" t="s">
        <v>780</v>
      </c>
      <c r="X338" t="s">
        <v>807</v>
      </c>
      <c r="Z338" s="31">
        <v>46008</v>
      </c>
      <c r="AA338">
        <v>26200</v>
      </c>
      <c r="AB338">
        <v>3400</v>
      </c>
      <c r="AC338">
        <v>50</v>
      </c>
      <c r="AD338" t="s">
        <v>44</v>
      </c>
      <c r="AE338" s="31">
        <v>46002</v>
      </c>
      <c r="AF338" s="61">
        <v>0.6433564814814815</v>
      </c>
      <c r="AH338" t="s">
        <v>795</v>
      </c>
      <c r="AI338" s="31">
        <v>46052</v>
      </c>
      <c r="AJ338" s="61">
        <v>0.65020833333333339</v>
      </c>
      <c r="AK338" t="s">
        <v>5338</v>
      </c>
      <c r="AL338" t="s">
        <v>5352</v>
      </c>
      <c r="AN338" t="s">
        <v>2529</v>
      </c>
      <c r="AP338" t="s">
        <v>2529</v>
      </c>
      <c r="AQ338" t="s">
        <v>2511</v>
      </c>
      <c r="AR338" s="31">
        <v>46031</v>
      </c>
      <c r="AX338">
        <v>1</v>
      </c>
    </row>
    <row r="339" spans="1:50" x14ac:dyDescent="0.25">
      <c r="A339" t="s">
        <v>44</v>
      </c>
      <c r="B339">
        <v>737</v>
      </c>
      <c r="D339">
        <v>2989</v>
      </c>
      <c r="G339" t="s">
        <v>5626</v>
      </c>
      <c r="J339" t="s">
        <v>5627</v>
      </c>
      <c r="K339" t="s">
        <v>1549</v>
      </c>
      <c r="M339" t="s">
        <v>1111</v>
      </c>
      <c r="V339" t="s">
        <v>1718</v>
      </c>
      <c r="W339" t="s">
        <v>780</v>
      </c>
      <c r="X339" t="s">
        <v>807</v>
      </c>
      <c r="Z339" s="31">
        <v>46008</v>
      </c>
      <c r="AA339">
        <v>22824</v>
      </c>
      <c r="AB339">
        <v>68904</v>
      </c>
      <c r="AC339">
        <v>1</v>
      </c>
      <c r="AD339" t="s">
        <v>44</v>
      </c>
      <c r="AE339" s="31">
        <v>46002</v>
      </c>
      <c r="AF339" s="61">
        <v>0.66396990740740736</v>
      </c>
      <c r="AH339" t="s">
        <v>795</v>
      </c>
      <c r="AI339" s="31">
        <v>46003</v>
      </c>
      <c r="AJ339" s="61">
        <v>0.69563657407407409</v>
      </c>
      <c r="AK339" t="s">
        <v>5338</v>
      </c>
      <c r="AL339" t="s">
        <v>2532</v>
      </c>
      <c r="AN339" t="s">
        <v>2519</v>
      </c>
      <c r="AP339" t="s">
        <v>2519</v>
      </c>
      <c r="AR339" s="31">
        <v>46003</v>
      </c>
      <c r="AX339">
        <v>1</v>
      </c>
    </row>
    <row r="340" spans="1:50" x14ac:dyDescent="0.25">
      <c r="A340" t="s">
        <v>44</v>
      </c>
      <c r="B340">
        <v>739</v>
      </c>
      <c r="D340">
        <v>2991</v>
      </c>
      <c r="G340" t="s">
        <v>2533</v>
      </c>
      <c r="J340" t="s">
        <v>2534</v>
      </c>
      <c r="K340" t="s">
        <v>2535</v>
      </c>
      <c r="M340" t="s">
        <v>1111</v>
      </c>
      <c r="V340" t="s">
        <v>1718</v>
      </c>
      <c r="W340" t="s">
        <v>780</v>
      </c>
      <c r="X340" t="s">
        <v>793</v>
      </c>
      <c r="Z340" s="31">
        <v>46022</v>
      </c>
      <c r="AA340">
        <v>3392</v>
      </c>
      <c r="AB340">
        <v>3564</v>
      </c>
      <c r="AC340">
        <v>76</v>
      </c>
      <c r="AD340" t="s">
        <v>44</v>
      </c>
      <c r="AE340" s="31">
        <v>46003</v>
      </c>
      <c r="AF340" s="61">
        <v>0.51504629629629628</v>
      </c>
      <c r="AH340" t="s">
        <v>795</v>
      </c>
      <c r="AI340" s="31">
        <v>46079</v>
      </c>
      <c r="AJ340" s="61">
        <v>0.39003472222222219</v>
      </c>
      <c r="AK340" t="s">
        <v>5338</v>
      </c>
      <c r="AL340" t="s">
        <v>5339</v>
      </c>
      <c r="AN340" t="s">
        <v>2326</v>
      </c>
      <c r="AO340" t="s">
        <v>44</v>
      </c>
      <c r="AP340" t="s">
        <v>2326</v>
      </c>
      <c r="AR340" s="31">
        <v>46003</v>
      </c>
      <c r="AS340">
        <v>30</v>
      </c>
      <c r="AX340">
        <v>1</v>
      </c>
    </row>
    <row r="341" spans="1:50" x14ac:dyDescent="0.25">
      <c r="A341" t="s">
        <v>22</v>
      </c>
      <c r="B341">
        <v>740</v>
      </c>
      <c r="D341">
        <v>2994</v>
      </c>
      <c r="E341" t="s">
        <v>4713</v>
      </c>
      <c r="G341" t="s">
        <v>408</v>
      </c>
      <c r="J341" t="s">
        <v>2538</v>
      </c>
      <c r="K341" t="s">
        <v>2539</v>
      </c>
      <c r="M341" t="s">
        <v>2540</v>
      </c>
      <c r="S341" t="s">
        <v>2541</v>
      </c>
      <c r="V341" t="s">
        <v>5628</v>
      </c>
      <c r="W341" t="s">
        <v>780</v>
      </c>
      <c r="X341" t="s">
        <v>807</v>
      </c>
      <c r="Z341" s="31">
        <v>46112</v>
      </c>
      <c r="AA341">
        <v>115520</v>
      </c>
      <c r="AB341">
        <v>65721</v>
      </c>
      <c r="AC341">
        <v>94</v>
      </c>
      <c r="AD341" t="s">
        <v>22</v>
      </c>
      <c r="AE341" s="31">
        <v>46007</v>
      </c>
      <c r="AF341" s="61">
        <v>0.50936342592592587</v>
      </c>
      <c r="AH341" t="s">
        <v>795</v>
      </c>
      <c r="AI341" s="31">
        <v>46101</v>
      </c>
      <c r="AJ341" s="61">
        <v>0.70766203703703701</v>
      </c>
      <c r="AK341" t="s">
        <v>5347</v>
      </c>
      <c r="AN341" t="s">
        <v>4714</v>
      </c>
      <c r="AO341" t="s">
        <v>22</v>
      </c>
      <c r="AP341" t="s">
        <v>4714</v>
      </c>
      <c r="AR341" s="31">
        <v>46101</v>
      </c>
      <c r="AS341">
        <v>30</v>
      </c>
      <c r="AU341" t="s">
        <v>4715</v>
      </c>
      <c r="AX341">
        <v>1</v>
      </c>
    </row>
    <row r="342" spans="1:50" x14ac:dyDescent="0.25">
      <c r="A342" t="s">
        <v>44</v>
      </c>
      <c r="B342">
        <v>741</v>
      </c>
      <c r="D342">
        <v>2995</v>
      </c>
      <c r="E342" t="s">
        <v>5629</v>
      </c>
      <c r="G342" t="s">
        <v>2544</v>
      </c>
      <c r="J342" t="s">
        <v>2545</v>
      </c>
      <c r="K342" t="s">
        <v>2546</v>
      </c>
      <c r="M342" t="s">
        <v>2547</v>
      </c>
      <c r="Q342" t="s">
        <v>2548</v>
      </c>
      <c r="S342" t="s">
        <v>814</v>
      </c>
      <c r="V342" t="s">
        <v>5598</v>
      </c>
      <c r="W342" t="s">
        <v>780</v>
      </c>
      <c r="X342" t="s">
        <v>807</v>
      </c>
      <c r="Z342" s="31">
        <v>46053</v>
      </c>
      <c r="AA342">
        <v>44000</v>
      </c>
      <c r="AB342">
        <v>110248</v>
      </c>
      <c r="AC342">
        <v>31</v>
      </c>
      <c r="AD342" t="s">
        <v>44</v>
      </c>
      <c r="AE342" s="31">
        <v>46007</v>
      </c>
      <c r="AF342" s="61">
        <v>0.72878472222222224</v>
      </c>
      <c r="AH342" t="s">
        <v>795</v>
      </c>
      <c r="AI342" s="31">
        <v>46038</v>
      </c>
      <c r="AJ342" s="61">
        <v>0.66372685185185187</v>
      </c>
      <c r="AK342" t="s">
        <v>934</v>
      </c>
      <c r="AL342" t="s">
        <v>5630</v>
      </c>
      <c r="AN342" t="s">
        <v>2550</v>
      </c>
      <c r="AP342" t="s">
        <v>2510</v>
      </c>
      <c r="AQ342" t="s">
        <v>2551</v>
      </c>
      <c r="AR342" s="31">
        <v>46038</v>
      </c>
      <c r="AX342">
        <v>1</v>
      </c>
    </row>
    <row r="343" spans="1:50" x14ac:dyDescent="0.25">
      <c r="A343" t="s">
        <v>44</v>
      </c>
      <c r="B343">
        <v>742</v>
      </c>
      <c r="D343">
        <v>2996</v>
      </c>
      <c r="E343" t="s">
        <v>5629</v>
      </c>
      <c r="G343" t="s">
        <v>2552</v>
      </c>
      <c r="J343" t="s">
        <v>2553</v>
      </c>
      <c r="K343" t="s">
        <v>2554</v>
      </c>
      <c r="M343" t="s">
        <v>2547</v>
      </c>
      <c r="V343" t="s">
        <v>1718</v>
      </c>
      <c r="W343" t="s">
        <v>780</v>
      </c>
      <c r="X343" t="s">
        <v>807</v>
      </c>
      <c r="Z343" s="31">
        <v>46053</v>
      </c>
      <c r="AA343">
        <v>8000</v>
      </c>
      <c r="AB343">
        <v>186599</v>
      </c>
      <c r="AC343">
        <v>31</v>
      </c>
      <c r="AD343" t="s">
        <v>44</v>
      </c>
      <c r="AE343" s="31">
        <v>46007</v>
      </c>
      <c r="AF343" s="61">
        <v>0.7303587962962963</v>
      </c>
      <c r="AH343" t="s">
        <v>795</v>
      </c>
      <c r="AI343" s="31">
        <v>46038</v>
      </c>
      <c r="AJ343" s="61">
        <v>0.66439814814814813</v>
      </c>
      <c r="AK343" t="s">
        <v>934</v>
      </c>
      <c r="AL343" t="s">
        <v>5630</v>
      </c>
      <c r="AN343" t="s">
        <v>2550</v>
      </c>
      <c r="AP343" t="s">
        <v>2510</v>
      </c>
      <c r="AQ343" t="s">
        <v>2551</v>
      </c>
      <c r="AR343" s="31">
        <v>46038</v>
      </c>
      <c r="AX343">
        <v>1</v>
      </c>
    </row>
    <row r="344" spans="1:50" x14ac:dyDescent="0.25">
      <c r="A344" t="s">
        <v>44</v>
      </c>
      <c r="B344">
        <v>746</v>
      </c>
      <c r="D344">
        <v>3004</v>
      </c>
      <c r="G344" t="s">
        <v>2555</v>
      </c>
      <c r="J344" t="s">
        <v>2556</v>
      </c>
      <c r="K344" t="s">
        <v>2557</v>
      </c>
      <c r="M344" t="s">
        <v>2558</v>
      </c>
      <c r="S344" t="s">
        <v>2541</v>
      </c>
      <c r="V344" t="s">
        <v>5631</v>
      </c>
      <c r="W344" t="s">
        <v>780</v>
      </c>
      <c r="X344" t="s">
        <v>781</v>
      </c>
      <c r="Z344" s="31"/>
      <c r="AC344">
        <v>135</v>
      </c>
      <c r="AD344" t="s">
        <v>44</v>
      </c>
      <c r="AE344" s="31">
        <v>46013</v>
      </c>
      <c r="AF344" s="61">
        <v>0.35472222222222222</v>
      </c>
      <c r="AH344" t="s">
        <v>795</v>
      </c>
      <c r="AI344" s="31">
        <v>46148</v>
      </c>
      <c r="AJ344" s="61">
        <v>0.68866898148148148</v>
      </c>
      <c r="AK344" t="s">
        <v>5392</v>
      </c>
      <c r="AL344" t="s">
        <v>5632</v>
      </c>
      <c r="AR344" s="31"/>
      <c r="AX344">
        <v>1</v>
      </c>
    </row>
    <row r="345" spans="1:50" x14ac:dyDescent="0.25">
      <c r="A345" t="s">
        <v>44</v>
      </c>
      <c r="B345">
        <v>747</v>
      </c>
      <c r="D345">
        <v>3003</v>
      </c>
      <c r="G345" t="s">
        <v>2560</v>
      </c>
      <c r="J345" t="s">
        <v>2561</v>
      </c>
      <c r="K345" t="s">
        <v>2562</v>
      </c>
      <c r="M345" t="s">
        <v>2563</v>
      </c>
      <c r="S345" t="s">
        <v>2541</v>
      </c>
      <c r="V345" t="s">
        <v>5631</v>
      </c>
      <c r="W345" t="s">
        <v>780</v>
      </c>
      <c r="X345" t="s">
        <v>781</v>
      </c>
      <c r="Z345" s="31"/>
      <c r="AC345">
        <v>138</v>
      </c>
      <c r="AD345" t="s">
        <v>44</v>
      </c>
      <c r="AE345" s="31">
        <v>46013</v>
      </c>
      <c r="AF345" s="61">
        <v>0.35800925925925919</v>
      </c>
      <c r="AH345" t="s">
        <v>795</v>
      </c>
      <c r="AI345" s="31">
        <v>46151</v>
      </c>
      <c r="AJ345" s="61">
        <v>0.33648148148148149</v>
      </c>
      <c r="AK345" t="s">
        <v>5377</v>
      </c>
      <c r="AR345" s="31"/>
      <c r="AX345">
        <v>1</v>
      </c>
    </row>
    <row r="346" spans="1:50" x14ac:dyDescent="0.25">
      <c r="A346" t="s">
        <v>44</v>
      </c>
      <c r="B346">
        <v>748</v>
      </c>
      <c r="D346">
        <v>3011</v>
      </c>
      <c r="E346" t="s">
        <v>4716</v>
      </c>
      <c r="G346" t="s">
        <v>2566</v>
      </c>
      <c r="H346">
        <v>9260618000165</v>
      </c>
      <c r="J346" t="s">
        <v>2567</v>
      </c>
      <c r="K346" t="s">
        <v>2568</v>
      </c>
      <c r="M346" t="s">
        <v>2569</v>
      </c>
      <c r="S346" t="s">
        <v>2541</v>
      </c>
      <c r="V346" t="s">
        <v>5628</v>
      </c>
      <c r="W346" t="s">
        <v>780</v>
      </c>
      <c r="X346" t="s">
        <v>857</v>
      </c>
      <c r="Z346" s="31">
        <v>46053</v>
      </c>
      <c r="AC346">
        <v>62</v>
      </c>
      <c r="AD346" t="s">
        <v>44</v>
      </c>
      <c r="AE346" s="31">
        <v>46021</v>
      </c>
      <c r="AF346" s="61">
        <v>0.46439814814814823</v>
      </c>
      <c r="AH346" t="s">
        <v>795</v>
      </c>
      <c r="AI346" s="31">
        <v>46083</v>
      </c>
      <c r="AJ346" s="61">
        <v>0.47996527777777781</v>
      </c>
      <c r="AK346" t="s">
        <v>858</v>
      </c>
      <c r="AL346" t="s">
        <v>4717</v>
      </c>
      <c r="AO346" t="s">
        <v>44</v>
      </c>
      <c r="AP346" t="s">
        <v>2505</v>
      </c>
      <c r="AR346" s="31">
        <v>46083</v>
      </c>
      <c r="AS346">
        <v>30</v>
      </c>
      <c r="AX346">
        <v>1</v>
      </c>
    </row>
    <row r="347" spans="1:50" x14ac:dyDescent="0.25">
      <c r="A347" t="s">
        <v>44</v>
      </c>
      <c r="B347">
        <v>749</v>
      </c>
      <c r="D347">
        <v>3006</v>
      </c>
      <c r="E347" t="s">
        <v>5633</v>
      </c>
      <c r="G347" t="s">
        <v>381</v>
      </c>
      <c r="H347">
        <v>34667612000154</v>
      </c>
      <c r="J347" t="s">
        <v>2571</v>
      </c>
      <c r="K347" t="s">
        <v>2572</v>
      </c>
      <c r="M347" t="s">
        <v>2573</v>
      </c>
      <c r="Q347" t="s">
        <v>2574</v>
      </c>
      <c r="R347" t="s">
        <v>1699</v>
      </c>
      <c r="S347" t="s">
        <v>2541</v>
      </c>
      <c r="V347" t="s">
        <v>5628</v>
      </c>
      <c r="W347" t="s">
        <v>780</v>
      </c>
      <c r="X347" t="s">
        <v>793</v>
      </c>
      <c r="Z347" s="31">
        <v>46081</v>
      </c>
      <c r="AA347">
        <v>1117015</v>
      </c>
      <c r="AB347">
        <v>468739</v>
      </c>
      <c r="AC347">
        <v>50</v>
      </c>
      <c r="AD347" t="s">
        <v>44</v>
      </c>
      <c r="AE347" s="31">
        <v>46021</v>
      </c>
      <c r="AF347" s="61">
        <v>0.47844907407407411</v>
      </c>
      <c r="AH347" t="s">
        <v>795</v>
      </c>
      <c r="AI347" s="31">
        <v>46071</v>
      </c>
      <c r="AJ347" s="61">
        <v>0.36982638888888891</v>
      </c>
      <c r="AK347" t="s">
        <v>934</v>
      </c>
      <c r="AL347" t="s">
        <v>5634</v>
      </c>
      <c r="AN347" t="s">
        <v>382</v>
      </c>
      <c r="AO347" t="s">
        <v>44</v>
      </c>
      <c r="AP347" t="s">
        <v>2576</v>
      </c>
      <c r="AQ347" t="s">
        <v>382</v>
      </c>
      <c r="AR347" s="31">
        <v>46071</v>
      </c>
      <c r="AS347">
        <v>30</v>
      </c>
      <c r="AX347">
        <v>1</v>
      </c>
    </row>
    <row r="348" spans="1:50" x14ac:dyDescent="0.25">
      <c r="A348" t="s">
        <v>31</v>
      </c>
      <c r="B348">
        <v>750</v>
      </c>
      <c r="D348">
        <v>3016</v>
      </c>
      <c r="E348" t="s">
        <v>2577</v>
      </c>
      <c r="G348" t="s">
        <v>2578</v>
      </c>
      <c r="H348">
        <v>1574467000108</v>
      </c>
      <c r="J348" t="s">
        <v>2579</v>
      </c>
      <c r="K348" t="s">
        <v>2580</v>
      </c>
      <c r="M348" t="s">
        <v>2581</v>
      </c>
      <c r="S348" t="s">
        <v>2541</v>
      </c>
      <c r="V348" t="s">
        <v>5635</v>
      </c>
      <c r="W348" t="s">
        <v>780</v>
      </c>
      <c r="X348" t="s">
        <v>807</v>
      </c>
      <c r="Z348" s="31">
        <v>46112</v>
      </c>
      <c r="AA348">
        <v>12996348</v>
      </c>
      <c r="AB348">
        <v>860884</v>
      </c>
      <c r="AC348">
        <v>43</v>
      </c>
      <c r="AD348" t="s">
        <v>31</v>
      </c>
      <c r="AE348" s="31">
        <v>46027</v>
      </c>
      <c r="AF348" s="61">
        <v>0.49306712962962962</v>
      </c>
      <c r="AH348" t="s">
        <v>795</v>
      </c>
      <c r="AI348" s="31">
        <v>46070</v>
      </c>
      <c r="AJ348" s="61">
        <v>0.68046296296296294</v>
      </c>
      <c r="AK348" t="s">
        <v>5347</v>
      </c>
      <c r="AO348" t="s">
        <v>31</v>
      </c>
      <c r="AP348" t="s">
        <v>2505</v>
      </c>
      <c r="AQ348" t="s">
        <v>382</v>
      </c>
      <c r="AR348" s="31">
        <v>46058</v>
      </c>
      <c r="AS348">
        <v>50</v>
      </c>
      <c r="AX348">
        <v>1</v>
      </c>
    </row>
    <row r="349" spans="1:50" x14ac:dyDescent="0.25">
      <c r="A349" t="s">
        <v>31</v>
      </c>
      <c r="B349">
        <v>754</v>
      </c>
      <c r="D349">
        <v>3017</v>
      </c>
      <c r="E349" t="s">
        <v>2583</v>
      </c>
      <c r="F349" t="s">
        <v>2584</v>
      </c>
      <c r="G349" t="s">
        <v>2585</v>
      </c>
      <c r="H349">
        <v>61516270000144</v>
      </c>
      <c r="J349" t="s">
        <v>2586</v>
      </c>
      <c r="K349" t="s">
        <v>2587</v>
      </c>
      <c r="M349" t="s">
        <v>2588</v>
      </c>
      <c r="Q349" t="s">
        <v>2589</v>
      </c>
      <c r="R349" t="s">
        <v>790</v>
      </c>
      <c r="S349" t="s">
        <v>2541</v>
      </c>
      <c r="V349" t="s">
        <v>5628</v>
      </c>
      <c r="W349" t="s">
        <v>780</v>
      </c>
      <c r="X349" t="s">
        <v>793</v>
      </c>
      <c r="Z349" s="31">
        <v>46142</v>
      </c>
      <c r="AC349">
        <v>13</v>
      </c>
      <c r="AD349" t="s">
        <v>31</v>
      </c>
      <c r="AE349" s="31">
        <v>46029</v>
      </c>
      <c r="AF349" s="61">
        <v>0.42782407407407408</v>
      </c>
      <c r="AH349" t="s">
        <v>795</v>
      </c>
      <c r="AI349" s="31">
        <v>46042</v>
      </c>
      <c r="AJ349" s="61">
        <v>0.71923611111111108</v>
      </c>
      <c r="AK349" t="s">
        <v>858</v>
      </c>
      <c r="AN349" t="s">
        <v>2590</v>
      </c>
      <c r="AO349" t="s">
        <v>31</v>
      </c>
      <c r="AP349" t="s">
        <v>2591</v>
      </c>
      <c r="AR349" s="31">
        <v>46041</v>
      </c>
      <c r="AX349">
        <v>1</v>
      </c>
    </row>
    <row r="350" spans="1:50" x14ac:dyDescent="0.25">
      <c r="A350" t="s">
        <v>22</v>
      </c>
      <c r="B350">
        <v>757</v>
      </c>
      <c r="D350">
        <v>3046</v>
      </c>
      <c r="E350" t="s">
        <v>2592</v>
      </c>
      <c r="G350" t="s">
        <v>2593</v>
      </c>
      <c r="J350" t="s">
        <v>2594</v>
      </c>
      <c r="K350" t="s">
        <v>2595</v>
      </c>
      <c r="M350" t="s">
        <v>2596</v>
      </c>
      <c r="S350" t="s">
        <v>2541</v>
      </c>
      <c r="V350" t="s">
        <v>5628</v>
      </c>
      <c r="W350" t="s">
        <v>780</v>
      </c>
      <c r="X350" t="s">
        <v>897</v>
      </c>
      <c r="Z350" s="31">
        <v>46034</v>
      </c>
      <c r="AC350">
        <v>15</v>
      </c>
      <c r="AD350" t="s">
        <v>22</v>
      </c>
      <c r="AE350" s="31">
        <v>46030</v>
      </c>
      <c r="AF350" s="61">
        <v>0.66454861111111108</v>
      </c>
      <c r="AH350" t="s">
        <v>795</v>
      </c>
      <c r="AI350" s="31">
        <v>46045</v>
      </c>
      <c r="AJ350" s="61">
        <v>0.74555555555555553</v>
      </c>
      <c r="AK350" t="s">
        <v>5353</v>
      </c>
      <c r="AL350" t="s">
        <v>2597</v>
      </c>
      <c r="AO350" t="s">
        <v>22</v>
      </c>
      <c r="AR350" s="31">
        <v>46034</v>
      </c>
      <c r="AX350">
        <v>1</v>
      </c>
    </row>
    <row r="351" spans="1:50" x14ac:dyDescent="0.25">
      <c r="A351" t="s">
        <v>22</v>
      </c>
      <c r="B351">
        <v>758</v>
      </c>
      <c r="D351">
        <v>3048</v>
      </c>
      <c r="E351" t="s">
        <v>4718</v>
      </c>
      <c r="G351" t="s">
        <v>2599</v>
      </c>
      <c r="J351" t="s">
        <v>2600</v>
      </c>
      <c r="K351" t="s">
        <v>2601</v>
      </c>
      <c r="M351" t="s">
        <v>2602</v>
      </c>
      <c r="V351" t="s">
        <v>1419</v>
      </c>
      <c r="W351" t="s">
        <v>780</v>
      </c>
      <c r="X351" t="s">
        <v>807</v>
      </c>
      <c r="Z351" s="31">
        <v>46079</v>
      </c>
      <c r="AA351">
        <v>0</v>
      </c>
      <c r="AB351">
        <v>66</v>
      </c>
      <c r="AC351">
        <v>49</v>
      </c>
      <c r="AD351" t="s">
        <v>22</v>
      </c>
      <c r="AE351" s="31">
        <v>46030</v>
      </c>
      <c r="AF351" s="61">
        <v>0.7044907407407407</v>
      </c>
      <c r="AH351" t="s">
        <v>795</v>
      </c>
      <c r="AI351" s="31">
        <v>46079</v>
      </c>
      <c r="AJ351" s="61">
        <v>0.92770833333333336</v>
      </c>
      <c r="AK351" t="s">
        <v>934</v>
      </c>
      <c r="AN351" t="s">
        <v>2603</v>
      </c>
      <c r="AO351" t="s">
        <v>22</v>
      </c>
      <c r="AP351" t="s">
        <v>2603</v>
      </c>
      <c r="AR351" s="31">
        <v>46079</v>
      </c>
      <c r="AS351">
        <v>50</v>
      </c>
      <c r="AT351" t="s">
        <v>2604</v>
      </c>
      <c r="AU351" t="s">
        <v>2605</v>
      </c>
      <c r="AV351" t="s">
        <v>2606</v>
      </c>
      <c r="AW351" t="s">
        <v>2607</v>
      </c>
      <c r="AX351">
        <v>1</v>
      </c>
    </row>
    <row r="352" spans="1:50" x14ac:dyDescent="0.25">
      <c r="A352" t="s">
        <v>22</v>
      </c>
      <c r="B352">
        <v>759</v>
      </c>
      <c r="D352">
        <v>3049</v>
      </c>
      <c r="E352" t="s">
        <v>2608</v>
      </c>
      <c r="G352" t="s">
        <v>2609</v>
      </c>
      <c r="H352">
        <v>10345472000130</v>
      </c>
      <c r="J352" t="s">
        <v>2610</v>
      </c>
      <c r="K352" t="s">
        <v>2611</v>
      </c>
      <c r="M352" t="s">
        <v>2612</v>
      </c>
      <c r="V352" t="s">
        <v>1704</v>
      </c>
      <c r="W352" t="s">
        <v>780</v>
      </c>
      <c r="X352" t="s">
        <v>816</v>
      </c>
      <c r="Z352" s="31">
        <v>46053</v>
      </c>
      <c r="AA352">
        <v>1505387</v>
      </c>
      <c r="AB352">
        <v>27562</v>
      </c>
      <c r="AC352">
        <v>4</v>
      </c>
      <c r="AD352" t="s">
        <v>22</v>
      </c>
      <c r="AE352" s="31">
        <v>46030</v>
      </c>
      <c r="AF352" s="61">
        <v>0.71855324074074078</v>
      </c>
      <c r="AH352" t="s">
        <v>818</v>
      </c>
      <c r="AI352" s="31">
        <v>46034</v>
      </c>
      <c r="AJ352" s="61">
        <v>0.6088541666666667</v>
      </c>
      <c r="AN352" t="s">
        <v>2603</v>
      </c>
      <c r="AO352" t="s">
        <v>22</v>
      </c>
      <c r="AP352" t="s">
        <v>2603</v>
      </c>
      <c r="AR352" s="31"/>
      <c r="AX352">
        <v>1</v>
      </c>
    </row>
    <row r="353" spans="1:50" x14ac:dyDescent="0.25">
      <c r="A353" t="s">
        <v>22</v>
      </c>
      <c r="B353">
        <v>760</v>
      </c>
      <c r="D353">
        <v>3050</v>
      </c>
      <c r="E353" t="s">
        <v>5636</v>
      </c>
      <c r="G353" t="s">
        <v>2614</v>
      </c>
      <c r="H353">
        <v>3204281000192</v>
      </c>
      <c r="J353" t="s">
        <v>2615</v>
      </c>
      <c r="K353" t="s">
        <v>2616</v>
      </c>
      <c r="M353" t="s">
        <v>2617</v>
      </c>
      <c r="Q353" t="s">
        <v>2618</v>
      </c>
      <c r="R353" t="s">
        <v>790</v>
      </c>
      <c r="V353" t="s">
        <v>1704</v>
      </c>
      <c r="W353" t="s">
        <v>780</v>
      </c>
      <c r="X353" t="s">
        <v>816</v>
      </c>
      <c r="Z353" s="31">
        <v>46112</v>
      </c>
      <c r="AA353">
        <v>58000</v>
      </c>
      <c r="AB353">
        <v>0</v>
      </c>
      <c r="AC353">
        <v>132</v>
      </c>
      <c r="AD353" t="s">
        <v>22</v>
      </c>
      <c r="AE353" s="31">
        <v>46030</v>
      </c>
      <c r="AF353" s="61">
        <v>0.72366898148148151</v>
      </c>
      <c r="AH353" t="s">
        <v>782</v>
      </c>
      <c r="AI353" s="31"/>
      <c r="AJ353" s="61"/>
      <c r="AN353" t="s">
        <v>2619</v>
      </c>
      <c r="AO353" t="s">
        <v>22</v>
      </c>
      <c r="AP353" t="s">
        <v>2619</v>
      </c>
      <c r="AR353" s="31">
        <v>46101</v>
      </c>
      <c r="AS353">
        <v>90</v>
      </c>
      <c r="AT353" t="s">
        <v>2620</v>
      </c>
      <c r="AU353" t="s">
        <v>318</v>
      </c>
      <c r="AV353" t="s">
        <v>4720</v>
      </c>
      <c r="AW353" t="s">
        <v>2606</v>
      </c>
      <c r="AX353">
        <v>1</v>
      </c>
    </row>
    <row r="354" spans="1:50" x14ac:dyDescent="0.25">
      <c r="A354" t="s">
        <v>22</v>
      </c>
      <c r="B354">
        <v>761</v>
      </c>
      <c r="D354">
        <v>3053</v>
      </c>
      <c r="E354" t="s">
        <v>2622</v>
      </c>
      <c r="G354" t="s">
        <v>2623</v>
      </c>
      <c r="H354">
        <v>12585697000199</v>
      </c>
      <c r="J354" t="s">
        <v>2624</v>
      </c>
      <c r="K354" t="s">
        <v>2625</v>
      </c>
      <c r="M354" t="s">
        <v>2626</v>
      </c>
      <c r="Q354" t="s">
        <v>1837</v>
      </c>
      <c r="R354" t="s">
        <v>790</v>
      </c>
      <c r="W354" t="s">
        <v>780</v>
      </c>
      <c r="X354" t="s">
        <v>807</v>
      </c>
      <c r="Z354" s="31">
        <v>46053</v>
      </c>
      <c r="AA354">
        <v>8100</v>
      </c>
      <c r="AB354">
        <v>1080</v>
      </c>
      <c r="AC354">
        <v>4</v>
      </c>
      <c r="AD354" t="s">
        <v>22</v>
      </c>
      <c r="AE354" s="31">
        <v>46030</v>
      </c>
      <c r="AF354" s="61">
        <v>0.72824074074074074</v>
      </c>
      <c r="AH354" t="s">
        <v>795</v>
      </c>
      <c r="AI354" s="31">
        <v>46034</v>
      </c>
      <c r="AJ354" s="61">
        <v>0.60534722222222226</v>
      </c>
      <c r="AK354" t="s">
        <v>858</v>
      </c>
      <c r="AN354" t="s">
        <v>2603</v>
      </c>
      <c r="AO354" t="s">
        <v>22</v>
      </c>
      <c r="AP354" t="s">
        <v>2603</v>
      </c>
      <c r="AR354" s="31">
        <v>46031</v>
      </c>
      <c r="AX354">
        <v>1</v>
      </c>
    </row>
    <row r="355" spans="1:50" x14ac:dyDescent="0.25">
      <c r="A355" t="s">
        <v>22</v>
      </c>
      <c r="B355">
        <v>762</v>
      </c>
      <c r="D355">
        <v>3040</v>
      </c>
      <c r="E355" t="s">
        <v>2627</v>
      </c>
      <c r="G355" t="s">
        <v>2628</v>
      </c>
      <c r="J355" t="s">
        <v>2629</v>
      </c>
      <c r="K355" t="s">
        <v>2630</v>
      </c>
      <c r="M355" t="s">
        <v>2631</v>
      </c>
      <c r="S355" t="s">
        <v>2541</v>
      </c>
      <c r="V355" t="s">
        <v>5637</v>
      </c>
      <c r="W355" t="s">
        <v>780</v>
      </c>
      <c r="X355" t="s">
        <v>897</v>
      </c>
      <c r="Z355" s="31">
        <v>46045</v>
      </c>
      <c r="AC355">
        <v>15</v>
      </c>
      <c r="AD355" t="s">
        <v>22</v>
      </c>
      <c r="AE355" s="31">
        <v>46030</v>
      </c>
      <c r="AF355" s="61">
        <v>0.7323263888888889</v>
      </c>
      <c r="AH355" t="s">
        <v>795</v>
      </c>
      <c r="AI355" s="31">
        <v>46045</v>
      </c>
      <c r="AJ355" s="61">
        <v>0.74736111111111114</v>
      </c>
      <c r="AK355" t="s">
        <v>5392</v>
      </c>
      <c r="AO355" t="s">
        <v>22</v>
      </c>
      <c r="AR355" s="31">
        <v>46045</v>
      </c>
      <c r="AX355">
        <v>1</v>
      </c>
    </row>
    <row r="356" spans="1:50" x14ac:dyDescent="0.25">
      <c r="A356" t="s">
        <v>44</v>
      </c>
      <c r="B356">
        <v>763</v>
      </c>
      <c r="D356">
        <v>3058</v>
      </c>
      <c r="E356" t="s">
        <v>5638</v>
      </c>
      <c r="G356" t="s">
        <v>2634</v>
      </c>
      <c r="H356">
        <v>55042933000133</v>
      </c>
      <c r="J356" t="s">
        <v>291</v>
      </c>
      <c r="K356" t="s">
        <v>2635</v>
      </c>
      <c r="M356" t="s">
        <v>2636</v>
      </c>
      <c r="Q356" t="s">
        <v>2637</v>
      </c>
      <c r="R356" t="s">
        <v>1105</v>
      </c>
      <c r="S356" t="s">
        <v>2541</v>
      </c>
      <c r="V356" t="s">
        <v>5628</v>
      </c>
      <c r="W356" t="s">
        <v>780</v>
      </c>
      <c r="X356" t="s">
        <v>857</v>
      </c>
      <c r="Z356" s="31">
        <v>46053</v>
      </c>
      <c r="AA356">
        <v>61904</v>
      </c>
      <c r="AB356">
        <v>13156</v>
      </c>
      <c r="AC356">
        <v>20</v>
      </c>
      <c r="AD356" t="s">
        <v>44</v>
      </c>
      <c r="AE356" s="31">
        <v>46031</v>
      </c>
      <c r="AF356" s="61">
        <v>0.46917824074074072</v>
      </c>
      <c r="AH356" t="s">
        <v>795</v>
      </c>
      <c r="AI356" s="31">
        <v>46051</v>
      </c>
      <c r="AJ356" s="61">
        <v>0.60484953703703703</v>
      </c>
      <c r="AK356" t="s">
        <v>5338</v>
      </c>
      <c r="AL356" t="s">
        <v>5639</v>
      </c>
      <c r="AN356" t="s">
        <v>2591</v>
      </c>
      <c r="AP356" t="s">
        <v>2639</v>
      </c>
      <c r="AR356" s="31">
        <v>46051</v>
      </c>
      <c r="AX356">
        <v>1</v>
      </c>
    </row>
    <row r="357" spans="1:50" x14ac:dyDescent="0.25">
      <c r="A357" t="s">
        <v>31</v>
      </c>
      <c r="B357">
        <v>764</v>
      </c>
      <c r="D357">
        <v>3007</v>
      </c>
      <c r="E357" t="s">
        <v>2640</v>
      </c>
      <c r="G357" t="s">
        <v>2641</v>
      </c>
      <c r="H357">
        <v>51776465000170</v>
      </c>
      <c r="J357" t="s">
        <v>2642</v>
      </c>
      <c r="K357" t="s">
        <v>2643</v>
      </c>
      <c r="M357" t="s">
        <v>2644</v>
      </c>
      <c r="S357" t="s">
        <v>2541</v>
      </c>
      <c r="V357" t="s">
        <v>5628</v>
      </c>
      <c r="W357" t="s">
        <v>780</v>
      </c>
      <c r="X357" t="s">
        <v>793</v>
      </c>
      <c r="Z357" s="31">
        <v>46112</v>
      </c>
      <c r="AC357">
        <v>120</v>
      </c>
      <c r="AD357" t="s">
        <v>31</v>
      </c>
      <c r="AE357" s="31">
        <v>46031</v>
      </c>
      <c r="AF357" s="61">
        <v>0.48917824074074068</v>
      </c>
      <c r="AH357" t="s">
        <v>795</v>
      </c>
      <c r="AI357" s="31">
        <v>46151</v>
      </c>
      <c r="AJ357" s="61">
        <v>0.35598379629629628</v>
      </c>
      <c r="AK357" t="s">
        <v>858</v>
      </c>
      <c r="AO357" t="s">
        <v>31</v>
      </c>
      <c r="AP357" t="s">
        <v>2645</v>
      </c>
      <c r="AR357" s="31">
        <v>46050</v>
      </c>
      <c r="AX357">
        <v>1</v>
      </c>
    </row>
    <row r="358" spans="1:50" x14ac:dyDescent="0.25">
      <c r="A358" t="s">
        <v>22</v>
      </c>
      <c r="B358">
        <v>766</v>
      </c>
      <c r="D358">
        <v>3063</v>
      </c>
      <c r="E358" t="s">
        <v>2646</v>
      </c>
      <c r="G358" t="s">
        <v>2647</v>
      </c>
      <c r="J358" t="s">
        <v>4086</v>
      </c>
      <c r="K358" t="s">
        <v>2649</v>
      </c>
      <c r="M358" t="s">
        <v>1111</v>
      </c>
      <c r="V358" t="s">
        <v>2407</v>
      </c>
      <c r="W358" t="s">
        <v>780</v>
      </c>
      <c r="X358" t="s">
        <v>816</v>
      </c>
      <c r="Z358" s="31">
        <v>46037</v>
      </c>
      <c r="AA358">
        <v>56100</v>
      </c>
      <c r="AB358">
        <v>67334</v>
      </c>
      <c r="AC358">
        <v>14</v>
      </c>
      <c r="AD358" t="s">
        <v>22</v>
      </c>
      <c r="AE358" s="31">
        <v>46031</v>
      </c>
      <c r="AF358" s="61">
        <v>0.64468749999999997</v>
      </c>
      <c r="AH358" t="s">
        <v>818</v>
      </c>
      <c r="AI358" s="31">
        <v>46045</v>
      </c>
      <c r="AJ358" s="61">
        <v>0.46248842592592587</v>
      </c>
      <c r="AN358" t="s">
        <v>2603</v>
      </c>
      <c r="AO358" t="s">
        <v>22</v>
      </c>
      <c r="AP358" t="s">
        <v>2650</v>
      </c>
      <c r="AR358" s="31">
        <v>46037</v>
      </c>
      <c r="AX358">
        <v>1</v>
      </c>
    </row>
    <row r="359" spans="1:50" x14ac:dyDescent="0.25">
      <c r="A359" t="s">
        <v>22</v>
      </c>
      <c r="B359">
        <v>767</v>
      </c>
      <c r="D359">
        <v>3064</v>
      </c>
      <c r="E359" t="s">
        <v>4721</v>
      </c>
      <c r="G359" t="s">
        <v>2652</v>
      </c>
      <c r="J359" t="s">
        <v>2653</v>
      </c>
      <c r="K359" t="s">
        <v>2654</v>
      </c>
      <c r="M359" t="s">
        <v>2655</v>
      </c>
      <c r="V359" t="s">
        <v>2656</v>
      </c>
      <c r="W359" t="s">
        <v>780</v>
      </c>
      <c r="X359" t="s">
        <v>807</v>
      </c>
      <c r="Z359" s="31">
        <v>46053</v>
      </c>
      <c r="AA359">
        <v>16000</v>
      </c>
      <c r="AB359">
        <v>18330</v>
      </c>
      <c r="AC359">
        <v>49</v>
      </c>
      <c r="AD359" t="s">
        <v>22</v>
      </c>
      <c r="AE359" s="31">
        <v>46031</v>
      </c>
      <c r="AF359" s="61">
        <v>0.65190972222222221</v>
      </c>
      <c r="AH359" t="s">
        <v>795</v>
      </c>
      <c r="AI359" s="31">
        <v>46080</v>
      </c>
      <c r="AJ359" s="61">
        <v>0.89033564814814814</v>
      </c>
      <c r="AK359" t="s">
        <v>5347</v>
      </c>
      <c r="AN359" t="s">
        <v>2650</v>
      </c>
      <c r="AO359" t="s">
        <v>22</v>
      </c>
      <c r="AP359" t="s">
        <v>2619</v>
      </c>
      <c r="AR359" s="31">
        <v>46041</v>
      </c>
      <c r="AS359">
        <v>30</v>
      </c>
      <c r="AT359" t="s">
        <v>1012</v>
      </c>
      <c r="AU359" t="s">
        <v>63</v>
      </c>
      <c r="AV359" t="s">
        <v>1971</v>
      </c>
      <c r="AW359" t="s">
        <v>2657</v>
      </c>
      <c r="AX359">
        <v>1</v>
      </c>
    </row>
    <row r="360" spans="1:50" x14ac:dyDescent="0.25">
      <c r="A360" t="s">
        <v>31</v>
      </c>
      <c r="B360">
        <v>768</v>
      </c>
      <c r="D360">
        <v>2107</v>
      </c>
      <c r="E360" t="s">
        <v>2658</v>
      </c>
      <c r="F360" t="s">
        <v>2659</v>
      </c>
      <c r="G360" t="s">
        <v>2660</v>
      </c>
      <c r="H360">
        <v>10469551000152</v>
      </c>
      <c r="J360" t="s">
        <v>5640</v>
      </c>
      <c r="K360" t="s">
        <v>2662</v>
      </c>
      <c r="M360" t="s">
        <v>2663</v>
      </c>
      <c r="Q360" t="s">
        <v>2664</v>
      </c>
      <c r="R360" t="s">
        <v>932</v>
      </c>
      <c r="S360" t="s">
        <v>805</v>
      </c>
      <c r="V360" t="s">
        <v>5641</v>
      </c>
      <c r="W360" t="s">
        <v>780</v>
      </c>
      <c r="X360" t="s">
        <v>897</v>
      </c>
      <c r="Z360" s="31">
        <v>46142</v>
      </c>
      <c r="AC360">
        <v>11</v>
      </c>
      <c r="AD360" t="s">
        <v>31</v>
      </c>
      <c r="AE360" s="31">
        <v>46031</v>
      </c>
      <c r="AF360" s="61">
        <v>0.70384259259259263</v>
      </c>
      <c r="AH360" t="s">
        <v>795</v>
      </c>
      <c r="AI360" s="31">
        <v>46042</v>
      </c>
      <c r="AJ360" s="61">
        <v>0.71552083333333338</v>
      </c>
      <c r="AK360" t="s">
        <v>5353</v>
      </c>
      <c r="AR360" s="31">
        <v>46035</v>
      </c>
      <c r="AX360">
        <v>1</v>
      </c>
    </row>
    <row r="361" spans="1:50" x14ac:dyDescent="0.25">
      <c r="A361" t="s">
        <v>22</v>
      </c>
      <c r="B361">
        <v>769</v>
      </c>
      <c r="D361">
        <v>2997</v>
      </c>
      <c r="E361" t="s">
        <v>2666</v>
      </c>
      <c r="G361" t="s">
        <v>2667</v>
      </c>
      <c r="J361" t="s">
        <v>2668</v>
      </c>
      <c r="K361" t="s">
        <v>2669</v>
      </c>
      <c r="M361" t="s">
        <v>2670</v>
      </c>
      <c r="S361" t="s">
        <v>2541</v>
      </c>
      <c r="V361" t="s">
        <v>5628</v>
      </c>
      <c r="W361" t="s">
        <v>780</v>
      </c>
      <c r="X361" t="s">
        <v>897</v>
      </c>
      <c r="Z361" s="31">
        <v>46053</v>
      </c>
      <c r="AC361">
        <v>1</v>
      </c>
      <c r="AD361" t="s">
        <v>22</v>
      </c>
      <c r="AE361" s="31">
        <v>46034</v>
      </c>
      <c r="AF361" s="61">
        <v>0.72917824074074078</v>
      </c>
      <c r="AH361" t="s">
        <v>795</v>
      </c>
      <c r="AI361" s="31">
        <v>46035</v>
      </c>
      <c r="AJ361" s="61">
        <v>0.7297569444444445</v>
      </c>
      <c r="AK361" t="s">
        <v>858</v>
      </c>
      <c r="AO361" t="s">
        <v>22</v>
      </c>
      <c r="AR361" s="31"/>
      <c r="AX361">
        <v>1</v>
      </c>
    </row>
    <row r="362" spans="1:50" x14ac:dyDescent="0.25">
      <c r="A362" t="s">
        <v>22</v>
      </c>
      <c r="B362">
        <v>770</v>
      </c>
      <c r="D362">
        <v>3005</v>
      </c>
      <c r="E362" t="s">
        <v>4722</v>
      </c>
      <c r="G362" t="s">
        <v>2672</v>
      </c>
      <c r="H362">
        <v>18190972000151</v>
      </c>
      <c r="J362" t="s">
        <v>2673</v>
      </c>
      <c r="K362" t="s">
        <v>2674</v>
      </c>
      <c r="M362" t="s">
        <v>2675</v>
      </c>
      <c r="S362" t="s">
        <v>2541</v>
      </c>
      <c r="V362" t="s">
        <v>5628</v>
      </c>
      <c r="W362" t="s">
        <v>780</v>
      </c>
      <c r="X362" t="s">
        <v>897</v>
      </c>
      <c r="Z362" s="31">
        <v>46053</v>
      </c>
      <c r="AC362">
        <v>38</v>
      </c>
      <c r="AD362" t="s">
        <v>22</v>
      </c>
      <c r="AE362" s="31">
        <v>46034</v>
      </c>
      <c r="AF362" s="61">
        <v>0.73178240740740741</v>
      </c>
      <c r="AH362" t="s">
        <v>795</v>
      </c>
      <c r="AI362" s="31">
        <v>46072</v>
      </c>
      <c r="AJ362" s="61">
        <v>0.74324074074074076</v>
      </c>
      <c r="AK362" t="s">
        <v>5353</v>
      </c>
      <c r="AO362" t="s">
        <v>22</v>
      </c>
      <c r="AR362" s="31">
        <v>46045</v>
      </c>
      <c r="AS362">
        <v>30</v>
      </c>
      <c r="AX362">
        <v>1</v>
      </c>
    </row>
    <row r="363" spans="1:50" x14ac:dyDescent="0.25">
      <c r="A363" t="s">
        <v>22</v>
      </c>
      <c r="B363">
        <v>771</v>
      </c>
      <c r="D363">
        <v>3001</v>
      </c>
      <c r="E363" t="s">
        <v>4723</v>
      </c>
      <c r="G363" t="s">
        <v>394</v>
      </c>
      <c r="J363" t="s">
        <v>2677</v>
      </c>
      <c r="K363" t="s">
        <v>2678</v>
      </c>
      <c r="M363" t="s">
        <v>2679</v>
      </c>
      <c r="S363" t="s">
        <v>2541</v>
      </c>
      <c r="V363" t="s">
        <v>5628</v>
      </c>
      <c r="W363" t="s">
        <v>780</v>
      </c>
      <c r="X363" t="s">
        <v>807</v>
      </c>
      <c r="Z363" s="31">
        <v>46112</v>
      </c>
      <c r="AA363">
        <v>6840289</v>
      </c>
      <c r="AB363">
        <v>44907</v>
      </c>
      <c r="AC363">
        <v>126</v>
      </c>
      <c r="AD363" t="s">
        <v>22</v>
      </c>
      <c r="AE363" s="31">
        <v>46034</v>
      </c>
      <c r="AF363" s="61">
        <v>0.7350578703703704</v>
      </c>
      <c r="AH363" t="s">
        <v>795</v>
      </c>
      <c r="AI363" s="31">
        <v>46160</v>
      </c>
      <c r="AJ363" s="61">
        <v>0.70289351851851856</v>
      </c>
      <c r="AK363" t="s">
        <v>5642</v>
      </c>
      <c r="AN363" t="s">
        <v>395</v>
      </c>
      <c r="AO363" t="s">
        <v>22</v>
      </c>
      <c r="AP363" t="s">
        <v>395</v>
      </c>
      <c r="AR363" s="31">
        <v>46132</v>
      </c>
      <c r="AS363">
        <v>30</v>
      </c>
      <c r="AU363" t="s">
        <v>321</v>
      </c>
      <c r="AX363">
        <v>1</v>
      </c>
    </row>
    <row r="364" spans="1:50" x14ac:dyDescent="0.25">
      <c r="A364" t="s">
        <v>22</v>
      </c>
      <c r="B364">
        <v>772</v>
      </c>
      <c r="D364">
        <v>3008</v>
      </c>
      <c r="E364" t="s">
        <v>2680</v>
      </c>
      <c r="G364" t="s">
        <v>2681</v>
      </c>
      <c r="J364" t="s">
        <v>4177</v>
      </c>
      <c r="K364" t="s">
        <v>2683</v>
      </c>
      <c r="M364" t="s">
        <v>2684</v>
      </c>
      <c r="Q364" t="s">
        <v>2685</v>
      </c>
      <c r="S364" t="s">
        <v>814</v>
      </c>
      <c r="V364" t="s">
        <v>1718</v>
      </c>
      <c r="W364" t="s">
        <v>780</v>
      </c>
      <c r="X364" t="s">
        <v>897</v>
      </c>
      <c r="Z364" s="31">
        <v>46053</v>
      </c>
      <c r="AC364">
        <v>0</v>
      </c>
      <c r="AD364" t="s">
        <v>22</v>
      </c>
      <c r="AE364" s="31">
        <v>46034</v>
      </c>
      <c r="AF364" s="61">
        <v>0.73835648148148147</v>
      </c>
      <c r="AH364" t="s">
        <v>795</v>
      </c>
      <c r="AI364" s="31">
        <v>46034</v>
      </c>
      <c r="AJ364" s="61">
        <v>0.93637731481481479</v>
      </c>
      <c r="AK364" t="s">
        <v>5392</v>
      </c>
      <c r="AO364" t="s">
        <v>22</v>
      </c>
      <c r="AR364" s="31"/>
      <c r="AX364">
        <v>1</v>
      </c>
    </row>
    <row r="365" spans="1:50" x14ac:dyDescent="0.25">
      <c r="A365" t="s">
        <v>22</v>
      </c>
      <c r="B365">
        <v>773</v>
      </c>
      <c r="D365">
        <v>3000</v>
      </c>
      <c r="E365" t="s">
        <v>2686</v>
      </c>
      <c r="G365" t="s">
        <v>5643</v>
      </c>
      <c r="J365" t="s">
        <v>1288</v>
      </c>
      <c r="K365" t="s">
        <v>2689</v>
      </c>
      <c r="M365" t="s">
        <v>2690</v>
      </c>
      <c r="Q365" t="s">
        <v>2398</v>
      </c>
      <c r="S365" t="s">
        <v>814</v>
      </c>
      <c r="V365" t="s">
        <v>5644</v>
      </c>
      <c r="W365" t="s">
        <v>1191</v>
      </c>
      <c r="X365" t="s">
        <v>2692</v>
      </c>
      <c r="Z365" s="31">
        <v>46053</v>
      </c>
      <c r="AC365">
        <v>128</v>
      </c>
      <c r="AD365" t="s">
        <v>22</v>
      </c>
      <c r="AE365" s="31">
        <v>46034</v>
      </c>
      <c r="AF365" s="61">
        <v>0.74041666666666661</v>
      </c>
      <c r="AH365" t="s">
        <v>782</v>
      </c>
      <c r="AI365" s="31"/>
      <c r="AJ365" s="61"/>
      <c r="AO365" t="s">
        <v>22</v>
      </c>
      <c r="AR365" s="31">
        <v>46045</v>
      </c>
      <c r="AS365">
        <v>30</v>
      </c>
      <c r="AX365">
        <v>1</v>
      </c>
    </row>
    <row r="366" spans="1:50" x14ac:dyDescent="0.25">
      <c r="A366" t="s">
        <v>44</v>
      </c>
      <c r="B366">
        <v>774</v>
      </c>
      <c r="D366">
        <v>3067</v>
      </c>
      <c r="E366" t="s">
        <v>5645</v>
      </c>
      <c r="G366" t="s">
        <v>2694</v>
      </c>
      <c r="J366" t="s">
        <v>2695</v>
      </c>
      <c r="K366" t="s">
        <v>2696</v>
      </c>
      <c r="M366" t="s">
        <v>2697</v>
      </c>
      <c r="S366" t="s">
        <v>2541</v>
      </c>
      <c r="V366" t="s">
        <v>5637</v>
      </c>
      <c r="W366" t="s">
        <v>780</v>
      </c>
      <c r="X366" t="s">
        <v>897</v>
      </c>
      <c r="Z366" s="31">
        <v>46053</v>
      </c>
      <c r="AC366">
        <v>26</v>
      </c>
      <c r="AD366" t="s">
        <v>22</v>
      </c>
      <c r="AE366" s="31">
        <v>46034</v>
      </c>
      <c r="AF366" s="61">
        <v>0.91182870370370372</v>
      </c>
      <c r="AH366" t="s">
        <v>795</v>
      </c>
      <c r="AI366" s="31">
        <v>46060</v>
      </c>
      <c r="AJ366" s="61">
        <v>0.32128472222222221</v>
      </c>
      <c r="AK366" t="s">
        <v>5392</v>
      </c>
      <c r="AO366" t="s">
        <v>44</v>
      </c>
      <c r="AR366" s="31">
        <v>46042</v>
      </c>
      <c r="AX366">
        <v>1</v>
      </c>
    </row>
    <row r="367" spans="1:50" x14ac:dyDescent="0.25">
      <c r="A367" t="s">
        <v>44</v>
      </c>
      <c r="B367">
        <v>775</v>
      </c>
      <c r="D367">
        <v>3069</v>
      </c>
      <c r="E367" t="s">
        <v>2698</v>
      </c>
      <c r="G367" t="s">
        <v>2699</v>
      </c>
      <c r="J367" t="s">
        <v>2700</v>
      </c>
      <c r="K367" t="s">
        <v>2701</v>
      </c>
      <c r="M367" t="s">
        <v>2702</v>
      </c>
      <c r="S367" t="s">
        <v>2541</v>
      </c>
      <c r="V367" t="s">
        <v>5637</v>
      </c>
      <c r="W367" t="s">
        <v>780</v>
      </c>
      <c r="X367" t="s">
        <v>897</v>
      </c>
      <c r="Z367" s="31">
        <v>46053</v>
      </c>
      <c r="AC367">
        <v>26</v>
      </c>
      <c r="AD367" t="s">
        <v>22</v>
      </c>
      <c r="AE367" s="31">
        <v>46034</v>
      </c>
      <c r="AF367" s="61">
        <v>0.91238425925925926</v>
      </c>
      <c r="AH367" t="s">
        <v>795</v>
      </c>
      <c r="AI367" s="31">
        <v>46060</v>
      </c>
      <c r="AJ367" s="61">
        <v>0.32656249999999998</v>
      </c>
      <c r="AK367" t="s">
        <v>5392</v>
      </c>
      <c r="AO367" t="s">
        <v>44</v>
      </c>
      <c r="AR367" s="31">
        <v>46038</v>
      </c>
      <c r="AX367">
        <v>1</v>
      </c>
    </row>
    <row r="368" spans="1:50" x14ac:dyDescent="0.25">
      <c r="A368" t="s">
        <v>31</v>
      </c>
      <c r="B368">
        <v>776</v>
      </c>
      <c r="D368">
        <v>3041</v>
      </c>
      <c r="E368" t="s">
        <v>2703</v>
      </c>
      <c r="G368" t="s">
        <v>2704</v>
      </c>
      <c r="J368" t="s">
        <v>334</v>
      </c>
      <c r="K368" t="s">
        <v>2705</v>
      </c>
      <c r="M368" t="s">
        <v>2706</v>
      </c>
      <c r="S368" t="s">
        <v>2541</v>
      </c>
      <c r="V368" t="s">
        <v>5637</v>
      </c>
      <c r="W368" t="s">
        <v>780</v>
      </c>
      <c r="X368" t="s">
        <v>897</v>
      </c>
      <c r="Z368" s="31">
        <v>46053</v>
      </c>
      <c r="AC368">
        <v>105</v>
      </c>
      <c r="AD368" t="s">
        <v>22</v>
      </c>
      <c r="AE368" s="31">
        <v>46034</v>
      </c>
      <c r="AF368" s="61">
        <v>0.91520833333333329</v>
      </c>
      <c r="AH368" t="s">
        <v>795</v>
      </c>
      <c r="AI368" s="31">
        <v>46139</v>
      </c>
      <c r="AJ368" s="61">
        <v>0.66706018518518517</v>
      </c>
      <c r="AK368" t="s">
        <v>5392</v>
      </c>
      <c r="AO368" t="s">
        <v>44</v>
      </c>
      <c r="AR368" s="31">
        <v>46125</v>
      </c>
      <c r="AS368">
        <v>30</v>
      </c>
      <c r="AX368">
        <v>1</v>
      </c>
    </row>
    <row r="369" spans="1:50" x14ac:dyDescent="0.25">
      <c r="A369" t="s">
        <v>31</v>
      </c>
      <c r="B369">
        <v>777</v>
      </c>
      <c r="D369">
        <v>3047</v>
      </c>
      <c r="E369" t="s">
        <v>2707</v>
      </c>
      <c r="G369" t="s">
        <v>2708</v>
      </c>
      <c r="J369" t="s">
        <v>335</v>
      </c>
      <c r="K369" t="s">
        <v>2709</v>
      </c>
      <c r="M369" t="s">
        <v>2710</v>
      </c>
      <c r="S369" t="s">
        <v>2541</v>
      </c>
      <c r="V369" t="s">
        <v>5637</v>
      </c>
      <c r="W369" t="s">
        <v>780</v>
      </c>
      <c r="X369" t="s">
        <v>897</v>
      </c>
      <c r="Z369" s="31">
        <v>46053</v>
      </c>
      <c r="AC369">
        <v>26</v>
      </c>
      <c r="AD369" t="s">
        <v>22</v>
      </c>
      <c r="AE369" s="31">
        <v>46034</v>
      </c>
      <c r="AF369" s="61">
        <v>0.91591435185185188</v>
      </c>
      <c r="AH369" t="s">
        <v>795</v>
      </c>
      <c r="AI369" s="31">
        <v>46060</v>
      </c>
      <c r="AJ369" s="61">
        <v>0.32482638888888887</v>
      </c>
      <c r="AK369" t="s">
        <v>5392</v>
      </c>
      <c r="AO369" t="s">
        <v>31</v>
      </c>
      <c r="AR369" s="31">
        <v>46038</v>
      </c>
      <c r="AX369">
        <v>1</v>
      </c>
    </row>
    <row r="370" spans="1:50" x14ac:dyDescent="0.25">
      <c r="A370" t="s">
        <v>31</v>
      </c>
      <c r="B370">
        <v>778</v>
      </c>
      <c r="D370">
        <v>3059</v>
      </c>
      <c r="E370" t="s">
        <v>2711</v>
      </c>
      <c r="G370" t="s">
        <v>2712</v>
      </c>
      <c r="H370">
        <v>30250062000112</v>
      </c>
      <c r="J370" t="s">
        <v>2713</v>
      </c>
      <c r="K370" t="s">
        <v>2714</v>
      </c>
      <c r="M370" t="s">
        <v>2715</v>
      </c>
      <c r="Q370" t="s">
        <v>847</v>
      </c>
      <c r="R370" t="s">
        <v>848</v>
      </c>
      <c r="S370" t="s">
        <v>2541</v>
      </c>
      <c r="V370" t="s">
        <v>5637</v>
      </c>
      <c r="W370" t="s">
        <v>780</v>
      </c>
      <c r="X370" t="s">
        <v>897</v>
      </c>
      <c r="Z370" s="31">
        <v>46053</v>
      </c>
      <c r="AC370">
        <v>2</v>
      </c>
      <c r="AD370" t="s">
        <v>22</v>
      </c>
      <c r="AE370" s="31">
        <v>46034</v>
      </c>
      <c r="AF370" s="61">
        <v>0.91721064814814812</v>
      </c>
      <c r="AH370" t="s">
        <v>795</v>
      </c>
      <c r="AI370" s="31">
        <v>46036</v>
      </c>
      <c r="AJ370" s="61">
        <v>0.49593749999999998</v>
      </c>
      <c r="AK370" t="s">
        <v>5392</v>
      </c>
      <c r="AO370" t="s">
        <v>31</v>
      </c>
      <c r="AR370" s="31">
        <v>46035</v>
      </c>
      <c r="AX370">
        <v>1</v>
      </c>
    </row>
    <row r="371" spans="1:50" x14ac:dyDescent="0.25">
      <c r="A371" t="s">
        <v>31</v>
      </c>
      <c r="B371">
        <v>779</v>
      </c>
      <c r="D371">
        <v>3066</v>
      </c>
      <c r="E371" t="s">
        <v>2716</v>
      </c>
      <c r="G371" t="s">
        <v>2717</v>
      </c>
      <c r="H371">
        <v>22422233000115</v>
      </c>
      <c r="J371" t="s">
        <v>337</v>
      </c>
      <c r="K371" t="s">
        <v>2718</v>
      </c>
      <c r="M371" t="s">
        <v>2719</v>
      </c>
      <c r="Q371" t="s">
        <v>2720</v>
      </c>
      <c r="R371" t="s">
        <v>1699</v>
      </c>
      <c r="S371" t="s">
        <v>2541</v>
      </c>
      <c r="V371" t="s">
        <v>5637</v>
      </c>
      <c r="W371" t="s">
        <v>780</v>
      </c>
      <c r="X371" t="s">
        <v>897</v>
      </c>
      <c r="Z371" s="31">
        <v>46053</v>
      </c>
      <c r="AC371">
        <v>4</v>
      </c>
      <c r="AD371" t="s">
        <v>22</v>
      </c>
      <c r="AE371" s="31">
        <v>46034</v>
      </c>
      <c r="AF371" s="61">
        <v>0.91776620370370365</v>
      </c>
      <c r="AH371" t="s">
        <v>795</v>
      </c>
      <c r="AI371" s="31">
        <v>46038</v>
      </c>
      <c r="AJ371" s="61">
        <v>0.39912037037037029</v>
      </c>
      <c r="AK371" t="s">
        <v>5392</v>
      </c>
      <c r="AO371" t="s">
        <v>31</v>
      </c>
      <c r="AR371" s="31">
        <v>46038</v>
      </c>
      <c r="AX371">
        <v>1</v>
      </c>
    </row>
    <row r="372" spans="1:50" x14ac:dyDescent="0.25">
      <c r="A372" t="s">
        <v>22</v>
      </c>
      <c r="B372">
        <v>780</v>
      </c>
      <c r="D372">
        <v>3068</v>
      </c>
      <c r="E372" t="s">
        <v>2721</v>
      </c>
      <c r="G372" t="s">
        <v>2722</v>
      </c>
      <c r="J372" t="s">
        <v>2723</v>
      </c>
      <c r="K372" t="s">
        <v>2724</v>
      </c>
      <c r="M372" t="s">
        <v>2725</v>
      </c>
      <c r="S372" t="s">
        <v>2541</v>
      </c>
      <c r="V372" t="s">
        <v>5637</v>
      </c>
      <c r="W372" t="s">
        <v>780</v>
      </c>
      <c r="X372" t="s">
        <v>897</v>
      </c>
      <c r="Z372" s="31">
        <v>46053</v>
      </c>
      <c r="AC372">
        <v>26</v>
      </c>
      <c r="AD372" t="s">
        <v>22</v>
      </c>
      <c r="AE372" s="31">
        <v>46034</v>
      </c>
      <c r="AF372" s="61">
        <v>0.9183796296296296</v>
      </c>
      <c r="AH372" t="s">
        <v>795</v>
      </c>
      <c r="AI372" s="31">
        <v>46060</v>
      </c>
      <c r="AJ372" s="61">
        <v>0.31077546296296299</v>
      </c>
      <c r="AK372" t="s">
        <v>5392</v>
      </c>
      <c r="AL372" t="s">
        <v>2726</v>
      </c>
      <c r="AO372" t="s">
        <v>22</v>
      </c>
      <c r="AR372" s="31">
        <v>46045</v>
      </c>
      <c r="AS372">
        <v>30</v>
      </c>
      <c r="AX372">
        <v>1</v>
      </c>
    </row>
    <row r="373" spans="1:50" x14ac:dyDescent="0.25">
      <c r="A373" t="s">
        <v>31</v>
      </c>
      <c r="B373">
        <v>781</v>
      </c>
      <c r="D373">
        <v>3070</v>
      </c>
      <c r="E373" t="s">
        <v>5646</v>
      </c>
      <c r="G373" t="s">
        <v>2728</v>
      </c>
      <c r="H373">
        <v>29495831000163</v>
      </c>
      <c r="J373" t="s">
        <v>338</v>
      </c>
      <c r="K373" t="s">
        <v>2729</v>
      </c>
      <c r="M373" t="s">
        <v>2730</v>
      </c>
      <c r="Q373" t="s">
        <v>2731</v>
      </c>
      <c r="R373" t="s">
        <v>1105</v>
      </c>
      <c r="S373" t="s">
        <v>2541</v>
      </c>
      <c r="V373" t="s">
        <v>5637</v>
      </c>
      <c r="W373" t="s">
        <v>780</v>
      </c>
      <c r="X373" t="s">
        <v>897</v>
      </c>
      <c r="Z373" s="31">
        <v>46053</v>
      </c>
      <c r="AC373">
        <v>101</v>
      </c>
      <c r="AD373" t="s">
        <v>22</v>
      </c>
      <c r="AE373" s="31">
        <v>46034</v>
      </c>
      <c r="AF373" s="61">
        <v>0.91886574074074079</v>
      </c>
      <c r="AH373" t="s">
        <v>795</v>
      </c>
      <c r="AI373" s="31">
        <v>46135</v>
      </c>
      <c r="AJ373" s="61">
        <v>0.3878240740740741</v>
      </c>
      <c r="AK373" t="s">
        <v>5392</v>
      </c>
      <c r="AO373" t="s">
        <v>31</v>
      </c>
      <c r="AR373" s="31">
        <v>46135</v>
      </c>
      <c r="AX373">
        <v>1</v>
      </c>
    </row>
    <row r="374" spans="1:50" x14ac:dyDescent="0.25">
      <c r="A374" t="s">
        <v>31</v>
      </c>
      <c r="B374">
        <v>782</v>
      </c>
      <c r="D374">
        <v>3009</v>
      </c>
      <c r="G374" t="s">
        <v>2732</v>
      </c>
      <c r="H374">
        <v>10942276000142</v>
      </c>
      <c r="J374" t="s">
        <v>2733</v>
      </c>
      <c r="K374" t="s">
        <v>2734</v>
      </c>
      <c r="M374" t="s">
        <v>2735</v>
      </c>
      <c r="S374" t="s">
        <v>2541</v>
      </c>
      <c r="V374" t="s">
        <v>5631</v>
      </c>
      <c r="W374" t="s">
        <v>780</v>
      </c>
      <c r="X374" t="s">
        <v>781</v>
      </c>
      <c r="Z374" s="31"/>
      <c r="AC374">
        <v>0</v>
      </c>
      <c r="AD374" t="s">
        <v>22</v>
      </c>
      <c r="AE374" s="31">
        <v>46034</v>
      </c>
      <c r="AF374" s="61">
        <v>0.94203703703703701</v>
      </c>
      <c r="AH374" t="s">
        <v>795</v>
      </c>
      <c r="AI374" s="31">
        <v>46034</v>
      </c>
      <c r="AJ374" s="61">
        <v>0.94229166666666664</v>
      </c>
      <c r="AK374" t="s">
        <v>5392</v>
      </c>
      <c r="AO374" t="s">
        <v>31</v>
      </c>
      <c r="AR374" s="31"/>
      <c r="AX374">
        <v>1</v>
      </c>
    </row>
    <row r="375" spans="1:50" x14ac:dyDescent="0.25">
      <c r="A375" t="s">
        <v>22</v>
      </c>
      <c r="B375">
        <v>783</v>
      </c>
      <c r="D375">
        <v>3010</v>
      </c>
      <c r="G375" t="s">
        <v>2736</v>
      </c>
      <c r="J375" t="s">
        <v>2737</v>
      </c>
      <c r="K375" t="s">
        <v>2738</v>
      </c>
      <c r="M375" t="s">
        <v>2739</v>
      </c>
      <c r="S375" t="s">
        <v>2541</v>
      </c>
      <c r="V375" t="s">
        <v>5631</v>
      </c>
      <c r="W375" t="s">
        <v>780</v>
      </c>
      <c r="X375" t="s">
        <v>781</v>
      </c>
      <c r="Z375" s="31"/>
      <c r="AC375">
        <v>0</v>
      </c>
      <c r="AD375" t="s">
        <v>22</v>
      </c>
      <c r="AE375" s="31">
        <v>46034</v>
      </c>
      <c r="AF375" s="61">
        <v>0.94284722222222217</v>
      </c>
      <c r="AH375" t="s">
        <v>795</v>
      </c>
      <c r="AI375" s="31">
        <v>46034</v>
      </c>
      <c r="AJ375" s="61">
        <v>0.94303240740740746</v>
      </c>
      <c r="AK375" t="s">
        <v>5392</v>
      </c>
      <c r="AO375" t="s">
        <v>31</v>
      </c>
      <c r="AR375" s="31"/>
      <c r="AX375">
        <v>1</v>
      </c>
    </row>
    <row r="376" spans="1:50" x14ac:dyDescent="0.25">
      <c r="A376" t="s">
        <v>22</v>
      </c>
      <c r="B376">
        <v>784</v>
      </c>
      <c r="D376">
        <v>3015</v>
      </c>
      <c r="G376" t="s">
        <v>2740</v>
      </c>
      <c r="J376" t="s">
        <v>2741</v>
      </c>
      <c r="K376" t="s">
        <v>2742</v>
      </c>
      <c r="M376" t="s">
        <v>2743</v>
      </c>
      <c r="S376" t="s">
        <v>2541</v>
      </c>
      <c r="V376" t="s">
        <v>5631</v>
      </c>
      <c r="W376" t="s">
        <v>780</v>
      </c>
      <c r="X376" t="s">
        <v>781</v>
      </c>
      <c r="Z376" s="31"/>
      <c r="AC376">
        <v>0</v>
      </c>
      <c r="AD376" t="s">
        <v>22</v>
      </c>
      <c r="AE376" s="31">
        <v>46034</v>
      </c>
      <c r="AF376" s="61">
        <v>0.94368055555555552</v>
      </c>
      <c r="AH376" t="s">
        <v>795</v>
      </c>
      <c r="AI376" s="31">
        <v>46034</v>
      </c>
      <c r="AJ376" s="61">
        <v>0.94380787037037039</v>
      </c>
      <c r="AK376" t="s">
        <v>5392</v>
      </c>
      <c r="AO376" t="s">
        <v>44</v>
      </c>
      <c r="AR376" s="31"/>
      <c r="AX376">
        <v>1</v>
      </c>
    </row>
    <row r="377" spans="1:50" x14ac:dyDescent="0.25">
      <c r="A377" t="s">
        <v>22</v>
      </c>
      <c r="B377">
        <v>785</v>
      </c>
      <c r="D377">
        <v>2669</v>
      </c>
      <c r="G377" t="s">
        <v>2744</v>
      </c>
      <c r="J377" t="s">
        <v>2745</v>
      </c>
      <c r="K377" t="s">
        <v>2746</v>
      </c>
      <c r="M377" t="s">
        <v>2747</v>
      </c>
      <c r="Q377" t="s">
        <v>2748</v>
      </c>
      <c r="S377" t="s">
        <v>814</v>
      </c>
      <c r="V377" t="s">
        <v>5647</v>
      </c>
      <c r="W377" t="s">
        <v>780</v>
      </c>
      <c r="X377" t="s">
        <v>781</v>
      </c>
      <c r="Z377" s="31"/>
      <c r="AC377">
        <v>0</v>
      </c>
      <c r="AD377" t="s">
        <v>22</v>
      </c>
      <c r="AE377" s="31">
        <v>46034</v>
      </c>
      <c r="AF377" s="61">
        <v>0.94418981481481479</v>
      </c>
      <c r="AH377" t="s">
        <v>795</v>
      </c>
      <c r="AI377" s="31">
        <v>46034</v>
      </c>
      <c r="AJ377" s="61">
        <v>0.9443287037037037</v>
      </c>
      <c r="AK377" t="s">
        <v>5392</v>
      </c>
      <c r="AO377" t="s">
        <v>44</v>
      </c>
      <c r="AR377" s="31"/>
      <c r="AX377">
        <v>1</v>
      </c>
    </row>
    <row r="378" spans="1:50" x14ac:dyDescent="0.25">
      <c r="A378" t="s">
        <v>22</v>
      </c>
      <c r="B378">
        <v>786</v>
      </c>
      <c r="D378">
        <v>3045</v>
      </c>
      <c r="G378" t="s">
        <v>2750</v>
      </c>
      <c r="J378" t="s">
        <v>2751</v>
      </c>
      <c r="K378" t="s">
        <v>2752</v>
      </c>
      <c r="M378" t="s">
        <v>2753</v>
      </c>
      <c r="S378" t="s">
        <v>2541</v>
      </c>
      <c r="V378" t="s">
        <v>5631</v>
      </c>
      <c r="W378" t="s">
        <v>780</v>
      </c>
      <c r="X378" t="s">
        <v>781</v>
      </c>
      <c r="Z378" s="31"/>
      <c r="AC378">
        <v>0</v>
      </c>
      <c r="AD378" t="s">
        <v>22</v>
      </c>
      <c r="AE378" s="31">
        <v>46034</v>
      </c>
      <c r="AF378" s="61">
        <v>0.94474537037037032</v>
      </c>
      <c r="AH378" t="s">
        <v>795</v>
      </c>
      <c r="AI378" s="31">
        <v>46034</v>
      </c>
      <c r="AJ378" s="61">
        <v>0.94488425925925923</v>
      </c>
      <c r="AK378" t="s">
        <v>5392</v>
      </c>
      <c r="AO378" t="s">
        <v>44</v>
      </c>
      <c r="AR378" s="31"/>
      <c r="AX378">
        <v>1</v>
      </c>
    </row>
    <row r="379" spans="1:50" x14ac:dyDescent="0.25">
      <c r="A379" t="s">
        <v>44</v>
      </c>
      <c r="B379">
        <v>787</v>
      </c>
      <c r="D379">
        <v>3057</v>
      </c>
      <c r="G379" t="s">
        <v>2754</v>
      </c>
      <c r="H379">
        <v>10269690000132</v>
      </c>
      <c r="J379" t="s">
        <v>2755</v>
      </c>
      <c r="K379" t="s">
        <v>2756</v>
      </c>
      <c r="M379" t="s">
        <v>2757</v>
      </c>
      <c r="S379" t="s">
        <v>2541</v>
      </c>
      <c r="V379" t="s">
        <v>5631</v>
      </c>
      <c r="W379" t="s">
        <v>780</v>
      </c>
      <c r="X379" t="s">
        <v>781</v>
      </c>
      <c r="Z379" s="31"/>
      <c r="AC379">
        <v>117</v>
      </c>
      <c r="AD379" t="s">
        <v>22</v>
      </c>
      <c r="AE379" s="31">
        <v>46034</v>
      </c>
      <c r="AF379" s="61">
        <v>0.94528935185185181</v>
      </c>
      <c r="AH379" t="s">
        <v>795</v>
      </c>
      <c r="AI379" s="31">
        <v>46151</v>
      </c>
      <c r="AJ379" s="61">
        <v>0.33931712962962962</v>
      </c>
      <c r="AK379" t="s">
        <v>5377</v>
      </c>
      <c r="AO379" t="s">
        <v>44</v>
      </c>
      <c r="AR379" s="31"/>
      <c r="AX379">
        <v>1</v>
      </c>
    </row>
    <row r="380" spans="1:50" x14ac:dyDescent="0.25">
      <c r="A380" t="s">
        <v>31</v>
      </c>
      <c r="B380">
        <v>788</v>
      </c>
      <c r="D380">
        <v>3083</v>
      </c>
      <c r="E380" t="s">
        <v>4724</v>
      </c>
      <c r="F380" t="s">
        <v>2760</v>
      </c>
      <c r="G380" t="s">
        <v>2761</v>
      </c>
      <c r="H380">
        <v>14078994000254</v>
      </c>
      <c r="J380" t="s">
        <v>2760</v>
      </c>
      <c r="K380" t="s">
        <v>5648</v>
      </c>
      <c r="M380" t="s">
        <v>2763</v>
      </c>
      <c r="Q380" t="s">
        <v>2117</v>
      </c>
      <c r="R380" t="s">
        <v>1105</v>
      </c>
      <c r="S380" t="s">
        <v>805</v>
      </c>
      <c r="V380" t="s">
        <v>2764</v>
      </c>
      <c r="W380" t="s">
        <v>780</v>
      </c>
      <c r="X380" t="s">
        <v>807</v>
      </c>
      <c r="Z380" s="31">
        <v>46142</v>
      </c>
      <c r="AA380">
        <v>16800</v>
      </c>
      <c r="AB380">
        <v>73717</v>
      </c>
      <c r="AC380">
        <v>120</v>
      </c>
      <c r="AD380" t="s">
        <v>31</v>
      </c>
      <c r="AE380" s="31">
        <v>46035</v>
      </c>
      <c r="AF380" s="61">
        <v>0.67313657407407412</v>
      </c>
      <c r="AH380" t="s">
        <v>795</v>
      </c>
      <c r="AI380" s="31">
        <v>46155</v>
      </c>
      <c r="AJ380" s="61">
        <v>0.45253472222222219</v>
      </c>
      <c r="AK380" t="s">
        <v>858</v>
      </c>
      <c r="AN380" t="s">
        <v>2590</v>
      </c>
      <c r="AO380" t="s">
        <v>31</v>
      </c>
      <c r="AP380" t="s">
        <v>2590</v>
      </c>
      <c r="AQ380" t="s">
        <v>4706</v>
      </c>
      <c r="AR380" s="31">
        <v>46155</v>
      </c>
      <c r="AS380">
        <v>50</v>
      </c>
      <c r="AU380" t="s">
        <v>63</v>
      </c>
      <c r="AX380">
        <v>1</v>
      </c>
    </row>
    <row r="381" spans="1:50" x14ac:dyDescent="0.25">
      <c r="A381" t="s">
        <v>22</v>
      </c>
      <c r="B381">
        <v>789</v>
      </c>
      <c r="D381">
        <v>3084</v>
      </c>
      <c r="E381" t="s">
        <v>4725</v>
      </c>
      <c r="G381" t="s">
        <v>2766</v>
      </c>
      <c r="H381">
        <v>31507103000176</v>
      </c>
      <c r="J381" t="s">
        <v>2767</v>
      </c>
      <c r="K381" t="s">
        <v>2768</v>
      </c>
      <c r="M381" t="s">
        <v>2769</v>
      </c>
      <c r="V381" t="s">
        <v>1419</v>
      </c>
      <c r="W381" t="s">
        <v>780</v>
      </c>
      <c r="X381" t="s">
        <v>807</v>
      </c>
      <c r="Z381" s="31">
        <v>46112</v>
      </c>
      <c r="AA381">
        <v>13100</v>
      </c>
      <c r="AB381">
        <v>1700</v>
      </c>
      <c r="AC381">
        <v>87</v>
      </c>
      <c r="AD381" t="s">
        <v>22</v>
      </c>
      <c r="AE381" s="31">
        <v>46035</v>
      </c>
      <c r="AF381" s="61">
        <v>0.67557870370370365</v>
      </c>
      <c r="AH381" t="s">
        <v>795</v>
      </c>
      <c r="AI381" s="31">
        <v>46122</v>
      </c>
      <c r="AJ381" s="61">
        <v>0.71947916666666667</v>
      </c>
      <c r="AK381" t="s">
        <v>5419</v>
      </c>
      <c r="AN381" t="s">
        <v>2770</v>
      </c>
      <c r="AO381" t="s">
        <v>22</v>
      </c>
      <c r="AP381" t="s">
        <v>2770</v>
      </c>
      <c r="AR381" s="31">
        <v>46101</v>
      </c>
      <c r="AS381">
        <v>50</v>
      </c>
      <c r="AT381" t="s">
        <v>1012</v>
      </c>
      <c r="AU381" t="s">
        <v>69</v>
      </c>
      <c r="AV381" t="s">
        <v>2490</v>
      </c>
      <c r="AW381" t="s">
        <v>2491</v>
      </c>
      <c r="AX381">
        <v>1</v>
      </c>
    </row>
    <row r="382" spans="1:50" x14ac:dyDescent="0.25">
      <c r="A382" t="s">
        <v>44</v>
      </c>
      <c r="B382">
        <v>790</v>
      </c>
      <c r="D382">
        <v>3071</v>
      </c>
      <c r="E382" t="s">
        <v>5649</v>
      </c>
      <c r="G382" t="s">
        <v>2772</v>
      </c>
      <c r="J382" t="s">
        <v>2773</v>
      </c>
      <c r="K382" t="s">
        <v>2774</v>
      </c>
      <c r="M382" t="s">
        <v>2775</v>
      </c>
      <c r="S382" t="s">
        <v>2541</v>
      </c>
      <c r="V382" t="s">
        <v>5631</v>
      </c>
      <c r="W382" t="s">
        <v>780</v>
      </c>
      <c r="X382" t="s">
        <v>897</v>
      </c>
      <c r="Z382" s="31">
        <v>46053</v>
      </c>
      <c r="AC382">
        <v>23</v>
      </c>
      <c r="AD382" t="s">
        <v>22</v>
      </c>
      <c r="AE382" s="31">
        <v>46035</v>
      </c>
      <c r="AF382" s="61">
        <v>0.70442129629629635</v>
      </c>
      <c r="AH382" t="s">
        <v>795</v>
      </c>
      <c r="AI382" s="31">
        <v>46058</v>
      </c>
      <c r="AJ382" s="61">
        <v>0.59414351851851854</v>
      </c>
      <c r="AK382" t="s">
        <v>5392</v>
      </c>
      <c r="AO382" t="s">
        <v>44</v>
      </c>
      <c r="AR382" s="31">
        <v>46038</v>
      </c>
      <c r="AX382">
        <v>1</v>
      </c>
    </row>
    <row r="383" spans="1:50" x14ac:dyDescent="0.25">
      <c r="A383" t="s">
        <v>31</v>
      </c>
      <c r="B383">
        <v>792</v>
      </c>
      <c r="D383">
        <v>3072</v>
      </c>
      <c r="E383" t="s">
        <v>2776</v>
      </c>
      <c r="G383" t="s">
        <v>2777</v>
      </c>
      <c r="H383">
        <v>6037707000230</v>
      </c>
      <c r="J383" t="s">
        <v>2778</v>
      </c>
      <c r="K383" t="s">
        <v>2779</v>
      </c>
      <c r="M383" t="s">
        <v>2780</v>
      </c>
      <c r="S383" t="s">
        <v>2541</v>
      </c>
      <c r="V383" t="s">
        <v>5631</v>
      </c>
      <c r="W383" t="s">
        <v>780</v>
      </c>
      <c r="X383" t="s">
        <v>897</v>
      </c>
      <c r="Z383" s="31">
        <v>46053</v>
      </c>
      <c r="AC383">
        <v>31</v>
      </c>
      <c r="AD383" t="s">
        <v>22</v>
      </c>
      <c r="AE383" s="31">
        <v>46035</v>
      </c>
      <c r="AF383" s="61">
        <v>0.70565972222222217</v>
      </c>
      <c r="AH383" t="s">
        <v>795</v>
      </c>
      <c r="AI383" s="31">
        <v>46066</v>
      </c>
      <c r="AJ383" s="61">
        <v>0.49041666666666672</v>
      </c>
      <c r="AK383" t="s">
        <v>5392</v>
      </c>
      <c r="AO383" t="s">
        <v>31</v>
      </c>
      <c r="AR383" s="31">
        <v>46065</v>
      </c>
      <c r="AS383">
        <v>30</v>
      </c>
      <c r="AX383">
        <v>1</v>
      </c>
    </row>
    <row r="384" spans="1:50" x14ac:dyDescent="0.25">
      <c r="A384" t="s">
        <v>22</v>
      </c>
      <c r="B384">
        <v>793</v>
      </c>
      <c r="D384">
        <v>3082</v>
      </c>
      <c r="E384" t="s">
        <v>4726</v>
      </c>
      <c r="G384" t="s">
        <v>2782</v>
      </c>
      <c r="J384" t="s">
        <v>2783</v>
      </c>
      <c r="K384" t="s">
        <v>2784</v>
      </c>
      <c r="M384" t="s">
        <v>2785</v>
      </c>
      <c r="Q384" t="s">
        <v>923</v>
      </c>
      <c r="S384" t="s">
        <v>814</v>
      </c>
      <c r="V384" t="s">
        <v>5598</v>
      </c>
      <c r="W384" t="s">
        <v>780</v>
      </c>
      <c r="X384" t="s">
        <v>897</v>
      </c>
      <c r="Z384" s="31">
        <v>46053</v>
      </c>
      <c r="AC384">
        <v>37</v>
      </c>
      <c r="AD384" t="s">
        <v>22</v>
      </c>
      <c r="AE384" s="31">
        <v>46035</v>
      </c>
      <c r="AF384" s="61">
        <v>0.7079050925925926</v>
      </c>
      <c r="AH384" t="s">
        <v>795</v>
      </c>
      <c r="AI384" s="31">
        <v>46072</v>
      </c>
      <c r="AJ384" s="61">
        <v>0.74432870370370374</v>
      </c>
      <c r="AK384" t="s">
        <v>5392</v>
      </c>
      <c r="AO384" t="s">
        <v>22</v>
      </c>
      <c r="AR384" s="31">
        <v>46045</v>
      </c>
      <c r="AS384">
        <v>30</v>
      </c>
      <c r="AX384">
        <v>1</v>
      </c>
    </row>
    <row r="385" spans="1:50" x14ac:dyDescent="0.25">
      <c r="A385" t="s">
        <v>31</v>
      </c>
      <c r="B385">
        <v>794</v>
      </c>
      <c r="D385">
        <v>3086</v>
      </c>
      <c r="E385" t="s">
        <v>2786</v>
      </c>
      <c r="G385" t="s">
        <v>2787</v>
      </c>
      <c r="J385" t="s">
        <v>2788</v>
      </c>
      <c r="K385" t="s">
        <v>2789</v>
      </c>
      <c r="M385" t="s">
        <v>2790</v>
      </c>
      <c r="S385" t="s">
        <v>2541</v>
      </c>
      <c r="V385" t="s">
        <v>5650</v>
      </c>
      <c r="W385" t="s">
        <v>780</v>
      </c>
      <c r="X385" t="s">
        <v>793</v>
      </c>
      <c r="Z385" s="31">
        <v>46053</v>
      </c>
      <c r="AA385">
        <v>6168744</v>
      </c>
      <c r="AB385">
        <v>149828</v>
      </c>
      <c r="AC385">
        <v>13</v>
      </c>
      <c r="AD385" t="s">
        <v>22</v>
      </c>
      <c r="AE385" s="31">
        <v>46035</v>
      </c>
      <c r="AF385" s="61">
        <v>0.73750000000000004</v>
      </c>
      <c r="AH385" t="s">
        <v>795</v>
      </c>
      <c r="AI385" s="31">
        <v>46048</v>
      </c>
      <c r="AJ385" s="61">
        <v>0.39319444444444451</v>
      </c>
      <c r="AK385" t="s">
        <v>5347</v>
      </c>
      <c r="AN385" t="s">
        <v>2792</v>
      </c>
      <c r="AO385" t="s">
        <v>31</v>
      </c>
      <c r="AP385" t="s">
        <v>2645</v>
      </c>
      <c r="AR385" s="31">
        <v>46048</v>
      </c>
      <c r="AX385">
        <v>1</v>
      </c>
    </row>
    <row r="386" spans="1:50" x14ac:dyDescent="0.25">
      <c r="A386" t="s">
        <v>22</v>
      </c>
      <c r="B386">
        <v>795</v>
      </c>
      <c r="D386">
        <v>3088</v>
      </c>
      <c r="E386" t="s">
        <v>4727</v>
      </c>
      <c r="G386" t="s">
        <v>2793</v>
      </c>
      <c r="H386">
        <v>3674537000125</v>
      </c>
      <c r="J386" t="s">
        <v>2794</v>
      </c>
      <c r="K386" t="s">
        <v>2795</v>
      </c>
      <c r="M386" t="s">
        <v>2796</v>
      </c>
      <c r="V386" t="s">
        <v>1419</v>
      </c>
      <c r="W386" t="s">
        <v>780</v>
      </c>
      <c r="X386" t="s">
        <v>807</v>
      </c>
      <c r="Z386" s="31">
        <v>46112</v>
      </c>
      <c r="AA386">
        <v>1600</v>
      </c>
      <c r="AB386">
        <v>384454</v>
      </c>
      <c r="AC386">
        <v>87</v>
      </c>
      <c r="AD386" t="s">
        <v>22</v>
      </c>
      <c r="AE386" s="31">
        <v>46035</v>
      </c>
      <c r="AF386" s="61">
        <v>0.9553356481481482</v>
      </c>
      <c r="AH386" t="s">
        <v>795</v>
      </c>
      <c r="AI386" s="31">
        <v>46122</v>
      </c>
      <c r="AJ386" s="61">
        <v>0.66369212962962965</v>
      </c>
      <c r="AK386" t="s">
        <v>5338</v>
      </c>
      <c r="AO386" t="s">
        <v>22</v>
      </c>
      <c r="AR386" s="31">
        <v>46101</v>
      </c>
      <c r="AS386">
        <v>30</v>
      </c>
      <c r="AT386" t="s">
        <v>2797</v>
      </c>
      <c r="AU386" t="s">
        <v>53</v>
      </c>
      <c r="AV386" t="s">
        <v>2798</v>
      </c>
      <c r="AW386" t="s">
        <v>2799</v>
      </c>
      <c r="AX386">
        <v>1</v>
      </c>
    </row>
    <row r="387" spans="1:50" x14ac:dyDescent="0.25">
      <c r="A387" t="s">
        <v>22</v>
      </c>
      <c r="B387">
        <v>796</v>
      </c>
      <c r="D387">
        <v>3087</v>
      </c>
      <c r="E387" t="s">
        <v>2800</v>
      </c>
      <c r="G387" t="s">
        <v>2801</v>
      </c>
      <c r="J387" t="s">
        <v>2802</v>
      </c>
      <c r="K387" t="s">
        <v>2803</v>
      </c>
      <c r="M387" t="s">
        <v>2804</v>
      </c>
      <c r="S387" t="s">
        <v>2541</v>
      </c>
      <c r="V387" t="s">
        <v>5650</v>
      </c>
      <c r="W387" t="s">
        <v>780</v>
      </c>
      <c r="X387" t="s">
        <v>897</v>
      </c>
      <c r="Z387" s="31">
        <v>46053</v>
      </c>
      <c r="AC387">
        <v>24</v>
      </c>
      <c r="AD387" t="s">
        <v>22</v>
      </c>
      <c r="AE387" s="31">
        <v>46036</v>
      </c>
      <c r="AF387" s="61">
        <v>0.42770833333333341</v>
      </c>
      <c r="AH387" t="s">
        <v>795</v>
      </c>
      <c r="AI387" s="31">
        <v>46060</v>
      </c>
      <c r="AJ387" s="61">
        <v>0.31616898148148148</v>
      </c>
      <c r="AK387" t="s">
        <v>5392</v>
      </c>
      <c r="AL387" t="s">
        <v>2805</v>
      </c>
      <c r="AO387" t="s">
        <v>22</v>
      </c>
      <c r="AR387" s="31">
        <v>46060</v>
      </c>
      <c r="AS387">
        <v>30</v>
      </c>
      <c r="AX387">
        <v>1</v>
      </c>
    </row>
    <row r="388" spans="1:50" x14ac:dyDescent="0.25">
      <c r="A388" t="s">
        <v>22</v>
      </c>
      <c r="B388">
        <v>799</v>
      </c>
      <c r="D388">
        <v>3091</v>
      </c>
      <c r="E388" t="s">
        <v>2806</v>
      </c>
      <c r="G388" t="s">
        <v>2807</v>
      </c>
      <c r="J388" t="s">
        <v>4086</v>
      </c>
      <c r="K388" t="s">
        <v>2649</v>
      </c>
      <c r="M388" t="s">
        <v>1111</v>
      </c>
      <c r="V388" t="s">
        <v>2407</v>
      </c>
      <c r="W388" t="s">
        <v>780</v>
      </c>
      <c r="X388" t="s">
        <v>816</v>
      </c>
      <c r="Z388" s="31">
        <v>46037</v>
      </c>
      <c r="AA388">
        <v>1600</v>
      </c>
      <c r="AB388">
        <v>252471</v>
      </c>
      <c r="AC388">
        <v>9</v>
      </c>
      <c r="AD388" t="s">
        <v>22</v>
      </c>
      <c r="AE388" s="31">
        <v>46036</v>
      </c>
      <c r="AF388" s="61">
        <v>0.78824074074074069</v>
      </c>
      <c r="AH388" t="s">
        <v>818</v>
      </c>
      <c r="AI388" s="31">
        <v>46045</v>
      </c>
      <c r="AJ388" s="61">
        <v>0.46164351851851848</v>
      </c>
      <c r="AM388" t="s">
        <v>2808</v>
      </c>
      <c r="AN388" t="s">
        <v>2808</v>
      </c>
      <c r="AO388" t="s">
        <v>22</v>
      </c>
      <c r="AP388" t="s">
        <v>2808</v>
      </c>
      <c r="AR388" s="31">
        <v>46037</v>
      </c>
      <c r="AX388">
        <v>1</v>
      </c>
    </row>
    <row r="389" spans="1:50" x14ac:dyDescent="0.25">
      <c r="A389" t="s">
        <v>31</v>
      </c>
      <c r="B389">
        <v>800</v>
      </c>
      <c r="D389">
        <v>3092</v>
      </c>
      <c r="G389" t="s">
        <v>2809</v>
      </c>
      <c r="H389">
        <v>9205460000120</v>
      </c>
      <c r="J389" t="s">
        <v>2810</v>
      </c>
      <c r="K389" t="s">
        <v>2811</v>
      </c>
      <c r="M389" t="s">
        <v>1111</v>
      </c>
      <c r="Q389" t="s">
        <v>2812</v>
      </c>
      <c r="R389" t="s">
        <v>1067</v>
      </c>
      <c r="S389" t="s">
        <v>2541</v>
      </c>
      <c r="V389" t="s">
        <v>5631</v>
      </c>
      <c r="W389" t="s">
        <v>780</v>
      </c>
      <c r="X389" t="s">
        <v>781</v>
      </c>
      <c r="Z389" s="31">
        <v>46053</v>
      </c>
      <c r="AC389">
        <v>7</v>
      </c>
      <c r="AD389" t="s">
        <v>22</v>
      </c>
      <c r="AE389" s="31">
        <v>46038</v>
      </c>
      <c r="AF389" s="61">
        <v>0.39675925925925931</v>
      </c>
      <c r="AH389" t="s">
        <v>795</v>
      </c>
      <c r="AI389" s="31">
        <v>46045</v>
      </c>
      <c r="AJ389" s="61">
        <v>0.71688657407407408</v>
      </c>
      <c r="AK389" t="s">
        <v>5392</v>
      </c>
      <c r="AO389" t="s">
        <v>31</v>
      </c>
      <c r="AR389" s="31">
        <v>46045</v>
      </c>
      <c r="AX389">
        <v>1</v>
      </c>
    </row>
    <row r="390" spans="1:50" x14ac:dyDescent="0.25">
      <c r="A390" t="s">
        <v>44</v>
      </c>
      <c r="B390">
        <v>803</v>
      </c>
      <c r="D390">
        <v>3094</v>
      </c>
      <c r="E390" t="s">
        <v>5651</v>
      </c>
      <c r="G390" t="s">
        <v>2814</v>
      </c>
      <c r="J390" t="s">
        <v>2815</v>
      </c>
      <c r="K390" t="s">
        <v>2816</v>
      </c>
      <c r="M390" t="s">
        <v>2817</v>
      </c>
      <c r="S390" t="s">
        <v>2541</v>
      </c>
      <c r="V390" t="s">
        <v>5631</v>
      </c>
      <c r="W390" t="s">
        <v>780</v>
      </c>
      <c r="X390" t="s">
        <v>897</v>
      </c>
      <c r="Z390" s="31">
        <v>46053</v>
      </c>
      <c r="AC390">
        <v>113</v>
      </c>
      <c r="AD390" t="s">
        <v>22</v>
      </c>
      <c r="AE390" s="31">
        <v>46038</v>
      </c>
      <c r="AF390" s="61">
        <v>0.67024305555555552</v>
      </c>
      <c r="AH390" t="s">
        <v>795</v>
      </c>
      <c r="AI390" s="31">
        <v>46151</v>
      </c>
      <c r="AJ390" s="61">
        <v>0.3187962962962963</v>
      </c>
      <c r="AK390" t="s">
        <v>5392</v>
      </c>
      <c r="AO390" t="s">
        <v>44</v>
      </c>
      <c r="AR390" s="31">
        <v>46042</v>
      </c>
      <c r="AX390">
        <v>1</v>
      </c>
    </row>
    <row r="391" spans="1:50" x14ac:dyDescent="0.25">
      <c r="A391" t="s">
        <v>31</v>
      </c>
      <c r="B391">
        <v>804</v>
      </c>
      <c r="D391">
        <v>3099</v>
      </c>
      <c r="G391" t="s">
        <v>2819</v>
      </c>
      <c r="H391">
        <v>33036815000180</v>
      </c>
      <c r="J391" t="s">
        <v>2820</v>
      </c>
      <c r="K391" t="s">
        <v>2821</v>
      </c>
      <c r="M391" t="s">
        <v>2822</v>
      </c>
      <c r="S391" t="s">
        <v>2541</v>
      </c>
      <c r="V391" t="s">
        <v>5631</v>
      </c>
      <c r="W391" t="s">
        <v>780</v>
      </c>
      <c r="X391" t="s">
        <v>781</v>
      </c>
      <c r="Z391" s="31">
        <v>46053</v>
      </c>
      <c r="AC391">
        <v>5</v>
      </c>
      <c r="AD391" t="s">
        <v>22</v>
      </c>
      <c r="AE391" s="31">
        <v>46038</v>
      </c>
      <c r="AF391" s="61">
        <v>0.67128472222222224</v>
      </c>
      <c r="AH391" t="s">
        <v>795</v>
      </c>
      <c r="AI391" s="31">
        <v>46043</v>
      </c>
      <c r="AJ391" s="61">
        <v>0.48775462962962962</v>
      </c>
      <c r="AK391" t="s">
        <v>5392</v>
      </c>
      <c r="AO391" t="s">
        <v>31</v>
      </c>
      <c r="AR391" s="31">
        <v>46043</v>
      </c>
      <c r="AX391">
        <v>1</v>
      </c>
    </row>
    <row r="392" spans="1:50" x14ac:dyDescent="0.25">
      <c r="A392" t="s">
        <v>44</v>
      </c>
      <c r="B392">
        <v>805</v>
      </c>
      <c r="D392">
        <v>3093</v>
      </c>
      <c r="E392" t="s">
        <v>4728</v>
      </c>
      <c r="G392" t="s">
        <v>2824</v>
      </c>
      <c r="H392">
        <v>53629067000156</v>
      </c>
      <c r="J392" t="s">
        <v>3010</v>
      </c>
      <c r="K392" t="s">
        <v>2826</v>
      </c>
      <c r="M392" t="s">
        <v>2827</v>
      </c>
      <c r="Q392" t="s">
        <v>2828</v>
      </c>
      <c r="R392" t="s">
        <v>1699</v>
      </c>
      <c r="S392" t="s">
        <v>814</v>
      </c>
      <c r="V392" t="s">
        <v>1186</v>
      </c>
      <c r="W392" t="s">
        <v>780</v>
      </c>
      <c r="X392" t="s">
        <v>793</v>
      </c>
      <c r="Z392" s="31">
        <v>46053</v>
      </c>
      <c r="AA392">
        <v>72080</v>
      </c>
      <c r="AB392">
        <v>18676</v>
      </c>
      <c r="AC392">
        <v>52</v>
      </c>
      <c r="AD392" t="s">
        <v>22</v>
      </c>
      <c r="AE392" s="31">
        <v>46038</v>
      </c>
      <c r="AF392" s="61">
        <v>0.67234953703703704</v>
      </c>
      <c r="AH392" t="s">
        <v>795</v>
      </c>
      <c r="AI392" s="31">
        <v>46090</v>
      </c>
      <c r="AJ392" s="61">
        <v>0.46006944444444442</v>
      </c>
      <c r="AK392" t="s">
        <v>5338</v>
      </c>
      <c r="AL392" t="s">
        <v>4729</v>
      </c>
      <c r="AN392" t="s">
        <v>2829</v>
      </c>
      <c r="AO392" t="s">
        <v>44</v>
      </c>
      <c r="AP392" t="s">
        <v>2829</v>
      </c>
      <c r="AR392" s="31">
        <v>46062</v>
      </c>
      <c r="AX392">
        <v>1</v>
      </c>
    </row>
    <row r="393" spans="1:50" x14ac:dyDescent="0.25">
      <c r="A393" t="s">
        <v>31</v>
      </c>
      <c r="B393">
        <v>818</v>
      </c>
      <c r="D393">
        <v>3101</v>
      </c>
      <c r="E393" t="s">
        <v>2830</v>
      </c>
      <c r="G393" t="s">
        <v>2831</v>
      </c>
      <c r="J393" t="s">
        <v>2832</v>
      </c>
      <c r="K393" t="s">
        <v>2833</v>
      </c>
      <c r="M393" t="s">
        <v>2834</v>
      </c>
      <c r="S393" t="s">
        <v>2541</v>
      </c>
      <c r="V393" t="s">
        <v>5650</v>
      </c>
      <c r="W393" t="s">
        <v>780</v>
      </c>
      <c r="X393" t="s">
        <v>857</v>
      </c>
      <c r="Z393" s="31">
        <v>46112</v>
      </c>
      <c r="AC393">
        <v>9</v>
      </c>
      <c r="AD393" t="s">
        <v>22</v>
      </c>
      <c r="AE393" s="31">
        <v>46041</v>
      </c>
      <c r="AF393" s="61">
        <v>0.4798263888888889</v>
      </c>
      <c r="AH393" t="s">
        <v>795</v>
      </c>
      <c r="AI393" s="31">
        <v>46050</v>
      </c>
      <c r="AJ393" s="61">
        <v>0.68680555555555556</v>
      </c>
      <c r="AK393" t="s">
        <v>858</v>
      </c>
      <c r="AO393" t="s">
        <v>31</v>
      </c>
      <c r="AR393" s="31">
        <v>46050</v>
      </c>
      <c r="AX393">
        <v>1</v>
      </c>
    </row>
    <row r="394" spans="1:50" x14ac:dyDescent="0.25">
      <c r="A394" t="s">
        <v>44</v>
      </c>
      <c r="B394">
        <v>819</v>
      </c>
      <c r="D394">
        <v>3102</v>
      </c>
      <c r="E394" t="s">
        <v>5652</v>
      </c>
      <c r="G394" t="s">
        <v>2836</v>
      </c>
      <c r="H394">
        <v>49827202000109</v>
      </c>
      <c r="J394" t="s">
        <v>5653</v>
      </c>
      <c r="K394" t="s">
        <v>2838</v>
      </c>
      <c r="M394" t="s">
        <v>2839</v>
      </c>
      <c r="Q394" t="s">
        <v>2840</v>
      </c>
      <c r="R394" t="s">
        <v>2841</v>
      </c>
      <c r="S394" t="s">
        <v>814</v>
      </c>
      <c r="V394" t="s">
        <v>2842</v>
      </c>
      <c r="W394" t="s">
        <v>780</v>
      </c>
      <c r="X394" t="s">
        <v>857</v>
      </c>
      <c r="Z394" s="31">
        <v>46053</v>
      </c>
      <c r="AA394">
        <v>72080</v>
      </c>
      <c r="AB394">
        <v>881079</v>
      </c>
      <c r="AC394">
        <v>17</v>
      </c>
      <c r="AD394" t="s">
        <v>22</v>
      </c>
      <c r="AE394" s="31">
        <v>46041</v>
      </c>
      <c r="AF394" s="61">
        <v>0.4817939814814815</v>
      </c>
      <c r="AH394" t="s">
        <v>795</v>
      </c>
      <c r="AI394" s="31">
        <v>46058</v>
      </c>
      <c r="AJ394" s="61">
        <v>0.59219907407407413</v>
      </c>
      <c r="AK394" t="s">
        <v>5347</v>
      </c>
      <c r="AL394" t="s">
        <v>2843</v>
      </c>
      <c r="AN394" t="s">
        <v>2829</v>
      </c>
      <c r="AO394" t="s">
        <v>44</v>
      </c>
      <c r="AP394" t="s">
        <v>2590</v>
      </c>
      <c r="AR394" s="31">
        <v>46048</v>
      </c>
      <c r="AX394">
        <v>1</v>
      </c>
    </row>
    <row r="395" spans="1:50" x14ac:dyDescent="0.25">
      <c r="A395" t="s">
        <v>31</v>
      </c>
      <c r="B395">
        <v>820</v>
      </c>
      <c r="D395">
        <v>3103</v>
      </c>
      <c r="G395" t="s">
        <v>2844</v>
      </c>
      <c r="J395" t="s">
        <v>2845</v>
      </c>
      <c r="K395" t="s">
        <v>2846</v>
      </c>
      <c r="M395" t="s">
        <v>2847</v>
      </c>
      <c r="S395" t="s">
        <v>2541</v>
      </c>
      <c r="V395" t="s">
        <v>5631</v>
      </c>
      <c r="W395" t="s">
        <v>780</v>
      </c>
      <c r="X395" t="s">
        <v>781</v>
      </c>
      <c r="Z395" s="31">
        <v>46053</v>
      </c>
      <c r="AC395">
        <v>19</v>
      </c>
      <c r="AD395" t="s">
        <v>22</v>
      </c>
      <c r="AE395" s="31">
        <v>46041</v>
      </c>
      <c r="AF395" s="61">
        <v>0.48258101851851848</v>
      </c>
      <c r="AH395" t="s">
        <v>795</v>
      </c>
      <c r="AI395" s="31">
        <v>46060</v>
      </c>
      <c r="AJ395" s="61">
        <v>0.32299768518518518</v>
      </c>
      <c r="AK395" t="s">
        <v>5392</v>
      </c>
      <c r="AO395" t="s">
        <v>31</v>
      </c>
      <c r="AR395" s="31">
        <v>46049</v>
      </c>
      <c r="AX395">
        <v>1</v>
      </c>
    </row>
    <row r="396" spans="1:50" x14ac:dyDescent="0.25">
      <c r="A396" t="s">
        <v>22</v>
      </c>
      <c r="B396">
        <v>821</v>
      </c>
      <c r="D396">
        <v>3119</v>
      </c>
      <c r="E396" t="s">
        <v>2848</v>
      </c>
      <c r="G396" t="s">
        <v>2849</v>
      </c>
      <c r="H396">
        <v>7658378000126</v>
      </c>
      <c r="J396" t="s">
        <v>2850</v>
      </c>
      <c r="K396" t="s">
        <v>2851</v>
      </c>
      <c r="M396" t="s">
        <v>2852</v>
      </c>
      <c r="Q396" t="s">
        <v>2853</v>
      </c>
      <c r="S396" t="s">
        <v>814</v>
      </c>
      <c r="V396" t="s">
        <v>5598</v>
      </c>
      <c r="W396" t="s">
        <v>780</v>
      </c>
      <c r="X396" t="s">
        <v>857</v>
      </c>
      <c r="Z396" s="31">
        <v>46053</v>
      </c>
      <c r="AC396">
        <v>24</v>
      </c>
      <c r="AD396" t="s">
        <v>22</v>
      </c>
      <c r="AE396" s="31">
        <v>46042</v>
      </c>
      <c r="AF396" s="61">
        <v>0.36244212962962957</v>
      </c>
      <c r="AH396" t="s">
        <v>795</v>
      </c>
      <c r="AI396" s="31">
        <v>46066</v>
      </c>
      <c r="AJ396" s="61">
        <v>0.73247685185185185</v>
      </c>
      <c r="AK396" t="s">
        <v>5338</v>
      </c>
      <c r="AN396" t="s">
        <v>405</v>
      </c>
      <c r="AO396" t="s">
        <v>22</v>
      </c>
      <c r="AP396" t="s">
        <v>405</v>
      </c>
      <c r="AR396" s="31">
        <v>46045</v>
      </c>
      <c r="AS396">
        <v>30</v>
      </c>
      <c r="AU396" t="s">
        <v>2854</v>
      </c>
      <c r="AX396">
        <v>1</v>
      </c>
    </row>
    <row r="397" spans="1:50" x14ac:dyDescent="0.25">
      <c r="A397" t="s">
        <v>31</v>
      </c>
      <c r="B397">
        <v>823</v>
      </c>
      <c r="D397">
        <v>3118</v>
      </c>
      <c r="E397" t="s">
        <v>4730</v>
      </c>
      <c r="G397" t="s">
        <v>385</v>
      </c>
      <c r="H397">
        <v>44530589000105</v>
      </c>
      <c r="J397" t="s">
        <v>2856</v>
      </c>
      <c r="K397" t="s">
        <v>2857</v>
      </c>
      <c r="M397" t="s">
        <v>2858</v>
      </c>
      <c r="Q397" t="s">
        <v>993</v>
      </c>
      <c r="R397" t="s">
        <v>932</v>
      </c>
      <c r="S397" t="s">
        <v>814</v>
      </c>
      <c r="V397" t="s">
        <v>2859</v>
      </c>
      <c r="W397" t="s">
        <v>780</v>
      </c>
      <c r="X397" t="s">
        <v>807</v>
      </c>
      <c r="Z397" s="31">
        <v>46173</v>
      </c>
      <c r="AA397">
        <v>579843</v>
      </c>
      <c r="AB397">
        <v>28845</v>
      </c>
      <c r="AC397">
        <v>69</v>
      </c>
      <c r="AD397" t="s">
        <v>22</v>
      </c>
      <c r="AE397" s="31">
        <v>46042</v>
      </c>
      <c r="AF397" s="61">
        <v>0.36586805555555563</v>
      </c>
      <c r="AH397" t="s">
        <v>795</v>
      </c>
      <c r="AI397" s="31">
        <v>46111</v>
      </c>
      <c r="AJ397" s="61">
        <v>0.65819444444444442</v>
      </c>
      <c r="AK397" t="s">
        <v>5338</v>
      </c>
      <c r="AN397" t="s">
        <v>4731</v>
      </c>
      <c r="AO397" t="s">
        <v>31</v>
      </c>
      <c r="AP397" t="s">
        <v>4732</v>
      </c>
      <c r="AQ397" t="s">
        <v>4733</v>
      </c>
      <c r="AR397" s="31">
        <v>46111</v>
      </c>
      <c r="AS397">
        <v>30</v>
      </c>
      <c r="AU397" t="s">
        <v>321</v>
      </c>
      <c r="AX397">
        <v>1</v>
      </c>
    </row>
    <row r="398" spans="1:50" x14ac:dyDescent="0.25">
      <c r="A398" t="s">
        <v>31</v>
      </c>
      <c r="B398">
        <v>847</v>
      </c>
      <c r="D398">
        <v>3129</v>
      </c>
      <c r="E398" t="s">
        <v>2860</v>
      </c>
      <c r="G398" t="s">
        <v>2861</v>
      </c>
      <c r="J398" t="s">
        <v>2862</v>
      </c>
      <c r="K398" t="s">
        <v>2863</v>
      </c>
      <c r="M398" t="s">
        <v>2864</v>
      </c>
      <c r="S398" t="s">
        <v>2541</v>
      </c>
      <c r="V398" t="s">
        <v>5631</v>
      </c>
      <c r="W398" t="s">
        <v>780</v>
      </c>
      <c r="X398" t="s">
        <v>781</v>
      </c>
      <c r="Z398" s="31">
        <v>46053</v>
      </c>
      <c r="AC398">
        <v>0</v>
      </c>
      <c r="AD398" t="s">
        <v>22</v>
      </c>
      <c r="AE398" s="31">
        <v>46043</v>
      </c>
      <c r="AF398" s="61">
        <v>0.45225694444444442</v>
      </c>
      <c r="AH398" t="s">
        <v>795</v>
      </c>
      <c r="AI398" s="31">
        <v>46043</v>
      </c>
      <c r="AJ398" s="61">
        <v>0.46807870370370369</v>
      </c>
      <c r="AK398" t="s">
        <v>5392</v>
      </c>
      <c r="AO398" t="s">
        <v>31</v>
      </c>
      <c r="AR398" s="31"/>
      <c r="AX398">
        <v>1</v>
      </c>
    </row>
    <row r="399" spans="1:50" x14ac:dyDescent="0.25">
      <c r="A399" t="s">
        <v>44</v>
      </c>
      <c r="B399">
        <v>848</v>
      </c>
      <c r="D399">
        <v>3148</v>
      </c>
      <c r="E399" t="s">
        <v>5654</v>
      </c>
      <c r="G399" t="s">
        <v>2866</v>
      </c>
      <c r="J399" t="s">
        <v>2867</v>
      </c>
      <c r="K399" t="s">
        <v>2868</v>
      </c>
      <c r="M399" t="s">
        <v>2869</v>
      </c>
      <c r="S399" t="s">
        <v>2541</v>
      </c>
      <c r="V399" t="s">
        <v>5631</v>
      </c>
      <c r="W399" t="s">
        <v>780</v>
      </c>
      <c r="X399" t="s">
        <v>781</v>
      </c>
      <c r="Z399" s="31">
        <v>46053</v>
      </c>
      <c r="AC399">
        <v>108</v>
      </c>
      <c r="AD399" t="s">
        <v>22</v>
      </c>
      <c r="AE399" s="31">
        <v>46043</v>
      </c>
      <c r="AF399" s="61">
        <v>0.45456018518518521</v>
      </c>
      <c r="AH399" t="s">
        <v>795</v>
      </c>
      <c r="AI399" s="31">
        <v>46151</v>
      </c>
      <c r="AJ399" s="61">
        <v>0.36686342592592591</v>
      </c>
      <c r="AK399" t="s">
        <v>5377</v>
      </c>
      <c r="AO399" t="s">
        <v>44</v>
      </c>
      <c r="AR399" s="31">
        <v>46045</v>
      </c>
      <c r="AX399">
        <v>1</v>
      </c>
    </row>
    <row r="400" spans="1:50" x14ac:dyDescent="0.25">
      <c r="A400" t="s">
        <v>31</v>
      </c>
      <c r="B400">
        <v>849</v>
      </c>
      <c r="D400">
        <v>3149</v>
      </c>
      <c r="G400" t="s">
        <v>2871</v>
      </c>
      <c r="H400">
        <v>27343071000143</v>
      </c>
      <c r="J400" t="s">
        <v>2872</v>
      </c>
      <c r="K400" t="s">
        <v>2873</v>
      </c>
      <c r="M400" t="s">
        <v>2874</v>
      </c>
      <c r="S400" t="s">
        <v>2541</v>
      </c>
      <c r="V400" t="s">
        <v>5631</v>
      </c>
      <c r="W400" t="s">
        <v>780</v>
      </c>
      <c r="X400" t="s">
        <v>781</v>
      </c>
      <c r="Z400" s="31">
        <v>46053</v>
      </c>
      <c r="AC400">
        <v>17</v>
      </c>
      <c r="AD400" t="s">
        <v>22</v>
      </c>
      <c r="AE400" s="31">
        <v>46043</v>
      </c>
      <c r="AF400" s="61">
        <v>0.51600694444444439</v>
      </c>
      <c r="AH400" t="s">
        <v>795</v>
      </c>
      <c r="AI400" s="31">
        <v>46060</v>
      </c>
      <c r="AJ400" s="61">
        <v>0.32187500000000002</v>
      </c>
      <c r="AK400" t="s">
        <v>5392</v>
      </c>
      <c r="AO400" t="s">
        <v>31</v>
      </c>
      <c r="AR400" s="31"/>
      <c r="AX400">
        <v>1</v>
      </c>
    </row>
    <row r="401" spans="1:50" x14ac:dyDescent="0.25">
      <c r="A401" t="s">
        <v>31</v>
      </c>
      <c r="B401">
        <v>850</v>
      </c>
      <c r="D401">
        <v>3150</v>
      </c>
      <c r="G401" t="s">
        <v>2871</v>
      </c>
      <c r="H401">
        <v>27343071000143</v>
      </c>
      <c r="J401" t="s">
        <v>2875</v>
      </c>
      <c r="K401" t="s">
        <v>2876</v>
      </c>
      <c r="M401" t="s">
        <v>2877</v>
      </c>
      <c r="Q401" t="s">
        <v>923</v>
      </c>
      <c r="S401" t="s">
        <v>814</v>
      </c>
      <c r="V401" t="s">
        <v>5655</v>
      </c>
      <c r="W401" t="s">
        <v>780</v>
      </c>
      <c r="X401" t="s">
        <v>897</v>
      </c>
      <c r="Z401" s="31">
        <v>46053</v>
      </c>
      <c r="AC401">
        <v>1</v>
      </c>
      <c r="AD401" t="s">
        <v>22</v>
      </c>
      <c r="AE401" s="31">
        <v>46043</v>
      </c>
      <c r="AF401" s="61">
        <v>0.5166898148148148</v>
      </c>
      <c r="AH401" t="s">
        <v>795</v>
      </c>
      <c r="AI401" s="31">
        <v>46044</v>
      </c>
      <c r="AJ401" s="61">
        <v>0.41939814814814808</v>
      </c>
      <c r="AK401" t="s">
        <v>5347</v>
      </c>
      <c r="AO401" t="s">
        <v>31</v>
      </c>
      <c r="AR401" s="31"/>
      <c r="AX401">
        <v>1</v>
      </c>
    </row>
    <row r="402" spans="1:50" x14ac:dyDescent="0.25">
      <c r="A402" t="s">
        <v>44</v>
      </c>
      <c r="B402">
        <v>851</v>
      </c>
      <c r="D402">
        <v>3151</v>
      </c>
      <c r="E402" t="s">
        <v>5656</v>
      </c>
      <c r="G402" t="s">
        <v>2880</v>
      </c>
      <c r="J402" t="s">
        <v>2881</v>
      </c>
      <c r="K402" t="s">
        <v>2882</v>
      </c>
      <c r="M402" t="s">
        <v>2883</v>
      </c>
      <c r="S402" t="s">
        <v>2541</v>
      </c>
      <c r="V402" t="s">
        <v>5650</v>
      </c>
      <c r="W402" t="s">
        <v>780</v>
      </c>
      <c r="X402" t="s">
        <v>897</v>
      </c>
      <c r="Z402" s="31">
        <v>46053</v>
      </c>
      <c r="AC402">
        <v>117</v>
      </c>
      <c r="AD402" t="s">
        <v>22</v>
      </c>
      <c r="AE402" s="31">
        <v>46043</v>
      </c>
      <c r="AF402" s="61">
        <v>0.52098379629629632</v>
      </c>
      <c r="AH402" t="s">
        <v>795</v>
      </c>
      <c r="AI402" s="31">
        <v>46160</v>
      </c>
      <c r="AJ402" s="61">
        <v>0.61366898148148152</v>
      </c>
      <c r="AK402" t="s">
        <v>5657</v>
      </c>
      <c r="AL402" t="s">
        <v>5658</v>
      </c>
      <c r="AO402" t="s">
        <v>44</v>
      </c>
      <c r="AR402" s="31">
        <v>46160</v>
      </c>
      <c r="AX402">
        <v>1</v>
      </c>
    </row>
    <row r="403" spans="1:50" x14ac:dyDescent="0.25">
      <c r="A403" t="s">
        <v>31</v>
      </c>
      <c r="B403">
        <v>853</v>
      </c>
      <c r="D403">
        <v>3154</v>
      </c>
      <c r="E403" t="s">
        <v>2884</v>
      </c>
      <c r="G403" t="s">
        <v>2885</v>
      </c>
      <c r="H403">
        <v>8439142000161</v>
      </c>
      <c r="J403" t="s">
        <v>2886</v>
      </c>
      <c r="K403" t="s">
        <v>2887</v>
      </c>
      <c r="M403" t="s">
        <v>2888</v>
      </c>
      <c r="S403" t="s">
        <v>2541</v>
      </c>
      <c r="V403" t="s">
        <v>5650</v>
      </c>
      <c r="W403" t="s">
        <v>780</v>
      </c>
      <c r="X403" t="s">
        <v>793</v>
      </c>
      <c r="Z403" s="31">
        <v>46112</v>
      </c>
      <c r="AA403">
        <v>58800</v>
      </c>
      <c r="AB403">
        <v>873144</v>
      </c>
      <c r="AC403">
        <v>8</v>
      </c>
      <c r="AD403" t="s">
        <v>22</v>
      </c>
      <c r="AE403" s="31">
        <v>46043</v>
      </c>
      <c r="AF403" s="61">
        <v>0.91557870370370376</v>
      </c>
      <c r="AH403" t="s">
        <v>795</v>
      </c>
      <c r="AI403" s="31">
        <v>46051</v>
      </c>
      <c r="AJ403" s="61">
        <v>0.67262731481481486</v>
      </c>
      <c r="AK403" t="s">
        <v>5347</v>
      </c>
      <c r="AN403" t="s">
        <v>2889</v>
      </c>
      <c r="AO403" t="s">
        <v>31</v>
      </c>
      <c r="AP403" t="s">
        <v>2890</v>
      </c>
      <c r="AQ403" t="s">
        <v>2891</v>
      </c>
      <c r="AR403" s="31">
        <v>46050</v>
      </c>
      <c r="AX403">
        <v>1</v>
      </c>
    </row>
    <row r="404" spans="1:50" x14ac:dyDescent="0.25">
      <c r="A404" t="s">
        <v>31</v>
      </c>
      <c r="B404">
        <v>854</v>
      </c>
      <c r="D404">
        <v>3155</v>
      </c>
      <c r="G404" t="s">
        <v>2892</v>
      </c>
      <c r="J404" t="s">
        <v>2893</v>
      </c>
      <c r="K404" t="s">
        <v>2894</v>
      </c>
      <c r="M404" t="s">
        <v>2895</v>
      </c>
      <c r="S404" t="s">
        <v>2541</v>
      </c>
      <c r="V404" t="s">
        <v>5631</v>
      </c>
      <c r="W404" t="s">
        <v>780</v>
      </c>
      <c r="X404" t="s">
        <v>781</v>
      </c>
      <c r="Z404" s="31">
        <v>46044</v>
      </c>
      <c r="AC404">
        <v>0</v>
      </c>
      <c r="AD404" t="s">
        <v>22</v>
      </c>
      <c r="AE404" s="31">
        <v>46044</v>
      </c>
      <c r="AF404" s="61">
        <v>0.62604166666666672</v>
      </c>
      <c r="AH404" t="s">
        <v>795</v>
      </c>
      <c r="AI404" s="31">
        <v>46044</v>
      </c>
      <c r="AJ404" s="61">
        <v>0.65458333333333329</v>
      </c>
      <c r="AK404" t="s">
        <v>5392</v>
      </c>
      <c r="AO404" t="s">
        <v>31</v>
      </c>
      <c r="AR404" s="31"/>
      <c r="AX404">
        <v>1</v>
      </c>
    </row>
    <row r="405" spans="1:50" x14ac:dyDescent="0.25">
      <c r="A405" t="s">
        <v>44</v>
      </c>
      <c r="B405">
        <v>860</v>
      </c>
      <c r="D405">
        <v>3164</v>
      </c>
      <c r="E405" t="s">
        <v>2896</v>
      </c>
      <c r="G405" t="s">
        <v>2897</v>
      </c>
      <c r="H405">
        <v>1399482000167</v>
      </c>
      <c r="J405" t="s">
        <v>2898</v>
      </c>
      <c r="K405" t="s">
        <v>2899</v>
      </c>
      <c r="M405" t="s">
        <v>2900</v>
      </c>
      <c r="S405" t="s">
        <v>2541</v>
      </c>
      <c r="V405" t="s">
        <v>5650</v>
      </c>
      <c r="W405" t="s">
        <v>780</v>
      </c>
      <c r="X405" t="s">
        <v>897</v>
      </c>
      <c r="Z405" s="31">
        <v>46053</v>
      </c>
      <c r="AC405">
        <v>106</v>
      </c>
      <c r="AD405" t="s">
        <v>22</v>
      </c>
      <c r="AE405" s="31">
        <v>46045</v>
      </c>
      <c r="AF405" s="61">
        <v>0.4199074074074074</v>
      </c>
      <c r="AH405" t="s">
        <v>795</v>
      </c>
      <c r="AI405" s="31">
        <v>46151</v>
      </c>
      <c r="AJ405" s="61">
        <v>0.32263888888888892</v>
      </c>
      <c r="AK405" t="s">
        <v>5657</v>
      </c>
      <c r="AO405" t="s">
        <v>44</v>
      </c>
      <c r="AR405" s="31">
        <v>46051</v>
      </c>
      <c r="AX405">
        <v>1</v>
      </c>
    </row>
    <row r="406" spans="1:50" x14ac:dyDescent="0.25">
      <c r="A406" t="s">
        <v>31</v>
      </c>
      <c r="B406">
        <v>861</v>
      </c>
      <c r="D406">
        <v>3165</v>
      </c>
      <c r="E406" t="s">
        <v>5659</v>
      </c>
      <c r="G406" t="s">
        <v>2903</v>
      </c>
      <c r="J406" t="s">
        <v>2904</v>
      </c>
      <c r="K406" t="s">
        <v>2905</v>
      </c>
      <c r="M406" t="s">
        <v>2906</v>
      </c>
      <c r="S406" t="s">
        <v>2541</v>
      </c>
      <c r="V406" t="s">
        <v>5631</v>
      </c>
      <c r="W406" t="s">
        <v>780</v>
      </c>
      <c r="X406" t="s">
        <v>781</v>
      </c>
      <c r="Z406" s="31">
        <v>46053</v>
      </c>
      <c r="AC406">
        <v>21</v>
      </c>
      <c r="AD406" t="s">
        <v>22</v>
      </c>
      <c r="AE406" s="31">
        <v>46045</v>
      </c>
      <c r="AF406" s="61">
        <v>0.44262731481481482</v>
      </c>
      <c r="AH406" t="s">
        <v>795</v>
      </c>
      <c r="AI406" s="31">
        <v>46066</v>
      </c>
      <c r="AJ406" s="61">
        <v>0.7257986111111111</v>
      </c>
      <c r="AK406" t="s">
        <v>5392</v>
      </c>
      <c r="AO406" t="s">
        <v>31</v>
      </c>
      <c r="AR406" s="31">
        <v>46066</v>
      </c>
      <c r="AX406">
        <v>1</v>
      </c>
    </row>
    <row r="407" spans="1:50" x14ac:dyDescent="0.25">
      <c r="A407" t="s">
        <v>22</v>
      </c>
      <c r="B407">
        <v>862</v>
      </c>
      <c r="D407">
        <v>3166</v>
      </c>
      <c r="E407" t="s">
        <v>2907</v>
      </c>
      <c r="G407" t="s">
        <v>413</v>
      </c>
      <c r="H407">
        <v>82808122000173</v>
      </c>
      <c r="J407" t="s">
        <v>3075</v>
      </c>
      <c r="K407" t="s">
        <v>2909</v>
      </c>
      <c r="M407" t="s">
        <v>2910</v>
      </c>
      <c r="Q407" t="s">
        <v>2911</v>
      </c>
      <c r="R407" t="s">
        <v>932</v>
      </c>
      <c r="V407" t="s">
        <v>1419</v>
      </c>
      <c r="W407" t="s">
        <v>780</v>
      </c>
      <c r="X407" t="s">
        <v>807</v>
      </c>
      <c r="Z407" s="31">
        <v>46081</v>
      </c>
      <c r="AA407">
        <v>987029</v>
      </c>
      <c r="AB407">
        <v>1811884</v>
      </c>
      <c r="AC407">
        <v>34</v>
      </c>
      <c r="AD407" t="s">
        <v>22</v>
      </c>
      <c r="AE407" s="31">
        <v>46045</v>
      </c>
      <c r="AF407" s="61">
        <v>0.47480324074074082</v>
      </c>
      <c r="AH407" t="s">
        <v>818</v>
      </c>
      <c r="AI407" s="31">
        <v>46079</v>
      </c>
      <c r="AJ407" s="61">
        <v>0.91175925925925927</v>
      </c>
      <c r="AN407" t="s">
        <v>384</v>
      </c>
      <c r="AO407" t="s">
        <v>22</v>
      </c>
      <c r="AP407" t="s">
        <v>384</v>
      </c>
      <c r="AR407" s="31">
        <v>46080</v>
      </c>
      <c r="AS407">
        <v>50</v>
      </c>
      <c r="AT407" t="s">
        <v>2912</v>
      </c>
      <c r="AU407" t="s">
        <v>2913</v>
      </c>
      <c r="AV407" t="s">
        <v>2914</v>
      </c>
      <c r="AW407" t="s">
        <v>2915</v>
      </c>
      <c r="AX407">
        <v>1</v>
      </c>
    </row>
    <row r="408" spans="1:50" x14ac:dyDescent="0.25">
      <c r="A408" t="s">
        <v>22</v>
      </c>
      <c r="B408">
        <v>864</v>
      </c>
      <c r="D408">
        <v>3169</v>
      </c>
      <c r="E408" t="s">
        <v>4734</v>
      </c>
      <c r="G408" t="s">
        <v>2917</v>
      </c>
      <c r="J408" t="s">
        <v>704</v>
      </c>
      <c r="K408" t="s">
        <v>2132</v>
      </c>
      <c r="M408" t="s">
        <v>2918</v>
      </c>
      <c r="S408" t="s">
        <v>2919</v>
      </c>
      <c r="V408" t="s">
        <v>1718</v>
      </c>
      <c r="W408" t="s">
        <v>780</v>
      </c>
      <c r="X408" t="s">
        <v>816</v>
      </c>
      <c r="Z408" s="31">
        <v>46053</v>
      </c>
      <c r="AA408">
        <v>10000</v>
      </c>
      <c r="AB408">
        <v>2000</v>
      </c>
      <c r="AC408">
        <v>117</v>
      </c>
      <c r="AD408" t="s">
        <v>22</v>
      </c>
      <c r="AE408" s="31">
        <v>46045</v>
      </c>
      <c r="AF408" s="61">
        <v>0.68347222222222226</v>
      </c>
      <c r="AH408" t="s">
        <v>782</v>
      </c>
      <c r="AI408" s="31"/>
      <c r="AJ408" s="61"/>
      <c r="AN408" t="s">
        <v>2920</v>
      </c>
      <c r="AO408" t="s">
        <v>22</v>
      </c>
      <c r="AP408" t="s">
        <v>2920</v>
      </c>
      <c r="AR408" s="31">
        <v>46101</v>
      </c>
      <c r="AS408">
        <v>30</v>
      </c>
      <c r="AT408" t="s">
        <v>2921</v>
      </c>
      <c r="AU408" t="s">
        <v>2922</v>
      </c>
      <c r="AV408" t="s">
        <v>2923</v>
      </c>
      <c r="AW408" t="s">
        <v>2924</v>
      </c>
      <c r="AX408">
        <v>1</v>
      </c>
    </row>
    <row r="409" spans="1:50" x14ac:dyDescent="0.25">
      <c r="A409" t="s">
        <v>22</v>
      </c>
      <c r="B409">
        <v>865</v>
      </c>
      <c r="D409">
        <v>3170</v>
      </c>
      <c r="E409" t="s">
        <v>4735</v>
      </c>
      <c r="G409" t="s">
        <v>2926</v>
      </c>
      <c r="H409">
        <v>13303103000172</v>
      </c>
      <c r="J409" t="s">
        <v>2927</v>
      </c>
      <c r="K409" t="s">
        <v>2928</v>
      </c>
      <c r="M409" t="s">
        <v>2929</v>
      </c>
      <c r="Q409" t="s">
        <v>2930</v>
      </c>
      <c r="R409" t="s">
        <v>932</v>
      </c>
      <c r="S409" t="s">
        <v>1191</v>
      </c>
      <c r="V409" t="s">
        <v>1419</v>
      </c>
      <c r="W409" t="s">
        <v>780</v>
      </c>
      <c r="X409" t="s">
        <v>807</v>
      </c>
      <c r="Z409" s="31">
        <v>46112</v>
      </c>
      <c r="AA409">
        <v>59184</v>
      </c>
      <c r="AB409">
        <v>488139</v>
      </c>
      <c r="AC409">
        <v>77</v>
      </c>
      <c r="AD409" t="s">
        <v>22</v>
      </c>
      <c r="AE409" s="31">
        <v>46045</v>
      </c>
      <c r="AF409" s="61">
        <v>0.70285879629629633</v>
      </c>
      <c r="AH409" t="s">
        <v>795</v>
      </c>
      <c r="AI409" s="31">
        <v>46122</v>
      </c>
      <c r="AJ409" s="61">
        <v>0.72376157407407404</v>
      </c>
      <c r="AK409" t="s">
        <v>5338</v>
      </c>
      <c r="AN409" t="s">
        <v>2920</v>
      </c>
      <c r="AO409" t="s">
        <v>22</v>
      </c>
      <c r="AP409" t="s">
        <v>2920</v>
      </c>
      <c r="AR409" s="31">
        <v>46101</v>
      </c>
      <c r="AS409">
        <v>50</v>
      </c>
      <c r="AT409" t="s">
        <v>2931</v>
      </c>
      <c r="AU409" t="s">
        <v>2932</v>
      </c>
      <c r="AV409" t="s">
        <v>2933</v>
      </c>
      <c r="AW409" t="s">
        <v>2934</v>
      </c>
      <c r="AX409">
        <v>1</v>
      </c>
    </row>
    <row r="410" spans="1:50" x14ac:dyDescent="0.25">
      <c r="A410" t="s">
        <v>31</v>
      </c>
      <c r="B410">
        <v>866</v>
      </c>
      <c r="D410">
        <v>3177</v>
      </c>
      <c r="E410" t="s">
        <v>2935</v>
      </c>
      <c r="G410" t="s">
        <v>2936</v>
      </c>
      <c r="J410" t="s">
        <v>2937</v>
      </c>
      <c r="K410" t="s">
        <v>2938</v>
      </c>
      <c r="M410" t="s">
        <v>2939</v>
      </c>
      <c r="S410" t="s">
        <v>2541</v>
      </c>
      <c r="V410" t="s">
        <v>5650</v>
      </c>
      <c r="W410" t="s">
        <v>780</v>
      </c>
      <c r="X410" t="s">
        <v>781</v>
      </c>
      <c r="Z410" s="31">
        <v>46053</v>
      </c>
      <c r="AC410">
        <v>3</v>
      </c>
      <c r="AD410" t="s">
        <v>22</v>
      </c>
      <c r="AE410" s="31">
        <v>46048</v>
      </c>
      <c r="AF410" s="61">
        <v>0.55048611111111112</v>
      </c>
      <c r="AH410" t="s">
        <v>795</v>
      </c>
      <c r="AI410" s="31">
        <v>46051</v>
      </c>
      <c r="AJ410" s="61">
        <v>0.66991898148148143</v>
      </c>
      <c r="AK410" t="s">
        <v>934</v>
      </c>
      <c r="AO410" t="s">
        <v>31</v>
      </c>
      <c r="AR410" s="31">
        <v>46049</v>
      </c>
      <c r="AX410">
        <v>1</v>
      </c>
    </row>
    <row r="411" spans="1:50" x14ac:dyDescent="0.25">
      <c r="A411" t="s">
        <v>44</v>
      </c>
      <c r="B411">
        <v>867</v>
      </c>
      <c r="D411">
        <v>3176</v>
      </c>
      <c r="E411" t="s">
        <v>5660</v>
      </c>
      <c r="G411" t="s">
        <v>2941</v>
      </c>
      <c r="H411">
        <v>16743404000105</v>
      </c>
      <c r="J411" t="s">
        <v>2942</v>
      </c>
      <c r="K411" t="s">
        <v>2943</v>
      </c>
      <c r="M411" t="s">
        <v>2944</v>
      </c>
      <c r="Q411" t="s">
        <v>2945</v>
      </c>
      <c r="R411" t="s">
        <v>1105</v>
      </c>
      <c r="S411" t="s">
        <v>2541</v>
      </c>
      <c r="V411" t="s">
        <v>5628</v>
      </c>
      <c r="W411" t="s">
        <v>780</v>
      </c>
      <c r="X411" t="s">
        <v>793</v>
      </c>
      <c r="Z411" s="31">
        <v>46081</v>
      </c>
      <c r="AA411">
        <v>61904</v>
      </c>
      <c r="AB411">
        <v>10192</v>
      </c>
      <c r="AC411">
        <v>24</v>
      </c>
      <c r="AD411" t="s">
        <v>22</v>
      </c>
      <c r="AE411" s="31">
        <v>46048</v>
      </c>
      <c r="AF411" s="61">
        <v>0.55230324074074078</v>
      </c>
      <c r="AH411" t="s">
        <v>795</v>
      </c>
      <c r="AI411" s="31">
        <v>46072</v>
      </c>
      <c r="AJ411" s="61">
        <v>0.69184027777777779</v>
      </c>
      <c r="AK411" t="s">
        <v>934</v>
      </c>
      <c r="AL411" t="s">
        <v>5661</v>
      </c>
      <c r="AN411" t="s">
        <v>2889</v>
      </c>
      <c r="AO411" t="s">
        <v>44</v>
      </c>
      <c r="AP411" t="s">
        <v>2889</v>
      </c>
      <c r="AR411" s="31">
        <v>46072</v>
      </c>
      <c r="AS411">
        <v>30</v>
      </c>
      <c r="AX411">
        <v>1</v>
      </c>
    </row>
    <row r="412" spans="1:50" x14ac:dyDescent="0.25">
      <c r="A412" t="s">
        <v>31</v>
      </c>
      <c r="B412">
        <v>868</v>
      </c>
      <c r="D412">
        <v>3174</v>
      </c>
      <c r="E412" t="s">
        <v>5662</v>
      </c>
      <c r="G412" t="s">
        <v>2947</v>
      </c>
      <c r="J412" t="s">
        <v>2948</v>
      </c>
      <c r="K412" t="s">
        <v>2949</v>
      </c>
      <c r="M412" t="s">
        <v>2950</v>
      </c>
      <c r="S412" t="s">
        <v>2541</v>
      </c>
      <c r="V412" t="s">
        <v>5631</v>
      </c>
      <c r="W412" t="s">
        <v>780</v>
      </c>
      <c r="X412" t="s">
        <v>781</v>
      </c>
      <c r="Z412" s="31">
        <v>46053</v>
      </c>
      <c r="AC412">
        <v>0</v>
      </c>
      <c r="AD412" t="s">
        <v>22</v>
      </c>
      <c r="AE412" s="31">
        <v>46048</v>
      </c>
      <c r="AF412" s="61">
        <v>0.55403935185185182</v>
      </c>
      <c r="AH412" t="s">
        <v>795</v>
      </c>
      <c r="AI412" s="31">
        <v>46048</v>
      </c>
      <c r="AJ412" s="61">
        <v>0.60412037037037036</v>
      </c>
      <c r="AK412" t="s">
        <v>5392</v>
      </c>
      <c r="AO412" t="s">
        <v>31</v>
      </c>
      <c r="AR412" s="31"/>
      <c r="AX412">
        <v>1</v>
      </c>
    </row>
    <row r="413" spans="1:50" x14ac:dyDescent="0.25">
      <c r="A413" t="s">
        <v>44</v>
      </c>
      <c r="B413">
        <v>869</v>
      </c>
      <c r="D413">
        <v>3175</v>
      </c>
      <c r="E413" t="s">
        <v>2951</v>
      </c>
      <c r="G413" t="s">
        <v>2952</v>
      </c>
      <c r="J413" t="s">
        <v>2953</v>
      </c>
      <c r="K413" t="s">
        <v>2954</v>
      </c>
      <c r="M413" t="s">
        <v>2955</v>
      </c>
      <c r="S413" t="s">
        <v>2541</v>
      </c>
      <c r="V413" t="s">
        <v>5650</v>
      </c>
      <c r="W413" t="s">
        <v>780</v>
      </c>
      <c r="X413" t="s">
        <v>781</v>
      </c>
      <c r="Z413" s="31">
        <v>46053</v>
      </c>
      <c r="AC413">
        <v>103</v>
      </c>
      <c r="AD413" t="s">
        <v>22</v>
      </c>
      <c r="AE413" s="31">
        <v>46048</v>
      </c>
      <c r="AF413" s="61">
        <v>0.5553703703703704</v>
      </c>
      <c r="AH413" t="s">
        <v>795</v>
      </c>
      <c r="AI413" s="31">
        <v>46151</v>
      </c>
      <c r="AJ413" s="61">
        <v>0.34141203703703699</v>
      </c>
      <c r="AK413" t="s">
        <v>5657</v>
      </c>
      <c r="AO413" t="s">
        <v>44</v>
      </c>
      <c r="AR413" s="31">
        <v>46049</v>
      </c>
      <c r="AX413">
        <v>1</v>
      </c>
    </row>
    <row r="414" spans="1:50" x14ac:dyDescent="0.25">
      <c r="A414" t="s">
        <v>31</v>
      </c>
      <c r="B414">
        <v>870</v>
      </c>
      <c r="D414">
        <v>3173</v>
      </c>
      <c r="E414" t="s">
        <v>2956</v>
      </c>
      <c r="G414" t="s">
        <v>2957</v>
      </c>
      <c r="J414" t="s">
        <v>2958</v>
      </c>
      <c r="K414" t="s">
        <v>2959</v>
      </c>
      <c r="M414" t="s">
        <v>2960</v>
      </c>
      <c r="S414" t="s">
        <v>2541</v>
      </c>
      <c r="V414" t="s">
        <v>5628</v>
      </c>
      <c r="W414" t="s">
        <v>780</v>
      </c>
      <c r="X414" t="s">
        <v>897</v>
      </c>
      <c r="Z414" s="31">
        <v>46053</v>
      </c>
      <c r="AC414">
        <v>22</v>
      </c>
      <c r="AD414" t="s">
        <v>22</v>
      </c>
      <c r="AE414" s="31">
        <v>46048</v>
      </c>
      <c r="AF414" s="61">
        <v>0.55634259259259256</v>
      </c>
      <c r="AH414" t="s">
        <v>795</v>
      </c>
      <c r="AI414" s="31">
        <v>46070</v>
      </c>
      <c r="AJ414" s="61">
        <v>0.67465277777777777</v>
      </c>
      <c r="AK414" t="s">
        <v>5347</v>
      </c>
      <c r="AO414" t="s">
        <v>31</v>
      </c>
      <c r="AR414" s="31">
        <v>46070</v>
      </c>
      <c r="AS414">
        <v>30</v>
      </c>
      <c r="AX414">
        <v>1</v>
      </c>
    </row>
    <row r="415" spans="1:50" x14ac:dyDescent="0.25">
      <c r="A415" t="s">
        <v>22</v>
      </c>
      <c r="B415">
        <v>871</v>
      </c>
      <c r="D415">
        <v>3172</v>
      </c>
      <c r="E415" t="s">
        <v>4738</v>
      </c>
      <c r="G415" t="s">
        <v>2962</v>
      </c>
      <c r="H415">
        <v>19933187000104</v>
      </c>
      <c r="J415" t="s">
        <v>2963</v>
      </c>
      <c r="K415" t="s">
        <v>2964</v>
      </c>
      <c r="M415" t="s">
        <v>2965</v>
      </c>
      <c r="S415" t="s">
        <v>2541</v>
      </c>
      <c r="V415" t="s">
        <v>5628</v>
      </c>
      <c r="W415" t="s">
        <v>780</v>
      </c>
      <c r="X415" t="s">
        <v>897</v>
      </c>
      <c r="Z415" s="31">
        <v>46053</v>
      </c>
      <c r="AC415">
        <v>45</v>
      </c>
      <c r="AD415" t="s">
        <v>22</v>
      </c>
      <c r="AE415" s="31">
        <v>46048</v>
      </c>
      <c r="AF415" s="61">
        <v>0.55686342592592597</v>
      </c>
      <c r="AH415" t="s">
        <v>795</v>
      </c>
      <c r="AI415" s="31">
        <v>46093</v>
      </c>
      <c r="AJ415" s="61">
        <v>0.7288310185185185</v>
      </c>
      <c r="AK415" t="s">
        <v>5392</v>
      </c>
      <c r="AO415" t="s">
        <v>22</v>
      </c>
      <c r="AR415" s="31">
        <v>46093</v>
      </c>
      <c r="AS415">
        <v>30</v>
      </c>
      <c r="AX415">
        <v>1</v>
      </c>
    </row>
    <row r="416" spans="1:50" x14ac:dyDescent="0.25">
      <c r="A416" t="s">
        <v>22</v>
      </c>
      <c r="B416">
        <v>872</v>
      </c>
      <c r="D416">
        <v>3178</v>
      </c>
      <c r="E416" t="s">
        <v>4739</v>
      </c>
      <c r="G416" t="s">
        <v>422</v>
      </c>
      <c r="J416" t="s">
        <v>2967</v>
      </c>
      <c r="K416" t="s">
        <v>2968</v>
      </c>
      <c r="M416" t="s">
        <v>2969</v>
      </c>
      <c r="Q416" t="s">
        <v>923</v>
      </c>
      <c r="S416" t="s">
        <v>814</v>
      </c>
      <c r="V416" t="s">
        <v>5603</v>
      </c>
      <c r="W416" t="s">
        <v>780</v>
      </c>
      <c r="X416" t="s">
        <v>807</v>
      </c>
      <c r="Z416" s="31">
        <v>46081</v>
      </c>
      <c r="AA416">
        <v>701343</v>
      </c>
      <c r="AB416">
        <v>17345</v>
      </c>
      <c r="AC416">
        <v>32</v>
      </c>
      <c r="AD416" t="s">
        <v>22</v>
      </c>
      <c r="AE416" s="31">
        <v>46048</v>
      </c>
      <c r="AF416" s="61">
        <v>0.71504629629629635</v>
      </c>
      <c r="AH416" t="s">
        <v>795</v>
      </c>
      <c r="AI416" s="31">
        <v>46080</v>
      </c>
      <c r="AJ416" s="61">
        <v>0.88954861111111116</v>
      </c>
      <c r="AK416" t="s">
        <v>5338</v>
      </c>
      <c r="AN416" t="s">
        <v>423</v>
      </c>
      <c r="AO416" t="s">
        <v>22</v>
      </c>
      <c r="AP416" t="s">
        <v>423</v>
      </c>
      <c r="AR416" s="31">
        <v>46079</v>
      </c>
      <c r="AS416">
        <v>50</v>
      </c>
      <c r="AT416" t="s">
        <v>2971</v>
      </c>
      <c r="AU416" t="s">
        <v>2972</v>
      </c>
      <c r="AV416" t="s">
        <v>2973</v>
      </c>
      <c r="AW416" t="s">
        <v>2974</v>
      </c>
      <c r="AX416">
        <v>1</v>
      </c>
    </row>
    <row r="417" spans="1:50" x14ac:dyDescent="0.25">
      <c r="A417" t="s">
        <v>44</v>
      </c>
      <c r="B417">
        <v>873</v>
      </c>
      <c r="D417">
        <v>3179</v>
      </c>
      <c r="E417" t="s">
        <v>2975</v>
      </c>
      <c r="G417" t="s">
        <v>2976</v>
      </c>
      <c r="J417" t="s">
        <v>2977</v>
      </c>
      <c r="K417" t="s">
        <v>2978</v>
      </c>
      <c r="M417" t="s">
        <v>2979</v>
      </c>
      <c r="S417" t="s">
        <v>2541</v>
      </c>
      <c r="V417" t="s">
        <v>5650</v>
      </c>
      <c r="W417" t="s">
        <v>780</v>
      </c>
      <c r="X417" t="s">
        <v>781</v>
      </c>
      <c r="Z417" s="31"/>
      <c r="AC417">
        <v>102</v>
      </c>
      <c r="AD417" t="s">
        <v>22</v>
      </c>
      <c r="AE417" s="31">
        <v>46049</v>
      </c>
      <c r="AF417" s="61">
        <v>0.36055555555555557</v>
      </c>
      <c r="AH417" t="s">
        <v>795</v>
      </c>
      <c r="AI417" s="31">
        <v>46151</v>
      </c>
      <c r="AJ417" s="61">
        <v>0.34244212962962961</v>
      </c>
      <c r="AK417" t="s">
        <v>5657</v>
      </c>
      <c r="AO417" t="s">
        <v>44</v>
      </c>
      <c r="AR417" s="31">
        <v>46051</v>
      </c>
      <c r="AX417">
        <v>1</v>
      </c>
    </row>
    <row r="418" spans="1:50" x14ac:dyDescent="0.25">
      <c r="A418" t="s">
        <v>31</v>
      </c>
      <c r="B418">
        <v>874</v>
      </c>
      <c r="D418">
        <v>3180</v>
      </c>
      <c r="G418" t="s">
        <v>2981</v>
      </c>
      <c r="J418" t="s">
        <v>2982</v>
      </c>
      <c r="K418" t="s">
        <v>2983</v>
      </c>
      <c r="M418" t="s">
        <v>2984</v>
      </c>
      <c r="S418" t="s">
        <v>2541</v>
      </c>
      <c r="V418" t="s">
        <v>5631</v>
      </c>
      <c r="W418" t="s">
        <v>780</v>
      </c>
      <c r="X418" t="s">
        <v>781</v>
      </c>
      <c r="Z418" s="31">
        <v>46053</v>
      </c>
      <c r="AC418">
        <v>2</v>
      </c>
      <c r="AD418" t="s">
        <v>22</v>
      </c>
      <c r="AE418" s="31">
        <v>46049</v>
      </c>
      <c r="AF418" s="61">
        <v>0.36130787037037038</v>
      </c>
      <c r="AH418" t="s">
        <v>795</v>
      </c>
      <c r="AI418" s="31">
        <v>46051</v>
      </c>
      <c r="AJ418" s="61">
        <v>0.66635416666666669</v>
      </c>
      <c r="AK418" t="s">
        <v>5392</v>
      </c>
      <c r="AO418" t="s">
        <v>31</v>
      </c>
      <c r="AR418" s="31"/>
      <c r="AX418">
        <v>1</v>
      </c>
    </row>
    <row r="419" spans="1:50" x14ac:dyDescent="0.25">
      <c r="A419" t="s">
        <v>44</v>
      </c>
      <c r="B419">
        <v>876</v>
      </c>
      <c r="D419">
        <v>3182</v>
      </c>
      <c r="F419" t="s">
        <v>2985</v>
      </c>
      <c r="G419" t="s">
        <v>2986</v>
      </c>
      <c r="H419">
        <v>5937946000100</v>
      </c>
      <c r="J419" t="s">
        <v>2985</v>
      </c>
      <c r="K419" t="s">
        <v>2987</v>
      </c>
      <c r="M419" t="s">
        <v>2988</v>
      </c>
      <c r="Q419" t="s">
        <v>2989</v>
      </c>
      <c r="R419" t="s">
        <v>932</v>
      </c>
      <c r="S419" t="s">
        <v>805</v>
      </c>
      <c r="V419" t="s">
        <v>1581</v>
      </c>
      <c r="W419" t="s">
        <v>780</v>
      </c>
      <c r="X419" t="s">
        <v>816</v>
      </c>
      <c r="Z419" s="31">
        <v>46081</v>
      </c>
      <c r="AA419">
        <v>16960</v>
      </c>
      <c r="AB419">
        <v>32775</v>
      </c>
      <c r="AC419">
        <v>16</v>
      </c>
      <c r="AD419" t="s">
        <v>44</v>
      </c>
      <c r="AE419" s="31">
        <v>46050</v>
      </c>
      <c r="AF419" s="61">
        <v>0.37962962962962971</v>
      </c>
      <c r="AH419" t="s">
        <v>818</v>
      </c>
      <c r="AI419" s="31">
        <v>46066</v>
      </c>
      <c r="AJ419" s="61">
        <v>0.51166666666666671</v>
      </c>
      <c r="AN419" t="s">
        <v>2990</v>
      </c>
      <c r="AO419" t="s">
        <v>44</v>
      </c>
      <c r="AP419" t="s">
        <v>2991</v>
      </c>
      <c r="AR419" s="31"/>
      <c r="AS419">
        <v>80</v>
      </c>
      <c r="AX419">
        <v>1</v>
      </c>
    </row>
    <row r="420" spans="1:50" x14ac:dyDescent="0.25">
      <c r="A420" t="s">
        <v>22</v>
      </c>
      <c r="B420">
        <v>877</v>
      </c>
      <c r="D420">
        <v>3187</v>
      </c>
      <c r="E420" t="s">
        <v>4740</v>
      </c>
      <c r="G420" t="s">
        <v>430</v>
      </c>
      <c r="J420" t="s">
        <v>2993</v>
      </c>
      <c r="K420" t="s">
        <v>2994</v>
      </c>
      <c r="M420" t="s">
        <v>1111</v>
      </c>
      <c r="S420" t="s">
        <v>2919</v>
      </c>
      <c r="V420" t="s">
        <v>1704</v>
      </c>
      <c r="W420" t="s">
        <v>780</v>
      </c>
      <c r="X420" t="s">
        <v>816</v>
      </c>
      <c r="Z420" s="31">
        <v>46112</v>
      </c>
      <c r="AA420">
        <v>12000</v>
      </c>
      <c r="AB420">
        <v>1700</v>
      </c>
      <c r="AC420">
        <v>110</v>
      </c>
      <c r="AD420" t="s">
        <v>22</v>
      </c>
      <c r="AE420" s="31">
        <v>46050</v>
      </c>
      <c r="AF420" s="61">
        <v>0.66311342592592593</v>
      </c>
      <c r="AH420" t="s">
        <v>795</v>
      </c>
      <c r="AI420" s="31">
        <v>46160</v>
      </c>
      <c r="AJ420" s="61">
        <v>0.71424768518518522</v>
      </c>
      <c r="AK420" t="s">
        <v>934</v>
      </c>
      <c r="AN420" t="s">
        <v>384</v>
      </c>
      <c r="AO420" t="s">
        <v>22</v>
      </c>
      <c r="AP420" t="s">
        <v>449</v>
      </c>
      <c r="AR420" s="31">
        <v>46101</v>
      </c>
      <c r="AS420">
        <v>80</v>
      </c>
      <c r="AT420" t="s">
        <v>2995</v>
      </c>
      <c r="AU420" t="s">
        <v>69</v>
      </c>
      <c r="AV420" t="s">
        <v>4741</v>
      </c>
      <c r="AW420" t="s">
        <v>4741</v>
      </c>
      <c r="AX420">
        <v>1</v>
      </c>
    </row>
    <row r="421" spans="1:50" x14ac:dyDescent="0.25">
      <c r="A421" t="s">
        <v>44</v>
      </c>
      <c r="B421">
        <v>879</v>
      </c>
      <c r="D421">
        <v>3192</v>
      </c>
      <c r="E421" t="s">
        <v>5663</v>
      </c>
      <c r="F421" t="s">
        <v>2997</v>
      </c>
      <c r="G421" t="s">
        <v>2998</v>
      </c>
      <c r="H421">
        <v>42371959000183</v>
      </c>
      <c r="J421" t="s">
        <v>2997</v>
      </c>
      <c r="K421" t="s">
        <v>2999</v>
      </c>
      <c r="M421" t="s">
        <v>3000</v>
      </c>
      <c r="Q421" t="s">
        <v>1596</v>
      </c>
      <c r="R421" t="s">
        <v>790</v>
      </c>
      <c r="S421" t="s">
        <v>805</v>
      </c>
      <c r="V421" t="s">
        <v>1718</v>
      </c>
      <c r="W421" t="s">
        <v>780</v>
      </c>
      <c r="X421" t="s">
        <v>793</v>
      </c>
      <c r="Z421" s="31">
        <v>46081</v>
      </c>
      <c r="AA421">
        <v>79958</v>
      </c>
      <c r="AB421">
        <v>45432</v>
      </c>
      <c r="AC421">
        <v>25</v>
      </c>
      <c r="AD421" t="s">
        <v>44</v>
      </c>
      <c r="AE421" s="31">
        <v>46051</v>
      </c>
      <c r="AF421" s="61">
        <v>0.41417824074074072</v>
      </c>
      <c r="AH421" t="s">
        <v>795</v>
      </c>
      <c r="AI421" s="31">
        <v>46076</v>
      </c>
      <c r="AJ421" s="61">
        <v>0.62991898148148151</v>
      </c>
      <c r="AK421" t="s">
        <v>934</v>
      </c>
      <c r="AL421" t="s">
        <v>5664</v>
      </c>
      <c r="AN421" t="s">
        <v>2889</v>
      </c>
      <c r="AO421" t="s">
        <v>44</v>
      </c>
      <c r="AP421" t="s">
        <v>2890</v>
      </c>
      <c r="AR421" s="31"/>
      <c r="AS421">
        <v>30</v>
      </c>
      <c r="AX421">
        <v>1</v>
      </c>
    </row>
    <row r="422" spans="1:50" x14ac:dyDescent="0.25">
      <c r="A422" t="s">
        <v>44</v>
      </c>
      <c r="B422">
        <v>882</v>
      </c>
      <c r="D422">
        <v>3199</v>
      </c>
      <c r="E422" t="s">
        <v>3001</v>
      </c>
      <c r="G422" t="s">
        <v>3002</v>
      </c>
      <c r="J422" t="s">
        <v>3003</v>
      </c>
      <c r="K422" t="s">
        <v>1471</v>
      </c>
      <c r="M422" t="s">
        <v>1111</v>
      </c>
      <c r="V422" t="s">
        <v>1419</v>
      </c>
      <c r="W422" t="s">
        <v>780</v>
      </c>
      <c r="X422" t="s">
        <v>807</v>
      </c>
      <c r="Z422" s="31">
        <v>46081</v>
      </c>
      <c r="AA422">
        <v>90000</v>
      </c>
      <c r="AB422">
        <v>921279</v>
      </c>
      <c r="AC422">
        <v>15</v>
      </c>
      <c r="AD422" t="s">
        <v>44</v>
      </c>
      <c r="AE422" s="31">
        <v>46051</v>
      </c>
      <c r="AF422" s="61">
        <v>0.67391203703703706</v>
      </c>
      <c r="AH422" t="s">
        <v>795</v>
      </c>
      <c r="AI422" s="31">
        <v>46066</v>
      </c>
      <c r="AJ422" s="61">
        <v>0.51680555555555552</v>
      </c>
      <c r="AK422" t="s">
        <v>858</v>
      </c>
      <c r="AL422" t="s">
        <v>3001</v>
      </c>
      <c r="AN422" t="s">
        <v>2576</v>
      </c>
      <c r="AO422" t="s">
        <v>44</v>
      </c>
      <c r="AP422" t="s">
        <v>2576</v>
      </c>
      <c r="AR422" s="31">
        <v>46066</v>
      </c>
      <c r="AS422">
        <v>50</v>
      </c>
      <c r="AX422">
        <v>1</v>
      </c>
    </row>
    <row r="423" spans="1:50" x14ac:dyDescent="0.25">
      <c r="A423" t="s">
        <v>44</v>
      </c>
      <c r="B423">
        <v>883</v>
      </c>
      <c r="D423">
        <v>3200</v>
      </c>
      <c r="E423" t="s">
        <v>3001</v>
      </c>
      <c r="G423" t="s">
        <v>1469</v>
      </c>
      <c r="J423" t="s">
        <v>3004</v>
      </c>
      <c r="K423" t="s">
        <v>1471</v>
      </c>
      <c r="M423" t="s">
        <v>1111</v>
      </c>
      <c r="V423" t="s">
        <v>1419</v>
      </c>
      <c r="W423" t="s">
        <v>780</v>
      </c>
      <c r="X423" t="s">
        <v>807</v>
      </c>
      <c r="Z423" s="31">
        <v>46081</v>
      </c>
      <c r="AA423">
        <v>1600</v>
      </c>
      <c r="AB423">
        <v>599515</v>
      </c>
      <c r="AC423">
        <v>15</v>
      </c>
      <c r="AD423" t="s">
        <v>44</v>
      </c>
      <c r="AE423" s="31">
        <v>46051</v>
      </c>
      <c r="AF423" s="61">
        <v>0.6811342592592593</v>
      </c>
      <c r="AH423" t="s">
        <v>795</v>
      </c>
      <c r="AI423" s="31">
        <v>46066</v>
      </c>
      <c r="AJ423" s="61">
        <v>0.51790509259259254</v>
      </c>
      <c r="AK423" t="s">
        <v>858</v>
      </c>
      <c r="AL423" t="s">
        <v>3001</v>
      </c>
      <c r="AN423" t="s">
        <v>2576</v>
      </c>
      <c r="AO423" t="s">
        <v>44</v>
      </c>
      <c r="AP423" t="s">
        <v>2576</v>
      </c>
      <c r="AR423" s="31">
        <v>46066</v>
      </c>
      <c r="AS423">
        <v>50</v>
      </c>
      <c r="AX423">
        <v>1</v>
      </c>
    </row>
    <row r="424" spans="1:50" x14ac:dyDescent="0.25">
      <c r="A424" t="s">
        <v>44</v>
      </c>
      <c r="B424">
        <v>884</v>
      </c>
      <c r="D424">
        <v>3202</v>
      </c>
      <c r="E424" t="s">
        <v>4743</v>
      </c>
      <c r="G424" t="s">
        <v>3005</v>
      </c>
      <c r="J424" t="s">
        <v>3004</v>
      </c>
      <c r="K424" t="s">
        <v>1471</v>
      </c>
      <c r="M424" t="s">
        <v>1111</v>
      </c>
      <c r="V424" t="s">
        <v>1419</v>
      </c>
      <c r="W424" t="s">
        <v>780</v>
      </c>
      <c r="X424" t="s">
        <v>816</v>
      </c>
      <c r="Z424" s="31">
        <v>46112</v>
      </c>
      <c r="AA424">
        <v>149248</v>
      </c>
      <c r="AB424">
        <v>29499</v>
      </c>
      <c r="AC424">
        <v>62</v>
      </c>
      <c r="AD424" t="s">
        <v>44</v>
      </c>
      <c r="AE424" s="31">
        <v>46051</v>
      </c>
      <c r="AF424" s="61">
        <v>0.69284722222222217</v>
      </c>
      <c r="AH424" t="s">
        <v>818</v>
      </c>
      <c r="AI424" s="31">
        <v>46113</v>
      </c>
      <c r="AJ424" s="61">
        <v>0.64675925925925926</v>
      </c>
      <c r="AN424" t="s">
        <v>2889</v>
      </c>
      <c r="AO424" t="s">
        <v>44</v>
      </c>
      <c r="AP424" t="s">
        <v>2576</v>
      </c>
      <c r="AQ424" t="s">
        <v>403</v>
      </c>
      <c r="AR424" s="31">
        <v>46062</v>
      </c>
      <c r="AS424">
        <v>50</v>
      </c>
      <c r="AX424">
        <v>1</v>
      </c>
    </row>
    <row r="425" spans="1:50" x14ac:dyDescent="0.25">
      <c r="A425" t="s">
        <v>44</v>
      </c>
      <c r="B425">
        <v>885</v>
      </c>
      <c r="D425">
        <v>3205</v>
      </c>
      <c r="E425" t="s">
        <v>5665</v>
      </c>
      <c r="G425" t="s">
        <v>3007</v>
      </c>
      <c r="H425">
        <v>4312818000109</v>
      </c>
      <c r="J425" t="s">
        <v>5666</v>
      </c>
      <c r="Q425" t="s">
        <v>1094</v>
      </c>
      <c r="R425" t="s">
        <v>790</v>
      </c>
      <c r="V425" t="s">
        <v>1718</v>
      </c>
      <c r="W425" t="s">
        <v>780</v>
      </c>
      <c r="X425" t="s">
        <v>807</v>
      </c>
      <c r="Z425" s="31">
        <v>46081</v>
      </c>
      <c r="AA425">
        <v>1600</v>
      </c>
      <c r="AB425">
        <v>384454</v>
      </c>
      <c r="AC425">
        <v>20</v>
      </c>
      <c r="AD425" t="s">
        <v>44</v>
      </c>
      <c r="AE425" s="31">
        <v>46052</v>
      </c>
      <c r="AF425" s="61">
        <v>0.61850694444444443</v>
      </c>
      <c r="AH425" t="s">
        <v>795</v>
      </c>
      <c r="AI425" s="31">
        <v>46072</v>
      </c>
      <c r="AJ425" s="61">
        <v>0.68957175925925929</v>
      </c>
      <c r="AK425" t="s">
        <v>858</v>
      </c>
      <c r="AL425" t="s">
        <v>5667</v>
      </c>
      <c r="AN425" t="s">
        <v>2829</v>
      </c>
      <c r="AO425" t="s">
        <v>44</v>
      </c>
      <c r="AR425" s="31">
        <v>46072</v>
      </c>
      <c r="AS425">
        <v>30</v>
      </c>
      <c r="AX425">
        <v>1</v>
      </c>
    </row>
    <row r="426" spans="1:50" x14ac:dyDescent="0.25">
      <c r="A426" t="s">
        <v>44</v>
      </c>
      <c r="B426">
        <v>886</v>
      </c>
      <c r="D426">
        <v>3207</v>
      </c>
      <c r="E426" t="s">
        <v>4729</v>
      </c>
      <c r="G426" t="s">
        <v>3009</v>
      </c>
      <c r="J426" t="s">
        <v>3010</v>
      </c>
      <c r="K426" t="s">
        <v>3011</v>
      </c>
      <c r="M426" t="s">
        <v>2827</v>
      </c>
      <c r="V426" t="s">
        <v>5650</v>
      </c>
      <c r="W426" t="s">
        <v>780</v>
      </c>
      <c r="X426" t="s">
        <v>793</v>
      </c>
      <c r="Z426" s="31"/>
      <c r="AA426">
        <v>1600</v>
      </c>
      <c r="AB426">
        <v>252471</v>
      </c>
      <c r="AC426">
        <v>38</v>
      </c>
      <c r="AD426" t="s">
        <v>44</v>
      </c>
      <c r="AE426" s="31">
        <v>46052</v>
      </c>
      <c r="AF426" s="61">
        <v>0.64193287037037039</v>
      </c>
      <c r="AH426" t="s">
        <v>795</v>
      </c>
      <c r="AI426" s="31">
        <v>46090</v>
      </c>
      <c r="AJ426" s="61">
        <v>0.46104166666666668</v>
      </c>
      <c r="AK426" t="s">
        <v>5338</v>
      </c>
      <c r="AL426" t="s">
        <v>4729</v>
      </c>
      <c r="AN426" t="s">
        <v>2829</v>
      </c>
      <c r="AR426" s="31">
        <v>46062</v>
      </c>
      <c r="AX426">
        <v>1</v>
      </c>
    </row>
    <row r="427" spans="1:50" x14ac:dyDescent="0.25">
      <c r="A427" t="s">
        <v>44</v>
      </c>
      <c r="B427">
        <v>887</v>
      </c>
      <c r="D427">
        <v>3208</v>
      </c>
      <c r="G427" t="s">
        <v>5668</v>
      </c>
      <c r="J427" t="s">
        <v>5669</v>
      </c>
      <c r="K427" t="s">
        <v>3014</v>
      </c>
      <c r="M427" t="s">
        <v>2839</v>
      </c>
      <c r="V427" t="s">
        <v>3015</v>
      </c>
      <c r="W427" t="s">
        <v>780</v>
      </c>
      <c r="X427" t="s">
        <v>857</v>
      </c>
      <c r="Z427" s="31"/>
      <c r="AA427">
        <v>1600</v>
      </c>
      <c r="AB427">
        <v>254271</v>
      </c>
      <c r="AC427">
        <v>6</v>
      </c>
      <c r="AD427" t="s">
        <v>44</v>
      </c>
      <c r="AE427" s="31">
        <v>46052</v>
      </c>
      <c r="AF427" s="61">
        <v>0.66526620370370371</v>
      </c>
      <c r="AH427" t="s">
        <v>795</v>
      </c>
      <c r="AI427" s="31">
        <v>46058</v>
      </c>
      <c r="AJ427" s="61">
        <v>0.59289351851851857</v>
      </c>
      <c r="AK427" t="s">
        <v>5347</v>
      </c>
      <c r="AL427" t="s">
        <v>2843</v>
      </c>
      <c r="AN427" t="s">
        <v>2829</v>
      </c>
      <c r="AP427" t="s">
        <v>2590</v>
      </c>
      <c r="AR427" s="31">
        <v>46048</v>
      </c>
      <c r="AX427">
        <v>1</v>
      </c>
    </row>
    <row r="428" spans="1:50" x14ac:dyDescent="0.25">
      <c r="A428" t="s">
        <v>44</v>
      </c>
      <c r="B428">
        <v>888</v>
      </c>
      <c r="D428">
        <v>3209</v>
      </c>
      <c r="G428" t="s">
        <v>5670</v>
      </c>
      <c r="J428" t="s">
        <v>5671</v>
      </c>
      <c r="K428" t="s">
        <v>3018</v>
      </c>
      <c r="M428" t="s">
        <v>2636</v>
      </c>
      <c r="V428" t="s">
        <v>5650</v>
      </c>
      <c r="W428" t="s">
        <v>780</v>
      </c>
      <c r="X428" t="s">
        <v>857</v>
      </c>
      <c r="Z428" s="31"/>
      <c r="AA428">
        <v>1600</v>
      </c>
      <c r="AB428">
        <v>252471</v>
      </c>
      <c r="AC428">
        <v>6</v>
      </c>
      <c r="AD428" t="s">
        <v>44</v>
      </c>
      <c r="AE428" s="31">
        <v>46052</v>
      </c>
      <c r="AF428" s="61">
        <v>0.67311342592592593</v>
      </c>
      <c r="AH428" t="s">
        <v>795</v>
      </c>
      <c r="AI428" s="31">
        <v>46058</v>
      </c>
      <c r="AJ428" s="61">
        <v>0.51517361111111115</v>
      </c>
      <c r="AK428" t="s">
        <v>934</v>
      </c>
      <c r="AL428" t="s">
        <v>5672</v>
      </c>
      <c r="AN428" t="s">
        <v>2591</v>
      </c>
      <c r="AP428" t="s">
        <v>2591</v>
      </c>
      <c r="AR428" s="31">
        <v>46051</v>
      </c>
      <c r="AX428">
        <v>1</v>
      </c>
    </row>
    <row r="429" spans="1:50" x14ac:dyDescent="0.25">
      <c r="A429" t="s">
        <v>44</v>
      </c>
      <c r="B429">
        <v>889</v>
      </c>
      <c r="D429">
        <v>3210</v>
      </c>
      <c r="E429" t="s">
        <v>5661</v>
      </c>
      <c r="G429" t="s">
        <v>3020</v>
      </c>
      <c r="J429" t="s">
        <v>3021</v>
      </c>
      <c r="K429" t="s">
        <v>2943</v>
      </c>
      <c r="M429" t="s">
        <v>2944</v>
      </c>
      <c r="V429" t="s">
        <v>5628</v>
      </c>
      <c r="W429" t="s">
        <v>780</v>
      </c>
      <c r="X429" t="s">
        <v>793</v>
      </c>
      <c r="Z429" s="31"/>
      <c r="AA429">
        <v>1600</v>
      </c>
      <c r="AB429">
        <v>252471</v>
      </c>
      <c r="AC429">
        <v>20</v>
      </c>
      <c r="AD429" t="s">
        <v>44</v>
      </c>
      <c r="AE429" s="31">
        <v>46052</v>
      </c>
      <c r="AF429" s="61">
        <v>0.69487268518518519</v>
      </c>
      <c r="AH429" t="s">
        <v>795</v>
      </c>
      <c r="AI429" s="31">
        <v>46072</v>
      </c>
      <c r="AJ429" s="61">
        <v>0.69290509259259259</v>
      </c>
      <c r="AK429" t="s">
        <v>934</v>
      </c>
      <c r="AL429" t="s">
        <v>5661</v>
      </c>
      <c r="AN429" t="s">
        <v>2889</v>
      </c>
      <c r="AO429" t="s">
        <v>44</v>
      </c>
      <c r="AP429" t="s">
        <v>2889</v>
      </c>
      <c r="AR429" s="31">
        <v>46072</v>
      </c>
      <c r="AS429">
        <v>30</v>
      </c>
      <c r="AX429">
        <v>1</v>
      </c>
    </row>
    <row r="430" spans="1:50" x14ac:dyDescent="0.25">
      <c r="A430" t="s">
        <v>44</v>
      </c>
      <c r="B430">
        <v>890</v>
      </c>
      <c r="D430">
        <v>3190</v>
      </c>
      <c r="E430" t="s">
        <v>3022</v>
      </c>
      <c r="G430" t="s">
        <v>3023</v>
      </c>
      <c r="H430">
        <v>747901000222</v>
      </c>
      <c r="J430" t="s">
        <v>3024</v>
      </c>
      <c r="K430" t="s">
        <v>3025</v>
      </c>
      <c r="M430" t="s">
        <v>3026</v>
      </c>
      <c r="S430" t="s">
        <v>2541</v>
      </c>
      <c r="V430" t="s">
        <v>5628</v>
      </c>
      <c r="W430" t="s">
        <v>780</v>
      </c>
      <c r="X430" t="s">
        <v>857</v>
      </c>
      <c r="Z430" s="31">
        <v>46081</v>
      </c>
      <c r="AC430">
        <v>99</v>
      </c>
      <c r="AD430" t="s">
        <v>22</v>
      </c>
      <c r="AE430" s="31">
        <v>46052</v>
      </c>
      <c r="AF430" s="61">
        <v>0.70134259259259257</v>
      </c>
      <c r="AH430" t="s">
        <v>795</v>
      </c>
      <c r="AI430" s="31">
        <v>46151</v>
      </c>
      <c r="AJ430" s="61">
        <v>0.3573263888888889</v>
      </c>
      <c r="AK430" t="s">
        <v>5657</v>
      </c>
      <c r="AO430" t="s">
        <v>44</v>
      </c>
      <c r="AR430" s="31">
        <v>46090</v>
      </c>
      <c r="AS430">
        <v>30</v>
      </c>
      <c r="AX430">
        <v>1</v>
      </c>
    </row>
    <row r="431" spans="1:50" x14ac:dyDescent="0.25">
      <c r="A431" t="s">
        <v>31</v>
      </c>
      <c r="B431">
        <v>891</v>
      </c>
      <c r="D431">
        <v>3191</v>
      </c>
      <c r="E431" t="s">
        <v>3027</v>
      </c>
      <c r="G431" t="s">
        <v>3028</v>
      </c>
      <c r="J431" t="s">
        <v>3029</v>
      </c>
      <c r="K431" t="s">
        <v>3030</v>
      </c>
      <c r="M431" t="s">
        <v>3031</v>
      </c>
      <c r="S431" t="s">
        <v>2541</v>
      </c>
      <c r="V431" t="s">
        <v>5628</v>
      </c>
      <c r="W431" t="s">
        <v>780</v>
      </c>
      <c r="X431" t="s">
        <v>793</v>
      </c>
      <c r="Z431" s="31">
        <v>46081</v>
      </c>
      <c r="AC431">
        <v>26</v>
      </c>
      <c r="AD431" t="s">
        <v>22</v>
      </c>
      <c r="AE431" s="31">
        <v>46052</v>
      </c>
      <c r="AF431" s="61">
        <v>0.70265046296296296</v>
      </c>
      <c r="AH431" t="s">
        <v>795</v>
      </c>
      <c r="AI431" s="31">
        <v>46078</v>
      </c>
      <c r="AJ431" s="61">
        <v>0.43755787037037042</v>
      </c>
      <c r="AK431" t="s">
        <v>808</v>
      </c>
      <c r="AO431" t="s">
        <v>31</v>
      </c>
      <c r="AR431" s="31">
        <v>46071</v>
      </c>
      <c r="AS431">
        <v>30</v>
      </c>
      <c r="AX431">
        <v>1</v>
      </c>
    </row>
    <row r="432" spans="1:50" x14ac:dyDescent="0.25">
      <c r="A432" t="s">
        <v>44</v>
      </c>
      <c r="B432">
        <v>892</v>
      </c>
      <c r="D432">
        <v>3196</v>
      </c>
      <c r="E432" t="s">
        <v>5673</v>
      </c>
      <c r="G432" t="s">
        <v>397</v>
      </c>
      <c r="H432">
        <v>54888350000165</v>
      </c>
      <c r="J432" t="s">
        <v>3033</v>
      </c>
      <c r="K432" t="s">
        <v>3034</v>
      </c>
      <c r="M432" t="s">
        <v>3035</v>
      </c>
      <c r="S432" t="s">
        <v>2541</v>
      </c>
      <c r="V432" t="s">
        <v>5628</v>
      </c>
      <c r="W432" t="s">
        <v>780</v>
      </c>
      <c r="X432" t="s">
        <v>807</v>
      </c>
      <c r="Z432" s="31">
        <v>46112</v>
      </c>
      <c r="AA432">
        <v>1148572</v>
      </c>
      <c r="AB432">
        <v>71924</v>
      </c>
      <c r="AC432">
        <v>99</v>
      </c>
      <c r="AD432" t="s">
        <v>22</v>
      </c>
      <c r="AE432" s="31">
        <v>46052</v>
      </c>
      <c r="AF432" s="61">
        <v>0.70391203703703709</v>
      </c>
      <c r="AH432" t="s">
        <v>795</v>
      </c>
      <c r="AI432" s="31">
        <v>46151</v>
      </c>
      <c r="AJ432" s="61">
        <v>0.35458333333333331</v>
      </c>
      <c r="AK432" t="s">
        <v>934</v>
      </c>
      <c r="AN432" t="s">
        <v>4748</v>
      </c>
      <c r="AO432" t="s">
        <v>44</v>
      </c>
      <c r="AP432" t="s">
        <v>4748</v>
      </c>
      <c r="AR432" s="31">
        <v>46097</v>
      </c>
      <c r="AS432">
        <v>30</v>
      </c>
      <c r="AX432">
        <v>1</v>
      </c>
    </row>
    <row r="433" spans="1:50" x14ac:dyDescent="0.25">
      <c r="A433" t="s">
        <v>22</v>
      </c>
      <c r="B433">
        <v>893</v>
      </c>
      <c r="D433">
        <v>3203</v>
      </c>
      <c r="E433" t="s">
        <v>4749</v>
      </c>
      <c r="G433" t="s">
        <v>3037</v>
      </c>
      <c r="H433">
        <v>10258712000169</v>
      </c>
      <c r="J433" t="s">
        <v>3038</v>
      </c>
      <c r="K433" t="s">
        <v>3039</v>
      </c>
      <c r="M433" t="s">
        <v>3040</v>
      </c>
      <c r="Q433" t="s">
        <v>923</v>
      </c>
      <c r="S433" t="s">
        <v>814</v>
      </c>
      <c r="V433" t="s">
        <v>5674</v>
      </c>
      <c r="W433" t="s">
        <v>780</v>
      </c>
      <c r="X433" t="s">
        <v>816</v>
      </c>
      <c r="Z433" s="31">
        <v>46112</v>
      </c>
      <c r="AA433">
        <v>1301786</v>
      </c>
      <c r="AB433">
        <v>2713706</v>
      </c>
      <c r="AC433">
        <v>70</v>
      </c>
      <c r="AD433" t="s">
        <v>22</v>
      </c>
      <c r="AE433" s="31">
        <v>46052</v>
      </c>
      <c r="AF433" s="61">
        <v>0.7107175925925926</v>
      </c>
      <c r="AH433" t="s">
        <v>795</v>
      </c>
      <c r="AI433" s="31">
        <v>46122</v>
      </c>
      <c r="AJ433" s="61">
        <v>0.66462962962962968</v>
      </c>
      <c r="AK433" t="s">
        <v>858</v>
      </c>
      <c r="AN433" t="s">
        <v>395</v>
      </c>
      <c r="AO433" t="s">
        <v>22</v>
      </c>
      <c r="AP433" t="s">
        <v>395</v>
      </c>
      <c r="AR433" s="31">
        <v>46101</v>
      </c>
      <c r="AS433">
        <v>30</v>
      </c>
      <c r="AU433" t="s">
        <v>4751</v>
      </c>
      <c r="AX433">
        <v>1</v>
      </c>
    </row>
    <row r="434" spans="1:50" x14ac:dyDescent="0.25">
      <c r="A434" t="s">
        <v>22</v>
      </c>
      <c r="B434">
        <v>894</v>
      </c>
      <c r="D434">
        <v>3204</v>
      </c>
      <c r="E434" t="s">
        <v>4752</v>
      </c>
      <c r="G434" t="s">
        <v>3042</v>
      </c>
      <c r="J434" t="s">
        <v>3043</v>
      </c>
      <c r="K434" t="s">
        <v>3044</v>
      </c>
      <c r="M434" t="s">
        <v>3045</v>
      </c>
      <c r="S434" t="s">
        <v>2541</v>
      </c>
      <c r="V434" t="s">
        <v>5628</v>
      </c>
      <c r="W434" t="s">
        <v>780</v>
      </c>
      <c r="X434" t="s">
        <v>781</v>
      </c>
      <c r="Z434" s="31">
        <v>46081</v>
      </c>
      <c r="AC434">
        <v>27</v>
      </c>
      <c r="AD434" t="s">
        <v>22</v>
      </c>
      <c r="AE434" s="31">
        <v>46052</v>
      </c>
      <c r="AF434" s="61">
        <v>0.71299768518518514</v>
      </c>
      <c r="AH434" t="s">
        <v>795</v>
      </c>
      <c r="AI434" s="31">
        <v>46079</v>
      </c>
      <c r="AJ434" s="61">
        <v>0.77196759259259262</v>
      </c>
      <c r="AK434" t="s">
        <v>5353</v>
      </c>
      <c r="AL434" t="s">
        <v>4752</v>
      </c>
      <c r="AO434" t="s">
        <v>22</v>
      </c>
      <c r="AR434" s="31">
        <v>46079</v>
      </c>
      <c r="AS434">
        <v>30</v>
      </c>
      <c r="AU434" t="s">
        <v>47</v>
      </c>
      <c r="AX434">
        <v>1</v>
      </c>
    </row>
    <row r="435" spans="1:50" x14ac:dyDescent="0.25">
      <c r="A435" t="s">
        <v>31</v>
      </c>
      <c r="B435">
        <v>895</v>
      </c>
      <c r="D435">
        <v>3201</v>
      </c>
      <c r="E435" t="s">
        <v>5675</v>
      </c>
      <c r="F435" t="s">
        <v>3046</v>
      </c>
      <c r="G435" t="s">
        <v>3047</v>
      </c>
      <c r="H435">
        <v>28229707000193</v>
      </c>
      <c r="J435" t="s">
        <v>3046</v>
      </c>
      <c r="K435" t="s">
        <v>3048</v>
      </c>
      <c r="M435" t="s">
        <v>3049</v>
      </c>
      <c r="Q435" t="s">
        <v>1837</v>
      </c>
      <c r="R435" t="s">
        <v>790</v>
      </c>
      <c r="S435" t="s">
        <v>805</v>
      </c>
      <c r="V435" t="s">
        <v>2859</v>
      </c>
      <c r="W435" t="s">
        <v>780</v>
      </c>
      <c r="X435" t="s">
        <v>857</v>
      </c>
      <c r="Z435" s="31">
        <v>46142</v>
      </c>
      <c r="AC435">
        <v>64</v>
      </c>
      <c r="AD435" t="s">
        <v>31</v>
      </c>
      <c r="AE435" s="31">
        <v>46055</v>
      </c>
      <c r="AF435" s="61">
        <v>0.40783564814814821</v>
      </c>
      <c r="AH435" t="s">
        <v>795</v>
      </c>
      <c r="AI435" s="31">
        <v>46119</v>
      </c>
      <c r="AJ435" s="61">
        <v>0.45613425925925932</v>
      </c>
      <c r="AK435" t="s">
        <v>858</v>
      </c>
      <c r="AO435" t="s">
        <v>31</v>
      </c>
      <c r="AP435" t="s">
        <v>403</v>
      </c>
      <c r="AR435" s="31">
        <v>46070</v>
      </c>
      <c r="AS435">
        <v>30</v>
      </c>
      <c r="AU435" t="s">
        <v>3050</v>
      </c>
      <c r="AX435">
        <v>1</v>
      </c>
    </row>
    <row r="436" spans="1:50" x14ac:dyDescent="0.25">
      <c r="A436" t="s">
        <v>31</v>
      </c>
      <c r="B436">
        <v>901</v>
      </c>
      <c r="D436">
        <v>3218</v>
      </c>
      <c r="E436" t="s">
        <v>3051</v>
      </c>
      <c r="G436" t="s">
        <v>3052</v>
      </c>
      <c r="J436" t="s">
        <v>3053</v>
      </c>
      <c r="K436" t="s">
        <v>3054</v>
      </c>
      <c r="M436" t="s">
        <v>3055</v>
      </c>
      <c r="S436" t="s">
        <v>2541</v>
      </c>
      <c r="V436" t="s">
        <v>5637</v>
      </c>
      <c r="W436" t="s">
        <v>780</v>
      </c>
      <c r="X436" t="s">
        <v>897</v>
      </c>
      <c r="Z436" s="31">
        <v>46081</v>
      </c>
      <c r="AC436">
        <v>2</v>
      </c>
      <c r="AD436" t="s">
        <v>22</v>
      </c>
      <c r="AE436" s="31">
        <v>46058</v>
      </c>
      <c r="AF436" s="61">
        <v>0.35667824074074073</v>
      </c>
      <c r="AH436" t="s">
        <v>795</v>
      </c>
      <c r="AI436" s="31">
        <v>46060</v>
      </c>
      <c r="AJ436" s="61">
        <v>0.89652777777777781</v>
      </c>
      <c r="AK436" t="s">
        <v>5392</v>
      </c>
      <c r="AO436" t="s">
        <v>31</v>
      </c>
      <c r="AR436" s="31"/>
      <c r="AS436">
        <v>30</v>
      </c>
      <c r="AX436">
        <v>1</v>
      </c>
    </row>
    <row r="437" spans="1:50" x14ac:dyDescent="0.25">
      <c r="A437" t="s">
        <v>44</v>
      </c>
      <c r="B437">
        <v>902</v>
      </c>
      <c r="D437">
        <v>3211</v>
      </c>
      <c r="G437" t="s">
        <v>3056</v>
      </c>
      <c r="H437">
        <v>7324070000144</v>
      </c>
      <c r="J437" t="s">
        <v>3057</v>
      </c>
      <c r="K437" t="s">
        <v>3058</v>
      </c>
      <c r="M437" t="s">
        <v>3059</v>
      </c>
      <c r="Q437" t="s">
        <v>2812</v>
      </c>
      <c r="R437" t="s">
        <v>1067</v>
      </c>
      <c r="S437" t="s">
        <v>2541</v>
      </c>
      <c r="V437" t="s">
        <v>5628</v>
      </c>
      <c r="W437" t="s">
        <v>780</v>
      </c>
      <c r="X437" t="s">
        <v>897</v>
      </c>
      <c r="Z437" s="31">
        <v>46081</v>
      </c>
      <c r="AC437">
        <v>93</v>
      </c>
      <c r="AD437" t="s">
        <v>22</v>
      </c>
      <c r="AE437" s="31">
        <v>46058</v>
      </c>
      <c r="AF437" s="61">
        <v>0.35793981481481479</v>
      </c>
      <c r="AH437" t="s">
        <v>795</v>
      </c>
      <c r="AI437" s="31">
        <v>46151</v>
      </c>
      <c r="AJ437" s="61">
        <v>0.32331018518518517</v>
      </c>
      <c r="AK437" t="s">
        <v>5657</v>
      </c>
      <c r="AO437" t="s">
        <v>44</v>
      </c>
      <c r="AR437" s="31">
        <v>46072</v>
      </c>
      <c r="AS437">
        <v>30</v>
      </c>
      <c r="AX437">
        <v>1</v>
      </c>
    </row>
    <row r="438" spans="1:50" x14ac:dyDescent="0.25">
      <c r="A438" t="s">
        <v>22</v>
      </c>
      <c r="B438">
        <v>903</v>
      </c>
      <c r="D438">
        <v>3217</v>
      </c>
      <c r="E438" t="s">
        <v>3060</v>
      </c>
      <c r="G438" t="s">
        <v>3061</v>
      </c>
      <c r="J438" t="s">
        <v>3062</v>
      </c>
      <c r="K438" t="s">
        <v>3063</v>
      </c>
      <c r="M438" t="s">
        <v>3064</v>
      </c>
      <c r="S438" t="s">
        <v>2541</v>
      </c>
      <c r="V438" t="s">
        <v>5628</v>
      </c>
      <c r="W438" t="s">
        <v>780</v>
      </c>
      <c r="X438" t="s">
        <v>897</v>
      </c>
      <c r="Z438" s="31">
        <v>46081</v>
      </c>
      <c r="AC438">
        <v>93</v>
      </c>
      <c r="AD438" t="s">
        <v>22</v>
      </c>
      <c r="AE438" s="31">
        <v>46058</v>
      </c>
      <c r="AF438" s="61">
        <v>0.36140046296296302</v>
      </c>
      <c r="AH438" t="s">
        <v>795</v>
      </c>
      <c r="AI438" s="31">
        <v>46151</v>
      </c>
      <c r="AJ438" s="61">
        <v>0.32425925925925919</v>
      </c>
      <c r="AK438" t="s">
        <v>5657</v>
      </c>
      <c r="AO438" t="s">
        <v>22</v>
      </c>
      <c r="AR438" s="31"/>
      <c r="AS438">
        <v>30</v>
      </c>
      <c r="AX438">
        <v>1</v>
      </c>
    </row>
    <row r="439" spans="1:50" x14ac:dyDescent="0.25">
      <c r="A439" t="s">
        <v>22</v>
      </c>
      <c r="B439">
        <v>906</v>
      </c>
      <c r="D439">
        <v>3226</v>
      </c>
      <c r="E439" t="s">
        <v>5676</v>
      </c>
      <c r="G439" t="s">
        <v>3065</v>
      </c>
      <c r="J439" t="s">
        <v>3066</v>
      </c>
      <c r="K439" t="s">
        <v>3067</v>
      </c>
      <c r="M439" t="s">
        <v>3068</v>
      </c>
      <c r="S439" t="s">
        <v>2541</v>
      </c>
      <c r="V439" t="s">
        <v>5628</v>
      </c>
      <c r="W439" t="s">
        <v>780</v>
      </c>
      <c r="X439" t="s">
        <v>857</v>
      </c>
      <c r="Z439" s="31">
        <v>46081</v>
      </c>
      <c r="AC439">
        <v>24</v>
      </c>
      <c r="AD439" t="s">
        <v>22</v>
      </c>
      <c r="AE439" s="31">
        <v>46060</v>
      </c>
      <c r="AF439" s="61">
        <v>0.29451388888888891</v>
      </c>
      <c r="AH439" t="s">
        <v>795</v>
      </c>
      <c r="AI439" s="31">
        <v>46084</v>
      </c>
      <c r="AJ439" s="61">
        <v>0.89817129629629633</v>
      </c>
      <c r="AK439" t="s">
        <v>5392</v>
      </c>
      <c r="AO439" t="s">
        <v>22</v>
      </c>
      <c r="AR439" s="31"/>
      <c r="AS439">
        <v>30</v>
      </c>
      <c r="AU439" t="s">
        <v>321</v>
      </c>
      <c r="AX439">
        <v>1</v>
      </c>
    </row>
    <row r="440" spans="1:50" x14ac:dyDescent="0.25">
      <c r="A440" t="s">
        <v>22</v>
      </c>
      <c r="B440">
        <v>907</v>
      </c>
      <c r="D440">
        <v>3222</v>
      </c>
      <c r="E440" t="s">
        <v>3069</v>
      </c>
      <c r="G440" t="s">
        <v>3070</v>
      </c>
      <c r="J440" t="s">
        <v>3071</v>
      </c>
      <c r="K440" t="s">
        <v>3072</v>
      </c>
      <c r="M440" t="s">
        <v>3073</v>
      </c>
      <c r="Q440" t="s">
        <v>923</v>
      </c>
      <c r="S440" t="s">
        <v>814</v>
      </c>
      <c r="V440" t="s">
        <v>5598</v>
      </c>
      <c r="W440" t="s">
        <v>780</v>
      </c>
      <c r="X440" t="s">
        <v>857</v>
      </c>
      <c r="Z440" s="31">
        <v>46081</v>
      </c>
      <c r="AC440">
        <v>12</v>
      </c>
      <c r="AD440" t="s">
        <v>22</v>
      </c>
      <c r="AE440" s="31">
        <v>46060</v>
      </c>
      <c r="AF440" s="61">
        <v>0.30134259259259261</v>
      </c>
      <c r="AH440" t="s">
        <v>795</v>
      </c>
      <c r="AI440" s="31">
        <v>46072</v>
      </c>
      <c r="AJ440" s="61">
        <v>0.72991898148148149</v>
      </c>
      <c r="AK440" t="s">
        <v>5338</v>
      </c>
      <c r="AL440" t="s">
        <v>4756</v>
      </c>
      <c r="AO440" t="s">
        <v>22</v>
      </c>
      <c r="AP440" t="s">
        <v>405</v>
      </c>
      <c r="AR440" s="31"/>
      <c r="AS440">
        <v>30</v>
      </c>
      <c r="AX440">
        <v>1</v>
      </c>
    </row>
    <row r="441" spans="1:50" x14ac:dyDescent="0.25">
      <c r="A441" t="s">
        <v>22</v>
      </c>
      <c r="B441">
        <v>908</v>
      </c>
      <c r="D441">
        <v>3228</v>
      </c>
      <c r="E441" t="s">
        <v>3074</v>
      </c>
      <c r="G441" t="s">
        <v>445</v>
      </c>
      <c r="J441" t="s">
        <v>3075</v>
      </c>
      <c r="K441" t="s">
        <v>3076</v>
      </c>
      <c r="M441" t="s">
        <v>1111</v>
      </c>
      <c r="S441" t="s">
        <v>933</v>
      </c>
      <c r="V441" t="s">
        <v>1419</v>
      </c>
      <c r="W441" t="s">
        <v>780</v>
      </c>
      <c r="X441" t="s">
        <v>807</v>
      </c>
      <c r="Z441" s="31">
        <v>46081</v>
      </c>
      <c r="AA441">
        <v>987029</v>
      </c>
      <c r="AB441">
        <v>1228454</v>
      </c>
      <c r="AC441">
        <v>19</v>
      </c>
      <c r="AD441" t="s">
        <v>22</v>
      </c>
      <c r="AE441" s="31">
        <v>46060</v>
      </c>
      <c r="AF441" s="61">
        <v>0.41621527777777778</v>
      </c>
      <c r="AH441" t="s">
        <v>818</v>
      </c>
      <c r="AI441" s="31">
        <v>46079</v>
      </c>
      <c r="AJ441" s="61">
        <v>0.91343750000000001</v>
      </c>
      <c r="AN441" t="s">
        <v>384</v>
      </c>
      <c r="AO441" t="s">
        <v>22</v>
      </c>
      <c r="AP441" t="s">
        <v>384</v>
      </c>
      <c r="AR441" s="31">
        <v>46079</v>
      </c>
      <c r="AS441">
        <v>50</v>
      </c>
      <c r="AT441" t="s">
        <v>2912</v>
      </c>
      <c r="AU441" t="s">
        <v>2913</v>
      </c>
      <c r="AV441" t="s">
        <v>3077</v>
      </c>
      <c r="AW441" t="s">
        <v>3078</v>
      </c>
      <c r="AX441">
        <v>1</v>
      </c>
    </row>
    <row r="442" spans="1:50" x14ac:dyDescent="0.25">
      <c r="A442" t="s">
        <v>22</v>
      </c>
      <c r="B442">
        <v>909</v>
      </c>
      <c r="D442">
        <v>3229</v>
      </c>
      <c r="E442" t="s">
        <v>5677</v>
      </c>
      <c r="G442" t="s">
        <v>451</v>
      </c>
      <c r="J442" t="s">
        <v>3080</v>
      </c>
      <c r="K442" t="s">
        <v>3081</v>
      </c>
      <c r="M442" t="s">
        <v>1111</v>
      </c>
      <c r="V442" t="s">
        <v>1419</v>
      </c>
      <c r="W442" t="s">
        <v>780</v>
      </c>
      <c r="X442" t="s">
        <v>816</v>
      </c>
      <c r="Z442" s="31">
        <v>46081</v>
      </c>
      <c r="AA442">
        <v>7470289</v>
      </c>
      <c r="AB442">
        <v>1038848</v>
      </c>
      <c r="AC442">
        <v>19</v>
      </c>
      <c r="AD442" t="s">
        <v>22</v>
      </c>
      <c r="AE442" s="31">
        <v>46060</v>
      </c>
      <c r="AF442" s="61">
        <v>0.41700231481481481</v>
      </c>
      <c r="AH442" t="s">
        <v>818</v>
      </c>
      <c r="AI442" s="31">
        <v>46079</v>
      </c>
      <c r="AJ442" s="61">
        <v>0.90869212962962964</v>
      </c>
      <c r="AN442" t="s">
        <v>452</v>
      </c>
      <c r="AO442" t="s">
        <v>22</v>
      </c>
      <c r="AP442" t="s">
        <v>452</v>
      </c>
      <c r="AR442" s="31">
        <v>46079</v>
      </c>
      <c r="AS442">
        <v>50</v>
      </c>
      <c r="AT442" t="s">
        <v>3082</v>
      </c>
      <c r="AU442" t="s">
        <v>2913</v>
      </c>
      <c r="AV442" t="s">
        <v>2914</v>
      </c>
      <c r="AW442" t="s">
        <v>3083</v>
      </c>
      <c r="AX442">
        <v>1</v>
      </c>
    </row>
    <row r="443" spans="1:50" x14ac:dyDescent="0.25">
      <c r="A443" t="s">
        <v>44</v>
      </c>
      <c r="B443">
        <v>912</v>
      </c>
      <c r="D443">
        <v>3248</v>
      </c>
      <c r="E443" t="s">
        <v>4757</v>
      </c>
      <c r="F443" t="s">
        <v>3085</v>
      </c>
      <c r="G443" t="s">
        <v>227</v>
      </c>
      <c r="H443">
        <v>12391174000101</v>
      </c>
      <c r="J443" t="s">
        <v>3085</v>
      </c>
      <c r="K443" t="s">
        <v>3087</v>
      </c>
      <c r="M443" t="s">
        <v>3088</v>
      </c>
      <c r="Q443" t="s">
        <v>3089</v>
      </c>
      <c r="R443" t="s">
        <v>932</v>
      </c>
      <c r="S443" t="s">
        <v>805</v>
      </c>
      <c r="W443" t="s">
        <v>780</v>
      </c>
      <c r="X443" t="s">
        <v>793</v>
      </c>
      <c r="Z443" s="31">
        <v>46173</v>
      </c>
      <c r="AA443">
        <v>748805</v>
      </c>
      <c r="AB443">
        <v>53071</v>
      </c>
      <c r="AC443">
        <v>92</v>
      </c>
      <c r="AD443" t="s">
        <v>44</v>
      </c>
      <c r="AE443" s="31">
        <v>46064</v>
      </c>
      <c r="AF443" s="61">
        <v>0.41652777777777777</v>
      </c>
      <c r="AH443" t="s">
        <v>795</v>
      </c>
      <c r="AI443" s="31">
        <v>46156</v>
      </c>
      <c r="AJ443" s="61">
        <v>0.61704861111111109</v>
      </c>
      <c r="AK443" t="s">
        <v>934</v>
      </c>
      <c r="AL443" t="s">
        <v>5678</v>
      </c>
      <c r="AN443" t="s">
        <v>5679</v>
      </c>
      <c r="AP443" t="s">
        <v>5680</v>
      </c>
      <c r="AQ443" t="s">
        <v>5679</v>
      </c>
      <c r="AR443" s="31">
        <v>46156</v>
      </c>
      <c r="AS443">
        <v>50</v>
      </c>
      <c r="AX443">
        <v>1</v>
      </c>
    </row>
    <row r="444" spans="1:50" x14ac:dyDescent="0.25">
      <c r="A444" t="s">
        <v>44</v>
      </c>
      <c r="B444">
        <v>915</v>
      </c>
      <c r="D444">
        <v>3253</v>
      </c>
      <c r="E444" t="s">
        <v>5681</v>
      </c>
      <c r="G444" t="s">
        <v>402</v>
      </c>
      <c r="J444" t="s">
        <v>3091</v>
      </c>
      <c r="K444" t="s">
        <v>1325</v>
      </c>
      <c r="M444" t="s">
        <v>1326</v>
      </c>
      <c r="V444" t="s">
        <v>1718</v>
      </c>
      <c r="W444" t="s">
        <v>780</v>
      </c>
      <c r="X444" t="s">
        <v>793</v>
      </c>
      <c r="Z444" s="31">
        <v>46142</v>
      </c>
      <c r="AA444">
        <v>10240</v>
      </c>
      <c r="AB444">
        <v>2000</v>
      </c>
      <c r="AC444">
        <v>82</v>
      </c>
      <c r="AD444" t="s">
        <v>44</v>
      </c>
      <c r="AE444" s="31">
        <v>46064</v>
      </c>
      <c r="AF444" s="61">
        <v>0.43546296296296289</v>
      </c>
      <c r="AH444" t="s">
        <v>795</v>
      </c>
      <c r="AI444" s="31">
        <v>46146</v>
      </c>
      <c r="AJ444" s="61">
        <v>0.3744675925925926</v>
      </c>
      <c r="AK444" t="s">
        <v>5338</v>
      </c>
      <c r="AL444" t="s">
        <v>5682</v>
      </c>
      <c r="AN444" t="s">
        <v>403</v>
      </c>
      <c r="AP444" t="s">
        <v>403</v>
      </c>
      <c r="AR444" s="31">
        <v>46146</v>
      </c>
      <c r="AS444">
        <v>30</v>
      </c>
      <c r="AX444">
        <v>1</v>
      </c>
    </row>
    <row r="445" spans="1:50" x14ac:dyDescent="0.25">
      <c r="A445" t="s">
        <v>22</v>
      </c>
      <c r="B445">
        <v>919</v>
      </c>
      <c r="D445">
        <v>3227</v>
      </c>
      <c r="E445" t="s">
        <v>4758</v>
      </c>
      <c r="G445" t="s">
        <v>459</v>
      </c>
      <c r="J445" t="s">
        <v>5683</v>
      </c>
      <c r="K445" t="s">
        <v>3093</v>
      </c>
      <c r="M445" t="s">
        <v>3094</v>
      </c>
      <c r="S445" t="s">
        <v>2541</v>
      </c>
      <c r="V445" t="s">
        <v>5650</v>
      </c>
      <c r="W445" t="s">
        <v>780</v>
      </c>
      <c r="X445" t="s">
        <v>857</v>
      </c>
      <c r="Z445" s="31"/>
      <c r="AC445">
        <v>29</v>
      </c>
      <c r="AD445" t="s">
        <v>22</v>
      </c>
      <c r="AE445" s="31">
        <v>46064</v>
      </c>
      <c r="AF445" s="61">
        <v>0.4732986111111111</v>
      </c>
      <c r="AH445" t="s">
        <v>795</v>
      </c>
      <c r="AI445" s="31">
        <v>46093</v>
      </c>
      <c r="AJ445" s="61">
        <v>0.72518518518518515</v>
      </c>
      <c r="AK445" t="s">
        <v>5392</v>
      </c>
      <c r="AN445" t="s">
        <v>395</v>
      </c>
      <c r="AO445" t="s">
        <v>22</v>
      </c>
      <c r="AP445" t="s">
        <v>395</v>
      </c>
      <c r="AR445" s="31">
        <v>46112</v>
      </c>
      <c r="AS445">
        <v>30</v>
      </c>
      <c r="AU445" t="s">
        <v>47</v>
      </c>
      <c r="AX445">
        <v>1</v>
      </c>
    </row>
    <row r="446" spans="1:50" x14ac:dyDescent="0.25">
      <c r="A446" t="s">
        <v>31</v>
      </c>
      <c r="B446">
        <v>920</v>
      </c>
      <c r="D446">
        <v>3230</v>
      </c>
      <c r="E446" t="s">
        <v>3095</v>
      </c>
      <c r="G446" t="s">
        <v>379</v>
      </c>
      <c r="H446">
        <v>36377920000170</v>
      </c>
      <c r="J446" t="s">
        <v>3096</v>
      </c>
      <c r="K446" t="s">
        <v>4760</v>
      </c>
      <c r="M446" t="s">
        <v>3098</v>
      </c>
      <c r="Q446" t="s">
        <v>4761</v>
      </c>
      <c r="R446" t="s">
        <v>1105</v>
      </c>
      <c r="S446" t="s">
        <v>2541</v>
      </c>
      <c r="V446" t="s">
        <v>5650</v>
      </c>
      <c r="W446" t="s">
        <v>780</v>
      </c>
      <c r="X446" t="s">
        <v>793</v>
      </c>
      <c r="Z446" s="31">
        <v>46142</v>
      </c>
      <c r="AA446">
        <v>7784244</v>
      </c>
      <c r="AB446">
        <v>144748</v>
      </c>
      <c r="AC446">
        <v>14</v>
      </c>
      <c r="AD446" t="s">
        <v>22</v>
      </c>
      <c r="AE446" s="31">
        <v>46064</v>
      </c>
      <c r="AF446" s="61">
        <v>0.47391203703703699</v>
      </c>
      <c r="AH446" t="s">
        <v>795</v>
      </c>
      <c r="AI446" s="31">
        <v>46078</v>
      </c>
      <c r="AJ446" s="61">
        <v>0.43623842592592588</v>
      </c>
      <c r="AK446" t="s">
        <v>5347</v>
      </c>
      <c r="AN446" t="s">
        <v>380</v>
      </c>
      <c r="AO446" t="s">
        <v>31</v>
      </c>
      <c r="AP446" t="s">
        <v>4762</v>
      </c>
      <c r="AR446" s="31">
        <v>46077</v>
      </c>
      <c r="AS446">
        <v>30</v>
      </c>
      <c r="AU446" t="s">
        <v>321</v>
      </c>
      <c r="AX446">
        <v>1</v>
      </c>
    </row>
    <row r="447" spans="1:50" x14ac:dyDescent="0.25">
      <c r="A447" t="s">
        <v>22</v>
      </c>
      <c r="B447">
        <v>921</v>
      </c>
      <c r="D447">
        <v>3231</v>
      </c>
      <c r="E447" t="s">
        <v>4763</v>
      </c>
      <c r="G447" t="s">
        <v>3099</v>
      </c>
      <c r="J447" t="s">
        <v>3100</v>
      </c>
      <c r="K447" t="s">
        <v>3101</v>
      </c>
      <c r="M447" t="s">
        <v>3102</v>
      </c>
      <c r="S447" t="s">
        <v>2541</v>
      </c>
      <c r="V447" t="s">
        <v>5631</v>
      </c>
      <c r="W447" t="s">
        <v>780</v>
      </c>
      <c r="X447" t="s">
        <v>897</v>
      </c>
      <c r="Z447" s="31">
        <v>46081</v>
      </c>
      <c r="AC447">
        <v>16</v>
      </c>
      <c r="AD447" t="s">
        <v>22</v>
      </c>
      <c r="AE447" s="31">
        <v>46064</v>
      </c>
      <c r="AF447" s="61">
        <v>0.47487268518518522</v>
      </c>
      <c r="AH447" t="s">
        <v>795</v>
      </c>
      <c r="AI447" s="31">
        <v>46080</v>
      </c>
      <c r="AJ447" s="61">
        <v>0.89760416666666665</v>
      </c>
      <c r="AK447" t="s">
        <v>5392</v>
      </c>
      <c r="AO447" t="s">
        <v>22</v>
      </c>
      <c r="AR447" s="31">
        <v>46079</v>
      </c>
      <c r="AS447">
        <v>30</v>
      </c>
      <c r="AX447">
        <v>1</v>
      </c>
    </row>
    <row r="448" spans="1:50" x14ac:dyDescent="0.25">
      <c r="A448" t="s">
        <v>22</v>
      </c>
      <c r="B448">
        <v>922</v>
      </c>
      <c r="D448">
        <v>3232</v>
      </c>
      <c r="E448" t="s">
        <v>4764</v>
      </c>
      <c r="G448" t="s">
        <v>3103</v>
      </c>
      <c r="J448" t="s">
        <v>3104</v>
      </c>
      <c r="K448" t="s">
        <v>3105</v>
      </c>
      <c r="M448" t="s">
        <v>3106</v>
      </c>
      <c r="S448" t="s">
        <v>2541</v>
      </c>
      <c r="V448" t="s">
        <v>5650</v>
      </c>
      <c r="W448" t="s">
        <v>780</v>
      </c>
      <c r="X448" t="s">
        <v>857</v>
      </c>
      <c r="Z448" s="31">
        <v>46080</v>
      </c>
      <c r="AC448">
        <v>16</v>
      </c>
      <c r="AD448" t="s">
        <v>22</v>
      </c>
      <c r="AE448" s="31">
        <v>46064</v>
      </c>
      <c r="AF448" s="61">
        <v>0.47547453703703701</v>
      </c>
      <c r="AH448" t="s">
        <v>795</v>
      </c>
      <c r="AI448" s="31">
        <v>46080</v>
      </c>
      <c r="AJ448" s="61">
        <v>0.89387731481481481</v>
      </c>
      <c r="AK448" t="s">
        <v>5392</v>
      </c>
      <c r="AO448" t="s">
        <v>22</v>
      </c>
      <c r="AR448" s="31"/>
      <c r="AS448">
        <v>30</v>
      </c>
      <c r="AX448">
        <v>1</v>
      </c>
    </row>
    <row r="449" spans="1:50" x14ac:dyDescent="0.25">
      <c r="A449" t="s">
        <v>31</v>
      </c>
      <c r="B449">
        <v>923</v>
      </c>
      <c r="D449">
        <v>3236</v>
      </c>
      <c r="G449" t="s">
        <v>3107</v>
      </c>
      <c r="J449" t="s">
        <v>3108</v>
      </c>
      <c r="K449" t="s">
        <v>3109</v>
      </c>
      <c r="M449" t="s">
        <v>3110</v>
      </c>
      <c r="S449" t="s">
        <v>2541</v>
      </c>
      <c r="V449" t="s">
        <v>5650</v>
      </c>
      <c r="W449" t="s">
        <v>780</v>
      </c>
      <c r="X449" t="s">
        <v>897</v>
      </c>
      <c r="Z449" s="31">
        <v>46142</v>
      </c>
      <c r="AC449">
        <v>16</v>
      </c>
      <c r="AD449" t="s">
        <v>22</v>
      </c>
      <c r="AE449" s="31">
        <v>46064</v>
      </c>
      <c r="AF449" s="61">
        <v>0.47722222222222221</v>
      </c>
      <c r="AH449" t="s">
        <v>795</v>
      </c>
      <c r="AI449" s="31">
        <v>46080</v>
      </c>
      <c r="AJ449" s="61">
        <v>0.7245949074074074</v>
      </c>
      <c r="AK449" t="s">
        <v>5347</v>
      </c>
      <c r="AO449" t="s">
        <v>31</v>
      </c>
      <c r="AP449" t="s">
        <v>458</v>
      </c>
      <c r="AR449" s="31">
        <v>46078</v>
      </c>
      <c r="AS449">
        <v>30</v>
      </c>
      <c r="AU449" t="s">
        <v>4765</v>
      </c>
      <c r="AX449">
        <v>1</v>
      </c>
    </row>
    <row r="450" spans="1:50" x14ac:dyDescent="0.25">
      <c r="A450" t="s">
        <v>44</v>
      </c>
      <c r="B450">
        <v>924</v>
      </c>
      <c r="D450">
        <v>3238</v>
      </c>
      <c r="E450" t="s">
        <v>5684</v>
      </c>
      <c r="G450" t="s">
        <v>3112</v>
      </c>
      <c r="J450" t="s">
        <v>3112</v>
      </c>
      <c r="K450" t="s">
        <v>3113</v>
      </c>
      <c r="M450" t="s">
        <v>3114</v>
      </c>
      <c r="S450" t="s">
        <v>2541</v>
      </c>
      <c r="V450" t="s">
        <v>5631</v>
      </c>
      <c r="W450" t="s">
        <v>780</v>
      </c>
      <c r="X450" t="s">
        <v>897</v>
      </c>
      <c r="Z450" s="31"/>
      <c r="AC450">
        <v>15</v>
      </c>
      <c r="AD450" t="s">
        <v>22</v>
      </c>
      <c r="AE450" s="31">
        <v>46064</v>
      </c>
      <c r="AF450" s="61">
        <v>0.47901620370370368</v>
      </c>
      <c r="AH450" t="s">
        <v>795</v>
      </c>
      <c r="AI450" s="31">
        <v>46079</v>
      </c>
      <c r="AJ450" s="61">
        <v>0.9643518518518519</v>
      </c>
      <c r="AK450" t="s">
        <v>5392</v>
      </c>
      <c r="AR450" s="31">
        <v>46072</v>
      </c>
      <c r="AS450">
        <v>30</v>
      </c>
      <c r="AX450">
        <v>1</v>
      </c>
    </row>
    <row r="451" spans="1:50" x14ac:dyDescent="0.25">
      <c r="A451" t="s">
        <v>44</v>
      </c>
      <c r="B451">
        <v>925</v>
      </c>
      <c r="D451">
        <v>3244</v>
      </c>
      <c r="E451" t="s">
        <v>5685</v>
      </c>
      <c r="G451" t="s">
        <v>4768</v>
      </c>
      <c r="H451">
        <v>32534969000139</v>
      </c>
      <c r="J451" t="s">
        <v>3117</v>
      </c>
      <c r="K451" t="s">
        <v>3118</v>
      </c>
      <c r="M451" t="s">
        <v>3119</v>
      </c>
      <c r="R451" t="s">
        <v>3120</v>
      </c>
      <c r="S451" t="s">
        <v>1191</v>
      </c>
      <c r="V451" t="s">
        <v>5650</v>
      </c>
      <c r="W451" t="s">
        <v>780</v>
      </c>
      <c r="X451" t="s">
        <v>793</v>
      </c>
      <c r="Z451" s="31">
        <v>46142</v>
      </c>
      <c r="AA451">
        <v>16960</v>
      </c>
      <c r="AB451">
        <v>32775</v>
      </c>
      <c r="AC451">
        <v>41</v>
      </c>
      <c r="AD451" t="s">
        <v>22</v>
      </c>
      <c r="AE451" s="31">
        <v>46064</v>
      </c>
      <c r="AF451" s="61">
        <v>0.47952546296296289</v>
      </c>
      <c r="AH451" t="s">
        <v>795</v>
      </c>
      <c r="AI451" s="31">
        <v>46105</v>
      </c>
      <c r="AJ451" s="61">
        <v>0.66938657407407409</v>
      </c>
      <c r="AK451" t="s">
        <v>5338</v>
      </c>
      <c r="AL451" t="s">
        <v>5686</v>
      </c>
      <c r="AN451" t="s">
        <v>392</v>
      </c>
      <c r="AP451" t="s">
        <v>403</v>
      </c>
      <c r="AQ451" t="s">
        <v>4770</v>
      </c>
      <c r="AR451" s="31">
        <v>46090</v>
      </c>
      <c r="AS451">
        <v>30</v>
      </c>
      <c r="AX451">
        <v>1</v>
      </c>
    </row>
    <row r="452" spans="1:50" x14ac:dyDescent="0.25">
      <c r="A452" t="s">
        <v>44</v>
      </c>
      <c r="B452">
        <v>926</v>
      </c>
      <c r="D452">
        <v>3237</v>
      </c>
      <c r="E452" t="s">
        <v>3121</v>
      </c>
      <c r="G452" t="s">
        <v>3122</v>
      </c>
      <c r="J452" t="s">
        <v>3123</v>
      </c>
      <c r="K452" t="s">
        <v>3124</v>
      </c>
      <c r="M452" t="s">
        <v>3125</v>
      </c>
      <c r="S452" t="s">
        <v>2541</v>
      </c>
      <c r="V452" t="s">
        <v>5631</v>
      </c>
      <c r="W452" t="s">
        <v>780</v>
      </c>
      <c r="X452" t="s">
        <v>897</v>
      </c>
      <c r="Z452" s="31"/>
      <c r="AC452">
        <v>87</v>
      </c>
      <c r="AD452" t="s">
        <v>22</v>
      </c>
      <c r="AE452" s="31">
        <v>46064</v>
      </c>
      <c r="AF452" s="61">
        <v>0.48769675925925932</v>
      </c>
      <c r="AH452" t="s">
        <v>795</v>
      </c>
      <c r="AI452" s="31">
        <v>46151</v>
      </c>
      <c r="AJ452" s="61">
        <v>0.32484953703703712</v>
      </c>
      <c r="AK452" t="s">
        <v>5657</v>
      </c>
      <c r="AR452" s="31">
        <v>46072</v>
      </c>
      <c r="AS452">
        <v>30</v>
      </c>
      <c r="AX452">
        <v>1</v>
      </c>
    </row>
    <row r="453" spans="1:50" x14ac:dyDescent="0.25">
      <c r="A453" t="s">
        <v>31</v>
      </c>
      <c r="B453">
        <v>927</v>
      </c>
      <c r="D453">
        <v>3239</v>
      </c>
      <c r="E453" t="s">
        <v>3126</v>
      </c>
      <c r="G453" t="s">
        <v>3127</v>
      </c>
      <c r="J453" t="s">
        <v>3128</v>
      </c>
      <c r="K453" t="s">
        <v>3129</v>
      </c>
      <c r="M453" t="s">
        <v>3130</v>
      </c>
      <c r="S453" t="s">
        <v>2541</v>
      </c>
      <c r="V453" t="s">
        <v>5631</v>
      </c>
      <c r="W453" t="s">
        <v>780</v>
      </c>
      <c r="X453" t="s">
        <v>781</v>
      </c>
      <c r="Z453" s="31"/>
      <c r="AC453">
        <v>2</v>
      </c>
      <c r="AD453" t="s">
        <v>22</v>
      </c>
      <c r="AE453" s="31">
        <v>46064</v>
      </c>
      <c r="AF453" s="61">
        <v>0.48925925925925928</v>
      </c>
      <c r="AH453" t="s">
        <v>795</v>
      </c>
      <c r="AI453" s="31">
        <v>46066</v>
      </c>
      <c r="AJ453" s="61">
        <v>0.72755787037037034</v>
      </c>
      <c r="AK453" t="s">
        <v>5392</v>
      </c>
      <c r="AO453" t="s">
        <v>31</v>
      </c>
      <c r="AR453" s="31">
        <v>46066</v>
      </c>
      <c r="AS453">
        <v>30</v>
      </c>
      <c r="AX453">
        <v>1</v>
      </c>
    </row>
    <row r="454" spans="1:50" x14ac:dyDescent="0.25">
      <c r="A454" t="s">
        <v>44</v>
      </c>
      <c r="B454">
        <v>928</v>
      </c>
      <c r="D454">
        <v>3242</v>
      </c>
      <c r="E454" t="s">
        <v>5687</v>
      </c>
      <c r="G454" t="s">
        <v>2809</v>
      </c>
      <c r="H454">
        <v>9205460000120</v>
      </c>
      <c r="J454" t="s">
        <v>2810</v>
      </c>
      <c r="K454" t="s">
        <v>2811</v>
      </c>
      <c r="Q454" t="s">
        <v>2812</v>
      </c>
      <c r="R454" t="s">
        <v>1067</v>
      </c>
      <c r="S454" t="s">
        <v>1191</v>
      </c>
      <c r="V454" t="s">
        <v>5650</v>
      </c>
      <c r="W454" t="s">
        <v>780</v>
      </c>
      <c r="X454" t="s">
        <v>897</v>
      </c>
      <c r="Z454" s="31"/>
      <c r="AC454">
        <v>8</v>
      </c>
      <c r="AD454" t="s">
        <v>22</v>
      </c>
      <c r="AE454" s="31">
        <v>46064</v>
      </c>
      <c r="AF454" s="61">
        <v>0.49402777777777779</v>
      </c>
      <c r="AH454" t="s">
        <v>795</v>
      </c>
      <c r="AI454" s="31">
        <v>46072</v>
      </c>
      <c r="AJ454" s="61">
        <v>0.41185185185185191</v>
      </c>
      <c r="AK454" t="s">
        <v>5419</v>
      </c>
      <c r="AL454" t="s">
        <v>5688</v>
      </c>
      <c r="AR454" s="31">
        <v>46071</v>
      </c>
      <c r="AS454">
        <v>30</v>
      </c>
      <c r="AX454">
        <v>1</v>
      </c>
    </row>
    <row r="455" spans="1:50" x14ac:dyDescent="0.25">
      <c r="A455" t="s">
        <v>44</v>
      </c>
      <c r="B455">
        <v>929</v>
      </c>
      <c r="D455">
        <v>3235</v>
      </c>
      <c r="E455" t="s">
        <v>4772</v>
      </c>
      <c r="G455" t="s">
        <v>421</v>
      </c>
      <c r="J455" t="s">
        <v>3133</v>
      </c>
      <c r="K455" t="s">
        <v>3134</v>
      </c>
      <c r="M455" t="s">
        <v>3135</v>
      </c>
      <c r="Q455" t="s">
        <v>1765</v>
      </c>
      <c r="S455" t="s">
        <v>814</v>
      </c>
      <c r="V455" t="s">
        <v>1186</v>
      </c>
      <c r="W455" t="s">
        <v>780</v>
      </c>
      <c r="X455" t="s">
        <v>807</v>
      </c>
      <c r="Z455" s="31"/>
      <c r="AA455">
        <v>41040</v>
      </c>
      <c r="AB455">
        <v>384858</v>
      </c>
      <c r="AC455">
        <v>29</v>
      </c>
      <c r="AD455" t="s">
        <v>22</v>
      </c>
      <c r="AE455" s="31">
        <v>46064</v>
      </c>
      <c r="AF455" s="61">
        <v>0.49530092592592601</v>
      </c>
      <c r="AH455" t="s">
        <v>795</v>
      </c>
      <c r="AI455" s="31">
        <v>46093</v>
      </c>
      <c r="AJ455" s="61">
        <v>0.59311342592592597</v>
      </c>
      <c r="AK455" t="s">
        <v>858</v>
      </c>
      <c r="AL455" t="s">
        <v>4772</v>
      </c>
      <c r="AN455" t="s">
        <v>393</v>
      </c>
      <c r="AP455" t="s">
        <v>420</v>
      </c>
      <c r="AQ455" t="s">
        <v>480</v>
      </c>
      <c r="AR455" s="31">
        <v>46093</v>
      </c>
      <c r="AS455">
        <v>30</v>
      </c>
      <c r="AX455">
        <v>1</v>
      </c>
    </row>
    <row r="456" spans="1:50" x14ac:dyDescent="0.25">
      <c r="A456" t="s">
        <v>31</v>
      </c>
      <c r="B456">
        <v>930</v>
      </c>
      <c r="D456">
        <v>3243</v>
      </c>
      <c r="E456" t="s">
        <v>5689</v>
      </c>
      <c r="G456" t="s">
        <v>3137</v>
      </c>
      <c r="H456">
        <v>14590342000113</v>
      </c>
      <c r="J456" t="s">
        <v>3138</v>
      </c>
      <c r="K456" t="s">
        <v>3139</v>
      </c>
      <c r="M456" t="s">
        <v>3140</v>
      </c>
      <c r="Q456" t="s">
        <v>3141</v>
      </c>
      <c r="S456" t="s">
        <v>814</v>
      </c>
      <c r="V456" t="s">
        <v>2842</v>
      </c>
      <c r="W456" t="s">
        <v>780</v>
      </c>
      <c r="X456" t="s">
        <v>793</v>
      </c>
      <c r="Z456" s="31"/>
      <c r="AC456">
        <v>47</v>
      </c>
      <c r="AD456" t="s">
        <v>22</v>
      </c>
      <c r="AE456" s="31">
        <v>46064</v>
      </c>
      <c r="AF456" s="61">
        <v>0.49583333333333329</v>
      </c>
      <c r="AH456" t="s">
        <v>795</v>
      </c>
      <c r="AI456" s="31">
        <v>46111</v>
      </c>
      <c r="AJ456" s="61">
        <v>0.65975694444444444</v>
      </c>
      <c r="AK456" t="s">
        <v>5338</v>
      </c>
      <c r="AO456" t="s">
        <v>31</v>
      </c>
      <c r="AP456" t="s">
        <v>4664</v>
      </c>
      <c r="AR456" s="31">
        <v>46111</v>
      </c>
      <c r="AS456">
        <v>30</v>
      </c>
      <c r="AU456" t="s">
        <v>3142</v>
      </c>
      <c r="AX456">
        <v>1</v>
      </c>
    </row>
    <row r="457" spans="1:50" x14ac:dyDescent="0.25">
      <c r="A457" t="s">
        <v>44</v>
      </c>
      <c r="B457">
        <v>931</v>
      </c>
      <c r="D457">
        <v>3233</v>
      </c>
      <c r="E457" t="s">
        <v>3143</v>
      </c>
      <c r="G457" t="s">
        <v>3144</v>
      </c>
      <c r="H457">
        <v>36096287000142</v>
      </c>
      <c r="J457" t="s">
        <v>3145</v>
      </c>
      <c r="K457" t="s">
        <v>3146</v>
      </c>
      <c r="M457" t="s">
        <v>3147</v>
      </c>
      <c r="Q457" t="s">
        <v>3148</v>
      </c>
      <c r="S457" t="s">
        <v>814</v>
      </c>
      <c r="V457" t="s">
        <v>5690</v>
      </c>
      <c r="W457" t="s">
        <v>780</v>
      </c>
      <c r="X457" t="s">
        <v>897</v>
      </c>
      <c r="Z457" s="31"/>
      <c r="AC457">
        <v>0</v>
      </c>
      <c r="AD457" t="s">
        <v>22</v>
      </c>
      <c r="AE457" s="31">
        <v>46064</v>
      </c>
      <c r="AF457" s="61">
        <v>0.49716435185185193</v>
      </c>
      <c r="AH457" t="s">
        <v>795</v>
      </c>
      <c r="AI457" s="31">
        <v>46064</v>
      </c>
      <c r="AJ457" s="61">
        <v>0.64505787037037032</v>
      </c>
      <c r="AK457" t="s">
        <v>5392</v>
      </c>
      <c r="AL457" t="s">
        <v>5568</v>
      </c>
      <c r="AR457" s="31"/>
      <c r="AS457">
        <v>30</v>
      </c>
      <c r="AX457">
        <v>1</v>
      </c>
    </row>
    <row r="458" spans="1:50" x14ac:dyDescent="0.25">
      <c r="A458" t="s">
        <v>31</v>
      </c>
      <c r="B458">
        <v>932</v>
      </c>
      <c r="D458">
        <v>3234</v>
      </c>
      <c r="E458" t="s">
        <v>4774</v>
      </c>
      <c r="G458" t="s">
        <v>391</v>
      </c>
      <c r="H458">
        <v>1498495000193</v>
      </c>
      <c r="J458" t="s">
        <v>3151</v>
      </c>
      <c r="K458" t="s">
        <v>3152</v>
      </c>
      <c r="M458" t="s">
        <v>3153</v>
      </c>
      <c r="Q458" t="s">
        <v>3154</v>
      </c>
      <c r="S458" t="s">
        <v>814</v>
      </c>
      <c r="V458" t="s">
        <v>5655</v>
      </c>
      <c r="W458" t="s">
        <v>780</v>
      </c>
      <c r="X458" t="s">
        <v>807</v>
      </c>
      <c r="Z458" s="31">
        <v>46142</v>
      </c>
      <c r="AA458">
        <v>16143</v>
      </c>
      <c r="AB458">
        <v>690</v>
      </c>
      <c r="AC458">
        <v>70</v>
      </c>
      <c r="AD458" t="s">
        <v>22</v>
      </c>
      <c r="AE458" s="31">
        <v>46064</v>
      </c>
      <c r="AF458" s="61">
        <v>0.49763888888888891</v>
      </c>
      <c r="AH458" t="s">
        <v>795</v>
      </c>
      <c r="AI458" s="31">
        <v>46134</v>
      </c>
      <c r="AJ458" s="61">
        <v>0.72197916666666662</v>
      </c>
      <c r="AK458" t="s">
        <v>5347</v>
      </c>
      <c r="AN458" t="s">
        <v>392</v>
      </c>
      <c r="AO458" t="s">
        <v>31</v>
      </c>
      <c r="AP458" t="s">
        <v>392</v>
      </c>
      <c r="AR458" s="31">
        <v>46127</v>
      </c>
      <c r="AS458">
        <v>30</v>
      </c>
      <c r="AU458" t="s">
        <v>63</v>
      </c>
      <c r="AX458">
        <v>1</v>
      </c>
    </row>
    <row r="459" spans="1:50" x14ac:dyDescent="0.25">
      <c r="A459" t="s">
        <v>44</v>
      </c>
      <c r="B459">
        <v>933</v>
      </c>
      <c r="D459">
        <v>3262</v>
      </c>
      <c r="F459" t="s">
        <v>3155</v>
      </c>
      <c r="G459" t="s">
        <v>242</v>
      </c>
      <c r="H459">
        <v>35754976000215</v>
      </c>
      <c r="J459" t="s">
        <v>3155</v>
      </c>
      <c r="K459" t="s">
        <v>3156</v>
      </c>
      <c r="M459" t="s">
        <v>3157</v>
      </c>
      <c r="Q459" t="s">
        <v>3158</v>
      </c>
      <c r="R459" t="s">
        <v>932</v>
      </c>
      <c r="S459" t="s">
        <v>805</v>
      </c>
      <c r="W459" t="s">
        <v>780</v>
      </c>
      <c r="X459" t="s">
        <v>857</v>
      </c>
      <c r="Z459" s="31"/>
      <c r="AA459">
        <v>0</v>
      </c>
      <c r="AB459">
        <v>0</v>
      </c>
      <c r="AC459">
        <v>98</v>
      </c>
      <c r="AD459" t="s">
        <v>44</v>
      </c>
      <c r="AE459" s="31">
        <v>46064</v>
      </c>
      <c r="AF459" s="61">
        <v>0.75549768518518523</v>
      </c>
      <c r="AH459" t="s">
        <v>782</v>
      </c>
      <c r="AI459" s="31"/>
      <c r="AJ459" s="61"/>
      <c r="AP459" t="s">
        <v>5691</v>
      </c>
      <c r="AR459" s="31">
        <v>46150</v>
      </c>
      <c r="AS459">
        <v>50</v>
      </c>
      <c r="AX459">
        <v>1</v>
      </c>
    </row>
    <row r="460" spans="1:50" x14ac:dyDescent="0.25">
      <c r="A460" t="s">
        <v>44</v>
      </c>
      <c r="B460">
        <v>934</v>
      </c>
      <c r="D460">
        <v>3263</v>
      </c>
      <c r="E460" t="s">
        <v>5692</v>
      </c>
      <c r="F460" t="s">
        <v>3159</v>
      </c>
      <c r="G460" t="s">
        <v>437</v>
      </c>
      <c r="H460">
        <v>51540058000169</v>
      </c>
      <c r="J460" t="s">
        <v>3159</v>
      </c>
      <c r="K460" t="s">
        <v>4776</v>
      </c>
      <c r="Q460" t="s">
        <v>1094</v>
      </c>
      <c r="R460" t="s">
        <v>790</v>
      </c>
      <c r="S460" t="s">
        <v>805</v>
      </c>
      <c r="W460" t="s">
        <v>780</v>
      </c>
      <c r="X460" t="s">
        <v>816</v>
      </c>
      <c r="Z460" s="31"/>
      <c r="AA460">
        <v>68400</v>
      </c>
      <c r="AB460">
        <v>114607</v>
      </c>
      <c r="AC460">
        <v>49</v>
      </c>
      <c r="AD460" t="s">
        <v>44</v>
      </c>
      <c r="AE460" s="31">
        <v>46064</v>
      </c>
      <c r="AF460" s="61">
        <v>0.76371527777777781</v>
      </c>
      <c r="AH460" t="s">
        <v>818</v>
      </c>
      <c r="AI460" s="31">
        <v>46113</v>
      </c>
      <c r="AJ460" s="61">
        <v>0.44179398148148152</v>
      </c>
      <c r="AN460" t="s">
        <v>403</v>
      </c>
      <c r="AP460" t="s">
        <v>403</v>
      </c>
      <c r="AQ460" t="s">
        <v>4668</v>
      </c>
      <c r="AR460" s="31">
        <v>46086</v>
      </c>
      <c r="AS460">
        <v>70</v>
      </c>
      <c r="AX460">
        <v>1</v>
      </c>
    </row>
    <row r="461" spans="1:50" x14ac:dyDescent="0.25">
      <c r="A461" t="s">
        <v>22</v>
      </c>
      <c r="B461">
        <v>935</v>
      </c>
      <c r="D461">
        <v>3259</v>
      </c>
      <c r="E461" t="s">
        <v>3164</v>
      </c>
      <c r="G461" t="s">
        <v>3165</v>
      </c>
      <c r="J461" t="s">
        <v>3166</v>
      </c>
      <c r="K461" t="s">
        <v>3167</v>
      </c>
      <c r="M461" t="s">
        <v>3168</v>
      </c>
      <c r="Q461" t="s">
        <v>3169</v>
      </c>
      <c r="S461" t="s">
        <v>814</v>
      </c>
      <c r="V461" t="s">
        <v>1186</v>
      </c>
      <c r="W461" t="s">
        <v>780</v>
      </c>
      <c r="X461" t="s">
        <v>897</v>
      </c>
      <c r="Z461" s="31">
        <v>46081</v>
      </c>
      <c r="AC461">
        <v>1</v>
      </c>
      <c r="AD461" t="s">
        <v>22</v>
      </c>
      <c r="AE461" s="31">
        <v>46065</v>
      </c>
      <c r="AF461" s="61">
        <v>0.1035185185185185</v>
      </c>
      <c r="AH461" t="s">
        <v>795</v>
      </c>
      <c r="AI461" s="31">
        <v>46066</v>
      </c>
      <c r="AJ461" s="61">
        <v>0.72414351851851855</v>
      </c>
      <c r="AK461" t="s">
        <v>5347</v>
      </c>
      <c r="AO461" t="s">
        <v>22</v>
      </c>
      <c r="AP461" t="s">
        <v>405</v>
      </c>
      <c r="AR461" s="31"/>
      <c r="AS461">
        <v>30</v>
      </c>
      <c r="AU461" t="s">
        <v>321</v>
      </c>
      <c r="AX461">
        <v>1</v>
      </c>
    </row>
    <row r="462" spans="1:50" x14ac:dyDescent="0.25">
      <c r="A462" t="s">
        <v>44</v>
      </c>
      <c r="B462">
        <v>936</v>
      </c>
      <c r="D462">
        <v>3268</v>
      </c>
      <c r="E462" t="s">
        <v>4777</v>
      </c>
      <c r="G462" t="s">
        <v>3132</v>
      </c>
      <c r="J462" t="s">
        <v>5693</v>
      </c>
      <c r="K462" t="s">
        <v>3172</v>
      </c>
      <c r="M462" t="s">
        <v>3135</v>
      </c>
      <c r="W462" t="s">
        <v>780</v>
      </c>
      <c r="X462" t="s">
        <v>807</v>
      </c>
      <c r="Z462" s="31"/>
      <c r="AC462">
        <v>27</v>
      </c>
      <c r="AD462" t="s">
        <v>44</v>
      </c>
      <c r="AE462" s="31">
        <v>46066</v>
      </c>
      <c r="AF462" s="61">
        <v>0.61993055555555554</v>
      </c>
      <c r="AH462" t="s">
        <v>795</v>
      </c>
      <c r="AI462" s="31">
        <v>46093</v>
      </c>
      <c r="AJ462" s="61">
        <v>0.59215277777777775</v>
      </c>
      <c r="AK462" t="s">
        <v>858</v>
      </c>
      <c r="AL462" t="s">
        <v>4772</v>
      </c>
      <c r="AP462" t="s">
        <v>405</v>
      </c>
      <c r="AR462" s="31">
        <v>46093</v>
      </c>
      <c r="AS462">
        <v>50</v>
      </c>
      <c r="AX462">
        <v>1</v>
      </c>
    </row>
    <row r="463" spans="1:50" x14ac:dyDescent="0.25">
      <c r="A463" t="s">
        <v>44</v>
      </c>
      <c r="B463">
        <v>937</v>
      </c>
      <c r="D463">
        <v>3267</v>
      </c>
      <c r="E463" t="s">
        <v>4778</v>
      </c>
      <c r="G463" t="s">
        <v>3173</v>
      </c>
      <c r="H463">
        <v>3318893000106</v>
      </c>
      <c r="J463" t="s">
        <v>3174</v>
      </c>
      <c r="K463" t="s">
        <v>3175</v>
      </c>
      <c r="M463" t="s">
        <v>3176</v>
      </c>
      <c r="S463" t="s">
        <v>2541</v>
      </c>
      <c r="V463" t="s">
        <v>5650</v>
      </c>
      <c r="W463" t="s">
        <v>780</v>
      </c>
      <c r="X463" t="s">
        <v>897</v>
      </c>
      <c r="Z463" s="31">
        <v>46081</v>
      </c>
      <c r="AC463">
        <v>13</v>
      </c>
      <c r="AD463" t="s">
        <v>22</v>
      </c>
      <c r="AE463" s="31">
        <v>46066</v>
      </c>
      <c r="AF463" s="61">
        <v>0.91548611111111111</v>
      </c>
      <c r="AH463" t="s">
        <v>795</v>
      </c>
      <c r="AI463" s="31">
        <v>46079</v>
      </c>
      <c r="AJ463" s="61">
        <v>0.96547453703703701</v>
      </c>
      <c r="AK463" t="s">
        <v>5392</v>
      </c>
      <c r="AO463" t="s">
        <v>44</v>
      </c>
      <c r="AR463" s="31">
        <v>46072</v>
      </c>
      <c r="AS463">
        <v>30</v>
      </c>
      <c r="AX463">
        <v>1</v>
      </c>
    </row>
    <row r="464" spans="1:50" x14ac:dyDescent="0.25">
      <c r="A464" t="s">
        <v>22</v>
      </c>
      <c r="B464">
        <v>938</v>
      </c>
      <c r="D464">
        <v>3266</v>
      </c>
      <c r="E464" t="s">
        <v>4779</v>
      </c>
      <c r="G464" t="s">
        <v>3178</v>
      </c>
      <c r="H464">
        <v>11994847000155</v>
      </c>
      <c r="J464" t="s">
        <v>3179</v>
      </c>
      <c r="K464" t="s">
        <v>3180</v>
      </c>
      <c r="M464" t="s">
        <v>3181</v>
      </c>
      <c r="Q464" t="s">
        <v>3182</v>
      </c>
      <c r="S464" t="s">
        <v>814</v>
      </c>
      <c r="V464" t="s">
        <v>1198</v>
      </c>
      <c r="W464" t="s">
        <v>780</v>
      </c>
      <c r="X464" t="s">
        <v>857</v>
      </c>
      <c r="Z464" s="31">
        <v>46081</v>
      </c>
      <c r="AC464">
        <v>6</v>
      </c>
      <c r="AD464" t="s">
        <v>22</v>
      </c>
      <c r="AE464" s="31">
        <v>46066</v>
      </c>
      <c r="AF464" s="61">
        <v>0.91730324074074077</v>
      </c>
      <c r="AH464" t="s">
        <v>795</v>
      </c>
      <c r="AI464" s="31">
        <v>46072</v>
      </c>
      <c r="AJ464" s="61">
        <v>0.72584490740740737</v>
      </c>
      <c r="AK464" t="s">
        <v>5419</v>
      </c>
      <c r="AL464" t="s">
        <v>4779</v>
      </c>
      <c r="AO464" t="s">
        <v>22</v>
      </c>
      <c r="AR464" s="31"/>
      <c r="AS464">
        <v>30</v>
      </c>
      <c r="AX464">
        <v>1</v>
      </c>
    </row>
    <row r="465" spans="1:50" x14ac:dyDescent="0.25">
      <c r="A465" t="s">
        <v>31</v>
      </c>
      <c r="B465">
        <v>945</v>
      </c>
      <c r="D465">
        <v>3271</v>
      </c>
      <c r="G465" t="s">
        <v>3183</v>
      </c>
      <c r="J465" t="s">
        <v>5694</v>
      </c>
      <c r="K465" t="s">
        <v>3185</v>
      </c>
      <c r="M465" t="s">
        <v>3186</v>
      </c>
      <c r="Q465" t="s">
        <v>3187</v>
      </c>
      <c r="S465" t="s">
        <v>814</v>
      </c>
      <c r="V465" t="s">
        <v>1186</v>
      </c>
      <c r="W465" t="s">
        <v>780</v>
      </c>
      <c r="X465" t="s">
        <v>781</v>
      </c>
      <c r="Z465" s="31"/>
      <c r="AC465">
        <v>2</v>
      </c>
      <c r="AD465" t="s">
        <v>22</v>
      </c>
      <c r="AE465" s="31">
        <v>46070</v>
      </c>
      <c r="AF465" s="61">
        <v>0.74156250000000001</v>
      </c>
      <c r="AH465" t="s">
        <v>795</v>
      </c>
      <c r="AI465" s="31">
        <v>46072</v>
      </c>
      <c r="AJ465" s="61">
        <v>0.37849537037037029</v>
      </c>
      <c r="AK465" t="s">
        <v>808</v>
      </c>
      <c r="AO465" t="s">
        <v>31</v>
      </c>
      <c r="AR465" s="31">
        <v>46071</v>
      </c>
      <c r="AS465">
        <v>30</v>
      </c>
      <c r="AU465" t="s">
        <v>47</v>
      </c>
      <c r="AX465">
        <v>1</v>
      </c>
    </row>
    <row r="466" spans="1:50" x14ac:dyDescent="0.25">
      <c r="A466" t="s">
        <v>22</v>
      </c>
      <c r="B466">
        <v>946</v>
      </c>
      <c r="D466">
        <v>3270</v>
      </c>
      <c r="E466" t="s">
        <v>4780</v>
      </c>
      <c r="G466" t="s">
        <v>3188</v>
      </c>
      <c r="J466" t="s">
        <v>3189</v>
      </c>
      <c r="K466" t="s">
        <v>3190</v>
      </c>
      <c r="M466" t="s">
        <v>3191</v>
      </c>
      <c r="S466" t="s">
        <v>2541</v>
      </c>
      <c r="V466" t="s">
        <v>5650</v>
      </c>
      <c r="W466" t="s">
        <v>780</v>
      </c>
      <c r="X466" t="s">
        <v>897</v>
      </c>
      <c r="Z466" s="31">
        <v>46112</v>
      </c>
      <c r="AC466">
        <v>82</v>
      </c>
      <c r="AD466" t="s">
        <v>22</v>
      </c>
      <c r="AE466" s="31">
        <v>46071</v>
      </c>
      <c r="AF466" s="61">
        <v>0.36913194444444453</v>
      </c>
      <c r="AH466" t="s">
        <v>795</v>
      </c>
      <c r="AI466" s="31">
        <v>46153</v>
      </c>
      <c r="AJ466" s="61">
        <v>0.49629629629629629</v>
      </c>
      <c r="AK466" t="s">
        <v>5353</v>
      </c>
      <c r="AL466" t="s">
        <v>5695</v>
      </c>
      <c r="AO466" t="s">
        <v>22</v>
      </c>
      <c r="AR466" s="31">
        <v>46093</v>
      </c>
      <c r="AS466">
        <v>30</v>
      </c>
      <c r="AU466" t="s">
        <v>321</v>
      </c>
      <c r="AX466">
        <v>1</v>
      </c>
    </row>
    <row r="467" spans="1:50" x14ac:dyDescent="0.25">
      <c r="A467" t="s">
        <v>44</v>
      </c>
      <c r="B467">
        <v>948</v>
      </c>
      <c r="D467">
        <v>3278</v>
      </c>
      <c r="E467" t="s">
        <v>5696</v>
      </c>
      <c r="G467" t="s">
        <v>444</v>
      </c>
      <c r="J467" t="s">
        <v>3192</v>
      </c>
      <c r="K467" t="s">
        <v>3193</v>
      </c>
      <c r="M467" t="s">
        <v>3194</v>
      </c>
      <c r="S467" t="s">
        <v>2541</v>
      </c>
      <c r="V467" t="s">
        <v>5650</v>
      </c>
      <c r="W467" t="s">
        <v>780</v>
      </c>
      <c r="X467" t="s">
        <v>793</v>
      </c>
      <c r="Z467" s="31">
        <v>46081</v>
      </c>
      <c r="AA467">
        <v>16960</v>
      </c>
      <c r="AB467">
        <v>575</v>
      </c>
      <c r="AC467">
        <v>21</v>
      </c>
      <c r="AD467" t="s">
        <v>22</v>
      </c>
      <c r="AE467" s="31">
        <v>46072</v>
      </c>
      <c r="AF467" s="61">
        <v>0.34339120370370368</v>
      </c>
      <c r="AH467" t="s">
        <v>795</v>
      </c>
      <c r="AI467" s="31">
        <v>46093</v>
      </c>
      <c r="AJ467" s="61">
        <v>0.64043981481481482</v>
      </c>
      <c r="AK467" t="s">
        <v>934</v>
      </c>
      <c r="AL467" t="s">
        <v>5697</v>
      </c>
      <c r="AN467" t="s">
        <v>380</v>
      </c>
      <c r="AO467" t="s">
        <v>44</v>
      </c>
      <c r="AP467" t="s">
        <v>393</v>
      </c>
      <c r="AR467" s="31">
        <v>46090</v>
      </c>
      <c r="AS467">
        <v>31</v>
      </c>
      <c r="AX467">
        <v>1</v>
      </c>
    </row>
    <row r="468" spans="1:50" x14ac:dyDescent="0.25">
      <c r="A468" t="s">
        <v>31</v>
      </c>
      <c r="B468">
        <v>949</v>
      </c>
      <c r="D468">
        <v>3279</v>
      </c>
      <c r="G468" t="s">
        <v>2704</v>
      </c>
      <c r="J468" t="s">
        <v>334</v>
      </c>
      <c r="K468" t="s">
        <v>5698</v>
      </c>
      <c r="M468" t="s">
        <v>3196</v>
      </c>
      <c r="R468" t="s">
        <v>3197</v>
      </c>
      <c r="S468" t="s">
        <v>1191</v>
      </c>
      <c r="V468" t="s">
        <v>5631</v>
      </c>
      <c r="W468" t="s">
        <v>780</v>
      </c>
      <c r="X468" t="s">
        <v>781</v>
      </c>
      <c r="Z468" s="31">
        <v>46081</v>
      </c>
      <c r="AC468">
        <v>4</v>
      </c>
      <c r="AD468" t="s">
        <v>22</v>
      </c>
      <c r="AE468" s="31">
        <v>46072</v>
      </c>
      <c r="AF468" s="61">
        <v>0.3442013888888889</v>
      </c>
      <c r="AH468" t="s">
        <v>795</v>
      </c>
      <c r="AI468" s="31">
        <v>46076</v>
      </c>
      <c r="AJ468" s="61">
        <v>0.67480324074074072</v>
      </c>
      <c r="AK468" t="s">
        <v>5392</v>
      </c>
      <c r="AO468" t="s">
        <v>31</v>
      </c>
      <c r="AR468" s="31"/>
      <c r="AS468">
        <v>30</v>
      </c>
      <c r="AX468">
        <v>1</v>
      </c>
    </row>
    <row r="469" spans="1:50" x14ac:dyDescent="0.25">
      <c r="A469" t="s">
        <v>31</v>
      </c>
      <c r="B469">
        <v>950</v>
      </c>
      <c r="D469">
        <v>3280</v>
      </c>
      <c r="E469" t="s">
        <v>4783</v>
      </c>
      <c r="G469" t="s">
        <v>3198</v>
      </c>
      <c r="H469">
        <v>3459449000100</v>
      </c>
      <c r="J469" t="s">
        <v>3199</v>
      </c>
      <c r="K469" t="s">
        <v>3200</v>
      </c>
      <c r="M469" t="s">
        <v>3201</v>
      </c>
      <c r="S469" t="s">
        <v>2541</v>
      </c>
      <c r="V469" t="s">
        <v>5650</v>
      </c>
      <c r="W469" t="s">
        <v>780</v>
      </c>
      <c r="X469" t="s">
        <v>857</v>
      </c>
      <c r="Z469" s="31">
        <v>46142</v>
      </c>
      <c r="AC469">
        <v>22</v>
      </c>
      <c r="AD469" t="s">
        <v>22</v>
      </c>
      <c r="AE469" s="31">
        <v>46072</v>
      </c>
      <c r="AF469" s="61">
        <v>0.34534722222222219</v>
      </c>
      <c r="AH469" t="s">
        <v>795</v>
      </c>
      <c r="AI469" s="31">
        <v>46094</v>
      </c>
      <c r="AJ469" s="61">
        <v>0.44105324074074082</v>
      </c>
      <c r="AK469" t="s">
        <v>858</v>
      </c>
      <c r="AO469" t="s">
        <v>31</v>
      </c>
      <c r="AR469" s="31">
        <v>46094</v>
      </c>
      <c r="AS469">
        <v>31</v>
      </c>
      <c r="AU469" t="s">
        <v>4784</v>
      </c>
      <c r="AX469">
        <v>1</v>
      </c>
    </row>
    <row r="470" spans="1:50" x14ac:dyDescent="0.25">
      <c r="A470" t="s">
        <v>44</v>
      </c>
      <c r="B470">
        <v>951</v>
      </c>
      <c r="D470">
        <v>3282</v>
      </c>
      <c r="E470" t="s">
        <v>4785</v>
      </c>
      <c r="G470" t="s">
        <v>3202</v>
      </c>
      <c r="J470" t="s">
        <v>3203</v>
      </c>
      <c r="K470" t="s">
        <v>3204</v>
      </c>
      <c r="M470" t="s">
        <v>3205</v>
      </c>
      <c r="S470" t="s">
        <v>2541</v>
      </c>
      <c r="V470" t="s">
        <v>5631</v>
      </c>
      <c r="W470" t="s">
        <v>780</v>
      </c>
      <c r="X470" t="s">
        <v>897</v>
      </c>
      <c r="Z470" s="31">
        <v>46072</v>
      </c>
      <c r="AC470">
        <v>7</v>
      </c>
      <c r="AD470" t="s">
        <v>22</v>
      </c>
      <c r="AE470" s="31">
        <v>46072</v>
      </c>
      <c r="AF470" s="61">
        <v>0.3463310185185185</v>
      </c>
      <c r="AH470" t="s">
        <v>795</v>
      </c>
      <c r="AI470" s="31">
        <v>46079</v>
      </c>
      <c r="AJ470" s="61">
        <v>0.96490740740740744</v>
      </c>
      <c r="AK470" t="s">
        <v>5392</v>
      </c>
      <c r="AO470" t="s">
        <v>44</v>
      </c>
      <c r="AR470" s="31"/>
      <c r="AS470">
        <v>30</v>
      </c>
      <c r="AX470">
        <v>1</v>
      </c>
    </row>
    <row r="471" spans="1:50" x14ac:dyDescent="0.25">
      <c r="A471" t="s">
        <v>22</v>
      </c>
      <c r="B471">
        <v>952</v>
      </c>
      <c r="D471">
        <v>3283</v>
      </c>
      <c r="E471" t="s">
        <v>4786</v>
      </c>
      <c r="G471" t="s">
        <v>387</v>
      </c>
      <c r="J471" t="s">
        <v>5699</v>
      </c>
      <c r="K471" t="s">
        <v>3207</v>
      </c>
      <c r="M471" t="s">
        <v>3208</v>
      </c>
      <c r="S471" t="s">
        <v>2541</v>
      </c>
      <c r="V471" t="s">
        <v>5650</v>
      </c>
      <c r="W471" t="s">
        <v>780</v>
      </c>
      <c r="X471" t="s">
        <v>807</v>
      </c>
      <c r="Z471" s="31">
        <v>46112</v>
      </c>
      <c r="AA471">
        <v>862043</v>
      </c>
      <c r="AB471">
        <v>34937</v>
      </c>
      <c r="AC471">
        <v>40</v>
      </c>
      <c r="AD471" t="s">
        <v>22</v>
      </c>
      <c r="AE471" s="31">
        <v>46072</v>
      </c>
      <c r="AF471" s="61">
        <v>0.34706018518518522</v>
      </c>
      <c r="AH471" t="s">
        <v>795</v>
      </c>
      <c r="AI471" s="31">
        <v>46112</v>
      </c>
      <c r="AJ471" s="61">
        <v>0.68877314814814816</v>
      </c>
      <c r="AK471" t="s">
        <v>5347</v>
      </c>
      <c r="AN471" t="s">
        <v>4788</v>
      </c>
      <c r="AO471" t="s">
        <v>22</v>
      </c>
      <c r="AR471" s="31">
        <v>46101</v>
      </c>
      <c r="AS471">
        <v>30</v>
      </c>
      <c r="AU471" t="s">
        <v>321</v>
      </c>
      <c r="AX471">
        <v>1</v>
      </c>
    </row>
    <row r="472" spans="1:50" x14ac:dyDescent="0.25">
      <c r="A472" t="s">
        <v>22</v>
      </c>
      <c r="B472">
        <v>953</v>
      </c>
      <c r="D472">
        <v>3284</v>
      </c>
      <c r="E472" t="s">
        <v>4789</v>
      </c>
      <c r="G472" t="s">
        <v>3209</v>
      </c>
      <c r="J472" t="s">
        <v>3210</v>
      </c>
      <c r="K472" t="s">
        <v>3211</v>
      </c>
      <c r="M472" t="s">
        <v>3212</v>
      </c>
      <c r="S472" t="s">
        <v>2541</v>
      </c>
      <c r="V472" t="s">
        <v>5631</v>
      </c>
      <c r="W472" t="s">
        <v>780</v>
      </c>
      <c r="X472" t="s">
        <v>897</v>
      </c>
      <c r="Z472" s="31">
        <v>46081</v>
      </c>
      <c r="AC472">
        <v>12</v>
      </c>
      <c r="AD472" t="s">
        <v>22</v>
      </c>
      <c r="AE472" s="31">
        <v>46072</v>
      </c>
      <c r="AF472" s="61">
        <v>0.34765046296296298</v>
      </c>
      <c r="AH472" t="s">
        <v>795</v>
      </c>
      <c r="AI472" s="31">
        <v>46084</v>
      </c>
      <c r="AJ472" s="61">
        <v>0.8923726851851852</v>
      </c>
      <c r="AK472" t="s">
        <v>5392</v>
      </c>
      <c r="AO472" t="s">
        <v>22</v>
      </c>
      <c r="AR472" s="31"/>
      <c r="AS472">
        <v>32</v>
      </c>
      <c r="AX472">
        <v>1</v>
      </c>
    </row>
    <row r="473" spans="1:50" x14ac:dyDescent="0.25">
      <c r="A473" t="s">
        <v>31</v>
      </c>
      <c r="B473">
        <v>956</v>
      </c>
      <c r="D473">
        <v>3286</v>
      </c>
      <c r="E473" t="s">
        <v>4790</v>
      </c>
      <c r="G473" t="s">
        <v>4791</v>
      </c>
      <c r="J473" t="s">
        <v>4792</v>
      </c>
      <c r="K473" t="s">
        <v>5700</v>
      </c>
      <c r="M473" t="s">
        <v>4793</v>
      </c>
      <c r="S473" t="s">
        <v>2541</v>
      </c>
      <c r="V473" t="s">
        <v>5631</v>
      </c>
      <c r="W473" t="s">
        <v>780</v>
      </c>
      <c r="X473" t="s">
        <v>781</v>
      </c>
      <c r="Z473" s="31">
        <v>46081</v>
      </c>
      <c r="AC473">
        <v>3</v>
      </c>
      <c r="AD473" t="s">
        <v>22</v>
      </c>
      <c r="AE473" s="31">
        <v>46073</v>
      </c>
      <c r="AF473" s="61">
        <v>0.57908564814814811</v>
      </c>
      <c r="AH473" t="s">
        <v>795</v>
      </c>
      <c r="AI473" s="31">
        <v>46076</v>
      </c>
      <c r="AJ473" s="61">
        <v>0.67215277777777782</v>
      </c>
      <c r="AK473" t="s">
        <v>5392</v>
      </c>
      <c r="AO473" t="s">
        <v>31</v>
      </c>
      <c r="AR473" s="31">
        <v>46076</v>
      </c>
      <c r="AS473">
        <v>30</v>
      </c>
      <c r="AX473">
        <v>1</v>
      </c>
    </row>
    <row r="474" spans="1:50" x14ac:dyDescent="0.25">
      <c r="A474" t="s">
        <v>31</v>
      </c>
      <c r="B474">
        <v>959</v>
      </c>
      <c r="D474">
        <v>3298</v>
      </c>
      <c r="E474" t="s">
        <v>4794</v>
      </c>
      <c r="G474" t="s">
        <v>400</v>
      </c>
      <c r="J474" t="s">
        <v>4795</v>
      </c>
      <c r="K474" t="s">
        <v>5701</v>
      </c>
      <c r="M474" t="s">
        <v>4796</v>
      </c>
      <c r="W474" t="s">
        <v>780</v>
      </c>
      <c r="X474" t="s">
        <v>807</v>
      </c>
      <c r="Z474" s="31">
        <v>46173</v>
      </c>
      <c r="AA474">
        <v>963186</v>
      </c>
      <c r="AB474">
        <v>62062</v>
      </c>
      <c r="AC474">
        <v>79</v>
      </c>
      <c r="AD474" t="s">
        <v>31</v>
      </c>
      <c r="AE474" s="31">
        <v>46076</v>
      </c>
      <c r="AF474" s="61">
        <v>0.49402777777777779</v>
      </c>
      <c r="AH474" t="s">
        <v>795</v>
      </c>
      <c r="AI474" s="31">
        <v>46155</v>
      </c>
      <c r="AJ474" s="61">
        <v>0.44644675925925931</v>
      </c>
      <c r="AK474" t="s">
        <v>5338</v>
      </c>
      <c r="AN474" t="s">
        <v>401</v>
      </c>
      <c r="AO474" t="s">
        <v>31</v>
      </c>
      <c r="AP474" t="s">
        <v>401</v>
      </c>
      <c r="AR474" s="31">
        <v>46155</v>
      </c>
      <c r="AS474">
        <v>30</v>
      </c>
      <c r="AU474" t="s">
        <v>47</v>
      </c>
      <c r="AX474">
        <v>1</v>
      </c>
    </row>
    <row r="475" spans="1:50" x14ac:dyDescent="0.25">
      <c r="A475" t="s">
        <v>31</v>
      </c>
      <c r="B475">
        <v>960</v>
      </c>
      <c r="D475">
        <v>3299</v>
      </c>
      <c r="E475" t="s">
        <v>5702</v>
      </c>
      <c r="G475" t="s">
        <v>411</v>
      </c>
      <c r="J475" t="s">
        <v>2653</v>
      </c>
      <c r="K475" t="s">
        <v>5701</v>
      </c>
      <c r="M475" t="s">
        <v>4796</v>
      </c>
      <c r="W475" t="s">
        <v>780</v>
      </c>
      <c r="X475" t="s">
        <v>807</v>
      </c>
      <c r="Z475" s="31">
        <v>46142</v>
      </c>
      <c r="AA475">
        <v>27150</v>
      </c>
      <c r="AB475">
        <v>3450</v>
      </c>
      <c r="AC475">
        <v>79</v>
      </c>
      <c r="AD475" t="s">
        <v>31</v>
      </c>
      <c r="AE475" s="31">
        <v>46076</v>
      </c>
      <c r="AF475" s="61">
        <v>0.50876157407407407</v>
      </c>
      <c r="AH475" t="s">
        <v>795</v>
      </c>
      <c r="AI475" s="31">
        <v>46155</v>
      </c>
      <c r="AJ475" s="61">
        <v>0.45373842592592589</v>
      </c>
      <c r="AK475" t="s">
        <v>858</v>
      </c>
      <c r="AN475" t="s">
        <v>401</v>
      </c>
      <c r="AO475" t="s">
        <v>31</v>
      </c>
      <c r="AP475" t="s">
        <v>401</v>
      </c>
      <c r="AR475" s="31">
        <v>46155</v>
      </c>
      <c r="AS475">
        <v>30</v>
      </c>
      <c r="AU475" t="s">
        <v>63</v>
      </c>
      <c r="AX475">
        <v>1</v>
      </c>
    </row>
    <row r="476" spans="1:50" x14ac:dyDescent="0.25">
      <c r="A476" t="s">
        <v>44</v>
      </c>
      <c r="B476">
        <v>961</v>
      </c>
      <c r="D476">
        <v>3287</v>
      </c>
      <c r="E476" t="s">
        <v>4799</v>
      </c>
      <c r="G476" t="s">
        <v>4800</v>
      </c>
      <c r="H476">
        <v>56556830000154</v>
      </c>
      <c r="J476" t="s">
        <v>4801</v>
      </c>
      <c r="K476" t="s">
        <v>5703</v>
      </c>
      <c r="M476" t="s">
        <v>4802</v>
      </c>
      <c r="S476" t="s">
        <v>2541</v>
      </c>
      <c r="V476" t="s">
        <v>5631</v>
      </c>
      <c r="W476" t="s">
        <v>780</v>
      </c>
      <c r="X476" t="s">
        <v>897</v>
      </c>
      <c r="Z476" s="31">
        <v>46081</v>
      </c>
      <c r="AC476">
        <v>2</v>
      </c>
      <c r="AD476" t="s">
        <v>22</v>
      </c>
      <c r="AE476" s="31">
        <v>46077</v>
      </c>
      <c r="AF476" s="61">
        <v>0.40216435185185179</v>
      </c>
      <c r="AH476" t="s">
        <v>795</v>
      </c>
      <c r="AI476" s="31">
        <v>46079</v>
      </c>
      <c r="AJ476" s="61">
        <v>0.96589120370370374</v>
      </c>
      <c r="AK476" t="s">
        <v>5392</v>
      </c>
      <c r="AO476" t="s">
        <v>44</v>
      </c>
      <c r="AR476" s="31">
        <v>46078</v>
      </c>
      <c r="AS476">
        <v>30</v>
      </c>
      <c r="AX476">
        <v>1</v>
      </c>
    </row>
    <row r="477" spans="1:50" x14ac:dyDescent="0.25">
      <c r="A477" t="s">
        <v>31</v>
      </c>
      <c r="B477">
        <v>962</v>
      </c>
      <c r="D477">
        <v>3290</v>
      </c>
      <c r="E477" t="s">
        <v>4803</v>
      </c>
      <c r="G477" t="s">
        <v>4804</v>
      </c>
      <c r="J477" t="s">
        <v>923</v>
      </c>
      <c r="K477" t="s">
        <v>5704</v>
      </c>
      <c r="M477" t="s">
        <v>4805</v>
      </c>
      <c r="S477" t="s">
        <v>2541</v>
      </c>
      <c r="V477" t="s">
        <v>5650</v>
      </c>
      <c r="W477" t="s">
        <v>780</v>
      </c>
      <c r="X477" t="s">
        <v>781</v>
      </c>
      <c r="Z477" s="31">
        <v>46081</v>
      </c>
      <c r="AC477">
        <v>74</v>
      </c>
      <c r="AD477" t="s">
        <v>22</v>
      </c>
      <c r="AE477" s="31">
        <v>46077</v>
      </c>
      <c r="AF477" s="61">
        <v>0.40444444444444438</v>
      </c>
      <c r="AH477" t="s">
        <v>795</v>
      </c>
      <c r="AI477" s="31">
        <v>46151</v>
      </c>
      <c r="AJ477" s="61">
        <v>0.3674189814814815</v>
      </c>
      <c r="AK477" t="s">
        <v>5377</v>
      </c>
      <c r="AO477" t="s">
        <v>31</v>
      </c>
      <c r="AR477" s="31">
        <v>46079</v>
      </c>
      <c r="AS477">
        <v>30</v>
      </c>
      <c r="AX477">
        <v>1</v>
      </c>
    </row>
    <row r="478" spans="1:50" x14ac:dyDescent="0.25">
      <c r="A478" t="s">
        <v>22</v>
      </c>
      <c r="B478">
        <v>963</v>
      </c>
      <c r="D478">
        <v>3293</v>
      </c>
      <c r="E478" t="s">
        <v>4806</v>
      </c>
      <c r="G478" t="s">
        <v>4807</v>
      </c>
      <c r="J478" t="s">
        <v>4808</v>
      </c>
      <c r="K478" t="s">
        <v>5705</v>
      </c>
      <c r="M478" t="s">
        <v>4809</v>
      </c>
      <c r="S478" t="s">
        <v>2541</v>
      </c>
      <c r="V478" t="s">
        <v>5631</v>
      </c>
      <c r="W478" t="s">
        <v>780</v>
      </c>
      <c r="X478" t="s">
        <v>781</v>
      </c>
      <c r="Z478" s="31">
        <v>46081</v>
      </c>
      <c r="AC478">
        <v>2</v>
      </c>
      <c r="AD478" t="s">
        <v>22</v>
      </c>
      <c r="AE478" s="31">
        <v>46077</v>
      </c>
      <c r="AF478" s="61">
        <v>0.40696759259259258</v>
      </c>
      <c r="AH478" t="s">
        <v>795</v>
      </c>
      <c r="AI478" s="31">
        <v>46079</v>
      </c>
      <c r="AJ478" s="61">
        <v>0.72960648148148144</v>
      </c>
      <c r="AK478" t="s">
        <v>5392</v>
      </c>
      <c r="AL478" t="s">
        <v>4806</v>
      </c>
      <c r="AO478" t="s">
        <v>22</v>
      </c>
      <c r="AR478" s="31"/>
      <c r="AS478">
        <v>30</v>
      </c>
      <c r="AU478" t="s">
        <v>578</v>
      </c>
      <c r="AX478">
        <v>1</v>
      </c>
    </row>
    <row r="479" spans="1:50" x14ac:dyDescent="0.25">
      <c r="A479" t="s">
        <v>22</v>
      </c>
      <c r="B479">
        <v>964</v>
      </c>
      <c r="D479">
        <v>3294</v>
      </c>
      <c r="E479" t="s">
        <v>4810</v>
      </c>
      <c r="G479" t="s">
        <v>4811</v>
      </c>
      <c r="J479" t="s">
        <v>3600</v>
      </c>
      <c r="K479" t="s">
        <v>4812</v>
      </c>
      <c r="M479" t="s">
        <v>4813</v>
      </c>
      <c r="Q479" t="s">
        <v>1523</v>
      </c>
      <c r="S479" t="s">
        <v>814</v>
      </c>
      <c r="V479" t="s">
        <v>5706</v>
      </c>
      <c r="W479" t="s">
        <v>780</v>
      </c>
      <c r="X479" t="s">
        <v>897</v>
      </c>
      <c r="Z479" s="31">
        <v>46081</v>
      </c>
      <c r="AC479">
        <v>16</v>
      </c>
      <c r="AD479" t="s">
        <v>22</v>
      </c>
      <c r="AE479" s="31">
        <v>46077</v>
      </c>
      <c r="AF479" s="61">
        <v>0.4085300925925926</v>
      </c>
      <c r="AH479" t="s">
        <v>795</v>
      </c>
      <c r="AI479" s="31">
        <v>46093</v>
      </c>
      <c r="AJ479" s="61">
        <v>0.72965277777777782</v>
      </c>
      <c r="AK479" t="s">
        <v>5392</v>
      </c>
      <c r="AO479" t="s">
        <v>22</v>
      </c>
      <c r="AP479" t="s">
        <v>458</v>
      </c>
      <c r="AR479" s="31">
        <v>46093</v>
      </c>
      <c r="AS479">
        <v>30</v>
      </c>
      <c r="AX479">
        <v>1</v>
      </c>
    </row>
    <row r="480" spans="1:50" x14ac:dyDescent="0.25">
      <c r="A480" t="s">
        <v>44</v>
      </c>
      <c r="B480">
        <v>965</v>
      </c>
      <c r="D480">
        <v>3295</v>
      </c>
      <c r="E480" t="s">
        <v>5707</v>
      </c>
      <c r="G480" t="s">
        <v>4816</v>
      </c>
      <c r="J480" t="s">
        <v>4817</v>
      </c>
      <c r="K480" t="s">
        <v>5708</v>
      </c>
      <c r="M480" t="s">
        <v>4818</v>
      </c>
      <c r="S480" t="s">
        <v>2541</v>
      </c>
      <c r="V480" t="s">
        <v>5631</v>
      </c>
      <c r="W480" t="s">
        <v>780</v>
      </c>
      <c r="X480" t="s">
        <v>897</v>
      </c>
      <c r="Z480" s="31">
        <v>46081</v>
      </c>
      <c r="AC480">
        <v>1</v>
      </c>
      <c r="AD480" t="s">
        <v>22</v>
      </c>
      <c r="AE480" s="31">
        <v>46077</v>
      </c>
      <c r="AF480" s="61">
        <v>0.40925925925925932</v>
      </c>
      <c r="AH480" t="s">
        <v>795</v>
      </c>
      <c r="AI480" s="31">
        <v>46078</v>
      </c>
      <c r="AJ480" s="61">
        <v>0.45694444444444438</v>
      </c>
      <c r="AK480" t="s">
        <v>5392</v>
      </c>
      <c r="AL480" t="s">
        <v>5709</v>
      </c>
      <c r="AO480" t="s">
        <v>44</v>
      </c>
      <c r="AR480" s="31">
        <v>46078</v>
      </c>
      <c r="AS480">
        <v>30</v>
      </c>
      <c r="AX480">
        <v>1</v>
      </c>
    </row>
    <row r="481" spans="1:50" x14ac:dyDescent="0.25">
      <c r="A481" t="s">
        <v>31</v>
      </c>
      <c r="B481">
        <v>966</v>
      </c>
      <c r="D481">
        <v>3296</v>
      </c>
      <c r="G481" t="s">
        <v>4820</v>
      </c>
      <c r="J481" t="s">
        <v>4821</v>
      </c>
      <c r="K481" t="s">
        <v>5710</v>
      </c>
      <c r="M481" t="s">
        <v>4822</v>
      </c>
      <c r="S481" t="s">
        <v>2541</v>
      </c>
      <c r="V481" t="s">
        <v>5631</v>
      </c>
      <c r="W481" t="s">
        <v>780</v>
      </c>
      <c r="X481" t="s">
        <v>781</v>
      </c>
      <c r="Z481" s="31">
        <v>46112</v>
      </c>
      <c r="AC481">
        <v>74</v>
      </c>
      <c r="AD481" t="s">
        <v>22</v>
      </c>
      <c r="AE481" s="31">
        <v>46077</v>
      </c>
      <c r="AF481" s="61">
        <v>0.41028935185185178</v>
      </c>
      <c r="AH481" t="s">
        <v>795</v>
      </c>
      <c r="AI481" s="31">
        <v>46151</v>
      </c>
      <c r="AJ481" s="61">
        <v>0.8828125</v>
      </c>
      <c r="AK481" t="s">
        <v>5657</v>
      </c>
      <c r="AO481" t="s">
        <v>31</v>
      </c>
      <c r="AR481" s="31">
        <v>46090</v>
      </c>
      <c r="AS481">
        <v>30</v>
      </c>
      <c r="AX481">
        <v>1</v>
      </c>
    </row>
    <row r="482" spans="1:50" x14ac:dyDescent="0.25">
      <c r="A482" t="s">
        <v>44</v>
      </c>
      <c r="B482">
        <v>967</v>
      </c>
      <c r="D482">
        <v>3300</v>
      </c>
      <c r="E482" t="s">
        <v>4824</v>
      </c>
      <c r="G482" t="s">
        <v>450</v>
      </c>
      <c r="J482" t="s">
        <v>4825</v>
      </c>
      <c r="K482" t="s">
        <v>5711</v>
      </c>
      <c r="M482" t="s">
        <v>4826</v>
      </c>
      <c r="S482" t="s">
        <v>2541</v>
      </c>
      <c r="V482" t="s">
        <v>5628</v>
      </c>
      <c r="W482" t="s">
        <v>780</v>
      </c>
      <c r="X482" t="s">
        <v>793</v>
      </c>
      <c r="Z482" s="31">
        <v>46111</v>
      </c>
      <c r="AA482">
        <v>758068</v>
      </c>
      <c r="AB482">
        <v>9596</v>
      </c>
      <c r="AC482">
        <v>13</v>
      </c>
      <c r="AD482" t="s">
        <v>22</v>
      </c>
      <c r="AE482" s="31">
        <v>46077</v>
      </c>
      <c r="AF482" s="61">
        <v>0.4112615740740741</v>
      </c>
      <c r="AH482" t="s">
        <v>795</v>
      </c>
      <c r="AI482" s="31">
        <v>46090</v>
      </c>
      <c r="AJ482" s="61">
        <v>0.44912037037037039</v>
      </c>
      <c r="AK482" t="s">
        <v>5338</v>
      </c>
      <c r="AL482" t="s">
        <v>4827</v>
      </c>
      <c r="AN482" t="s">
        <v>380</v>
      </c>
      <c r="AO482" t="s">
        <v>44</v>
      </c>
      <c r="AP482" t="s">
        <v>4762</v>
      </c>
      <c r="AR482" s="31">
        <v>46090</v>
      </c>
      <c r="AS482">
        <v>30</v>
      </c>
      <c r="AX482">
        <v>1</v>
      </c>
    </row>
    <row r="483" spans="1:50" x14ac:dyDescent="0.25">
      <c r="A483" t="s">
        <v>22</v>
      </c>
      <c r="B483">
        <v>968</v>
      </c>
      <c r="D483">
        <v>3288</v>
      </c>
      <c r="E483" t="s">
        <v>4828</v>
      </c>
      <c r="G483" t="s">
        <v>4829</v>
      </c>
      <c r="J483" t="s">
        <v>4830</v>
      </c>
      <c r="K483" t="s">
        <v>4831</v>
      </c>
      <c r="M483" t="s">
        <v>4832</v>
      </c>
      <c r="Q483" t="s">
        <v>4833</v>
      </c>
      <c r="S483" t="s">
        <v>814</v>
      </c>
      <c r="V483" t="s">
        <v>1198</v>
      </c>
      <c r="W483" t="s">
        <v>780</v>
      </c>
      <c r="X483" t="s">
        <v>897</v>
      </c>
      <c r="Z483" s="31">
        <v>46081</v>
      </c>
      <c r="AC483">
        <v>2</v>
      </c>
      <c r="AD483" t="s">
        <v>22</v>
      </c>
      <c r="AE483" s="31">
        <v>46077</v>
      </c>
      <c r="AF483" s="61">
        <v>0.41268518518518521</v>
      </c>
      <c r="AH483" t="s">
        <v>795</v>
      </c>
      <c r="AI483" s="31">
        <v>46079</v>
      </c>
      <c r="AJ483" s="61">
        <v>0.77306712962962965</v>
      </c>
      <c r="AK483" t="s">
        <v>5392</v>
      </c>
      <c r="AO483" t="s">
        <v>22</v>
      </c>
      <c r="AR483" s="31"/>
      <c r="AS483">
        <v>30</v>
      </c>
      <c r="AX483">
        <v>1</v>
      </c>
    </row>
    <row r="484" spans="1:50" x14ac:dyDescent="0.25">
      <c r="A484" t="s">
        <v>31</v>
      </c>
      <c r="B484">
        <v>969</v>
      </c>
      <c r="D484">
        <v>3304</v>
      </c>
      <c r="G484" t="s">
        <v>396</v>
      </c>
      <c r="H484">
        <v>64688089000103</v>
      </c>
      <c r="J484" t="s">
        <v>802</v>
      </c>
      <c r="K484" t="s">
        <v>3905</v>
      </c>
      <c r="M484" t="s">
        <v>4835</v>
      </c>
      <c r="Q484" t="s">
        <v>993</v>
      </c>
      <c r="R484" t="s">
        <v>932</v>
      </c>
      <c r="W484" t="s">
        <v>780</v>
      </c>
      <c r="X484" t="s">
        <v>793</v>
      </c>
      <c r="Z484" s="31">
        <v>46203</v>
      </c>
      <c r="AA484">
        <v>5191686</v>
      </c>
      <c r="AB484">
        <v>50562</v>
      </c>
      <c r="AC484">
        <v>16</v>
      </c>
      <c r="AD484" t="s">
        <v>31</v>
      </c>
      <c r="AE484" s="31">
        <v>46077</v>
      </c>
      <c r="AF484" s="61">
        <v>0.5290393518518518</v>
      </c>
      <c r="AH484" t="s">
        <v>795</v>
      </c>
      <c r="AI484" s="31">
        <v>46093</v>
      </c>
      <c r="AJ484" s="61">
        <v>0.71856481481481482</v>
      </c>
      <c r="AK484" t="s">
        <v>5347</v>
      </c>
      <c r="AN484" t="s">
        <v>4836</v>
      </c>
      <c r="AO484" t="s">
        <v>31</v>
      </c>
      <c r="AP484" t="s">
        <v>4668</v>
      </c>
      <c r="AR484" s="31">
        <v>46093</v>
      </c>
      <c r="AS484">
        <v>30</v>
      </c>
      <c r="AU484" t="s">
        <v>321</v>
      </c>
      <c r="AX484">
        <v>1</v>
      </c>
    </row>
    <row r="485" spans="1:50" x14ac:dyDescent="0.25">
      <c r="A485" t="s">
        <v>31</v>
      </c>
      <c r="B485">
        <v>971</v>
      </c>
      <c r="D485">
        <v>3303</v>
      </c>
      <c r="G485" t="s">
        <v>4837</v>
      </c>
      <c r="H485">
        <v>1397620000179</v>
      </c>
      <c r="J485" t="s">
        <v>4838</v>
      </c>
      <c r="K485" t="s">
        <v>5712</v>
      </c>
      <c r="M485" t="s">
        <v>4839</v>
      </c>
      <c r="S485" t="s">
        <v>2541</v>
      </c>
      <c r="V485" t="s">
        <v>5631</v>
      </c>
      <c r="W485" t="s">
        <v>780</v>
      </c>
      <c r="X485" t="s">
        <v>781</v>
      </c>
      <c r="Z485" s="31">
        <v>46081</v>
      </c>
      <c r="AC485">
        <v>73</v>
      </c>
      <c r="AD485" t="s">
        <v>22</v>
      </c>
      <c r="AE485" s="31">
        <v>46078</v>
      </c>
      <c r="AF485" s="61">
        <v>0.64763888888888888</v>
      </c>
      <c r="AH485" t="s">
        <v>795</v>
      </c>
      <c r="AI485" s="31">
        <v>46151</v>
      </c>
      <c r="AJ485" s="61">
        <v>0.36768518518518523</v>
      </c>
      <c r="AK485" t="s">
        <v>5377</v>
      </c>
      <c r="AO485" t="s">
        <v>31</v>
      </c>
      <c r="AR485" s="31"/>
      <c r="AS485">
        <v>27</v>
      </c>
      <c r="AX485">
        <v>1</v>
      </c>
    </row>
    <row r="486" spans="1:50" x14ac:dyDescent="0.25">
      <c r="A486" t="s">
        <v>44</v>
      </c>
      <c r="B486">
        <v>972</v>
      </c>
      <c r="D486">
        <v>3305</v>
      </c>
      <c r="E486" t="s">
        <v>5713</v>
      </c>
      <c r="G486" t="s">
        <v>457</v>
      </c>
      <c r="H486">
        <v>51119265000144</v>
      </c>
      <c r="J486" t="s">
        <v>4841</v>
      </c>
      <c r="K486" t="s">
        <v>4842</v>
      </c>
      <c r="M486" t="s">
        <v>4843</v>
      </c>
      <c r="Q486" t="s">
        <v>4844</v>
      </c>
      <c r="R486" t="s">
        <v>790</v>
      </c>
      <c r="S486" t="s">
        <v>2541</v>
      </c>
      <c r="V486" t="s">
        <v>5650</v>
      </c>
      <c r="W486" t="s">
        <v>780</v>
      </c>
      <c r="X486" t="s">
        <v>793</v>
      </c>
      <c r="Z486" s="31">
        <v>46078</v>
      </c>
      <c r="AA486">
        <v>5842744</v>
      </c>
      <c r="AB486">
        <v>145888</v>
      </c>
      <c r="AC486">
        <v>15</v>
      </c>
      <c r="AD486" t="s">
        <v>22</v>
      </c>
      <c r="AE486" s="31">
        <v>46078</v>
      </c>
      <c r="AF486" s="61">
        <v>0.64827546296296301</v>
      </c>
      <c r="AH486" t="s">
        <v>795</v>
      </c>
      <c r="AI486" s="31">
        <v>46093</v>
      </c>
      <c r="AJ486" s="61">
        <v>0.45283564814814808</v>
      </c>
      <c r="AK486" t="s">
        <v>934</v>
      </c>
      <c r="AL486" t="s">
        <v>5714</v>
      </c>
      <c r="AN486" t="s">
        <v>458</v>
      </c>
      <c r="AO486" t="s">
        <v>44</v>
      </c>
      <c r="AP486" t="s">
        <v>458</v>
      </c>
      <c r="AR486" s="31">
        <v>46093</v>
      </c>
      <c r="AS486">
        <v>30</v>
      </c>
      <c r="AX486">
        <v>1</v>
      </c>
    </row>
    <row r="487" spans="1:50" x14ac:dyDescent="0.25">
      <c r="A487" t="s">
        <v>44</v>
      </c>
      <c r="B487">
        <v>973</v>
      </c>
      <c r="D487">
        <v>3309</v>
      </c>
      <c r="E487" t="s">
        <v>5715</v>
      </c>
      <c r="G487" t="s">
        <v>4847</v>
      </c>
      <c r="H487">
        <v>13994329000167</v>
      </c>
      <c r="J487" t="s">
        <v>4848</v>
      </c>
      <c r="K487" t="s">
        <v>4849</v>
      </c>
      <c r="M487" t="s">
        <v>4850</v>
      </c>
      <c r="Q487" t="s">
        <v>4851</v>
      </c>
      <c r="R487" t="s">
        <v>1105</v>
      </c>
      <c r="S487" t="s">
        <v>1191</v>
      </c>
      <c r="V487" t="s">
        <v>5631</v>
      </c>
      <c r="W487" t="s">
        <v>780</v>
      </c>
      <c r="X487" t="s">
        <v>897</v>
      </c>
      <c r="Z487" s="31">
        <v>46081</v>
      </c>
      <c r="AC487">
        <v>1</v>
      </c>
      <c r="AD487" t="s">
        <v>22</v>
      </c>
      <c r="AE487" s="31">
        <v>46078</v>
      </c>
      <c r="AF487" s="61">
        <v>0.89695601851851847</v>
      </c>
      <c r="AH487" t="s">
        <v>795</v>
      </c>
      <c r="AI487" s="31">
        <v>46079</v>
      </c>
      <c r="AJ487" s="61">
        <v>0.96399305555555559</v>
      </c>
      <c r="AK487" t="s">
        <v>5392</v>
      </c>
      <c r="AO487" t="s">
        <v>44</v>
      </c>
      <c r="AR487" s="31"/>
      <c r="AS487">
        <v>30</v>
      </c>
      <c r="AX487">
        <v>1</v>
      </c>
    </row>
    <row r="488" spans="1:50" x14ac:dyDescent="0.25">
      <c r="A488" t="s">
        <v>31</v>
      </c>
      <c r="B488">
        <v>974</v>
      </c>
      <c r="D488">
        <v>3312</v>
      </c>
      <c r="G488" t="s">
        <v>4852</v>
      </c>
      <c r="J488" t="s">
        <v>4853</v>
      </c>
      <c r="K488" t="s">
        <v>5716</v>
      </c>
      <c r="M488" t="s">
        <v>4854</v>
      </c>
      <c r="S488" t="s">
        <v>2541</v>
      </c>
      <c r="V488" t="s">
        <v>5631</v>
      </c>
      <c r="W488" t="s">
        <v>780</v>
      </c>
      <c r="X488" t="s">
        <v>781</v>
      </c>
      <c r="Z488" s="31">
        <v>46173</v>
      </c>
      <c r="AC488">
        <v>72</v>
      </c>
      <c r="AD488" t="s">
        <v>22</v>
      </c>
      <c r="AE488" s="31">
        <v>46079</v>
      </c>
      <c r="AF488" s="61">
        <v>0.39581018518518518</v>
      </c>
      <c r="AH488" t="s">
        <v>795</v>
      </c>
      <c r="AI488" s="31">
        <v>46151</v>
      </c>
      <c r="AJ488" s="61">
        <v>0.36804398148148149</v>
      </c>
      <c r="AK488" t="s">
        <v>5377</v>
      </c>
      <c r="AO488" t="s">
        <v>31</v>
      </c>
      <c r="AR488" s="31">
        <v>46084</v>
      </c>
      <c r="AS488">
        <v>30</v>
      </c>
      <c r="AX488">
        <v>1</v>
      </c>
    </row>
    <row r="489" spans="1:50" x14ac:dyDescent="0.25">
      <c r="A489" t="s">
        <v>22</v>
      </c>
      <c r="B489">
        <v>976</v>
      </c>
      <c r="D489">
        <v>3314</v>
      </c>
      <c r="E489" t="s">
        <v>4855</v>
      </c>
      <c r="G489" t="s">
        <v>465</v>
      </c>
      <c r="H489">
        <v>22228036000160</v>
      </c>
      <c r="J489" t="s">
        <v>4856</v>
      </c>
      <c r="K489" t="s">
        <v>4857</v>
      </c>
      <c r="M489" t="s">
        <v>4858</v>
      </c>
      <c r="Q489" t="s">
        <v>4859</v>
      </c>
      <c r="R489" t="s">
        <v>790</v>
      </c>
      <c r="S489" t="s">
        <v>814</v>
      </c>
      <c r="V489" t="s">
        <v>5655</v>
      </c>
      <c r="W489" t="s">
        <v>780</v>
      </c>
      <c r="X489" t="s">
        <v>793</v>
      </c>
      <c r="Z489" s="31">
        <v>46112</v>
      </c>
      <c r="AC489">
        <v>22</v>
      </c>
      <c r="AD489" t="s">
        <v>22</v>
      </c>
      <c r="AE489" s="31">
        <v>46079</v>
      </c>
      <c r="AF489" s="61">
        <v>0.65738425925925925</v>
      </c>
      <c r="AH489" t="s">
        <v>795</v>
      </c>
      <c r="AI489" s="31">
        <v>46101</v>
      </c>
      <c r="AJ489" s="61">
        <v>0.72321759259259255</v>
      </c>
      <c r="AK489" t="s">
        <v>5338</v>
      </c>
      <c r="AN489" t="s">
        <v>395</v>
      </c>
      <c r="AO489" t="s">
        <v>22</v>
      </c>
      <c r="AP489" t="s">
        <v>395</v>
      </c>
      <c r="AR489" s="31">
        <v>46101</v>
      </c>
      <c r="AS489">
        <v>32</v>
      </c>
      <c r="AU489" t="s">
        <v>321</v>
      </c>
      <c r="AX489">
        <v>1</v>
      </c>
    </row>
    <row r="490" spans="1:50" x14ac:dyDescent="0.25">
      <c r="A490" t="s">
        <v>22</v>
      </c>
      <c r="B490">
        <v>977</v>
      </c>
      <c r="D490">
        <v>3318</v>
      </c>
      <c r="E490" t="s">
        <v>4860</v>
      </c>
      <c r="G490" t="s">
        <v>470</v>
      </c>
      <c r="H490">
        <v>82270893000150</v>
      </c>
      <c r="J490" t="s">
        <v>5717</v>
      </c>
      <c r="K490" t="s">
        <v>4862</v>
      </c>
      <c r="M490" t="s">
        <v>4863</v>
      </c>
      <c r="Q490" t="s">
        <v>4864</v>
      </c>
      <c r="R490" t="s">
        <v>1699</v>
      </c>
      <c r="W490" t="s">
        <v>780</v>
      </c>
      <c r="X490" t="s">
        <v>816</v>
      </c>
      <c r="Z490" s="31">
        <v>46081</v>
      </c>
      <c r="AA490">
        <v>35870</v>
      </c>
      <c r="AB490">
        <v>5290</v>
      </c>
      <c r="AC490">
        <v>12</v>
      </c>
      <c r="AD490" t="s">
        <v>22</v>
      </c>
      <c r="AE490" s="31">
        <v>46079</v>
      </c>
      <c r="AF490" s="61">
        <v>0.65870370370370368</v>
      </c>
      <c r="AH490" t="s">
        <v>795</v>
      </c>
      <c r="AI490" s="31">
        <v>46091</v>
      </c>
      <c r="AJ490" s="61">
        <v>0.48899305555555561</v>
      </c>
      <c r="AK490" t="s">
        <v>858</v>
      </c>
      <c r="AN490" t="s">
        <v>395</v>
      </c>
      <c r="AO490" t="s">
        <v>22</v>
      </c>
      <c r="AP490" t="s">
        <v>4762</v>
      </c>
      <c r="AR490" s="31"/>
      <c r="AS490">
        <v>30</v>
      </c>
      <c r="AT490" t="s">
        <v>5718</v>
      </c>
      <c r="AU490" t="s">
        <v>63</v>
      </c>
      <c r="AX490">
        <v>1</v>
      </c>
    </row>
    <row r="491" spans="1:50" x14ac:dyDescent="0.25">
      <c r="A491" t="s">
        <v>44</v>
      </c>
      <c r="B491">
        <v>978</v>
      </c>
      <c r="D491">
        <v>3323</v>
      </c>
      <c r="E491" t="s">
        <v>5714</v>
      </c>
      <c r="G491" t="s">
        <v>5719</v>
      </c>
      <c r="J491" t="s">
        <v>5720</v>
      </c>
      <c r="K491" t="s">
        <v>5721</v>
      </c>
      <c r="M491" t="s">
        <v>4843</v>
      </c>
      <c r="W491" t="s">
        <v>780</v>
      </c>
      <c r="X491" t="s">
        <v>793</v>
      </c>
      <c r="Z491" s="31"/>
      <c r="AA491">
        <v>1105989</v>
      </c>
      <c r="AB491">
        <v>29463</v>
      </c>
      <c r="AC491">
        <v>14</v>
      </c>
      <c r="AD491" t="s">
        <v>44</v>
      </c>
      <c r="AE491" s="31">
        <v>46079</v>
      </c>
      <c r="AF491" s="61">
        <v>0.72268518518518521</v>
      </c>
      <c r="AH491" t="s">
        <v>795</v>
      </c>
      <c r="AI491" s="31">
        <v>46093</v>
      </c>
      <c r="AJ491" s="61">
        <v>0.45361111111111108</v>
      </c>
      <c r="AK491" t="s">
        <v>934</v>
      </c>
      <c r="AL491" t="s">
        <v>5714</v>
      </c>
      <c r="AN491" t="s">
        <v>458</v>
      </c>
      <c r="AP491" t="s">
        <v>458</v>
      </c>
      <c r="AR491" s="31">
        <v>46094</v>
      </c>
      <c r="AS491">
        <v>30</v>
      </c>
      <c r="AX491">
        <v>1</v>
      </c>
    </row>
    <row r="492" spans="1:50" x14ac:dyDescent="0.25">
      <c r="A492" t="s">
        <v>44</v>
      </c>
      <c r="B492">
        <v>979</v>
      </c>
      <c r="D492">
        <v>3324</v>
      </c>
      <c r="E492" t="s">
        <v>5714</v>
      </c>
      <c r="G492" t="s">
        <v>5722</v>
      </c>
      <c r="J492" t="s">
        <v>5723</v>
      </c>
      <c r="K492" t="s">
        <v>5721</v>
      </c>
      <c r="M492" t="s">
        <v>4843</v>
      </c>
      <c r="W492" t="s">
        <v>780</v>
      </c>
      <c r="X492" t="s">
        <v>793</v>
      </c>
      <c r="Z492" s="31"/>
      <c r="AA492">
        <v>1600</v>
      </c>
      <c r="AB492">
        <v>252471</v>
      </c>
      <c r="AC492">
        <v>14</v>
      </c>
      <c r="AD492" t="s">
        <v>44</v>
      </c>
      <c r="AE492" s="31">
        <v>46079</v>
      </c>
      <c r="AF492" s="61">
        <v>0.73281249999999998</v>
      </c>
      <c r="AH492" t="s">
        <v>795</v>
      </c>
      <c r="AI492" s="31">
        <v>46093</v>
      </c>
      <c r="AJ492" s="61">
        <v>0.45197916666666671</v>
      </c>
      <c r="AK492" t="s">
        <v>934</v>
      </c>
      <c r="AL492" t="s">
        <v>5714</v>
      </c>
      <c r="AM492" t="s">
        <v>4733</v>
      </c>
      <c r="AN492" t="s">
        <v>458</v>
      </c>
      <c r="AR492" s="31"/>
      <c r="AS492">
        <v>30</v>
      </c>
      <c r="AX492">
        <v>1</v>
      </c>
    </row>
    <row r="493" spans="1:50" x14ac:dyDescent="0.25">
      <c r="A493" t="s">
        <v>22</v>
      </c>
      <c r="B493">
        <v>980</v>
      </c>
      <c r="D493">
        <v>3325</v>
      </c>
      <c r="G493" t="s">
        <v>475</v>
      </c>
      <c r="H493">
        <v>23059521000110</v>
      </c>
      <c r="J493" t="s">
        <v>4867</v>
      </c>
      <c r="K493" t="s">
        <v>4868</v>
      </c>
      <c r="Q493" t="s">
        <v>4869</v>
      </c>
      <c r="R493" t="s">
        <v>932</v>
      </c>
      <c r="W493" t="s">
        <v>780</v>
      </c>
      <c r="X493" t="s">
        <v>816</v>
      </c>
      <c r="Z493" s="31">
        <v>46081</v>
      </c>
      <c r="AA493">
        <v>7470289</v>
      </c>
      <c r="AB493">
        <v>1221612</v>
      </c>
      <c r="AC493">
        <v>0</v>
      </c>
      <c r="AD493" t="s">
        <v>22</v>
      </c>
      <c r="AE493" s="31">
        <v>46079</v>
      </c>
      <c r="AF493" s="61">
        <v>0.91543981481481485</v>
      </c>
      <c r="AH493" t="s">
        <v>818</v>
      </c>
      <c r="AI493" s="31">
        <v>46079</v>
      </c>
      <c r="AJ493" s="61">
        <v>0.91915509259259254</v>
      </c>
      <c r="AN493" t="s">
        <v>458</v>
      </c>
      <c r="AO493" t="s">
        <v>22</v>
      </c>
      <c r="AP493" t="s">
        <v>511</v>
      </c>
      <c r="AR493" s="31"/>
      <c r="AS493">
        <v>90</v>
      </c>
      <c r="AU493" t="s">
        <v>4870</v>
      </c>
      <c r="AV493" t="s">
        <v>4871</v>
      </c>
      <c r="AW493" t="s">
        <v>4872</v>
      </c>
      <c r="AX493">
        <v>1</v>
      </c>
    </row>
    <row r="494" spans="1:50" x14ac:dyDescent="0.25">
      <c r="A494" t="s">
        <v>44</v>
      </c>
      <c r="B494">
        <v>981</v>
      </c>
      <c r="D494">
        <v>3328</v>
      </c>
      <c r="G494" t="s">
        <v>231</v>
      </c>
      <c r="J494" t="s">
        <v>5724</v>
      </c>
      <c r="K494" t="s">
        <v>5725</v>
      </c>
      <c r="M494" t="s">
        <v>3088</v>
      </c>
      <c r="W494" t="s">
        <v>780</v>
      </c>
      <c r="X494" t="s">
        <v>793</v>
      </c>
      <c r="Z494" s="31"/>
      <c r="AA494">
        <v>0</v>
      </c>
      <c r="AB494">
        <v>1900</v>
      </c>
      <c r="AC494">
        <v>76</v>
      </c>
      <c r="AD494" t="s">
        <v>44</v>
      </c>
      <c r="AE494" s="31">
        <v>46080</v>
      </c>
      <c r="AF494" s="61">
        <v>0.45732638888888888</v>
      </c>
      <c r="AH494" t="s">
        <v>795</v>
      </c>
      <c r="AI494" s="31">
        <v>46156</v>
      </c>
      <c r="AJ494" s="61">
        <v>0.6177893518518518</v>
      </c>
      <c r="AK494" t="s">
        <v>934</v>
      </c>
      <c r="AL494" t="s">
        <v>5678</v>
      </c>
      <c r="AN494" t="s">
        <v>5679</v>
      </c>
      <c r="AP494" t="s">
        <v>5680</v>
      </c>
      <c r="AQ494" t="s">
        <v>5679</v>
      </c>
      <c r="AR494" s="31">
        <v>46156</v>
      </c>
      <c r="AS494">
        <v>30</v>
      </c>
      <c r="AX494">
        <v>1</v>
      </c>
    </row>
    <row r="495" spans="1:50" x14ac:dyDescent="0.25">
      <c r="A495" t="s">
        <v>44</v>
      </c>
      <c r="B495">
        <v>982</v>
      </c>
      <c r="D495">
        <v>3329</v>
      </c>
      <c r="G495" t="s">
        <v>479</v>
      </c>
      <c r="J495" t="s">
        <v>4874</v>
      </c>
      <c r="K495" t="s">
        <v>3172</v>
      </c>
      <c r="M495" t="s">
        <v>3135</v>
      </c>
      <c r="W495" t="s">
        <v>780</v>
      </c>
      <c r="X495" t="s">
        <v>807</v>
      </c>
      <c r="Z495" s="31"/>
      <c r="AA495">
        <v>1600</v>
      </c>
      <c r="AB495">
        <v>252471</v>
      </c>
      <c r="AC495">
        <v>56</v>
      </c>
      <c r="AD495" t="s">
        <v>44</v>
      </c>
      <c r="AE495" s="31">
        <v>46080</v>
      </c>
      <c r="AF495" s="61">
        <v>0.51340277777777776</v>
      </c>
      <c r="AH495" t="s">
        <v>795</v>
      </c>
      <c r="AI495" s="31">
        <v>46136</v>
      </c>
      <c r="AJ495" s="61">
        <v>0.38449074074074069</v>
      </c>
      <c r="AK495" t="s">
        <v>934</v>
      </c>
      <c r="AL495" t="s">
        <v>5726</v>
      </c>
      <c r="AN495" t="s">
        <v>480</v>
      </c>
      <c r="AP495" t="s">
        <v>403</v>
      </c>
      <c r="AQ495" t="s">
        <v>480</v>
      </c>
      <c r="AR495" s="31"/>
      <c r="AS495">
        <v>30</v>
      </c>
      <c r="AX495">
        <v>1</v>
      </c>
    </row>
    <row r="496" spans="1:50" x14ac:dyDescent="0.25">
      <c r="A496" t="s">
        <v>44</v>
      </c>
      <c r="B496">
        <v>983</v>
      </c>
      <c r="D496">
        <v>3330</v>
      </c>
      <c r="G496" t="s">
        <v>4875</v>
      </c>
      <c r="J496" t="s">
        <v>4876</v>
      </c>
      <c r="K496" t="s">
        <v>5727</v>
      </c>
      <c r="M496" t="s">
        <v>1111</v>
      </c>
      <c r="W496" t="s">
        <v>780</v>
      </c>
      <c r="X496" t="s">
        <v>816</v>
      </c>
      <c r="Z496" s="31"/>
      <c r="AA496">
        <v>0</v>
      </c>
      <c r="AB496">
        <v>384454</v>
      </c>
      <c r="AC496">
        <v>33</v>
      </c>
      <c r="AD496" t="s">
        <v>44</v>
      </c>
      <c r="AE496" s="31">
        <v>46080</v>
      </c>
      <c r="AF496" s="61">
        <v>0.5448263888888889</v>
      </c>
      <c r="AH496" t="s">
        <v>818</v>
      </c>
      <c r="AI496" s="31">
        <v>46113</v>
      </c>
      <c r="AJ496" s="61">
        <v>0.44480324074074068</v>
      </c>
      <c r="AN496" t="s">
        <v>403</v>
      </c>
      <c r="AR496" s="31"/>
      <c r="AS496">
        <v>30</v>
      </c>
      <c r="AX496">
        <v>1</v>
      </c>
    </row>
    <row r="497" spans="1:50" x14ac:dyDescent="0.25">
      <c r="A497" t="s">
        <v>44</v>
      </c>
      <c r="B497">
        <v>984</v>
      </c>
      <c r="D497">
        <v>3331</v>
      </c>
      <c r="G497" t="s">
        <v>489</v>
      </c>
      <c r="J497" t="s">
        <v>4877</v>
      </c>
      <c r="K497" t="s">
        <v>5728</v>
      </c>
      <c r="M497" t="s">
        <v>3157</v>
      </c>
      <c r="W497" t="s">
        <v>780</v>
      </c>
      <c r="X497" t="s">
        <v>857</v>
      </c>
      <c r="Z497" s="31"/>
      <c r="AA497">
        <v>0</v>
      </c>
      <c r="AB497">
        <v>0</v>
      </c>
      <c r="AC497">
        <v>82</v>
      </c>
      <c r="AD497" t="s">
        <v>44</v>
      </c>
      <c r="AE497" s="31">
        <v>46080</v>
      </c>
      <c r="AF497" s="61">
        <v>0.54798611111111106</v>
      </c>
      <c r="AH497" t="s">
        <v>782</v>
      </c>
      <c r="AI497" s="31"/>
      <c r="AJ497" s="61"/>
      <c r="AP497" t="s">
        <v>5729</v>
      </c>
      <c r="AR497" s="31">
        <v>46141</v>
      </c>
      <c r="AS497">
        <v>30</v>
      </c>
      <c r="AX497">
        <v>1</v>
      </c>
    </row>
    <row r="498" spans="1:50" x14ac:dyDescent="0.25">
      <c r="A498" t="s">
        <v>22</v>
      </c>
      <c r="B498">
        <v>985</v>
      </c>
      <c r="D498">
        <v>3332</v>
      </c>
      <c r="E498" t="s">
        <v>4878</v>
      </c>
      <c r="G498" t="s">
        <v>481</v>
      </c>
      <c r="J498" t="s">
        <v>4879</v>
      </c>
      <c r="K498" t="s">
        <v>5730</v>
      </c>
      <c r="M498" t="s">
        <v>3168</v>
      </c>
      <c r="W498" t="s">
        <v>780</v>
      </c>
      <c r="X498" t="s">
        <v>816</v>
      </c>
      <c r="Z498" s="31">
        <v>46112</v>
      </c>
      <c r="AA498">
        <v>5007058</v>
      </c>
      <c r="AB498">
        <v>268966</v>
      </c>
      <c r="AC498">
        <v>42</v>
      </c>
      <c r="AD498" t="s">
        <v>22</v>
      </c>
      <c r="AE498" s="31">
        <v>46080</v>
      </c>
      <c r="AF498" s="61">
        <v>0.60878472222222224</v>
      </c>
      <c r="AH498" t="s">
        <v>795</v>
      </c>
      <c r="AI498" s="31">
        <v>46122</v>
      </c>
      <c r="AJ498" s="61">
        <v>0.66790509259259256</v>
      </c>
      <c r="AK498" t="s">
        <v>858</v>
      </c>
      <c r="AN498" t="s">
        <v>395</v>
      </c>
      <c r="AO498" t="s">
        <v>22</v>
      </c>
      <c r="AP498" t="s">
        <v>395</v>
      </c>
      <c r="AR498" s="31">
        <v>46093</v>
      </c>
      <c r="AS498">
        <v>30</v>
      </c>
      <c r="AT498" t="s">
        <v>5731</v>
      </c>
      <c r="AU498" t="s">
        <v>321</v>
      </c>
      <c r="AX498">
        <v>1</v>
      </c>
    </row>
    <row r="499" spans="1:50" x14ac:dyDescent="0.25">
      <c r="A499" t="s">
        <v>22</v>
      </c>
      <c r="B499">
        <v>987</v>
      </c>
      <c r="D499">
        <v>3334</v>
      </c>
      <c r="E499" t="s">
        <v>4880</v>
      </c>
      <c r="G499" t="s">
        <v>390</v>
      </c>
      <c r="H499">
        <v>7730144000142</v>
      </c>
      <c r="J499" t="s">
        <v>5732</v>
      </c>
      <c r="K499" t="s">
        <v>5733</v>
      </c>
      <c r="M499" t="s">
        <v>4882</v>
      </c>
      <c r="W499" t="s">
        <v>780</v>
      </c>
      <c r="X499" t="s">
        <v>807</v>
      </c>
      <c r="Z499" s="31">
        <v>46112</v>
      </c>
      <c r="AA499">
        <v>29800</v>
      </c>
      <c r="AB499">
        <v>4600</v>
      </c>
      <c r="AC499">
        <v>80</v>
      </c>
      <c r="AD499" t="s">
        <v>22</v>
      </c>
      <c r="AE499" s="31">
        <v>46080</v>
      </c>
      <c r="AF499" s="61">
        <v>0.89208333333333334</v>
      </c>
      <c r="AH499" t="s">
        <v>795</v>
      </c>
      <c r="AI499" s="31">
        <v>46160</v>
      </c>
      <c r="AJ499" s="61">
        <v>0.70453703703703707</v>
      </c>
      <c r="AK499" t="s">
        <v>5338</v>
      </c>
      <c r="AN499" t="s">
        <v>4706</v>
      </c>
      <c r="AO499" t="s">
        <v>22</v>
      </c>
      <c r="AP499" t="s">
        <v>4883</v>
      </c>
      <c r="AR499" s="31">
        <v>46101</v>
      </c>
      <c r="AS499">
        <v>30</v>
      </c>
      <c r="AU499" t="s">
        <v>63</v>
      </c>
      <c r="AX499">
        <v>1</v>
      </c>
    </row>
    <row r="500" spans="1:50" x14ac:dyDescent="0.25">
      <c r="A500" t="s">
        <v>31</v>
      </c>
      <c r="B500">
        <v>990</v>
      </c>
      <c r="D500">
        <v>3335</v>
      </c>
      <c r="E500" t="s">
        <v>4884</v>
      </c>
      <c r="G500" t="s">
        <v>4885</v>
      </c>
      <c r="H500">
        <v>15497764000616</v>
      </c>
      <c r="J500" t="s">
        <v>5734</v>
      </c>
      <c r="K500" t="s">
        <v>4887</v>
      </c>
      <c r="M500" t="s">
        <v>4888</v>
      </c>
      <c r="Q500" t="s">
        <v>4889</v>
      </c>
      <c r="R500" t="s">
        <v>932</v>
      </c>
      <c r="S500" t="s">
        <v>814</v>
      </c>
      <c r="V500" t="s">
        <v>5655</v>
      </c>
      <c r="W500" t="s">
        <v>780</v>
      </c>
      <c r="X500" t="s">
        <v>857</v>
      </c>
      <c r="Z500" s="31">
        <v>46203</v>
      </c>
      <c r="AC500">
        <v>35</v>
      </c>
      <c r="AD500" t="s">
        <v>22</v>
      </c>
      <c r="AE500" s="31">
        <v>46084</v>
      </c>
      <c r="AF500" s="61">
        <v>0.89053240740740736</v>
      </c>
      <c r="AH500" t="s">
        <v>795</v>
      </c>
      <c r="AI500" s="31">
        <v>46119</v>
      </c>
      <c r="AJ500" s="61">
        <v>0.45798611111111109</v>
      </c>
      <c r="AK500" t="s">
        <v>5338</v>
      </c>
      <c r="AO500" t="s">
        <v>31</v>
      </c>
      <c r="AR500" s="31">
        <v>46119</v>
      </c>
      <c r="AS500">
        <v>30</v>
      </c>
      <c r="AU500" t="s">
        <v>47</v>
      </c>
      <c r="AX500">
        <v>1</v>
      </c>
    </row>
    <row r="501" spans="1:50" x14ac:dyDescent="0.25">
      <c r="A501" t="s">
        <v>44</v>
      </c>
      <c r="B501">
        <v>991</v>
      </c>
      <c r="D501">
        <v>3339</v>
      </c>
      <c r="E501" t="s">
        <v>5735</v>
      </c>
      <c r="G501" t="s">
        <v>407</v>
      </c>
      <c r="H501">
        <v>5137778000160</v>
      </c>
      <c r="J501" t="s">
        <v>4891</v>
      </c>
      <c r="K501" t="s">
        <v>4892</v>
      </c>
      <c r="M501" t="s">
        <v>4893</v>
      </c>
      <c r="Q501" t="s">
        <v>4894</v>
      </c>
      <c r="S501" t="s">
        <v>814</v>
      </c>
      <c r="V501" t="s">
        <v>5655</v>
      </c>
      <c r="W501" t="s">
        <v>780</v>
      </c>
      <c r="X501" t="s">
        <v>857</v>
      </c>
      <c r="Z501" s="31">
        <v>46112</v>
      </c>
      <c r="AA501">
        <v>1104172</v>
      </c>
      <c r="AB501">
        <v>656776</v>
      </c>
      <c r="AC501">
        <v>20</v>
      </c>
      <c r="AD501" t="s">
        <v>22</v>
      </c>
      <c r="AE501" s="31">
        <v>46085</v>
      </c>
      <c r="AF501" s="61">
        <v>0.69291666666666663</v>
      </c>
      <c r="AH501" t="s">
        <v>795</v>
      </c>
      <c r="AI501" s="31">
        <v>46105</v>
      </c>
      <c r="AJ501" s="61">
        <v>0.64593750000000005</v>
      </c>
      <c r="AK501" t="s">
        <v>934</v>
      </c>
      <c r="AL501" t="s">
        <v>5736</v>
      </c>
      <c r="AN501" t="s">
        <v>4732</v>
      </c>
      <c r="AO501" t="s">
        <v>44</v>
      </c>
      <c r="AP501" t="s">
        <v>4732</v>
      </c>
      <c r="AR501" s="31">
        <v>46090</v>
      </c>
      <c r="AS501">
        <v>30</v>
      </c>
      <c r="AU501" t="s">
        <v>69</v>
      </c>
      <c r="AX501">
        <v>1</v>
      </c>
    </row>
    <row r="502" spans="1:50" x14ac:dyDescent="0.25">
      <c r="A502" t="s">
        <v>22</v>
      </c>
      <c r="B502">
        <v>993</v>
      </c>
      <c r="D502">
        <v>3342</v>
      </c>
      <c r="E502" t="s">
        <v>4896</v>
      </c>
      <c r="G502" t="s">
        <v>433</v>
      </c>
      <c r="H502">
        <v>43191819000196</v>
      </c>
      <c r="J502" t="s">
        <v>4897</v>
      </c>
      <c r="K502" t="s">
        <v>4898</v>
      </c>
      <c r="M502" t="s">
        <v>4899</v>
      </c>
      <c r="Q502" t="s">
        <v>4900</v>
      </c>
      <c r="R502" t="s">
        <v>1699</v>
      </c>
      <c r="W502" t="s">
        <v>780</v>
      </c>
      <c r="X502" t="s">
        <v>807</v>
      </c>
      <c r="Z502" s="31">
        <v>46112</v>
      </c>
      <c r="AA502">
        <v>895843</v>
      </c>
      <c r="AB502">
        <v>395308</v>
      </c>
      <c r="AC502">
        <v>36</v>
      </c>
      <c r="AD502" t="s">
        <v>22</v>
      </c>
      <c r="AE502" s="31">
        <v>46086</v>
      </c>
      <c r="AF502" s="61">
        <v>0.36936342592592591</v>
      </c>
      <c r="AH502" t="s">
        <v>795</v>
      </c>
      <c r="AI502" s="31">
        <v>46122</v>
      </c>
      <c r="AJ502" s="61">
        <v>0.72621527777777772</v>
      </c>
      <c r="AK502" t="s">
        <v>5347</v>
      </c>
      <c r="AN502" t="s">
        <v>4788</v>
      </c>
      <c r="AO502" t="s">
        <v>22</v>
      </c>
      <c r="AP502" t="s">
        <v>4679</v>
      </c>
      <c r="AR502" s="31">
        <v>46101</v>
      </c>
      <c r="AS502">
        <v>30</v>
      </c>
      <c r="AU502" t="s">
        <v>2932</v>
      </c>
      <c r="AX502">
        <v>1</v>
      </c>
    </row>
    <row r="503" spans="1:50" x14ac:dyDescent="0.25">
      <c r="A503" t="s">
        <v>31</v>
      </c>
      <c r="B503">
        <v>994</v>
      </c>
      <c r="D503">
        <v>3347</v>
      </c>
      <c r="E503" t="s">
        <v>4901</v>
      </c>
      <c r="F503" t="s">
        <v>4902</v>
      </c>
      <c r="G503" t="s">
        <v>4903</v>
      </c>
      <c r="H503">
        <v>61808531000523</v>
      </c>
      <c r="J503" t="s">
        <v>4902</v>
      </c>
      <c r="K503" t="s">
        <v>5737</v>
      </c>
      <c r="M503" t="s">
        <v>4905</v>
      </c>
      <c r="Q503" t="s">
        <v>1094</v>
      </c>
      <c r="R503" t="s">
        <v>790</v>
      </c>
      <c r="S503" t="s">
        <v>805</v>
      </c>
      <c r="W503" t="s">
        <v>780</v>
      </c>
      <c r="X503" t="s">
        <v>793</v>
      </c>
      <c r="Z503" s="31">
        <v>46142</v>
      </c>
      <c r="AC503">
        <v>76</v>
      </c>
      <c r="AD503" t="s">
        <v>31</v>
      </c>
      <c r="AE503" s="31">
        <v>46086</v>
      </c>
      <c r="AF503" s="61">
        <v>0.72510416666666666</v>
      </c>
      <c r="AH503" t="s">
        <v>782</v>
      </c>
      <c r="AI503" s="31"/>
      <c r="AJ503" s="61"/>
      <c r="AO503" t="s">
        <v>31</v>
      </c>
      <c r="AP503" t="s">
        <v>4748</v>
      </c>
      <c r="AQ503" t="s">
        <v>4733</v>
      </c>
      <c r="AR503" s="31">
        <v>46135</v>
      </c>
      <c r="AS503">
        <v>30</v>
      </c>
      <c r="AU503" t="s">
        <v>63</v>
      </c>
      <c r="AX503">
        <v>1</v>
      </c>
    </row>
    <row r="504" spans="1:50" x14ac:dyDescent="0.25">
      <c r="A504" t="s">
        <v>44</v>
      </c>
      <c r="B504">
        <v>995</v>
      </c>
      <c r="D504">
        <v>3348</v>
      </c>
      <c r="E504" t="s">
        <v>4906</v>
      </c>
      <c r="F504" t="s">
        <v>4907</v>
      </c>
      <c r="G504" t="s">
        <v>415</v>
      </c>
      <c r="H504">
        <v>58092341000114</v>
      </c>
      <c r="J504" t="s">
        <v>4907</v>
      </c>
      <c r="K504" t="s">
        <v>4908</v>
      </c>
      <c r="M504" t="s">
        <v>4909</v>
      </c>
      <c r="Q504" t="s">
        <v>4910</v>
      </c>
      <c r="R504" t="s">
        <v>932</v>
      </c>
      <c r="S504" t="s">
        <v>805</v>
      </c>
      <c r="W504" t="s">
        <v>780</v>
      </c>
      <c r="X504" t="s">
        <v>793</v>
      </c>
      <c r="Z504" s="31"/>
      <c r="AA504">
        <v>686343</v>
      </c>
      <c r="AB504">
        <v>36781</v>
      </c>
      <c r="AC504">
        <v>3</v>
      </c>
      <c r="AD504" t="s">
        <v>44</v>
      </c>
      <c r="AE504" s="31">
        <v>46087</v>
      </c>
      <c r="AF504" s="61">
        <v>0.52327546296296301</v>
      </c>
      <c r="AH504" t="s">
        <v>795</v>
      </c>
      <c r="AI504" s="31">
        <v>46090</v>
      </c>
      <c r="AJ504" s="61">
        <v>0.39971064814814822</v>
      </c>
      <c r="AK504" t="s">
        <v>934</v>
      </c>
      <c r="AL504" t="s">
        <v>4906</v>
      </c>
      <c r="AN504" t="s">
        <v>4911</v>
      </c>
      <c r="AP504" t="s">
        <v>4911</v>
      </c>
      <c r="AR504" s="31">
        <v>46087</v>
      </c>
      <c r="AS504">
        <v>50</v>
      </c>
      <c r="AX504">
        <v>1</v>
      </c>
    </row>
    <row r="505" spans="1:50" x14ac:dyDescent="0.25">
      <c r="A505" t="s">
        <v>44</v>
      </c>
      <c r="B505">
        <v>996</v>
      </c>
      <c r="D505">
        <v>3351</v>
      </c>
      <c r="E505" t="s">
        <v>4912</v>
      </c>
      <c r="F505" t="s">
        <v>4913</v>
      </c>
      <c r="G505" t="s">
        <v>432</v>
      </c>
      <c r="H505">
        <v>27672869000139</v>
      </c>
      <c r="J505" t="s">
        <v>5738</v>
      </c>
      <c r="K505" t="s">
        <v>4915</v>
      </c>
      <c r="M505" t="s">
        <v>4916</v>
      </c>
      <c r="Q505" t="s">
        <v>993</v>
      </c>
      <c r="R505" t="s">
        <v>932</v>
      </c>
      <c r="W505" t="s">
        <v>780</v>
      </c>
      <c r="X505" t="s">
        <v>857</v>
      </c>
      <c r="Z505" s="31"/>
      <c r="AA505">
        <v>7305558</v>
      </c>
      <c r="AB505">
        <v>143186</v>
      </c>
      <c r="AC505">
        <v>40</v>
      </c>
      <c r="AD505" t="s">
        <v>44</v>
      </c>
      <c r="AE505" s="31">
        <v>46087</v>
      </c>
      <c r="AF505" s="61">
        <v>0.71341435185185187</v>
      </c>
      <c r="AH505" t="s">
        <v>795</v>
      </c>
      <c r="AI505" s="31">
        <v>46127</v>
      </c>
      <c r="AJ505" s="61">
        <v>0.39947916666666672</v>
      </c>
      <c r="AK505" t="s">
        <v>934</v>
      </c>
      <c r="AL505" t="s">
        <v>4917</v>
      </c>
      <c r="AN505" t="s">
        <v>4918</v>
      </c>
      <c r="AP505" t="s">
        <v>4748</v>
      </c>
      <c r="AR505" s="31">
        <v>46127</v>
      </c>
      <c r="AS505">
        <v>30</v>
      </c>
      <c r="AX505">
        <v>1</v>
      </c>
    </row>
    <row r="506" spans="1:50" x14ac:dyDescent="0.25">
      <c r="A506" t="s">
        <v>31</v>
      </c>
      <c r="B506">
        <v>997</v>
      </c>
      <c r="D506">
        <v>3341</v>
      </c>
      <c r="G506" t="s">
        <v>4919</v>
      </c>
      <c r="J506" t="s">
        <v>4920</v>
      </c>
      <c r="K506" t="s">
        <v>5739</v>
      </c>
      <c r="M506" t="s">
        <v>4921</v>
      </c>
      <c r="S506" t="s">
        <v>2541</v>
      </c>
      <c r="V506" t="s">
        <v>5631</v>
      </c>
      <c r="W506" t="s">
        <v>780</v>
      </c>
      <c r="X506" t="s">
        <v>781</v>
      </c>
      <c r="Z506" s="31">
        <v>46112</v>
      </c>
      <c r="AC506">
        <v>1</v>
      </c>
      <c r="AD506" t="s">
        <v>22</v>
      </c>
      <c r="AE506" s="31">
        <v>46090</v>
      </c>
      <c r="AF506" s="61">
        <v>0.59471064814814811</v>
      </c>
      <c r="AH506" t="s">
        <v>795</v>
      </c>
      <c r="AI506" s="31">
        <v>46091</v>
      </c>
      <c r="AJ506" s="61">
        <v>0.41895833333333332</v>
      </c>
      <c r="AK506" t="s">
        <v>5392</v>
      </c>
      <c r="AO506" t="s">
        <v>31</v>
      </c>
      <c r="AR506" s="31"/>
      <c r="AS506">
        <v>30</v>
      </c>
      <c r="AX506">
        <v>1</v>
      </c>
    </row>
    <row r="507" spans="1:50" x14ac:dyDescent="0.25">
      <c r="A507" t="s">
        <v>44</v>
      </c>
      <c r="B507">
        <v>999</v>
      </c>
      <c r="D507">
        <v>3360</v>
      </c>
      <c r="E507" t="s">
        <v>4922</v>
      </c>
      <c r="G507" t="s">
        <v>4923</v>
      </c>
      <c r="J507" t="s">
        <v>4924</v>
      </c>
      <c r="K507" t="s">
        <v>5740</v>
      </c>
      <c r="M507" t="s">
        <v>4925</v>
      </c>
      <c r="S507" t="s">
        <v>2541</v>
      </c>
      <c r="V507" t="s">
        <v>5631</v>
      </c>
      <c r="W507" t="s">
        <v>780</v>
      </c>
      <c r="X507" t="s">
        <v>897</v>
      </c>
      <c r="Z507" s="31">
        <v>46112</v>
      </c>
      <c r="AC507">
        <v>29</v>
      </c>
      <c r="AD507" t="s">
        <v>22</v>
      </c>
      <c r="AE507" s="31">
        <v>46091</v>
      </c>
      <c r="AF507" s="61">
        <v>0.38</v>
      </c>
      <c r="AH507" t="s">
        <v>795</v>
      </c>
      <c r="AI507" s="31">
        <v>46120</v>
      </c>
      <c r="AJ507" s="61">
        <v>0.72618055555555561</v>
      </c>
      <c r="AK507" t="s">
        <v>5392</v>
      </c>
      <c r="AL507" t="s">
        <v>5741</v>
      </c>
      <c r="AO507" t="s">
        <v>44</v>
      </c>
      <c r="AR507" s="31">
        <v>46100</v>
      </c>
      <c r="AS507">
        <v>30</v>
      </c>
      <c r="AX507">
        <v>1</v>
      </c>
    </row>
    <row r="508" spans="1:50" x14ac:dyDescent="0.25">
      <c r="A508" t="s">
        <v>22</v>
      </c>
      <c r="B508">
        <v>1000</v>
      </c>
      <c r="D508">
        <v>3358</v>
      </c>
      <c r="E508" t="s">
        <v>4927</v>
      </c>
      <c r="G508" t="s">
        <v>4928</v>
      </c>
      <c r="J508" t="s">
        <v>4929</v>
      </c>
      <c r="K508" t="s">
        <v>5742</v>
      </c>
      <c r="M508" t="s">
        <v>4930</v>
      </c>
      <c r="S508" t="s">
        <v>2541</v>
      </c>
      <c r="V508" t="s">
        <v>5650</v>
      </c>
      <c r="W508" t="s">
        <v>780</v>
      </c>
      <c r="X508" t="s">
        <v>897</v>
      </c>
      <c r="Z508" s="31">
        <v>46112</v>
      </c>
      <c r="AC508">
        <v>2</v>
      </c>
      <c r="AD508" t="s">
        <v>22</v>
      </c>
      <c r="AE508" s="31">
        <v>46091</v>
      </c>
      <c r="AF508" s="61">
        <v>0.38824074074074072</v>
      </c>
      <c r="AH508" t="s">
        <v>795</v>
      </c>
      <c r="AI508" s="31">
        <v>46093</v>
      </c>
      <c r="AJ508" s="61">
        <v>0.72733796296296294</v>
      </c>
      <c r="AK508" t="s">
        <v>5392</v>
      </c>
      <c r="AO508" t="s">
        <v>22</v>
      </c>
      <c r="AR508" s="31">
        <v>46093</v>
      </c>
      <c r="AS508">
        <v>30</v>
      </c>
      <c r="AX508">
        <v>1</v>
      </c>
    </row>
    <row r="509" spans="1:50" x14ac:dyDescent="0.25">
      <c r="A509" t="s">
        <v>31</v>
      </c>
      <c r="B509">
        <v>1001</v>
      </c>
      <c r="D509">
        <v>3357</v>
      </c>
      <c r="E509" t="s">
        <v>4931</v>
      </c>
      <c r="G509" t="s">
        <v>406</v>
      </c>
      <c r="J509" t="s">
        <v>4932</v>
      </c>
      <c r="K509" t="s">
        <v>4933</v>
      </c>
      <c r="M509" t="s">
        <v>4934</v>
      </c>
      <c r="Q509" t="s">
        <v>4935</v>
      </c>
      <c r="S509" t="s">
        <v>814</v>
      </c>
      <c r="V509" t="s">
        <v>5655</v>
      </c>
      <c r="W509" t="s">
        <v>780</v>
      </c>
      <c r="X509" t="s">
        <v>807</v>
      </c>
      <c r="Z509" s="31">
        <v>46173</v>
      </c>
      <c r="AA509">
        <v>16800</v>
      </c>
      <c r="AB509">
        <v>12600</v>
      </c>
      <c r="AC509">
        <v>71</v>
      </c>
      <c r="AD509" t="s">
        <v>22</v>
      </c>
      <c r="AE509" s="31">
        <v>46091</v>
      </c>
      <c r="AF509" s="61">
        <v>0.38930555555555563</v>
      </c>
      <c r="AH509" t="s">
        <v>782</v>
      </c>
      <c r="AI509" s="31"/>
      <c r="AJ509" s="61"/>
      <c r="AN509" t="s">
        <v>4664</v>
      </c>
      <c r="AO509" t="s">
        <v>31</v>
      </c>
      <c r="AP509" t="s">
        <v>4654</v>
      </c>
      <c r="AR509" s="31">
        <v>46155</v>
      </c>
      <c r="AS509">
        <v>30</v>
      </c>
      <c r="AX509">
        <v>1</v>
      </c>
    </row>
    <row r="510" spans="1:50" x14ac:dyDescent="0.25">
      <c r="A510" t="s">
        <v>44</v>
      </c>
      <c r="B510">
        <v>1002</v>
      </c>
      <c r="D510">
        <v>3356</v>
      </c>
      <c r="E510" t="s">
        <v>5743</v>
      </c>
      <c r="G510" t="s">
        <v>4937</v>
      </c>
      <c r="J510" t="s">
        <v>4938</v>
      </c>
      <c r="K510" t="s">
        <v>5744</v>
      </c>
      <c r="M510" t="s">
        <v>4939</v>
      </c>
      <c r="S510" t="s">
        <v>2541</v>
      </c>
      <c r="V510" t="s">
        <v>5631</v>
      </c>
      <c r="W510" t="s">
        <v>780</v>
      </c>
      <c r="X510" t="s">
        <v>897</v>
      </c>
      <c r="Z510" s="31">
        <v>46112</v>
      </c>
      <c r="AC510">
        <v>17</v>
      </c>
      <c r="AD510" t="s">
        <v>22</v>
      </c>
      <c r="AE510" s="31">
        <v>46091</v>
      </c>
      <c r="AF510" s="61">
        <v>0.40599537037037042</v>
      </c>
      <c r="AH510" t="s">
        <v>795</v>
      </c>
      <c r="AI510" s="31">
        <v>46108</v>
      </c>
      <c r="AJ510" s="61">
        <v>0.6</v>
      </c>
      <c r="AK510" t="s">
        <v>5392</v>
      </c>
      <c r="AL510" t="s">
        <v>5745</v>
      </c>
      <c r="AO510" t="s">
        <v>44</v>
      </c>
      <c r="AR510" s="31">
        <v>46108</v>
      </c>
      <c r="AS510">
        <v>30</v>
      </c>
      <c r="AX510">
        <v>1</v>
      </c>
    </row>
    <row r="511" spans="1:50" x14ac:dyDescent="0.25">
      <c r="A511" t="s">
        <v>31</v>
      </c>
      <c r="B511">
        <v>1003</v>
      </c>
      <c r="D511">
        <v>3355</v>
      </c>
      <c r="G511" t="s">
        <v>4941</v>
      </c>
      <c r="J511" t="s">
        <v>4942</v>
      </c>
      <c r="K511" t="s">
        <v>5746</v>
      </c>
      <c r="M511" t="s">
        <v>4943</v>
      </c>
      <c r="S511" t="s">
        <v>2541</v>
      </c>
      <c r="V511" t="s">
        <v>5631</v>
      </c>
      <c r="W511" t="s">
        <v>780</v>
      </c>
      <c r="X511" t="s">
        <v>781</v>
      </c>
      <c r="Z511" s="31">
        <v>46112</v>
      </c>
      <c r="AC511">
        <v>0</v>
      </c>
      <c r="AD511" t="s">
        <v>22</v>
      </c>
      <c r="AE511" s="31">
        <v>46091</v>
      </c>
      <c r="AF511" s="61">
        <v>0.40715277777777781</v>
      </c>
      <c r="AH511" t="s">
        <v>795</v>
      </c>
      <c r="AI511" s="31">
        <v>46091</v>
      </c>
      <c r="AJ511" s="61">
        <v>0.43315972222222221</v>
      </c>
      <c r="AK511" t="s">
        <v>5392</v>
      </c>
      <c r="AO511" t="s">
        <v>31</v>
      </c>
      <c r="AR511" s="31"/>
      <c r="AS511">
        <v>30</v>
      </c>
      <c r="AX511">
        <v>1</v>
      </c>
    </row>
    <row r="512" spans="1:50" x14ac:dyDescent="0.25">
      <c r="A512" t="s">
        <v>22</v>
      </c>
      <c r="B512">
        <v>1004</v>
      </c>
      <c r="D512">
        <v>3353</v>
      </c>
      <c r="E512" t="s">
        <v>4944</v>
      </c>
      <c r="G512" t="s">
        <v>416</v>
      </c>
      <c r="H512">
        <v>5291214000188</v>
      </c>
      <c r="J512" t="s">
        <v>4945</v>
      </c>
      <c r="K512" t="s">
        <v>4946</v>
      </c>
      <c r="M512" t="s">
        <v>4947</v>
      </c>
      <c r="Q512" t="s">
        <v>3774</v>
      </c>
      <c r="R512" t="s">
        <v>1105</v>
      </c>
      <c r="S512" t="s">
        <v>814</v>
      </c>
      <c r="V512" t="s">
        <v>1186</v>
      </c>
      <c r="W512" t="s">
        <v>780</v>
      </c>
      <c r="X512" t="s">
        <v>807</v>
      </c>
      <c r="Z512" s="31">
        <v>46112</v>
      </c>
      <c r="AA512">
        <v>22800</v>
      </c>
      <c r="AB512">
        <v>14256</v>
      </c>
      <c r="AC512">
        <v>10</v>
      </c>
      <c r="AD512" t="s">
        <v>22</v>
      </c>
      <c r="AE512" s="31">
        <v>46091</v>
      </c>
      <c r="AF512" s="61">
        <v>0.4117939814814815</v>
      </c>
      <c r="AH512" t="s">
        <v>795</v>
      </c>
      <c r="AI512" s="31">
        <v>46101</v>
      </c>
      <c r="AJ512" s="61">
        <v>0.72059027777777773</v>
      </c>
      <c r="AK512" t="s">
        <v>5347</v>
      </c>
      <c r="AN512" t="s">
        <v>4731</v>
      </c>
      <c r="AO512" t="s">
        <v>22</v>
      </c>
      <c r="AP512" t="s">
        <v>4731</v>
      </c>
      <c r="AR512" s="31">
        <v>46101</v>
      </c>
      <c r="AS512">
        <v>30</v>
      </c>
      <c r="AU512" t="s">
        <v>54</v>
      </c>
      <c r="AX512">
        <v>1</v>
      </c>
    </row>
    <row r="513" spans="1:50" x14ac:dyDescent="0.25">
      <c r="A513" t="s">
        <v>31</v>
      </c>
      <c r="B513">
        <v>1005</v>
      </c>
      <c r="D513">
        <v>3354</v>
      </c>
      <c r="E513" t="s">
        <v>5747</v>
      </c>
      <c r="G513" t="s">
        <v>388</v>
      </c>
      <c r="H513">
        <v>59578948000171</v>
      </c>
      <c r="J513" t="s">
        <v>4949</v>
      </c>
      <c r="K513" t="s">
        <v>5748</v>
      </c>
      <c r="M513" t="s">
        <v>4950</v>
      </c>
      <c r="Q513" t="s">
        <v>1094</v>
      </c>
      <c r="R513" t="s">
        <v>790</v>
      </c>
      <c r="S513" t="s">
        <v>2541</v>
      </c>
      <c r="V513" t="s">
        <v>5650</v>
      </c>
      <c r="W513" t="s">
        <v>780</v>
      </c>
      <c r="X513" t="s">
        <v>807</v>
      </c>
      <c r="Z513" s="31">
        <v>46203</v>
      </c>
      <c r="AA513">
        <v>58800</v>
      </c>
      <c r="AB513">
        <v>55164</v>
      </c>
      <c r="AC513">
        <v>71</v>
      </c>
      <c r="AD513" t="s">
        <v>22</v>
      </c>
      <c r="AE513" s="31">
        <v>46091</v>
      </c>
      <c r="AF513" s="61">
        <v>0.41351851851851851</v>
      </c>
      <c r="AH513" t="s">
        <v>782</v>
      </c>
      <c r="AI513" s="31"/>
      <c r="AJ513" s="61"/>
      <c r="AN513" t="s">
        <v>4951</v>
      </c>
      <c r="AO513" t="s">
        <v>31</v>
      </c>
      <c r="AP513" t="s">
        <v>4788</v>
      </c>
      <c r="AQ513" t="s">
        <v>4952</v>
      </c>
      <c r="AR513" s="31">
        <v>46157</v>
      </c>
      <c r="AS513">
        <v>30</v>
      </c>
      <c r="AU513" t="s">
        <v>47</v>
      </c>
      <c r="AX513">
        <v>1</v>
      </c>
    </row>
    <row r="514" spans="1:50" x14ac:dyDescent="0.25">
      <c r="A514" t="s">
        <v>44</v>
      </c>
      <c r="B514">
        <v>1006</v>
      </c>
      <c r="D514">
        <v>3343</v>
      </c>
      <c r="E514" t="s">
        <v>5749</v>
      </c>
      <c r="G514" t="s">
        <v>4954</v>
      </c>
      <c r="H514">
        <v>36882195000198</v>
      </c>
      <c r="J514" t="s">
        <v>4704</v>
      </c>
      <c r="K514" t="s">
        <v>4955</v>
      </c>
      <c r="M514" t="s">
        <v>4956</v>
      </c>
      <c r="Q514" t="s">
        <v>923</v>
      </c>
      <c r="S514" t="s">
        <v>814</v>
      </c>
      <c r="V514" t="s">
        <v>5655</v>
      </c>
      <c r="W514" t="s">
        <v>780</v>
      </c>
      <c r="X514" t="s">
        <v>897</v>
      </c>
      <c r="Z514" s="31"/>
      <c r="AC514">
        <v>0</v>
      </c>
      <c r="AD514" t="s">
        <v>22</v>
      </c>
      <c r="AE514" s="31">
        <v>46091</v>
      </c>
      <c r="AF514" s="61">
        <v>0.41641203703703711</v>
      </c>
      <c r="AH514" t="s">
        <v>795</v>
      </c>
      <c r="AI514" s="31">
        <v>46091</v>
      </c>
      <c r="AJ514" s="61">
        <v>0.70828703703703699</v>
      </c>
      <c r="AK514" t="s">
        <v>5353</v>
      </c>
      <c r="AL514" t="s">
        <v>5750</v>
      </c>
      <c r="AO514" t="s">
        <v>44</v>
      </c>
      <c r="AR514" s="31"/>
      <c r="AS514">
        <v>30</v>
      </c>
      <c r="AU514" t="s">
        <v>63</v>
      </c>
      <c r="AX514">
        <v>1</v>
      </c>
    </row>
    <row r="515" spans="1:50" x14ac:dyDescent="0.25">
      <c r="A515" t="s">
        <v>31</v>
      </c>
      <c r="B515">
        <v>1007</v>
      </c>
      <c r="D515">
        <v>3344</v>
      </c>
      <c r="E515" t="s">
        <v>4958</v>
      </c>
      <c r="G515" t="s">
        <v>4959</v>
      </c>
      <c r="J515" t="s">
        <v>4960</v>
      </c>
      <c r="K515" t="s">
        <v>4961</v>
      </c>
      <c r="M515" t="s">
        <v>4962</v>
      </c>
      <c r="Q515" t="s">
        <v>4963</v>
      </c>
      <c r="S515" t="s">
        <v>814</v>
      </c>
      <c r="V515" t="s">
        <v>5655</v>
      </c>
      <c r="W515" t="s">
        <v>780</v>
      </c>
      <c r="X515" t="s">
        <v>857</v>
      </c>
      <c r="Z515" s="31">
        <v>46265</v>
      </c>
      <c r="AC515">
        <v>28</v>
      </c>
      <c r="AD515" t="s">
        <v>22</v>
      </c>
      <c r="AE515" s="31">
        <v>46091</v>
      </c>
      <c r="AF515" s="61">
        <v>0.41752314814814823</v>
      </c>
      <c r="AH515" t="s">
        <v>795</v>
      </c>
      <c r="AI515" s="31">
        <v>46119</v>
      </c>
      <c r="AJ515" s="61">
        <v>0.45309027777777777</v>
      </c>
      <c r="AK515" t="s">
        <v>5347</v>
      </c>
      <c r="AO515" t="s">
        <v>31</v>
      </c>
      <c r="AR515" s="31">
        <v>46119</v>
      </c>
      <c r="AS515">
        <v>30</v>
      </c>
      <c r="AU515" t="s">
        <v>4964</v>
      </c>
      <c r="AX515">
        <v>1</v>
      </c>
    </row>
    <row r="516" spans="1:50" x14ac:dyDescent="0.25">
      <c r="A516" t="s">
        <v>22</v>
      </c>
      <c r="B516">
        <v>1008</v>
      </c>
      <c r="D516">
        <v>3346</v>
      </c>
      <c r="G516" t="s">
        <v>4965</v>
      </c>
      <c r="H516">
        <v>27672869000139</v>
      </c>
      <c r="J516" t="s">
        <v>4966</v>
      </c>
      <c r="K516" t="s">
        <v>4967</v>
      </c>
      <c r="M516" t="s">
        <v>4968</v>
      </c>
      <c r="Q516" t="s">
        <v>923</v>
      </c>
      <c r="S516" t="s">
        <v>814</v>
      </c>
      <c r="V516" t="s">
        <v>1186</v>
      </c>
      <c r="W516" t="s">
        <v>780</v>
      </c>
      <c r="X516" t="s">
        <v>781</v>
      </c>
      <c r="Z516" s="31">
        <v>46112</v>
      </c>
      <c r="AC516">
        <v>0</v>
      </c>
      <c r="AD516" t="s">
        <v>22</v>
      </c>
      <c r="AE516" s="31">
        <v>46091</v>
      </c>
      <c r="AF516" s="61">
        <v>0.41828703703703701</v>
      </c>
      <c r="AH516" t="s">
        <v>795</v>
      </c>
      <c r="AI516" s="31">
        <v>46091</v>
      </c>
      <c r="AJ516" s="61">
        <v>0.43543981481481481</v>
      </c>
      <c r="AK516" t="s">
        <v>5392</v>
      </c>
      <c r="AO516" t="s">
        <v>22</v>
      </c>
      <c r="AR516" s="31"/>
      <c r="AS516">
        <v>30</v>
      </c>
      <c r="AX516">
        <v>1</v>
      </c>
    </row>
    <row r="517" spans="1:50" x14ac:dyDescent="0.25">
      <c r="A517" t="s">
        <v>44</v>
      </c>
      <c r="B517">
        <v>1009</v>
      </c>
      <c r="D517">
        <v>3361</v>
      </c>
      <c r="E517" t="s">
        <v>5751</v>
      </c>
      <c r="F517" t="s">
        <v>4970</v>
      </c>
      <c r="G517" t="s">
        <v>440</v>
      </c>
      <c r="H517">
        <v>8878994000155</v>
      </c>
      <c r="J517" t="s">
        <v>4970</v>
      </c>
      <c r="K517" t="s">
        <v>4971</v>
      </c>
      <c r="M517" t="s">
        <v>4972</v>
      </c>
      <c r="Q517" t="s">
        <v>1782</v>
      </c>
      <c r="R517" t="s">
        <v>790</v>
      </c>
      <c r="S517" t="s">
        <v>805</v>
      </c>
      <c r="W517" t="s">
        <v>780</v>
      </c>
      <c r="X517" t="s">
        <v>807</v>
      </c>
      <c r="Z517" s="31">
        <v>46112</v>
      </c>
      <c r="AA517">
        <v>11390346</v>
      </c>
      <c r="AB517">
        <v>384882</v>
      </c>
      <c r="AC517">
        <v>71</v>
      </c>
      <c r="AD517" t="s">
        <v>44</v>
      </c>
      <c r="AE517" s="31">
        <v>46091</v>
      </c>
      <c r="AF517" s="61">
        <v>0.68298611111111107</v>
      </c>
      <c r="AH517" t="s">
        <v>782</v>
      </c>
      <c r="AI517" s="31"/>
      <c r="AJ517" s="61"/>
      <c r="AN517" t="s">
        <v>4973</v>
      </c>
      <c r="AP517" t="s">
        <v>4731</v>
      </c>
      <c r="AQ517" t="s">
        <v>4644</v>
      </c>
      <c r="AR517" s="31">
        <v>46111</v>
      </c>
      <c r="AS517">
        <v>50</v>
      </c>
      <c r="AX517">
        <v>1</v>
      </c>
    </row>
    <row r="518" spans="1:50" x14ac:dyDescent="0.25">
      <c r="A518" t="s">
        <v>22</v>
      </c>
      <c r="B518">
        <v>1011</v>
      </c>
      <c r="D518">
        <v>3365</v>
      </c>
      <c r="E518" t="s">
        <v>4974</v>
      </c>
      <c r="G518" t="s">
        <v>426</v>
      </c>
      <c r="H518">
        <v>7865166000110</v>
      </c>
      <c r="J518" t="s">
        <v>4975</v>
      </c>
      <c r="K518" t="s">
        <v>4976</v>
      </c>
      <c r="M518" t="s">
        <v>4977</v>
      </c>
      <c r="Q518" t="s">
        <v>4978</v>
      </c>
      <c r="R518" t="s">
        <v>790</v>
      </c>
      <c r="S518" t="s">
        <v>814</v>
      </c>
      <c r="V518" t="s">
        <v>1186</v>
      </c>
      <c r="W518" t="s">
        <v>780</v>
      </c>
      <c r="X518" t="s">
        <v>816</v>
      </c>
      <c r="Z518" s="31">
        <v>46112</v>
      </c>
      <c r="AA518">
        <v>870636</v>
      </c>
      <c r="AB518">
        <v>434528</v>
      </c>
      <c r="AC518">
        <v>70</v>
      </c>
      <c r="AD518" t="s">
        <v>22</v>
      </c>
      <c r="AE518" s="31">
        <v>46092</v>
      </c>
      <c r="AF518" s="61">
        <v>0.49399305555555562</v>
      </c>
      <c r="AH518" t="s">
        <v>782</v>
      </c>
      <c r="AI518" s="31"/>
      <c r="AJ518" s="61"/>
      <c r="AN518" t="s">
        <v>4788</v>
      </c>
      <c r="AO518" t="s">
        <v>22</v>
      </c>
      <c r="AP518" t="s">
        <v>4979</v>
      </c>
      <c r="AR518" s="31">
        <v>46160</v>
      </c>
      <c r="AS518">
        <v>30</v>
      </c>
      <c r="AU518" t="s">
        <v>321</v>
      </c>
      <c r="AX518">
        <v>1</v>
      </c>
    </row>
    <row r="519" spans="1:50" x14ac:dyDescent="0.25">
      <c r="A519" t="s">
        <v>44</v>
      </c>
      <c r="B519">
        <v>1012</v>
      </c>
      <c r="D519">
        <v>3345</v>
      </c>
      <c r="E519" t="s">
        <v>5752</v>
      </c>
      <c r="F519" t="s">
        <v>4981</v>
      </c>
      <c r="G519" t="s">
        <v>425</v>
      </c>
      <c r="H519">
        <v>72770225000561</v>
      </c>
      <c r="J519" t="s">
        <v>4981</v>
      </c>
      <c r="K519" t="s">
        <v>4982</v>
      </c>
      <c r="M519" t="s">
        <v>4983</v>
      </c>
      <c r="Q519" t="s">
        <v>4984</v>
      </c>
      <c r="R519" t="s">
        <v>932</v>
      </c>
      <c r="S519" t="s">
        <v>805</v>
      </c>
      <c r="W519" t="s">
        <v>780</v>
      </c>
      <c r="X519" t="s">
        <v>807</v>
      </c>
      <c r="Z519" s="31"/>
      <c r="AA519">
        <v>52702</v>
      </c>
      <c r="AB519">
        <v>17020</v>
      </c>
      <c r="AC519">
        <v>70</v>
      </c>
      <c r="AD519" t="s">
        <v>44</v>
      </c>
      <c r="AE519" s="31">
        <v>46092</v>
      </c>
      <c r="AF519" s="61">
        <v>0.67219907407407409</v>
      </c>
      <c r="AH519" t="s">
        <v>782</v>
      </c>
      <c r="AI519" s="31"/>
      <c r="AJ519" s="61"/>
      <c r="AN519" t="s">
        <v>4664</v>
      </c>
      <c r="AP519" t="s">
        <v>4770</v>
      </c>
      <c r="AQ519" t="s">
        <v>4664</v>
      </c>
      <c r="AR519" s="31">
        <v>46148</v>
      </c>
      <c r="AS519">
        <v>50</v>
      </c>
      <c r="AX519">
        <v>1</v>
      </c>
    </row>
    <row r="520" spans="1:50" x14ac:dyDescent="0.25">
      <c r="A520" t="s">
        <v>31</v>
      </c>
      <c r="B520">
        <v>1013</v>
      </c>
      <c r="D520">
        <v>3368</v>
      </c>
      <c r="E520" t="s">
        <v>4985</v>
      </c>
      <c r="F520" t="s">
        <v>4986</v>
      </c>
      <c r="G520" t="s">
        <v>250</v>
      </c>
      <c r="H520">
        <v>10649489000180</v>
      </c>
      <c r="J520" t="s">
        <v>4986</v>
      </c>
      <c r="K520" t="s">
        <v>4987</v>
      </c>
      <c r="M520" t="s">
        <v>4988</v>
      </c>
      <c r="Q520" t="s">
        <v>847</v>
      </c>
      <c r="R520" t="s">
        <v>848</v>
      </c>
      <c r="S520" t="s">
        <v>805</v>
      </c>
      <c r="W520" t="s">
        <v>780</v>
      </c>
      <c r="X520" t="s">
        <v>793</v>
      </c>
      <c r="Z520" s="31">
        <v>46295</v>
      </c>
      <c r="AC520">
        <v>69</v>
      </c>
      <c r="AD520" t="s">
        <v>31</v>
      </c>
      <c r="AE520" s="31">
        <v>46093</v>
      </c>
      <c r="AF520" s="61">
        <v>0.42211805555555548</v>
      </c>
      <c r="AH520" t="s">
        <v>782</v>
      </c>
      <c r="AI520" s="31"/>
      <c r="AJ520" s="61"/>
      <c r="AN520" t="s">
        <v>5680</v>
      </c>
      <c r="AO520" t="s">
        <v>31</v>
      </c>
      <c r="AP520" t="s">
        <v>4918</v>
      </c>
      <c r="AQ520" t="s">
        <v>4989</v>
      </c>
      <c r="AR520" s="31">
        <v>46155</v>
      </c>
      <c r="AS520">
        <v>30</v>
      </c>
      <c r="AU520" t="s">
        <v>321</v>
      </c>
      <c r="AX520">
        <v>1</v>
      </c>
    </row>
    <row r="521" spans="1:50" x14ac:dyDescent="0.25">
      <c r="A521" t="s">
        <v>22</v>
      </c>
      <c r="B521">
        <v>1014</v>
      </c>
      <c r="D521">
        <v>3371</v>
      </c>
      <c r="E521" t="s">
        <v>4990</v>
      </c>
      <c r="G521" t="s">
        <v>4991</v>
      </c>
      <c r="H521">
        <v>10633099000112</v>
      </c>
      <c r="J521" t="s">
        <v>5753</v>
      </c>
      <c r="K521" t="s">
        <v>4993</v>
      </c>
      <c r="M521" t="s">
        <v>4994</v>
      </c>
      <c r="Q521" t="s">
        <v>993</v>
      </c>
      <c r="R521" t="s">
        <v>932</v>
      </c>
      <c r="V521" t="s">
        <v>5754</v>
      </c>
      <c r="W521" t="s">
        <v>780</v>
      </c>
      <c r="X521" t="s">
        <v>857</v>
      </c>
      <c r="Z521" s="31">
        <v>46111</v>
      </c>
      <c r="AC521">
        <v>60</v>
      </c>
      <c r="AD521" t="s">
        <v>22</v>
      </c>
      <c r="AE521" s="31">
        <v>46093</v>
      </c>
      <c r="AF521" s="61">
        <v>0.50726851851851851</v>
      </c>
      <c r="AH521" t="s">
        <v>795</v>
      </c>
      <c r="AI521" s="31">
        <v>46153</v>
      </c>
      <c r="AJ521" s="61">
        <v>0.49739583333333331</v>
      </c>
      <c r="AK521" t="s">
        <v>5338</v>
      </c>
      <c r="AO521" t="s">
        <v>22</v>
      </c>
      <c r="AR521" s="31">
        <v>46122</v>
      </c>
      <c r="AS521">
        <v>30</v>
      </c>
      <c r="AU521" t="s">
        <v>321</v>
      </c>
      <c r="AX521">
        <v>1</v>
      </c>
    </row>
    <row r="522" spans="1:50" x14ac:dyDescent="0.25">
      <c r="A522" t="s">
        <v>44</v>
      </c>
      <c r="B522">
        <v>1015</v>
      </c>
      <c r="D522">
        <v>3375</v>
      </c>
      <c r="E522" t="s">
        <v>4995</v>
      </c>
      <c r="G522" t="s">
        <v>4996</v>
      </c>
      <c r="H522">
        <v>35417169000126</v>
      </c>
      <c r="J522" t="s">
        <v>5755</v>
      </c>
      <c r="K522" t="s">
        <v>5756</v>
      </c>
      <c r="M522" t="s">
        <v>4998</v>
      </c>
      <c r="Q522" t="s">
        <v>2018</v>
      </c>
      <c r="R522" t="s">
        <v>790</v>
      </c>
      <c r="W522" t="s">
        <v>780</v>
      </c>
      <c r="X522" t="s">
        <v>857</v>
      </c>
      <c r="Z522" s="31"/>
      <c r="AC522">
        <v>69</v>
      </c>
      <c r="AD522" t="s">
        <v>44</v>
      </c>
      <c r="AE522" s="31">
        <v>46093</v>
      </c>
      <c r="AF522" s="61">
        <v>0.63280092592592596</v>
      </c>
      <c r="AH522" t="s">
        <v>782</v>
      </c>
      <c r="AI522" s="31"/>
      <c r="AJ522" s="61"/>
      <c r="AR522" s="31">
        <v>46097</v>
      </c>
      <c r="AS522">
        <v>30</v>
      </c>
      <c r="AX522">
        <v>1</v>
      </c>
    </row>
    <row r="523" spans="1:50" x14ac:dyDescent="0.25">
      <c r="A523" t="s">
        <v>44</v>
      </c>
      <c r="B523">
        <v>1016</v>
      </c>
      <c r="D523">
        <v>3373</v>
      </c>
      <c r="E523" t="s">
        <v>5757</v>
      </c>
      <c r="G523" t="s">
        <v>5000</v>
      </c>
      <c r="J523" t="s">
        <v>5001</v>
      </c>
      <c r="K523" t="s">
        <v>5758</v>
      </c>
      <c r="M523" t="s">
        <v>5002</v>
      </c>
      <c r="S523" t="s">
        <v>2541</v>
      </c>
      <c r="V523" t="s">
        <v>5631</v>
      </c>
      <c r="W523" t="s">
        <v>780</v>
      </c>
      <c r="X523" t="s">
        <v>897</v>
      </c>
      <c r="Z523" s="31">
        <v>46112</v>
      </c>
      <c r="AC523">
        <v>58</v>
      </c>
      <c r="AD523" t="s">
        <v>22</v>
      </c>
      <c r="AE523" s="31">
        <v>46093</v>
      </c>
      <c r="AF523" s="61">
        <v>0.73317129629629629</v>
      </c>
      <c r="AH523" t="s">
        <v>795</v>
      </c>
      <c r="AI523" s="31">
        <v>46151</v>
      </c>
      <c r="AJ523" s="61">
        <v>0.33079861111111108</v>
      </c>
      <c r="AK523" t="s">
        <v>5657</v>
      </c>
      <c r="AO523" t="s">
        <v>44</v>
      </c>
      <c r="AR523" s="31">
        <v>46094</v>
      </c>
      <c r="AS523">
        <v>30</v>
      </c>
      <c r="AX523">
        <v>1</v>
      </c>
    </row>
    <row r="524" spans="1:50" x14ac:dyDescent="0.25">
      <c r="A524" t="s">
        <v>31</v>
      </c>
      <c r="B524">
        <v>1017</v>
      </c>
      <c r="D524">
        <v>3374</v>
      </c>
      <c r="E524" t="s">
        <v>5004</v>
      </c>
      <c r="G524" t="s">
        <v>5005</v>
      </c>
      <c r="H524">
        <v>33947903000133</v>
      </c>
      <c r="J524" t="s">
        <v>5006</v>
      </c>
      <c r="K524" t="s">
        <v>5007</v>
      </c>
      <c r="M524" t="s">
        <v>5008</v>
      </c>
      <c r="Q524" t="s">
        <v>5009</v>
      </c>
      <c r="R524" t="s">
        <v>3339</v>
      </c>
      <c r="S524" t="s">
        <v>2541</v>
      </c>
      <c r="V524" t="s">
        <v>5631</v>
      </c>
      <c r="W524" t="s">
        <v>780</v>
      </c>
      <c r="X524" t="s">
        <v>857</v>
      </c>
      <c r="Z524" s="31">
        <v>46234</v>
      </c>
      <c r="AC524">
        <v>13</v>
      </c>
      <c r="AD524" t="s">
        <v>22</v>
      </c>
      <c r="AE524" s="31">
        <v>46093</v>
      </c>
      <c r="AF524" s="61">
        <v>0.73402777777777772</v>
      </c>
      <c r="AH524" t="s">
        <v>795</v>
      </c>
      <c r="AI524" s="31">
        <v>46106</v>
      </c>
      <c r="AJ524" s="61">
        <v>0.42133101851851851</v>
      </c>
      <c r="AK524" t="s">
        <v>5347</v>
      </c>
      <c r="AO524" t="s">
        <v>31</v>
      </c>
      <c r="AP524" t="s">
        <v>5010</v>
      </c>
      <c r="AR524" s="31">
        <v>46106</v>
      </c>
      <c r="AS524">
        <v>31</v>
      </c>
      <c r="AX524">
        <v>1</v>
      </c>
    </row>
    <row r="525" spans="1:50" x14ac:dyDescent="0.25">
      <c r="A525" t="s">
        <v>44</v>
      </c>
      <c r="B525">
        <v>1018</v>
      </c>
      <c r="D525">
        <v>3379</v>
      </c>
      <c r="E525" t="s">
        <v>5759</v>
      </c>
      <c r="G525" t="s">
        <v>386</v>
      </c>
      <c r="H525">
        <v>28646036000166</v>
      </c>
      <c r="J525" t="s">
        <v>5760</v>
      </c>
      <c r="K525" t="s">
        <v>1792</v>
      </c>
      <c r="M525" t="s">
        <v>1793</v>
      </c>
      <c r="Q525" t="s">
        <v>1794</v>
      </c>
      <c r="R525" t="s">
        <v>790</v>
      </c>
      <c r="W525" t="s">
        <v>780</v>
      </c>
      <c r="X525" t="s">
        <v>857</v>
      </c>
      <c r="Z525" s="31"/>
      <c r="AA525">
        <v>1696</v>
      </c>
      <c r="AB525">
        <v>6400</v>
      </c>
      <c r="AC525">
        <v>17</v>
      </c>
      <c r="AD525" t="s">
        <v>44</v>
      </c>
      <c r="AE525" s="31">
        <v>46094</v>
      </c>
      <c r="AF525" s="61">
        <v>0.39907407407407408</v>
      </c>
      <c r="AH525" t="s">
        <v>795</v>
      </c>
      <c r="AI525" s="31">
        <v>46111</v>
      </c>
      <c r="AJ525" s="61">
        <v>0.71695601851851853</v>
      </c>
      <c r="AK525" t="s">
        <v>5338</v>
      </c>
      <c r="AL525" t="s">
        <v>5013</v>
      </c>
      <c r="AN525" t="s">
        <v>4654</v>
      </c>
      <c r="AP525" t="s">
        <v>4654</v>
      </c>
      <c r="AR525" s="31">
        <v>46093</v>
      </c>
      <c r="AS525">
        <v>30</v>
      </c>
      <c r="AX525">
        <v>1</v>
      </c>
    </row>
    <row r="526" spans="1:50" x14ac:dyDescent="0.25">
      <c r="A526" t="s">
        <v>31</v>
      </c>
      <c r="B526">
        <v>1019</v>
      </c>
      <c r="D526">
        <v>3381</v>
      </c>
      <c r="E526" t="s">
        <v>5014</v>
      </c>
      <c r="F526" t="s">
        <v>5015</v>
      </c>
      <c r="G526" t="s">
        <v>414</v>
      </c>
      <c r="H526">
        <v>55841149000195</v>
      </c>
      <c r="J526" t="s">
        <v>5015</v>
      </c>
      <c r="K526" t="s">
        <v>5761</v>
      </c>
      <c r="M526" t="s">
        <v>5017</v>
      </c>
      <c r="Q526" t="s">
        <v>3089</v>
      </c>
      <c r="R526" t="s">
        <v>932</v>
      </c>
      <c r="S526" t="s">
        <v>805</v>
      </c>
      <c r="W526" t="s">
        <v>780</v>
      </c>
      <c r="X526" t="s">
        <v>857</v>
      </c>
      <c r="Z526" s="31">
        <v>46234</v>
      </c>
      <c r="AA526">
        <v>58800</v>
      </c>
      <c r="AB526">
        <v>2525</v>
      </c>
      <c r="AC526">
        <v>17</v>
      </c>
      <c r="AD526" t="s">
        <v>31</v>
      </c>
      <c r="AE526" s="31">
        <v>46094</v>
      </c>
      <c r="AF526" s="61">
        <v>0.61967592592592591</v>
      </c>
      <c r="AH526" t="s">
        <v>795</v>
      </c>
      <c r="AI526" s="31">
        <v>46111</v>
      </c>
      <c r="AJ526" s="61">
        <v>0.67168981481481482</v>
      </c>
      <c r="AK526" t="s">
        <v>5347</v>
      </c>
      <c r="AN526" t="s">
        <v>5018</v>
      </c>
      <c r="AO526" t="s">
        <v>31</v>
      </c>
      <c r="AP526" t="s">
        <v>5018</v>
      </c>
      <c r="AR526" s="31">
        <v>46111</v>
      </c>
      <c r="AS526">
        <v>30</v>
      </c>
      <c r="AU526" t="s">
        <v>47</v>
      </c>
      <c r="AX526">
        <v>1</v>
      </c>
    </row>
    <row r="527" spans="1:50" x14ac:dyDescent="0.25">
      <c r="A527" t="s">
        <v>44</v>
      </c>
      <c r="B527">
        <v>1020</v>
      </c>
      <c r="D527">
        <v>3378</v>
      </c>
      <c r="E527" t="s">
        <v>5762</v>
      </c>
      <c r="G527" t="s">
        <v>5020</v>
      </c>
      <c r="J527" t="s">
        <v>5021</v>
      </c>
      <c r="K527" t="s">
        <v>5763</v>
      </c>
      <c r="M527" t="s">
        <v>5022</v>
      </c>
      <c r="S527" t="s">
        <v>2541</v>
      </c>
      <c r="V527" t="s">
        <v>5631</v>
      </c>
      <c r="W527" t="s">
        <v>780</v>
      </c>
      <c r="X527" t="s">
        <v>897</v>
      </c>
      <c r="Z527" s="31">
        <v>46112</v>
      </c>
      <c r="AC527">
        <v>1</v>
      </c>
      <c r="AD527" t="s">
        <v>22</v>
      </c>
      <c r="AE527" s="31">
        <v>46097</v>
      </c>
      <c r="AF527" s="61">
        <v>0.57464120370370375</v>
      </c>
      <c r="AH527" t="s">
        <v>795</v>
      </c>
      <c r="AI527" s="31">
        <v>46098</v>
      </c>
      <c r="AJ527" s="61">
        <v>0.4019212962962963</v>
      </c>
      <c r="AK527" t="s">
        <v>5392</v>
      </c>
      <c r="AL527" t="s">
        <v>5762</v>
      </c>
      <c r="AO527" t="s">
        <v>44</v>
      </c>
      <c r="AR527" s="31">
        <v>46098</v>
      </c>
      <c r="AS527">
        <v>30</v>
      </c>
      <c r="AX527">
        <v>1</v>
      </c>
    </row>
    <row r="528" spans="1:50" x14ac:dyDescent="0.25">
      <c r="A528" t="s">
        <v>31</v>
      </c>
      <c r="B528">
        <v>1021</v>
      </c>
      <c r="D528">
        <v>3384</v>
      </c>
      <c r="E528" t="s">
        <v>5023</v>
      </c>
      <c r="G528" t="s">
        <v>5024</v>
      </c>
      <c r="J528" t="s">
        <v>5025</v>
      </c>
      <c r="K528" t="s">
        <v>5764</v>
      </c>
      <c r="M528" t="s">
        <v>5026</v>
      </c>
      <c r="S528" t="s">
        <v>2541</v>
      </c>
      <c r="V528" t="s">
        <v>5631</v>
      </c>
      <c r="W528" t="s">
        <v>780</v>
      </c>
      <c r="X528" t="s">
        <v>897</v>
      </c>
      <c r="Z528" s="31">
        <v>46112</v>
      </c>
      <c r="AC528">
        <v>3</v>
      </c>
      <c r="AD528" t="s">
        <v>22</v>
      </c>
      <c r="AE528" s="31">
        <v>46097</v>
      </c>
      <c r="AF528" s="61">
        <v>0.5755555555555556</v>
      </c>
      <c r="AH528" t="s">
        <v>795</v>
      </c>
      <c r="AI528" s="31">
        <v>46100</v>
      </c>
      <c r="AJ528" s="61">
        <v>0.48016203703703703</v>
      </c>
      <c r="AK528" t="s">
        <v>5347</v>
      </c>
      <c r="AO528" t="s">
        <v>31</v>
      </c>
      <c r="AR528" s="31">
        <v>46098</v>
      </c>
      <c r="AS528">
        <v>30</v>
      </c>
      <c r="AX528">
        <v>1</v>
      </c>
    </row>
    <row r="529" spans="1:50" x14ac:dyDescent="0.25">
      <c r="A529" t="s">
        <v>44</v>
      </c>
      <c r="B529">
        <v>1022</v>
      </c>
      <c r="D529">
        <v>3385</v>
      </c>
      <c r="E529" t="s">
        <v>5765</v>
      </c>
      <c r="G529" t="s">
        <v>5028</v>
      </c>
      <c r="J529" t="s">
        <v>5029</v>
      </c>
      <c r="K529" t="s">
        <v>5766</v>
      </c>
      <c r="M529" t="s">
        <v>5030</v>
      </c>
      <c r="S529" t="s">
        <v>2541</v>
      </c>
      <c r="V529" t="s">
        <v>5631</v>
      </c>
      <c r="W529" t="s">
        <v>780</v>
      </c>
      <c r="X529" t="s">
        <v>897</v>
      </c>
      <c r="Z529" s="31">
        <v>46112</v>
      </c>
      <c r="AC529">
        <v>1</v>
      </c>
      <c r="AD529" t="s">
        <v>22</v>
      </c>
      <c r="AE529" s="31">
        <v>46097</v>
      </c>
      <c r="AF529" s="61">
        <v>0.57633101851851853</v>
      </c>
      <c r="AH529" t="s">
        <v>795</v>
      </c>
      <c r="AI529" s="31">
        <v>46098</v>
      </c>
      <c r="AJ529" s="61">
        <v>0.40364583333333331</v>
      </c>
      <c r="AK529" t="s">
        <v>5392</v>
      </c>
      <c r="AL529" t="s">
        <v>5765</v>
      </c>
      <c r="AO529" t="s">
        <v>44</v>
      </c>
      <c r="AR529" s="31">
        <v>46098</v>
      </c>
      <c r="AS529">
        <v>30</v>
      </c>
      <c r="AX529">
        <v>1</v>
      </c>
    </row>
    <row r="530" spans="1:50" x14ac:dyDescent="0.25">
      <c r="A530" t="s">
        <v>31</v>
      </c>
      <c r="B530">
        <v>1023</v>
      </c>
      <c r="D530">
        <v>3386</v>
      </c>
      <c r="E530" t="s">
        <v>5767</v>
      </c>
      <c r="G530" t="s">
        <v>424</v>
      </c>
      <c r="H530">
        <v>57769346000176</v>
      </c>
      <c r="J530" t="s">
        <v>5032</v>
      </c>
      <c r="K530" t="s">
        <v>5033</v>
      </c>
      <c r="M530" t="s">
        <v>5034</v>
      </c>
      <c r="Q530" t="s">
        <v>5035</v>
      </c>
      <c r="R530" t="s">
        <v>973</v>
      </c>
      <c r="S530" t="s">
        <v>2541</v>
      </c>
      <c r="V530" t="s">
        <v>5650</v>
      </c>
      <c r="W530" t="s">
        <v>780</v>
      </c>
      <c r="X530" t="s">
        <v>857</v>
      </c>
      <c r="Z530" s="31">
        <v>46234</v>
      </c>
      <c r="AC530">
        <v>22</v>
      </c>
      <c r="AD530" t="s">
        <v>22</v>
      </c>
      <c r="AE530" s="31">
        <v>46097</v>
      </c>
      <c r="AF530" s="61">
        <v>0.57715277777777774</v>
      </c>
      <c r="AH530" t="s">
        <v>795</v>
      </c>
      <c r="AI530" s="31">
        <v>46119</v>
      </c>
      <c r="AJ530" s="61">
        <v>0.44837962962962957</v>
      </c>
      <c r="AK530" t="s">
        <v>5392</v>
      </c>
      <c r="AN530" t="s">
        <v>4788</v>
      </c>
      <c r="AO530" t="s">
        <v>31</v>
      </c>
      <c r="AP530" t="s">
        <v>4788</v>
      </c>
      <c r="AR530" s="31">
        <v>46119</v>
      </c>
      <c r="AS530">
        <v>30</v>
      </c>
      <c r="AX530">
        <v>1</v>
      </c>
    </row>
    <row r="531" spans="1:50" x14ac:dyDescent="0.25">
      <c r="A531" t="s">
        <v>22</v>
      </c>
      <c r="B531">
        <v>1024</v>
      </c>
      <c r="D531">
        <v>3388</v>
      </c>
      <c r="E531" t="s">
        <v>5036</v>
      </c>
      <c r="G531" t="s">
        <v>5037</v>
      </c>
      <c r="J531" t="s">
        <v>4086</v>
      </c>
      <c r="K531" t="s">
        <v>5768</v>
      </c>
      <c r="M531" t="s">
        <v>5038</v>
      </c>
      <c r="S531" t="s">
        <v>2541</v>
      </c>
      <c r="V531" t="s">
        <v>5650</v>
      </c>
      <c r="W531" t="s">
        <v>780</v>
      </c>
      <c r="X531" t="s">
        <v>897</v>
      </c>
      <c r="Z531" s="31">
        <v>46112</v>
      </c>
      <c r="AC531">
        <v>54</v>
      </c>
      <c r="AD531" t="s">
        <v>22</v>
      </c>
      <c r="AE531" s="31">
        <v>46097</v>
      </c>
      <c r="AF531" s="61">
        <v>0.57785879629629633</v>
      </c>
      <c r="AH531" t="s">
        <v>795</v>
      </c>
      <c r="AI531" s="31">
        <v>46151</v>
      </c>
      <c r="AJ531" s="61">
        <v>0.33232638888888888</v>
      </c>
      <c r="AK531" t="s">
        <v>5657</v>
      </c>
      <c r="AO531" t="s">
        <v>22</v>
      </c>
      <c r="AR531" s="31">
        <v>46101</v>
      </c>
      <c r="AS531">
        <v>30</v>
      </c>
      <c r="AX531">
        <v>1</v>
      </c>
    </row>
    <row r="532" spans="1:50" x14ac:dyDescent="0.25">
      <c r="A532" t="s">
        <v>22</v>
      </c>
      <c r="B532">
        <v>1025</v>
      </c>
      <c r="D532">
        <v>3389</v>
      </c>
      <c r="E532" t="s">
        <v>5039</v>
      </c>
      <c r="G532" t="s">
        <v>5040</v>
      </c>
      <c r="J532" t="s">
        <v>5041</v>
      </c>
      <c r="K532" t="s">
        <v>5769</v>
      </c>
      <c r="M532" t="s">
        <v>5042</v>
      </c>
      <c r="S532" t="s">
        <v>2541</v>
      </c>
      <c r="V532" t="s">
        <v>5650</v>
      </c>
      <c r="W532" t="s">
        <v>780</v>
      </c>
      <c r="X532" t="s">
        <v>857</v>
      </c>
      <c r="Z532" s="31">
        <v>46112</v>
      </c>
      <c r="AC532">
        <v>25</v>
      </c>
      <c r="AD532" t="s">
        <v>22</v>
      </c>
      <c r="AE532" s="31">
        <v>46097</v>
      </c>
      <c r="AF532" s="61">
        <v>0.57847222222222228</v>
      </c>
      <c r="AH532" t="s">
        <v>795</v>
      </c>
      <c r="AI532" s="31">
        <v>46122</v>
      </c>
      <c r="AJ532" s="61">
        <v>0.61157407407407405</v>
      </c>
      <c r="AK532" t="s">
        <v>5338</v>
      </c>
      <c r="AO532" t="s">
        <v>22</v>
      </c>
      <c r="AR532" s="31">
        <v>46101</v>
      </c>
      <c r="AS532">
        <v>30</v>
      </c>
      <c r="AU532" t="s">
        <v>321</v>
      </c>
      <c r="AX532">
        <v>1</v>
      </c>
    </row>
    <row r="533" spans="1:50" x14ac:dyDescent="0.25">
      <c r="A533" t="s">
        <v>44</v>
      </c>
      <c r="B533">
        <v>1026</v>
      </c>
      <c r="D533">
        <v>3390</v>
      </c>
      <c r="E533" t="s">
        <v>5770</v>
      </c>
      <c r="G533" t="s">
        <v>5044</v>
      </c>
      <c r="H533">
        <v>35511300000110</v>
      </c>
      <c r="J533" t="s">
        <v>5045</v>
      </c>
      <c r="K533" t="s">
        <v>5771</v>
      </c>
      <c r="M533" t="s">
        <v>5046</v>
      </c>
      <c r="S533" t="s">
        <v>2541</v>
      </c>
      <c r="V533" t="s">
        <v>5650</v>
      </c>
      <c r="W533" t="s">
        <v>780</v>
      </c>
      <c r="X533" t="s">
        <v>897</v>
      </c>
      <c r="Z533" s="31">
        <v>46112</v>
      </c>
      <c r="AC533">
        <v>54</v>
      </c>
      <c r="AD533" t="s">
        <v>22</v>
      </c>
      <c r="AE533" s="31">
        <v>46097</v>
      </c>
      <c r="AF533" s="61">
        <v>0.57913194444444449</v>
      </c>
      <c r="AH533" t="s">
        <v>795</v>
      </c>
      <c r="AI533" s="31">
        <v>46151</v>
      </c>
      <c r="AJ533" s="61">
        <v>0.33273148148148152</v>
      </c>
      <c r="AK533" t="s">
        <v>5657</v>
      </c>
      <c r="AO533" t="s">
        <v>44</v>
      </c>
      <c r="AR533" s="31">
        <v>46118</v>
      </c>
      <c r="AS533">
        <v>30</v>
      </c>
      <c r="AX533">
        <v>1</v>
      </c>
    </row>
    <row r="534" spans="1:50" x14ac:dyDescent="0.25">
      <c r="A534" t="s">
        <v>31</v>
      </c>
      <c r="B534">
        <v>1027</v>
      </c>
      <c r="D534">
        <v>3391</v>
      </c>
      <c r="G534" t="s">
        <v>5048</v>
      </c>
      <c r="J534" t="s">
        <v>5049</v>
      </c>
      <c r="K534" t="s">
        <v>5772</v>
      </c>
      <c r="M534" t="s">
        <v>5050</v>
      </c>
      <c r="S534" t="s">
        <v>2541</v>
      </c>
      <c r="V534" t="s">
        <v>5650</v>
      </c>
      <c r="W534" t="s">
        <v>780</v>
      </c>
      <c r="X534" t="s">
        <v>781</v>
      </c>
      <c r="Z534" s="31">
        <v>46234</v>
      </c>
      <c r="AC534">
        <v>54</v>
      </c>
      <c r="AD534" t="s">
        <v>22</v>
      </c>
      <c r="AE534" s="31">
        <v>46097</v>
      </c>
      <c r="AF534" s="61">
        <v>0.57983796296296297</v>
      </c>
      <c r="AH534" t="s">
        <v>795</v>
      </c>
      <c r="AI534" s="31">
        <v>46151</v>
      </c>
      <c r="AJ534" s="61">
        <v>0.88386574074074076</v>
      </c>
      <c r="AK534" t="s">
        <v>5657</v>
      </c>
      <c r="AO534" t="s">
        <v>31</v>
      </c>
      <c r="AR534" s="31">
        <v>46098</v>
      </c>
      <c r="AS534">
        <v>30</v>
      </c>
      <c r="AX534">
        <v>1</v>
      </c>
    </row>
    <row r="535" spans="1:50" x14ac:dyDescent="0.25">
      <c r="A535" t="s">
        <v>31</v>
      </c>
      <c r="B535">
        <v>1029</v>
      </c>
      <c r="D535">
        <v>3395</v>
      </c>
      <c r="E535" t="s">
        <v>5051</v>
      </c>
      <c r="G535" t="s">
        <v>5052</v>
      </c>
      <c r="H535">
        <v>6864286000130</v>
      </c>
      <c r="J535" t="s">
        <v>4704</v>
      </c>
      <c r="K535" t="s">
        <v>5053</v>
      </c>
      <c r="M535" t="s">
        <v>5054</v>
      </c>
      <c r="Q535" t="s">
        <v>5055</v>
      </c>
      <c r="S535" t="s">
        <v>814</v>
      </c>
      <c r="W535" t="s">
        <v>780</v>
      </c>
      <c r="X535" t="s">
        <v>857</v>
      </c>
      <c r="Z535" s="31">
        <v>46173</v>
      </c>
      <c r="AC535">
        <v>13</v>
      </c>
      <c r="AD535" t="s">
        <v>22</v>
      </c>
      <c r="AE535" s="31">
        <v>46098</v>
      </c>
      <c r="AF535" s="61">
        <v>0.65673611111111108</v>
      </c>
      <c r="AH535" t="s">
        <v>795</v>
      </c>
      <c r="AI535" s="31">
        <v>46111</v>
      </c>
      <c r="AJ535" s="61">
        <v>0.66320601851851857</v>
      </c>
      <c r="AK535" t="s">
        <v>5353</v>
      </c>
      <c r="AO535" t="s">
        <v>31</v>
      </c>
      <c r="AR535" s="31">
        <v>46111</v>
      </c>
      <c r="AS535">
        <v>30</v>
      </c>
      <c r="AU535" t="s">
        <v>5056</v>
      </c>
      <c r="AX535">
        <v>1</v>
      </c>
    </row>
    <row r="536" spans="1:50" x14ac:dyDescent="0.25">
      <c r="A536" t="s">
        <v>44</v>
      </c>
      <c r="B536">
        <v>1030</v>
      </c>
      <c r="D536">
        <v>3396</v>
      </c>
      <c r="E536" t="s">
        <v>5773</v>
      </c>
      <c r="G536" t="s">
        <v>5058</v>
      </c>
      <c r="J536" t="s">
        <v>5059</v>
      </c>
      <c r="K536" t="s">
        <v>5774</v>
      </c>
      <c r="M536" t="s">
        <v>5060</v>
      </c>
      <c r="S536" t="s">
        <v>2541</v>
      </c>
      <c r="V536" t="s">
        <v>5631</v>
      </c>
      <c r="W536" t="s">
        <v>780</v>
      </c>
      <c r="X536" t="s">
        <v>897</v>
      </c>
      <c r="Z536" s="31">
        <v>46112</v>
      </c>
      <c r="AC536">
        <v>22</v>
      </c>
      <c r="AD536" t="s">
        <v>22</v>
      </c>
      <c r="AE536" s="31">
        <v>46098</v>
      </c>
      <c r="AF536" s="61">
        <v>0.65770833333333334</v>
      </c>
      <c r="AH536" t="s">
        <v>795</v>
      </c>
      <c r="AI536" s="31">
        <v>46120</v>
      </c>
      <c r="AJ536" s="61">
        <v>0.72315972222222225</v>
      </c>
      <c r="AK536" t="s">
        <v>5392</v>
      </c>
      <c r="AL536" t="s">
        <v>5773</v>
      </c>
      <c r="AO536" t="s">
        <v>44</v>
      </c>
      <c r="AR536" s="31">
        <v>46104</v>
      </c>
      <c r="AS536">
        <v>30</v>
      </c>
      <c r="AX536">
        <v>1</v>
      </c>
    </row>
    <row r="537" spans="1:50" x14ac:dyDescent="0.25">
      <c r="A537" t="s">
        <v>22</v>
      </c>
      <c r="B537">
        <v>1031</v>
      </c>
      <c r="D537">
        <v>3397</v>
      </c>
      <c r="E537" t="s">
        <v>5062</v>
      </c>
      <c r="G537" t="s">
        <v>5063</v>
      </c>
      <c r="H537">
        <v>27742655000191</v>
      </c>
      <c r="J537" t="s">
        <v>844</v>
      </c>
      <c r="K537" t="s">
        <v>5775</v>
      </c>
      <c r="M537" t="s">
        <v>5064</v>
      </c>
      <c r="S537" t="s">
        <v>2541</v>
      </c>
      <c r="V537" t="s">
        <v>5650</v>
      </c>
      <c r="W537" t="s">
        <v>780</v>
      </c>
      <c r="X537" t="s">
        <v>897</v>
      </c>
      <c r="Z537" s="31">
        <v>46112</v>
      </c>
      <c r="AC537">
        <v>3</v>
      </c>
      <c r="AD537" t="s">
        <v>22</v>
      </c>
      <c r="AE537" s="31">
        <v>46098</v>
      </c>
      <c r="AF537" s="61">
        <v>0.65940972222222227</v>
      </c>
      <c r="AH537" t="s">
        <v>795</v>
      </c>
      <c r="AI537" s="31">
        <v>46101</v>
      </c>
      <c r="AJ537" s="61">
        <v>0.65554398148148152</v>
      </c>
      <c r="AK537" t="s">
        <v>5392</v>
      </c>
      <c r="AO537" t="s">
        <v>22</v>
      </c>
      <c r="AR537" s="31"/>
      <c r="AS537">
        <v>30</v>
      </c>
      <c r="AX537">
        <v>1</v>
      </c>
    </row>
    <row r="538" spans="1:50" x14ac:dyDescent="0.25">
      <c r="A538" t="s">
        <v>31</v>
      </c>
      <c r="B538">
        <v>1032</v>
      </c>
      <c r="D538">
        <v>3402</v>
      </c>
      <c r="E538" t="s">
        <v>5776</v>
      </c>
      <c r="G538" t="s">
        <v>5066</v>
      </c>
      <c r="H538">
        <v>27742655000191</v>
      </c>
      <c r="J538" t="s">
        <v>844</v>
      </c>
      <c r="K538" t="s">
        <v>5067</v>
      </c>
      <c r="M538" t="s">
        <v>5068</v>
      </c>
      <c r="Q538" t="s">
        <v>1633</v>
      </c>
      <c r="R538" t="s">
        <v>848</v>
      </c>
      <c r="W538" t="s">
        <v>780</v>
      </c>
      <c r="X538" t="s">
        <v>781</v>
      </c>
      <c r="Z538" s="31">
        <v>46234</v>
      </c>
      <c r="AC538">
        <v>35</v>
      </c>
      <c r="AD538" t="s">
        <v>31</v>
      </c>
      <c r="AE538" s="31">
        <v>46099</v>
      </c>
      <c r="AF538" s="61">
        <v>0.48501157407407408</v>
      </c>
      <c r="AH538" t="s">
        <v>795</v>
      </c>
      <c r="AI538" s="31">
        <v>46134</v>
      </c>
      <c r="AJ538" s="61">
        <v>0.71966435185185185</v>
      </c>
      <c r="AK538" t="s">
        <v>5642</v>
      </c>
      <c r="AO538" t="s">
        <v>31</v>
      </c>
      <c r="AR538" s="31">
        <v>46134</v>
      </c>
      <c r="AS538">
        <v>30</v>
      </c>
      <c r="AX538">
        <v>1</v>
      </c>
    </row>
    <row r="539" spans="1:50" x14ac:dyDescent="0.25">
      <c r="A539" t="s">
        <v>31</v>
      </c>
      <c r="B539">
        <v>1033</v>
      </c>
      <c r="D539">
        <v>3401</v>
      </c>
      <c r="E539" t="s">
        <v>5069</v>
      </c>
      <c r="G539" t="s">
        <v>5070</v>
      </c>
      <c r="H539">
        <v>27251864000132</v>
      </c>
      <c r="J539" t="s">
        <v>5071</v>
      </c>
      <c r="K539" t="s">
        <v>5072</v>
      </c>
      <c r="M539" t="s">
        <v>5073</v>
      </c>
      <c r="Q539" t="s">
        <v>2685</v>
      </c>
      <c r="S539" t="s">
        <v>814</v>
      </c>
      <c r="V539" t="s">
        <v>1186</v>
      </c>
      <c r="W539" t="s">
        <v>780</v>
      </c>
      <c r="X539" t="s">
        <v>857</v>
      </c>
      <c r="Z539" s="31">
        <v>46203</v>
      </c>
      <c r="AC539">
        <v>12</v>
      </c>
      <c r="AD539" t="s">
        <v>22</v>
      </c>
      <c r="AE539" s="31">
        <v>46099</v>
      </c>
      <c r="AF539" s="61">
        <v>0.64248842592592592</v>
      </c>
      <c r="AH539" t="s">
        <v>795</v>
      </c>
      <c r="AI539" s="31">
        <v>46111</v>
      </c>
      <c r="AJ539" s="61">
        <v>0.66197916666666667</v>
      </c>
      <c r="AK539" t="s">
        <v>5338</v>
      </c>
      <c r="AO539" t="s">
        <v>31</v>
      </c>
      <c r="AR539" s="31">
        <v>46111</v>
      </c>
      <c r="AS539">
        <v>30</v>
      </c>
      <c r="AU539" t="s">
        <v>47</v>
      </c>
      <c r="AX539">
        <v>1</v>
      </c>
    </row>
    <row r="540" spans="1:50" x14ac:dyDescent="0.25">
      <c r="A540" t="s">
        <v>44</v>
      </c>
      <c r="B540">
        <v>1034</v>
      </c>
      <c r="D540">
        <v>3400</v>
      </c>
      <c r="E540" t="s">
        <v>5777</v>
      </c>
      <c r="G540" t="s">
        <v>5075</v>
      </c>
      <c r="J540" t="s">
        <v>5076</v>
      </c>
      <c r="K540" t="s">
        <v>5778</v>
      </c>
      <c r="M540" t="s">
        <v>5077</v>
      </c>
      <c r="S540" t="s">
        <v>2541</v>
      </c>
      <c r="V540" t="s">
        <v>5631</v>
      </c>
      <c r="W540" t="s">
        <v>780</v>
      </c>
      <c r="X540" t="s">
        <v>897</v>
      </c>
      <c r="Z540" s="31">
        <v>46112</v>
      </c>
      <c r="AC540">
        <v>21</v>
      </c>
      <c r="AD540" t="s">
        <v>22</v>
      </c>
      <c r="AE540" s="31">
        <v>46099</v>
      </c>
      <c r="AF540" s="61">
        <v>0.64361111111111113</v>
      </c>
      <c r="AH540" t="s">
        <v>795</v>
      </c>
      <c r="AI540" s="31">
        <v>46120</v>
      </c>
      <c r="AJ540" s="61">
        <v>0.72401620370370368</v>
      </c>
      <c r="AK540" t="s">
        <v>5392</v>
      </c>
      <c r="AL540" t="s">
        <v>5779</v>
      </c>
      <c r="AO540" t="s">
        <v>44</v>
      </c>
      <c r="AR540" s="31">
        <v>46108</v>
      </c>
      <c r="AS540">
        <v>30</v>
      </c>
      <c r="AX540">
        <v>1</v>
      </c>
    </row>
    <row r="541" spans="1:50" x14ac:dyDescent="0.25">
      <c r="A541" t="s">
        <v>22</v>
      </c>
      <c r="B541">
        <v>1035</v>
      </c>
      <c r="D541">
        <v>3399</v>
      </c>
      <c r="E541" t="s">
        <v>5079</v>
      </c>
      <c r="G541" t="s">
        <v>5080</v>
      </c>
      <c r="J541" t="s">
        <v>5081</v>
      </c>
      <c r="K541" t="s">
        <v>5780</v>
      </c>
      <c r="M541" t="s">
        <v>5082</v>
      </c>
      <c r="S541" t="s">
        <v>2541</v>
      </c>
      <c r="V541" t="s">
        <v>5650</v>
      </c>
      <c r="W541" t="s">
        <v>780</v>
      </c>
      <c r="X541" t="s">
        <v>897</v>
      </c>
      <c r="Z541" s="31">
        <v>46112</v>
      </c>
      <c r="AC541">
        <v>52</v>
      </c>
      <c r="AD541" t="s">
        <v>22</v>
      </c>
      <c r="AE541" s="31">
        <v>46099</v>
      </c>
      <c r="AF541" s="61">
        <v>0.64436342592592588</v>
      </c>
      <c r="AH541" t="s">
        <v>795</v>
      </c>
      <c r="AI541" s="31">
        <v>46151</v>
      </c>
      <c r="AJ541" s="61">
        <v>0.33498842592592593</v>
      </c>
      <c r="AK541" t="s">
        <v>5657</v>
      </c>
      <c r="AO541" t="s">
        <v>22</v>
      </c>
      <c r="AR541" s="31">
        <v>46101</v>
      </c>
      <c r="AS541">
        <v>30</v>
      </c>
      <c r="AX541">
        <v>1</v>
      </c>
    </row>
    <row r="542" spans="1:50" x14ac:dyDescent="0.25">
      <c r="A542" t="s">
        <v>31</v>
      </c>
      <c r="B542">
        <v>1037</v>
      </c>
      <c r="D542">
        <v>3404</v>
      </c>
      <c r="E542" t="s">
        <v>5083</v>
      </c>
      <c r="G542" t="s">
        <v>431</v>
      </c>
      <c r="J542" t="s">
        <v>5084</v>
      </c>
      <c r="K542" t="s">
        <v>5781</v>
      </c>
      <c r="M542" t="s">
        <v>5085</v>
      </c>
      <c r="S542" t="s">
        <v>2541</v>
      </c>
      <c r="V542" t="s">
        <v>5650</v>
      </c>
      <c r="W542" t="s">
        <v>780</v>
      </c>
      <c r="X542" t="s">
        <v>857</v>
      </c>
      <c r="Z542" s="31">
        <v>46112</v>
      </c>
      <c r="AC542">
        <v>51</v>
      </c>
      <c r="AD542" t="s">
        <v>22</v>
      </c>
      <c r="AE542" s="31">
        <v>46100</v>
      </c>
      <c r="AF542" s="61">
        <v>0.43497685185185192</v>
      </c>
      <c r="AH542" t="s">
        <v>795</v>
      </c>
      <c r="AI542" s="31">
        <v>46151</v>
      </c>
      <c r="AJ542" s="61">
        <v>0.88013888888888892</v>
      </c>
      <c r="AK542" t="s">
        <v>5347</v>
      </c>
      <c r="AN542" t="s">
        <v>5010</v>
      </c>
      <c r="AO542" t="s">
        <v>31</v>
      </c>
      <c r="AP542" t="s">
        <v>5010</v>
      </c>
      <c r="AR542" s="31">
        <v>46105</v>
      </c>
      <c r="AS542">
        <v>30</v>
      </c>
      <c r="AX542">
        <v>1</v>
      </c>
    </row>
    <row r="543" spans="1:50" x14ac:dyDescent="0.25">
      <c r="A543" t="s">
        <v>44</v>
      </c>
      <c r="B543">
        <v>1038</v>
      </c>
      <c r="D543">
        <v>3405</v>
      </c>
      <c r="E543" t="s">
        <v>5086</v>
      </c>
      <c r="G543" t="s">
        <v>5087</v>
      </c>
      <c r="J543" t="s">
        <v>5088</v>
      </c>
      <c r="K543" t="s">
        <v>5782</v>
      </c>
      <c r="M543" t="s">
        <v>5089</v>
      </c>
      <c r="S543" t="s">
        <v>2541</v>
      </c>
      <c r="V543" t="s">
        <v>5631</v>
      </c>
      <c r="W543" t="s">
        <v>780</v>
      </c>
      <c r="X543" t="s">
        <v>897</v>
      </c>
      <c r="Z543" s="31"/>
      <c r="AC543">
        <v>0</v>
      </c>
      <c r="AD543" t="s">
        <v>22</v>
      </c>
      <c r="AE543" s="31">
        <v>46100</v>
      </c>
      <c r="AF543" s="61">
        <v>0.43748842592592591</v>
      </c>
      <c r="AH543" t="s">
        <v>795</v>
      </c>
      <c r="AI543" s="31">
        <v>46100</v>
      </c>
      <c r="AJ543" s="61">
        <v>0.51109953703703703</v>
      </c>
      <c r="AK543" t="s">
        <v>5392</v>
      </c>
      <c r="AL543" t="s">
        <v>5783</v>
      </c>
      <c r="AO543" t="s">
        <v>44</v>
      </c>
      <c r="AR543" s="31"/>
      <c r="AS543">
        <v>30</v>
      </c>
      <c r="AX543">
        <v>1</v>
      </c>
    </row>
    <row r="544" spans="1:50" x14ac:dyDescent="0.25">
      <c r="A544" t="s">
        <v>31</v>
      </c>
      <c r="B544">
        <v>1040</v>
      </c>
      <c r="D544">
        <v>3408</v>
      </c>
      <c r="E544" t="s">
        <v>5784</v>
      </c>
      <c r="G544" t="s">
        <v>5092</v>
      </c>
      <c r="H544">
        <v>40707794000142</v>
      </c>
      <c r="J544" t="s">
        <v>5093</v>
      </c>
      <c r="K544" t="s">
        <v>5785</v>
      </c>
      <c r="M544" t="s">
        <v>5094</v>
      </c>
      <c r="S544" t="s">
        <v>2541</v>
      </c>
      <c r="V544" t="s">
        <v>5631</v>
      </c>
      <c r="W544" t="s">
        <v>780</v>
      </c>
      <c r="X544" t="s">
        <v>781</v>
      </c>
      <c r="Z544" s="31">
        <v>46142</v>
      </c>
      <c r="AC544">
        <v>33</v>
      </c>
      <c r="AD544" t="s">
        <v>22</v>
      </c>
      <c r="AE544" s="31">
        <v>46101</v>
      </c>
      <c r="AF544" s="61">
        <v>0.39078703703703699</v>
      </c>
      <c r="AH544" t="s">
        <v>795</v>
      </c>
      <c r="AI544" s="31">
        <v>46134</v>
      </c>
      <c r="AJ544" s="61">
        <v>0.71796296296296291</v>
      </c>
      <c r="AK544" t="s">
        <v>5392</v>
      </c>
      <c r="AO544" t="s">
        <v>31</v>
      </c>
      <c r="AR544" s="31">
        <v>46134</v>
      </c>
      <c r="AS544">
        <v>30</v>
      </c>
      <c r="AX544">
        <v>1</v>
      </c>
    </row>
    <row r="545" spans="1:50" x14ac:dyDescent="0.25">
      <c r="A545" t="s">
        <v>31</v>
      </c>
      <c r="B545">
        <v>1041</v>
      </c>
      <c r="D545">
        <v>3409</v>
      </c>
      <c r="E545" t="s">
        <v>5786</v>
      </c>
      <c r="G545" t="s">
        <v>5096</v>
      </c>
      <c r="J545" t="s">
        <v>5097</v>
      </c>
      <c r="K545" t="s">
        <v>5787</v>
      </c>
      <c r="M545" t="s">
        <v>5098</v>
      </c>
      <c r="S545" t="s">
        <v>2541</v>
      </c>
      <c r="V545" t="s">
        <v>5631</v>
      </c>
      <c r="W545" t="s">
        <v>780</v>
      </c>
      <c r="X545" t="s">
        <v>781</v>
      </c>
      <c r="Z545" s="31"/>
      <c r="AC545">
        <v>50</v>
      </c>
      <c r="AD545" t="s">
        <v>22</v>
      </c>
      <c r="AE545" s="31">
        <v>46101</v>
      </c>
      <c r="AF545" s="61">
        <v>0.64495370370370375</v>
      </c>
      <c r="AH545" t="s">
        <v>795</v>
      </c>
      <c r="AI545" s="31">
        <v>46151</v>
      </c>
      <c r="AJ545" s="61">
        <v>0.88168981481481479</v>
      </c>
      <c r="AK545" t="s">
        <v>5392</v>
      </c>
      <c r="AO545" t="s">
        <v>31</v>
      </c>
      <c r="AR545" s="31">
        <v>46104</v>
      </c>
      <c r="AS545">
        <v>30</v>
      </c>
      <c r="AX545">
        <v>1</v>
      </c>
    </row>
    <row r="546" spans="1:50" x14ac:dyDescent="0.25">
      <c r="A546" t="s">
        <v>44</v>
      </c>
      <c r="B546">
        <v>1044</v>
      </c>
      <c r="D546">
        <v>3414</v>
      </c>
      <c r="E546" t="s">
        <v>5788</v>
      </c>
      <c r="G546" t="s">
        <v>5100</v>
      </c>
      <c r="J546" t="s">
        <v>5101</v>
      </c>
      <c r="K546" t="s">
        <v>5789</v>
      </c>
      <c r="M546" t="s">
        <v>5102</v>
      </c>
      <c r="R546" t="s">
        <v>5103</v>
      </c>
      <c r="S546" t="s">
        <v>1191</v>
      </c>
      <c r="V546" t="s">
        <v>5790</v>
      </c>
      <c r="W546" t="s">
        <v>780</v>
      </c>
      <c r="X546" t="s">
        <v>897</v>
      </c>
      <c r="Z546" s="31">
        <v>46105</v>
      </c>
      <c r="AC546">
        <v>16</v>
      </c>
      <c r="AD546" t="s">
        <v>22</v>
      </c>
      <c r="AE546" s="31">
        <v>46104</v>
      </c>
      <c r="AF546" s="61">
        <v>0.57486111111111116</v>
      </c>
      <c r="AH546" t="s">
        <v>795</v>
      </c>
      <c r="AI546" s="31">
        <v>46120</v>
      </c>
      <c r="AJ546" s="61">
        <v>0.72234953703703708</v>
      </c>
      <c r="AK546" t="s">
        <v>5392</v>
      </c>
      <c r="AL546" t="s">
        <v>5791</v>
      </c>
      <c r="AO546" t="s">
        <v>44</v>
      </c>
      <c r="AR546" s="31">
        <v>46104</v>
      </c>
      <c r="AS546">
        <v>30</v>
      </c>
      <c r="AX546">
        <v>1</v>
      </c>
    </row>
    <row r="547" spans="1:50" x14ac:dyDescent="0.25">
      <c r="A547" t="s">
        <v>31</v>
      </c>
      <c r="B547">
        <v>1045</v>
      </c>
      <c r="D547">
        <v>3412</v>
      </c>
      <c r="E547" t="s">
        <v>5792</v>
      </c>
      <c r="G547" t="s">
        <v>5107</v>
      </c>
      <c r="J547" t="s">
        <v>5108</v>
      </c>
      <c r="K547" t="s">
        <v>5793</v>
      </c>
      <c r="M547" t="s">
        <v>5109</v>
      </c>
      <c r="S547" t="s">
        <v>2541</v>
      </c>
      <c r="V547" t="s">
        <v>5631</v>
      </c>
      <c r="W547" t="s">
        <v>780</v>
      </c>
      <c r="X547" t="s">
        <v>781</v>
      </c>
      <c r="Z547" s="31">
        <v>46142</v>
      </c>
      <c r="AC547">
        <v>15</v>
      </c>
      <c r="AD547" t="s">
        <v>22</v>
      </c>
      <c r="AE547" s="31">
        <v>46104</v>
      </c>
      <c r="AF547" s="61">
        <v>0.57579861111111108</v>
      </c>
      <c r="AH547" t="s">
        <v>795</v>
      </c>
      <c r="AI547" s="31">
        <v>46119</v>
      </c>
      <c r="AJ547" s="61">
        <v>0.40035879629629628</v>
      </c>
      <c r="AK547" t="s">
        <v>5392</v>
      </c>
      <c r="AO547" t="s">
        <v>31</v>
      </c>
      <c r="AR547" s="31">
        <v>46119</v>
      </c>
      <c r="AS547">
        <v>30</v>
      </c>
      <c r="AX547">
        <v>1</v>
      </c>
    </row>
    <row r="548" spans="1:50" x14ac:dyDescent="0.25">
      <c r="A548" t="s">
        <v>44</v>
      </c>
      <c r="B548">
        <v>1046</v>
      </c>
      <c r="D548">
        <v>3411</v>
      </c>
      <c r="E548" t="s">
        <v>5794</v>
      </c>
      <c r="G548" t="s">
        <v>5111</v>
      </c>
      <c r="H548">
        <v>32354207000150</v>
      </c>
      <c r="J548" t="s">
        <v>5112</v>
      </c>
      <c r="K548" t="s">
        <v>5795</v>
      </c>
      <c r="M548" t="s">
        <v>5113</v>
      </c>
      <c r="Q548" t="s">
        <v>5114</v>
      </c>
      <c r="R548" t="s">
        <v>5115</v>
      </c>
      <c r="S548" t="s">
        <v>2541</v>
      </c>
      <c r="V548" t="s">
        <v>5650</v>
      </c>
      <c r="W548" t="s">
        <v>780</v>
      </c>
      <c r="X548" t="s">
        <v>897</v>
      </c>
      <c r="Z548" s="31">
        <v>46112</v>
      </c>
      <c r="AC548">
        <v>47</v>
      </c>
      <c r="AD548" t="s">
        <v>22</v>
      </c>
      <c r="AE548" s="31">
        <v>46104</v>
      </c>
      <c r="AF548" s="61">
        <v>0.57660879629629624</v>
      </c>
      <c r="AH548" t="s">
        <v>795</v>
      </c>
      <c r="AI548" s="31">
        <v>46151</v>
      </c>
      <c r="AJ548" s="61">
        <v>0.33533564814814809</v>
      </c>
      <c r="AK548" t="s">
        <v>5657</v>
      </c>
      <c r="AO548" t="s">
        <v>44</v>
      </c>
      <c r="AR548" s="31">
        <v>46108</v>
      </c>
      <c r="AS548">
        <v>30</v>
      </c>
      <c r="AX548">
        <v>1</v>
      </c>
    </row>
    <row r="549" spans="1:50" x14ac:dyDescent="0.25">
      <c r="A549" t="s">
        <v>44</v>
      </c>
      <c r="B549">
        <v>1047</v>
      </c>
      <c r="D549">
        <v>3417</v>
      </c>
      <c r="G549" t="s">
        <v>446</v>
      </c>
      <c r="J549" t="s">
        <v>5117</v>
      </c>
      <c r="K549" t="s">
        <v>2261</v>
      </c>
      <c r="M549" t="s">
        <v>2262</v>
      </c>
      <c r="W549" t="s">
        <v>780</v>
      </c>
      <c r="X549" t="s">
        <v>816</v>
      </c>
      <c r="Z549" s="31"/>
      <c r="AA549">
        <v>1652929</v>
      </c>
      <c r="AB549">
        <v>0</v>
      </c>
      <c r="AC549">
        <v>0</v>
      </c>
      <c r="AD549" t="s">
        <v>44</v>
      </c>
      <c r="AE549" s="31">
        <v>46105</v>
      </c>
      <c r="AF549" s="61">
        <v>0.67167824074074078</v>
      </c>
      <c r="AH549" t="s">
        <v>818</v>
      </c>
      <c r="AI549" s="31">
        <v>46105</v>
      </c>
      <c r="AJ549" s="61">
        <v>0.67298611111111106</v>
      </c>
      <c r="AN549" t="s">
        <v>4654</v>
      </c>
      <c r="AR549" s="31"/>
      <c r="AS549">
        <v>90</v>
      </c>
      <c r="AX549">
        <v>1</v>
      </c>
    </row>
    <row r="550" spans="1:50" x14ac:dyDescent="0.25">
      <c r="A550" t="s">
        <v>44</v>
      </c>
      <c r="B550">
        <v>1049</v>
      </c>
      <c r="D550">
        <v>3420</v>
      </c>
      <c r="E550" t="s">
        <v>5796</v>
      </c>
      <c r="G550" t="s">
        <v>5119</v>
      </c>
      <c r="H550">
        <v>33582253000170</v>
      </c>
      <c r="J550" t="s">
        <v>5797</v>
      </c>
      <c r="K550" t="s">
        <v>5121</v>
      </c>
      <c r="M550" t="s">
        <v>5122</v>
      </c>
      <c r="Q550" t="s">
        <v>5123</v>
      </c>
      <c r="R550" t="s">
        <v>1105</v>
      </c>
      <c r="S550" t="s">
        <v>814</v>
      </c>
      <c r="V550" t="s">
        <v>5124</v>
      </c>
      <c r="W550" t="s">
        <v>780</v>
      </c>
      <c r="X550" t="s">
        <v>897</v>
      </c>
      <c r="Z550" s="31">
        <v>46112</v>
      </c>
      <c r="AC550">
        <v>7</v>
      </c>
      <c r="AD550" t="s">
        <v>22</v>
      </c>
      <c r="AE550" s="31">
        <v>46106</v>
      </c>
      <c r="AF550" s="61">
        <v>0.68858796296296299</v>
      </c>
      <c r="AH550" t="s">
        <v>795</v>
      </c>
      <c r="AI550" s="31">
        <v>46113</v>
      </c>
      <c r="AJ550" s="61">
        <v>0.4372685185185185</v>
      </c>
      <c r="AK550" t="s">
        <v>5392</v>
      </c>
      <c r="AL550" t="s">
        <v>5796</v>
      </c>
      <c r="AO550" t="s">
        <v>44</v>
      </c>
      <c r="AR550" s="31">
        <v>46112</v>
      </c>
      <c r="AS550">
        <v>30</v>
      </c>
      <c r="AX550">
        <v>1</v>
      </c>
    </row>
    <row r="551" spans="1:50" x14ac:dyDescent="0.25">
      <c r="A551" t="s">
        <v>44</v>
      </c>
      <c r="B551">
        <v>1050</v>
      </c>
      <c r="D551">
        <v>3427</v>
      </c>
      <c r="E551" t="s">
        <v>4917</v>
      </c>
      <c r="G551" t="s">
        <v>5798</v>
      </c>
      <c r="J551" t="s">
        <v>5799</v>
      </c>
      <c r="K551" t="s">
        <v>5800</v>
      </c>
      <c r="M551" t="s">
        <v>4916</v>
      </c>
      <c r="W551" t="s">
        <v>780</v>
      </c>
      <c r="X551" t="s">
        <v>857</v>
      </c>
      <c r="Z551" s="31"/>
      <c r="AA551">
        <v>1600</v>
      </c>
      <c r="AB551">
        <v>252471</v>
      </c>
      <c r="AC551">
        <v>20</v>
      </c>
      <c r="AD551" t="s">
        <v>44</v>
      </c>
      <c r="AE551" s="31">
        <v>46107</v>
      </c>
      <c r="AF551" s="61">
        <v>0.6632986111111111</v>
      </c>
      <c r="AH551" t="s">
        <v>795</v>
      </c>
      <c r="AI551" s="31">
        <v>46127</v>
      </c>
      <c r="AJ551" s="61">
        <v>0.40313657407407399</v>
      </c>
      <c r="AK551" t="s">
        <v>934</v>
      </c>
      <c r="AL551" t="s">
        <v>4917</v>
      </c>
      <c r="AN551" t="s">
        <v>4918</v>
      </c>
      <c r="AP551" t="s">
        <v>4679</v>
      </c>
      <c r="AR551" s="31">
        <v>46127</v>
      </c>
      <c r="AS551">
        <v>50</v>
      </c>
      <c r="AX551">
        <v>1</v>
      </c>
    </row>
    <row r="552" spans="1:50" x14ac:dyDescent="0.25">
      <c r="A552" t="s">
        <v>44</v>
      </c>
      <c r="B552">
        <v>1051</v>
      </c>
      <c r="D552">
        <v>3428</v>
      </c>
      <c r="E552" t="s">
        <v>4917</v>
      </c>
      <c r="G552" t="s">
        <v>461</v>
      </c>
      <c r="J552" t="s">
        <v>5126</v>
      </c>
      <c r="K552" t="s">
        <v>5800</v>
      </c>
      <c r="M552" t="s">
        <v>4916</v>
      </c>
      <c r="W552" t="s">
        <v>780</v>
      </c>
      <c r="X552" t="s">
        <v>857</v>
      </c>
      <c r="Z552" s="31"/>
      <c r="AA552">
        <v>13100</v>
      </c>
      <c r="AB552">
        <v>1800</v>
      </c>
      <c r="AC552">
        <v>20</v>
      </c>
      <c r="AD552" t="s">
        <v>44</v>
      </c>
      <c r="AE552" s="31">
        <v>46107</v>
      </c>
      <c r="AF552" s="61">
        <v>0.66609953703703706</v>
      </c>
      <c r="AH552" t="s">
        <v>795</v>
      </c>
      <c r="AI552" s="31">
        <v>46127</v>
      </c>
      <c r="AJ552" s="61">
        <v>0.40047453703703711</v>
      </c>
      <c r="AK552" t="s">
        <v>934</v>
      </c>
      <c r="AL552" t="s">
        <v>4917</v>
      </c>
      <c r="AN552" t="s">
        <v>4918</v>
      </c>
      <c r="AP552" t="s">
        <v>4612</v>
      </c>
      <c r="AR552" s="31">
        <v>46127</v>
      </c>
      <c r="AS552">
        <v>50</v>
      </c>
      <c r="AX552">
        <v>1</v>
      </c>
    </row>
    <row r="553" spans="1:50" x14ac:dyDescent="0.25">
      <c r="A553" t="s">
        <v>31</v>
      </c>
      <c r="B553">
        <v>1052</v>
      </c>
      <c r="D553">
        <v>3423</v>
      </c>
      <c r="E553" t="s">
        <v>5127</v>
      </c>
      <c r="G553" t="s">
        <v>5128</v>
      </c>
      <c r="H553">
        <v>48440778000148</v>
      </c>
      <c r="J553" t="s">
        <v>5129</v>
      </c>
      <c r="K553" t="s">
        <v>5801</v>
      </c>
      <c r="M553" t="s">
        <v>5130</v>
      </c>
      <c r="R553" t="s">
        <v>5131</v>
      </c>
      <c r="S553" t="s">
        <v>1191</v>
      </c>
      <c r="V553" t="s">
        <v>5650</v>
      </c>
      <c r="W553" t="s">
        <v>780</v>
      </c>
      <c r="X553" t="s">
        <v>781</v>
      </c>
      <c r="Z553" s="31">
        <v>46112</v>
      </c>
      <c r="AC553">
        <v>44</v>
      </c>
      <c r="AD553" t="s">
        <v>22</v>
      </c>
      <c r="AE553" s="31">
        <v>46107</v>
      </c>
      <c r="AF553" s="61">
        <v>0.70391203703703709</v>
      </c>
      <c r="AH553" t="s">
        <v>795</v>
      </c>
      <c r="AI553" s="31">
        <v>46151</v>
      </c>
      <c r="AJ553" s="61">
        <v>0.35934027777777777</v>
      </c>
      <c r="AK553" t="s">
        <v>5657</v>
      </c>
      <c r="AO553" t="s">
        <v>31</v>
      </c>
      <c r="AR553" s="31">
        <v>46119</v>
      </c>
      <c r="AS553">
        <v>30</v>
      </c>
      <c r="AX553">
        <v>1</v>
      </c>
    </row>
    <row r="554" spans="1:50" x14ac:dyDescent="0.25">
      <c r="A554" t="s">
        <v>44</v>
      </c>
      <c r="B554">
        <v>1053</v>
      </c>
      <c r="D554">
        <v>3424</v>
      </c>
      <c r="E554" t="s">
        <v>5802</v>
      </c>
      <c r="G554" t="s">
        <v>5133</v>
      </c>
      <c r="H554">
        <v>4486490000139</v>
      </c>
      <c r="J554" t="s">
        <v>5134</v>
      </c>
      <c r="K554" t="s">
        <v>5803</v>
      </c>
      <c r="M554" t="s">
        <v>5135</v>
      </c>
      <c r="S554" t="s">
        <v>2541</v>
      </c>
      <c r="V554" t="s">
        <v>5650</v>
      </c>
      <c r="W554" t="s">
        <v>780</v>
      </c>
      <c r="X554" t="s">
        <v>897</v>
      </c>
      <c r="Z554" s="31">
        <v>46107</v>
      </c>
      <c r="AC554">
        <v>55</v>
      </c>
      <c r="AD554" t="s">
        <v>22</v>
      </c>
      <c r="AE554" s="31">
        <v>46107</v>
      </c>
      <c r="AF554" s="61">
        <v>0.7056365740740741</v>
      </c>
      <c r="AH554" t="s">
        <v>782</v>
      </c>
      <c r="AI554" s="31"/>
      <c r="AJ554" s="61"/>
      <c r="AO554" t="s">
        <v>44</v>
      </c>
      <c r="AR554" s="31"/>
      <c r="AS554">
        <v>30</v>
      </c>
      <c r="AX554">
        <v>1</v>
      </c>
    </row>
    <row r="555" spans="1:50" x14ac:dyDescent="0.25">
      <c r="A555" t="s">
        <v>31</v>
      </c>
      <c r="B555">
        <v>1054</v>
      </c>
      <c r="D555">
        <v>3425</v>
      </c>
      <c r="E555" t="s">
        <v>5136</v>
      </c>
      <c r="G555" t="s">
        <v>5137</v>
      </c>
      <c r="J555" t="s">
        <v>5138</v>
      </c>
      <c r="K555" t="s">
        <v>5804</v>
      </c>
      <c r="M555" t="s">
        <v>5139</v>
      </c>
      <c r="R555" t="s">
        <v>5140</v>
      </c>
      <c r="S555" t="s">
        <v>1191</v>
      </c>
      <c r="V555" t="s">
        <v>5631</v>
      </c>
      <c r="W555" t="s">
        <v>780</v>
      </c>
      <c r="X555" t="s">
        <v>781</v>
      </c>
      <c r="Z555" s="31">
        <v>46107</v>
      </c>
      <c r="AC555">
        <v>11</v>
      </c>
      <c r="AD555" t="s">
        <v>22</v>
      </c>
      <c r="AE555" s="31">
        <v>46107</v>
      </c>
      <c r="AF555" s="61">
        <v>0.70751157407407406</v>
      </c>
      <c r="AH555" t="s">
        <v>795</v>
      </c>
      <c r="AI555" s="31">
        <v>46118</v>
      </c>
      <c r="AJ555" s="61">
        <v>0.53096064814814814</v>
      </c>
      <c r="AK555" t="s">
        <v>5392</v>
      </c>
      <c r="AO555" t="s">
        <v>31</v>
      </c>
      <c r="AR555" s="31">
        <v>46113</v>
      </c>
      <c r="AS555">
        <v>30</v>
      </c>
      <c r="AX555">
        <v>1</v>
      </c>
    </row>
    <row r="556" spans="1:50" x14ac:dyDescent="0.25">
      <c r="A556" t="s">
        <v>31</v>
      </c>
      <c r="B556">
        <v>1055</v>
      </c>
      <c r="D556">
        <v>3429</v>
      </c>
      <c r="E556" t="s">
        <v>5141</v>
      </c>
      <c r="G556" t="s">
        <v>5142</v>
      </c>
      <c r="J556" t="s">
        <v>5143</v>
      </c>
      <c r="K556" t="s">
        <v>5805</v>
      </c>
      <c r="M556" t="s">
        <v>5144</v>
      </c>
      <c r="S556" t="s">
        <v>2541</v>
      </c>
      <c r="V556" t="s">
        <v>5631</v>
      </c>
      <c r="W556" t="s">
        <v>780</v>
      </c>
      <c r="X556" t="s">
        <v>781</v>
      </c>
      <c r="Z556" s="31">
        <v>46112</v>
      </c>
      <c r="AC556">
        <v>3</v>
      </c>
      <c r="AD556" t="s">
        <v>22</v>
      </c>
      <c r="AE556" s="31">
        <v>46108</v>
      </c>
      <c r="AF556" s="61">
        <v>0.4294560185185185</v>
      </c>
      <c r="AH556" t="s">
        <v>795</v>
      </c>
      <c r="AI556" s="31">
        <v>46111</v>
      </c>
      <c r="AJ556" s="61">
        <v>0.73829861111111106</v>
      </c>
      <c r="AK556" t="s">
        <v>5392</v>
      </c>
      <c r="AO556" t="s">
        <v>31</v>
      </c>
      <c r="AR556" s="31">
        <v>46111</v>
      </c>
      <c r="AS556">
        <v>30</v>
      </c>
      <c r="AX556">
        <v>1</v>
      </c>
    </row>
    <row r="557" spans="1:50" x14ac:dyDescent="0.25">
      <c r="A557" t="s">
        <v>44</v>
      </c>
      <c r="B557">
        <v>1059</v>
      </c>
      <c r="D557">
        <v>3455</v>
      </c>
      <c r="E557" t="s">
        <v>5806</v>
      </c>
      <c r="G557" t="s">
        <v>5807</v>
      </c>
      <c r="J557" t="s">
        <v>5808</v>
      </c>
      <c r="K557" t="s">
        <v>5809</v>
      </c>
      <c r="M557" t="s">
        <v>4972</v>
      </c>
      <c r="W557" t="s">
        <v>780</v>
      </c>
      <c r="X557" t="s">
        <v>807</v>
      </c>
      <c r="Z557" s="31"/>
      <c r="AA557">
        <v>1600</v>
      </c>
      <c r="AB557">
        <v>384454</v>
      </c>
      <c r="AC557">
        <v>51</v>
      </c>
      <c r="AD557" t="s">
        <v>44</v>
      </c>
      <c r="AE557" s="31">
        <v>46111</v>
      </c>
      <c r="AF557" s="61">
        <v>0.63893518518518522</v>
      </c>
      <c r="AH557" t="s">
        <v>782</v>
      </c>
      <c r="AI557" s="31"/>
      <c r="AJ557" s="61"/>
      <c r="AN557" t="s">
        <v>4973</v>
      </c>
      <c r="AP557" t="s">
        <v>4644</v>
      </c>
      <c r="AR557" s="31">
        <v>46111</v>
      </c>
      <c r="AS557">
        <v>50</v>
      </c>
      <c r="AX557">
        <v>1</v>
      </c>
    </row>
    <row r="558" spans="1:50" x14ac:dyDescent="0.25">
      <c r="A558" t="s">
        <v>44</v>
      </c>
      <c r="B558">
        <v>1060</v>
      </c>
      <c r="D558">
        <v>3460</v>
      </c>
      <c r="G558" t="s">
        <v>5810</v>
      </c>
      <c r="J558" t="s">
        <v>5811</v>
      </c>
      <c r="K558" t="s">
        <v>5812</v>
      </c>
      <c r="M558" t="s">
        <v>1111</v>
      </c>
      <c r="W558" t="s">
        <v>780</v>
      </c>
      <c r="X558" t="s">
        <v>807</v>
      </c>
      <c r="Z558" s="31"/>
      <c r="AA558">
        <v>34236</v>
      </c>
      <c r="AB558">
        <v>42768</v>
      </c>
      <c r="AC558">
        <v>51</v>
      </c>
      <c r="AD558" t="s">
        <v>44</v>
      </c>
      <c r="AE558" s="31">
        <v>46111</v>
      </c>
      <c r="AF558" s="61">
        <v>0.67641203703703701</v>
      </c>
      <c r="AH558" t="s">
        <v>782</v>
      </c>
      <c r="AI558" s="31"/>
      <c r="AJ558" s="61"/>
      <c r="AN558" t="s">
        <v>5148</v>
      </c>
      <c r="AP558" t="s">
        <v>5149</v>
      </c>
      <c r="AR558" s="31"/>
      <c r="AS558">
        <v>50</v>
      </c>
      <c r="AX558">
        <v>1</v>
      </c>
    </row>
    <row r="559" spans="1:50" x14ac:dyDescent="0.25">
      <c r="A559" t="s">
        <v>44</v>
      </c>
      <c r="B559">
        <v>1061</v>
      </c>
      <c r="D559">
        <v>3466</v>
      </c>
      <c r="E559" t="s">
        <v>5813</v>
      </c>
      <c r="G559" t="s">
        <v>5814</v>
      </c>
      <c r="J559" t="s">
        <v>5815</v>
      </c>
      <c r="K559" t="s">
        <v>5816</v>
      </c>
      <c r="M559" t="s">
        <v>1111</v>
      </c>
      <c r="W559" t="s">
        <v>780</v>
      </c>
      <c r="X559" t="s">
        <v>793</v>
      </c>
      <c r="Z559" s="31"/>
      <c r="AA559">
        <v>13568</v>
      </c>
      <c r="AB559">
        <v>0</v>
      </c>
      <c r="AC559">
        <v>25</v>
      </c>
      <c r="AD559" t="s">
        <v>44</v>
      </c>
      <c r="AE559" s="31">
        <v>46111</v>
      </c>
      <c r="AF559" s="61">
        <v>0.69383101851851847</v>
      </c>
      <c r="AH559" t="s">
        <v>795</v>
      </c>
      <c r="AI559" s="31">
        <v>46136</v>
      </c>
      <c r="AJ559" s="61">
        <v>0.42457175925925927</v>
      </c>
      <c r="AK559" t="s">
        <v>934</v>
      </c>
      <c r="AL559" t="s">
        <v>5813</v>
      </c>
      <c r="AN559" t="s">
        <v>4680</v>
      </c>
      <c r="AP559" t="s">
        <v>4680</v>
      </c>
      <c r="AR559" s="31">
        <v>46136</v>
      </c>
      <c r="AS559">
        <v>30</v>
      </c>
      <c r="AX559">
        <v>1</v>
      </c>
    </row>
    <row r="560" spans="1:50" x14ac:dyDescent="0.25">
      <c r="A560" t="s">
        <v>44</v>
      </c>
      <c r="B560">
        <v>1062</v>
      </c>
      <c r="D560">
        <v>3093</v>
      </c>
      <c r="G560" t="s">
        <v>483</v>
      </c>
      <c r="H560">
        <v>53629067000156</v>
      </c>
      <c r="J560" t="s">
        <v>3010</v>
      </c>
      <c r="K560" t="s">
        <v>2826</v>
      </c>
      <c r="M560" t="s">
        <v>2827</v>
      </c>
      <c r="Q560" t="s">
        <v>2828</v>
      </c>
      <c r="R560" t="s">
        <v>1699</v>
      </c>
      <c r="S560" t="s">
        <v>814</v>
      </c>
      <c r="V560" t="s">
        <v>1186</v>
      </c>
      <c r="W560" t="s">
        <v>780</v>
      </c>
      <c r="X560" t="s">
        <v>793</v>
      </c>
      <c r="Z560" s="31"/>
      <c r="AA560">
        <v>68743</v>
      </c>
      <c r="AB560">
        <v>143186</v>
      </c>
      <c r="AC560">
        <v>0</v>
      </c>
      <c r="AD560" t="s">
        <v>44</v>
      </c>
      <c r="AE560" s="31">
        <v>46111</v>
      </c>
      <c r="AF560" s="61">
        <v>0.72445601851851849</v>
      </c>
      <c r="AH560" t="s">
        <v>795</v>
      </c>
      <c r="AI560" s="31">
        <v>46111</v>
      </c>
      <c r="AJ560" s="61">
        <v>0.74094907407407407</v>
      </c>
      <c r="AK560" t="s">
        <v>934</v>
      </c>
      <c r="AL560" t="s">
        <v>5817</v>
      </c>
      <c r="AN560" t="s">
        <v>4714</v>
      </c>
      <c r="AP560" t="s">
        <v>4714</v>
      </c>
      <c r="AR560" s="31"/>
      <c r="AS560">
        <v>30</v>
      </c>
      <c r="AX560">
        <v>1</v>
      </c>
    </row>
    <row r="561" spans="1:50" x14ac:dyDescent="0.25">
      <c r="A561" t="s">
        <v>44</v>
      </c>
      <c r="B561">
        <v>1063</v>
      </c>
      <c r="D561">
        <v>3467</v>
      </c>
      <c r="G561" t="s">
        <v>5818</v>
      </c>
      <c r="J561" t="s">
        <v>5819</v>
      </c>
      <c r="K561" t="s">
        <v>3011</v>
      </c>
      <c r="M561" t="s">
        <v>1111</v>
      </c>
      <c r="W561" t="s">
        <v>780</v>
      </c>
      <c r="X561" t="s">
        <v>793</v>
      </c>
      <c r="Z561" s="31"/>
      <c r="AA561">
        <v>1600</v>
      </c>
      <c r="AB561">
        <v>252471</v>
      </c>
      <c r="AC561">
        <v>0</v>
      </c>
      <c r="AD561" t="s">
        <v>44</v>
      </c>
      <c r="AE561" s="31">
        <v>46111</v>
      </c>
      <c r="AF561" s="61">
        <v>0.73722222222222222</v>
      </c>
      <c r="AH561" t="s">
        <v>795</v>
      </c>
      <c r="AI561" s="31">
        <v>46111</v>
      </c>
      <c r="AJ561" s="61">
        <v>0.74140046296296291</v>
      </c>
      <c r="AK561" t="s">
        <v>934</v>
      </c>
      <c r="AL561" t="s">
        <v>5817</v>
      </c>
      <c r="AN561" t="s">
        <v>4691</v>
      </c>
      <c r="AP561" t="s">
        <v>4714</v>
      </c>
      <c r="AQ561" t="s">
        <v>4691</v>
      </c>
      <c r="AR561" s="31"/>
      <c r="AS561">
        <v>30</v>
      </c>
      <c r="AX561">
        <v>1</v>
      </c>
    </row>
    <row r="562" spans="1:50" x14ac:dyDescent="0.25">
      <c r="A562" t="s">
        <v>31</v>
      </c>
      <c r="B562">
        <v>1064</v>
      </c>
      <c r="D562">
        <v>3446</v>
      </c>
      <c r="E562" t="s">
        <v>5153</v>
      </c>
      <c r="G562" t="s">
        <v>5154</v>
      </c>
      <c r="J562" t="s">
        <v>5155</v>
      </c>
      <c r="K562" t="s">
        <v>5820</v>
      </c>
      <c r="M562" t="s">
        <v>5156</v>
      </c>
      <c r="S562" t="s">
        <v>2541</v>
      </c>
      <c r="V562" t="s">
        <v>5631</v>
      </c>
      <c r="W562" t="s">
        <v>780</v>
      </c>
      <c r="X562" t="s">
        <v>781</v>
      </c>
      <c r="Z562" s="31">
        <v>46142</v>
      </c>
      <c r="AC562">
        <v>7</v>
      </c>
      <c r="AD562" t="s">
        <v>22</v>
      </c>
      <c r="AE562" s="31">
        <v>46112</v>
      </c>
      <c r="AF562" s="61">
        <v>0.42952546296296301</v>
      </c>
      <c r="AH562" t="s">
        <v>795</v>
      </c>
      <c r="AI562" s="31">
        <v>46119</v>
      </c>
      <c r="AJ562" s="61">
        <v>0.38395833333333329</v>
      </c>
      <c r="AK562" t="s">
        <v>5392</v>
      </c>
      <c r="AO562" t="s">
        <v>31</v>
      </c>
      <c r="AR562" s="31">
        <v>46113</v>
      </c>
      <c r="AS562">
        <v>30</v>
      </c>
      <c r="AX562">
        <v>1</v>
      </c>
    </row>
    <row r="563" spans="1:50" x14ac:dyDescent="0.25">
      <c r="A563" t="s">
        <v>44</v>
      </c>
      <c r="B563">
        <v>1065</v>
      </c>
      <c r="D563">
        <v>3447</v>
      </c>
      <c r="E563" t="s">
        <v>5821</v>
      </c>
      <c r="G563" t="s">
        <v>5158</v>
      </c>
      <c r="J563" t="s">
        <v>5158</v>
      </c>
      <c r="K563" t="s">
        <v>5822</v>
      </c>
      <c r="M563" t="s">
        <v>5159</v>
      </c>
      <c r="R563" t="s">
        <v>5160</v>
      </c>
      <c r="S563" t="s">
        <v>1191</v>
      </c>
      <c r="V563" t="s">
        <v>5631</v>
      </c>
      <c r="W563" t="s">
        <v>780</v>
      </c>
      <c r="X563" t="s">
        <v>781</v>
      </c>
      <c r="Z563" s="31">
        <v>46112</v>
      </c>
      <c r="AC563">
        <v>0</v>
      </c>
      <c r="AD563" t="s">
        <v>22</v>
      </c>
      <c r="AE563" s="31">
        <v>46112</v>
      </c>
      <c r="AF563" s="61">
        <v>0.4331712962962963</v>
      </c>
      <c r="AH563" t="s">
        <v>795</v>
      </c>
      <c r="AI563" s="31">
        <v>46112</v>
      </c>
      <c r="AJ563" s="61">
        <v>0.62230324074074073</v>
      </c>
      <c r="AK563" t="s">
        <v>5392</v>
      </c>
      <c r="AL563" t="s">
        <v>5821</v>
      </c>
      <c r="AO563" t="s">
        <v>44</v>
      </c>
      <c r="AR563" s="31"/>
      <c r="AS563">
        <v>30</v>
      </c>
      <c r="AX563">
        <v>1</v>
      </c>
    </row>
    <row r="564" spans="1:50" x14ac:dyDescent="0.25">
      <c r="A564" t="s">
        <v>44</v>
      </c>
      <c r="B564">
        <v>1066</v>
      </c>
      <c r="D564">
        <v>3448</v>
      </c>
      <c r="E564" t="s">
        <v>5823</v>
      </c>
      <c r="G564" t="s">
        <v>5162</v>
      </c>
      <c r="H564">
        <v>4827674000115</v>
      </c>
      <c r="J564" t="s">
        <v>5163</v>
      </c>
      <c r="K564" t="s">
        <v>5164</v>
      </c>
      <c r="M564" t="s">
        <v>5165</v>
      </c>
      <c r="Q564" t="s">
        <v>5166</v>
      </c>
      <c r="R564" t="s">
        <v>874</v>
      </c>
      <c r="S564" t="s">
        <v>2541</v>
      </c>
      <c r="V564" t="s">
        <v>5650</v>
      </c>
      <c r="W564" t="s">
        <v>780</v>
      </c>
      <c r="X564" t="s">
        <v>897</v>
      </c>
      <c r="Z564" s="31"/>
      <c r="AC564">
        <v>39</v>
      </c>
      <c r="AD564" t="s">
        <v>22</v>
      </c>
      <c r="AE564" s="31">
        <v>46112</v>
      </c>
      <c r="AF564" s="61">
        <v>0.43893518518518521</v>
      </c>
      <c r="AH564" t="s">
        <v>795</v>
      </c>
      <c r="AI564" s="31">
        <v>46151</v>
      </c>
      <c r="AJ564" s="61">
        <v>0.33603009259259259</v>
      </c>
      <c r="AK564" t="s">
        <v>5657</v>
      </c>
      <c r="AO564" t="s">
        <v>44</v>
      </c>
      <c r="AR564" s="31">
        <v>46118</v>
      </c>
      <c r="AS564">
        <v>30</v>
      </c>
      <c r="AX564">
        <v>1</v>
      </c>
    </row>
    <row r="565" spans="1:50" x14ac:dyDescent="0.25">
      <c r="A565" t="s">
        <v>31</v>
      </c>
      <c r="B565">
        <v>1067</v>
      </c>
      <c r="D565">
        <v>3468</v>
      </c>
      <c r="E565" t="s">
        <v>5168</v>
      </c>
      <c r="G565" t="s">
        <v>5169</v>
      </c>
      <c r="H565">
        <v>50649054000150</v>
      </c>
      <c r="J565" t="s">
        <v>5170</v>
      </c>
      <c r="K565" t="s">
        <v>5171</v>
      </c>
      <c r="M565" t="s">
        <v>5172</v>
      </c>
      <c r="Q565" t="s">
        <v>847</v>
      </c>
      <c r="R565" t="s">
        <v>848</v>
      </c>
      <c r="S565" t="s">
        <v>1191</v>
      </c>
      <c r="V565" t="s">
        <v>5631</v>
      </c>
      <c r="W565" t="s">
        <v>780</v>
      </c>
      <c r="X565" t="s">
        <v>781</v>
      </c>
      <c r="Z565" s="31"/>
      <c r="AC565">
        <v>0</v>
      </c>
      <c r="AD565" t="s">
        <v>22</v>
      </c>
      <c r="AE565" s="31">
        <v>46112</v>
      </c>
      <c r="AF565" s="61">
        <v>0.44137731481481479</v>
      </c>
      <c r="AH565" t="s">
        <v>795</v>
      </c>
      <c r="AI565" s="31">
        <v>46112</v>
      </c>
      <c r="AJ565" s="61">
        <v>0.63928240740740738</v>
      </c>
      <c r="AK565" t="s">
        <v>5392</v>
      </c>
      <c r="AO565" t="s">
        <v>31</v>
      </c>
      <c r="AR565" s="31"/>
      <c r="AS565">
        <v>30</v>
      </c>
      <c r="AX565">
        <v>1</v>
      </c>
    </row>
    <row r="566" spans="1:50" x14ac:dyDescent="0.25">
      <c r="A566" t="s">
        <v>44</v>
      </c>
      <c r="B566">
        <v>1068</v>
      </c>
      <c r="D566">
        <v>3471</v>
      </c>
      <c r="E566" t="s">
        <v>5824</v>
      </c>
      <c r="G566" t="s">
        <v>5825</v>
      </c>
      <c r="J566" t="s">
        <v>5826</v>
      </c>
      <c r="K566" t="s">
        <v>5174</v>
      </c>
      <c r="M566" t="s">
        <v>1111</v>
      </c>
      <c r="W566" t="s">
        <v>780</v>
      </c>
      <c r="X566" t="s">
        <v>793</v>
      </c>
      <c r="Z566" s="31"/>
      <c r="AA566">
        <v>1600</v>
      </c>
      <c r="AB566">
        <v>384454</v>
      </c>
      <c r="AC566">
        <v>20</v>
      </c>
      <c r="AD566" t="s">
        <v>44</v>
      </c>
      <c r="AE566" s="31">
        <v>46112</v>
      </c>
      <c r="AF566" s="61">
        <v>0.63679398148148147</v>
      </c>
      <c r="AH566" t="s">
        <v>795</v>
      </c>
      <c r="AI566" s="31">
        <v>46132</v>
      </c>
      <c r="AJ566" s="61">
        <v>0.49424768518518519</v>
      </c>
      <c r="AK566" t="s">
        <v>934</v>
      </c>
      <c r="AL566" t="s">
        <v>5824</v>
      </c>
      <c r="AN566" t="s">
        <v>4918</v>
      </c>
      <c r="AP566" t="s">
        <v>4918</v>
      </c>
      <c r="AR566" s="31">
        <v>46132</v>
      </c>
      <c r="AS566">
        <v>50</v>
      </c>
      <c r="AX566">
        <v>1</v>
      </c>
    </row>
    <row r="567" spans="1:50" x14ac:dyDescent="0.25">
      <c r="A567" t="s">
        <v>44</v>
      </c>
      <c r="B567">
        <v>1069</v>
      </c>
      <c r="D567">
        <v>3472</v>
      </c>
      <c r="G567" t="s">
        <v>495</v>
      </c>
      <c r="J567" t="s">
        <v>5175</v>
      </c>
      <c r="K567" t="s">
        <v>2369</v>
      </c>
      <c r="M567" t="s">
        <v>1111</v>
      </c>
      <c r="W567" t="s">
        <v>780</v>
      </c>
      <c r="X567" t="s">
        <v>793</v>
      </c>
      <c r="Z567" s="31"/>
      <c r="AA567">
        <v>8480</v>
      </c>
      <c r="AB567">
        <v>3564</v>
      </c>
      <c r="AC567">
        <v>24</v>
      </c>
      <c r="AD567" t="s">
        <v>44</v>
      </c>
      <c r="AE567" s="31">
        <v>46112</v>
      </c>
      <c r="AF567" s="61">
        <v>0.65101851851851855</v>
      </c>
      <c r="AH567" t="s">
        <v>795</v>
      </c>
      <c r="AI567" s="31">
        <v>46136</v>
      </c>
      <c r="AJ567" s="61">
        <v>0.42104166666666659</v>
      </c>
      <c r="AK567" t="s">
        <v>934</v>
      </c>
      <c r="AL567" t="s">
        <v>5827</v>
      </c>
      <c r="AN567" t="s">
        <v>5176</v>
      </c>
      <c r="AP567" t="s">
        <v>5176</v>
      </c>
      <c r="AR567" s="31"/>
      <c r="AS567">
        <v>30</v>
      </c>
      <c r="AX567">
        <v>1</v>
      </c>
    </row>
    <row r="568" spans="1:50" x14ac:dyDescent="0.25">
      <c r="A568" t="s">
        <v>44</v>
      </c>
      <c r="B568">
        <v>1072</v>
      </c>
      <c r="D568">
        <v>3474</v>
      </c>
      <c r="E568" t="s">
        <v>5828</v>
      </c>
      <c r="G568" t="s">
        <v>5178</v>
      </c>
      <c r="H568">
        <v>27728774000190</v>
      </c>
      <c r="J568" t="s">
        <v>5179</v>
      </c>
      <c r="K568" t="s">
        <v>5180</v>
      </c>
      <c r="M568" t="s">
        <v>5181</v>
      </c>
      <c r="Q568" t="s">
        <v>5182</v>
      </c>
      <c r="R568" t="s">
        <v>5183</v>
      </c>
      <c r="S568" t="s">
        <v>1191</v>
      </c>
      <c r="V568" t="s">
        <v>5631</v>
      </c>
      <c r="W568" t="s">
        <v>780</v>
      </c>
      <c r="X568" t="s">
        <v>781</v>
      </c>
      <c r="Z568" s="31"/>
      <c r="AC568">
        <v>0</v>
      </c>
      <c r="AD568" t="s">
        <v>22</v>
      </c>
      <c r="AE568" s="31">
        <v>46113</v>
      </c>
      <c r="AF568" s="61">
        <v>0.48964120370370368</v>
      </c>
      <c r="AH568" t="s">
        <v>795</v>
      </c>
      <c r="AI568" s="31">
        <v>46113</v>
      </c>
      <c r="AJ568" s="61">
        <v>0.64266203703703706</v>
      </c>
      <c r="AK568" t="s">
        <v>5392</v>
      </c>
      <c r="AL568" t="s">
        <v>5828</v>
      </c>
      <c r="AO568" t="s">
        <v>44</v>
      </c>
      <c r="AR568" s="31"/>
      <c r="AS568">
        <v>30</v>
      </c>
      <c r="AX568">
        <v>1</v>
      </c>
    </row>
    <row r="569" spans="1:50" x14ac:dyDescent="0.25">
      <c r="A569" t="s">
        <v>44</v>
      </c>
      <c r="B569">
        <v>1073</v>
      </c>
      <c r="D569">
        <v>3479</v>
      </c>
      <c r="E569" t="s">
        <v>5829</v>
      </c>
      <c r="G569" t="s">
        <v>5185</v>
      </c>
      <c r="H569">
        <v>667476000261</v>
      </c>
      <c r="J569" t="s">
        <v>5186</v>
      </c>
      <c r="K569" t="s">
        <v>5830</v>
      </c>
      <c r="M569" t="s">
        <v>5187</v>
      </c>
      <c r="S569" t="s">
        <v>2541</v>
      </c>
      <c r="V569" t="s">
        <v>5631</v>
      </c>
      <c r="W569" t="s">
        <v>780</v>
      </c>
      <c r="X569" t="s">
        <v>897</v>
      </c>
      <c r="Z569" s="31"/>
      <c r="AC569">
        <v>1</v>
      </c>
      <c r="AD569" t="s">
        <v>22</v>
      </c>
      <c r="AE569" s="31">
        <v>46118</v>
      </c>
      <c r="AF569" s="61">
        <v>0.47232638888888889</v>
      </c>
      <c r="AH569" t="s">
        <v>795</v>
      </c>
      <c r="AI569" s="31">
        <v>46119</v>
      </c>
      <c r="AJ569" s="61">
        <v>0.68859953703703702</v>
      </c>
      <c r="AK569" t="s">
        <v>5392</v>
      </c>
      <c r="AL569" t="s">
        <v>5829</v>
      </c>
      <c r="AO569" t="s">
        <v>44</v>
      </c>
      <c r="AR569" s="31">
        <v>46119</v>
      </c>
      <c r="AS569">
        <v>30</v>
      </c>
      <c r="AX569">
        <v>1</v>
      </c>
    </row>
    <row r="570" spans="1:50" x14ac:dyDescent="0.25">
      <c r="A570" t="s">
        <v>31</v>
      </c>
      <c r="B570">
        <v>1074</v>
      </c>
      <c r="D570">
        <v>3478</v>
      </c>
      <c r="E570" t="s">
        <v>5188</v>
      </c>
      <c r="G570" t="s">
        <v>5189</v>
      </c>
      <c r="H570">
        <v>34777766000107</v>
      </c>
      <c r="J570" t="s">
        <v>5190</v>
      </c>
      <c r="K570" t="s">
        <v>5191</v>
      </c>
      <c r="M570" t="s">
        <v>5192</v>
      </c>
      <c r="Q570" t="s">
        <v>5193</v>
      </c>
      <c r="R570" t="s">
        <v>1105</v>
      </c>
      <c r="S570" t="s">
        <v>2541</v>
      </c>
      <c r="V570" t="s">
        <v>5631</v>
      </c>
      <c r="W570" t="s">
        <v>780</v>
      </c>
      <c r="X570" t="s">
        <v>781</v>
      </c>
      <c r="Z570" s="31"/>
      <c r="AC570">
        <v>33</v>
      </c>
      <c r="AD570" t="s">
        <v>22</v>
      </c>
      <c r="AE570" s="31">
        <v>46118</v>
      </c>
      <c r="AF570" s="61">
        <v>0.47351851851851851</v>
      </c>
      <c r="AH570" t="s">
        <v>795</v>
      </c>
      <c r="AI570" s="31">
        <v>46151</v>
      </c>
      <c r="AJ570" s="61">
        <v>0.36001157407407408</v>
      </c>
      <c r="AK570" t="s">
        <v>5657</v>
      </c>
      <c r="AO570" t="s">
        <v>31</v>
      </c>
      <c r="AR570" s="31">
        <v>46119</v>
      </c>
      <c r="AS570">
        <v>27</v>
      </c>
      <c r="AX570">
        <v>1</v>
      </c>
    </row>
    <row r="571" spans="1:50" x14ac:dyDescent="0.25">
      <c r="A571" t="s">
        <v>44</v>
      </c>
      <c r="B571">
        <v>1075</v>
      </c>
      <c r="D571">
        <v>3480</v>
      </c>
      <c r="E571" t="s">
        <v>5831</v>
      </c>
      <c r="G571" t="s">
        <v>5196</v>
      </c>
      <c r="J571" t="s">
        <v>5197</v>
      </c>
      <c r="K571" t="s">
        <v>5832</v>
      </c>
      <c r="M571" t="s">
        <v>5198</v>
      </c>
      <c r="S571" t="s">
        <v>2541</v>
      </c>
      <c r="V571" t="s">
        <v>5631</v>
      </c>
      <c r="W571" t="s">
        <v>780</v>
      </c>
      <c r="X571" t="s">
        <v>781</v>
      </c>
      <c r="Z571" s="31"/>
      <c r="AC571">
        <v>0</v>
      </c>
      <c r="AD571" t="s">
        <v>22</v>
      </c>
      <c r="AE571" s="31">
        <v>46118</v>
      </c>
      <c r="AF571" s="61">
        <v>0.47479166666666672</v>
      </c>
      <c r="AH571" t="s">
        <v>795</v>
      </c>
      <c r="AI571" s="31">
        <v>46118</v>
      </c>
      <c r="AJ571" s="61">
        <v>0.72045138888888893</v>
      </c>
      <c r="AK571" t="s">
        <v>5392</v>
      </c>
      <c r="AL571" t="s">
        <v>5833</v>
      </c>
      <c r="AO571" t="s">
        <v>44</v>
      </c>
      <c r="AR571" s="31"/>
      <c r="AS571">
        <v>30</v>
      </c>
      <c r="AX571">
        <v>1</v>
      </c>
    </row>
    <row r="572" spans="1:50" x14ac:dyDescent="0.25">
      <c r="A572" t="s">
        <v>31</v>
      </c>
      <c r="B572">
        <v>1076</v>
      </c>
      <c r="D572">
        <v>3482</v>
      </c>
      <c r="E572" t="s">
        <v>5200</v>
      </c>
      <c r="G572" t="s">
        <v>5201</v>
      </c>
      <c r="J572" t="s">
        <v>5201</v>
      </c>
      <c r="K572" t="s">
        <v>5834</v>
      </c>
      <c r="M572" t="s">
        <v>5202</v>
      </c>
      <c r="S572" t="s">
        <v>2541</v>
      </c>
      <c r="V572" t="s">
        <v>5631</v>
      </c>
      <c r="W572" t="s">
        <v>780</v>
      </c>
      <c r="X572" t="s">
        <v>781</v>
      </c>
      <c r="Z572" s="31"/>
      <c r="AC572">
        <v>1</v>
      </c>
      <c r="AD572" t="s">
        <v>22</v>
      </c>
      <c r="AE572" s="31">
        <v>46118</v>
      </c>
      <c r="AF572" s="61">
        <v>0.47599537037037037</v>
      </c>
      <c r="AH572" t="s">
        <v>795</v>
      </c>
      <c r="AI572" s="31">
        <v>46119</v>
      </c>
      <c r="AJ572" s="61">
        <v>0.3805324074074074</v>
      </c>
      <c r="AK572" t="s">
        <v>5392</v>
      </c>
      <c r="AO572" t="s">
        <v>31</v>
      </c>
      <c r="AR572" s="31"/>
      <c r="AS572">
        <v>30</v>
      </c>
      <c r="AX572">
        <v>1</v>
      </c>
    </row>
    <row r="573" spans="1:50" x14ac:dyDescent="0.25">
      <c r="A573" t="s">
        <v>44</v>
      </c>
      <c r="B573">
        <v>1077</v>
      </c>
      <c r="D573">
        <v>3483</v>
      </c>
      <c r="E573" t="s">
        <v>5835</v>
      </c>
      <c r="G573" t="s">
        <v>5204</v>
      </c>
      <c r="H573">
        <v>2861273000156</v>
      </c>
      <c r="J573" t="s">
        <v>5205</v>
      </c>
      <c r="K573" t="s">
        <v>5836</v>
      </c>
      <c r="M573" t="s">
        <v>5206</v>
      </c>
      <c r="S573" t="s">
        <v>2541</v>
      </c>
      <c r="V573" t="s">
        <v>5631</v>
      </c>
      <c r="W573" t="s">
        <v>780</v>
      </c>
      <c r="X573" t="s">
        <v>781</v>
      </c>
      <c r="Z573" s="31"/>
      <c r="AC573">
        <v>0</v>
      </c>
      <c r="AD573" t="s">
        <v>22</v>
      </c>
      <c r="AE573" s="31">
        <v>46118</v>
      </c>
      <c r="AF573" s="61">
        <v>0.47758101851851847</v>
      </c>
      <c r="AH573" t="s">
        <v>795</v>
      </c>
      <c r="AI573" s="31">
        <v>46118</v>
      </c>
      <c r="AJ573" s="61">
        <v>0.70814814814814819</v>
      </c>
      <c r="AK573" t="s">
        <v>5392</v>
      </c>
      <c r="AL573" t="s">
        <v>5835</v>
      </c>
      <c r="AO573" t="s">
        <v>44</v>
      </c>
      <c r="AR573" s="31"/>
      <c r="AS573">
        <v>28</v>
      </c>
      <c r="AX573">
        <v>1</v>
      </c>
    </row>
    <row r="574" spans="1:50" x14ac:dyDescent="0.25">
      <c r="A574" t="s">
        <v>44</v>
      </c>
      <c r="B574">
        <v>1078</v>
      </c>
      <c r="D574">
        <v>3497</v>
      </c>
      <c r="E574" t="s">
        <v>5827</v>
      </c>
      <c r="G574" t="s">
        <v>418</v>
      </c>
      <c r="J574" t="s">
        <v>5837</v>
      </c>
      <c r="K574" t="s">
        <v>2369</v>
      </c>
      <c r="M574" t="s">
        <v>5209</v>
      </c>
      <c r="W574" t="s">
        <v>780</v>
      </c>
      <c r="X574" t="s">
        <v>793</v>
      </c>
      <c r="Z574" s="31"/>
      <c r="AA574">
        <v>8100</v>
      </c>
      <c r="AB574">
        <v>1080</v>
      </c>
      <c r="AC574">
        <v>16</v>
      </c>
      <c r="AD574" t="s">
        <v>44</v>
      </c>
      <c r="AE574" s="31">
        <v>46120</v>
      </c>
      <c r="AF574" s="61">
        <v>0.70204861111111116</v>
      </c>
      <c r="AH574" t="s">
        <v>795</v>
      </c>
      <c r="AI574" s="31">
        <v>46136</v>
      </c>
      <c r="AJ574" s="61">
        <v>0.4127777777777778</v>
      </c>
      <c r="AK574" t="s">
        <v>934</v>
      </c>
      <c r="AL574" t="s">
        <v>5827</v>
      </c>
      <c r="AN574" t="s">
        <v>5210</v>
      </c>
      <c r="AP574" t="s">
        <v>4952</v>
      </c>
      <c r="AR574" s="31">
        <v>46136</v>
      </c>
      <c r="AS574">
        <v>50</v>
      </c>
      <c r="AX574">
        <v>1</v>
      </c>
    </row>
    <row r="575" spans="1:50" x14ac:dyDescent="0.25">
      <c r="A575" t="s">
        <v>44</v>
      </c>
      <c r="B575">
        <v>1079</v>
      </c>
      <c r="D575">
        <v>3501</v>
      </c>
      <c r="E575" t="s">
        <v>5838</v>
      </c>
      <c r="G575" t="s">
        <v>5212</v>
      </c>
      <c r="H575">
        <v>48260432000168</v>
      </c>
      <c r="J575" t="s">
        <v>5213</v>
      </c>
      <c r="S575" t="s">
        <v>805</v>
      </c>
      <c r="W575" t="s">
        <v>780</v>
      </c>
      <c r="X575" t="s">
        <v>897</v>
      </c>
      <c r="Z575" s="31"/>
      <c r="AC575">
        <v>41</v>
      </c>
      <c r="AD575" t="s">
        <v>44</v>
      </c>
      <c r="AE575" s="31">
        <v>46121</v>
      </c>
      <c r="AF575" s="61">
        <v>0.3903935185185185</v>
      </c>
      <c r="AH575" t="s">
        <v>782</v>
      </c>
      <c r="AI575" s="31"/>
      <c r="AJ575" s="61"/>
      <c r="AR575" s="31">
        <v>46148</v>
      </c>
      <c r="AS575">
        <v>30</v>
      </c>
      <c r="AX575">
        <v>1</v>
      </c>
    </row>
    <row r="576" spans="1:50" x14ac:dyDescent="0.25">
      <c r="A576" t="s">
        <v>44</v>
      </c>
      <c r="B576">
        <v>1080</v>
      </c>
      <c r="D576">
        <v>3502</v>
      </c>
      <c r="E576" t="s">
        <v>5214</v>
      </c>
      <c r="G576" t="s">
        <v>5215</v>
      </c>
      <c r="H576">
        <v>19398581000190</v>
      </c>
      <c r="J576" t="s">
        <v>5839</v>
      </c>
      <c r="K576" t="s">
        <v>5840</v>
      </c>
      <c r="M576" t="s">
        <v>5217</v>
      </c>
      <c r="Q576" t="s">
        <v>5218</v>
      </c>
      <c r="R576" t="s">
        <v>932</v>
      </c>
      <c r="W576" t="s">
        <v>780</v>
      </c>
      <c r="X576" t="s">
        <v>897</v>
      </c>
      <c r="Z576" s="31"/>
      <c r="AC576">
        <v>41</v>
      </c>
      <c r="AD576" t="s">
        <v>44</v>
      </c>
      <c r="AE576" s="31">
        <v>46121</v>
      </c>
      <c r="AF576" s="61">
        <v>0.42430555555555549</v>
      </c>
      <c r="AH576" t="s">
        <v>782</v>
      </c>
      <c r="AI576" s="31"/>
      <c r="AJ576" s="61"/>
      <c r="AR576" s="31">
        <v>46148</v>
      </c>
      <c r="AS576">
        <v>30</v>
      </c>
      <c r="AX576">
        <v>1</v>
      </c>
    </row>
    <row r="577" spans="1:50" x14ac:dyDescent="0.25">
      <c r="A577" t="s">
        <v>44</v>
      </c>
      <c r="B577">
        <v>1081</v>
      </c>
      <c r="D577">
        <v>3504</v>
      </c>
      <c r="E577" t="s">
        <v>5219</v>
      </c>
      <c r="F577" t="s">
        <v>5220</v>
      </c>
      <c r="G577" t="s">
        <v>5221</v>
      </c>
      <c r="H577">
        <v>73445454000654</v>
      </c>
      <c r="J577" t="s">
        <v>5220</v>
      </c>
      <c r="K577" t="s">
        <v>5222</v>
      </c>
      <c r="M577" t="s">
        <v>5223</v>
      </c>
      <c r="Q577" t="s">
        <v>1094</v>
      </c>
      <c r="R577" t="s">
        <v>790</v>
      </c>
      <c r="S577" t="s">
        <v>805</v>
      </c>
      <c r="W577" t="s">
        <v>780</v>
      </c>
      <c r="X577" t="s">
        <v>897</v>
      </c>
      <c r="Z577" s="31"/>
      <c r="AC577">
        <v>41</v>
      </c>
      <c r="AD577" t="s">
        <v>44</v>
      </c>
      <c r="AE577" s="31">
        <v>46121</v>
      </c>
      <c r="AF577" s="61">
        <v>0.44763888888888892</v>
      </c>
      <c r="AH577" t="s">
        <v>782</v>
      </c>
      <c r="AI577" s="31"/>
      <c r="AJ577" s="61"/>
      <c r="AR577" s="31">
        <v>46148</v>
      </c>
      <c r="AS577">
        <v>30</v>
      </c>
      <c r="AX577">
        <v>1</v>
      </c>
    </row>
    <row r="578" spans="1:50" x14ac:dyDescent="0.25">
      <c r="A578" t="s">
        <v>31</v>
      </c>
      <c r="B578">
        <v>1082</v>
      </c>
      <c r="D578">
        <v>3488</v>
      </c>
      <c r="E578" t="s">
        <v>5841</v>
      </c>
      <c r="G578" t="s">
        <v>5225</v>
      </c>
      <c r="J578" t="s">
        <v>5226</v>
      </c>
      <c r="K578" t="s">
        <v>5842</v>
      </c>
      <c r="M578" t="s">
        <v>5227</v>
      </c>
      <c r="S578" t="s">
        <v>2541</v>
      </c>
      <c r="V578" t="s">
        <v>5631</v>
      </c>
      <c r="W578" t="s">
        <v>780</v>
      </c>
      <c r="X578" t="s">
        <v>781</v>
      </c>
      <c r="Z578" s="31">
        <v>46142</v>
      </c>
      <c r="AC578">
        <v>29</v>
      </c>
      <c r="AD578" t="s">
        <v>22</v>
      </c>
      <c r="AE578" s="31">
        <v>46122</v>
      </c>
      <c r="AF578" s="61">
        <v>0.36518518518518522</v>
      </c>
      <c r="AH578" t="s">
        <v>795</v>
      </c>
      <c r="AI578" s="31">
        <v>46151</v>
      </c>
      <c r="AJ578" s="61">
        <v>0.36026620370370371</v>
      </c>
      <c r="AK578" t="s">
        <v>5657</v>
      </c>
      <c r="AO578" t="s">
        <v>31</v>
      </c>
      <c r="AR578" s="31">
        <v>46135</v>
      </c>
      <c r="AS578">
        <v>28</v>
      </c>
      <c r="AX578">
        <v>1</v>
      </c>
    </row>
    <row r="579" spans="1:50" x14ac:dyDescent="0.25">
      <c r="A579" t="s">
        <v>44</v>
      </c>
      <c r="B579">
        <v>1083</v>
      </c>
      <c r="D579">
        <v>3491</v>
      </c>
      <c r="E579" t="s">
        <v>5843</v>
      </c>
      <c r="G579" t="s">
        <v>5229</v>
      </c>
      <c r="H579">
        <v>91241034000123</v>
      </c>
      <c r="J579" t="s">
        <v>5230</v>
      </c>
      <c r="K579" t="s">
        <v>5231</v>
      </c>
      <c r="M579" t="s">
        <v>5232</v>
      </c>
      <c r="Q579" t="s">
        <v>1912</v>
      </c>
      <c r="R579" t="s">
        <v>1027</v>
      </c>
      <c r="S579" t="s">
        <v>2541</v>
      </c>
      <c r="V579" t="s">
        <v>5631</v>
      </c>
      <c r="W579" t="s">
        <v>780</v>
      </c>
      <c r="X579" t="s">
        <v>781</v>
      </c>
      <c r="Z579" s="31"/>
      <c r="AC579">
        <v>29</v>
      </c>
      <c r="AD579" t="s">
        <v>22</v>
      </c>
      <c r="AE579" s="31">
        <v>46122</v>
      </c>
      <c r="AF579" s="61">
        <v>0.36634259259259261</v>
      </c>
      <c r="AH579" t="s">
        <v>795</v>
      </c>
      <c r="AI579" s="31">
        <v>46151</v>
      </c>
      <c r="AJ579" s="61">
        <v>0.36170138888888892</v>
      </c>
      <c r="AK579" t="s">
        <v>5657</v>
      </c>
      <c r="AO579" t="s">
        <v>44</v>
      </c>
      <c r="AR579" s="31"/>
      <c r="AS579">
        <v>30</v>
      </c>
      <c r="AX579">
        <v>1</v>
      </c>
    </row>
    <row r="580" spans="1:50" x14ac:dyDescent="0.25">
      <c r="A580" t="s">
        <v>44</v>
      </c>
      <c r="B580">
        <v>1084</v>
      </c>
      <c r="D580">
        <v>3492</v>
      </c>
      <c r="E580" t="s">
        <v>5844</v>
      </c>
      <c r="G580" t="s">
        <v>5235</v>
      </c>
      <c r="J580" t="s">
        <v>5236</v>
      </c>
      <c r="K580" t="s">
        <v>5845</v>
      </c>
      <c r="M580" t="s">
        <v>5237</v>
      </c>
      <c r="S580" t="s">
        <v>2541</v>
      </c>
      <c r="V580" t="s">
        <v>5650</v>
      </c>
      <c r="W580" t="s">
        <v>780</v>
      </c>
      <c r="X580" t="s">
        <v>897</v>
      </c>
      <c r="Z580" s="31"/>
      <c r="AC580">
        <v>40</v>
      </c>
      <c r="AD580" t="s">
        <v>22</v>
      </c>
      <c r="AE580" s="31">
        <v>46122</v>
      </c>
      <c r="AF580" s="61">
        <v>0.36747685185185192</v>
      </c>
      <c r="AH580" t="s">
        <v>782</v>
      </c>
      <c r="AI580" s="31"/>
      <c r="AJ580" s="61"/>
      <c r="AO580" t="s">
        <v>44</v>
      </c>
      <c r="AR580" s="31"/>
      <c r="AS580">
        <v>29</v>
      </c>
      <c r="AX580">
        <v>1</v>
      </c>
    </row>
    <row r="581" spans="1:50" x14ac:dyDescent="0.25">
      <c r="A581" t="s">
        <v>31</v>
      </c>
      <c r="B581">
        <v>1085</v>
      </c>
      <c r="D581">
        <v>3494</v>
      </c>
      <c r="G581" t="s">
        <v>5238</v>
      </c>
      <c r="H581">
        <v>21233195000190</v>
      </c>
      <c r="J581" t="s">
        <v>5239</v>
      </c>
      <c r="K581" t="s">
        <v>5240</v>
      </c>
      <c r="M581" t="s">
        <v>5241</v>
      </c>
      <c r="Q581" t="s">
        <v>5242</v>
      </c>
      <c r="R581" t="s">
        <v>790</v>
      </c>
      <c r="S581" t="s">
        <v>2541</v>
      </c>
      <c r="V581" t="s">
        <v>5631</v>
      </c>
      <c r="W581" t="s">
        <v>780</v>
      </c>
      <c r="X581" t="s">
        <v>781</v>
      </c>
      <c r="Z581" s="31">
        <v>46142</v>
      </c>
      <c r="AC581">
        <v>13</v>
      </c>
      <c r="AD581" t="s">
        <v>22</v>
      </c>
      <c r="AE581" s="31">
        <v>46122</v>
      </c>
      <c r="AF581" s="61">
        <v>0.36834490740740738</v>
      </c>
      <c r="AH581" t="s">
        <v>795</v>
      </c>
      <c r="AI581" s="31">
        <v>46135</v>
      </c>
      <c r="AJ581" s="61">
        <v>0.46049768518518519</v>
      </c>
      <c r="AK581" t="s">
        <v>5392</v>
      </c>
      <c r="AO581" t="s">
        <v>31</v>
      </c>
      <c r="AR581" s="31">
        <v>46135</v>
      </c>
      <c r="AS581">
        <v>30</v>
      </c>
      <c r="AX581">
        <v>1</v>
      </c>
    </row>
    <row r="582" spans="1:50" x14ac:dyDescent="0.25">
      <c r="A582" t="s">
        <v>31</v>
      </c>
      <c r="B582">
        <v>1086</v>
      </c>
      <c r="D582">
        <v>3496</v>
      </c>
      <c r="E582" t="s">
        <v>5846</v>
      </c>
      <c r="G582" t="s">
        <v>417</v>
      </c>
      <c r="H582">
        <v>3634113000137</v>
      </c>
      <c r="J582" t="s">
        <v>5245</v>
      </c>
      <c r="M582" t="s">
        <v>5246</v>
      </c>
      <c r="Q582" t="s">
        <v>3141</v>
      </c>
      <c r="S582" t="s">
        <v>1191</v>
      </c>
      <c r="V582" t="s">
        <v>5247</v>
      </c>
      <c r="W582" t="s">
        <v>780</v>
      </c>
      <c r="X582" t="s">
        <v>807</v>
      </c>
      <c r="Z582" s="31">
        <v>46122</v>
      </c>
      <c r="AA582">
        <v>6000</v>
      </c>
      <c r="AB582">
        <v>2000</v>
      </c>
      <c r="AC582">
        <v>40</v>
      </c>
      <c r="AD582" t="s">
        <v>22</v>
      </c>
      <c r="AE582" s="31">
        <v>46122</v>
      </c>
      <c r="AF582" s="61">
        <v>0.36944444444444452</v>
      </c>
      <c r="AH582" t="s">
        <v>782</v>
      </c>
      <c r="AI582" s="31"/>
      <c r="AJ582" s="61"/>
      <c r="AN582" t="s">
        <v>5847</v>
      </c>
      <c r="AO582" t="s">
        <v>31</v>
      </c>
      <c r="AP582" t="s">
        <v>5848</v>
      </c>
      <c r="AR582" s="31">
        <v>46155</v>
      </c>
      <c r="AS582">
        <v>30</v>
      </c>
      <c r="AX582">
        <v>1</v>
      </c>
    </row>
    <row r="583" spans="1:50" x14ac:dyDescent="0.25">
      <c r="A583" t="s">
        <v>22</v>
      </c>
      <c r="B583">
        <v>1087</v>
      </c>
      <c r="D583">
        <v>3495</v>
      </c>
      <c r="G583" t="s">
        <v>5248</v>
      </c>
      <c r="J583" t="s">
        <v>5249</v>
      </c>
      <c r="K583" t="s">
        <v>5849</v>
      </c>
      <c r="M583" t="s">
        <v>5250</v>
      </c>
      <c r="S583" t="s">
        <v>2541</v>
      </c>
      <c r="V583" t="s">
        <v>5631</v>
      </c>
      <c r="W583" t="s">
        <v>780</v>
      </c>
      <c r="X583" t="s">
        <v>781</v>
      </c>
      <c r="Z583" s="31">
        <v>46142</v>
      </c>
      <c r="AC583">
        <v>0</v>
      </c>
      <c r="AD583" t="s">
        <v>22</v>
      </c>
      <c r="AE583" s="31">
        <v>46122</v>
      </c>
      <c r="AF583" s="61">
        <v>0.37062499999999998</v>
      </c>
      <c r="AH583" t="s">
        <v>795</v>
      </c>
      <c r="AI583" s="31">
        <v>46122</v>
      </c>
      <c r="AJ583" s="61">
        <v>0.5893518518518519</v>
      </c>
      <c r="AK583" t="s">
        <v>5347</v>
      </c>
      <c r="AO583" t="s">
        <v>22</v>
      </c>
      <c r="AR583" s="31"/>
      <c r="AS583">
        <v>30</v>
      </c>
      <c r="AX583">
        <v>1</v>
      </c>
    </row>
    <row r="584" spans="1:50" x14ac:dyDescent="0.25">
      <c r="A584" t="s">
        <v>22</v>
      </c>
      <c r="B584">
        <v>1088</v>
      </c>
      <c r="D584">
        <v>3498</v>
      </c>
      <c r="G584" t="s">
        <v>5251</v>
      </c>
      <c r="J584" t="s">
        <v>5252</v>
      </c>
      <c r="K584" t="s">
        <v>5850</v>
      </c>
      <c r="M584" t="s">
        <v>5253</v>
      </c>
      <c r="S584" t="s">
        <v>2541</v>
      </c>
      <c r="V584" t="s">
        <v>5631</v>
      </c>
      <c r="W584" t="s">
        <v>780</v>
      </c>
      <c r="X584" t="s">
        <v>781</v>
      </c>
      <c r="Z584" s="31"/>
      <c r="AC584">
        <v>29</v>
      </c>
      <c r="AD584" t="s">
        <v>22</v>
      </c>
      <c r="AE584" s="31">
        <v>46122</v>
      </c>
      <c r="AF584" s="61">
        <v>0.37111111111111111</v>
      </c>
      <c r="AH584" t="s">
        <v>795</v>
      </c>
      <c r="AI584" s="31">
        <v>46151</v>
      </c>
      <c r="AJ584" s="61">
        <v>0.36211805555555548</v>
      </c>
      <c r="AK584" t="s">
        <v>5377</v>
      </c>
      <c r="AO584" t="s">
        <v>22</v>
      </c>
      <c r="AR584" s="31"/>
      <c r="AS584">
        <v>30</v>
      </c>
      <c r="AX584">
        <v>1</v>
      </c>
    </row>
    <row r="585" spans="1:50" x14ac:dyDescent="0.25">
      <c r="A585" t="s">
        <v>44</v>
      </c>
      <c r="B585">
        <v>1089</v>
      </c>
      <c r="D585">
        <v>3509</v>
      </c>
      <c r="G585" t="s">
        <v>5254</v>
      </c>
      <c r="H585">
        <v>3654966000130</v>
      </c>
      <c r="J585" t="s">
        <v>5255</v>
      </c>
      <c r="K585" t="s">
        <v>5851</v>
      </c>
      <c r="M585" t="s">
        <v>5256</v>
      </c>
      <c r="R585" t="s">
        <v>5257</v>
      </c>
      <c r="S585" t="s">
        <v>1191</v>
      </c>
      <c r="V585" t="s">
        <v>5631</v>
      </c>
      <c r="W585" t="s">
        <v>780</v>
      </c>
      <c r="X585" t="s">
        <v>781</v>
      </c>
      <c r="Z585" s="31"/>
      <c r="AC585">
        <v>0</v>
      </c>
      <c r="AD585" t="s">
        <v>22</v>
      </c>
      <c r="AE585" s="31">
        <v>46122</v>
      </c>
      <c r="AF585" s="61">
        <v>0.37174768518518519</v>
      </c>
      <c r="AH585" t="s">
        <v>795</v>
      </c>
      <c r="AI585" s="31">
        <v>46122</v>
      </c>
      <c r="AJ585" s="61">
        <v>0.43357638888888889</v>
      </c>
      <c r="AK585" t="s">
        <v>5392</v>
      </c>
      <c r="AL585" t="s">
        <v>5852</v>
      </c>
      <c r="AO585" t="s">
        <v>44</v>
      </c>
      <c r="AR585" s="31"/>
      <c r="AS585">
        <v>30</v>
      </c>
      <c r="AX585">
        <v>1</v>
      </c>
    </row>
    <row r="586" spans="1:50" x14ac:dyDescent="0.25">
      <c r="A586" t="s">
        <v>31</v>
      </c>
      <c r="B586">
        <v>1090</v>
      </c>
      <c r="D586">
        <v>3508</v>
      </c>
      <c r="E586" t="s">
        <v>5259</v>
      </c>
      <c r="G586" t="s">
        <v>5260</v>
      </c>
      <c r="J586" t="s">
        <v>5261</v>
      </c>
      <c r="K586" t="s">
        <v>5853</v>
      </c>
      <c r="M586" t="s">
        <v>5262</v>
      </c>
      <c r="S586" t="s">
        <v>2541</v>
      </c>
      <c r="V586" t="s">
        <v>5631</v>
      </c>
      <c r="W586" t="s">
        <v>780</v>
      </c>
      <c r="X586" t="s">
        <v>781</v>
      </c>
      <c r="Z586" s="31">
        <v>46142</v>
      </c>
      <c r="AC586">
        <v>0</v>
      </c>
      <c r="AD586" t="s">
        <v>22</v>
      </c>
      <c r="AE586" s="31">
        <v>46122</v>
      </c>
      <c r="AF586" s="61">
        <v>0.37243055555555549</v>
      </c>
      <c r="AH586" t="s">
        <v>795</v>
      </c>
      <c r="AI586" s="31">
        <v>46122</v>
      </c>
      <c r="AJ586" s="61">
        <v>0.44673611111111111</v>
      </c>
      <c r="AK586" t="s">
        <v>5392</v>
      </c>
      <c r="AL586" t="s">
        <v>5263</v>
      </c>
      <c r="AO586" t="s">
        <v>31</v>
      </c>
      <c r="AR586" s="31"/>
      <c r="AS586">
        <v>30</v>
      </c>
      <c r="AX586">
        <v>1</v>
      </c>
    </row>
    <row r="587" spans="1:50" x14ac:dyDescent="0.25">
      <c r="A587" t="s">
        <v>44</v>
      </c>
      <c r="B587">
        <v>1091</v>
      </c>
      <c r="D587">
        <v>3507</v>
      </c>
      <c r="E587" t="s">
        <v>5854</v>
      </c>
      <c r="G587" t="s">
        <v>5265</v>
      </c>
      <c r="J587" t="s">
        <v>5266</v>
      </c>
      <c r="K587" t="s">
        <v>5855</v>
      </c>
      <c r="M587" t="s">
        <v>5267</v>
      </c>
      <c r="S587" t="s">
        <v>2541</v>
      </c>
      <c r="V587" t="s">
        <v>5631</v>
      </c>
      <c r="W587" t="s">
        <v>780</v>
      </c>
      <c r="X587" t="s">
        <v>897</v>
      </c>
      <c r="Z587" s="31">
        <v>46142</v>
      </c>
      <c r="AC587">
        <v>0</v>
      </c>
      <c r="AD587" t="s">
        <v>22</v>
      </c>
      <c r="AE587" s="31">
        <v>46122</v>
      </c>
      <c r="AF587" s="61">
        <v>0.37309027777777781</v>
      </c>
      <c r="AH587" t="s">
        <v>795</v>
      </c>
      <c r="AI587" s="31">
        <v>46122</v>
      </c>
      <c r="AJ587" s="61">
        <v>0.43474537037037042</v>
      </c>
      <c r="AK587" t="s">
        <v>5392</v>
      </c>
      <c r="AL587" t="s">
        <v>5856</v>
      </c>
      <c r="AO587" t="s">
        <v>44</v>
      </c>
      <c r="AR587" s="31"/>
      <c r="AS587">
        <v>30</v>
      </c>
      <c r="AX587">
        <v>1</v>
      </c>
    </row>
    <row r="588" spans="1:50" x14ac:dyDescent="0.25">
      <c r="A588" t="s">
        <v>31</v>
      </c>
      <c r="B588">
        <v>1092</v>
      </c>
      <c r="D588">
        <v>3506</v>
      </c>
      <c r="E588" t="s">
        <v>5857</v>
      </c>
      <c r="G588" t="s">
        <v>5858</v>
      </c>
      <c r="H588">
        <v>34731194000117</v>
      </c>
      <c r="J588" t="s">
        <v>5270</v>
      </c>
      <c r="K588" t="s">
        <v>5859</v>
      </c>
      <c r="M588" t="s">
        <v>5860</v>
      </c>
      <c r="Q588" t="s">
        <v>5861</v>
      </c>
      <c r="R588" t="s">
        <v>790</v>
      </c>
      <c r="S588" t="s">
        <v>1191</v>
      </c>
      <c r="V588" t="s">
        <v>5650</v>
      </c>
      <c r="W588" t="s">
        <v>780</v>
      </c>
      <c r="X588" t="s">
        <v>857</v>
      </c>
      <c r="Z588" s="31">
        <v>46203</v>
      </c>
      <c r="AC588">
        <v>39</v>
      </c>
      <c r="AD588" t="s">
        <v>22</v>
      </c>
      <c r="AE588" s="31">
        <v>46122</v>
      </c>
      <c r="AF588" s="61">
        <v>0.37375000000000003</v>
      </c>
      <c r="AH588" t="s">
        <v>795</v>
      </c>
      <c r="AI588" s="31">
        <v>46161</v>
      </c>
      <c r="AJ588" s="61">
        <v>0.47699074074074072</v>
      </c>
      <c r="AK588" t="s">
        <v>5338</v>
      </c>
      <c r="AO588" t="s">
        <v>31</v>
      </c>
      <c r="AR588" s="31">
        <v>46161</v>
      </c>
      <c r="AS588">
        <v>30</v>
      </c>
      <c r="AX588">
        <v>1</v>
      </c>
    </row>
    <row r="589" spans="1:50" x14ac:dyDescent="0.25">
      <c r="A589" t="s">
        <v>31</v>
      </c>
      <c r="B589">
        <v>1093</v>
      </c>
      <c r="D589">
        <v>3487</v>
      </c>
      <c r="G589" t="s">
        <v>5273</v>
      </c>
      <c r="H589">
        <v>9313543000133</v>
      </c>
      <c r="J589" t="s">
        <v>5862</v>
      </c>
      <c r="K589" t="s">
        <v>5275</v>
      </c>
      <c r="M589" t="s">
        <v>5276</v>
      </c>
      <c r="Q589" t="s">
        <v>5277</v>
      </c>
      <c r="S589" t="s">
        <v>814</v>
      </c>
      <c r="V589" t="s">
        <v>1198</v>
      </c>
      <c r="W589" t="s">
        <v>780</v>
      </c>
      <c r="X589" t="s">
        <v>781</v>
      </c>
      <c r="Z589" s="31">
        <v>46265</v>
      </c>
      <c r="AC589">
        <v>12</v>
      </c>
      <c r="AD589" t="s">
        <v>22</v>
      </c>
      <c r="AE589" s="31">
        <v>46122</v>
      </c>
      <c r="AF589" s="61">
        <v>0.37526620370370373</v>
      </c>
      <c r="AH589" t="s">
        <v>795</v>
      </c>
      <c r="AI589" s="31">
        <v>46134</v>
      </c>
      <c r="AJ589" s="61">
        <v>0.71144675925925926</v>
      </c>
      <c r="AK589" t="s">
        <v>858</v>
      </c>
      <c r="AO589" t="s">
        <v>31</v>
      </c>
      <c r="AR589" s="31">
        <v>46134</v>
      </c>
      <c r="AS589">
        <v>30</v>
      </c>
      <c r="AX589">
        <v>1</v>
      </c>
    </row>
    <row r="590" spans="1:50" x14ac:dyDescent="0.25">
      <c r="A590" t="s">
        <v>22</v>
      </c>
      <c r="B590">
        <v>1094</v>
      </c>
      <c r="D590">
        <v>3499</v>
      </c>
      <c r="G590" t="s">
        <v>5278</v>
      </c>
      <c r="J590" t="s">
        <v>5279</v>
      </c>
      <c r="K590" t="s">
        <v>5863</v>
      </c>
      <c r="M590" t="s">
        <v>5280</v>
      </c>
      <c r="S590" t="s">
        <v>2541</v>
      </c>
      <c r="V590" t="s">
        <v>5650</v>
      </c>
      <c r="W590" t="s">
        <v>780</v>
      </c>
      <c r="X590" t="s">
        <v>781</v>
      </c>
      <c r="Z590" s="31">
        <v>46142</v>
      </c>
      <c r="AC590">
        <v>29</v>
      </c>
      <c r="AD590" t="s">
        <v>22</v>
      </c>
      <c r="AE590" s="31">
        <v>46122</v>
      </c>
      <c r="AF590" s="61">
        <v>0.37623842592592588</v>
      </c>
      <c r="AH590" t="s">
        <v>795</v>
      </c>
      <c r="AI590" s="31">
        <v>46151</v>
      </c>
      <c r="AJ590" s="61">
        <v>0.3626388888888889</v>
      </c>
      <c r="AK590" t="s">
        <v>5657</v>
      </c>
      <c r="AO590" t="s">
        <v>22</v>
      </c>
      <c r="AR590" s="31"/>
      <c r="AS590">
        <v>30</v>
      </c>
      <c r="AX590">
        <v>1</v>
      </c>
    </row>
    <row r="591" spans="1:50" x14ac:dyDescent="0.25">
      <c r="A591" t="s">
        <v>44</v>
      </c>
      <c r="B591">
        <v>1095</v>
      </c>
      <c r="D591">
        <v>3489</v>
      </c>
      <c r="E591" t="s">
        <v>5864</v>
      </c>
      <c r="G591" t="s">
        <v>389</v>
      </c>
      <c r="H591">
        <v>18564850000188</v>
      </c>
      <c r="J591" t="s">
        <v>5282</v>
      </c>
      <c r="K591" t="s">
        <v>5283</v>
      </c>
      <c r="M591" t="s">
        <v>5284</v>
      </c>
      <c r="Q591" t="s">
        <v>993</v>
      </c>
      <c r="R591" t="s">
        <v>932</v>
      </c>
      <c r="S591" t="s">
        <v>814</v>
      </c>
      <c r="V591" t="s">
        <v>1186</v>
      </c>
      <c r="W591" t="s">
        <v>780</v>
      </c>
      <c r="X591" t="s">
        <v>807</v>
      </c>
      <c r="Z591" s="31">
        <v>46142</v>
      </c>
      <c r="AA591">
        <v>16960</v>
      </c>
      <c r="AB591">
        <v>1150</v>
      </c>
      <c r="AC591">
        <v>40</v>
      </c>
      <c r="AD591" t="s">
        <v>22</v>
      </c>
      <c r="AE591" s="31">
        <v>46122</v>
      </c>
      <c r="AF591" s="61">
        <v>0.37702546296296302</v>
      </c>
      <c r="AH591" t="s">
        <v>782</v>
      </c>
      <c r="AI591" s="31"/>
      <c r="AJ591" s="61"/>
      <c r="AN591" t="s">
        <v>5865</v>
      </c>
      <c r="AO591" t="s">
        <v>44</v>
      </c>
      <c r="AP591" t="s">
        <v>5866</v>
      </c>
      <c r="AQ591" t="s">
        <v>5867</v>
      </c>
      <c r="AR591" s="31"/>
      <c r="AS591">
        <v>30</v>
      </c>
      <c r="AX591">
        <v>1</v>
      </c>
    </row>
    <row r="592" spans="1:50" x14ac:dyDescent="0.25">
      <c r="A592" t="s">
        <v>22</v>
      </c>
      <c r="B592">
        <v>1096</v>
      </c>
      <c r="D592">
        <v>3513</v>
      </c>
      <c r="G592" t="s">
        <v>5286</v>
      </c>
      <c r="J592" t="s">
        <v>5287</v>
      </c>
      <c r="K592" t="s">
        <v>5868</v>
      </c>
      <c r="M592" t="s">
        <v>1111</v>
      </c>
      <c r="W592" t="s">
        <v>780</v>
      </c>
      <c r="X592" t="s">
        <v>807</v>
      </c>
      <c r="Z592" s="31"/>
      <c r="AA592">
        <v>26350</v>
      </c>
      <c r="AB592">
        <v>3450</v>
      </c>
      <c r="AC592">
        <v>38</v>
      </c>
      <c r="AD592" t="s">
        <v>22</v>
      </c>
      <c r="AE592" s="31">
        <v>46122</v>
      </c>
      <c r="AF592" s="61">
        <v>0.38574074074074072</v>
      </c>
      <c r="AH592" t="s">
        <v>795</v>
      </c>
      <c r="AI592" s="31">
        <v>46160</v>
      </c>
      <c r="AJ592" s="61">
        <v>0.70920138888888884</v>
      </c>
      <c r="AK592" t="s">
        <v>5347</v>
      </c>
      <c r="AO592" t="s">
        <v>22</v>
      </c>
      <c r="AR592" s="31">
        <v>46132</v>
      </c>
      <c r="AS592">
        <v>30</v>
      </c>
      <c r="AX592">
        <v>1</v>
      </c>
    </row>
    <row r="593" spans="1:50" x14ac:dyDescent="0.25">
      <c r="A593" t="s">
        <v>31</v>
      </c>
      <c r="B593">
        <v>1097</v>
      </c>
      <c r="D593">
        <v>3514</v>
      </c>
      <c r="F593" t="s">
        <v>5288</v>
      </c>
      <c r="G593" t="s">
        <v>5289</v>
      </c>
      <c r="H593">
        <v>7382350000109</v>
      </c>
      <c r="J593" t="s">
        <v>5288</v>
      </c>
      <c r="K593" t="s">
        <v>2012</v>
      </c>
      <c r="M593" t="s">
        <v>2013</v>
      </c>
      <c r="Q593" t="s">
        <v>1094</v>
      </c>
      <c r="R593" t="s">
        <v>790</v>
      </c>
      <c r="S593" t="s">
        <v>805</v>
      </c>
      <c r="W593" t="s">
        <v>780</v>
      </c>
      <c r="X593" t="s">
        <v>897</v>
      </c>
      <c r="Z593" s="31"/>
      <c r="AC593">
        <v>40</v>
      </c>
      <c r="AD593" t="s">
        <v>31</v>
      </c>
      <c r="AE593" s="31">
        <v>46122</v>
      </c>
      <c r="AF593" s="61">
        <v>0.62817129629629631</v>
      </c>
      <c r="AH593" t="s">
        <v>782</v>
      </c>
      <c r="AI593" s="31"/>
      <c r="AJ593" s="61"/>
      <c r="AO593" t="s">
        <v>31</v>
      </c>
      <c r="AR593" s="31">
        <v>46149</v>
      </c>
      <c r="AS593">
        <v>30</v>
      </c>
      <c r="AX593">
        <v>1</v>
      </c>
    </row>
    <row r="594" spans="1:50" x14ac:dyDescent="0.25">
      <c r="A594" t="s">
        <v>31</v>
      </c>
      <c r="B594">
        <v>1098</v>
      </c>
      <c r="D594">
        <v>3516</v>
      </c>
      <c r="F594" t="s">
        <v>5290</v>
      </c>
      <c r="G594" t="s">
        <v>5291</v>
      </c>
      <c r="H594">
        <v>34355470000190</v>
      </c>
      <c r="J594" t="s">
        <v>5290</v>
      </c>
      <c r="K594" t="s">
        <v>5292</v>
      </c>
      <c r="M594" t="s">
        <v>5293</v>
      </c>
      <c r="Q594" t="s">
        <v>1094</v>
      </c>
      <c r="R594" t="s">
        <v>790</v>
      </c>
      <c r="S594" t="s">
        <v>805</v>
      </c>
      <c r="W594" t="s">
        <v>780</v>
      </c>
      <c r="X594" t="s">
        <v>781</v>
      </c>
      <c r="Z594" s="31"/>
      <c r="AC594">
        <v>0</v>
      </c>
      <c r="AD594" t="s">
        <v>31</v>
      </c>
      <c r="AE594" s="31">
        <v>46122</v>
      </c>
      <c r="AF594" s="61">
        <v>0.65776620370370376</v>
      </c>
      <c r="AH594" t="s">
        <v>795</v>
      </c>
      <c r="AI594" s="31">
        <v>46122</v>
      </c>
      <c r="AJ594" s="61">
        <v>0.65869212962962964</v>
      </c>
      <c r="AK594" t="s">
        <v>5392</v>
      </c>
      <c r="AO594" t="s">
        <v>31</v>
      </c>
      <c r="AR594" s="31"/>
      <c r="AS594">
        <v>30</v>
      </c>
      <c r="AX594">
        <v>1</v>
      </c>
    </row>
    <row r="595" spans="1:50" x14ac:dyDescent="0.25">
      <c r="A595" t="s">
        <v>31</v>
      </c>
      <c r="B595">
        <v>1099</v>
      </c>
      <c r="D595">
        <v>3518</v>
      </c>
      <c r="F595" t="s">
        <v>5294</v>
      </c>
      <c r="G595" t="s">
        <v>5295</v>
      </c>
      <c r="H595">
        <v>527682000195</v>
      </c>
      <c r="J595" t="s">
        <v>5294</v>
      </c>
      <c r="K595" t="s">
        <v>5869</v>
      </c>
      <c r="M595" t="s">
        <v>5297</v>
      </c>
      <c r="Q595" t="s">
        <v>5298</v>
      </c>
      <c r="R595" t="s">
        <v>790</v>
      </c>
      <c r="S595" t="s">
        <v>805</v>
      </c>
      <c r="W595" t="s">
        <v>780</v>
      </c>
      <c r="X595" t="s">
        <v>897</v>
      </c>
      <c r="Z595" s="31"/>
      <c r="AC595">
        <v>27</v>
      </c>
      <c r="AD595" t="s">
        <v>31</v>
      </c>
      <c r="AE595" s="31">
        <v>46122</v>
      </c>
      <c r="AF595" s="61">
        <v>0.71690972222222227</v>
      </c>
      <c r="AH595" t="s">
        <v>795</v>
      </c>
      <c r="AI595" s="31">
        <v>46149</v>
      </c>
      <c r="AJ595" s="61">
        <v>0.42342592592592587</v>
      </c>
      <c r="AK595" t="s">
        <v>5338</v>
      </c>
      <c r="AO595" t="s">
        <v>31</v>
      </c>
      <c r="AR595" s="31"/>
      <c r="AS595">
        <v>28</v>
      </c>
      <c r="AX595">
        <v>1</v>
      </c>
    </row>
    <row r="596" spans="1:50" x14ac:dyDescent="0.25">
      <c r="A596" t="s">
        <v>31</v>
      </c>
      <c r="B596">
        <v>1100</v>
      </c>
      <c r="D596">
        <v>3522</v>
      </c>
      <c r="F596" t="s">
        <v>5299</v>
      </c>
      <c r="G596" t="s">
        <v>5300</v>
      </c>
      <c r="H596">
        <v>28516601000170</v>
      </c>
      <c r="J596" t="s">
        <v>5299</v>
      </c>
      <c r="K596" t="s">
        <v>5301</v>
      </c>
      <c r="M596" t="s">
        <v>5302</v>
      </c>
      <c r="Q596" t="s">
        <v>5303</v>
      </c>
      <c r="R596" t="s">
        <v>790</v>
      </c>
      <c r="S596" t="s">
        <v>805</v>
      </c>
      <c r="W596" t="s">
        <v>780</v>
      </c>
      <c r="X596" t="s">
        <v>897</v>
      </c>
      <c r="Z596" s="31"/>
      <c r="AC596">
        <v>40</v>
      </c>
      <c r="AD596" t="s">
        <v>31</v>
      </c>
      <c r="AE596" s="31">
        <v>46122</v>
      </c>
      <c r="AF596" s="61">
        <v>0.72449074074074071</v>
      </c>
      <c r="AH596" t="s">
        <v>782</v>
      </c>
      <c r="AI596" s="31"/>
      <c r="AJ596" s="61"/>
      <c r="AO596" t="s">
        <v>31</v>
      </c>
      <c r="AR596" s="31"/>
      <c r="AS596">
        <v>30</v>
      </c>
      <c r="AX596">
        <v>1</v>
      </c>
    </row>
    <row r="597" spans="1:50" x14ac:dyDescent="0.25">
      <c r="A597" t="s">
        <v>31</v>
      </c>
      <c r="B597">
        <v>1101</v>
      </c>
      <c r="D597">
        <v>3530</v>
      </c>
      <c r="E597" t="s">
        <v>5870</v>
      </c>
      <c r="F597" t="s">
        <v>5304</v>
      </c>
      <c r="G597" t="s">
        <v>5871</v>
      </c>
      <c r="H597">
        <v>12259254000108</v>
      </c>
      <c r="J597" t="s">
        <v>3600</v>
      </c>
      <c r="K597" t="s">
        <v>5872</v>
      </c>
      <c r="M597" t="s">
        <v>5305</v>
      </c>
      <c r="Q597" t="s">
        <v>1094</v>
      </c>
      <c r="R597" t="s">
        <v>790</v>
      </c>
      <c r="S597" t="s">
        <v>805</v>
      </c>
      <c r="W597" t="s">
        <v>780</v>
      </c>
      <c r="X597" t="s">
        <v>793</v>
      </c>
      <c r="Z597" s="31">
        <v>46234</v>
      </c>
      <c r="AC597">
        <v>37</v>
      </c>
      <c r="AD597" t="s">
        <v>31</v>
      </c>
      <c r="AE597" s="31">
        <v>46125</v>
      </c>
      <c r="AF597" s="61">
        <v>0.52216435185185184</v>
      </c>
      <c r="AH597" t="s">
        <v>782</v>
      </c>
      <c r="AI597" s="31"/>
      <c r="AJ597" s="61"/>
      <c r="AN597" t="s">
        <v>5873</v>
      </c>
      <c r="AO597" t="s">
        <v>31</v>
      </c>
      <c r="AP597" t="s">
        <v>5865</v>
      </c>
      <c r="AQ597" t="s">
        <v>5680</v>
      </c>
      <c r="AR597" s="31">
        <v>46155</v>
      </c>
      <c r="AS597">
        <v>30</v>
      </c>
      <c r="AX597">
        <v>1</v>
      </c>
    </row>
    <row r="598" spans="1:50" x14ac:dyDescent="0.25">
      <c r="A598" t="s">
        <v>44</v>
      </c>
      <c r="B598">
        <v>1102</v>
      </c>
      <c r="D598">
        <v>3533</v>
      </c>
      <c r="E598" t="s">
        <v>5874</v>
      </c>
      <c r="F598" t="s">
        <v>5306</v>
      </c>
      <c r="G598" t="s">
        <v>5307</v>
      </c>
      <c r="H598">
        <v>50306471000524</v>
      </c>
      <c r="J598" t="s">
        <v>5306</v>
      </c>
      <c r="K598" t="s">
        <v>5875</v>
      </c>
      <c r="M598" t="s">
        <v>5309</v>
      </c>
      <c r="Q598" t="s">
        <v>1596</v>
      </c>
      <c r="R598" t="s">
        <v>790</v>
      </c>
      <c r="S598" t="s">
        <v>805</v>
      </c>
      <c r="W598" t="s">
        <v>780</v>
      </c>
      <c r="X598" t="s">
        <v>897</v>
      </c>
      <c r="Z598" s="31"/>
      <c r="AC598">
        <v>37</v>
      </c>
      <c r="AD598" t="s">
        <v>44</v>
      </c>
      <c r="AE598" s="31">
        <v>46125</v>
      </c>
      <c r="AF598" s="61">
        <v>0.63520833333333337</v>
      </c>
      <c r="AH598" t="s">
        <v>782</v>
      </c>
      <c r="AI598" s="31"/>
      <c r="AJ598" s="61"/>
      <c r="AR598" s="31">
        <v>46135</v>
      </c>
      <c r="AS598">
        <v>30</v>
      </c>
      <c r="AV598" t="s">
        <v>4741</v>
      </c>
      <c r="AX598">
        <v>1</v>
      </c>
    </row>
    <row r="599" spans="1:50" x14ac:dyDescent="0.25">
      <c r="A599" t="s">
        <v>31</v>
      </c>
      <c r="B599">
        <v>1103</v>
      </c>
      <c r="D599">
        <v>3534</v>
      </c>
      <c r="E599" t="s">
        <v>5876</v>
      </c>
      <c r="G599" t="s">
        <v>409</v>
      </c>
      <c r="H599">
        <v>8822792000191</v>
      </c>
      <c r="J599" t="s">
        <v>5311</v>
      </c>
      <c r="K599" t="s">
        <v>5312</v>
      </c>
      <c r="M599" t="s">
        <v>5313</v>
      </c>
      <c r="Q599" t="s">
        <v>1094</v>
      </c>
      <c r="R599" t="s">
        <v>790</v>
      </c>
      <c r="S599" t="s">
        <v>814</v>
      </c>
      <c r="V599" t="s">
        <v>5655</v>
      </c>
      <c r="W599" t="s">
        <v>780</v>
      </c>
      <c r="X599" t="s">
        <v>807</v>
      </c>
      <c r="Z599" s="31">
        <v>46295</v>
      </c>
      <c r="AA599">
        <v>85600</v>
      </c>
      <c r="AB599">
        <v>66847</v>
      </c>
      <c r="AC599">
        <v>29</v>
      </c>
      <c r="AD599" t="s">
        <v>22</v>
      </c>
      <c r="AE599" s="31">
        <v>46126</v>
      </c>
      <c r="AF599" s="61">
        <v>0.41895833333333332</v>
      </c>
      <c r="AH599" t="s">
        <v>795</v>
      </c>
      <c r="AI599" s="31">
        <v>46155</v>
      </c>
      <c r="AJ599" s="61">
        <v>0.46946759259259258</v>
      </c>
      <c r="AK599" t="s">
        <v>5877</v>
      </c>
      <c r="AN599" t="s">
        <v>5873</v>
      </c>
      <c r="AO599" t="s">
        <v>31</v>
      </c>
      <c r="AP599" t="s">
        <v>5878</v>
      </c>
      <c r="AR599" s="31">
        <v>46155</v>
      </c>
      <c r="AS599">
        <v>30</v>
      </c>
      <c r="AU599" t="s">
        <v>5879</v>
      </c>
      <c r="AX599">
        <v>1</v>
      </c>
    </row>
    <row r="600" spans="1:50" x14ac:dyDescent="0.25">
      <c r="A600" t="s">
        <v>31</v>
      </c>
      <c r="B600">
        <v>1104</v>
      </c>
      <c r="D600">
        <v>3527</v>
      </c>
      <c r="E600" t="s">
        <v>5314</v>
      </c>
      <c r="G600" t="s">
        <v>5315</v>
      </c>
      <c r="J600" t="s">
        <v>5316</v>
      </c>
      <c r="K600" t="s">
        <v>5880</v>
      </c>
      <c r="M600" t="s">
        <v>5317</v>
      </c>
      <c r="R600" t="s">
        <v>5318</v>
      </c>
      <c r="S600" t="s">
        <v>1191</v>
      </c>
      <c r="V600" t="s">
        <v>5631</v>
      </c>
      <c r="W600" t="s">
        <v>780</v>
      </c>
      <c r="X600" t="s">
        <v>781</v>
      </c>
      <c r="Z600" s="31">
        <v>46142</v>
      </c>
      <c r="AC600">
        <v>0</v>
      </c>
      <c r="AD600" t="s">
        <v>22</v>
      </c>
      <c r="AE600" s="31">
        <v>46126</v>
      </c>
      <c r="AF600" s="61">
        <v>0.4208101851851852</v>
      </c>
      <c r="AH600" t="s">
        <v>795</v>
      </c>
      <c r="AI600" s="31">
        <v>46126</v>
      </c>
      <c r="AJ600" s="61">
        <v>0.43841435185185179</v>
      </c>
      <c r="AK600" t="s">
        <v>5392</v>
      </c>
      <c r="AO600" t="s">
        <v>31</v>
      </c>
      <c r="AR600" s="31"/>
      <c r="AS600">
        <v>30</v>
      </c>
      <c r="AX600">
        <v>1</v>
      </c>
    </row>
    <row r="601" spans="1:50" x14ac:dyDescent="0.25">
      <c r="A601" t="s">
        <v>44</v>
      </c>
      <c r="B601">
        <v>1105</v>
      </c>
      <c r="D601">
        <v>3524</v>
      </c>
      <c r="E601" t="s">
        <v>5881</v>
      </c>
      <c r="G601" t="s">
        <v>5320</v>
      </c>
      <c r="J601" t="s">
        <v>5321</v>
      </c>
      <c r="K601" t="s">
        <v>5882</v>
      </c>
      <c r="M601" t="s">
        <v>5322</v>
      </c>
      <c r="S601" t="s">
        <v>2541</v>
      </c>
      <c r="V601" t="s">
        <v>5631</v>
      </c>
      <c r="W601" t="s">
        <v>780</v>
      </c>
      <c r="X601" t="s">
        <v>897</v>
      </c>
      <c r="Z601" s="31">
        <v>46126</v>
      </c>
      <c r="AC601">
        <v>0</v>
      </c>
      <c r="AD601" t="s">
        <v>22</v>
      </c>
      <c r="AE601" s="31">
        <v>46126</v>
      </c>
      <c r="AF601" s="61">
        <v>0.42281249999999998</v>
      </c>
      <c r="AH601" t="s">
        <v>795</v>
      </c>
      <c r="AI601" s="31">
        <v>46126</v>
      </c>
      <c r="AJ601" s="61">
        <v>0.49921296296296302</v>
      </c>
      <c r="AK601" t="s">
        <v>5392</v>
      </c>
      <c r="AL601" t="s">
        <v>5883</v>
      </c>
      <c r="AO601" t="s">
        <v>44</v>
      </c>
      <c r="AR601" s="31"/>
      <c r="AS601">
        <v>30</v>
      </c>
      <c r="AX601">
        <v>1</v>
      </c>
    </row>
    <row r="602" spans="1:50" x14ac:dyDescent="0.25">
      <c r="A602" t="s">
        <v>44</v>
      </c>
      <c r="B602">
        <v>1106</v>
      </c>
      <c r="D602">
        <v>3525</v>
      </c>
      <c r="G602" t="s">
        <v>5324</v>
      </c>
      <c r="J602" t="s">
        <v>4841</v>
      </c>
      <c r="K602" t="s">
        <v>5884</v>
      </c>
      <c r="M602" t="s">
        <v>5325</v>
      </c>
      <c r="R602" t="s">
        <v>5326</v>
      </c>
      <c r="S602" t="s">
        <v>1191</v>
      </c>
      <c r="V602" t="s">
        <v>5650</v>
      </c>
      <c r="W602" t="s">
        <v>780</v>
      </c>
      <c r="X602" t="s">
        <v>897</v>
      </c>
      <c r="Z602" s="31">
        <v>46126</v>
      </c>
      <c r="AC602">
        <v>36</v>
      </c>
      <c r="AD602" t="s">
        <v>22</v>
      </c>
      <c r="AE602" s="31">
        <v>46126</v>
      </c>
      <c r="AF602" s="61">
        <v>0.42342592592592587</v>
      </c>
      <c r="AH602" t="s">
        <v>782</v>
      </c>
      <c r="AI602" s="31"/>
      <c r="AJ602" s="61"/>
      <c r="AO602" t="s">
        <v>44</v>
      </c>
      <c r="AR602" s="31"/>
      <c r="AS602">
        <v>30</v>
      </c>
      <c r="AX602">
        <v>1</v>
      </c>
    </row>
    <row r="603" spans="1:50" x14ac:dyDescent="0.25">
      <c r="A603" t="s">
        <v>44</v>
      </c>
      <c r="B603">
        <v>1107</v>
      </c>
      <c r="D603">
        <v>3526</v>
      </c>
      <c r="G603" t="s">
        <v>5327</v>
      </c>
      <c r="H603">
        <v>52975803000165</v>
      </c>
      <c r="J603" t="s">
        <v>5328</v>
      </c>
      <c r="K603" t="s">
        <v>5885</v>
      </c>
      <c r="M603" t="s">
        <v>5329</v>
      </c>
      <c r="Q603" t="s">
        <v>5330</v>
      </c>
      <c r="R603" t="s">
        <v>5331</v>
      </c>
      <c r="S603" t="s">
        <v>2541</v>
      </c>
      <c r="V603" t="s">
        <v>5631</v>
      </c>
      <c r="W603" t="s">
        <v>780</v>
      </c>
      <c r="X603" t="s">
        <v>781</v>
      </c>
      <c r="Z603" s="31">
        <v>46126</v>
      </c>
      <c r="AC603">
        <v>25</v>
      </c>
      <c r="AD603" t="s">
        <v>22</v>
      </c>
      <c r="AE603" s="31">
        <v>46126</v>
      </c>
      <c r="AF603" s="61">
        <v>0.42473379629629632</v>
      </c>
      <c r="AH603" t="s">
        <v>795</v>
      </c>
      <c r="AI603" s="31">
        <v>46151</v>
      </c>
      <c r="AJ603" s="61">
        <v>0.3631712962962963</v>
      </c>
      <c r="AK603" t="s">
        <v>5377</v>
      </c>
      <c r="AO603" t="s">
        <v>44</v>
      </c>
      <c r="AR603" s="31"/>
      <c r="AS603">
        <v>30</v>
      </c>
      <c r="AX603">
        <v>1</v>
      </c>
    </row>
    <row r="604" spans="1:50" x14ac:dyDescent="0.25">
      <c r="A604" t="s">
        <v>44</v>
      </c>
      <c r="B604">
        <v>1113</v>
      </c>
      <c r="D604">
        <v>3542</v>
      </c>
      <c r="F604" t="s">
        <v>5332</v>
      </c>
      <c r="G604" t="s">
        <v>399</v>
      </c>
      <c r="H604">
        <v>38116840000197</v>
      </c>
      <c r="J604" t="s">
        <v>5332</v>
      </c>
      <c r="K604" t="s">
        <v>5333</v>
      </c>
      <c r="M604" t="s">
        <v>5334</v>
      </c>
      <c r="Q604" t="s">
        <v>2945</v>
      </c>
      <c r="R604" t="s">
        <v>1105</v>
      </c>
      <c r="S604" t="s">
        <v>805</v>
      </c>
      <c r="W604" t="s">
        <v>780</v>
      </c>
      <c r="X604" t="s">
        <v>857</v>
      </c>
      <c r="Z604" s="31"/>
      <c r="AA604">
        <v>13509779</v>
      </c>
      <c r="AB604">
        <v>899628</v>
      </c>
      <c r="AC604">
        <v>16</v>
      </c>
      <c r="AD604" t="s">
        <v>44</v>
      </c>
      <c r="AE604" s="31">
        <v>46126</v>
      </c>
      <c r="AF604" s="61">
        <v>0.69707175925925924</v>
      </c>
      <c r="AH604" t="s">
        <v>795</v>
      </c>
      <c r="AI604" s="31">
        <v>46142</v>
      </c>
      <c r="AJ604" s="61">
        <v>0.65484953703703708</v>
      </c>
      <c r="AK604" t="s">
        <v>934</v>
      </c>
      <c r="AL604" t="s">
        <v>5886</v>
      </c>
      <c r="AN604" t="s">
        <v>4658</v>
      </c>
      <c r="AP604" t="s">
        <v>4698</v>
      </c>
      <c r="AR604" s="31"/>
      <c r="AS604">
        <v>50</v>
      </c>
      <c r="AX604">
        <v>1</v>
      </c>
    </row>
    <row r="605" spans="1:50" x14ac:dyDescent="0.25">
      <c r="A605" t="s">
        <v>44</v>
      </c>
      <c r="B605">
        <v>1114</v>
      </c>
      <c r="D605">
        <v>3544</v>
      </c>
      <c r="G605" t="s">
        <v>410</v>
      </c>
      <c r="H605">
        <v>38116840000197</v>
      </c>
      <c r="J605" t="s">
        <v>5335</v>
      </c>
      <c r="K605" t="s">
        <v>5887</v>
      </c>
      <c r="M605" t="s">
        <v>5334</v>
      </c>
      <c r="Q605" t="s">
        <v>2945</v>
      </c>
      <c r="R605" t="s">
        <v>1105</v>
      </c>
      <c r="W605" t="s">
        <v>780</v>
      </c>
      <c r="X605" t="s">
        <v>807</v>
      </c>
      <c r="Z605" s="31"/>
      <c r="AC605">
        <v>16</v>
      </c>
      <c r="AD605" t="s">
        <v>44</v>
      </c>
      <c r="AE605" s="31">
        <v>46126</v>
      </c>
      <c r="AF605" s="61">
        <v>0.69881944444444444</v>
      </c>
      <c r="AH605" t="s">
        <v>795</v>
      </c>
      <c r="AI605" s="31">
        <v>46142</v>
      </c>
      <c r="AJ605" s="61">
        <v>0.65424768518518517</v>
      </c>
      <c r="AK605" t="s">
        <v>934</v>
      </c>
      <c r="AL605" t="s">
        <v>5886</v>
      </c>
      <c r="AN605" t="s">
        <v>4658</v>
      </c>
      <c r="AP605" t="s">
        <v>4658</v>
      </c>
      <c r="AR605" s="31"/>
      <c r="AS605">
        <v>50</v>
      </c>
      <c r="AX605">
        <v>1</v>
      </c>
    </row>
    <row r="606" spans="1:50" x14ac:dyDescent="0.25">
      <c r="A606" t="s">
        <v>31</v>
      </c>
      <c r="B606">
        <v>1116</v>
      </c>
      <c r="D606">
        <v>3545</v>
      </c>
      <c r="E606" t="s">
        <v>5888</v>
      </c>
      <c r="G606" t="s">
        <v>5889</v>
      </c>
      <c r="J606" t="s">
        <v>5890</v>
      </c>
      <c r="K606" t="s">
        <v>5891</v>
      </c>
      <c r="M606" t="s">
        <v>5892</v>
      </c>
      <c r="R606" t="s">
        <v>5893</v>
      </c>
      <c r="S606" t="s">
        <v>1191</v>
      </c>
      <c r="V606" t="s">
        <v>5650</v>
      </c>
      <c r="W606" t="s">
        <v>780</v>
      </c>
      <c r="X606" t="s">
        <v>781</v>
      </c>
      <c r="Z606" s="31">
        <v>46127</v>
      </c>
      <c r="AC606">
        <v>24</v>
      </c>
      <c r="AD606" t="s">
        <v>22</v>
      </c>
      <c r="AE606" s="31">
        <v>46127</v>
      </c>
      <c r="AF606" s="61">
        <v>0.51923611111111112</v>
      </c>
      <c r="AH606" t="s">
        <v>795</v>
      </c>
      <c r="AI606" s="31">
        <v>46151</v>
      </c>
      <c r="AJ606" s="61">
        <v>0.35395833333333332</v>
      </c>
      <c r="AK606" t="s">
        <v>5377</v>
      </c>
      <c r="AO606" t="s">
        <v>31</v>
      </c>
      <c r="AR606" s="31">
        <v>46140</v>
      </c>
      <c r="AS606">
        <v>30</v>
      </c>
      <c r="AX606">
        <v>1</v>
      </c>
    </row>
    <row r="607" spans="1:50" x14ac:dyDescent="0.25">
      <c r="A607" t="s">
        <v>44</v>
      </c>
      <c r="B607">
        <v>1117</v>
      </c>
      <c r="D607">
        <v>3546</v>
      </c>
      <c r="E607" t="s">
        <v>5894</v>
      </c>
      <c r="G607" t="s">
        <v>5895</v>
      </c>
      <c r="J607" t="s">
        <v>5896</v>
      </c>
      <c r="K607" t="s">
        <v>5897</v>
      </c>
      <c r="M607" t="s">
        <v>5898</v>
      </c>
      <c r="R607" t="s">
        <v>5899</v>
      </c>
      <c r="S607" t="s">
        <v>1191</v>
      </c>
      <c r="V607" t="s">
        <v>5650</v>
      </c>
      <c r="W607" t="s">
        <v>780</v>
      </c>
      <c r="X607" t="s">
        <v>897</v>
      </c>
      <c r="Z607" s="31">
        <v>46142</v>
      </c>
      <c r="AC607">
        <v>33</v>
      </c>
      <c r="AD607" t="s">
        <v>22</v>
      </c>
      <c r="AE607" s="31">
        <v>46127</v>
      </c>
      <c r="AF607" s="61">
        <v>0.51980324074074069</v>
      </c>
      <c r="AH607" t="s">
        <v>795</v>
      </c>
      <c r="AI607" s="31">
        <v>46160</v>
      </c>
      <c r="AJ607" s="61">
        <v>0.6277314814814815</v>
      </c>
      <c r="AK607" t="s">
        <v>5657</v>
      </c>
      <c r="AL607" t="s">
        <v>5900</v>
      </c>
      <c r="AO607" t="s">
        <v>44</v>
      </c>
      <c r="AR607" s="31">
        <v>46160</v>
      </c>
      <c r="AS607">
        <v>30</v>
      </c>
      <c r="AX607">
        <v>1</v>
      </c>
    </row>
    <row r="608" spans="1:50" x14ac:dyDescent="0.25">
      <c r="A608" t="s">
        <v>44</v>
      </c>
      <c r="B608">
        <v>1120</v>
      </c>
      <c r="D608">
        <v>3556</v>
      </c>
      <c r="E608" t="s">
        <v>5901</v>
      </c>
      <c r="F608" t="s">
        <v>5902</v>
      </c>
      <c r="G608" t="s">
        <v>5903</v>
      </c>
      <c r="H608">
        <v>76639285000339</v>
      </c>
      <c r="J608" t="s">
        <v>5902</v>
      </c>
      <c r="K608" t="s">
        <v>5904</v>
      </c>
      <c r="M608" t="s">
        <v>5905</v>
      </c>
      <c r="Q608" t="s">
        <v>1698</v>
      </c>
      <c r="R608" t="s">
        <v>1699</v>
      </c>
      <c r="S608" t="s">
        <v>805</v>
      </c>
      <c r="W608" t="s">
        <v>780</v>
      </c>
      <c r="X608" t="s">
        <v>897</v>
      </c>
      <c r="Z608" s="31"/>
      <c r="AC608">
        <v>33</v>
      </c>
      <c r="AD608" t="s">
        <v>44</v>
      </c>
      <c r="AE608" s="31">
        <v>46129</v>
      </c>
      <c r="AF608" s="61">
        <v>0.61236111111111113</v>
      </c>
      <c r="AH608" t="s">
        <v>782</v>
      </c>
      <c r="AI608" s="31"/>
      <c r="AJ608" s="61"/>
      <c r="AR608" s="31"/>
      <c r="AS608">
        <v>30</v>
      </c>
      <c r="AX608">
        <v>1</v>
      </c>
    </row>
    <row r="609" spans="1:50" x14ac:dyDescent="0.25">
      <c r="A609" t="s">
        <v>44</v>
      </c>
      <c r="B609">
        <v>1121</v>
      </c>
      <c r="D609">
        <v>3558</v>
      </c>
      <c r="E609" t="s">
        <v>5906</v>
      </c>
      <c r="F609" t="s">
        <v>5907</v>
      </c>
      <c r="G609" t="s">
        <v>5908</v>
      </c>
      <c r="H609">
        <v>74200403001605</v>
      </c>
      <c r="J609" t="s">
        <v>5907</v>
      </c>
      <c r="K609" t="s">
        <v>5909</v>
      </c>
      <c r="M609" t="s">
        <v>5910</v>
      </c>
      <c r="Q609" t="s">
        <v>5911</v>
      </c>
      <c r="R609" t="s">
        <v>5912</v>
      </c>
      <c r="S609" t="s">
        <v>805</v>
      </c>
      <c r="W609" t="s">
        <v>780</v>
      </c>
      <c r="X609" t="s">
        <v>897</v>
      </c>
      <c r="Z609" s="31"/>
      <c r="AC609">
        <v>33</v>
      </c>
      <c r="AD609" t="s">
        <v>44</v>
      </c>
      <c r="AE609" s="31">
        <v>46129</v>
      </c>
      <c r="AF609" s="61">
        <v>0.61905092592592592</v>
      </c>
      <c r="AH609" t="s">
        <v>782</v>
      </c>
      <c r="AI609" s="31"/>
      <c r="AJ609" s="61"/>
      <c r="AR609" s="31">
        <v>46135</v>
      </c>
      <c r="AS609">
        <v>30</v>
      </c>
      <c r="AX609">
        <v>1</v>
      </c>
    </row>
    <row r="610" spans="1:50" x14ac:dyDescent="0.25">
      <c r="A610" t="s">
        <v>44</v>
      </c>
      <c r="B610">
        <v>1122</v>
      </c>
      <c r="D610">
        <v>3560</v>
      </c>
      <c r="F610" t="s">
        <v>5913</v>
      </c>
      <c r="G610" t="s">
        <v>5914</v>
      </c>
      <c r="H610">
        <v>23797376005567</v>
      </c>
      <c r="J610" t="s">
        <v>5913</v>
      </c>
      <c r="K610" t="s">
        <v>5915</v>
      </c>
      <c r="M610" t="s">
        <v>5916</v>
      </c>
      <c r="Q610" t="s">
        <v>5917</v>
      </c>
      <c r="R610" t="s">
        <v>848</v>
      </c>
      <c r="S610" t="s">
        <v>805</v>
      </c>
      <c r="W610" t="s">
        <v>780</v>
      </c>
      <c r="X610" t="s">
        <v>897</v>
      </c>
      <c r="Z610" s="31"/>
      <c r="AC610">
        <v>33</v>
      </c>
      <c r="AD610" t="s">
        <v>44</v>
      </c>
      <c r="AE610" s="31">
        <v>46129</v>
      </c>
      <c r="AF610" s="61">
        <v>0.65067129629629628</v>
      </c>
      <c r="AH610" t="s">
        <v>782</v>
      </c>
      <c r="AI610" s="31"/>
      <c r="AJ610" s="61"/>
      <c r="AR610" s="31">
        <v>46148</v>
      </c>
      <c r="AS610">
        <v>30</v>
      </c>
      <c r="AX610">
        <v>1</v>
      </c>
    </row>
    <row r="611" spans="1:50" x14ac:dyDescent="0.25">
      <c r="A611" t="s">
        <v>44</v>
      </c>
      <c r="B611">
        <v>1123</v>
      </c>
      <c r="D611">
        <v>3562</v>
      </c>
      <c r="F611" t="s">
        <v>5918</v>
      </c>
      <c r="G611" t="s">
        <v>5919</v>
      </c>
      <c r="H611">
        <v>5953543000147</v>
      </c>
      <c r="J611" t="s">
        <v>5918</v>
      </c>
      <c r="K611" t="s">
        <v>5920</v>
      </c>
      <c r="M611" t="s">
        <v>5921</v>
      </c>
      <c r="Q611" t="s">
        <v>847</v>
      </c>
      <c r="R611" t="s">
        <v>848</v>
      </c>
      <c r="S611" t="s">
        <v>805</v>
      </c>
      <c r="W611" t="s">
        <v>780</v>
      </c>
      <c r="X611" t="s">
        <v>897</v>
      </c>
      <c r="Z611" s="31"/>
      <c r="AC611">
        <v>33</v>
      </c>
      <c r="AD611" t="s">
        <v>44</v>
      </c>
      <c r="AE611" s="31">
        <v>46129</v>
      </c>
      <c r="AF611" s="61">
        <v>0.70030092592592597</v>
      </c>
      <c r="AH611" t="s">
        <v>782</v>
      </c>
      <c r="AI611" s="31"/>
      <c r="AJ611" s="61"/>
      <c r="AR611" s="31">
        <v>46148</v>
      </c>
      <c r="AS611">
        <v>30</v>
      </c>
      <c r="AX611">
        <v>1</v>
      </c>
    </row>
    <row r="612" spans="1:50" x14ac:dyDescent="0.25">
      <c r="A612" t="s">
        <v>31</v>
      </c>
      <c r="B612">
        <v>1126</v>
      </c>
      <c r="D612">
        <v>3553</v>
      </c>
      <c r="E612" t="s">
        <v>5922</v>
      </c>
      <c r="G612" t="s">
        <v>5923</v>
      </c>
      <c r="J612" t="s">
        <v>5924</v>
      </c>
      <c r="K612" t="s">
        <v>5925</v>
      </c>
      <c r="M612" t="s">
        <v>5926</v>
      </c>
      <c r="R612" t="s">
        <v>5899</v>
      </c>
      <c r="S612" t="s">
        <v>1191</v>
      </c>
      <c r="V612" t="s">
        <v>5631</v>
      </c>
      <c r="W612" t="s">
        <v>780</v>
      </c>
      <c r="X612" t="s">
        <v>781</v>
      </c>
      <c r="Z612" s="31"/>
      <c r="AC612">
        <v>19</v>
      </c>
      <c r="AD612" t="s">
        <v>22</v>
      </c>
      <c r="AE612" s="31">
        <v>46132</v>
      </c>
      <c r="AF612" s="61">
        <v>0.59508101851851847</v>
      </c>
      <c r="AH612" t="s">
        <v>795</v>
      </c>
      <c r="AI612" s="31">
        <v>46151</v>
      </c>
      <c r="AJ612" s="61">
        <v>0.35306712962962961</v>
      </c>
      <c r="AK612" t="s">
        <v>5657</v>
      </c>
      <c r="AO612" t="s">
        <v>31</v>
      </c>
      <c r="AR612" s="31">
        <v>46142</v>
      </c>
      <c r="AS612">
        <v>30</v>
      </c>
      <c r="AX612">
        <v>1</v>
      </c>
    </row>
    <row r="613" spans="1:50" x14ac:dyDescent="0.25">
      <c r="A613" t="s">
        <v>44</v>
      </c>
      <c r="B613">
        <v>1127</v>
      </c>
      <c r="D613">
        <v>3555</v>
      </c>
      <c r="E613" t="s">
        <v>5927</v>
      </c>
      <c r="G613" t="s">
        <v>5928</v>
      </c>
      <c r="J613" t="s">
        <v>5929</v>
      </c>
      <c r="K613" t="s">
        <v>5930</v>
      </c>
      <c r="M613" t="s">
        <v>5931</v>
      </c>
      <c r="R613" t="s">
        <v>5932</v>
      </c>
      <c r="S613" t="s">
        <v>1191</v>
      </c>
      <c r="V613" t="s">
        <v>5650</v>
      </c>
      <c r="W613" t="s">
        <v>780</v>
      </c>
      <c r="X613" t="s">
        <v>897</v>
      </c>
      <c r="Z613" s="31"/>
      <c r="AC613">
        <v>30</v>
      </c>
      <c r="AD613" t="s">
        <v>22</v>
      </c>
      <c r="AE613" s="31">
        <v>46132</v>
      </c>
      <c r="AF613" s="61">
        <v>0.60204861111111108</v>
      </c>
      <c r="AH613" t="s">
        <v>782</v>
      </c>
      <c r="AI613" s="31"/>
      <c r="AJ613" s="61"/>
      <c r="AO613" t="s">
        <v>44</v>
      </c>
      <c r="AR613" s="31">
        <v>46142</v>
      </c>
      <c r="AS613">
        <v>30</v>
      </c>
      <c r="AX613">
        <v>1</v>
      </c>
    </row>
    <row r="614" spans="1:50" x14ac:dyDescent="0.25">
      <c r="A614" t="s">
        <v>31</v>
      </c>
      <c r="B614">
        <v>1128</v>
      </c>
      <c r="D614">
        <v>3565</v>
      </c>
      <c r="E614" t="s">
        <v>5933</v>
      </c>
      <c r="G614" t="s">
        <v>5934</v>
      </c>
      <c r="J614" t="s">
        <v>5935</v>
      </c>
      <c r="K614" t="s">
        <v>5936</v>
      </c>
      <c r="M614" t="s">
        <v>5937</v>
      </c>
      <c r="S614" t="s">
        <v>2541</v>
      </c>
      <c r="V614" t="s">
        <v>5631</v>
      </c>
      <c r="W614" t="s">
        <v>780</v>
      </c>
      <c r="X614" t="s">
        <v>897</v>
      </c>
      <c r="Z614" s="31">
        <v>46142</v>
      </c>
      <c r="AC614">
        <v>19</v>
      </c>
      <c r="AD614" t="s">
        <v>22</v>
      </c>
      <c r="AE614" s="31">
        <v>46132</v>
      </c>
      <c r="AF614" s="61">
        <v>0.64068287037037042</v>
      </c>
      <c r="AH614" t="s">
        <v>795</v>
      </c>
      <c r="AI614" s="31">
        <v>46151</v>
      </c>
      <c r="AJ614" s="61">
        <v>0.35840277777777779</v>
      </c>
      <c r="AK614" t="s">
        <v>5657</v>
      </c>
      <c r="AO614" t="s">
        <v>31</v>
      </c>
      <c r="AR614" s="31">
        <v>46136</v>
      </c>
      <c r="AS614">
        <v>30</v>
      </c>
      <c r="AX614">
        <v>1</v>
      </c>
    </row>
    <row r="615" spans="1:50" x14ac:dyDescent="0.25">
      <c r="A615" t="s">
        <v>44</v>
      </c>
      <c r="B615">
        <v>1129</v>
      </c>
      <c r="D615">
        <v>3566</v>
      </c>
      <c r="G615" t="s">
        <v>5938</v>
      </c>
      <c r="J615" t="s">
        <v>5939</v>
      </c>
      <c r="K615" t="s">
        <v>5940</v>
      </c>
      <c r="M615" t="s">
        <v>5941</v>
      </c>
      <c r="R615" t="s">
        <v>5942</v>
      </c>
      <c r="S615" t="s">
        <v>1191</v>
      </c>
      <c r="V615" t="s">
        <v>5631</v>
      </c>
      <c r="W615" t="s">
        <v>780</v>
      </c>
      <c r="X615" t="s">
        <v>781</v>
      </c>
      <c r="Z615" s="31"/>
      <c r="AC615">
        <v>0</v>
      </c>
      <c r="AD615" t="s">
        <v>22</v>
      </c>
      <c r="AE615" s="31">
        <v>46132</v>
      </c>
      <c r="AF615" s="61">
        <v>0.6413078703703704</v>
      </c>
      <c r="AH615" t="s">
        <v>795</v>
      </c>
      <c r="AI615" s="31">
        <v>46132</v>
      </c>
      <c r="AJ615" s="61">
        <v>0.6971180555555555</v>
      </c>
      <c r="AK615" t="s">
        <v>5392</v>
      </c>
      <c r="AL615" t="s">
        <v>5943</v>
      </c>
      <c r="AO615" t="s">
        <v>44</v>
      </c>
      <c r="AR615" s="31"/>
      <c r="AS615">
        <v>30</v>
      </c>
      <c r="AX615">
        <v>1</v>
      </c>
    </row>
    <row r="616" spans="1:50" x14ac:dyDescent="0.25">
      <c r="A616" t="s">
        <v>31</v>
      </c>
      <c r="B616">
        <v>1130</v>
      </c>
      <c r="D616">
        <v>3567</v>
      </c>
      <c r="E616" t="s">
        <v>5944</v>
      </c>
      <c r="G616" t="s">
        <v>5945</v>
      </c>
      <c r="J616" t="s">
        <v>5946</v>
      </c>
      <c r="K616" t="s">
        <v>5947</v>
      </c>
      <c r="M616" t="s">
        <v>5948</v>
      </c>
      <c r="S616" t="s">
        <v>2541</v>
      </c>
      <c r="V616" t="s">
        <v>5650</v>
      </c>
      <c r="W616" t="s">
        <v>780</v>
      </c>
      <c r="X616" t="s">
        <v>897</v>
      </c>
      <c r="Z616" s="31"/>
      <c r="AC616">
        <v>30</v>
      </c>
      <c r="AD616" t="s">
        <v>22</v>
      </c>
      <c r="AE616" s="31">
        <v>46132</v>
      </c>
      <c r="AF616" s="61">
        <v>0.64255787037037038</v>
      </c>
      <c r="AH616" t="s">
        <v>782</v>
      </c>
      <c r="AI616" s="31"/>
      <c r="AJ616" s="61"/>
      <c r="AO616" t="s">
        <v>31</v>
      </c>
      <c r="AR616" s="31">
        <v>46149</v>
      </c>
      <c r="AS616">
        <v>30</v>
      </c>
      <c r="AX616">
        <v>1</v>
      </c>
    </row>
    <row r="617" spans="1:50" x14ac:dyDescent="0.25">
      <c r="A617" t="s">
        <v>44</v>
      </c>
      <c r="B617">
        <v>1131</v>
      </c>
      <c r="D617">
        <v>3568</v>
      </c>
      <c r="E617" t="s">
        <v>5949</v>
      </c>
      <c r="G617" t="s">
        <v>5950</v>
      </c>
      <c r="H617">
        <v>36955063000149</v>
      </c>
      <c r="J617" t="s">
        <v>5951</v>
      </c>
      <c r="K617" t="s">
        <v>5952</v>
      </c>
      <c r="M617" t="s">
        <v>5953</v>
      </c>
      <c r="Q617" t="s">
        <v>5954</v>
      </c>
      <c r="R617" t="s">
        <v>2841</v>
      </c>
      <c r="S617" t="s">
        <v>2541</v>
      </c>
      <c r="V617" t="s">
        <v>5650</v>
      </c>
      <c r="W617" t="s">
        <v>780</v>
      </c>
      <c r="X617" t="s">
        <v>897</v>
      </c>
      <c r="Z617" s="31"/>
      <c r="AC617">
        <v>19</v>
      </c>
      <c r="AD617" t="s">
        <v>22</v>
      </c>
      <c r="AE617" s="31">
        <v>46132</v>
      </c>
      <c r="AF617" s="61">
        <v>0.64320601851851855</v>
      </c>
      <c r="AH617" t="s">
        <v>795</v>
      </c>
      <c r="AI617" s="31">
        <v>46151</v>
      </c>
      <c r="AJ617" s="61">
        <v>0.35891203703703711</v>
      </c>
      <c r="AK617" t="s">
        <v>5657</v>
      </c>
      <c r="AO617" t="s">
        <v>44</v>
      </c>
      <c r="AR617" s="31">
        <v>46140</v>
      </c>
      <c r="AS617">
        <v>30</v>
      </c>
      <c r="AX617">
        <v>1</v>
      </c>
    </row>
    <row r="618" spans="1:50" x14ac:dyDescent="0.25">
      <c r="A618" t="s">
        <v>31</v>
      </c>
      <c r="B618">
        <v>1132</v>
      </c>
      <c r="D618">
        <v>3569</v>
      </c>
      <c r="E618" t="s">
        <v>5955</v>
      </c>
      <c r="G618" t="s">
        <v>5956</v>
      </c>
      <c r="J618" t="s">
        <v>5957</v>
      </c>
      <c r="K618" t="s">
        <v>5958</v>
      </c>
      <c r="M618" t="s">
        <v>5959</v>
      </c>
      <c r="R618" t="s">
        <v>5899</v>
      </c>
      <c r="S618" t="s">
        <v>1191</v>
      </c>
      <c r="V618" t="s">
        <v>5631</v>
      </c>
      <c r="W618" t="s">
        <v>780</v>
      </c>
      <c r="X618" t="s">
        <v>781</v>
      </c>
      <c r="Z618" s="31"/>
      <c r="AC618">
        <v>19</v>
      </c>
      <c r="AD618" t="s">
        <v>22</v>
      </c>
      <c r="AE618" s="31">
        <v>46132</v>
      </c>
      <c r="AF618" s="61">
        <v>0.64424768518518516</v>
      </c>
      <c r="AH618" t="s">
        <v>795</v>
      </c>
      <c r="AI618" s="31">
        <v>46151</v>
      </c>
      <c r="AJ618" s="61">
        <v>0.36378472222222219</v>
      </c>
      <c r="AK618" t="s">
        <v>5657</v>
      </c>
      <c r="AO618" t="s">
        <v>31</v>
      </c>
      <c r="AR618" s="31">
        <v>46141</v>
      </c>
      <c r="AS618">
        <v>30</v>
      </c>
      <c r="AX618">
        <v>1</v>
      </c>
    </row>
    <row r="619" spans="1:50" x14ac:dyDescent="0.25">
      <c r="A619" t="s">
        <v>44</v>
      </c>
      <c r="B619">
        <v>1133</v>
      </c>
      <c r="D619">
        <v>3571</v>
      </c>
      <c r="E619" t="s">
        <v>5960</v>
      </c>
      <c r="G619" t="s">
        <v>5961</v>
      </c>
      <c r="J619" t="s">
        <v>5962</v>
      </c>
      <c r="K619" t="s">
        <v>5963</v>
      </c>
      <c r="M619" t="s">
        <v>5964</v>
      </c>
      <c r="R619" t="s">
        <v>5965</v>
      </c>
      <c r="S619" t="s">
        <v>1191</v>
      </c>
      <c r="V619" t="s">
        <v>5631</v>
      </c>
      <c r="W619" t="s">
        <v>780</v>
      </c>
      <c r="X619" t="s">
        <v>781</v>
      </c>
      <c r="Z619" s="31"/>
      <c r="AC619">
        <v>19</v>
      </c>
      <c r="AD619" t="s">
        <v>22</v>
      </c>
      <c r="AE619" s="31">
        <v>46132</v>
      </c>
      <c r="AF619" s="61">
        <v>0.64526620370370369</v>
      </c>
      <c r="AH619" t="s">
        <v>795</v>
      </c>
      <c r="AI619" s="31">
        <v>46151</v>
      </c>
      <c r="AJ619" s="61">
        <v>0.36486111111111108</v>
      </c>
      <c r="AK619" t="s">
        <v>5377</v>
      </c>
      <c r="AO619" t="s">
        <v>44</v>
      </c>
      <c r="AR619" s="31"/>
      <c r="AS619">
        <v>30</v>
      </c>
      <c r="AX619">
        <v>1</v>
      </c>
    </row>
    <row r="620" spans="1:50" x14ac:dyDescent="0.25">
      <c r="A620" t="s">
        <v>22</v>
      </c>
      <c r="B620">
        <v>1134</v>
      </c>
      <c r="D620">
        <v>3575</v>
      </c>
      <c r="G620" t="s">
        <v>251</v>
      </c>
      <c r="H620">
        <v>67846790000100</v>
      </c>
      <c r="J620" t="s">
        <v>5966</v>
      </c>
      <c r="K620" t="s">
        <v>5967</v>
      </c>
      <c r="M620" t="s">
        <v>5968</v>
      </c>
      <c r="Q620" t="s">
        <v>2589</v>
      </c>
      <c r="R620" t="s">
        <v>790</v>
      </c>
      <c r="W620" t="s">
        <v>780</v>
      </c>
      <c r="X620" t="s">
        <v>807</v>
      </c>
      <c r="Z620" s="31">
        <v>46173</v>
      </c>
      <c r="AA620">
        <v>1364029</v>
      </c>
      <c r="AB620">
        <v>563118</v>
      </c>
      <c r="AC620">
        <v>30</v>
      </c>
      <c r="AD620" t="s">
        <v>22</v>
      </c>
      <c r="AE620" s="31">
        <v>46132</v>
      </c>
      <c r="AF620" s="61">
        <v>0.66668981481481482</v>
      </c>
      <c r="AH620" t="s">
        <v>782</v>
      </c>
      <c r="AI620" s="31"/>
      <c r="AJ620" s="61"/>
      <c r="AN620" t="s">
        <v>5691</v>
      </c>
      <c r="AO620" t="s">
        <v>22</v>
      </c>
      <c r="AP620" t="s">
        <v>5969</v>
      </c>
      <c r="AR620" s="31">
        <v>46160</v>
      </c>
      <c r="AS620">
        <v>30</v>
      </c>
      <c r="AX620">
        <v>1</v>
      </c>
    </row>
    <row r="621" spans="1:50" x14ac:dyDescent="0.25">
      <c r="A621" t="s">
        <v>22</v>
      </c>
      <c r="B621">
        <v>1135</v>
      </c>
      <c r="D621">
        <v>3578</v>
      </c>
      <c r="G621" t="s">
        <v>390</v>
      </c>
      <c r="H621">
        <v>7730144000142</v>
      </c>
      <c r="J621" t="s">
        <v>1243</v>
      </c>
      <c r="K621" t="s">
        <v>5970</v>
      </c>
      <c r="M621" t="s">
        <v>5971</v>
      </c>
      <c r="Q621" t="s">
        <v>5972</v>
      </c>
      <c r="R621" t="s">
        <v>790</v>
      </c>
      <c r="W621" t="s">
        <v>780</v>
      </c>
      <c r="X621" t="s">
        <v>793</v>
      </c>
      <c r="Z621" s="31">
        <v>46173</v>
      </c>
      <c r="AC621">
        <v>21</v>
      </c>
      <c r="AD621" t="s">
        <v>22</v>
      </c>
      <c r="AE621" s="31">
        <v>46132</v>
      </c>
      <c r="AF621" s="61">
        <v>0.70337962962962963</v>
      </c>
      <c r="AH621" t="s">
        <v>795</v>
      </c>
      <c r="AI621" s="31">
        <v>46153</v>
      </c>
      <c r="AJ621" s="61">
        <v>0.49863425925925919</v>
      </c>
      <c r="AK621" t="s">
        <v>5338</v>
      </c>
      <c r="AN621" t="s">
        <v>1243</v>
      </c>
      <c r="AO621" t="s">
        <v>22</v>
      </c>
      <c r="AP621" t="s">
        <v>5969</v>
      </c>
      <c r="AR621" s="31"/>
      <c r="AS621">
        <v>30</v>
      </c>
      <c r="AX621">
        <v>1</v>
      </c>
    </row>
    <row r="622" spans="1:50" x14ac:dyDescent="0.25">
      <c r="A622" t="s">
        <v>44</v>
      </c>
      <c r="B622">
        <v>1136</v>
      </c>
      <c r="D622">
        <v>3582</v>
      </c>
      <c r="E622" t="s">
        <v>5973</v>
      </c>
      <c r="G622" t="s">
        <v>5974</v>
      </c>
      <c r="H622">
        <v>25356414000189</v>
      </c>
      <c r="J622" t="s">
        <v>5975</v>
      </c>
      <c r="K622" t="s">
        <v>5976</v>
      </c>
      <c r="M622" t="s">
        <v>5977</v>
      </c>
      <c r="Q622" t="s">
        <v>5978</v>
      </c>
      <c r="R622" t="s">
        <v>874</v>
      </c>
      <c r="S622" t="s">
        <v>2541</v>
      </c>
      <c r="V622" t="s">
        <v>5650</v>
      </c>
      <c r="W622" t="s">
        <v>780</v>
      </c>
      <c r="X622" t="s">
        <v>857</v>
      </c>
      <c r="Z622" s="31"/>
      <c r="AC622">
        <v>27</v>
      </c>
      <c r="AD622" t="s">
        <v>22</v>
      </c>
      <c r="AE622" s="31">
        <v>46135</v>
      </c>
      <c r="AF622" s="61">
        <v>0.58747685185185183</v>
      </c>
      <c r="AH622" t="s">
        <v>782</v>
      </c>
      <c r="AI622" s="31"/>
      <c r="AJ622" s="61"/>
      <c r="AO622" t="s">
        <v>44</v>
      </c>
      <c r="AR622" s="31"/>
      <c r="AS622">
        <v>30</v>
      </c>
      <c r="AX622">
        <v>1</v>
      </c>
    </row>
    <row r="623" spans="1:50" x14ac:dyDescent="0.25">
      <c r="A623" t="s">
        <v>31</v>
      </c>
      <c r="B623">
        <v>1137</v>
      </c>
      <c r="D623">
        <v>3581</v>
      </c>
      <c r="G623" t="s">
        <v>5979</v>
      </c>
      <c r="J623" t="s">
        <v>5980</v>
      </c>
      <c r="K623" t="s">
        <v>5981</v>
      </c>
      <c r="M623" t="s">
        <v>5982</v>
      </c>
      <c r="S623" t="s">
        <v>2541</v>
      </c>
      <c r="V623" t="s">
        <v>5650</v>
      </c>
      <c r="W623" t="s">
        <v>780</v>
      </c>
      <c r="X623" t="s">
        <v>897</v>
      </c>
      <c r="Z623" s="31"/>
      <c r="AC623">
        <v>27</v>
      </c>
      <c r="AD623" t="s">
        <v>22</v>
      </c>
      <c r="AE623" s="31">
        <v>46135</v>
      </c>
      <c r="AF623" s="61">
        <v>0.58898148148148144</v>
      </c>
      <c r="AH623" t="s">
        <v>782</v>
      </c>
      <c r="AI623" s="31"/>
      <c r="AJ623" s="61"/>
      <c r="AO623" t="s">
        <v>31</v>
      </c>
      <c r="AR623" s="31">
        <v>46149</v>
      </c>
      <c r="AS623">
        <v>30</v>
      </c>
      <c r="AX623">
        <v>1</v>
      </c>
    </row>
    <row r="624" spans="1:50" x14ac:dyDescent="0.25">
      <c r="A624" t="s">
        <v>31</v>
      </c>
      <c r="B624">
        <v>1138</v>
      </c>
      <c r="D624">
        <v>3586</v>
      </c>
      <c r="G624" t="s">
        <v>5983</v>
      </c>
      <c r="J624" t="s">
        <v>2815</v>
      </c>
      <c r="K624" t="s">
        <v>5984</v>
      </c>
      <c r="M624" t="s">
        <v>5985</v>
      </c>
      <c r="S624" t="s">
        <v>2541</v>
      </c>
      <c r="V624" t="s">
        <v>5631</v>
      </c>
      <c r="W624" t="s">
        <v>780</v>
      </c>
      <c r="X624" t="s">
        <v>781</v>
      </c>
      <c r="Z624" s="31"/>
      <c r="AC624">
        <v>15</v>
      </c>
      <c r="AD624" t="s">
        <v>22</v>
      </c>
      <c r="AE624" s="31">
        <v>46136</v>
      </c>
      <c r="AF624" s="61">
        <v>0.4246064814814815</v>
      </c>
      <c r="AH624" t="s">
        <v>795</v>
      </c>
      <c r="AI624" s="31">
        <v>46151</v>
      </c>
      <c r="AJ624" s="61">
        <v>0.36520833333333341</v>
      </c>
      <c r="AK624" t="s">
        <v>5657</v>
      </c>
      <c r="AO624" t="s">
        <v>31</v>
      </c>
      <c r="AR624" s="31"/>
      <c r="AS624">
        <v>30</v>
      </c>
      <c r="AX624">
        <v>1</v>
      </c>
    </row>
    <row r="625" spans="1:50" x14ac:dyDescent="0.25">
      <c r="A625" t="s">
        <v>44</v>
      </c>
      <c r="B625">
        <v>1139</v>
      </c>
      <c r="D625">
        <v>3603</v>
      </c>
      <c r="E625" t="s">
        <v>5986</v>
      </c>
      <c r="G625" t="s">
        <v>5987</v>
      </c>
      <c r="H625">
        <v>7598229000119</v>
      </c>
      <c r="J625" t="s">
        <v>5988</v>
      </c>
      <c r="K625" t="s">
        <v>5989</v>
      </c>
      <c r="M625" t="s">
        <v>5990</v>
      </c>
      <c r="Q625" t="s">
        <v>5991</v>
      </c>
      <c r="R625" t="s">
        <v>1105</v>
      </c>
      <c r="S625" t="s">
        <v>1191</v>
      </c>
      <c r="V625" t="s">
        <v>5650</v>
      </c>
      <c r="W625" t="s">
        <v>780</v>
      </c>
      <c r="X625" t="s">
        <v>897</v>
      </c>
      <c r="Z625" s="31"/>
      <c r="AC625">
        <v>23</v>
      </c>
      <c r="AD625" t="s">
        <v>22</v>
      </c>
      <c r="AE625" s="31">
        <v>46139</v>
      </c>
      <c r="AF625" s="61">
        <v>0.64777777777777779</v>
      </c>
      <c r="AH625" t="s">
        <v>782</v>
      </c>
      <c r="AI625" s="31"/>
      <c r="AJ625" s="61"/>
      <c r="AO625" t="s">
        <v>44</v>
      </c>
      <c r="AR625" s="31"/>
      <c r="AS625">
        <v>30</v>
      </c>
      <c r="AX625">
        <v>1</v>
      </c>
    </row>
    <row r="626" spans="1:50" x14ac:dyDescent="0.25">
      <c r="A626" t="s">
        <v>31</v>
      </c>
      <c r="B626">
        <v>1140</v>
      </c>
      <c r="D626">
        <v>3588</v>
      </c>
      <c r="G626" t="s">
        <v>5992</v>
      </c>
      <c r="H626">
        <v>7403402000186</v>
      </c>
      <c r="J626" t="s">
        <v>5993</v>
      </c>
      <c r="K626" t="s">
        <v>5994</v>
      </c>
      <c r="M626" t="s">
        <v>5995</v>
      </c>
      <c r="S626" t="s">
        <v>2541</v>
      </c>
      <c r="V626" t="s">
        <v>5790</v>
      </c>
      <c r="W626" t="s">
        <v>780</v>
      </c>
      <c r="X626" t="s">
        <v>897</v>
      </c>
      <c r="Z626" s="31"/>
      <c r="AC626">
        <v>10</v>
      </c>
      <c r="AD626" t="s">
        <v>22</v>
      </c>
      <c r="AE626" s="31">
        <v>46139</v>
      </c>
      <c r="AF626" s="61">
        <v>0.65891203703703705</v>
      </c>
      <c r="AH626" t="s">
        <v>795</v>
      </c>
      <c r="AI626" s="31">
        <v>46149</v>
      </c>
      <c r="AJ626" s="61">
        <v>0.4450115740740741</v>
      </c>
      <c r="AK626" t="s">
        <v>5392</v>
      </c>
      <c r="AO626" t="s">
        <v>31</v>
      </c>
      <c r="AR626" s="31">
        <v>46141</v>
      </c>
      <c r="AS626">
        <v>30</v>
      </c>
      <c r="AX626">
        <v>1</v>
      </c>
    </row>
    <row r="627" spans="1:50" x14ac:dyDescent="0.25">
      <c r="A627" t="s">
        <v>31</v>
      </c>
      <c r="B627">
        <v>1141</v>
      </c>
      <c r="D627">
        <v>3589</v>
      </c>
      <c r="G627" t="s">
        <v>221</v>
      </c>
      <c r="H627">
        <v>24094663000180</v>
      </c>
      <c r="J627" t="s">
        <v>5996</v>
      </c>
      <c r="K627" t="s">
        <v>5997</v>
      </c>
      <c r="M627" t="s">
        <v>5998</v>
      </c>
      <c r="Q627" t="s">
        <v>1094</v>
      </c>
      <c r="R627" t="s">
        <v>790</v>
      </c>
      <c r="S627" t="s">
        <v>2541</v>
      </c>
      <c r="V627" t="s">
        <v>5650</v>
      </c>
      <c r="W627" t="s">
        <v>780</v>
      </c>
      <c r="X627" t="s">
        <v>857</v>
      </c>
      <c r="Z627" s="31"/>
      <c r="AC627">
        <v>23</v>
      </c>
      <c r="AD627" t="s">
        <v>22</v>
      </c>
      <c r="AE627" s="31">
        <v>46139</v>
      </c>
      <c r="AF627" s="61">
        <v>0.65967592592592594</v>
      </c>
      <c r="AH627" t="s">
        <v>782</v>
      </c>
      <c r="AI627" s="31"/>
      <c r="AJ627" s="61"/>
      <c r="AO627" t="s">
        <v>31</v>
      </c>
      <c r="AP627" t="s">
        <v>5999</v>
      </c>
      <c r="AR627" s="31">
        <v>46160</v>
      </c>
      <c r="AS627">
        <v>30</v>
      </c>
      <c r="AX627">
        <v>1</v>
      </c>
    </row>
    <row r="628" spans="1:50" x14ac:dyDescent="0.25">
      <c r="A628" t="s">
        <v>44</v>
      </c>
      <c r="B628">
        <v>1142</v>
      </c>
      <c r="D628">
        <v>3590</v>
      </c>
      <c r="G628" t="s">
        <v>6000</v>
      </c>
      <c r="J628" t="s">
        <v>6001</v>
      </c>
      <c r="K628" t="s">
        <v>6002</v>
      </c>
      <c r="M628" t="s">
        <v>6003</v>
      </c>
      <c r="S628" t="s">
        <v>2541</v>
      </c>
      <c r="V628" t="s">
        <v>5650</v>
      </c>
      <c r="W628" t="s">
        <v>780</v>
      </c>
      <c r="X628" t="s">
        <v>897</v>
      </c>
      <c r="Z628" s="31"/>
      <c r="AC628">
        <v>23</v>
      </c>
      <c r="AD628" t="s">
        <v>22</v>
      </c>
      <c r="AE628" s="31">
        <v>46139</v>
      </c>
      <c r="AF628" s="61">
        <v>0.66146990740740741</v>
      </c>
      <c r="AH628" t="s">
        <v>782</v>
      </c>
      <c r="AI628" s="31"/>
      <c r="AJ628" s="61"/>
      <c r="AO628" t="s">
        <v>44</v>
      </c>
      <c r="AR628" s="31">
        <v>46148</v>
      </c>
      <c r="AS628">
        <v>30</v>
      </c>
      <c r="AX628">
        <v>1</v>
      </c>
    </row>
    <row r="629" spans="1:50" x14ac:dyDescent="0.25">
      <c r="A629" t="s">
        <v>31</v>
      </c>
      <c r="B629">
        <v>1143</v>
      </c>
      <c r="D629">
        <v>3591</v>
      </c>
      <c r="E629" t="s">
        <v>6004</v>
      </c>
      <c r="G629" t="s">
        <v>6005</v>
      </c>
      <c r="H629">
        <v>3098281000155</v>
      </c>
      <c r="J629" t="s">
        <v>6006</v>
      </c>
      <c r="M629" t="s">
        <v>6007</v>
      </c>
      <c r="Q629" t="s">
        <v>3244</v>
      </c>
      <c r="S629" t="s">
        <v>1191</v>
      </c>
      <c r="W629" t="s">
        <v>780</v>
      </c>
      <c r="X629" t="s">
        <v>857</v>
      </c>
      <c r="Z629" s="31"/>
      <c r="AC629">
        <v>23</v>
      </c>
      <c r="AD629" t="s">
        <v>22</v>
      </c>
      <c r="AE629" s="31">
        <v>46139</v>
      </c>
      <c r="AF629" s="61">
        <v>0.66239583333333329</v>
      </c>
      <c r="AH629" t="s">
        <v>782</v>
      </c>
      <c r="AI629" s="31"/>
      <c r="AJ629" s="61"/>
      <c r="AO629" t="s">
        <v>31</v>
      </c>
      <c r="AR629" s="31">
        <v>46161</v>
      </c>
      <c r="AS629">
        <v>30</v>
      </c>
      <c r="AX629">
        <v>1</v>
      </c>
    </row>
    <row r="630" spans="1:50" x14ac:dyDescent="0.25">
      <c r="A630" t="s">
        <v>44</v>
      </c>
      <c r="B630">
        <v>1144</v>
      </c>
      <c r="D630">
        <v>3592</v>
      </c>
      <c r="E630" t="s">
        <v>6008</v>
      </c>
      <c r="G630" t="s">
        <v>6009</v>
      </c>
      <c r="J630" t="s">
        <v>6010</v>
      </c>
      <c r="K630" t="s">
        <v>6011</v>
      </c>
      <c r="M630" t="s">
        <v>6012</v>
      </c>
      <c r="S630" t="s">
        <v>2541</v>
      </c>
      <c r="V630" t="s">
        <v>5650</v>
      </c>
      <c r="W630" t="s">
        <v>780</v>
      </c>
      <c r="X630" t="s">
        <v>781</v>
      </c>
      <c r="Z630" s="31"/>
      <c r="AC630">
        <v>12</v>
      </c>
      <c r="AD630" t="s">
        <v>22</v>
      </c>
      <c r="AE630" s="31">
        <v>46139</v>
      </c>
      <c r="AF630" s="61">
        <v>0.66317129629629634</v>
      </c>
      <c r="AH630" t="s">
        <v>795</v>
      </c>
      <c r="AI630" s="31">
        <v>46151</v>
      </c>
      <c r="AJ630" s="61">
        <v>0.36556712962962962</v>
      </c>
      <c r="AK630" t="s">
        <v>5657</v>
      </c>
      <c r="AO630" t="s">
        <v>44</v>
      </c>
      <c r="AR630" s="31">
        <v>46148</v>
      </c>
      <c r="AS630">
        <v>32</v>
      </c>
      <c r="AX630">
        <v>1</v>
      </c>
    </row>
    <row r="631" spans="1:50" x14ac:dyDescent="0.25">
      <c r="A631" t="s">
        <v>31</v>
      </c>
      <c r="B631">
        <v>1145</v>
      </c>
      <c r="D631">
        <v>3599</v>
      </c>
      <c r="F631" t="s">
        <v>6013</v>
      </c>
      <c r="G631" t="s">
        <v>6014</v>
      </c>
      <c r="H631">
        <v>58846435000131</v>
      </c>
      <c r="J631" t="s">
        <v>6013</v>
      </c>
      <c r="K631" t="s">
        <v>6015</v>
      </c>
      <c r="M631" t="s">
        <v>6016</v>
      </c>
      <c r="Q631" t="s">
        <v>1094</v>
      </c>
      <c r="R631" t="s">
        <v>790</v>
      </c>
      <c r="S631" t="s">
        <v>805</v>
      </c>
      <c r="W631" t="s">
        <v>780</v>
      </c>
      <c r="X631" t="s">
        <v>897</v>
      </c>
      <c r="Z631" s="31"/>
      <c r="AC631">
        <v>23</v>
      </c>
      <c r="AD631" t="s">
        <v>31</v>
      </c>
      <c r="AE631" s="31">
        <v>46139</v>
      </c>
      <c r="AF631" s="61">
        <v>0.66343750000000001</v>
      </c>
      <c r="AH631" t="s">
        <v>782</v>
      </c>
      <c r="AI631" s="31"/>
      <c r="AJ631" s="61"/>
      <c r="AO631" t="s">
        <v>31</v>
      </c>
      <c r="AR631" s="31">
        <v>46155</v>
      </c>
      <c r="AS631">
        <v>30</v>
      </c>
      <c r="AU631" t="s">
        <v>47</v>
      </c>
      <c r="AX631">
        <v>1</v>
      </c>
    </row>
    <row r="632" spans="1:50" x14ac:dyDescent="0.25">
      <c r="A632" t="s">
        <v>31</v>
      </c>
      <c r="B632">
        <v>1146</v>
      </c>
      <c r="D632">
        <v>3593</v>
      </c>
      <c r="G632" t="s">
        <v>6017</v>
      </c>
      <c r="J632" t="s">
        <v>6018</v>
      </c>
      <c r="K632" t="s">
        <v>6019</v>
      </c>
      <c r="M632" t="s">
        <v>6020</v>
      </c>
      <c r="S632" t="s">
        <v>2541</v>
      </c>
      <c r="V632" t="s">
        <v>5650</v>
      </c>
      <c r="W632" t="s">
        <v>780</v>
      </c>
      <c r="X632" t="s">
        <v>897</v>
      </c>
      <c r="Z632" s="31"/>
      <c r="AC632">
        <v>16</v>
      </c>
      <c r="AD632" t="s">
        <v>22</v>
      </c>
      <c r="AE632" s="31">
        <v>46139</v>
      </c>
      <c r="AF632" s="61">
        <v>0.66416666666666668</v>
      </c>
      <c r="AH632" t="s">
        <v>795</v>
      </c>
      <c r="AI632" s="31">
        <v>46155</v>
      </c>
      <c r="AJ632" s="61">
        <v>0.54056712962962961</v>
      </c>
      <c r="AK632" t="s">
        <v>5657</v>
      </c>
      <c r="AO632" t="s">
        <v>31</v>
      </c>
      <c r="AR632" s="31">
        <v>46155</v>
      </c>
      <c r="AS632">
        <v>30</v>
      </c>
      <c r="AX632">
        <v>1</v>
      </c>
    </row>
    <row r="633" spans="1:50" x14ac:dyDescent="0.25">
      <c r="A633" t="s">
        <v>44</v>
      </c>
      <c r="B633">
        <v>1147</v>
      </c>
      <c r="D633">
        <v>3594</v>
      </c>
      <c r="E633" t="s">
        <v>6021</v>
      </c>
      <c r="G633" t="s">
        <v>6022</v>
      </c>
      <c r="J633" t="s">
        <v>6023</v>
      </c>
      <c r="K633" t="s">
        <v>6024</v>
      </c>
      <c r="M633" t="s">
        <v>6025</v>
      </c>
      <c r="S633" t="s">
        <v>2541</v>
      </c>
      <c r="V633" t="s">
        <v>5631</v>
      </c>
      <c r="W633" t="s">
        <v>780</v>
      </c>
      <c r="X633" t="s">
        <v>781</v>
      </c>
      <c r="Z633" s="31"/>
      <c r="AC633">
        <v>1</v>
      </c>
      <c r="AD633" t="s">
        <v>22</v>
      </c>
      <c r="AE633" s="31">
        <v>46139</v>
      </c>
      <c r="AF633" s="61">
        <v>0.66495370370370366</v>
      </c>
      <c r="AH633" t="s">
        <v>795</v>
      </c>
      <c r="AI633" s="31">
        <v>46140</v>
      </c>
      <c r="AJ633" s="61">
        <v>0.48800925925925931</v>
      </c>
      <c r="AK633" t="s">
        <v>5392</v>
      </c>
      <c r="AL633" t="s">
        <v>6026</v>
      </c>
      <c r="AO633" t="s">
        <v>44</v>
      </c>
      <c r="AR633" s="31"/>
      <c r="AS633">
        <v>30</v>
      </c>
      <c r="AX633">
        <v>1</v>
      </c>
    </row>
    <row r="634" spans="1:50" x14ac:dyDescent="0.25">
      <c r="A634" t="s">
        <v>31</v>
      </c>
      <c r="B634">
        <v>1148</v>
      </c>
      <c r="D634">
        <v>3595</v>
      </c>
      <c r="G634" t="s">
        <v>6027</v>
      </c>
      <c r="H634">
        <v>10255338000148</v>
      </c>
      <c r="J634" t="s">
        <v>6028</v>
      </c>
      <c r="K634" t="s">
        <v>6029</v>
      </c>
      <c r="M634" t="s">
        <v>6030</v>
      </c>
      <c r="S634" t="s">
        <v>2541</v>
      </c>
      <c r="V634" t="s">
        <v>5650</v>
      </c>
      <c r="W634" t="s">
        <v>780</v>
      </c>
      <c r="X634" t="s">
        <v>897</v>
      </c>
      <c r="Z634" s="31"/>
      <c r="AC634">
        <v>23</v>
      </c>
      <c r="AD634" t="s">
        <v>22</v>
      </c>
      <c r="AE634" s="31">
        <v>46139</v>
      </c>
      <c r="AF634" s="61">
        <v>0.6658680555555555</v>
      </c>
      <c r="AH634" t="s">
        <v>782</v>
      </c>
      <c r="AI634" s="31"/>
      <c r="AJ634" s="61"/>
      <c r="AO634" t="s">
        <v>31</v>
      </c>
      <c r="AR634" s="31">
        <v>46155</v>
      </c>
      <c r="AS634">
        <v>30</v>
      </c>
      <c r="AX634">
        <v>1</v>
      </c>
    </row>
    <row r="635" spans="1:50" x14ac:dyDescent="0.25">
      <c r="A635" t="s">
        <v>31</v>
      </c>
      <c r="B635">
        <v>1149</v>
      </c>
      <c r="D635">
        <v>3596</v>
      </c>
      <c r="G635" t="s">
        <v>6031</v>
      </c>
      <c r="H635">
        <v>44922087000120</v>
      </c>
      <c r="J635" t="s">
        <v>6032</v>
      </c>
      <c r="K635" t="s">
        <v>6033</v>
      </c>
      <c r="M635" t="s">
        <v>6034</v>
      </c>
      <c r="Q635" t="s">
        <v>6035</v>
      </c>
      <c r="R635" t="s">
        <v>1105</v>
      </c>
      <c r="S635" t="s">
        <v>2541</v>
      </c>
      <c r="V635" t="s">
        <v>5631</v>
      </c>
      <c r="W635" t="s">
        <v>780</v>
      </c>
      <c r="X635" t="s">
        <v>781</v>
      </c>
      <c r="Z635" s="31"/>
      <c r="AC635">
        <v>12</v>
      </c>
      <c r="AD635" t="s">
        <v>22</v>
      </c>
      <c r="AE635" s="31">
        <v>46139</v>
      </c>
      <c r="AF635" s="61">
        <v>0.66692129629629626</v>
      </c>
      <c r="AH635" t="s">
        <v>795</v>
      </c>
      <c r="AI635" s="31">
        <v>46151</v>
      </c>
      <c r="AJ635" s="61">
        <v>0.36835648148148148</v>
      </c>
      <c r="AK635" t="s">
        <v>5377</v>
      </c>
      <c r="AO635" t="s">
        <v>31</v>
      </c>
      <c r="AR635" s="31"/>
      <c r="AS635">
        <v>30</v>
      </c>
      <c r="AX635">
        <v>1</v>
      </c>
    </row>
    <row r="636" spans="1:50" x14ac:dyDescent="0.25">
      <c r="A636" t="s">
        <v>44</v>
      </c>
      <c r="B636">
        <v>1150</v>
      </c>
      <c r="D636">
        <v>3597</v>
      </c>
      <c r="E636" t="s">
        <v>6036</v>
      </c>
      <c r="G636" t="s">
        <v>6037</v>
      </c>
      <c r="J636" t="s">
        <v>6038</v>
      </c>
      <c r="K636" t="s">
        <v>6039</v>
      </c>
      <c r="M636" t="s">
        <v>6040</v>
      </c>
      <c r="Q636" t="s">
        <v>2295</v>
      </c>
      <c r="S636" t="s">
        <v>814</v>
      </c>
      <c r="V636" t="s">
        <v>1186</v>
      </c>
      <c r="W636" t="s">
        <v>780</v>
      </c>
      <c r="X636" t="s">
        <v>781</v>
      </c>
      <c r="Z636" s="31"/>
      <c r="AC636">
        <v>1</v>
      </c>
      <c r="AD636" t="s">
        <v>22</v>
      </c>
      <c r="AE636" s="31">
        <v>46139</v>
      </c>
      <c r="AF636" s="61">
        <v>0.66759259259259263</v>
      </c>
      <c r="AH636" t="s">
        <v>795</v>
      </c>
      <c r="AI636" s="31">
        <v>46140</v>
      </c>
      <c r="AJ636" s="61">
        <v>0.49149305555555561</v>
      </c>
      <c r="AK636" t="s">
        <v>5419</v>
      </c>
      <c r="AL636" t="s">
        <v>6036</v>
      </c>
      <c r="AO636" t="s">
        <v>44</v>
      </c>
      <c r="AR636" s="31"/>
      <c r="AS636">
        <v>30</v>
      </c>
      <c r="AX636">
        <v>1</v>
      </c>
    </row>
    <row r="637" spans="1:50" x14ac:dyDescent="0.25">
      <c r="A637" t="s">
        <v>44</v>
      </c>
      <c r="B637">
        <v>1151</v>
      </c>
      <c r="D637">
        <v>3602</v>
      </c>
      <c r="E637" t="s">
        <v>6041</v>
      </c>
      <c r="G637" t="s">
        <v>6042</v>
      </c>
      <c r="J637" t="s">
        <v>6043</v>
      </c>
      <c r="K637" t="s">
        <v>6044</v>
      </c>
      <c r="M637" t="s">
        <v>6045</v>
      </c>
      <c r="S637" t="s">
        <v>2541</v>
      </c>
      <c r="V637" t="s">
        <v>5631</v>
      </c>
      <c r="W637" t="s">
        <v>780</v>
      </c>
      <c r="X637" t="s">
        <v>781</v>
      </c>
      <c r="Z637" s="31"/>
      <c r="AC637">
        <v>1</v>
      </c>
      <c r="AD637" t="s">
        <v>22</v>
      </c>
      <c r="AE637" s="31">
        <v>46139</v>
      </c>
      <c r="AF637" s="61">
        <v>0.6680787037037037</v>
      </c>
      <c r="AH637" t="s">
        <v>795</v>
      </c>
      <c r="AI637" s="31">
        <v>46140</v>
      </c>
      <c r="AJ637" s="61">
        <v>0.47354166666666669</v>
      </c>
      <c r="AK637" t="s">
        <v>5392</v>
      </c>
      <c r="AL637" t="s">
        <v>6046</v>
      </c>
      <c r="AO637" t="s">
        <v>44</v>
      </c>
      <c r="AR637" s="31"/>
      <c r="AS637">
        <v>30</v>
      </c>
      <c r="AX637">
        <v>1</v>
      </c>
    </row>
    <row r="638" spans="1:50" x14ac:dyDescent="0.25">
      <c r="A638" t="s">
        <v>31</v>
      </c>
      <c r="B638">
        <v>1152</v>
      </c>
      <c r="D638">
        <v>3608</v>
      </c>
      <c r="G638" t="s">
        <v>6047</v>
      </c>
      <c r="H638">
        <v>9073191000196</v>
      </c>
      <c r="J638" t="s">
        <v>6048</v>
      </c>
      <c r="K638" t="s">
        <v>6049</v>
      </c>
      <c r="M638" t="s">
        <v>6050</v>
      </c>
      <c r="R638" t="s">
        <v>6051</v>
      </c>
      <c r="S638" t="s">
        <v>1191</v>
      </c>
      <c r="V638" t="s">
        <v>5650</v>
      </c>
      <c r="W638" t="s">
        <v>780</v>
      </c>
      <c r="X638" t="s">
        <v>897</v>
      </c>
      <c r="Z638" s="31"/>
      <c r="AC638">
        <v>21</v>
      </c>
      <c r="AD638" t="s">
        <v>22</v>
      </c>
      <c r="AE638" s="31">
        <v>46141</v>
      </c>
      <c r="AF638" s="61">
        <v>0.31112268518518521</v>
      </c>
      <c r="AH638" t="s">
        <v>782</v>
      </c>
      <c r="AI638" s="31"/>
      <c r="AJ638" s="61"/>
      <c r="AO638" t="s">
        <v>31</v>
      </c>
      <c r="AR638" s="31">
        <v>46155</v>
      </c>
      <c r="AS638">
        <v>30</v>
      </c>
      <c r="AX638">
        <v>1</v>
      </c>
    </row>
    <row r="639" spans="1:50" x14ac:dyDescent="0.25">
      <c r="A639" t="s">
        <v>44</v>
      </c>
      <c r="B639">
        <v>1153</v>
      </c>
      <c r="D639">
        <v>3609</v>
      </c>
      <c r="G639" t="s">
        <v>6052</v>
      </c>
      <c r="J639" t="s">
        <v>6053</v>
      </c>
      <c r="K639" t="s">
        <v>6054</v>
      </c>
      <c r="M639" t="s">
        <v>6055</v>
      </c>
      <c r="S639" t="s">
        <v>2541</v>
      </c>
      <c r="V639" t="s">
        <v>5650</v>
      </c>
      <c r="W639" t="s">
        <v>780</v>
      </c>
      <c r="X639" t="s">
        <v>897</v>
      </c>
      <c r="Z639" s="31"/>
      <c r="AC639">
        <v>21</v>
      </c>
      <c r="AD639" t="s">
        <v>22</v>
      </c>
      <c r="AE639" s="31">
        <v>46141</v>
      </c>
      <c r="AF639" s="61">
        <v>0.3119675925925926</v>
      </c>
      <c r="AH639" t="s">
        <v>782</v>
      </c>
      <c r="AI639" s="31"/>
      <c r="AJ639" s="61"/>
      <c r="AO639" t="s">
        <v>44</v>
      </c>
      <c r="AR639" s="31">
        <v>46148</v>
      </c>
      <c r="AS639">
        <v>30</v>
      </c>
      <c r="AX639">
        <v>1</v>
      </c>
    </row>
    <row r="640" spans="1:50" x14ac:dyDescent="0.25">
      <c r="A640" t="s">
        <v>31</v>
      </c>
      <c r="B640">
        <v>1154</v>
      </c>
      <c r="D640">
        <v>3610</v>
      </c>
      <c r="G640" t="s">
        <v>6056</v>
      </c>
      <c r="H640">
        <v>8051809000154</v>
      </c>
      <c r="J640" t="s">
        <v>6057</v>
      </c>
      <c r="K640" t="s">
        <v>6058</v>
      </c>
      <c r="M640" t="s">
        <v>6059</v>
      </c>
      <c r="S640" t="s">
        <v>2541</v>
      </c>
      <c r="V640" t="s">
        <v>5650</v>
      </c>
      <c r="W640" t="s">
        <v>780</v>
      </c>
      <c r="X640" t="s">
        <v>897</v>
      </c>
      <c r="Z640" s="31"/>
      <c r="AC640">
        <v>14</v>
      </c>
      <c r="AD640" t="s">
        <v>22</v>
      </c>
      <c r="AE640" s="31">
        <v>46141</v>
      </c>
      <c r="AF640" s="61">
        <v>0.31270833333333331</v>
      </c>
      <c r="AH640" t="s">
        <v>795</v>
      </c>
      <c r="AI640" s="31">
        <v>46155</v>
      </c>
      <c r="AJ640" s="61">
        <v>0.53164351851851854</v>
      </c>
      <c r="AK640" t="s">
        <v>5657</v>
      </c>
      <c r="AO640" t="s">
        <v>31</v>
      </c>
      <c r="AR640" s="31">
        <v>46146</v>
      </c>
      <c r="AS640">
        <v>30</v>
      </c>
      <c r="AX640">
        <v>1</v>
      </c>
    </row>
    <row r="641" spans="1:50" x14ac:dyDescent="0.25">
      <c r="A641" t="s">
        <v>44</v>
      </c>
      <c r="B641">
        <v>1155</v>
      </c>
      <c r="D641">
        <v>3611</v>
      </c>
      <c r="E641" t="s">
        <v>6060</v>
      </c>
      <c r="G641" t="s">
        <v>6061</v>
      </c>
      <c r="H641">
        <v>8962163000167</v>
      </c>
      <c r="J641" t="s">
        <v>6062</v>
      </c>
      <c r="K641" t="s">
        <v>6063</v>
      </c>
      <c r="M641" t="s">
        <v>6064</v>
      </c>
      <c r="R641" t="s">
        <v>6065</v>
      </c>
      <c r="S641" t="s">
        <v>1191</v>
      </c>
      <c r="V641" t="s">
        <v>5650</v>
      </c>
      <c r="W641" t="s">
        <v>780</v>
      </c>
      <c r="X641" t="s">
        <v>897</v>
      </c>
      <c r="Z641" s="31"/>
      <c r="AC641">
        <v>21</v>
      </c>
      <c r="AD641" t="s">
        <v>22</v>
      </c>
      <c r="AE641" s="31">
        <v>46141</v>
      </c>
      <c r="AF641" s="61">
        <v>0.31332175925925931</v>
      </c>
      <c r="AH641" t="s">
        <v>782</v>
      </c>
      <c r="AI641" s="31"/>
      <c r="AJ641" s="61"/>
      <c r="AO641" t="s">
        <v>44</v>
      </c>
      <c r="AR641" s="31">
        <v>46146</v>
      </c>
      <c r="AS641">
        <v>30</v>
      </c>
      <c r="AX641">
        <v>1</v>
      </c>
    </row>
    <row r="642" spans="1:50" x14ac:dyDescent="0.25">
      <c r="A642" t="s">
        <v>31</v>
      </c>
      <c r="B642">
        <v>1156</v>
      </c>
      <c r="D642">
        <v>3612</v>
      </c>
      <c r="G642" t="s">
        <v>6066</v>
      </c>
      <c r="H642">
        <v>11513572000190</v>
      </c>
      <c r="J642" t="s">
        <v>6067</v>
      </c>
      <c r="K642" t="s">
        <v>6068</v>
      </c>
      <c r="M642" t="s">
        <v>6069</v>
      </c>
      <c r="R642" t="s">
        <v>6070</v>
      </c>
      <c r="S642" t="s">
        <v>1191</v>
      </c>
      <c r="V642" t="s">
        <v>5650</v>
      </c>
      <c r="W642" t="s">
        <v>780</v>
      </c>
      <c r="X642" t="s">
        <v>897</v>
      </c>
      <c r="Z642" s="31">
        <v>46155</v>
      </c>
      <c r="AC642">
        <v>14</v>
      </c>
      <c r="AD642" t="s">
        <v>22</v>
      </c>
      <c r="AE642" s="31">
        <v>46141</v>
      </c>
      <c r="AF642" s="61">
        <v>0.31395833333333328</v>
      </c>
      <c r="AH642" t="s">
        <v>795</v>
      </c>
      <c r="AI642" s="31">
        <v>46155</v>
      </c>
      <c r="AJ642" s="61">
        <v>0.52981481481481485</v>
      </c>
      <c r="AK642" t="s">
        <v>5657</v>
      </c>
      <c r="AO642" t="s">
        <v>31</v>
      </c>
      <c r="AR642" s="31">
        <v>46146</v>
      </c>
      <c r="AS642">
        <v>30</v>
      </c>
      <c r="AX642">
        <v>1</v>
      </c>
    </row>
    <row r="643" spans="1:50" x14ac:dyDescent="0.25">
      <c r="A643" t="s">
        <v>44</v>
      </c>
      <c r="B643">
        <v>1159</v>
      </c>
      <c r="D643">
        <v>3692</v>
      </c>
      <c r="G643" t="s">
        <v>253</v>
      </c>
      <c r="J643" t="s">
        <v>6071</v>
      </c>
      <c r="K643" t="s">
        <v>1579</v>
      </c>
      <c r="M643" t="s">
        <v>1580</v>
      </c>
      <c r="W643" t="s">
        <v>780</v>
      </c>
      <c r="X643" t="s">
        <v>816</v>
      </c>
      <c r="Z643" s="31"/>
      <c r="AA643">
        <v>1485378</v>
      </c>
      <c r="AB643">
        <v>0</v>
      </c>
      <c r="AC643">
        <v>14</v>
      </c>
      <c r="AD643" t="s">
        <v>44</v>
      </c>
      <c r="AE643" s="31">
        <v>46142</v>
      </c>
      <c r="AF643" s="61">
        <v>0.60206018518518523</v>
      </c>
      <c r="AH643" t="s">
        <v>818</v>
      </c>
      <c r="AI643" s="31">
        <v>46156</v>
      </c>
      <c r="AJ643" s="61">
        <v>0.38688657407407412</v>
      </c>
      <c r="AN643" t="s">
        <v>6072</v>
      </c>
      <c r="AR643" s="31">
        <v>46156</v>
      </c>
      <c r="AS643">
        <v>90</v>
      </c>
      <c r="AX643">
        <v>1</v>
      </c>
    </row>
    <row r="644" spans="1:50" x14ac:dyDescent="0.25">
      <c r="A644" t="s">
        <v>44</v>
      </c>
      <c r="B644">
        <v>1160</v>
      </c>
      <c r="D644">
        <v>3693</v>
      </c>
      <c r="E644" t="s">
        <v>6073</v>
      </c>
      <c r="G644" t="s">
        <v>235</v>
      </c>
      <c r="J644" t="s">
        <v>6074</v>
      </c>
      <c r="K644" t="s">
        <v>1549</v>
      </c>
      <c r="M644" t="s">
        <v>1111</v>
      </c>
      <c r="W644" t="s">
        <v>780</v>
      </c>
      <c r="X644" t="s">
        <v>807</v>
      </c>
      <c r="Z644" s="31"/>
      <c r="AA644">
        <v>4240</v>
      </c>
      <c r="AB644">
        <v>7128</v>
      </c>
      <c r="AC644">
        <v>20</v>
      </c>
      <c r="AD644" t="s">
        <v>44</v>
      </c>
      <c r="AE644" s="31">
        <v>46142</v>
      </c>
      <c r="AF644" s="61">
        <v>0.60834490740740743</v>
      </c>
      <c r="AH644" t="s">
        <v>782</v>
      </c>
      <c r="AI644" s="31"/>
      <c r="AJ644" s="61"/>
      <c r="AN644" t="s">
        <v>6075</v>
      </c>
      <c r="AP644" t="s">
        <v>5999</v>
      </c>
      <c r="AR644" s="31">
        <v>46160</v>
      </c>
      <c r="AS644">
        <v>50</v>
      </c>
      <c r="AX644">
        <v>1</v>
      </c>
    </row>
    <row r="645" spans="1:50" x14ac:dyDescent="0.25">
      <c r="A645" t="s">
        <v>44</v>
      </c>
      <c r="B645">
        <v>1161</v>
      </c>
      <c r="D645">
        <v>3694</v>
      </c>
      <c r="G645" t="s">
        <v>442</v>
      </c>
      <c r="J645" t="s">
        <v>6076</v>
      </c>
      <c r="K645" t="s">
        <v>5887</v>
      </c>
      <c r="M645" t="s">
        <v>5334</v>
      </c>
      <c r="W645" t="s">
        <v>780</v>
      </c>
      <c r="X645" t="s">
        <v>807</v>
      </c>
      <c r="Z645" s="31"/>
      <c r="AA645">
        <v>6000</v>
      </c>
      <c r="AB645">
        <v>2000</v>
      </c>
      <c r="AC645">
        <v>0</v>
      </c>
      <c r="AD645" t="s">
        <v>44</v>
      </c>
      <c r="AE645" s="31">
        <v>46142</v>
      </c>
      <c r="AF645" s="61">
        <v>0.62430555555555556</v>
      </c>
      <c r="AH645" t="s">
        <v>795</v>
      </c>
      <c r="AI645" s="31">
        <v>46142</v>
      </c>
      <c r="AJ645" s="61">
        <v>0.65401620370370372</v>
      </c>
      <c r="AK645" t="s">
        <v>934</v>
      </c>
      <c r="AL645" t="s">
        <v>5886</v>
      </c>
      <c r="AN645" t="s">
        <v>4698</v>
      </c>
      <c r="AP645" t="s">
        <v>4698</v>
      </c>
      <c r="AR645" s="31"/>
      <c r="AS645">
        <v>50</v>
      </c>
      <c r="AX645">
        <v>1</v>
      </c>
    </row>
    <row r="646" spans="1:50" x14ac:dyDescent="0.25">
      <c r="A646" t="s">
        <v>44</v>
      </c>
      <c r="B646">
        <v>1162</v>
      </c>
      <c r="D646">
        <v>3637</v>
      </c>
      <c r="E646" t="s">
        <v>6077</v>
      </c>
      <c r="G646" t="s">
        <v>6078</v>
      </c>
      <c r="J646" t="s">
        <v>6079</v>
      </c>
      <c r="M646" t="s">
        <v>6080</v>
      </c>
      <c r="Q646" t="s">
        <v>6081</v>
      </c>
      <c r="S646" t="s">
        <v>1191</v>
      </c>
      <c r="V646" t="s">
        <v>6082</v>
      </c>
      <c r="W646" t="s">
        <v>780</v>
      </c>
      <c r="X646" t="s">
        <v>781</v>
      </c>
      <c r="Z646" s="31"/>
      <c r="AC646">
        <v>0</v>
      </c>
      <c r="AD646" t="s">
        <v>22</v>
      </c>
      <c r="AE646" s="31">
        <v>46146</v>
      </c>
      <c r="AF646" s="61">
        <v>0.33834490740740741</v>
      </c>
      <c r="AH646" t="s">
        <v>795</v>
      </c>
      <c r="AI646" s="31">
        <v>46146</v>
      </c>
      <c r="AJ646" s="61">
        <v>0.39653935185185191</v>
      </c>
      <c r="AK646" t="s">
        <v>5392</v>
      </c>
      <c r="AL646" t="s">
        <v>6083</v>
      </c>
      <c r="AO646" t="s">
        <v>44</v>
      </c>
      <c r="AR646" s="31"/>
      <c r="AS646">
        <v>30</v>
      </c>
      <c r="AX646">
        <v>1</v>
      </c>
    </row>
    <row r="647" spans="1:50" x14ac:dyDescent="0.25">
      <c r="A647" t="s">
        <v>142</v>
      </c>
      <c r="B647">
        <v>1163</v>
      </c>
      <c r="D647">
        <v>3638</v>
      </c>
      <c r="E647" t="s">
        <v>6084</v>
      </c>
      <c r="G647" t="s">
        <v>6085</v>
      </c>
      <c r="H647">
        <v>42263870000101</v>
      </c>
      <c r="J647" t="s">
        <v>6085</v>
      </c>
      <c r="K647" t="s">
        <v>6086</v>
      </c>
      <c r="M647" t="s">
        <v>6087</v>
      </c>
      <c r="Q647" t="s">
        <v>2080</v>
      </c>
      <c r="R647" t="s">
        <v>956</v>
      </c>
      <c r="S647" t="s">
        <v>2541</v>
      </c>
      <c r="V647" t="s">
        <v>5650</v>
      </c>
      <c r="W647" t="s">
        <v>780</v>
      </c>
      <c r="X647" t="s">
        <v>897</v>
      </c>
      <c r="Z647" s="31"/>
      <c r="AC647">
        <v>16</v>
      </c>
      <c r="AD647" t="s">
        <v>22</v>
      </c>
      <c r="AE647" s="31">
        <v>46146</v>
      </c>
      <c r="AF647" s="61">
        <v>0.34042824074074068</v>
      </c>
      <c r="AH647" t="s">
        <v>782</v>
      </c>
      <c r="AI647" s="31"/>
      <c r="AJ647" s="61"/>
      <c r="AO647" t="s">
        <v>142</v>
      </c>
      <c r="AR647" s="31"/>
      <c r="AS647">
        <v>30</v>
      </c>
      <c r="AU647" t="s">
        <v>3142</v>
      </c>
      <c r="AX647">
        <v>1</v>
      </c>
    </row>
    <row r="648" spans="1:50" x14ac:dyDescent="0.25">
      <c r="A648" t="s">
        <v>31</v>
      </c>
      <c r="B648">
        <v>1164</v>
      </c>
      <c r="D648">
        <v>3695</v>
      </c>
      <c r="G648" t="s">
        <v>6088</v>
      </c>
      <c r="H648">
        <v>64508464000196</v>
      </c>
      <c r="J648" t="s">
        <v>6089</v>
      </c>
      <c r="K648" t="s">
        <v>6090</v>
      </c>
      <c r="M648" t="s">
        <v>6091</v>
      </c>
      <c r="Q648" t="s">
        <v>6092</v>
      </c>
      <c r="R648" t="s">
        <v>1699</v>
      </c>
      <c r="S648" t="s">
        <v>2541</v>
      </c>
      <c r="V648" t="s">
        <v>5631</v>
      </c>
      <c r="W648" t="s">
        <v>780</v>
      </c>
      <c r="X648" t="s">
        <v>897</v>
      </c>
      <c r="Z648" s="31"/>
      <c r="AC648">
        <v>4</v>
      </c>
      <c r="AD648" t="s">
        <v>22</v>
      </c>
      <c r="AE648" s="31">
        <v>46146</v>
      </c>
      <c r="AF648" s="61">
        <v>0.34131944444444451</v>
      </c>
      <c r="AH648" t="s">
        <v>795</v>
      </c>
      <c r="AI648" s="31">
        <v>46150</v>
      </c>
      <c r="AJ648" s="61">
        <v>0.43851851851851847</v>
      </c>
      <c r="AK648" t="s">
        <v>5392</v>
      </c>
      <c r="AO648" t="s">
        <v>31</v>
      </c>
      <c r="AR648" s="31">
        <v>46150</v>
      </c>
      <c r="AS648">
        <v>31</v>
      </c>
      <c r="AX648">
        <v>1</v>
      </c>
    </row>
    <row r="649" spans="1:50" x14ac:dyDescent="0.25">
      <c r="A649" t="s">
        <v>44</v>
      </c>
      <c r="B649">
        <v>1165</v>
      </c>
      <c r="D649">
        <v>3698</v>
      </c>
      <c r="G649" t="s">
        <v>6093</v>
      </c>
      <c r="H649">
        <v>15725079000195</v>
      </c>
      <c r="J649" t="s">
        <v>6094</v>
      </c>
      <c r="K649" t="s">
        <v>6095</v>
      </c>
      <c r="M649" t="s">
        <v>6096</v>
      </c>
      <c r="S649" t="s">
        <v>2541</v>
      </c>
      <c r="V649" t="s">
        <v>5650</v>
      </c>
      <c r="W649" t="s">
        <v>780</v>
      </c>
      <c r="X649" t="s">
        <v>897</v>
      </c>
      <c r="Z649" s="31"/>
      <c r="AC649">
        <v>10</v>
      </c>
      <c r="AD649" t="s">
        <v>22</v>
      </c>
      <c r="AE649" s="31">
        <v>46146</v>
      </c>
      <c r="AF649" s="61">
        <v>0.34255787037037039</v>
      </c>
      <c r="AH649" t="s">
        <v>795</v>
      </c>
      <c r="AI649" s="31">
        <v>46156</v>
      </c>
      <c r="AJ649" s="61">
        <v>0.48023148148148148</v>
      </c>
      <c r="AK649" t="s">
        <v>5657</v>
      </c>
      <c r="AL649" t="s">
        <v>6097</v>
      </c>
      <c r="AO649" t="s">
        <v>44</v>
      </c>
      <c r="AR649" s="31">
        <v>46156</v>
      </c>
      <c r="AS649">
        <v>28</v>
      </c>
      <c r="AX649">
        <v>1</v>
      </c>
    </row>
    <row r="650" spans="1:50" x14ac:dyDescent="0.25">
      <c r="A650" t="s">
        <v>142</v>
      </c>
      <c r="B650">
        <v>1166</v>
      </c>
      <c r="D650">
        <v>3699</v>
      </c>
      <c r="E650" t="s">
        <v>6098</v>
      </c>
      <c r="G650" t="s">
        <v>6099</v>
      </c>
      <c r="J650" t="s">
        <v>6100</v>
      </c>
      <c r="K650" t="s">
        <v>6101</v>
      </c>
      <c r="M650" t="s">
        <v>6102</v>
      </c>
      <c r="S650" t="s">
        <v>2541</v>
      </c>
      <c r="V650" t="s">
        <v>5650</v>
      </c>
      <c r="W650" t="s">
        <v>780</v>
      </c>
      <c r="X650" t="s">
        <v>897</v>
      </c>
      <c r="Z650" s="31"/>
      <c r="AC650">
        <v>16</v>
      </c>
      <c r="AD650" t="s">
        <v>22</v>
      </c>
      <c r="AE650" s="31">
        <v>46146</v>
      </c>
      <c r="AF650" s="61">
        <v>0.34332175925925928</v>
      </c>
      <c r="AH650" t="s">
        <v>782</v>
      </c>
      <c r="AI650" s="31"/>
      <c r="AJ650" s="61"/>
      <c r="AO650" t="s">
        <v>142</v>
      </c>
      <c r="AR650" s="31">
        <v>46153</v>
      </c>
      <c r="AS650">
        <v>30</v>
      </c>
      <c r="AX650">
        <v>1</v>
      </c>
    </row>
    <row r="651" spans="1:50" x14ac:dyDescent="0.25">
      <c r="A651" t="s">
        <v>31</v>
      </c>
      <c r="B651">
        <v>1167</v>
      </c>
      <c r="D651">
        <v>3700</v>
      </c>
      <c r="G651" t="s">
        <v>6103</v>
      </c>
      <c r="J651" t="s">
        <v>6104</v>
      </c>
      <c r="K651" t="s">
        <v>6105</v>
      </c>
      <c r="M651" t="s">
        <v>6106</v>
      </c>
      <c r="S651" t="s">
        <v>2541</v>
      </c>
      <c r="V651" t="s">
        <v>5631</v>
      </c>
      <c r="W651" t="s">
        <v>780</v>
      </c>
      <c r="X651" t="s">
        <v>897</v>
      </c>
      <c r="Z651" s="31"/>
      <c r="AC651">
        <v>4</v>
      </c>
      <c r="AD651" t="s">
        <v>22</v>
      </c>
      <c r="AE651" s="31">
        <v>46146</v>
      </c>
      <c r="AF651" s="61">
        <v>0.34416666666666668</v>
      </c>
      <c r="AH651" t="s">
        <v>795</v>
      </c>
      <c r="AI651" s="31">
        <v>46150</v>
      </c>
      <c r="AJ651" s="61">
        <v>0.43725694444444452</v>
      </c>
      <c r="AK651" t="s">
        <v>5392</v>
      </c>
      <c r="AO651" t="s">
        <v>31</v>
      </c>
      <c r="AR651" s="31">
        <v>46150</v>
      </c>
      <c r="AS651">
        <v>30</v>
      </c>
      <c r="AX651">
        <v>1</v>
      </c>
    </row>
    <row r="652" spans="1:50" x14ac:dyDescent="0.25">
      <c r="A652" t="s">
        <v>31</v>
      </c>
      <c r="B652">
        <v>1168</v>
      </c>
      <c r="D652">
        <v>3701</v>
      </c>
      <c r="G652" t="s">
        <v>6107</v>
      </c>
      <c r="J652" t="s">
        <v>6108</v>
      </c>
      <c r="K652" t="s">
        <v>6109</v>
      </c>
      <c r="M652" t="s">
        <v>6110</v>
      </c>
      <c r="S652" t="s">
        <v>2541</v>
      </c>
      <c r="V652" t="s">
        <v>5650</v>
      </c>
      <c r="W652" t="s">
        <v>780</v>
      </c>
      <c r="X652" t="s">
        <v>781</v>
      </c>
      <c r="Z652" s="31"/>
      <c r="AC652">
        <v>5</v>
      </c>
      <c r="AD652" t="s">
        <v>22</v>
      </c>
      <c r="AE652" s="31">
        <v>46146</v>
      </c>
      <c r="AF652" s="61">
        <v>0.34478009259259262</v>
      </c>
      <c r="AH652" t="s">
        <v>795</v>
      </c>
      <c r="AI652" s="31">
        <v>46151</v>
      </c>
      <c r="AJ652" s="61">
        <v>0.36596064814814822</v>
      </c>
      <c r="AK652" t="s">
        <v>6111</v>
      </c>
      <c r="AO652" t="s">
        <v>31</v>
      </c>
      <c r="AR652" s="31"/>
      <c r="AS652">
        <v>30</v>
      </c>
      <c r="AX652">
        <v>1</v>
      </c>
    </row>
    <row r="653" spans="1:50" x14ac:dyDescent="0.25">
      <c r="A653" t="s">
        <v>44</v>
      </c>
      <c r="B653">
        <v>1169</v>
      </c>
      <c r="D653">
        <v>3702</v>
      </c>
      <c r="E653" t="s">
        <v>6112</v>
      </c>
      <c r="G653" t="s">
        <v>6113</v>
      </c>
      <c r="H653">
        <v>29795322000156</v>
      </c>
      <c r="J653" t="s">
        <v>6114</v>
      </c>
      <c r="K653" t="s">
        <v>6115</v>
      </c>
      <c r="M653" t="s">
        <v>6116</v>
      </c>
      <c r="Q653" t="s">
        <v>1094</v>
      </c>
      <c r="R653" t="s">
        <v>790</v>
      </c>
      <c r="S653" t="s">
        <v>2541</v>
      </c>
      <c r="V653" t="s">
        <v>5650</v>
      </c>
      <c r="W653" t="s">
        <v>780</v>
      </c>
      <c r="X653" t="s">
        <v>897</v>
      </c>
      <c r="Z653" s="31"/>
      <c r="AC653">
        <v>11</v>
      </c>
      <c r="AD653" t="s">
        <v>22</v>
      </c>
      <c r="AE653" s="31">
        <v>46146</v>
      </c>
      <c r="AF653" s="61">
        <v>0.34650462962962958</v>
      </c>
      <c r="AH653" t="s">
        <v>795</v>
      </c>
      <c r="AI653" s="31">
        <v>46157</v>
      </c>
      <c r="AJ653" s="61">
        <v>0.68731481481481482</v>
      </c>
      <c r="AK653" t="s">
        <v>5657</v>
      </c>
      <c r="AL653" t="s">
        <v>6117</v>
      </c>
      <c r="AO653" t="s">
        <v>44</v>
      </c>
      <c r="AR653" s="31">
        <v>46157</v>
      </c>
      <c r="AS653">
        <v>31</v>
      </c>
      <c r="AX653">
        <v>1</v>
      </c>
    </row>
    <row r="654" spans="1:50" x14ac:dyDescent="0.25">
      <c r="A654" t="s">
        <v>44</v>
      </c>
      <c r="B654">
        <v>1170</v>
      </c>
      <c r="D654">
        <v>3704</v>
      </c>
      <c r="E654" t="s">
        <v>6118</v>
      </c>
      <c r="G654" t="s">
        <v>6119</v>
      </c>
      <c r="J654" t="s">
        <v>6120</v>
      </c>
      <c r="K654" t="s">
        <v>6121</v>
      </c>
      <c r="M654" t="s">
        <v>6122</v>
      </c>
      <c r="Q654" t="s">
        <v>923</v>
      </c>
      <c r="S654" t="s">
        <v>814</v>
      </c>
      <c r="V654" t="s">
        <v>5655</v>
      </c>
      <c r="W654" t="s">
        <v>780</v>
      </c>
      <c r="X654" t="s">
        <v>897</v>
      </c>
      <c r="Z654" s="31"/>
      <c r="AC654">
        <v>11</v>
      </c>
      <c r="AD654" t="s">
        <v>22</v>
      </c>
      <c r="AE654" s="31">
        <v>46146</v>
      </c>
      <c r="AF654" s="61">
        <v>0.34758101851851853</v>
      </c>
      <c r="AH654" t="s">
        <v>795</v>
      </c>
      <c r="AI654" s="31">
        <v>46157</v>
      </c>
      <c r="AJ654" s="61">
        <v>0.68228009259259259</v>
      </c>
      <c r="AK654" t="s">
        <v>934</v>
      </c>
      <c r="AL654" t="s">
        <v>6123</v>
      </c>
      <c r="AO654" t="s">
        <v>44</v>
      </c>
      <c r="AR654" s="31">
        <v>46157</v>
      </c>
      <c r="AS654">
        <v>30</v>
      </c>
      <c r="AX654">
        <v>1</v>
      </c>
    </row>
    <row r="655" spans="1:50" x14ac:dyDescent="0.25">
      <c r="A655" t="s">
        <v>142</v>
      </c>
      <c r="B655">
        <v>1171</v>
      </c>
      <c r="D655">
        <v>3705</v>
      </c>
      <c r="E655" t="s">
        <v>6124</v>
      </c>
      <c r="G655" t="s">
        <v>6125</v>
      </c>
      <c r="J655" t="s">
        <v>6126</v>
      </c>
      <c r="K655" t="s">
        <v>6127</v>
      </c>
      <c r="M655" t="s">
        <v>6128</v>
      </c>
      <c r="S655" t="s">
        <v>2541</v>
      </c>
      <c r="V655" t="s">
        <v>5650</v>
      </c>
      <c r="W655" t="s">
        <v>780</v>
      </c>
      <c r="X655" t="s">
        <v>897</v>
      </c>
      <c r="Z655" s="31"/>
      <c r="AC655">
        <v>14</v>
      </c>
      <c r="AD655" t="s">
        <v>22</v>
      </c>
      <c r="AE655" s="31">
        <v>46146</v>
      </c>
      <c r="AF655" s="61">
        <v>0.34806712962962971</v>
      </c>
      <c r="AH655" t="s">
        <v>795</v>
      </c>
      <c r="AI655" s="31">
        <v>46160</v>
      </c>
      <c r="AJ655" s="61">
        <v>0.3971527777777778</v>
      </c>
      <c r="AK655" t="s">
        <v>5657</v>
      </c>
      <c r="AL655" t="s">
        <v>6129</v>
      </c>
      <c r="AO655" t="s">
        <v>142</v>
      </c>
      <c r="AR655" s="31">
        <v>46153</v>
      </c>
      <c r="AS655">
        <v>30</v>
      </c>
      <c r="AX655">
        <v>1</v>
      </c>
    </row>
    <row r="656" spans="1:50" x14ac:dyDescent="0.25">
      <c r="A656" t="s">
        <v>142</v>
      </c>
      <c r="B656">
        <v>1172</v>
      </c>
      <c r="D656">
        <v>3706</v>
      </c>
      <c r="E656" t="s">
        <v>6130</v>
      </c>
      <c r="G656" t="s">
        <v>6131</v>
      </c>
      <c r="H656">
        <v>32268865000391</v>
      </c>
      <c r="J656" t="s">
        <v>6132</v>
      </c>
      <c r="K656" t="s">
        <v>6133</v>
      </c>
      <c r="M656" t="s">
        <v>6134</v>
      </c>
      <c r="S656" t="s">
        <v>2541</v>
      </c>
      <c r="V656" t="s">
        <v>5650</v>
      </c>
      <c r="W656" t="s">
        <v>780</v>
      </c>
      <c r="X656" t="s">
        <v>897</v>
      </c>
      <c r="Z656" s="31"/>
      <c r="AC656">
        <v>16</v>
      </c>
      <c r="AD656" t="s">
        <v>22</v>
      </c>
      <c r="AE656" s="31">
        <v>46146</v>
      </c>
      <c r="AF656" s="61">
        <v>0.34863425925925928</v>
      </c>
      <c r="AH656" t="s">
        <v>782</v>
      </c>
      <c r="AI656" s="31"/>
      <c r="AJ656" s="61"/>
      <c r="AO656" t="s">
        <v>142</v>
      </c>
      <c r="AR656" s="31">
        <v>46153</v>
      </c>
      <c r="AS656">
        <v>30</v>
      </c>
      <c r="AX656">
        <v>1</v>
      </c>
    </row>
    <row r="657" spans="1:50" x14ac:dyDescent="0.25">
      <c r="A657" t="s">
        <v>44</v>
      </c>
      <c r="B657">
        <v>1173</v>
      </c>
      <c r="D657">
        <v>3707</v>
      </c>
      <c r="E657" t="s">
        <v>6135</v>
      </c>
      <c r="G657" t="s">
        <v>6136</v>
      </c>
      <c r="H657">
        <v>1784943000115</v>
      </c>
      <c r="J657" t="s">
        <v>6137</v>
      </c>
      <c r="K657" t="s">
        <v>6138</v>
      </c>
      <c r="M657" t="s">
        <v>6139</v>
      </c>
      <c r="R657" t="s">
        <v>2390</v>
      </c>
      <c r="S657" t="s">
        <v>1191</v>
      </c>
      <c r="V657" t="s">
        <v>5650</v>
      </c>
      <c r="W657" t="s">
        <v>780</v>
      </c>
      <c r="X657" t="s">
        <v>897</v>
      </c>
      <c r="Z657" s="31"/>
      <c r="AC657">
        <v>16</v>
      </c>
      <c r="AD657" t="s">
        <v>22</v>
      </c>
      <c r="AE657" s="31">
        <v>46146</v>
      </c>
      <c r="AF657" s="61">
        <v>0.34932870370370372</v>
      </c>
      <c r="AH657" t="s">
        <v>782</v>
      </c>
      <c r="AI657" s="31"/>
      <c r="AJ657" s="61"/>
      <c r="AO657" t="s">
        <v>44</v>
      </c>
      <c r="AR657" s="31">
        <v>46157</v>
      </c>
      <c r="AS657">
        <v>30</v>
      </c>
      <c r="AX657">
        <v>1</v>
      </c>
    </row>
    <row r="658" spans="1:50" x14ac:dyDescent="0.25">
      <c r="A658" t="s">
        <v>142</v>
      </c>
      <c r="B658">
        <v>1174</v>
      </c>
      <c r="D658">
        <v>3708</v>
      </c>
      <c r="E658" t="s">
        <v>6140</v>
      </c>
      <c r="G658" t="s">
        <v>6141</v>
      </c>
      <c r="H658">
        <v>10667844000144</v>
      </c>
      <c r="J658" t="s">
        <v>6142</v>
      </c>
      <c r="K658" t="s">
        <v>6143</v>
      </c>
      <c r="M658" t="s">
        <v>6144</v>
      </c>
      <c r="S658" t="s">
        <v>2541</v>
      </c>
      <c r="V658" t="s">
        <v>5650</v>
      </c>
      <c r="W658" t="s">
        <v>780</v>
      </c>
      <c r="X658" t="s">
        <v>897</v>
      </c>
      <c r="Z658" s="31"/>
      <c r="AC658">
        <v>16</v>
      </c>
      <c r="AD658" t="s">
        <v>22</v>
      </c>
      <c r="AE658" s="31">
        <v>46146</v>
      </c>
      <c r="AF658" s="61">
        <v>0.34989583333333341</v>
      </c>
      <c r="AH658" t="s">
        <v>782</v>
      </c>
      <c r="AI658" s="31"/>
      <c r="AJ658" s="61"/>
      <c r="AO658" t="s">
        <v>142</v>
      </c>
      <c r="AR658" s="31">
        <v>46153</v>
      </c>
      <c r="AS658">
        <v>30</v>
      </c>
      <c r="AX658">
        <v>1</v>
      </c>
    </row>
    <row r="659" spans="1:50" x14ac:dyDescent="0.25">
      <c r="A659" t="s">
        <v>142</v>
      </c>
      <c r="B659">
        <v>1175</v>
      </c>
      <c r="C659">
        <v>213</v>
      </c>
      <c r="D659">
        <v>3714</v>
      </c>
      <c r="E659" t="s">
        <v>6145</v>
      </c>
      <c r="G659" t="s">
        <v>6146</v>
      </c>
      <c r="H659">
        <v>3670607000177</v>
      </c>
      <c r="I659" t="s">
        <v>6147</v>
      </c>
      <c r="J659" t="s">
        <v>6148</v>
      </c>
      <c r="K659" t="s">
        <v>6149</v>
      </c>
      <c r="L659" t="s">
        <v>6150</v>
      </c>
      <c r="M659" t="s">
        <v>6151</v>
      </c>
      <c r="N659" t="s">
        <v>1102</v>
      </c>
      <c r="P659" t="s">
        <v>6152</v>
      </c>
      <c r="Q659" t="s">
        <v>6153</v>
      </c>
      <c r="R659" t="s">
        <v>790</v>
      </c>
      <c r="S659" t="s">
        <v>791</v>
      </c>
      <c r="T659" t="s">
        <v>791</v>
      </c>
      <c r="V659" t="s">
        <v>3015</v>
      </c>
      <c r="W659" t="s">
        <v>780</v>
      </c>
      <c r="X659" t="s">
        <v>897</v>
      </c>
      <c r="Z659" s="31"/>
      <c r="AC659">
        <v>16</v>
      </c>
      <c r="AD659" t="s">
        <v>22</v>
      </c>
      <c r="AE659" s="31">
        <v>46146</v>
      </c>
      <c r="AF659" s="61">
        <v>0.36387731481481478</v>
      </c>
      <c r="AH659" t="s">
        <v>782</v>
      </c>
      <c r="AI659" s="31"/>
      <c r="AJ659" s="61"/>
      <c r="AO659" t="s">
        <v>142</v>
      </c>
      <c r="AR659" s="31">
        <v>46153</v>
      </c>
      <c r="AS659">
        <v>30</v>
      </c>
      <c r="AX659">
        <v>1</v>
      </c>
    </row>
    <row r="660" spans="1:50" x14ac:dyDescent="0.25">
      <c r="A660" t="s">
        <v>31</v>
      </c>
      <c r="B660">
        <v>1176</v>
      </c>
      <c r="D660">
        <v>3716</v>
      </c>
      <c r="G660" t="s">
        <v>6154</v>
      </c>
      <c r="H660">
        <v>52696640000181</v>
      </c>
      <c r="J660" t="s">
        <v>6155</v>
      </c>
      <c r="K660" t="s">
        <v>6156</v>
      </c>
      <c r="M660" t="s">
        <v>6157</v>
      </c>
      <c r="Q660" t="s">
        <v>6158</v>
      </c>
      <c r="R660" t="s">
        <v>790</v>
      </c>
      <c r="S660" t="s">
        <v>814</v>
      </c>
      <c r="V660" t="s">
        <v>5690</v>
      </c>
      <c r="W660" t="s">
        <v>780</v>
      </c>
      <c r="X660" t="s">
        <v>897</v>
      </c>
      <c r="Z660" s="31"/>
      <c r="AC660">
        <v>4</v>
      </c>
      <c r="AD660" t="s">
        <v>22</v>
      </c>
      <c r="AE660" s="31">
        <v>46146</v>
      </c>
      <c r="AF660" s="61">
        <v>0.65692129629629625</v>
      </c>
      <c r="AH660" t="s">
        <v>795</v>
      </c>
      <c r="AI660" s="31">
        <v>46150</v>
      </c>
      <c r="AJ660" s="61">
        <v>0.50641203703703708</v>
      </c>
      <c r="AK660" t="s">
        <v>5392</v>
      </c>
      <c r="AO660" t="s">
        <v>31</v>
      </c>
      <c r="AR660" s="31">
        <v>46147</v>
      </c>
      <c r="AS660">
        <v>30</v>
      </c>
      <c r="AX660">
        <v>1</v>
      </c>
    </row>
    <row r="661" spans="1:50" x14ac:dyDescent="0.25">
      <c r="A661" t="s">
        <v>44</v>
      </c>
      <c r="B661">
        <v>1177</v>
      </c>
      <c r="D661">
        <v>3732</v>
      </c>
      <c r="G661" t="s">
        <v>238</v>
      </c>
      <c r="H661">
        <v>36356922000183</v>
      </c>
      <c r="J661" t="s">
        <v>6159</v>
      </c>
      <c r="K661" t="s">
        <v>6160</v>
      </c>
      <c r="M661" t="s">
        <v>6161</v>
      </c>
      <c r="Q661" t="s">
        <v>1094</v>
      </c>
      <c r="R661" t="s">
        <v>790</v>
      </c>
      <c r="W661" t="s">
        <v>780</v>
      </c>
      <c r="X661" t="s">
        <v>816</v>
      </c>
      <c r="Z661" s="31"/>
      <c r="AA661">
        <v>694512</v>
      </c>
      <c r="AB661">
        <v>201348</v>
      </c>
      <c r="AC661">
        <v>14</v>
      </c>
      <c r="AD661" t="s">
        <v>44</v>
      </c>
      <c r="AE661" s="31">
        <v>46147</v>
      </c>
      <c r="AF661" s="61">
        <v>0.70638888888888884</v>
      </c>
      <c r="AH661" t="s">
        <v>818</v>
      </c>
      <c r="AI661" s="31">
        <v>46161</v>
      </c>
      <c r="AJ661" s="61">
        <v>0.6031481481481481</v>
      </c>
      <c r="AN661" t="s">
        <v>6162</v>
      </c>
      <c r="AP661" t="s">
        <v>5679</v>
      </c>
      <c r="AQ661" t="s">
        <v>6162</v>
      </c>
      <c r="AR661" s="31"/>
      <c r="AS661">
        <v>50</v>
      </c>
      <c r="AX661">
        <v>1</v>
      </c>
    </row>
    <row r="662" spans="1:50" x14ac:dyDescent="0.25">
      <c r="A662" t="s">
        <v>142</v>
      </c>
      <c r="B662">
        <v>1178</v>
      </c>
      <c r="C662">
        <v>263</v>
      </c>
      <c r="D662">
        <v>3734</v>
      </c>
      <c r="E662" t="s">
        <v>6163</v>
      </c>
      <c r="G662" t="s">
        <v>6164</v>
      </c>
      <c r="H662">
        <v>20718183000192</v>
      </c>
      <c r="I662" t="s">
        <v>6165</v>
      </c>
      <c r="J662" t="s">
        <v>6166</v>
      </c>
      <c r="K662" t="s">
        <v>6167</v>
      </c>
      <c r="M662" t="s">
        <v>6168</v>
      </c>
      <c r="N662" t="s">
        <v>1102</v>
      </c>
      <c r="P662" t="s">
        <v>6169</v>
      </c>
      <c r="Q662" t="s">
        <v>1837</v>
      </c>
      <c r="R662" t="s">
        <v>790</v>
      </c>
      <c r="V662" t="s">
        <v>3015</v>
      </c>
      <c r="W662" t="s">
        <v>780</v>
      </c>
      <c r="X662" t="s">
        <v>897</v>
      </c>
      <c r="Z662" s="31"/>
      <c r="AC662">
        <v>15</v>
      </c>
      <c r="AD662" t="s">
        <v>142</v>
      </c>
      <c r="AE662" s="31">
        <v>46147</v>
      </c>
      <c r="AF662" s="61">
        <v>0.72585648148148152</v>
      </c>
      <c r="AH662" t="s">
        <v>782</v>
      </c>
      <c r="AI662" s="31"/>
      <c r="AJ662" s="61"/>
      <c r="AR662" s="31">
        <v>46153</v>
      </c>
      <c r="AS662">
        <v>30</v>
      </c>
      <c r="AX662">
        <v>1</v>
      </c>
    </row>
    <row r="663" spans="1:50" x14ac:dyDescent="0.25">
      <c r="A663" t="s">
        <v>142</v>
      </c>
      <c r="B663">
        <v>1179</v>
      </c>
      <c r="D663">
        <v>3735</v>
      </c>
      <c r="E663" t="s">
        <v>6170</v>
      </c>
      <c r="G663" t="s">
        <v>6171</v>
      </c>
      <c r="J663" t="s">
        <v>6172</v>
      </c>
      <c r="K663" t="s">
        <v>6173</v>
      </c>
      <c r="M663" t="s">
        <v>6174</v>
      </c>
      <c r="S663" t="s">
        <v>2541</v>
      </c>
      <c r="V663" t="s">
        <v>5650</v>
      </c>
      <c r="W663" t="s">
        <v>780</v>
      </c>
      <c r="X663" t="s">
        <v>897</v>
      </c>
      <c r="Z663" s="31"/>
      <c r="AC663">
        <v>12</v>
      </c>
      <c r="AD663" t="s">
        <v>22</v>
      </c>
      <c r="AE663" s="31">
        <v>46148</v>
      </c>
      <c r="AF663" s="61">
        <v>0.13541666666666671</v>
      </c>
      <c r="AH663" t="s">
        <v>795</v>
      </c>
      <c r="AI663" s="31">
        <v>46160</v>
      </c>
      <c r="AJ663" s="61">
        <v>0.42246527777777781</v>
      </c>
      <c r="AK663" t="s">
        <v>5657</v>
      </c>
      <c r="AL663" t="s">
        <v>6175</v>
      </c>
      <c r="AO663" t="s">
        <v>142</v>
      </c>
      <c r="AR663" s="31">
        <v>46153</v>
      </c>
      <c r="AS663">
        <v>30</v>
      </c>
      <c r="AX663">
        <v>1</v>
      </c>
    </row>
    <row r="664" spans="1:50" x14ac:dyDescent="0.25">
      <c r="A664" t="s">
        <v>142</v>
      </c>
      <c r="B664">
        <v>1180</v>
      </c>
      <c r="D664">
        <v>3718</v>
      </c>
      <c r="E664" t="s">
        <v>6176</v>
      </c>
      <c r="G664" t="s">
        <v>228</v>
      </c>
      <c r="H664">
        <v>4184739000151</v>
      </c>
      <c r="J664" t="s">
        <v>6177</v>
      </c>
      <c r="K664" t="s">
        <v>6178</v>
      </c>
      <c r="M664" t="s">
        <v>6179</v>
      </c>
      <c r="R664" t="s">
        <v>6180</v>
      </c>
      <c r="S664" t="s">
        <v>1191</v>
      </c>
      <c r="V664" t="s">
        <v>5650</v>
      </c>
      <c r="W664" t="s">
        <v>780</v>
      </c>
      <c r="X664" t="s">
        <v>807</v>
      </c>
      <c r="Z664" s="31"/>
      <c r="AA664">
        <v>8585802</v>
      </c>
      <c r="AC664">
        <v>14</v>
      </c>
      <c r="AD664" t="s">
        <v>22</v>
      </c>
      <c r="AE664" s="31">
        <v>46148</v>
      </c>
      <c r="AF664" s="61">
        <v>0.13666666666666669</v>
      </c>
      <c r="AH664" t="s">
        <v>782</v>
      </c>
      <c r="AI664" s="31"/>
      <c r="AJ664" s="61"/>
      <c r="AN664" t="s">
        <v>6162</v>
      </c>
      <c r="AO664" t="s">
        <v>142</v>
      </c>
      <c r="AP664" t="s">
        <v>6181</v>
      </c>
      <c r="AR664" s="31">
        <v>46154</v>
      </c>
      <c r="AS664">
        <v>50</v>
      </c>
      <c r="AU664" t="s">
        <v>3142</v>
      </c>
      <c r="AX664">
        <v>1</v>
      </c>
    </row>
    <row r="665" spans="1:50" x14ac:dyDescent="0.25">
      <c r="A665" t="s">
        <v>142</v>
      </c>
      <c r="B665">
        <v>1181</v>
      </c>
      <c r="D665">
        <v>3720</v>
      </c>
      <c r="E665" t="s">
        <v>6182</v>
      </c>
      <c r="G665" t="s">
        <v>6183</v>
      </c>
      <c r="J665" t="s">
        <v>6184</v>
      </c>
      <c r="K665" t="s">
        <v>6185</v>
      </c>
      <c r="M665" t="s">
        <v>6186</v>
      </c>
      <c r="R665" t="s">
        <v>6187</v>
      </c>
      <c r="S665" t="s">
        <v>1191</v>
      </c>
      <c r="V665" t="s">
        <v>5650</v>
      </c>
      <c r="W665" t="s">
        <v>780</v>
      </c>
      <c r="X665" t="s">
        <v>897</v>
      </c>
      <c r="Z665" s="31"/>
      <c r="AC665">
        <v>14</v>
      </c>
      <c r="AD665" t="s">
        <v>22</v>
      </c>
      <c r="AE665" s="31">
        <v>46148</v>
      </c>
      <c r="AF665" s="61">
        <v>0.13746527777777781</v>
      </c>
      <c r="AH665" t="s">
        <v>782</v>
      </c>
      <c r="AI665" s="31"/>
      <c r="AJ665" s="61"/>
      <c r="AO665" t="s">
        <v>142</v>
      </c>
      <c r="AR665" s="31"/>
      <c r="AS665">
        <v>30</v>
      </c>
      <c r="AX665">
        <v>1</v>
      </c>
    </row>
    <row r="666" spans="1:50" x14ac:dyDescent="0.25">
      <c r="A666" t="s">
        <v>142</v>
      </c>
      <c r="B666">
        <v>1184</v>
      </c>
      <c r="D666">
        <v>3737</v>
      </c>
      <c r="E666" t="s">
        <v>6188</v>
      </c>
      <c r="G666" t="s">
        <v>6189</v>
      </c>
      <c r="J666" t="s">
        <v>6190</v>
      </c>
      <c r="K666" t="s">
        <v>6191</v>
      </c>
      <c r="M666" t="s">
        <v>6192</v>
      </c>
      <c r="S666" t="s">
        <v>2541</v>
      </c>
      <c r="V666" t="s">
        <v>5631</v>
      </c>
      <c r="W666" t="s">
        <v>780</v>
      </c>
      <c r="X666" t="s">
        <v>897</v>
      </c>
      <c r="Z666" s="31"/>
      <c r="AC666">
        <v>0</v>
      </c>
      <c r="AD666" t="s">
        <v>22</v>
      </c>
      <c r="AE666" s="31">
        <v>46149</v>
      </c>
      <c r="AF666" s="61">
        <v>0.36103009259259261</v>
      </c>
      <c r="AH666" t="s">
        <v>795</v>
      </c>
      <c r="AI666" s="31">
        <v>46149</v>
      </c>
      <c r="AJ666" s="61">
        <v>0.59810185185185183</v>
      </c>
      <c r="AK666" t="s">
        <v>5392</v>
      </c>
      <c r="AL666" t="s">
        <v>6193</v>
      </c>
      <c r="AO666" t="s">
        <v>142</v>
      </c>
      <c r="AR666" s="31"/>
      <c r="AS666">
        <v>30</v>
      </c>
      <c r="AX666">
        <v>1</v>
      </c>
    </row>
    <row r="667" spans="1:50" x14ac:dyDescent="0.25">
      <c r="A667" t="s">
        <v>44</v>
      </c>
      <c r="B667">
        <v>1185</v>
      </c>
      <c r="D667">
        <v>3741</v>
      </c>
      <c r="E667" t="s">
        <v>6194</v>
      </c>
      <c r="G667" t="s">
        <v>6195</v>
      </c>
      <c r="H667">
        <v>40904398000105</v>
      </c>
      <c r="J667" t="s">
        <v>6196</v>
      </c>
      <c r="K667" t="s">
        <v>6197</v>
      </c>
      <c r="M667" t="s">
        <v>6198</v>
      </c>
      <c r="R667" t="s">
        <v>6199</v>
      </c>
      <c r="S667" t="s">
        <v>1191</v>
      </c>
      <c r="V667" t="s">
        <v>5650</v>
      </c>
      <c r="W667" t="s">
        <v>780</v>
      </c>
      <c r="X667" t="s">
        <v>897</v>
      </c>
      <c r="Z667" s="31"/>
      <c r="AC667">
        <v>7</v>
      </c>
      <c r="AD667" t="s">
        <v>22</v>
      </c>
      <c r="AE667" s="31">
        <v>46149</v>
      </c>
      <c r="AF667" s="61">
        <v>0.36248842592592601</v>
      </c>
      <c r="AH667" t="s">
        <v>795</v>
      </c>
      <c r="AI667" s="31">
        <v>46156</v>
      </c>
      <c r="AJ667" s="61">
        <v>0.65326388888888887</v>
      </c>
      <c r="AK667" t="s">
        <v>5657</v>
      </c>
      <c r="AL667" t="s">
        <v>6200</v>
      </c>
      <c r="AO667" t="s">
        <v>44</v>
      </c>
      <c r="AR667" s="31">
        <v>46156</v>
      </c>
      <c r="AS667">
        <v>30</v>
      </c>
      <c r="AX667">
        <v>1</v>
      </c>
    </row>
    <row r="668" spans="1:50" x14ac:dyDescent="0.25">
      <c r="A668" t="s">
        <v>22</v>
      </c>
      <c r="B668">
        <v>1186</v>
      </c>
      <c r="D668">
        <v>3745</v>
      </c>
      <c r="G668" t="s">
        <v>6201</v>
      </c>
      <c r="H668">
        <v>62956379000165</v>
      </c>
      <c r="J668" t="s">
        <v>6202</v>
      </c>
      <c r="K668" t="s">
        <v>6203</v>
      </c>
      <c r="M668" t="s">
        <v>6204</v>
      </c>
      <c r="Q668" t="s">
        <v>1837</v>
      </c>
      <c r="R668" t="s">
        <v>790</v>
      </c>
      <c r="S668" t="s">
        <v>1191</v>
      </c>
      <c r="V668" t="s">
        <v>5650</v>
      </c>
      <c r="W668" t="s">
        <v>780</v>
      </c>
      <c r="X668" t="s">
        <v>857</v>
      </c>
      <c r="Z668" s="31">
        <v>46173</v>
      </c>
      <c r="AC668">
        <v>13</v>
      </c>
      <c r="AD668" t="s">
        <v>22</v>
      </c>
      <c r="AE668" s="31">
        <v>46149</v>
      </c>
      <c r="AF668" s="61">
        <v>0.36364583333333328</v>
      </c>
      <c r="AH668" t="s">
        <v>782</v>
      </c>
      <c r="AI668" s="31"/>
      <c r="AJ668" s="61"/>
      <c r="AO668" t="s">
        <v>22</v>
      </c>
      <c r="AR668" s="31">
        <v>46160</v>
      </c>
      <c r="AS668">
        <v>30</v>
      </c>
      <c r="AT668" t="s">
        <v>6205</v>
      </c>
      <c r="AX668">
        <v>1</v>
      </c>
    </row>
    <row r="669" spans="1:50" x14ac:dyDescent="0.25">
      <c r="A669" t="s">
        <v>31</v>
      </c>
      <c r="B669">
        <v>1187</v>
      </c>
      <c r="D669">
        <v>3744</v>
      </c>
      <c r="E669" t="s">
        <v>6206</v>
      </c>
      <c r="G669" t="s">
        <v>6207</v>
      </c>
      <c r="J669" t="s">
        <v>2653</v>
      </c>
      <c r="M669" t="s">
        <v>6208</v>
      </c>
      <c r="Q669" t="s">
        <v>6209</v>
      </c>
      <c r="S669" t="s">
        <v>1191</v>
      </c>
      <c r="V669" t="s">
        <v>6082</v>
      </c>
      <c r="W669" t="s">
        <v>780</v>
      </c>
      <c r="X669" t="s">
        <v>781</v>
      </c>
      <c r="Z669" s="31"/>
      <c r="AC669">
        <v>0</v>
      </c>
      <c r="AD669" t="s">
        <v>22</v>
      </c>
      <c r="AE669" s="31">
        <v>46149</v>
      </c>
      <c r="AF669" s="61">
        <v>0.36506944444444439</v>
      </c>
      <c r="AH669" t="s">
        <v>795</v>
      </c>
      <c r="AI669" s="31">
        <v>46149</v>
      </c>
      <c r="AJ669" s="61">
        <v>0.41206018518518522</v>
      </c>
      <c r="AK669" t="s">
        <v>5392</v>
      </c>
      <c r="AO669" t="s">
        <v>31</v>
      </c>
      <c r="AR669" s="31"/>
      <c r="AS669">
        <v>30</v>
      </c>
      <c r="AX669">
        <v>1</v>
      </c>
    </row>
    <row r="670" spans="1:50" x14ac:dyDescent="0.25">
      <c r="A670" t="s">
        <v>31</v>
      </c>
      <c r="B670">
        <v>1188</v>
      </c>
      <c r="D670">
        <v>3743</v>
      </c>
      <c r="G670" t="s">
        <v>6210</v>
      </c>
      <c r="J670" t="s">
        <v>6211</v>
      </c>
      <c r="K670" t="s">
        <v>6212</v>
      </c>
      <c r="M670" t="s">
        <v>6213</v>
      </c>
      <c r="S670" t="s">
        <v>2541</v>
      </c>
      <c r="V670" t="s">
        <v>5650</v>
      </c>
      <c r="W670" t="s">
        <v>780</v>
      </c>
      <c r="X670" t="s">
        <v>781</v>
      </c>
      <c r="Z670" s="31">
        <v>46173</v>
      </c>
      <c r="AC670">
        <v>2</v>
      </c>
      <c r="AD670" t="s">
        <v>22</v>
      </c>
      <c r="AE670" s="31">
        <v>46149</v>
      </c>
      <c r="AF670" s="61">
        <v>0.3661921296296296</v>
      </c>
      <c r="AH670" t="s">
        <v>795</v>
      </c>
      <c r="AI670" s="31">
        <v>46151</v>
      </c>
      <c r="AJ670" s="61">
        <v>0.37094907407407413</v>
      </c>
      <c r="AK670" t="s">
        <v>5419</v>
      </c>
      <c r="AO670" t="s">
        <v>31</v>
      </c>
      <c r="AR670" s="31"/>
      <c r="AS670">
        <v>30</v>
      </c>
      <c r="AX670">
        <v>1</v>
      </c>
    </row>
    <row r="671" spans="1:50" x14ac:dyDescent="0.25">
      <c r="A671" t="s">
        <v>44</v>
      </c>
      <c r="B671">
        <v>1189</v>
      </c>
      <c r="D671">
        <v>3742</v>
      </c>
      <c r="E671" t="s">
        <v>6214</v>
      </c>
      <c r="G671" t="s">
        <v>6215</v>
      </c>
      <c r="J671" t="s">
        <v>6216</v>
      </c>
      <c r="K671" t="s">
        <v>6217</v>
      </c>
      <c r="M671" t="s">
        <v>6218</v>
      </c>
      <c r="R671" t="s">
        <v>6219</v>
      </c>
      <c r="S671" t="s">
        <v>1191</v>
      </c>
      <c r="V671" t="s">
        <v>5631</v>
      </c>
      <c r="W671" t="s">
        <v>780</v>
      </c>
      <c r="X671" t="s">
        <v>897</v>
      </c>
      <c r="Z671" s="31"/>
      <c r="AC671">
        <v>7</v>
      </c>
      <c r="AD671" t="s">
        <v>22</v>
      </c>
      <c r="AE671" s="31">
        <v>46149</v>
      </c>
      <c r="AF671" s="61">
        <v>0.36724537037037042</v>
      </c>
      <c r="AH671" t="s">
        <v>795</v>
      </c>
      <c r="AI671" s="31">
        <v>46156</v>
      </c>
      <c r="AJ671" s="61">
        <v>0.6507060185185185</v>
      </c>
      <c r="AK671" t="s">
        <v>6111</v>
      </c>
      <c r="AL671" t="s">
        <v>6220</v>
      </c>
      <c r="AO671" t="s">
        <v>44</v>
      </c>
      <c r="AR671" s="31">
        <v>46156</v>
      </c>
      <c r="AS671">
        <v>30</v>
      </c>
      <c r="AX671">
        <v>1</v>
      </c>
    </row>
    <row r="672" spans="1:50" x14ac:dyDescent="0.25">
      <c r="A672" t="s">
        <v>142</v>
      </c>
      <c r="B672">
        <v>1190</v>
      </c>
      <c r="C672">
        <v>276</v>
      </c>
      <c r="D672">
        <v>3748</v>
      </c>
      <c r="E672" t="s">
        <v>6221</v>
      </c>
      <c r="G672" t="s">
        <v>224</v>
      </c>
      <c r="H672">
        <v>15338344000182</v>
      </c>
      <c r="I672" t="s">
        <v>6222</v>
      </c>
      <c r="J672" t="s">
        <v>6223</v>
      </c>
      <c r="K672" t="s">
        <v>6224</v>
      </c>
      <c r="M672" t="s">
        <v>6225</v>
      </c>
      <c r="N672" t="s">
        <v>1102</v>
      </c>
      <c r="P672" t="s">
        <v>6226</v>
      </c>
      <c r="Q672" t="s">
        <v>6227</v>
      </c>
      <c r="R672" t="s">
        <v>1105</v>
      </c>
      <c r="V672" t="s">
        <v>3015</v>
      </c>
      <c r="W672" t="s">
        <v>780</v>
      </c>
      <c r="X672" t="s">
        <v>857</v>
      </c>
      <c r="Z672" s="31"/>
      <c r="AC672">
        <v>7</v>
      </c>
      <c r="AD672" t="s">
        <v>142</v>
      </c>
      <c r="AE672" s="31">
        <v>46149</v>
      </c>
      <c r="AF672" s="61">
        <v>0.50417824074074069</v>
      </c>
      <c r="AH672" t="s">
        <v>795</v>
      </c>
      <c r="AI672" s="31">
        <v>46156</v>
      </c>
      <c r="AJ672" s="61">
        <v>0.3395023148148148</v>
      </c>
      <c r="AK672" t="s">
        <v>5338</v>
      </c>
      <c r="AL672" t="s">
        <v>6228</v>
      </c>
      <c r="AP672" t="s">
        <v>6229</v>
      </c>
      <c r="AR672" s="31"/>
      <c r="AS672">
        <v>30</v>
      </c>
      <c r="AX672">
        <v>1</v>
      </c>
    </row>
    <row r="673" spans="1:50" x14ac:dyDescent="0.25">
      <c r="A673" t="s">
        <v>31</v>
      </c>
      <c r="B673">
        <v>1191</v>
      </c>
      <c r="D673">
        <v>3749</v>
      </c>
      <c r="G673" t="s">
        <v>252</v>
      </c>
      <c r="H673">
        <v>8333878000150</v>
      </c>
      <c r="J673" t="s">
        <v>3595</v>
      </c>
      <c r="K673" t="s">
        <v>6230</v>
      </c>
      <c r="M673" t="s">
        <v>6231</v>
      </c>
      <c r="Q673" t="s">
        <v>6232</v>
      </c>
      <c r="R673" t="s">
        <v>790</v>
      </c>
      <c r="W673" t="s">
        <v>780</v>
      </c>
      <c r="X673" t="s">
        <v>857</v>
      </c>
      <c r="Z673" s="31"/>
      <c r="AC673">
        <v>13</v>
      </c>
      <c r="AD673" t="s">
        <v>31</v>
      </c>
      <c r="AE673" s="31">
        <v>46149</v>
      </c>
      <c r="AF673" s="61">
        <v>0.69357638888888884</v>
      </c>
      <c r="AH673" t="s">
        <v>782</v>
      </c>
      <c r="AI673" s="31"/>
      <c r="AJ673" s="61"/>
      <c r="AN673" t="s">
        <v>6233</v>
      </c>
      <c r="AO673" t="s">
        <v>31</v>
      </c>
      <c r="AR673" s="31">
        <v>46155</v>
      </c>
      <c r="AS673">
        <v>30</v>
      </c>
      <c r="AU673" t="s">
        <v>47</v>
      </c>
      <c r="AX673">
        <v>1</v>
      </c>
    </row>
    <row r="674" spans="1:50" x14ac:dyDescent="0.25">
      <c r="A674" t="s">
        <v>142</v>
      </c>
      <c r="B674">
        <v>1192</v>
      </c>
      <c r="C674">
        <v>273</v>
      </c>
      <c r="D674">
        <v>3754</v>
      </c>
      <c r="E674" t="s">
        <v>6234</v>
      </c>
      <c r="G674" t="s">
        <v>232</v>
      </c>
      <c r="H674">
        <v>40220751000138</v>
      </c>
      <c r="I674" t="s">
        <v>6235</v>
      </c>
      <c r="J674" t="s">
        <v>6236</v>
      </c>
      <c r="K674" t="s">
        <v>6237</v>
      </c>
      <c r="M674" t="s">
        <v>6238</v>
      </c>
      <c r="N674" t="s">
        <v>1102</v>
      </c>
      <c r="P674" t="s">
        <v>6239</v>
      </c>
      <c r="Q674" t="s">
        <v>1837</v>
      </c>
      <c r="R674" t="s">
        <v>790</v>
      </c>
      <c r="V674" t="s">
        <v>3015</v>
      </c>
      <c r="W674" t="s">
        <v>780</v>
      </c>
      <c r="X674" t="s">
        <v>857</v>
      </c>
      <c r="Z674" s="31"/>
      <c r="AC674">
        <v>13</v>
      </c>
      <c r="AD674" t="s">
        <v>142</v>
      </c>
      <c r="AE674" s="31">
        <v>46149</v>
      </c>
      <c r="AF674" s="61">
        <v>0.70679398148148154</v>
      </c>
      <c r="AH674" t="s">
        <v>782</v>
      </c>
      <c r="AI674" s="31"/>
      <c r="AJ674" s="61"/>
      <c r="AP674" t="s">
        <v>6240</v>
      </c>
      <c r="AR674" s="31">
        <v>46155</v>
      </c>
      <c r="AS674">
        <v>30</v>
      </c>
      <c r="AU674" t="s">
        <v>321</v>
      </c>
      <c r="AX674">
        <v>1</v>
      </c>
    </row>
    <row r="675" spans="1:50" x14ac:dyDescent="0.25">
      <c r="A675" t="s">
        <v>142</v>
      </c>
      <c r="B675">
        <v>1193</v>
      </c>
      <c r="C675">
        <v>279</v>
      </c>
      <c r="E675" t="s">
        <v>6241</v>
      </c>
      <c r="G675" t="s">
        <v>1960</v>
      </c>
      <c r="H675">
        <v>89738173000115</v>
      </c>
      <c r="I675" t="s">
        <v>6242</v>
      </c>
      <c r="M675" t="s">
        <v>6243</v>
      </c>
      <c r="N675" t="s">
        <v>1102</v>
      </c>
      <c r="P675" t="s">
        <v>6244</v>
      </c>
      <c r="Q675" t="s">
        <v>6245</v>
      </c>
      <c r="R675" t="s">
        <v>1027</v>
      </c>
      <c r="V675" t="s">
        <v>3015</v>
      </c>
      <c r="W675" t="s">
        <v>780</v>
      </c>
      <c r="X675" t="s">
        <v>781</v>
      </c>
      <c r="Z675" s="31"/>
      <c r="AC675">
        <v>12</v>
      </c>
      <c r="AD675" t="s">
        <v>142</v>
      </c>
      <c r="AE675" s="31">
        <v>46150</v>
      </c>
      <c r="AF675" s="61">
        <v>0.41725694444444439</v>
      </c>
      <c r="AH675" t="s">
        <v>782</v>
      </c>
      <c r="AI675" s="31"/>
      <c r="AJ675" s="61"/>
      <c r="AR675" s="31"/>
      <c r="AS675">
        <v>30</v>
      </c>
      <c r="AX675">
        <v>1</v>
      </c>
    </row>
    <row r="676" spans="1:50" x14ac:dyDescent="0.25">
      <c r="A676" t="s">
        <v>142</v>
      </c>
      <c r="B676">
        <v>1194</v>
      </c>
      <c r="C676">
        <v>281</v>
      </c>
      <c r="E676" t="s">
        <v>6246</v>
      </c>
      <c r="G676" t="s">
        <v>6247</v>
      </c>
      <c r="H676">
        <v>4381287000106</v>
      </c>
      <c r="I676" t="s">
        <v>6248</v>
      </c>
      <c r="M676" t="s">
        <v>6243</v>
      </c>
      <c r="N676" t="s">
        <v>1102</v>
      </c>
      <c r="P676" t="s">
        <v>6249</v>
      </c>
      <c r="Q676" t="s">
        <v>6245</v>
      </c>
      <c r="R676" t="s">
        <v>1027</v>
      </c>
      <c r="V676" t="s">
        <v>3015</v>
      </c>
      <c r="W676" t="s">
        <v>780</v>
      </c>
      <c r="X676" t="s">
        <v>897</v>
      </c>
      <c r="Z676" s="31"/>
      <c r="AC676">
        <v>12</v>
      </c>
      <c r="AD676" t="s">
        <v>142</v>
      </c>
      <c r="AE676" s="31">
        <v>46150</v>
      </c>
      <c r="AF676" s="61">
        <v>0.42182870370370368</v>
      </c>
      <c r="AH676" t="s">
        <v>782</v>
      </c>
      <c r="AI676" s="31"/>
      <c r="AJ676" s="61"/>
      <c r="AR676" s="31"/>
      <c r="AS676">
        <v>30</v>
      </c>
      <c r="AX676">
        <v>1</v>
      </c>
    </row>
    <row r="677" spans="1:50" x14ac:dyDescent="0.25">
      <c r="A677" t="s">
        <v>142</v>
      </c>
      <c r="B677">
        <v>1195</v>
      </c>
      <c r="C677">
        <v>282</v>
      </c>
      <c r="D677">
        <v>3760</v>
      </c>
      <c r="E677" t="s">
        <v>6250</v>
      </c>
      <c r="G677" t="s">
        <v>6251</v>
      </c>
      <c r="H677">
        <v>43948561000120</v>
      </c>
      <c r="I677" t="s">
        <v>6252</v>
      </c>
      <c r="J677" t="s">
        <v>6253</v>
      </c>
      <c r="K677" t="s">
        <v>6254</v>
      </c>
      <c r="M677" t="s">
        <v>6255</v>
      </c>
      <c r="N677" t="s">
        <v>1102</v>
      </c>
      <c r="P677" t="s">
        <v>6256</v>
      </c>
      <c r="Q677" t="s">
        <v>837</v>
      </c>
      <c r="R677" t="s">
        <v>790</v>
      </c>
      <c r="V677" t="s">
        <v>3015</v>
      </c>
      <c r="W677" t="s">
        <v>780</v>
      </c>
      <c r="X677" t="s">
        <v>897</v>
      </c>
      <c r="Z677" s="31"/>
      <c r="AC677">
        <v>12</v>
      </c>
      <c r="AD677" t="s">
        <v>142</v>
      </c>
      <c r="AE677" s="31">
        <v>46150</v>
      </c>
      <c r="AF677" s="61">
        <v>0.4375</v>
      </c>
      <c r="AH677" t="s">
        <v>782</v>
      </c>
      <c r="AI677" s="31"/>
      <c r="AJ677" s="61"/>
      <c r="AR677" s="31"/>
      <c r="AS677">
        <v>30</v>
      </c>
      <c r="AX677">
        <v>1</v>
      </c>
    </row>
    <row r="678" spans="1:50" x14ac:dyDescent="0.25">
      <c r="A678" t="s">
        <v>22</v>
      </c>
      <c r="B678">
        <v>1196</v>
      </c>
      <c r="D678">
        <v>3746</v>
      </c>
      <c r="G678" t="s">
        <v>6257</v>
      </c>
      <c r="H678">
        <v>5659821000239</v>
      </c>
      <c r="J678" t="s">
        <v>1243</v>
      </c>
      <c r="K678" t="s">
        <v>6258</v>
      </c>
      <c r="M678" t="s">
        <v>6259</v>
      </c>
      <c r="R678" t="s">
        <v>790</v>
      </c>
      <c r="S678" t="s">
        <v>1191</v>
      </c>
      <c r="V678" t="s">
        <v>5650</v>
      </c>
      <c r="W678" t="s">
        <v>780</v>
      </c>
      <c r="X678" t="s">
        <v>897</v>
      </c>
      <c r="Z678" s="31"/>
      <c r="AC678">
        <v>12</v>
      </c>
      <c r="AD678" t="s">
        <v>22</v>
      </c>
      <c r="AE678" s="31">
        <v>46150</v>
      </c>
      <c r="AF678" s="61">
        <v>0.49072916666666672</v>
      </c>
      <c r="AH678" t="s">
        <v>782</v>
      </c>
      <c r="AI678" s="31"/>
      <c r="AJ678" s="61"/>
      <c r="AO678" t="s">
        <v>22</v>
      </c>
      <c r="AR678" s="31">
        <v>46160</v>
      </c>
      <c r="AS678">
        <v>30</v>
      </c>
      <c r="AX678">
        <v>1</v>
      </c>
    </row>
    <row r="679" spans="1:50" x14ac:dyDescent="0.25">
      <c r="A679" t="s">
        <v>142</v>
      </c>
      <c r="B679">
        <v>1197</v>
      </c>
      <c r="C679">
        <v>270</v>
      </c>
      <c r="E679" t="s">
        <v>6260</v>
      </c>
      <c r="G679" t="s">
        <v>6261</v>
      </c>
      <c r="H679">
        <v>2466212000194</v>
      </c>
      <c r="I679" t="s">
        <v>6262</v>
      </c>
      <c r="M679" t="s">
        <v>6263</v>
      </c>
      <c r="N679" t="s">
        <v>1102</v>
      </c>
      <c r="P679" t="s">
        <v>6264</v>
      </c>
      <c r="Q679" t="s">
        <v>1837</v>
      </c>
      <c r="R679" t="s">
        <v>790</v>
      </c>
      <c r="V679" t="s">
        <v>3015</v>
      </c>
      <c r="W679" t="s">
        <v>780</v>
      </c>
      <c r="X679" t="s">
        <v>897</v>
      </c>
      <c r="Z679" s="31"/>
      <c r="AC679">
        <v>12</v>
      </c>
      <c r="AD679" t="s">
        <v>142</v>
      </c>
      <c r="AE679" s="31">
        <v>46150</v>
      </c>
      <c r="AF679" s="61">
        <v>0.50387731481481479</v>
      </c>
      <c r="AH679" t="s">
        <v>782</v>
      </c>
      <c r="AI679" s="31"/>
      <c r="AJ679" s="61"/>
      <c r="AR679" s="31">
        <v>46153</v>
      </c>
      <c r="AS679">
        <v>30</v>
      </c>
      <c r="AX679">
        <v>1</v>
      </c>
    </row>
    <row r="680" spans="1:50" x14ac:dyDescent="0.25">
      <c r="A680" t="s">
        <v>142</v>
      </c>
      <c r="B680">
        <v>1198</v>
      </c>
      <c r="C680">
        <v>256</v>
      </c>
      <c r="D680">
        <v>3773</v>
      </c>
      <c r="E680" t="s">
        <v>6265</v>
      </c>
      <c r="G680" t="s">
        <v>6266</v>
      </c>
      <c r="H680">
        <v>20137275000189</v>
      </c>
      <c r="I680" t="s">
        <v>6267</v>
      </c>
      <c r="J680" t="s">
        <v>6268</v>
      </c>
      <c r="K680" t="s">
        <v>6269</v>
      </c>
      <c r="M680" t="s">
        <v>6270</v>
      </c>
      <c r="N680" t="s">
        <v>1102</v>
      </c>
      <c r="P680" t="s">
        <v>6271</v>
      </c>
      <c r="Q680" t="s">
        <v>1837</v>
      </c>
      <c r="R680" t="s">
        <v>790</v>
      </c>
      <c r="V680" t="s">
        <v>6272</v>
      </c>
      <c r="W680" t="s">
        <v>780</v>
      </c>
      <c r="X680" t="s">
        <v>781</v>
      </c>
      <c r="Z680" s="31"/>
      <c r="AC680">
        <v>0</v>
      </c>
      <c r="AD680" t="s">
        <v>142</v>
      </c>
      <c r="AE680" s="31">
        <v>46153</v>
      </c>
      <c r="AF680" s="61">
        <v>0.39858796296296289</v>
      </c>
      <c r="AH680" t="s">
        <v>795</v>
      </c>
      <c r="AI680" s="31">
        <v>46153</v>
      </c>
      <c r="AJ680" s="61">
        <v>0.39993055555555562</v>
      </c>
      <c r="AK680" t="s">
        <v>5419</v>
      </c>
      <c r="AL680" t="s">
        <v>6273</v>
      </c>
      <c r="AR680" s="31"/>
      <c r="AS680">
        <v>30</v>
      </c>
      <c r="AX680">
        <v>1</v>
      </c>
    </row>
    <row r="681" spans="1:50" x14ac:dyDescent="0.25">
      <c r="A681" t="s">
        <v>142</v>
      </c>
      <c r="B681">
        <v>1199</v>
      </c>
      <c r="C681">
        <v>283</v>
      </c>
      <c r="D681">
        <v>3776</v>
      </c>
      <c r="E681" t="s">
        <v>6274</v>
      </c>
      <c r="G681" t="s">
        <v>6275</v>
      </c>
      <c r="H681">
        <v>88610191000154</v>
      </c>
      <c r="I681" t="s">
        <v>6276</v>
      </c>
      <c r="J681" t="s">
        <v>6277</v>
      </c>
      <c r="K681" t="s">
        <v>6278</v>
      </c>
      <c r="M681" t="s">
        <v>6279</v>
      </c>
      <c r="N681" t="s">
        <v>1102</v>
      </c>
      <c r="P681" t="s">
        <v>6280</v>
      </c>
      <c r="Q681" t="s">
        <v>6281</v>
      </c>
      <c r="R681" t="s">
        <v>848</v>
      </c>
      <c r="V681" t="s">
        <v>3015</v>
      </c>
      <c r="W681" t="s">
        <v>780</v>
      </c>
      <c r="X681" t="s">
        <v>897</v>
      </c>
      <c r="Z681" s="31"/>
      <c r="AC681">
        <v>9</v>
      </c>
      <c r="AD681" t="s">
        <v>142</v>
      </c>
      <c r="AE681" s="31">
        <v>46153</v>
      </c>
      <c r="AF681" s="61">
        <v>0.43649305555555562</v>
      </c>
      <c r="AH681" t="s">
        <v>782</v>
      </c>
      <c r="AI681" s="31"/>
      <c r="AJ681" s="61"/>
      <c r="AR681" s="31"/>
      <c r="AS681">
        <v>30</v>
      </c>
      <c r="AX681">
        <v>1</v>
      </c>
    </row>
    <row r="682" spans="1:50" x14ac:dyDescent="0.25">
      <c r="A682" t="s">
        <v>31</v>
      </c>
      <c r="B682">
        <v>1200</v>
      </c>
      <c r="D682">
        <v>3777</v>
      </c>
      <c r="G682" t="s">
        <v>6282</v>
      </c>
      <c r="H682">
        <v>8821632000128</v>
      </c>
      <c r="J682" t="s">
        <v>6283</v>
      </c>
      <c r="S682" t="s">
        <v>2541</v>
      </c>
      <c r="V682" t="s">
        <v>5650</v>
      </c>
      <c r="W682" t="s">
        <v>780</v>
      </c>
      <c r="X682" t="s">
        <v>897</v>
      </c>
      <c r="Z682" s="31">
        <v>46173</v>
      </c>
      <c r="AC682">
        <v>9</v>
      </c>
      <c r="AD682" t="s">
        <v>22</v>
      </c>
      <c r="AE682" s="31">
        <v>46153</v>
      </c>
      <c r="AF682" s="61">
        <v>0.46103009259259259</v>
      </c>
      <c r="AH682" t="s">
        <v>782</v>
      </c>
      <c r="AI682" s="31"/>
      <c r="AJ682" s="61"/>
      <c r="AO682" t="s">
        <v>31</v>
      </c>
      <c r="AR682" s="31">
        <v>46155</v>
      </c>
      <c r="AS682">
        <v>30</v>
      </c>
      <c r="AX682">
        <v>1</v>
      </c>
    </row>
    <row r="683" spans="1:50" x14ac:dyDescent="0.25">
      <c r="A683" t="s">
        <v>44</v>
      </c>
      <c r="B683">
        <v>1201</v>
      </c>
      <c r="D683">
        <v>3771</v>
      </c>
      <c r="E683" t="s">
        <v>6284</v>
      </c>
      <c r="F683" t="s">
        <v>6285</v>
      </c>
      <c r="G683" t="s">
        <v>6286</v>
      </c>
      <c r="H683">
        <v>12084237000187</v>
      </c>
      <c r="J683" t="s">
        <v>6287</v>
      </c>
      <c r="K683" t="s">
        <v>6288</v>
      </c>
      <c r="M683" t="s">
        <v>6289</v>
      </c>
      <c r="Q683" t="s">
        <v>6290</v>
      </c>
      <c r="R683" t="s">
        <v>3339</v>
      </c>
      <c r="S683" t="s">
        <v>2541</v>
      </c>
      <c r="V683" t="s">
        <v>5650</v>
      </c>
      <c r="W683" t="s">
        <v>780</v>
      </c>
      <c r="X683" t="s">
        <v>897</v>
      </c>
      <c r="Z683" s="31">
        <v>46173</v>
      </c>
      <c r="AC683">
        <v>9</v>
      </c>
      <c r="AD683" t="s">
        <v>22</v>
      </c>
      <c r="AE683" s="31">
        <v>46153</v>
      </c>
      <c r="AF683" s="61">
        <v>0.47130787037037042</v>
      </c>
      <c r="AH683" t="s">
        <v>782</v>
      </c>
      <c r="AI683" s="31"/>
      <c r="AJ683" s="61"/>
      <c r="AO683" t="s">
        <v>44</v>
      </c>
      <c r="AR683" s="31"/>
      <c r="AS683">
        <v>30</v>
      </c>
      <c r="AX683">
        <v>1</v>
      </c>
    </row>
    <row r="684" spans="1:50" x14ac:dyDescent="0.25">
      <c r="A684" t="s">
        <v>142</v>
      </c>
      <c r="B684">
        <v>1202</v>
      </c>
      <c r="C684">
        <v>241</v>
      </c>
      <c r="D684">
        <v>3779</v>
      </c>
      <c r="E684" t="s">
        <v>6291</v>
      </c>
      <c r="G684" t="s">
        <v>6292</v>
      </c>
      <c r="H684">
        <v>6269527000100</v>
      </c>
      <c r="I684" t="s">
        <v>6293</v>
      </c>
      <c r="J684" t="s">
        <v>6294</v>
      </c>
      <c r="K684" t="s">
        <v>6295</v>
      </c>
      <c r="N684" t="s">
        <v>1102</v>
      </c>
      <c r="P684" t="s">
        <v>6296</v>
      </c>
      <c r="Q684" t="s">
        <v>6158</v>
      </c>
      <c r="R684" t="s">
        <v>790</v>
      </c>
      <c r="V684" t="s">
        <v>3015</v>
      </c>
      <c r="W684" t="s">
        <v>780</v>
      </c>
      <c r="X684" t="s">
        <v>897</v>
      </c>
      <c r="Z684" s="31"/>
      <c r="AC684">
        <v>9</v>
      </c>
      <c r="AD684" t="s">
        <v>142</v>
      </c>
      <c r="AE684" s="31">
        <v>46153</v>
      </c>
      <c r="AF684" s="61">
        <v>0.47464120370370372</v>
      </c>
      <c r="AH684" t="s">
        <v>782</v>
      </c>
      <c r="AI684" s="31"/>
      <c r="AJ684" s="61"/>
      <c r="AR684" s="31"/>
      <c r="AS684">
        <v>30</v>
      </c>
      <c r="AX684">
        <v>1</v>
      </c>
    </row>
    <row r="685" spans="1:50" x14ac:dyDescent="0.25">
      <c r="A685" t="s">
        <v>22</v>
      </c>
      <c r="B685">
        <v>1203</v>
      </c>
      <c r="D685">
        <v>3770</v>
      </c>
      <c r="G685" t="s">
        <v>6297</v>
      </c>
      <c r="H685">
        <v>48579170000107</v>
      </c>
      <c r="J685" t="s">
        <v>6298</v>
      </c>
      <c r="K685" t="s">
        <v>6299</v>
      </c>
      <c r="M685" t="s">
        <v>6300</v>
      </c>
      <c r="S685" t="s">
        <v>2541</v>
      </c>
      <c r="V685" t="s">
        <v>5650</v>
      </c>
      <c r="W685" t="s">
        <v>780</v>
      </c>
      <c r="X685" t="s">
        <v>897</v>
      </c>
      <c r="Z685" s="31">
        <v>46173</v>
      </c>
      <c r="AC685">
        <v>9</v>
      </c>
      <c r="AD685" t="s">
        <v>22</v>
      </c>
      <c r="AE685" s="31">
        <v>46153</v>
      </c>
      <c r="AF685" s="61">
        <v>0.47524305555555563</v>
      </c>
      <c r="AH685" t="s">
        <v>782</v>
      </c>
      <c r="AI685" s="31"/>
      <c r="AJ685" s="61"/>
      <c r="AO685" t="s">
        <v>22</v>
      </c>
      <c r="AR685" s="31"/>
      <c r="AS685">
        <v>30</v>
      </c>
      <c r="AX685">
        <v>1</v>
      </c>
    </row>
    <row r="686" spans="1:50" x14ac:dyDescent="0.25">
      <c r="A686" t="s">
        <v>142</v>
      </c>
      <c r="B686">
        <v>1204</v>
      </c>
      <c r="C686">
        <v>231</v>
      </c>
      <c r="D686">
        <v>3780</v>
      </c>
      <c r="E686" t="s">
        <v>6301</v>
      </c>
      <c r="G686" t="s">
        <v>6302</v>
      </c>
      <c r="H686">
        <v>490414000146</v>
      </c>
      <c r="I686" t="s">
        <v>6303</v>
      </c>
      <c r="J686" t="s">
        <v>6304</v>
      </c>
      <c r="K686" t="s">
        <v>6305</v>
      </c>
      <c r="M686" t="s">
        <v>6306</v>
      </c>
      <c r="N686" t="s">
        <v>1102</v>
      </c>
      <c r="P686" t="s">
        <v>6307</v>
      </c>
      <c r="Q686" t="s">
        <v>1837</v>
      </c>
      <c r="R686" t="s">
        <v>790</v>
      </c>
      <c r="V686" t="s">
        <v>3015</v>
      </c>
      <c r="W686" t="s">
        <v>780</v>
      </c>
      <c r="X686" t="s">
        <v>897</v>
      </c>
      <c r="Z686" s="31"/>
      <c r="AC686">
        <v>9</v>
      </c>
      <c r="AD686" t="s">
        <v>142</v>
      </c>
      <c r="AE686" s="31">
        <v>46153</v>
      </c>
      <c r="AF686" s="61">
        <v>0.60356481481481483</v>
      </c>
      <c r="AH686" t="s">
        <v>782</v>
      </c>
      <c r="AI686" s="31"/>
      <c r="AJ686" s="61"/>
      <c r="AR686" s="31"/>
      <c r="AS686">
        <v>30</v>
      </c>
      <c r="AX686">
        <v>1</v>
      </c>
    </row>
    <row r="687" spans="1:50" x14ac:dyDescent="0.25">
      <c r="A687" t="s">
        <v>142</v>
      </c>
      <c r="B687">
        <v>1205</v>
      </c>
      <c r="C687">
        <v>252</v>
      </c>
      <c r="D687">
        <v>3781</v>
      </c>
      <c r="E687" t="s">
        <v>6308</v>
      </c>
      <c r="G687" t="s">
        <v>6309</v>
      </c>
      <c r="H687">
        <v>13459890000146</v>
      </c>
      <c r="I687" t="s">
        <v>6310</v>
      </c>
      <c r="J687" t="s">
        <v>6311</v>
      </c>
      <c r="K687" t="s">
        <v>6312</v>
      </c>
      <c r="M687" t="s">
        <v>6313</v>
      </c>
      <c r="N687" t="s">
        <v>1102</v>
      </c>
      <c r="P687" t="s">
        <v>6314</v>
      </c>
      <c r="Q687" t="s">
        <v>1837</v>
      </c>
      <c r="R687" t="s">
        <v>790</v>
      </c>
      <c r="V687" t="s">
        <v>3015</v>
      </c>
      <c r="W687" t="s">
        <v>780</v>
      </c>
      <c r="X687" t="s">
        <v>897</v>
      </c>
      <c r="Z687" s="31"/>
      <c r="AC687">
        <v>9</v>
      </c>
      <c r="AD687" t="s">
        <v>142</v>
      </c>
      <c r="AE687" s="31">
        <v>46153</v>
      </c>
      <c r="AF687" s="61">
        <v>0.61413194444444441</v>
      </c>
      <c r="AH687" t="s">
        <v>782</v>
      </c>
      <c r="AI687" s="31"/>
      <c r="AJ687" s="61"/>
      <c r="AR687" s="31"/>
      <c r="AS687">
        <v>30</v>
      </c>
      <c r="AX687">
        <v>1</v>
      </c>
    </row>
    <row r="688" spans="1:50" x14ac:dyDescent="0.25">
      <c r="A688" t="s">
        <v>142</v>
      </c>
      <c r="B688">
        <v>1206</v>
      </c>
      <c r="C688">
        <v>226</v>
      </c>
      <c r="D688">
        <v>3782</v>
      </c>
      <c r="E688" t="s">
        <v>6315</v>
      </c>
      <c r="G688" t="s">
        <v>6316</v>
      </c>
      <c r="H688">
        <v>59602144000160</v>
      </c>
      <c r="I688" t="s">
        <v>6317</v>
      </c>
      <c r="J688" t="s">
        <v>6318</v>
      </c>
      <c r="K688" t="s">
        <v>6319</v>
      </c>
      <c r="L688" t="s">
        <v>6320</v>
      </c>
      <c r="M688" t="s">
        <v>6321</v>
      </c>
      <c r="N688" t="s">
        <v>1102</v>
      </c>
      <c r="P688" t="s">
        <v>6322</v>
      </c>
      <c r="Q688" t="s">
        <v>1837</v>
      </c>
      <c r="R688" t="s">
        <v>790</v>
      </c>
      <c r="V688" t="s">
        <v>3015</v>
      </c>
      <c r="W688" t="s">
        <v>780</v>
      </c>
      <c r="X688" t="s">
        <v>897</v>
      </c>
      <c r="Z688" s="31"/>
      <c r="AC688">
        <v>9</v>
      </c>
      <c r="AD688" t="s">
        <v>142</v>
      </c>
      <c r="AE688" s="31">
        <v>46153</v>
      </c>
      <c r="AF688" s="61">
        <v>0.62143518518518515</v>
      </c>
      <c r="AH688" t="s">
        <v>782</v>
      </c>
      <c r="AI688" s="31"/>
      <c r="AJ688" s="61"/>
      <c r="AR688" s="31">
        <v>46154</v>
      </c>
      <c r="AS688">
        <v>30</v>
      </c>
      <c r="AX688">
        <v>1</v>
      </c>
    </row>
    <row r="689" spans="1:50" x14ac:dyDescent="0.25">
      <c r="A689" t="s">
        <v>142</v>
      </c>
      <c r="B689">
        <v>1208</v>
      </c>
      <c r="C689">
        <v>255</v>
      </c>
      <c r="D689">
        <v>3788</v>
      </c>
      <c r="E689" t="s">
        <v>6323</v>
      </c>
      <c r="G689" t="s">
        <v>6324</v>
      </c>
      <c r="H689">
        <v>13533397000129</v>
      </c>
      <c r="I689" t="s">
        <v>6325</v>
      </c>
      <c r="J689" t="s">
        <v>6326</v>
      </c>
      <c r="K689" t="s">
        <v>6327</v>
      </c>
      <c r="M689" t="s">
        <v>6328</v>
      </c>
      <c r="N689" t="s">
        <v>1102</v>
      </c>
      <c r="P689" t="s">
        <v>6329</v>
      </c>
      <c r="Q689" t="s">
        <v>1837</v>
      </c>
      <c r="R689" t="s">
        <v>790</v>
      </c>
      <c r="V689" t="s">
        <v>3015</v>
      </c>
      <c r="W689" t="s">
        <v>780</v>
      </c>
      <c r="X689" t="s">
        <v>897</v>
      </c>
      <c r="Z689" s="31"/>
      <c r="AC689">
        <v>8</v>
      </c>
      <c r="AD689" t="s">
        <v>142</v>
      </c>
      <c r="AE689" s="31">
        <v>46154</v>
      </c>
      <c r="AF689" s="61">
        <v>0.49358796296296298</v>
      </c>
      <c r="AH689" t="s">
        <v>782</v>
      </c>
      <c r="AI689" s="31"/>
      <c r="AJ689" s="61"/>
      <c r="AR689" s="31"/>
      <c r="AS689">
        <v>30</v>
      </c>
      <c r="AX689">
        <v>1</v>
      </c>
    </row>
    <row r="690" spans="1:50" x14ac:dyDescent="0.25">
      <c r="A690" t="s">
        <v>31</v>
      </c>
      <c r="B690">
        <v>1209</v>
      </c>
      <c r="D690">
        <v>3786</v>
      </c>
      <c r="E690" t="s">
        <v>6330</v>
      </c>
      <c r="G690" t="s">
        <v>6331</v>
      </c>
      <c r="H690">
        <v>36621794000158</v>
      </c>
      <c r="J690" t="s">
        <v>2087</v>
      </c>
      <c r="K690" t="s">
        <v>2092</v>
      </c>
      <c r="M690" t="s">
        <v>2089</v>
      </c>
      <c r="Q690" t="s">
        <v>2094</v>
      </c>
      <c r="R690" t="s">
        <v>790</v>
      </c>
      <c r="S690" t="s">
        <v>1191</v>
      </c>
      <c r="V690" t="s">
        <v>6332</v>
      </c>
      <c r="W690" t="s">
        <v>780</v>
      </c>
      <c r="X690" t="s">
        <v>857</v>
      </c>
      <c r="Z690" s="31">
        <v>46173</v>
      </c>
      <c r="AC690">
        <v>8</v>
      </c>
      <c r="AD690" t="s">
        <v>22</v>
      </c>
      <c r="AE690" s="31">
        <v>46154</v>
      </c>
      <c r="AF690" s="61">
        <v>0.63753472222222218</v>
      </c>
      <c r="AH690" t="s">
        <v>782</v>
      </c>
      <c r="AI690" s="31"/>
      <c r="AJ690" s="61"/>
      <c r="AO690" t="s">
        <v>31</v>
      </c>
      <c r="AR690" s="31">
        <v>46161</v>
      </c>
      <c r="AS690">
        <v>30</v>
      </c>
      <c r="AX690">
        <v>1</v>
      </c>
    </row>
    <row r="691" spans="1:50" x14ac:dyDescent="0.25">
      <c r="A691" t="s">
        <v>142</v>
      </c>
      <c r="B691">
        <v>1212</v>
      </c>
      <c r="C691">
        <v>291</v>
      </c>
      <c r="D691">
        <v>3801</v>
      </c>
      <c r="G691" t="s">
        <v>6333</v>
      </c>
      <c r="H691">
        <v>17188274000159</v>
      </c>
      <c r="I691" t="s">
        <v>6334</v>
      </c>
      <c r="J691" t="s">
        <v>4704</v>
      </c>
      <c r="K691" t="s">
        <v>6335</v>
      </c>
      <c r="M691" t="s">
        <v>6336</v>
      </c>
      <c r="N691" t="s">
        <v>1102</v>
      </c>
      <c r="P691" t="s">
        <v>6337</v>
      </c>
      <c r="Q691" t="s">
        <v>1094</v>
      </c>
      <c r="R691" t="s">
        <v>790</v>
      </c>
      <c r="V691" t="s">
        <v>3015</v>
      </c>
      <c r="W691" t="s">
        <v>780</v>
      </c>
      <c r="X691" t="s">
        <v>857</v>
      </c>
      <c r="Z691" s="31"/>
      <c r="AC691">
        <v>5</v>
      </c>
      <c r="AD691" t="s">
        <v>142</v>
      </c>
      <c r="AE691" s="31">
        <v>46155</v>
      </c>
      <c r="AF691" s="61">
        <v>0.58863425925925927</v>
      </c>
      <c r="AH691" t="s">
        <v>795</v>
      </c>
      <c r="AI691" s="31">
        <v>46160</v>
      </c>
      <c r="AJ691" s="61">
        <v>0.38256944444444452</v>
      </c>
      <c r="AK691" t="s">
        <v>5392</v>
      </c>
      <c r="AL691" t="s">
        <v>6338</v>
      </c>
      <c r="AR691" s="31">
        <v>46157</v>
      </c>
      <c r="AS691">
        <v>40</v>
      </c>
      <c r="AX691">
        <v>1</v>
      </c>
    </row>
    <row r="692" spans="1:50" x14ac:dyDescent="0.25">
      <c r="A692" t="s">
        <v>44</v>
      </c>
      <c r="B692">
        <v>1213</v>
      </c>
      <c r="D692">
        <v>3802</v>
      </c>
      <c r="E692" t="s">
        <v>6339</v>
      </c>
      <c r="F692" t="s">
        <v>6340</v>
      </c>
      <c r="G692" t="s">
        <v>6341</v>
      </c>
      <c r="H692">
        <v>26991643000138</v>
      </c>
      <c r="J692" t="s">
        <v>1243</v>
      </c>
      <c r="K692" t="s">
        <v>6342</v>
      </c>
      <c r="M692" t="s">
        <v>6343</v>
      </c>
      <c r="Q692" t="s">
        <v>2080</v>
      </c>
      <c r="R692" t="s">
        <v>956</v>
      </c>
      <c r="S692" t="s">
        <v>2541</v>
      </c>
      <c r="V692" t="s">
        <v>5650</v>
      </c>
      <c r="W692" t="s">
        <v>780</v>
      </c>
      <c r="X692" t="s">
        <v>897</v>
      </c>
      <c r="Z692" s="31">
        <v>46173</v>
      </c>
      <c r="AC692">
        <v>1</v>
      </c>
      <c r="AD692" t="s">
        <v>22</v>
      </c>
      <c r="AE692" s="31">
        <v>46155</v>
      </c>
      <c r="AF692" s="61">
        <v>0.741724537037037</v>
      </c>
      <c r="AH692" t="s">
        <v>795</v>
      </c>
      <c r="AI692" s="31">
        <v>46156</v>
      </c>
      <c r="AJ692" s="61">
        <v>0.47655092592592591</v>
      </c>
      <c r="AK692" t="s">
        <v>808</v>
      </c>
      <c r="AL692" t="s">
        <v>6339</v>
      </c>
      <c r="AO692" t="s">
        <v>44</v>
      </c>
      <c r="AR692" s="31">
        <v>46156</v>
      </c>
      <c r="AS692">
        <v>30</v>
      </c>
      <c r="AX692">
        <v>1</v>
      </c>
    </row>
    <row r="693" spans="1:50" x14ac:dyDescent="0.25">
      <c r="A693" t="s">
        <v>31</v>
      </c>
      <c r="B693">
        <v>1214</v>
      </c>
      <c r="D693">
        <v>3804</v>
      </c>
      <c r="G693" t="s">
        <v>6344</v>
      </c>
      <c r="H693">
        <v>68044700000111</v>
      </c>
      <c r="J693" t="s">
        <v>6345</v>
      </c>
      <c r="K693" t="s">
        <v>6346</v>
      </c>
      <c r="M693" t="s">
        <v>1111</v>
      </c>
      <c r="Q693" t="s">
        <v>1094</v>
      </c>
      <c r="R693" t="s">
        <v>790</v>
      </c>
      <c r="S693" t="s">
        <v>805</v>
      </c>
      <c r="W693" t="s">
        <v>780</v>
      </c>
      <c r="X693" t="s">
        <v>897</v>
      </c>
      <c r="Z693" s="31"/>
      <c r="AC693">
        <v>7</v>
      </c>
      <c r="AD693" t="s">
        <v>31</v>
      </c>
      <c r="AE693" s="31">
        <v>46155</v>
      </c>
      <c r="AF693" s="61">
        <v>0.76524305555555561</v>
      </c>
      <c r="AH693" t="s">
        <v>782</v>
      </c>
      <c r="AI693" s="31"/>
      <c r="AJ693" s="61"/>
      <c r="AR693" s="31"/>
      <c r="AX693">
        <v>1</v>
      </c>
    </row>
    <row r="694" spans="1:50" x14ac:dyDescent="0.25">
      <c r="A694" t="s">
        <v>44</v>
      </c>
      <c r="B694">
        <v>1215</v>
      </c>
      <c r="D694">
        <v>3807</v>
      </c>
      <c r="G694" t="s">
        <v>240</v>
      </c>
      <c r="J694" t="s">
        <v>6347</v>
      </c>
      <c r="K694" t="s">
        <v>6348</v>
      </c>
      <c r="M694" t="s">
        <v>6161</v>
      </c>
      <c r="W694" t="s">
        <v>780</v>
      </c>
      <c r="X694" t="s">
        <v>816</v>
      </c>
      <c r="Z694" s="31"/>
      <c r="AA694">
        <v>0</v>
      </c>
      <c r="AB694">
        <v>2400</v>
      </c>
      <c r="AC694">
        <v>5</v>
      </c>
      <c r="AD694" t="s">
        <v>44</v>
      </c>
      <c r="AE694" s="31">
        <v>46156</v>
      </c>
      <c r="AF694" s="61">
        <v>0.36571759259259262</v>
      </c>
      <c r="AH694" t="s">
        <v>818</v>
      </c>
      <c r="AI694" s="31">
        <v>46161</v>
      </c>
      <c r="AJ694" s="61">
        <v>0.60270833333333329</v>
      </c>
      <c r="AN694" t="s">
        <v>6162</v>
      </c>
      <c r="AP694" t="s">
        <v>5679</v>
      </c>
      <c r="AQ694" t="s">
        <v>6162</v>
      </c>
      <c r="AR694" s="31"/>
      <c r="AS694">
        <v>90</v>
      </c>
      <c r="AX694">
        <v>1</v>
      </c>
    </row>
    <row r="695" spans="1:50" x14ac:dyDescent="0.25">
      <c r="A695" t="s">
        <v>142</v>
      </c>
      <c r="B695">
        <v>1216</v>
      </c>
      <c r="C695">
        <v>289</v>
      </c>
      <c r="D695">
        <v>3812</v>
      </c>
      <c r="E695" t="s">
        <v>6349</v>
      </c>
      <c r="G695" t="s">
        <v>6350</v>
      </c>
      <c r="H695">
        <v>3717565000182</v>
      </c>
      <c r="I695" t="s">
        <v>6351</v>
      </c>
      <c r="J695" t="s">
        <v>6352</v>
      </c>
      <c r="K695" t="s">
        <v>6353</v>
      </c>
      <c r="L695" t="s">
        <v>6354</v>
      </c>
      <c r="M695" t="s">
        <v>6355</v>
      </c>
      <c r="N695" t="s">
        <v>1102</v>
      </c>
      <c r="P695" t="s">
        <v>6356</v>
      </c>
      <c r="Q695" t="s">
        <v>1094</v>
      </c>
      <c r="R695" t="s">
        <v>790</v>
      </c>
      <c r="V695" t="s">
        <v>3015</v>
      </c>
      <c r="W695" t="s">
        <v>780</v>
      </c>
      <c r="X695" t="s">
        <v>897</v>
      </c>
      <c r="Z695" s="31"/>
      <c r="AC695">
        <v>6</v>
      </c>
      <c r="AD695" t="s">
        <v>142</v>
      </c>
      <c r="AE695" s="31">
        <v>46156</v>
      </c>
      <c r="AF695" s="61">
        <v>0.49780092592592601</v>
      </c>
      <c r="AH695" t="s">
        <v>782</v>
      </c>
      <c r="AI695" s="31"/>
      <c r="AJ695" s="61"/>
      <c r="AR695" s="31"/>
      <c r="AS695">
        <v>30</v>
      </c>
      <c r="AX695">
        <v>1</v>
      </c>
    </row>
    <row r="696" spans="1:50" x14ac:dyDescent="0.25">
      <c r="A696" t="s">
        <v>31</v>
      </c>
      <c r="B696">
        <v>1217</v>
      </c>
      <c r="D696">
        <v>3814</v>
      </c>
      <c r="G696" t="s">
        <v>6357</v>
      </c>
      <c r="H696">
        <v>11587676000140</v>
      </c>
      <c r="J696" t="s">
        <v>6358</v>
      </c>
      <c r="K696" t="s">
        <v>6359</v>
      </c>
      <c r="M696" t="s">
        <v>6360</v>
      </c>
      <c r="Q696" t="s">
        <v>6361</v>
      </c>
      <c r="R696" t="s">
        <v>848</v>
      </c>
      <c r="S696" t="s">
        <v>805</v>
      </c>
      <c r="W696" t="s">
        <v>780</v>
      </c>
      <c r="X696" t="s">
        <v>897</v>
      </c>
      <c r="Z696" s="31"/>
      <c r="AC696">
        <v>6</v>
      </c>
      <c r="AD696" t="s">
        <v>31</v>
      </c>
      <c r="AE696" s="31">
        <v>46156</v>
      </c>
      <c r="AF696" s="61">
        <v>0.61549768518518522</v>
      </c>
      <c r="AH696" t="s">
        <v>782</v>
      </c>
      <c r="AI696" s="31"/>
      <c r="AJ696" s="61"/>
      <c r="AR696" s="31">
        <v>46156</v>
      </c>
      <c r="AS696">
        <v>30</v>
      </c>
      <c r="AX696">
        <v>1</v>
      </c>
    </row>
    <row r="697" spans="1:50" x14ac:dyDescent="0.25">
      <c r="A697" t="s">
        <v>31</v>
      </c>
      <c r="B697">
        <v>1218</v>
      </c>
      <c r="D697">
        <v>3817</v>
      </c>
      <c r="G697" t="s">
        <v>6362</v>
      </c>
      <c r="H697">
        <v>3640671000105</v>
      </c>
      <c r="J697" t="s">
        <v>6363</v>
      </c>
      <c r="K697" t="s">
        <v>6364</v>
      </c>
      <c r="M697" t="s">
        <v>6365</v>
      </c>
      <c r="Q697" t="s">
        <v>3782</v>
      </c>
      <c r="R697" t="s">
        <v>790</v>
      </c>
      <c r="S697" t="s">
        <v>805</v>
      </c>
      <c r="W697" t="s">
        <v>780</v>
      </c>
      <c r="X697" t="s">
        <v>897</v>
      </c>
      <c r="Z697" s="31"/>
      <c r="AC697">
        <v>6</v>
      </c>
      <c r="AD697" t="s">
        <v>31</v>
      </c>
      <c r="AE697" s="31">
        <v>46156</v>
      </c>
      <c r="AF697" s="61">
        <v>0.61739583333333337</v>
      </c>
      <c r="AH697" t="s">
        <v>782</v>
      </c>
      <c r="AI697" s="31"/>
      <c r="AJ697" s="61"/>
      <c r="AR697" s="31"/>
      <c r="AX697">
        <v>1</v>
      </c>
    </row>
    <row r="698" spans="1:50" x14ac:dyDescent="0.25">
      <c r="A698" t="s">
        <v>31</v>
      </c>
      <c r="B698">
        <v>1219</v>
      </c>
      <c r="D698">
        <v>3820</v>
      </c>
      <c r="G698" t="s">
        <v>6366</v>
      </c>
      <c r="H698">
        <v>14892407000185</v>
      </c>
      <c r="J698" t="s">
        <v>6367</v>
      </c>
      <c r="K698" t="s">
        <v>6368</v>
      </c>
      <c r="M698" t="s">
        <v>6369</v>
      </c>
      <c r="Q698" t="s">
        <v>6370</v>
      </c>
      <c r="R698" t="s">
        <v>1027</v>
      </c>
      <c r="S698" t="s">
        <v>805</v>
      </c>
      <c r="W698" t="s">
        <v>780</v>
      </c>
      <c r="X698" t="s">
        <v>897</v>
      </c>
      <c r="Z698" s="31"/>
      <c r="AC698">
        <v>6</v>
      </c>
      <c r="AD698" t="s">
        <v>31</v>
      </c>
      <c r="AE698" s="31">
        <v>46156</v>
      </c>
      <c r="AF698" s="61">
        <v>0.61788194444444444</v>
      </c>
      <c r="AH698" t="s">
        <v>782</v>
      </c>
      <c r="AI698" s="31"/>
      <c r="AJ698" s="61"/>
      <c r="AR698" s="31"/>
      <c r="AX698">
        <v>1</v>
      </c>
    </row>
    <row r="699" spans="1:50" x14ac:dyDescent="0.25">
      <c r="A699" t="s">
        <v>44</v>
      </c>
      <c r="B699">
        <v>1220</v>
      </c>
      <c r="D699">
        <v>3824</v>
      </c>
      <c r="G699" t="s">
        <v>254</v>
      </c>
      <c r="J699" t="s">
        <v>6371</v>
      </c>
      <c r="K699" t="s">
        <v>879</v>
      </c>
      <c r="M699" t="s">
        <v>6372</v>
      </c>
      <c r="W699" t="s">
        <v>780</v>
      </c>
      <c r="X699" t="s">
        <v>807</v>
      </c>
      <c r="Z699" s="31"/>
      <c r="AA699">
        <v>25228</v>
      </c>
      <c r="AB699">
        <v>0</v>
      </c>
      <c r="AC699">
        <v>6</v>
      </c>
      <c r="AD699" t="s">
        <v>44</v>
      </c>
      <c r="AE699" s="31">
        <v>46156</v>
      </c>
      <c r="AF699" s="61">
        <v>0.61886574074074074</v>
      </c>
      <c r="AH699" t="s">
        <v>782</v>
      </c>
      <c r="AI699" s="31"/>
      <c r="AJ699" s="61"/>
      <c r="AN699" t="s">
        <v>6072</v>
      </c>
      <c r="AR699" s="31"/>
      <c r="AS699">
        <v>50</v>
      </c>
      <c r="AX699">
        <v>1</v>
      </c>
    </row>
    <row r="700" spans="1:50" x14ac:dyDescent="0.25">
      <c r="A700" t="s">
        <v>31</v>
      </c>
      <c r="B700">
        <v>1221</v>
      </c>
      <c r="D700">
        <v>3826</v>
      </c>
      <c r="G700" t="s">
        <v>6373</v>
      </c>
      <c r="H700">
        <v>79846465000207</v>
      </c>
      <c r="J700" t="s">
        <v>6374</v>
      </c>
      <c r="K700" t="s">
        <v>6375</v>
      </c>
      <c r="M700" t="s">
        <v>6376</v>
      </c>
      <c r="Q700" t="s">
        <v>2518</v>
      </c>
      <c r="R700" t="s">
        <v>932</v>
      </c>
      <c r="S700" t="s">
        <v>805</v>
      </c>
      <c r="W700" t="s">
        <v>780</v>
      </c>
      <c r="X700" t="s">
        <v>897</v>
      </c>
      <c r="Z700" s="31"/>
      <c r="AC700">
        <v>6</v>
      </c>
      <c r="AD700" t="s">
        <v>31</v>
      </c>
      <c r="AE700" s="31">
        <v>46156</v>
      </c>
      <c r="AF700" s="61">
        <v>0.64121527777777776</v>
      </c>
      <c r="AH700" t="s">
        <v>782</v>
      </c>
      <c r="AI700" s="31"/>
      <c r="AJ700" s="61"/>
      <c r="AR700" s="31"/>
      <c r="AX700">
        <v>1</v>
      </c>
    </row>
    <row r="701" spans="1:50" x14ac:dyDescent="0.25">
      <c r="A701" t="s">
        <v>31</v>
      </c>
      <c r="B701">
        <v>1222</v>
      </c>
      <c r="D701">
        <v>3827</v>
      </c>
      <c r="G701" t="s">
        <v>1360</v>
      </c>
      <c r="H701">
        <v>5670513000123</v>
      </c>
      <c r="J701" t="s">
        <v>6377</v>
      </c>
      <c r="K701" t="s">
        <v>6378</v>
      </c>
      <c r="M701" t="s">
        <v>6379</v>
      </c>
      <c r="Q701" t="s">
        <v>1094</v>
      </c>
      <c r="R701" t="s">
        <v>790</v>
      </c>
      <c r="S701" t="s">
        <v>805</v>
      </c>
      <c r="W701" t="s">
        <v>780</v>
      </c>
      <c r="X701" t="s">
        <v>781</v>
      </c>
      <c r="Z701" s="31"/>
      <c r="AC701">
        <v>6</v>
      </c>
      <c r="AD701" t="s">
        <v>31</v>
      </c>
      <c r="AE701" s="31">
        <v>46156</v>
      </c>
      <c r="AF701" s="61">
        <v>0.64234953703703701</v>
      </c>
      <c r="AH701" t="s">
        <v>782</v>
      </c>
      <c r="AI701" s="31"/>
      <c r="AJ701" s="61"/>
      <c r="AR701" s="31"/>
      <c r="AX701">
        <v>1</v>
      </c>
    </row>
    <row r="702" spans="1:50" x14ac:dyDescent="0.25">
      <c r="A702" t="s">
        <v>31</v>
      </c>
      <c r="B702">
        <v>1223</v>
      </c>
      <c r="D702">
        <v>3830</v>
      </c>
      <c r="G702" t="s">
        <v>6380</v>
      </c>
      <c r="H702">
        <v>29946937000136</v>
      </c>
      <c r="J702" t="s">
        <v>6381</v>
      </c>
      <c r="K702" t="s">
        <v>6382</v>
      </c>
      <c r="M702" t="s">
        <v>6383</v>
      </c>
      <c r="Q702" t="s">
        <v>1950</v>
      </c>
      <c r="R702" t="s">
        <v>790</v>
      </c>
      <c r="S702" t="s">
        <v>805</v>
      </c>
      <c r="W702" t="s">
        <v>780</v>
      </c>
      <c r="X702" t="s">
        <v>781</v>
      </c>
      <c r="Z702" s="31"/>
      <c r="AC702">
        <v>6</v>
      </c>
      <c r="AD702" t="s">
        <v>31</v>
      </c>
      <c r="AE702" s="31">
        <v>46156</v>
      </c>
      <c r="AF702" s="61">
        <v>0.6457060185185185</v>
      </c>
      <c r="AH702" t="s">
        <v>782</v>
      </c>
      <c r="AI702" s="31"/>
      <c r="AJ702" s="61"/>
      <c r="AR702" s="31"/>
      <c r="AX702">
        <v>1</v>
      </c>
    </row>
    <row r="703" spans="1:50" x14ac:dyDescent="0.25">
      <c r="A703" t="s">
        <v>31</v>
      </c>
      <c r="B703">
        <v>1224</v>
      </c>
      <c r="D703">
        <v>3832</v>
      </c>
      <c r="G703" t="s">
        <v>6384</v>
      </c>
      <c r="H703">
        <v>90406117000162</v>
      </c>
      <c r="J703" t="s">
        <v>6385</v>
      </c>
      <c r="K703" t="s">
        <v>6386</v>
      </c>
      <c r="M703" t="s">
        <v>6387</v>
      </c>
      <c r="Q703" t="s">
        <v>1026</v>
      </c>
      <c r="R703" t="s">
        <v>1027</v>
      </c>
      <c r="S703" t="s">
        <v>805</v>
      </c>
      <c r="W703" t="s">
        <v>780</v>
      </c>
      <c r="X703" t="s">
        <v>781</v>
      </c>
      <c r="Z703" s="31"/>
      <c r="AC703">
        <v>6</v>
      </c>
      <c r="AD703" t="s">
        <v>31</v>
      </c>
      <c r="AE703" s="31">
        <v>46156</v>
      </c>
      <c r="AF703" s="61">
        <v>0.64667824074074076</v>
      </c>
      <c r="AH703" t="s">
        <v>782</v>
      </c>
      <c r="AI703" s="31"/>
      <c r="AJ703" s="61"/>
      <c r="AR703" s="31"/>
      <c r="AX703">
        <v>1</v>
      </c>
    </row>
    <row r="704" spans="1:50" x14ac:dyDescent="0.25">
      <c r="A704" t="s">
        <v>31</v>
      </c>
      <c r="B704">
        <v>1225</v>
      </c>
      <c r="D704">
        <v>3835</v>
      </c>
      <c r="G704" t="s">
        <v>6388</v>
      </c>
      <c r="H704">
        <v>5020996000110</v>
      </c>
      <c r="J704" t="s">
        <v>6389</v>
      </c>
      <c r="K704" t="s">
        <v>6390</v>
      </c>
      <c r="M704" t="s">
        <v>6391</v>
      </c>
      <c r="Q704" t="s">
        <v>6392</v>
      </c>
      <c r="R704" t="s">
        <v>1027</v>
      </c>
      <c r="S704" t="s">
        <v>805</v>
      </c>
      <c r="W704" t="s">
        <v>780</v>
      </c>
      <c r="X704" t="s">
        <v>781</v>
      </c>
      <c r="Z704" s="31"/>
      <c r="AC704">
        <v>6</v>
      </c>
      <c r="AD704" t="s">
        <v>31</v>
      </c>
      <c r="AE704" s="31">
        <v>46156</v>
      </c>
      <c r="AF704" s="61">
        <v>0.64754629629629634</v>
      </c>
      <c r="AH704" t="s">
        <v>782</v>
      </c>
      <c r="AI704" s="31"/>
      <c r="AJ704" s="61"/>
      <c r="AR704" s="31"/>
      <c r="AX704">
        <v>1</v>
      </c>
    </row>
    <row r="705" spans="1:50" x14ac:dyDescent="0.25">
      <c r="A705" t="s">
        <v>31</v>
      </c>
      <c r="B705">
        <v>1226</v>
      </c>
      <c r="D705">
        <v>3838</v>
      </c>
      <c r="G705" t="s">
        <v>6393</v>
      </c>
      <c r="H705">
        <v>30365926000141</v>
      </c>
      <c r="J705" t="s">
        <v>6394</v>
      </c>
      <c r="K705" t="s">
        <v>6395</v>
      </c>
      <c r="M705" t="s">
        <v>6396</v>
      </c>
      <c r="Q705" t="s">
        <v>6397</v>
      </c>
      <c r="R705" t="s">
        <v>1699</v>
      </c>
      <c r="S705" t="s">
        <v>805</v>
      </c>
      <c r="W705" t="s">
        <v>780</v>
      </c>
      <c r="X705" t="s">
        <v>781</v>
      </c>
      <c r="Z705" s="31"/>
      <c r="AC705">
        <v>6</v>
      </c>
      <c r="AD705" t="s">
        <v>31</v>
      </c>
      <c r="AE705" s="31">
        <v>46156</v>
      </c>
      <c r="AF705" s="61">
        <v>0.64848379629629627</v>
      </c>
      <c r="AH705" t="s">
        <v>782</v>
      </c>
      <c r="AI705" s="31"/>
      <c r="AJ705" s="61"/>
      <c r="AR705" s="31"/>
      <c r="AX705">
        <v>1</v>
      </c>
    </row>
    <row r="706" spans="1:50" x14ac:dyDescent="0.25">
      <c r="A706" t="s">
        <v>31</v>
      </c>
      <c r="B706">
        <v>1227</v>
      </c>
      <c r="D706">
        <v>3840</v>
      </c>
      <c r="G706" t="s">
        <v>6398</v>
      </c>
      <c r="H706">
        <v>1355480000176</v>
      </c>
      <c r="J706" t="s">
        <v>6399</v>
      </c>
      <c r="K706" t="s">
        <v>6400</v>
      </c>
      <c r="M706" t="s">
        <v>6401</v>
      </c>
      <c r="Q706" t="s">
        <v>1094</v>
      </c>
      <c r="R706" t="s">
        <v>790</v>
      </c>
      <c r="S706" t="s">
        <v>805</v>
      </c>
      <c r="W706" t="s">
        <v>780</v>
      </c>
      <c r="X706" t="s">
        <v>781</v>
      </c>
      <c r="Z706" s="31"/>
      <c r="AC706">
        <v>6</v>
      </c>
      <c r="AD706" t="s">
        <v>31</v>
      </c>
      <c r="AE706" s="31">
        <v>46156</v>
      </c>
      <c r="AF706" s="61">
        <v>0.648900462962963</v>
      </c>
      <c r="AH706" t="s">
        <v>782</v>
      </c>
      <c r="AI706" s="31"/>
      <c r="AJ706" s="61"/>
      <c r="AR706" s="31"/>
      <c r="AX706">
        <v>1</v>
      </c>
    </row>
    <row r="707" spans="1:50" x14ac:dyDescent="0.25">
      <c r="A707" t="s">
        <v>31</v>
      </c>
      <c r="B707">
        <v>1228</v>
      </c>
      <c r="D707">
        <v>3877</v>
      </c>
      <c r="G707" t="s">
        <v>6402</v>
      </c>
      <c r="H707">
        <v>3959052000188</v>
      </c>
      <c r="J707" t="s">
        <v>6403</v>
      </c>
      <c r="K707" t="s">
        <v>6404</v>
      </c>
      <c r="M707" t="s">
        <v>6405</v>
      </c>
      <c r="Q707" t="s">
        <v>6406</v>
      </c>
      <c r="R707" t="s">
        <v>790</v>
      </c>
      <c r="S707" t="s">
        <v>805</v>
      </c>
      <c r="W707" t="s">
        <v>780</v>
      </c>
      <c r="X707" t="s">
        <v>781</v>
      </c>
      <c r="Z707" s="31"/>
      <c r="AC707">
        <v>6</v>
      </c>
      <c r="AD707" t="s">
        <v>31</v>
      </c>
      <c r="AE707" s="31">
        <v>46156</v>
      </c>
      <c r="AF707" s="61">
        <v>0.66104166666666664</v>
      </c>
      <c r="AH707" t="s">
        <v>782</v>
      </c>
      <c r="AI707" s="31"/>
      <c r="AJ707" s="61"/>
      <c r="AR707" s="31"/>
      <c r="AX707">
        <v>1</v>
      </c>
    </row>
    <row r="708" spans="1:50" x14ac:dyDescent="0.25">
      <c r="A708" t="s">
        <v>31</v>
      </c>
      <c r="B708">
        <v>1229</v>
      </c>
      <c r="D708">
        <v>3881</v>
      </c>
      <c r="G708" t="s">
        <v>6407</v>
      </c>
      <c r="H708">
        <v>9149833000193</v>
      </c>
      <c r="J708" t="s">
        <v>6408</v>
      </c>
      <c r="K708" t="s">
        <v>6409</v>
      </c>
      <c r="M708" t="s">
        <v>6410</v>
      </c>
      <c r="Q708" t="s">
        <v>4910</v>
      </c>
      <c r="R708" t="s">
        <v>932</v>
      </c>
      <c r="S708" t="s">
        <v>805</v>
      </c>
      <c r="W708" t="s">
        <v>780</v>
      </c>
      <c r="X708" t="s">
        <v>781</v>
      </c>
      <c r="Z708" s="31"/>
      <c r="AC708">
        <v>6</v>
      </c>
      <c r="AD708" t="s">
        <v>31</v>
      </c>
      <c r="AE708" s="31">
        <v>46156</v>
      </c>
      <c r="AF708" s="61">
        <v>0.66148148148148145</v>
      </c>
      <c r="AH708" t="s">
        <v>782</v>
      </c>
      <c r="AI708" s="31"/>
      <c r="AJ708" s="61"/>
      <c r="AR708" s="31"/>
      <c r="AX708">
        <v>1</v>
      </c>
    </row>
    <row r="709" spans="1:50" x14ac:dyDescent="0.25">
      <c r="A709" t="s">
        <v>31</v>
      </c>
      <c r="B709">
        <v>1230</v>
      </c>
      <c r="D709">
        <v>3892</v>
      </c>
      <c r="G709" t="s">
        <v>6411</v>
      </c>
      <c r="H709">
        <v>8696119000314</v>
      </c>
      <c r="J709" t="s">
        <v>6412</v>
      </c>
      <c r="K709" t="s">
        <v>6413</v>
      </c>
      <c r="M709" t="s">
        <v>6414</v>
      </c>
      <c r="Q709" t="s">
        <v>1094</v>
      </c>
      <c r="R709" t="s">
        <v>790</v>
      </c>
      <c r="S709" t="s">
        <v>805</v>
      </c>
      <c r="W709" t="s">
        <v>780</v>
      </c>
      <c r="X709" t="s">
        <v>781</v>
      </c>
      <c r="Z709" s="31"/>
      <c r="AC709">
        <v>6</v>
      </c>
      <c r="AD709" t="s">
        <v>31</v>
      </c>
      <c r="AE709" s="31">
        <v>46156</v>
      </c>
      <c r="AF709" s="61">
        <v>0.67090277777777774</v>
      </c>
      <c r="AH709" t="s">
        <v>782</v>
      </c>
      <c r="AI709" s="31"/>
      <c r="AJ709" s="61"/>
      <c r="AR709" s="31"/>
      <c r="AX709">
        <v>1</v>
      </c>
    </row>
    <row r="710" spans="1:50" x14ac:dyDescent="0.25">
      <c r="A710" t="s">
        <v>31</v>
      </c>
      <c r="B710">
        <v>1231</v>
      </c>
      <c r="D710">
        <v>3895</v>
      </c>
      <c r="G710" t="s">
        <v>6415</v>
      </c>
      <c r="H710">
        <v>8266046000169</v>
      </c>
      <c r="J710" t="s">
        <v>6416</v>
      </c>
      <c r="K710" t="s">
        <v>6417</v>
      </c>
      <c r="M710" t="s">
        <v>6418</v>
      </c>
      <c r="Q710" t="s">
        <v>6419</v>
      </c>
      <c r="R710" t="s">
        <v>932</v>
      </c>
      <c r="S710" t="s">
        <v>805</v>
      </c>
      <c r="W710" t="s">
        <v>780</v>
      </c>
      <c r="X710" t="s">
        <v>897</v>
      </c>
      <c r="Z710" s="31"/>
      <c r="AC710">
        <v>6</v>
      </c>
      <c r="AD710" t="s">
        <v>31</v>
      </c>
      <c r="AE710" s="31">
        <v>46156</v>
      </c>
      <c r="AF710" s="61">
        <v>0.67621527777777779</v>
      </c>
      <c r="AH710" t="s">
        <v>782</v>
      </c>
      <c r="AI710" s="31"/>
      <c r="AJ710" s="61"/>
      <c r="AR710" s="31"/>
      <c r="AX710">
        <v>1</v>
      </c>
    </row>
    <row r="711" spans="1:50" x14ac:dyDescent="0.25">
      <c r="A711" t="s">
        <v>31</v>
      </c>
      <c r="B711">
        <v>1232</v>
      </c>
      <c r="D711">
        <v>3898</v>
      </c>
      <c r="G711" t="s">
        <v>6420</v>
      </c>
      <c r="H711">
        <v>18455453000178</v>
      </c>
      <c r="J711" t="s">
        <v>6421</v>
      </c>
      <c r="K711" t="s">
        <v>6422</v>
      </c>
      <c r="M711" t="s">
        <v>6423</v>
      </c>
      <c r="Q711" t="s">
        <v>3636</v>
      </c>
      <c r="R711" t="s">
        <v>1699</v>
      </c>
      <c r="S711" t="s">
        <v>805</v>
      </c>
      <c r="W711" t="s">
        <v>780</v>
      </c>
      <c r="X711" t="s">
        <v>897</v>
      </c>
      <c r="Z711" s="31"/>
      <c r="AC711">
        <v>6</v>
      </c>
      <c r="AD711" t="s">
        <v>31</v>
      </c>
      <c r="AE711" s="31">
        <v>46156</v>
      </c>
      <c r="AF711" s="61">
        <v>0.67667824074074079</v>
      </c>
      <c r="AH711" t="s">
        <v>782</v>
      </c>
      <c r="AI711" s="31"/>
      <c r="AJ711" s="61"/>
      <c r="AR711" s="31"/>
      <c r="AX711">
        <v>1</v>
      </c>
    </row>
    <row r="712" spans="1:50" x14ac:dyDescent="0.25">
      <c r="A712" t="s">
        <v>44</v>
      </c>
      <c r="B712">
        <v>1233</v>
      </c>
      <c r="D712">
        <v>3918</v>
      </c>
      <c r="G712" t="s">
        <v>222</v>
      </c>
      <c r="H712">
        <v>35754976000215</v>
      </c>
      <c r="J712" t="s">
        <v>6424</v>
      </c>
      <c r="K712" t="s">
        <v>5728</v>
      </c>
      <c r="M712" t="s">
        <v>3157</v>
      </c>
      <c r="Q712" t="s">
        <v>3158</v>
      </c>
      <c r="R712" t="s">
        <v>932</v>
      </c>
      <c r="W712" t="s">
        <v>780</v>
      </c>
      <c r="X712" t="s">
        <v>857</v>
      </c>
      <c r="Z712" s="31"/>
      <c r="AC712">
        <v>5</v>
      </c>
      <c r="AD712" t="s">
        <v>44</v>
      </c>
      <c r="AE712" s="31">
        <v>46157</v>
      </c>
      <c r="AF712" s="61">
        <v>0.47616898148148151</v>
      </c>
      <c r="AH712" t="s">
        <v>782</v>
      </c>
      <c r="AI712" s="31"/>
      <c r="AJ712" s="61"/>
      <c r="AP712" t="s">
        <v>6425</v>
      </c>
      <c r="AR712" s="31"/>
      <c r="AS712">
        <v>50</v>
      </c>
      <c r="AX712">
        <v>1</v>
      </c>
    </row>
    <row r="713" spans="1:50" x14ac:dyDescent="0.25">
      <c r="A713" t="s">
        <v>142</v>
      </c>
      <c r="B713">
        <v>1234</v>
      </c>
      <c r="D713">
        <v>3917</v>
      </c>
      <c r="E713" t="s">
        <v>6426</v>
      </c>
      <c r="G713" t="s">
        <v>6427</v>
      </c>
      <c r="J713" t="s">
        <v>6428</v>
      </c>
      <c r="K713" t="s">
        <v>6429</v>
      </c>
      <c r="M713" t="s">
        <v>6430</v>
      </c>
      <c r="Q713" t="s">
        <v>6431</v>
      </c>
      <c r="S713" t="s">
        <v>1191</v>
      </c>
      <c r="V713" t="s">
        <v>5650</v>
      </c>
      <c r="W713" t="s">
        <v>780</v>
      </c>
      <c r="X713" t="s">
        <v>897</v>
      </c>
      <c r="Z713" s="31"/>
      <c r="AC713">
        <v>5</v>
      </c>
      <c r="AD713" t="s">
        <v>22</v>
      </c>
      <c r="AE713" s="31">
        <v>46157</v>
      </c>
      <c r="AF713" s="61">
        <v>0.51232638888888893</v>
      </c>
      <c r="AH713" t="s">
        <v>782</v>
      </c>
      <c r="AI713" s="31"/>
      <c r="AJ713" s="61"/>
      <c r="AO713" t="s">
        <v>142</v>
      </c>
      <c r="AR713" s="31"/>
      <c r="AS713">
        <v>30</v>
      </c>
      <c r="AX713">
        <v>1</v>
      </c>
    </row>
    <row r="714" spans="1:50" x14ac:dyDescent="0.25">
      <c r="A714" t="s">
        <v>44</v>
      </c>
      <c r="B714">
        <v>1236</v>
      </c>
      <c r="D714">
        <v>3921</v>
      </c>
      <c r="G714" t="s">
        <v>256</v>
      </c>
      <c r="J714" t="s">
        <v>6432</v>
      </c>
      <c r="K714" t="s">
        <v>1579</v>
      </c>
      <c r="M714" t="s">
        <v>1580</v>
      </c>
      <c r="W714" t="s">
        <v>780</v>
      </c>
      <c r="X714" t="s">
        <v>793</v>
      </c>
      <c r="Z714" s="31"/>
      <c r="AC714">
        <v>2</v>
      </c>
      <c r="AD714" t="s">
        <v>44</v>
      </c>
      <c r="AE714" s="31">
        <v>46160</v>
      </c>
      <c r="AF714" s="61">
        <v>0.34668981481481481</v>
      </c>
      <c r="AH714" t="s">
        <v>782</v>
      </c>
      <c r="AI714" s="31"/>
      <c r="AJ714" s="61"/>
      <c r="AN714" t="s">
        <v>6433</v>
      </c>
      <c r="AR714" s="31"/>
      <c r="AS714">
        <v>50</v>
      </c>
      <c r="AX714">
        <v>1</v>
      </c>
    </row>
    <row r="715" spans="1:50" x14ac:dyDescent="0.25">
      <c r="A715" t="s">
        <v>44</v>
      </c>
      <c r="B715">
        <v>1237</v>
      </c>
      <c r="D715">
        <v>3922</v>
      </c>
      <c r="G715" t="s">
        <v>243</v>
      </c>
      <c r="J715" t="s">
        <v>6434</v>
      </c>
      <c r="K715" t="s">
        <v>1579</v>
      </c>
      <c r="M715" t="s">
        <v>1580</v>
      </c>
      <c r="W715" t="s">
        <v>780</v>
      </c>
      <c r="X715" t="s">
        <v>793</v>
      </c>
      <c r="Z715" s="31"/>
      <c r="AC715">
        <v>2</v>
      </c>
      <c r="AD715" t="s">
        <v>44</v>
      </c>
      <c r="AE715" s="31">
        <v>46160</v>
      </c>
      <c r="AF715" s="61">
        <v>0.35175925925925933</v>
      </c>
      <c r="AH715" t="s">
        <v>782</v>
      </c>
      <c r="AI715" s="31"/>
      <c r="AJ715" s="61"/>
      <c r="AN715" t="s">
        <v>6433</v>
      </c>
      <c r="AP715" t="s">
        <v>6433</v>
      </c>
      <c r="AR715" s="31"/>
      <c r="AS715">
        <v>50</v>
      </c>
      <c r="AX715">
        <v>1</v>
      </c>
    </row>
    <row r="716" spans="1:50" x14ac:dyDescent="0.25">
      <c r="A716" t="s">
        <v>44</v>
      </c>
      <c r="B716">
        <v>1238</v>
      </c>
      <c r="D716">
        <v>3923</v>
      </c>
      <c r="G716" t="s">
        <v>244</v>
      </c>
      <c r="J716" t="s">
        <v>6435</v>
      </c>
      <c r="K716" t="s">
        <v>2254</v>
      </c>
      <c r="M716" t="s">
        <v>6436</v>
      </c>
      <c r="W716" t="s">
        <v>780</v>
      </c>
      <c r="X716" t="s">
        <v>793</v>
      </c>
      <c r="Z716" s="31"/>
      <c r="AC716">
        <v>2</v>
      </c>
      <c r="AD716" t="s">
        <v>44</v>
      </c>
      <c r="AE716" s="31">
        <v>46160</v>
      </c>
      <c r="AF716" s="61">
        <v>0.36075231481481479</v>
      </c>
      <c r="AH716" t="s">
        <v>782</v>
      </c>
      <c r="AI716" s="31"/>
      <c r="AJ716" s="61"/>
      <c r="AN716" t="s">
        <v>6433</v>
      </c>
      <c r="AP716" t="s">
        <v>6433</v>
      </c>
      <c r="AR716" s="31"/>
      <c r="AS716">
        <v>50</v>
      </c>
      <c r="AX716">
        <v>1</v>
      </c>
    </row>
    <row r="717" spans="1:50" x14ac:dyDescent="0.25">
      <c r="A717" t="s">
        <v>44</v>
      </c>
      <c r="B717">
        <v>1240</v>
      </c>
      <c r="D717">
        <v>3962</v>
      </c>
      <c r="G717" t="s">
        <v>6437</v>
      </c>
      <c r="J717" t="s">
        <v>6438</v>
      </c>
      <c r="K717" t="s">
        <v>6439</v>
      </c>
      <c r="M717" t="s">
        <v>1111</v>
      </c>
      <c r="W717" t="s">
        <v>780</v>
      </c>
      <c r="X717" t="s">
        <v>857</v>
      </c>
      <c r="Z717" s="31"/>
      <c r="AC717">
        <v>1</v>
      </c>
      <c r="AD717" t="s">
        <v>44</v>
      </c>
      <c r="AE717" s="31">
        <v>46161</v>
      </c>
      <c r="AF717" s="61">
        <v>0.71011574074074069</v>
      </c>
      <c r="AH717" t="s">
        <v>782</v>
      </c>
      <c r="AI717" s="31"/>
      <c r="AJ717" s="61"/>
      <c r="AR717" s="31"/>
      <c r="AS717">
        <v>50</v>
      </c>
      <c r="AX717">
        <v>1</v>
      </c>
    </row>
  </sheetData>
  <pageMargins left="0.511811024" right="0.511811024" top="0.78740157499999996" bottom="0.78740157499999996" header="0.31496062000000002" footer="0.3149606200000000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AQ503"/>
  <sheetViews>
    <sheetView workbookViewId="0">
      <selection activeCell="E501" sqref="E501"/>
    </sheetView>
  </sheetViews>
  <sheetFormatPr defaultRowHeight="15" x14ac:dyDescent="0.25"/>
  <cols>
    <col min="1" max="1" width="16.5703125" bestFit="1" customWidth="1"/>
    <col min="2" max="2" width="14.85546875" bestFit="1" customWidth="1"/>
    <col min="3" max="3" width="11.28515625" bestFit="1" customWidth="1"/>
    <col min="4" max="4" width="11.85546875" bestFit="1" customWidth="1"/>
    <col min="5" max="5" width="80.85546875" bestFit="1" customWidth="1"/>
    <col min="6" max="6" width="13.5703125" bestFit="1" customWidth="1"/>
    <col min="7" max="7" width="80" bestFit="1" customWidth="1"/>
    <col min="8" max="8" width="12" bestFit="1" customWidth="1"/>
    <col min="9" max="9" width="80" bestFit="1" customWidth="1"/>
    <col min="10" max="10" width="60.28515625" bestFit="1" customWidth="1"/>
    <col min="11" max="11" width="40.7109375" bestFit="1" customWidth="1"/>
    <col min="12" max="12" width="18.7109375" bestFit="1" customWidth="1"/>
    <col min="13" max="13" width="39.85546875" bestFit="1" customWidth="1"/>
    <col min="14" max="14" width="10.7109375" bestFit="1" customWidth="1"/>
    <col min="15" max="15" width="61.85546875" bestFit="1" customWidth="1"/>
    <col min="16" max="16" width="23" bestFit="1" customWidth="1"/>
    <col min="17" max="17" width="8.85546875" bestFit="1" customWidth="1"/>
    <col min="18" max="18" width="13.7109375" bestFit="1" customWidth="1"/>
    <col min="19" max="19" width="21.5703125" bestFit="1" customWidth="1"/>
    <col min="20" max="20" width="19.140625" bestFit="1" customWidth="1"/>
    <col min="21" max="21" width="23.28515625" bestFit="1" customWidth="1"/>
    <col min="22" max="22" width="30.85546875" bestFit="1" customWidth="1"/>
    <col min="23" max="23" width="12" bestFit="1" customWidth="1"/>
    <col min="24" max="24" width="14" bestFit="1" customWidth="1"/>
    <col min="25" max="25" width="12.7109375" bestFit="1" customWidth="1"/>
    <col min="26" max="26" width="22.7109375" bestFit="1" customWidth="1"/>
    <col min="27" max="27" width="16.42578125" bestFit="1" customWidth="1"/>
    <col min="28" max="28" width="16.5703125" bestFit="1" customWidth="1"/>
    <col min="29" max="29" width="8.5703125" bestFit="1" customWidth="1"/>
    <col min="30" max="30" width="21" bestFit="1" customWidth="1"/>
    <col min="31" max="31" width="21.140625" bestFit="1" customWidth="1"/>
    <col min="32" max="32" width="40.28515625" bestFit="1" customWidth="1"/>
    <col min="33" max="33" width="16" bestFit="1" customWidth="1"/>
    <col min="34" max="34" width="15.28515625" bestFit="1" customWidth="1"/>
    <col min="35" max="36" width="19.7109375" bestFit="1" customWidth="1"/>
    <col min="37" max="37" width="16.5703125" bestFit="1" customWidth="1"/>
    <col min="38" max="38" width="13.85546875" bestFit="1" customWidth="1"/>
    <col min="39" max="39" width="8.140625" bestFit="1" customWidth="1"/>
    <col min="40" max="40" width="11.85546875" bestFit="1" customWidth="1"/>
    <col min="41" max="41" width="16.7109375" bestFit="1" customWidth="1"/>
    <col min="42" max="42" width="23.7109375" bestFit="1" customWidth="1"/>
    <col min="43" max="43" width="7.28515625" bestFit="1" customWidth="1"/>
  </cols>
  <sheetData>
    <row r="1" spans="1:43" x14ac:dyDescent="0.25">
      <c r="A1" t="s">
        <v>212</v>
      </c>
      <c r="B1" t="s">
        <v>3214</v>
      </c>
      <c r="C1" t="s">
        <v>732</v>
      </c>
      <c r="D1" t="s">
        <v>733</v>
      </c>
      <c r="E1" t="s">
        <v>734</v>
      </c>
      <c r="F1" t="s">
        <v>735</v>
      </c>
      <c r="G1" t="s">
        <v>736</v>
      </c>
      <c r="H1" t="s">
        <v>40</v>
      </c>
      <c r="I1" t="s">
        <v>737</v>
      </c>
      <c r="J1" t="s">
        <v>738</v>
      </c>
      <c r="K1" t="s">
        <v>739</v>
      </c>
      <c r="L1" t="s">
        <v>740</v>
      </c>
      <c r="M1" t="s">
        <v>3215</v>
      </c>
      <c r="N1" t="s">
        <v>743</v>
      </c>
      <c r="O1" t="s">
        <v>744</v>
      </c>
      <c r="P1" t="s">
        <v>745</v>
      </c>
      <c r="Q1" t="s">
        <v>746</v>
      </c>
      <c r="R1" t="s">
        <v>747</v>
      </c>
      <c r="S1" t="s">
        <v>750</v>
      </c>
      <c r="T1" t="s">
        <v>751</v>
      </c>
      <c r="U1" t="s">
        <v>752</v>
      </c>
      <c r="V1" t="s">
        <v>753</v>
      </c>
      <c r="W1" t="s">
        <v>755</v>
      </c>
      <c r="X1" t="s">
        <v>756</v>
      </c>
      <c r="Y1" t="s">
        <v>758</v>
      </c>
      <c r="Z1" t="s">
        <v>3216</v>
      </c>
      <c r="AA1" t="s">
        <v>759</v>
      </c>
      <c r="AB1" t="s">
        <v>760</v>
      </c>
      <c r="AC1" t="s">
        <v>762</v>
      </c>
      <c r="AD1" t="s">
        <v>763</v>
      </c>
      <c r="AE1" t="s">
        <v>764</v>
      </c>
      <c r="AF1" t="s">
        <v>765</v>
      </c>
      <c r="AG1" t="s">
        <v>766</v>
      </c>
      <c r="AH1" t="s">
        <v>249</v>
      </c>
      <c r="AI1" t="s">
        <v>214</v>
      </c>
      <c r="AJ1" t="s">
        <v>769</v>
      </c>
      <c r="AK1" t="s">
        <v>770</v>
      </c>
      <c r="AL1" t="s">
        <v>260</v>
      </c>
      <c r="AM1" t="s">
        <v>258</v>
      </c>
      <c r="AN1" t="s">
        <v>257</v>
      </c>
      <c r="AO1" t="s">
        <v>772</v>
      </c>
      <c r="AP1" t="s">
        <v>771</v>
      </c>
      <c r="AQ1" t="s">
        <v>6440</v>
      </c>
    </row>
    <row r="2" spans="1:43" hidden="1" x14ac:dyDescent="0.25">
      <c r="A2" t="s">
        <v>3217</v>
      </c>
      <c r="B2">
        <v>1</v>
      </c>
      <c r="C2">
        <v>73</v>
      </c>
      <c r="D2">
        <v>39</v>
      </c>
      <c r="G2" t="s">
        <v>3218</v>
      </c>
      <c r="I2" t="s">
        <v>3218</v>
      </c>
      <c r="J2" t="s">
        <v>3218</v>
      </c>
      <c r="K2" t="s">
        <v>3219</v>
      </c>
      <c r="M2" t="s">
        <v>3220</v>
      </c>
      <c r="R2" t="s">
        <v>3221</v>
      </c>
      <c r="S2" t="s">
        <v>3222</v>
      </c>
      <c r="T2" t="s">
        <v>3223</v>
      </c>
      <c r="U2" t="s">
        <v>2692</v>
      </c>
      <c r="Y2" t="s">
        <v>3217</v>
      </c>
      <c r="Z2">
        <v>325</v>
      </c>
      <c r="AA2" s="31">
        <v>45604</v>
      </c>
      <c r="AB2" s="61">
        <v>0.72946759259259264</v>
      </c>
      <c r="AC2" t="s">
        <v>795</v>
      </c>
      <c r="AD2" s="31">
        <v>45929</v>
      </c>
      <c r="AE2" s="61">
        <v>0.70248842592592597</v>
      </c>
      <c r="AF2" t="s">
        <v>796</v>
      </c>
      <c r="AQ2">
        <v>1</v>
      </c>
    </row>
    <row r="3" spans="1:43" hidden="1" x14ac:dyDescent="0.25">
      <c r="A3" t="s">
        <v>3217</v>
      </c>
      <c r="B3">
        <v>2</v>
      </c>
      <c r="C3">
        <v>74</v>
      </c>
      <c r="D3">
        <v>41</v>
      </c>
      <c r="G3" t="s">
        <v>3224</v>
      </c>
      <c r="I3" t="s">
        <v>3225</v>
      </c>
      <c r="J3" t="s">
        <v>3225</v>
      </c>
      <c r="K3" t="s">
        <v>3226</v>
      </c>
      <c r="M3" t="s">
        <v>3227</v>
      </c>
      <c r="P3" t="s">
        <v>3228</v>
      </c>
      <c r="R3" t="s">
        <v>3221</v>
      </c>
      <c r="S3" t="s">
        <v>3222</v>
      </c>
      <c r="T3" t="s">
        <v>3223</v>
      </c>
      <c r="U3" t="s">
        <v>2692</v>
      </c>
      <c r="Y3" t="s">
        <v>3217</v>
      </c>
      <c r="Z3">
        <v>325</v>
      </c>
      <c r="AA3" s="31">
        <v>45604</v>
      </c>
      <c r="AB3" s="61">
        <v>0.72946759259259264</v>
      </c>
      <c r="AC3" t="s">
        <v>795</v>
      </c>
      <c r="AD3" s="31">
        <v>45929</v>
      </c>
      <c r="AE3" s="61">
        <v>0.70251157407407405</v>
      </c>
      <c r="AF3" t="s">
        <v>796</v>
      </c>
      <c r="AQ3">
        <v>1</v>
      </c>
    </row>
    <row r="4" spans="1:43" hidden="1" x14ac:dyDescent="0.25">
      <c r="A4" t="s">
        <v>3217</v>
      </c>
      <c r="B4">
        <v>3</v>
      </c>
      <c r="C4">
        <v>75</v>
      </c>
      <c r="D4">
        <v>43</v>
      </c>
      <c r="G4" t="s">
        <v>3229</v>
      </c>
      <c r="I4" t="s">
        <v>3229</v>
      </c>
      <c r="J4" t="s">
        <v>3229</v>
      </c>
      <c r="K4" t="s">
        <v>3230</v>
      </c>
      <c r="M4" t="s">
        <v>3231</v>
      </c>
      <c r="R4" t="s">
        <v>3221</v>
      </c>
      <c r="S4" t="s">
        <v>3222</v>
      </c>
      <c r="T4" t="s">
        <v>3223</v>
      </c>
      <c r="U4" t="s">
        <v>2692</v>
      </c>
      <c r="Y4" t="s">
        <v>3217</v>
      </c>
      <c r="Z4">
        <v>325</v>
      </c>
      <c r="AA4" s="31">
        <v>45604</v>
      </c>
      <c r="AB4" s="61">
        <v>0.72946759259259264</v>
      </c>
      <c r="AC4" t="s">
        <v>795</v>
      </c>
      <c r="AD4" s="31">
        <v>45929</v>
      </c>
      <c r="AE4" s="61">
        <v>0.70253472222222224</v>
      </c>
      <c r="AF4" t="s">
        <v>796</v>
      </c>
      <c r="AQ4">
        <v>1</v>
      </c>
    </row>
    <row r="5" spans="1:43" hidden="1" x14ac:dyDescent="0.25">
      <c r="A5" t="s">
        <v>3217</v>
      </c>
      <c r="B5">
        <v>4</v>
      </c>
      <c r="C5">
        <v>76</v>
      </c>
      <c r="D5">
        <v>45</v>
      </c>
      <c r="G5" t="s">
        <v>225</v>
      </c>
      <c r="I5" t="s">
        <v>225</v>
      </c>
      <c r="J5" t="s">
        <v>225</v>
      </c>
      <c r="K5" t="s">
        <v>3232</v>
      </c>
      <c r="M5" t="s">
        <v>3233</v>
      </c>
      <c r="P5" t="s">
        <v>3234</v>
      </c>
      <c r="Q5" t="s">
        <v>1699</v>
      </c>
      <c r="R5" t="s">
        <v>3221</v>
      </c>
      <c r="S5" t="s">
        <v>3222</v>
      </c>
      <c r="T5" t="s">
        <v>3223</v>
      </c>
      <c r="U5" t="s">
        <v>2692</v>
      </c>
      <c r="Y5" t="s">
        <v>3217</v>
      </c>
      <c r="Z5">
        <v>325</v>
      </c>
      <c r="AA5" s="31">
        <v>45604</v>
      </c>
      <c r="AB5" s="61">
        <v>0.72946759259259264</v>
      </c>
      <c r="AC5" t="s">
        <v>795</v>
      </c>
      <c r="AD5" s="31">
        <v>45929</v>
      </c>
      <c r="AE5" s="61">
        <v>0.70255787037037032</v>
      </c>
      <c r="AF5" t="s">
        <v>796</v>
      </c>
      <c r="AQ5">
        <v>1</v>
      </c>
    </row>
    <row r="6" spans="1:43" hidden="1" x14ac:dyDescent="0.25">
      <c r="A6" t="s">
        <v>3217</v>
      </c>
      <c r="B6">
        <v>5</v>
      </c>
      <c r="C6">
        <v>77</v>
      </c>
      <c r="D6">
        <v>47</v>
      </c>
      <c r="G6" t="s">
        <v>3235</v>
      </c>
      <c r="I6" t="s">
        <v>3235</v>
      </c>
      <c r="J6" t="s">
        <v>3235</v>
      </c>
      <c r="K6" t="s">
        <v>3236</v>
      </c>
      <c r="M6" t="s">
        <v>3237</v>
      </c>
      <c r="R6" t="s">
        <v>3221</v>
      </c>
      <c r="S6" t="s">
        <v>3222</v>
      </c>
      <c r="T6" t="s">
        <v>3223</v>
      </c>
      <c r="U6" t="s">
        <v>2692</v>
      </c>
      <c r="Y6" t="s">
        <v>3217</v>
      </c>
      <c r="Z6">
        <v>325</v>
      </c>
      <c r="AA6" s="31">
        <v>45604</v>
      </c>
      <c r="AB6" s="61">
        <v>0.72946759259259264</v>
      </c>
      <c r="AC6" t="s">
        <v>795</v>
      </c>
      <c r="AD6" s="31">
        <v>45929</v>
      </c>
      <c r="AE6" s="61">
        <v>0.70258101851851851</v>
      </c>
      <c r="AF6" t="s">
        <v>796</v>
      </c>
      <c r="AQ6">
        <v>1</v>
      </c>
    </row>
    <row r="7" spans="1:43" hidden="1" x14ac:dyDescent="0.25">
      <c r="A7" t="s">
        <v>3217</v>
      </c>
      <c r="B7">
        <v>6</v>
      </c>
      <c r="C7">
        <v>78</v>
      </c>
      <c r="D7">
        <v>49</v>
      </c>
      <c r="G7" t="s">
        <v>3238</v>
      </c>
      <c r="I7" t="s">
        <v>3239</v>
      </c>
      <c r="J7" t="s">
        <v>3239</v>
      </c>
      <c r="K7" t="s">
        <v>3240</v>
      </c>
      <c r="M7" t="s">
        <v>3241</v>
      </c>
      <c r="R7" t="s">
        <v>3221</v>
      </c>
      <c r="S7" t="s">
        <v>3222</v>
      </c>
      <c r="T7" t="s">
        <v>3223</v>
      </c>
      <c r="U7" t="s">
        <v>2692</v>
      </c>
      <c r="Y7" t="s">
        <v>3217</v>
      </c>
      <c r="Z7">
        <v>325</v>
      </c>
      <c r="AA7" s="31">
        <v>45604</v>
      </c>
      <c r="AB7" s="61">
        <v>0.72946759259259264</v>
      </c>
      <c r="AC7" t="s">
        <v>795</v>
      </c>
      <c r="AD7" s="31">
        <v>45929</v>
      </c>
      <c r="AE7" s="61">
        <v>0.70261574074074074</v>
      </c>
      <c r="AF7" t="s">
        <v>796</v>
      </c>
      <c r="AQ7">
        <v>1</v>
      </c>
    </row>
    <row r="8" spans="1:43" hidden="1" x14ac:dyDescent="0.25">
      <c r="A8" t="s">
        <v>3217</v>
      </c>
      <c r="B8">
        <v>7</v>
      </c>
      <c r="C8">
        <v>79</v>
      </c>
      <c r="D8">
        <v>51</v>
      </c>
      <c r="G8" t="s">
        <v>3242</v>
      </c>
      <c r="I8" t="s">
        <v>3243</v>
      </c>
      <c r="J8" t="s">
        <v>3243</v>
      </c>
      <c r="K8" t="s">
        <v>2601</v>
      </c>
      <c r="M8" t="s">
        <v>2602</v>
      </c>
      <c r="P8" t="s">
        <v>3244</v>
      </c>
      <c r="R8" t="s">
        <v>3221</v>
      </c>
      <c r="S8" t="s">
        <v>3222</v>
      </c>
      <c r="T8" t="s">
        <v>3223</v>
      </c>
      <c r="U8" t="s">
        <v>2692</v>
      </c>
      <c r="Y8" t="s">
        <v>3217</v>
      </c>
      <c r="Z8">
        <v>325</v>
      </c>
      <c r="AA8" s="31">
        <v>45604</v>
      </c>
      <c r="AB8" s="61">
        <v>0.72946759259259264</v>
      </c>
      <c r="AC8" t="s">
        <v>795</v>
      </c>
      <c r="AD8" s="31">
        <v>45929</v>
      </c>
      <c r="AE8" s="61">
        <v>0.70262731481481477</v>
      </c>
      <c r="AF8" t="s">
        <v>796</v>
      </c>
      <c r="AQ8">
        <v>1</v>
      </c>
    </row>
    <row r="9" spans="1:43" hidden="1" x14ac:dyDescent="0.25">
      <c r="A9" t="s">
        <v>3217</v>
      </c>
      <c r="B9">
        <v>8</v>
      </c>
      <c r="C9">
        <v>80</v>
      </c>
      <c r="D9">
        <v>53</v>
      </c>
      <c r="G9" t="s">
        <v>3245</v>
      </c>
      <c r="I9" t="s">
        <v>3245</v>
      </c>
      <c r="J9" t="s">
        <v>3245</v>
      </c>
      <c r="K9" t="s">
        <v>3246</v>
      </c>
      <c r="M9" t="s">
        <v>3247</v>
      </c>
      <c r="R9" t="s">
        <v>3221</v>
      </c>
      <c r="S9" t="s">
        <v>3222</v>
      </c>
      <c r="T9" t="s">
        <v>3223</v>
      </c>
      <c r="U9" t="s">
        <v>2692</v>
      </c>
      <c r="Y9" t="s">
        <v>3217</v>
      </c>
      <c r="Z9">
        <v>325</v>
      </c>
      <c r="AA9" s="31">
        <v>45604</v>
      </c>
      <c r="AB9" s="61">
        <v>0.72946759259259264</v>
      </c>
      <c r="AC9" t="s">
        <v>795</v>
      </c>
      <c r="AD9" s="31">
        <v>45929</v>
      </c>
      <c r="AE9" s="61">
        <v>0.70267361111111115</v>
      </c>
      <c r="AF9" t="s">
        <v>796</v>
      </c>
      <c r="AQ9">
        <v>1</v>
      </c>
    </row>
    <row r="10" spans="1:43" hidden="1" x14ac:dyDescent="0.25">
      <c r="A10" t="s">
        <v>3217</v>
      </c>
      <c r="B10">
        <v>9</v>
      </c>
      <c r="C10">
        <v>81</v>
      </c>
      <c r="D10">
        <v>55</v>
      </c>
      <c r="G10" t="s">
        <v>3248</v>
      </c>
      <c r="I10" t="s">
        <v>3248</v>
      </c>
      <c r="J10" t="s">
        <v>3248</v>
      </c>
      <c r="K10" t="s">
        <v>3249</v>
      </c>
      <c r="M10" t="s">
        <v>3250</v>
      </c>
      <c r="R10" t="s">
        <v>3221</v>
      </c>
      <c r="S10" t="s">
        <v>3222</v>
      </c>
      <c r="T10" t="s">
        <v>3223</v>
      </c>
      <c r="U10" t="s">
        <v>2692</v>
      </c>
      <c r="Y10" t="s">
        <v>3217</v>
      </c>
      <c r="Z10">
        <v>325</v>
      </c>
      <c r="AA10" s="31">
        <v>45604</v>
      </c>
      <c r="AB10" s="61">
        <v>0.72947916666666668</v>
      </c>
      <c r="AC10" t="s">
        <v>795</v>
      </c>
      <c r="AD10" s="31">
        <v>45929</v>
      </c>
      <c r="AE10" s="61">
        <v>0.70270833333333338</v>
      </c>
      <c r="AF10" t="s">
        <v>796</v>
      </c>
      <c r="AQ10">
        <v>1</v>
      </c>
    </row>
    <row r="11" spans="1:43" hidden="1" x14ac:dyDescent="0.25">
      <c r="A11" t="s">
        <v>3217</v>
      </c>
      <c r="B11">
        <v>10</v>
      </c>
      <c r="C11">
        <v>82</v>
      </c>
      <c r="D11">
        <v>57</v>
      </c>
      <c r="G11" t="s">
        <v>3251</v>
      </c>
      <c r="I11" t="s">
        <v>3251</v>
      </c>
      <c r="J11" t="s">
        <v>3251</v>
      </c>
      <c r="K11" t="s">
        <v>3252</v>
      </c>
      <c r="M11" t="s">
        <v>3253</v>
      </c>
      <c r="P11" t="s">
        <v>923</v>
      </c>
      <c r="R11" t="s">
        <v>3221</v>
      </c>
      <c r="S11" t="s">
        <v>3222</v>
      </c>
      <c r="T11" t="s">
        <v>3223</v>
      </c>
      <c r="U11" t="s">
        <v>2692</v>
      </c>
      <c r="Y11" t="s">
        <v>3217</v>
      </c>
      <c r="Z11">
        <v>325</v>
      </c>
      <c r="AA11" s="31">
        <v>45604</v>
      </c>
      <c r="AB11" s="61">
        <v>0.72947916666666668</v>
      </c>
      <c r="AC11" t="s">
        <v>795</v>
      </c>
      <c r="AD11" s="31">
        <v>45929</v>
      </c>
      <c r="AE11" s="61">
        <v>0.70271990740740742</v>
      </c>
      <c r="AF11" t="s">
        <v>796</v>
      </c>
      <c r="AQ11">
        <v>1</v>
      </c>
    </row>
    <row r="12" spans="1:43" hidden="1" x14ac:dyDescent="0.25">
      <c r="A12" t="s">
        <v>3217</v>
      </c>
      <c r="B12">
        <v>11</v>
      </c>
      <c r="C12">
        <v>83</v>
      </c>
      <c r="D12">
        <v>59</v>
      </c>
      <c r="G12" t="s">
        <v>3254</v>
      </c>
      <c r="I12" t="s">
        <v>3255</v>
      </c>
      <c r="J12" t="s">
        <v>3255</v>
      </c>
      <c r="M12" t="s">
        <v>3256</v>
      </c>
      <c r="P12" t="s">
        <v>3257</v>
      </c>
      <c r="R12" t="s">
        <v>3221</v>
      </c>
      <c r="S12" t="s">
        <v>3222</v>
      </c>
      <c r="T12" t="s">
        <v>3223</v>
      </c>
      <c r="U12" t="s">
        <v>2692</v>
      </c>
      <c r="Y12" t="s">
        <v>3217</v>
      </c>
      <c r="Z12">
        <v>325</v>
      </c>
      <c r="AA12" s="31">
        <v>45604</v>
      </c>
      <c r="AB12" s="61">
        <v>0.72947916666666668</v>
      </c>
      <c r="AC12" t="s">
        <v>795</v>
      </c>
      <c r="AD12" s="31">
        <v>45929</v>
      </c>
      <c r="AE12" s="61">
        <v>0.70274305555555561</v>
      </c>
      <c r="AF12" t="s">
        <v>796</v>
      </c>
      <c r="AQ12">
        <v>1</v>
      </c>
    </row>
    <row r="13" spans="1:43" hidden="1" x14ac:dyDescent="0.25">
      <c r="A13" t="s">
        <v>3217</v>
      </c>
      <c r="B13">
        <v>12</v>
      </c>
      <c r="C13">
        <v>84</v>
      </c>
      <c r="D13">
        <v>61</v>
      </c>
      <c r="G13" t="s">
        <v>3258</v>
      </c>
      <c r="I13" t="s">
        <v>3258</v>
      </c>
      <c r="J13" t="s">
        <v>3258</v>
      </c>
      <c r="K13" t="s">
        <v>3259</v>
      </c>
      <c r="M13" t="s">
        <v>3260</v>
      </c>
      <c r="R13" t="s">
        <v>3221</v>
      </c>
      <c r="S13" t="s">
        <v>3222</v>
      </c>
      <c r="T13" t="s">
        <v>3223</v>
      </c>
      <c r="U13" t="s">
        <v>2692</v>
      </c>
      <c r="Y13" t="s">
        <v>3217</v>
      </c>
      <c r="Z13">
        <v>325</v>
      </c>
      <c r="AA13" s="31">
        <v>45604</v>
      </c>
      <c r="AB13" s="61">
        <v>0.72947916666666668</v>
      </c>
      <c r="AC13" t="s">
        <v>795</v>
      </c>
      <c r="AD13" s="31">
        <v>45929</v>
      </c>
      <c r="AE13" s="61">
        <v>0.70277777777777772</v>
      </c>
      <c r="AF13" t="s">
        <v>796</v>
      </c>
      <c r="AQ13">
        <v>1</v>
      </c>
    </row>
    <row r="14" spans="1:43" hidden="1" x14ac:dyDescent="0.25">
      <c r="A14" t="s">
        <v>3217</v>
      </c>
      <c r="B14">
        <v>13</v>
      </c>
      <c r="C14">
        <v>85</v>
      </c>
      <c r="D14">
        <v>63</v>
      </c>
      <c r="G14" t="s">
        <v>605</v>
      </c>
      <c r="I14" t="s">
        <v>3261</v>
      </c>
      <c r="J14" t="s">
        <v>3261</v>
      </c>
      <c r="K14" t="s">
        <v>3262</v>
      </c>
      <c r="M14" t="s">
        <v>3263</v>
      </c>
      <c r="P14" t="s">
        <v>3264</v>
      </c>
      <c r="R14" t="s">
        <v>3221</v>
      </c>
      <c r="S14" t="s">
        <v>3222</v>
      </c>
      <c r="T14" t="s">
        <v>3223</v>
      </c>
      <c r="U14" t="s">
        <v>2692</v>
      </c>
      <c r="Y14" t="s">
        <v>3217</v>
      </c>
      <c r="Z14">
        <v>325</v>
      </c>
      <c r="AA14" s="31">
        <v>45604</v>
      </c>
      <c r="AB14" s="61">
        <v>0.72947916666666668</v>
      </c>
      <c r="AC14" t="s">
        <v>795</v>
      </c>
      <c r="AD14" s="31">
        <v>45929</v>
      </c>
      <c r="AE14" s="61">
        <v>0.70281249999999995</v>
      </c>
      <c r="AF14" t="s">
        <v>796</v>
      </c>
      <c r="AQ14">
        <v>1</v>
      </c>
    </row>
    <row r="15" spans="1:43" hidden="1" x14ac:dyDescent="0.25">
      <c r="A15" t="s">
        <v>3217</v>
      </c>
      <c r="B15">
        <v>14</v>
      </c>
      <c r="C15">
        <v>86</v>
      </c>
      <c r="D15">
        <v>65</v>
      </c>
      <c r="G15" t="s">
        <v>3265</v>
      </c>
      <c r="I15" t="s">
        <v>3265</v>
      </c>
      <c r="J15" t="s">
        <v>3265</v>
      </c>
      <c r="K15" t="s">
        <v>3266</v>
      </c>
      <c r="M15" t="s">
        <v>3267</v>
      </c>
      <c r="P15" t="s">
        <v>3268</v>
      </c>
      <c r="R15" t="s">
        <v>3221</v>
      </c>
      <c r="S15" t="s">
        <v>3222</v>
      </c>
      <c r="T15" t="s">
        <v>3223</v>
      </c>
      <c r="U15" t="s">
        <v>2692</v>
      </c>
      <c r="Y15" t="s">
        <v>3217</v>
      </c>
      <c r="Z15">
        <v>325</v>
      </c>
      <c r="AA15" s="31">
        <v>45604</v>
      </c>
      <c r="AB15" s="61">
        <v>0.72947916666666668</v>
      </c>
      <c r="AC15" t="s">
        <v>795</v>
      </c>
      <c r="AD15" s="31">
        <v>45929</v>
      </c>
      <c r="AE15" s="61">
        <v>0.70285879629629633</v>
      </c>
      <c r="AF15" t="s">
        <v>796</v>
      </c>
      <c r="AQ15">
        <v>1</v>
      </c>
    </row>
    <row r="16" spans="1:43" hidden="1" x14ac:dyDescent="0.25">
      <c r="A16" t="s">
        <v>3217</v>
      </c>
      <c r="B16">
        <v>15</v>
      </c>
      <c r="C16">
        <v>87</v>
      </c>
      <c r="D16">
        <v>67</v>
      </c>
      <c r="G16" t="s">
        <v>3269</v>
      </c>
      <c r="I16" t="s">
        <v>3269</v>
      </c>
      <c r="J16" t="s">
        <v>3269</v>
      </c>
      <c r="K16" t="s">
        <v>3270</v>
      </c>
      <c r="M16" t="s">
        <v>3271</v>
      </c>
      <c r="R16" t="s">
        <v>3221</v>
      </c>
      <c r="S16" t="s">
        <v>3222</v>
      </c>
      <c r="T16" t="s">
        <v>3223</v>
      </c>
      <c r="U16" t="s">
        <v>2692</v>
      </c>
      <c r="Y16" t="s">
        <v>3217</v>
      </c>
      <c r="Z16">
        <v>325</v>
      </c>
      <c r="AA16" s="31">
        <v>45604</v>
      </c>
      <c r="AB16" s="61">
        <v>0.72947916666666668</v>
      </c>
      <c r="AC16" t="s">
        <v>795</v>
      </c>
      <c r="AD16" s="31">
        <v>45929</v>
      </c>
      <c r="AE16" s="61">
        <v>0.70288194444444441</v>
      </c>
      <c r="AF16" t="s">
        <v>796</v>
      </c>
      <c r="AQ16">
        <v>1</v>
      </c>
    </row>
    <row r="17" spans="1:43" hidden="1" x14ac:dyDescent="0.25">
      <c r="A17" t="s">
        <v>3217</v>
      </c>
      <c r="B17">
        <v>16</v>
      </c>
      <c r="C17">
        <v>88</v>
      </c>
      <c r="D17">
        <v>69</v>
      </c>
      <c r="G17" t="s">
        <v>660</v>
      </c>
      <c r="I17" t="s">
        <v>660</v>
      </c>
      <c r="J17" t="s">
        <v>660</v>
      </c>
      <c r="K17" t="s">
        <v>3272</v>
      </c>
      <c r="M17" t="s">
        <v>3273</v>
      </c>
      <c r="P17" t="s">
        <v>3274</v>
      </c>
      <c r="Q17" t="s">
        <v>932</v>
      </c>
      <c r="R17" t="s">
        <v>3221</v>
      </c>
      <c r="S17" t="s">
        <v>3222</v>
      </c>
      <c r="T17" t="s">
        <v>3223</v>
      </c>
      <c r="U17" t="s">
        <v>2692</v>
      </c>
      <c r="W17">
        <v>0</v>
      </c>
      <c r="X17">
        <v>0</v>
      </c>
      <c r="Y17" t="s">
        <v>3217</v>
      </c>
      <c r="Z17">
        <v>325</v>
      </c>
      <c r="AA17" s="31">
        <v>45604</v>
      </c>
      <c r="AB17" s="61">
        <v>0.72947916666666668</v>
      </c>
      <c r="AC17" t="s">
        <v>795</v>
      </c>
      <c r="AD17" s="31">
        <v>45929</v>
      </c>
      <c r="AE17" s="61">
        <v>0.70248842592592597</v>
      </c>
      <c r="AF17" t="s">
        <v>796</v>
      </c>
      <c r="AQ17">
        <v>1</v>
      </c>
    </row>
    <row r="18" spans="1:43" hidden="1" x14ac:dyDescent="0.25">
      <c r="A18" t="s">
        <v>3217</v>
      </c>
      <c r="B18">
        <v>17</v>
      </c>
      <c r="C18">
        <v>89</v>
      </c>
      <c r="D18">
        <v>71</v>
      </c>
      <c r="G18" t="s">
        <v>3275</v>
      </c>
      <c r="I18" t="s">
        <v>3275</v>
      </c>
      <c r="J18" t="s">
        <v>3275</v>
      </c>
      <c r="K18" t="s">
        <v>3276</v>
      </c>
      <c r="M18" t="s">
        <v>3277</v>
      </c>
      <c r="R18" t="s">
        <v>3221</v>
      </c>
      <c r="S18" t="s">
        <v>3222</v>
      </c>
      <c r="T18" t="s">
        <v>3223</v>
      </c>
      <c r="U18" t="s">
        <v>2692</v>
      </c>
      <c r="Y18" t="s">
        <v>3217</v>
      </c>
      <c r="Z18">
        <v>325</v>
      </c>
      <c r="AA18" s="31">
        <v>45604</v>
      </c>
      <c r="AB18" s="61">
        <v>0.72947916666666668</v>
      </c>
      <c r="AC18" t="s">
        <v>795</v>
      </c>
      <c r="AD18" s="31">
        <v>45929</v>
      </c>
      <c r="AE18" s="61">
        <v>0.70251157407407405</v>
      </c>
      <c r="AF18" t="s">
        <v>796</v>
      </c>
      <c r="AQ18">
        <v>1</v>
      </c>
    </row>
    <row r="19" spans="1:43" hidden="1" x14ac:dyDescent="0.25">
      <c r="A19" t="s">
        <v>3217</v>
      </c>
      <c r="B19">
        <v>18</v>
      </c>
      <c r="C19">
        <v>90</v>
      </c>
      <c r="D19">
        <v>73</v>
      </c>
      <c r="G19" t="s">
        <v>3278</v>
      </c>
      <c r="I19" t="s">
        <v>3278</v>
      </c>
      <c r="J19" t="s">
        <v>3278</v>
      </c>
      <c r="M19" t="s">
        <v>3279</v>
      </c>
      <c r="R19" t="s">
        <v>3221</v>
      </c>
      <c r="S19" t="s">
        <v>3222</v>
      </c>
      <c r="T19" t="s">
        <v>3223</v>
      </c>
      <c r="U19" t="s">
        <v>2692</v>
      </c>
      <c r="Y19" t="s">
        <v>3217</v>
      </c>
      <c r="Z19">
        <v>325</v>
      </c>
      <c r="AA19" s="31">
        <v>45604</v>
      </c>
      <c r="AB19" s="61">
        <v>0.72947916666666668</v>
      </c>
      <c r="AC19" t="s">
        <v>795</v>
      </c>
      <c r="AD19" s="31">
        <v>45929</v>
      </c>
      <c r="AE19" s="61">
        <v>0.70254629629629628</v>
      </c>
      <c r="AF19" t="s">
        <v>796</v>
      </c>
      <c r="AQ19">
        <v>1</v>
      </c>
    </row>
    <row r="20" spans="1:43" hidden="1" x14ac:dyDescent="0.25">
      <c r="A20" t="s">
        <v>3217</v>
      </c>
      <c r="B20">
        <v>19</v>
      </c>
      <c r="C20">
        <v>91</v>
      </c>
      <c r="D20">
        <v>75</v>
      </c>
      <c r="G20" t="s">
        <v>3280</v>
      </c>
      <c r="I20" t="s">
        <v>3280</v>
      </c>
      <c r="J20" t="s">
        <v>3280</v>
      </c>
      <c r="M20" t="s">
        <v>3281</v>
      </c>
      <c r="R20" t="s">
        <v>3221</v>
      </c>
      <c r="S20" t="s">
        <v>3222</v>
      </c>
      <c r="T20" t="s">
        <v>3223</v>
      </c>
      <c r="U20" t="s">
        <v>2692</v>
      </c>
      <c r="Y20" t="s">
        <v>3217</v>
      </c>
      <c r="Z20">
        <v>325</v>
      </c>
      <c r="AA20" s="31">
        <v>45604</v>
      </c>
      <c r="AB20" s="61">
        <v>0.72947916666666668</v>
      </c>
      <c r="AC20" t="s">
        <v>795</v>
      </c>
      <c r="AD20" s="31">
        <v>45929</v>
      </c>
      <c r="AE20" s="61">
        <v>0.70256944444444447</v>
      </c>
      <c r="AF20" t="s">
        <v>796</v>
      </c>
      <c r="AQ20">
        <v>1</v>
      </c>
    </row>
    <row r="21" spans="1:43" hidden="1" x14ac:dyDescent="0.25">
      <c r="A21" t="s">
        <v>3217</v>
      </c>
      <c r="B21">
        <v>20</v>
      </c>
      <c r="C21">
        <v>92</v>
      </c>
      <c r="D21">
        <v>77</v>
      </c>
      <c r="G21" t="s">
        <v>3282</v>
      </c>
      <c r="I21" t="s">
        <v>3282</v>
      </c>
      <c r="J21" t="s">
        <v>3282</v>
      </c>
      <c r="K21" t="s">
        <v>3283</v>
      </c>
      <c r="M21" t="s">
        <v>3284</v>
      </c>
      <c r="R21" t="s">
        <v>3221</v>
      </c>
      <c r="S21" t="s">
        <v>3222</v>
      </c>
      <c r="T21" t="s">
        <v>3223</v>
      </c>
      <c r="U21" t="s">
        <v>2692</v>
      </c>
      <c r="Y21" t="s">
        <v>3217</v>
      </c>
      <c r="Z21">
        <v>325</v>
      </c>
      <c r="AA21" s="31">
        <v>45604</v>
      </c>
      <c r="AB21" s="61">
        <v>0.72947916666666668</v>
      </c>
      <c r="AC21" t="s">
        <v>795</v>
      </c>
      <c r="AD21" s="31">
        <v>45929</v>
      </c>
      <c r="AE21" s="61">
        <v>0.70259259259259255</v>
      </c>
      <c r="AF21" t="s">
        <v>796</v>
      </c>
      <c r="AQ21">
        <v>1</v>
      </c>
    </row>
    <row r="22" spans="1:43" hidden="1" x14ac:dyDescent="0.25">
      <c r="A22" t="s">
        <v>3217</v>
      </c>
      <c r="B22">
        <v>21</v>
      </c>
      <c r="C22">
        <v>93</v>
      </c>
      <c r="D22">
        <v>79</v>
      </c>
      <c r="G22" t="s">
        <v>3285</v>
      </c>
      <c r="I22" t="s">
        <v>3285</v>
      </c>
      <c r="J22" t="s">
        <v>3285</v>
      </c>
      <c r="M22" t="s">
        <v>3286</v>
      </c>
      <c r="R22" t="s">
        <v>3221</v>
      </c>
      <c r="S22" t="s">
        <v>3222</v>
      </c>
      <c r="T22" t="s">
        <v>3223</v>
      </c>
      <c r="U22" t="s">
        <v>2692</v>
      </c>
      <c r="Y22" t="s">
        <v>3217</v>
      </c>
      <c r="Z22">
        <v>325</v>
      </c>
      <c r="AA22" s="31">
        <v>45604</v>
      </c>
      <c r="AB22" s="61">
        <v>0.72947916666666668</v>
      </c>
      <c r="AC22" t="s">
        <v>795</v>
      </c>
      <c r="AD22" s="31">
        <v>45929</v>
      </c>
      <c r="AE22" s="61">
        <v>0.70261574074074074</v>
      </c>
      <c r="AF22" t="s">
        <v>796</v>
      </c>
      <c r="AQ22">
        <v>1</v>
      </c>
    </row>
    <row r="23" spans="1:43" hidden="1" x14ac:dyDescent="0.25">
      <c r="A23" t="s">
        <v>3217</v>
      </c>
      <c r="B23">
        <v>22</v>
      </c>
      <c r="C23">
        <v>94</v>
      </c>
      <c r="D23">
        <v>81</v>
      </c>
      <c r="G23" t="s">
        <v>1233</v>
      </c>
      <c r="I23" t="s">
        <v>1233</v>
      </c>
      <c r="J23" t="s">
        <v>1233</v>
      </c>
      <c r="K23" t="s">
        <v>3287</v>
      </c>
      <c r="M23" t="s">
        <v>3288</v>
      </c>
      <c r="R23" t="s">
        <v>3221</v>
      </c>
      <c r="S23" t="s">
        <v>3222</v>
      </c>
      <c r="T23" t="s">
        <v>3223</v>
      </c>
      <c r="U23" t="s">
        <v>2692</v>
      </c>
      <c r="Y23" t="s">
        <v>3217</v>
      </c>
      <c r="Z23">
        <v>325</v>
      </c>
      <c r="AA23" s="31">
        <v>45604</v>
      </c>
      <c r="AB23" s="61">
        <v>0.72947916666666668</v>
      </c>
      <c r="AC23" t="s">
        <v>795</v>
      </c>
      <c r="AD23" s="31">
        <v>45929</v>
      </c>
      <c r="AE23" s="61">
        <v>0.70265046296296296</v>
      </c>
      <c r="AF23" t="s">
        <v>796</v>
      </c>
      <c r="AQ23">
        <v>1</v>
      </c>
    </row>
    <row r="24" spans="1:43" hidden="1" x14ac:dyDescent="0.25">
      <c r="A24" t="s">
        <v>3217</v>
      </c>
      <c r="B24">
        <v>23</v>
      </c>
      <c r="C24">
        <v>95</v>
      </c>
      <c r="D24">
        <v>83</v>
      </c>
      <c r="G24" t="s">
        <v>3289</v>
      </c>
      <c r="I24" t="s">
        <v>3289</v>
      </c>
      <c r="J24" t="s">
        <v>3289</v>
      </c>
      <c r="M24" t="s">
        <v>3290</v>
      </c>
      <c r="R24" t="s">
        <v>3221</v>
      </c>
      <c r="S24" t="s">
        <v>3222</v>
      </c>
      <c r="T24" t="s">
        <v>3223</v>
      </c>
      <c r="U24" t="s">
        <v>2692</v>
      </c>
      <c r="Y24" t="s">
        <v>3217</v>
      </c>
      <c r="Z24">
        <v>325</v>
      </c>
      <c r="AA24" s="31">
        <v>45604</v>
      </c>
      <c r="AB24" s="61">
        <v>0.72947916666666668</v>
      </c>
      <c r="AC24" t="s">
        <v>795</v>
      </c>
      <c r="AD24" s="31">
        <v>45929</v>
      </c>
      <c r="AE24" s="61">
        <v>0.702662037037037</v>
      </c>
      <c r="AF24" t="s">
        <v>796</v>
      </c>
      <c r="AQ24">
        <v>1</v>
      </c>
    </row>
    <row r="25" spans="1:43" hidden="1" x14ac:dyDescent="0.25">
      <c r="A25" t="s">
        <v>3217</v>
      </c>
      <c r="B25">
        <v>24</v>
      </c>
      <c r="C25">
        <v>96</v>
      </c>
      <c r="D25">
        <v>85</v>
      </c>
      <c r="G25" t="s">
        <v>3291</v>
      </c>
      <c r="I25" t="s">
        <v>3291</v>
      </c>
      <c r="J25" t="s">
        <v>3291</v>
      </c>
      <c r="K25" t="s">
        <v>3292</v>
      </c>
      <c r="M25" t="s">
        <v>3293</v>
      </c>
      <c r="R25" t="s">
        <v>3221</v>
      </c>
      <c r="S25" t="s">
        <v>3222</v>
      </c>
      <c r="T25" t="s">
        <v>3223</v>
      </c>
      <c r="U25" t="s">
        <v>2692</v>
      </c>
      <c r="Y25" t="s">
        <v>3217</v>
      </c>
      <c r="Z25">
        <v>325</v>
      </c>
      <c r="AA25" s="31">
        <v>45604</v>
      </c>
      <c r="AB25" s="61">
        <v>0.72947916666666668</v>
      </c>
      <c r="AC25" t="s">
        <v>795</v>
      </c>
      <c r="AD25" s="31">
        <v>45929</v>
      </c>
      <c r="AE25" s="61">
        <v>0.70269675925925923</v>
      </c>
      <c r="AF25" t="s">
        <v>796</v>
      </c>
      <c r="AQ25">
        <v>1</v>
      </c>
    </row>
    <row r="26" spans="1:43" hidden="1" x14ac:dyDescent="0.25">
      <c r="A26" t="s">
        <v>3217</v>
      </c>
      <c r="B26">
        <v>25</v>
      </c>
      <c r="C26">
        <v>97</v>
      </c>
      <c r="D26">
        <v>87</v>
      </c>
      <c r="G26" t="s">
        <v>669</v>
      </c>
      <c r="H26">
        <v>22500484000170</v>
      </c>
      <c r="I26" t="s">
        <v>669</v>
      </c>
      <c r="J26" t="s">
        <v>669</v>
      </c>
      <c r="M26" t="s">
        <v>3294</v>
      </c>
      <c r="R26" t="s">
        <v>3221</v>
      </c>
      <c r="S26" t="s">
        <v>3222</v>
      </c>
      <c r="T26" t="s">
        <v>3223</v>
      </c>
      <c r="U26" t="s">
        <v>2692</v>
      </c>
      <c r="Y26" t="s">
        <v>3217</v>
      </c>
      <c r="Z26">
        <v>325</v>
      </c>
      <c r="AA26" s="31">
        <v>45604</v>
      </c>
      <c r="AB26" s="61">
        <v>0.72947916666666668</v>
      </c>
      <c r="AC26" t="s">
        <v>795</v>
      </c>
      <c r="AD26" s="31">
        <v>45929</v>
      </c>
      <c r="AE26" s="61">
        <v>0.70271990740740742</v>
      </c>
      <c r="AF26" t="s">
        <v>796</v>
      </c>
      <c r="AQ26">
        <v>1</v>
      </c>
    </row>
    <row r="27" spans="1:43" hidden="1" x14ac:dyDescent="0.25">
      <c r="A27" t="s">
        <v>3217</v>
      </c>
      <c r="B27">
        <v>26</v>
      </c>
      <c r="C27">
        <v>98</v>
      </c>
      <c r="D27">
        <v>89</v>
      </c>
      <c r="G27" t="s">
        <v>604</v>
      </c>
      <c r="I27" t="s">
        <v>604</v>
      </c>
      <c r="J27" t="s">
        <v>604</v>
      </c>
      <c r="M27" t="s">
        <v>3295</v>
      </c>
      <c r="R27" t="s">
        <v>3221</v>
      </c>
      <c r="S27" t="s">
        <v>3222</v>
      </c>
      <c r="T27" t="s">
        <v>3223</v>
      </c>
      <c r="U27" t="s">
        <v>2692</v>
      </c>
      <c r="Y27" t="s">
        <v>3217</v>
      </c>
      <c r="Z27">
        <v>325</v>
      </c>
      <c r="AA27" s="31">
        <v>45604</v>
      </c>
      <c r="AB27" s="61">
        <v>0.72949074074074072</v>
      </c>
      <c r="AC27" t="s">
        <v>795</v>
      </c>
      <c r="AD27" s="31">
        <v>45929</v>
      </c>
      <c r="AE27" s="61">
        <v>0.70274305555555561</v>
      </c>
      <c r="AF27" t="s">
        <v>796</v>
      </c>
      <c r="AQ27">
        <v>1</v>
      </c>
    </row>
    <row r="28" spans="1:43" hidden="1" x14ac:dyDescent="0.25">
      <c r="A28" t="s">
        <v>3217</v>
      </c>
      <c r="B28">
        <v>27</v>
      </c>
      <c r="C28">
        <v>99</v>
      </c>
      <c r="D28">
        <v>91</v>
      </c>
      <c r="G28" t="s">
        <v>3296</v>
      </c>
      <c r="I28" t="s">
        <v>3296</v>
      </c>
      <c r="J28" t="s">
        <v>3296</v>
      </c>
      <c r="K28" t="s">
        <v>3297</v>
      </c>
      <c r="M28" t="s">
        <v>3298</v>
      </c>
      <c r="P28" t="s">
        <v>3299</v>
      </c>
      <c r="Q28" t="s">
        <v>1699</v>
      </c>
      <c r="R28" t="s">
        <v>3221</v>
      </c>
      <c r="S28" t="s">
        <v>3222</v>
      </c>
      <c r="T28" t="s">
        <v>3223</v>
      </c>
      <c r="U28" t="s">
        <v>2692</v>
      </c>
      <c r="Y28" t="s">
        <v>3217</v>
      </c>
      <c r="Z28">
        <v>325</v>
      </c>
      <c r="AA28" s="31">
        <v>45604</v>
      </c>
      <c r="AB28" s="61">
        <v>0.72949074074074072</v>
      </c>
      <c r="AC28" t="s">
        <v>795</v>
      </c>
      <c r="AD28" s="31">
        <v>45929</v>
      </c>
      <c r="AE28" s="61">
        <v>0.70277777777777772</v>
      </c>
      <c r="AF28" t="s">
        <v>796</v>
      </c>
      <c r="AQ28">
        <v>1</v>
      </c>
    </row>
    <row r="29" spans="1:43" hidden="1" x14ac:dyDescent="0.25">
      <c r="A29" t="s">
        <v>3217</v>
      </c>
      <c r="B29">
        <v>28</v>
      </c>
      <c r="C29">
        <v>100</v>
      </c>
      <c r="D29">
        <v>93</v>
      </c>
      <c r="G29" t="s">
        <v>3300</v>
      </c>
      <c r="I29" t="s">
        <v>3300</v>
      </c>
      <c r="J29" t="s">
        <v>3300</v>
      </c>
      <c r="K29" t="s">
        <v>3301</v>
      </c>
      <c r="M29" t="s">
        <v>3302</v>
      </c>
      <c r="P29" t="s">
        <v>923</v>
      </c>
      <c r="Q29" t="s">
        <v>790</v>
      </c>
      <c r="R29" t="s">
        <v>3221</v>
      </c>
      <c r="S29" t="s">
        <v>3222</v>
      </c>
      <c r="T29" t="s">
        <v>3223</v>
      </c>
      <c r="U29" t="s">
        <v>2692</v>
      </c>
      <c r="Y29" t="s">
        <v>3217</v>
      </c>
      <c r="Z29">
        <v>325</v>
      </c>
      <c r="AA29" s="31">
        <v>45604</v>
      </c>
      <c r="AB29" s="61">
        <v>0.72949074074074072</v>
      </c>
      <c r="AC29" t="s">
        <v>795</v>
      </c>
      <c r="AD29" s="31">
        <v>45929</v>
      </c>
      <c r="AE29" s="61">
        <v>0.70280092592592591</v>
      </c>
      <c r="AF29" t="s">
        <v>796</v>
      </c>
      <c r="AQ29">
        <v>1</v>
      </c>
    </row>
    <row r="30" spans="1:43" hidden="1" x14ac:dyDescent="0.25">
      <c r="A30" t="s">
        <v>3217</v>
      </c>
      <c r="B30">
        <v>29</v>
      </c>
      <c r="C30">
        <v>101</v>
      </c>
      <c r="D30">
        <v>95</v>
      </c>
      <c r="G30" t="s">
        <v>3303</v>
      </c>
      <c r="I30" t="s">
        <v>3303</v>
      </c>
      <c r="J30" t="s">
        <v>3303</v>
      </c>
      <c r="K30" t="s">
        <v>3304</v>
      </c>
      <c r="M30" t="s">
        <v>3305</v>
      </c>
      <c r="R30" t="s">
        <v>3221</v>
      </c>
      <c r="S30" t="s">
        <v>3222</v>
      </c>
      <c r="T30" t="s">
        <v>3223</v>
      </c>
      <c r="U30" t="s">
        <v>2692</v>
      </c>
      <c r="Y30" t="s">
        <v>3217</v>
      </c>
      <c r="Z30">
        <v>325</v>
      </c>
      <c r="AA30" s="31">
        <v>45604</v>
      </c>
      <c r="AB30" s="61">
        <v>0.72949074074074072</v>
      </c>
      <c r="AC30" t="s">
        <v>795</v>
      </c>
      <c r="AD30" s="31">
        <v>45929</v>
      </c>
      <c r="AE30" s="61">
        <v>0.7028240740740741</v>
      </c>
      <c r="AF30" t="s">
        <v>796</v>
      </c>
      <c r="AQ30">
        <v>1</v>
      </c>
    </row>
    <row r="31" spans="1:43" hidden="1" x14ac:dyDescent="0.25">
      <c r="A31" t="s">
        <v>3217</v>
      </c>
      <c r="B31">
        <v>30</v>
      </c>
      <c r="C31">
        <v>102</v>
      </c>
      <c r="D31">
        <v>97</v>
      </c>
      <c r="G31" t="s">
        <v>3306</v>
      </c>
      <c r="I31" t="s">
        <v>3306</v>
      </c>
      <c r="J31" t="s">
        <v>3306</v>
      </c>
      <c r="K31" t="s">
        <v>3307</v>
      </c>
      <c r="M31" t="s">
        <v>3308</v>
      </c>
      <c r="R31" t="s">
        <v>3221</v>
      </c>
      <c r="S31" t="s">
        <v>3222</v>
      </c>
      <c r="T31" t="s">
        <v>3223</v>
      </c>
      <c r="U31" t="s">
        <v>2692</v>
      </c>
      <c r="Y31" t="s">
        <v>3217</v>
      </c>
      <c r="Z31">
        <v>325</v>
      </c>
      <c r="AA31" s="31">
        <v>45604</v>
      </c>
      <c r="AB31" s="61">
        <v>0.72949074074074072</v>
      </c>
      <c r="AC31" t="s">
        <v>795</v>
      </c>
      <c r="AD31" s="31">
        <v>45929</v>
      </c>
      <c r="AE31" s="61">
        <v>0.70284722222222218</v>
      </c>
      <c r="AF31" t="s">
        <v>796</v>
      </c>
      <c r="AQ31">
        <v>1</v>
      </c>
    </row>
    <row r="32" spans="1:43" hidden="1" x14ac:dyDescent="0.25">
      <c r="A32" t="s">
        <v>3217</v>
      </c>
      <c r="B32">
        <v>31</v>
      </c>
      <c r="C32">
        <v>103</v>
      </c>
      <c r="D32">
        <v>99</v>
      </c>
      <c r="G32" t="s">
        <v>77</v>
      </c>
      <c r="H32">
        <v>12549273000179</v>
      </c>
      <c r="I32" t="s">
        <v>3309</v>
      </c>
      <c r="J32" t="s">
        <v>3310</v>
      </c>
      <c r="K32" t="s">
        <v>3311</v>
      </c>
      <c r="M32" t="s">
        <v>3312</v>
      </c>
      <c r="O32" t="s">
        <v>6441</v>
      </c>
      <c r="P32" t="s">
        <v>1596</v>
      </c>
      <c r="Q32" t="s">
        <v>790</v>
      </c>
      <c r="R32" t="s">
        <v>3221</v>
      </c>
      <c r="S32" t="s">
        <v>3222</v>
      </c>
      <c r="T32" t="s">
        <v>3223</v>
      </c>
      <c r="U32" t="s">
        <v>2692</v>
      </c>
      <c r="Y32" t="s">
        <v>3217</v>
      </c>
      <c r="Z32">
        <v>325</v>
      </c>
      <c r="AA32" s="31">
        <v>45604</v>
      </c>
      <c r="AB32" s="61">
        <v>0.72949074074074072</v>
      </c>
      <c r="AC32" t="s">
        <v>795</v>
      </c>
      <c r="AD32" s="31">
        <v>45929</v>
      </c>
      <c r="AE32" s="61">
        <v>0.70248842592592597</v>
      </c>
      <c r="AF32" t="s">
        <v>796</v>
      </c>
      <c r="AQ32">
        <v>1</v>
      </c>
    </row>
    <row r="33" spans="1:43" hidden="1" x14ac:dyDescent="0.25">
      <c r="A33" t="s">
        <v>3217</v>
      </c>
      <c r="B33">
        <v>32</v>
      </c>
      <c r="C33">
        <v>104</v>
      </c>
      <c r="D33">
        <v>101</v>
      </c>
      <c r="G33" t="s">
        <v>3314</v>
      </c>
      <c r="I33" t="s">
        <v>3314</v>
      </c>
      <c r="J33" t="s">
        <v>3314</v>
      </c>
      <c r="M33" t="s">
        <v>3315</v>
      </c>
      <c r="R33" t="s">
        <v>3221</v>
      </c>
      <c r="S33" t="s">
        <v>3222</v>
      </c>
      <c r="T33" t="s">
        <v>3223</v>
      </c>
      <c r="U33" t="s">
        <v>2692</v>
      </c>
      <c r="Y33" t="s">
        <v>3217</v>
      </c>
      <c r="Z33">
        <v>325</v>
      </c>
      <c r="AA33" s="31">
        <v>45604</v>
      </c>
      <c r="AB33" s="61">
        <v>0.72949074074074072</v>
      </c>
      <c r="AC33" t="s">
        <v>795</v>
      </c>
      <c r="AD33" s="31">
        <v>45929</v>
      </c>
      <c r="AE33" s="61">
        <v>0.7025231481481482</v>
      </c>
      <c r="AF33" t="s">
        <v>796</v>
      </c>
      <c r="AQ33">
        <v>1</v>
      </c>
    </row>
    <row r="34" spans="1:43" hidden="1" x14ac:dyDescent="0.25">
      <c r="A34" t="s">
        <v>3217</v>
      </c>
      <c r="B34">
        <v>33</v>
      </c>
      <c r="C34">
        <v>105</v>
      </c>
      <c r="D34">
        <v>103</v>
      </c>
      <c r="G34" t="s">
        <v>3316</v>
      </c>
      <c r="I34" t="s">
        <v>3316</v>
      </c>
      <c r="J34" t="s">
        <v>3316</v>
      </c>
      <c r="M34" t="s">
        <v>3317</v>
      </c>
      <c r="R34" t="s">
        <v>3221</v>
      </c>
      <c r="S34" t="s">
        <v>3222</v>
      </c>
      <c r="T34" t="s">
        <v>3223</v>
      </c>
      <c r="U34" t="s">
        <v>2692</v>
      </c>
      <c r="Y34" t="s">
        <v>3217</v>
      </c>
      <c r="Z34">
        <v>325</v>
      </c>
      <c r="AA34" s="31">
        <v>45604</v>
      </c>
      <c r="AB34" s="61">
        <v>0.72949074074074072</v>
      </c>
      <c r="AC34" t="s">
        <v>795</v>
      </c>
      <c r="AD34" s="31">
        <v>45929</v>
      </c>
      <c r="AE34" s="61">
        <v>0.70254629629629628</v>
      </c>
      <c r="AF34" t="s">
        <v>796</v>
      </c>
      <c r="AQ34">
        <v>1</v>
      </c>
    </row>
    <row r="35" spans="1:43" hidden="1" x14ac:dyDescent="0.25">
      <c r="A35" t="s">
        <v>3217</v>
      </c>
      <c r="B35">
        <v>34</v>
      </c>
      <c r="C35">
        <v>106</v>
      </c>
      <c r="D35">
        <v>105</v>
      </c>
      <c r="G35" t="s">
        <v>3318</v>
      </c>
      <c r="I35" t="s">
        <v>3318</v>
      </c>
      <c r="J35" t="s">
        <v>3318</v>
      </c>
      <c r="M35" t="s">
        <v>3319</v>
      </c>
      <c r="R35" t="s">
        <v>3221</v>
      </c>
      <c r="S35" t="s">
        <v>3222</v>
      </c>
      <c r="T35" t="s">
        <v>3223</v>
      </c>
      <c r="U35" t="s">
        <v>2692</v>
      </c>
      <c r="Y35" t="s">
        <v>3217</v>
      </c>
      <c r="Z35">
        <v>325</v>
      </c>
      <c r="AA35" s="31">
        <v>45604</v>
      </c>
      <c r="AB35" s="61">
        <v>0.72949074074074072</v>
      </c>
      <c r="AC35" t="s">
        <v>795</v>
      </c>
      <c r="AD35" s="31">
        <v>45929</v>
      </c>
      <c r="AE35" s="61">
        <v>0.70258101851851851</v>
      </c>
      <c r="AF35" t="s">
        <v>796</v>
      </c>
      <c r="AQ35">
        <v>1</v>
      </c>
    </row>
    <row r="36" spans="1:43" hidden="1" x14ac:dyDescent="0.25">
      <c r="A36" t="s">
        <v>3217</v>
      </c>
      <c r="B36">
        <v>35</v>
      </c>
      <c r="C36">
        <v>107</v>
      </c>
      <c r="D36">
        <v>107</v>
      </c>
      <c r="G36" t="s">
        <v>427</v>
      </c>
      <c r="H36">
        <v>7527737000297</v>
      </c>
      <c r="I36" t="s">
        <v>427</v>
      </c>
      <c r="J36" t="s">
        <v>427</v>
      </c>
      <c r="M36" t="s">
        <v>3320</v>
      </c>
      <c r="R36" t="s">
        <v>3221</v>
      </c>
      <c r="S36" t="s">
        <v>3222</v>
      </c>
      <c r="T36" t="s">
        <v>3223</v>
      </c>
      <c r="U36" t="s">
        <v>2692</v>
      </c>
      <c r="Y36" t="s">
        <v>3217</v>
      </c>
      <c r="Z36">
        <v>325</v>
      </c>
      <c r="AA36" s="31">
        <v>45604</v>
      </c>
      <c r="AB36" s="61">
        <v>0.72949074074074072</v>
      </c>
      <c r="AC36" t="s">
        <v>795</v>
      </c>
      <c r="AD36" s="31">
        <v>45929</v>
      </c>
      <c r="AE36" s="61">
        <v>0.7026041666666667</v>
      </c>
      <c r="AF36" t="s">
        <v>796</v>
      </c>
      <c r="AQ36">
        <v>1</v>
      </c>
    </row>
    <row r="37" spans="1:43" hidden="1" x14ac:dyDescent="0.25">
      <c r="A37" t="s">
        <v>3217</v>
      </c>
      <c r="B37">
        <v>36</v>
      </c>
      <c r="C37">
        <v>108</v>
      </c>
      <c r="D37">
        <v>109</v>
      </c>
      <c r="G37" t="s">
        <v>3321</v>
      </c>
      <c r="I37" t="s">
        <v>3321</v>
      </c>
      <c r="J37" t="s">
        <v>3321</v>
      </c>
      <c r="M37" t="s">
        <v>3322</v>
      </c>
      <c r="R37" t="s">
        <v>3221</v>
      </c>
      <c r="S37" t="s">
        <v>3222</v>
      </c>
      <c r="T37" t="s">
        <v>3223</v>
      </c>
      <c r="U37" t="s">
        <v>2692</v>
      </c>
      <c r="Y37" t="s">
        <v>3217</v>
      </c>
      <c r="Z37">
        <v>325</v>
      </c>
      <c r="AA37" s="31">
        <v>45604</v>
      </c>
      <c r="AB37" s="61">
        <v>0.72949074074074072</v>
      </c>
      <c r="AC37" t="s">
        <v>795</v>
      </c>
      <c r="AD37" s="31">
        <v>45929</v>
      </c>
      <c r="AE37" s="61">
        <v>0.70263888888888892</v>
      </c>
      <c r="AF37" t="s">
        <v>796</v>
      </c>
      <c r="AQ37">
        <v>1</v>
      </c>
    </row>
    <row r="38" spans="1:43" hidden="1" x14ac:dyDescent="0.25">
      <c r="A38" t="s">
        <v>3217</v>
      </c>
      <c r="B38">
        <v>37</v>
      </c>
      <c r="C38">
        <v>109</v>
      </c>
      <c r="D38">
        <v>111</v>
      </c>
      <c r="G38" t="s">
        <v>3323</v>
      </c>
      <c r="I38" t="s">
        <v>3323</v>
      </c>
      <c r="J38" t="s">
        <v>3323</v>
      </c>
      <c r="M38" t="s">
        <v>3324</v>
      </c>
      <c r="R38" t="s">
        <v>3221</v>
      </c>
      <c r="S38" t="s">
        <v>3222</v>
      </c>
      <c r="T38" t="s">
        <v>3223</v>
      </c>
      <c r="U38" t="s">
        <v>2692</v>
      </c>
      <c r="Y38" t="s">
        <v>3217</v>
      </c>
      <c r="Z38">
        <v>325</v>
      </c>
      <c r="AA38" s="31">
        <v>45604</v>
      </c>
      <c r="AB38" s="61">
        <v>0.72949074074074072</v>
      </c>
      <c r="AC38" t="s">
        <v>795</v>
      </c>
      <c r="AD38" s="31">
        <v>45929</v>
      </c>
      <c r="AE38" s="61">
        <v>0.70267361111111115</v>
      </c>
      <c r="AF38" t="s">
        <v>796</v>
      </c>
      <c r="AQ38">
        <v>1</v>
      </c>
    </row>
    <row r="39" spans="1:43" hidden="1" x14ac:dyDescent="0.25">
      <c r="A39" t="s">
        <v>3217</v>
      </c>
      <c r="B39">
        <v>38</v>
      </c>
      <c r="C39">
        <v>110</v>
      </c>
      <c r="D39">
        <v>113</v>
      </c>
      <c r="G39" t="s">
        <v>629</v>
      </c>
      <c r="I39" t="s">
        <v>629</v>
      </c>
      <c r="J39" t="s">
        <v>629</v>
      </c>
      <c r="M39" t="s">
        <v>3325</v>
      </c>
      <c r="R39" t="s">
        <v>3221</v>
      </c>
      <c r="S39" t="s">
        <v>3222</v>
      </c>
      <c r="T39" t="s">
        <v>3223</v>
      </c>
      <c r="U39" t="s">
        <v>2692</v>
      </c>
      <c r="Y39" t="s">
        <v>3217</v>
      </c>
      <c r="Z39">
        <v>325</v>
      </c>
      <c r="AA39" s="31">
        <v>45604</v>
      </c>
      <c r="AB39" s="61">
        <v>0.72949074074074072</v>
      </c>
      <c r="AC39" t="s">
        <v>795</v>
      </c>
      <c r="AD39" s="31">
        <v>45929</v>
      </c>
      <c r="AE39" s="61">
        <v>0.70269675925925923</v>
      </c>
      <c r="AF39" t="s">
        <v>796</v>
      </c>
      <c r="AQ39">
        <v>1</v>
      </c>
    </row>
    <row r="40" spans="1:43" hidden="1" x14ac:dyDescent="0.25">
      <c r="A40" t="s">
        <v>3217</v>
      </c>
      <c r="B40">
        <v>39</v>
      </c>
      <c r="C40">
        <v>111</v>
      </c>
      <c r="D40">
        <v>115</v>
      </c>
      <c r="G40" t="s">
        <v>603</v>
      </c>
      <c r="I40" t="s">
        <v>603</v>
      </c>
      <c r="J40" t="s">
        <v>603</v>
      </c>
      <c r="M40" t="s">
        <v>3326</v>
      </c>
      <c r="R40" t="s">
        <v>3221</v>
      </c>
      <c r="S40" t="s">
        <v>3222</v>
      </c>
      <c r="T40" t="s">
        <v>3223</v>
      </c>
      <c r="U40" t="s">
        <v>2692</v>
      </c>
      <c r="Y40" t="s">
        <v>3217</v>
      </c>
      <c r="Z40">
        <v>325</v>
      </c>
      <c r="AA40" s="31">
        <v>45604</v>
      </c>
      <c r="AB40" s="61">
        <v>0.72949074074074072</v>
      </c>
      <c r="AC40" t="s">
        <v>795</v>
      </c>
      <c r="AD40" s="31">
        <v>45929</v>
      </c>
      <c r="AE40" s="61">
        <v>0.70274305555555561</v>
      </c>
      <c r="AF40" t="s">
        <v>796</v>
      </c>
      <c r="AQ40">
        <v>1</v>
      </c>
    </row>
    <row r="41" spans="1:43" hidden="1" x14ac:dyDescent="0.25">
      <c r="A41" t="s">
        <v>3217</v>
      </c>
      <c r="B41">
        <v>40</v>
      </c>
      <c r="C41">
        <v>112</v>
      </c>
      <c r="D41">
        <v>117</v>
      </c>
      <c r="G41" t="s">
        <v>3327</v>
      </c>
      <c r="I41" t="s">
        <v>3327</v>
      </c>
      <c r="J41" t="s">
        <v>3327</v>
      </c>
      <c r="M41" t="s">
        <v>3328</v>
      </c>
      <c r="R41" t="s">
        <v>3221</v>
      </c>
      <c r="S41" t="s">
        <v>3222</v>
      </c>
      <c r="T41" t="s">
        <v>3223</v>
      </c>
      <c r="U41" t="s">
        <v>2692</v>
      </c>
      <c r="Y41" t="s">
        <v>3217</v>
      </c>
      <c r="Z41">
        <v>325</v>
      </c>
      <c r="AA41" s="31">
        <v>45604</v>
      </c>
      <c r="AB41" s="61">
        <v>0.72949074074074072</v>
      </c>
      <c r="AC41" t="s">
        <v>795</v>
      </c>
      <c r="AD41" s="31">
        <v>45929</v>
      </c>
      <c r="AE41" s="61">
        <v>0.70276620370370368</v>
      </c>
      <c r="AF41" t="s">
        <v>796</v>
      </c>
      <c r="AQ41">
        <v>1</v>
      </c>
    </row>
    <row r="42" spans="1:43" hidden="1" x14ac:dyDescent="0.25">
      <c r="A42" t="s">
        <v>3217</v>
      </c>
      <c r="B42">
        <v>41</v>
      </c>
      <c r="C42">
        <v>113</v>
      </c>
      <c r="D42">
        <v>119</v>
      </c>
      <c r="G42" t="s">
        <v>65</v>
      </c>
      <c r="I42" t="s">
        <v>65</v>
      </c>
      <c r="J42" t="s">
        <v>65</v>
      </c>
      <c r="M42" t="s">
        <v>3329</v>
      </c>
      <c r="R42" t="s">
        <v>3221</v>
      </c>
      <c r="S42" t="s">
        <v>3222</v>
      </c>
      <c r="T42" t="s">
        <v>3223</v>
      </c>
      <c r="U42" t="s">
        <v>2692</v>
      </c>
      <c r="Y42" t="s">
        <v>3217</v>
      </c>
      <c r="Z42">
        <v>325</v>
      </c>
      <c r="AA42" s="31">
        <v>45604</v>
      </c>
      <c r="AB42" s="61">
        <v>0.72949074074074072</v>
      </c>
      <c r="AC42" t="s">
        <v>795</v>
      </c>
      <c r="AD42" s="31">
        <v>45929</v>
      </c>
      <c r="AE42" s="61">
        <v>0.70278935185185187</v>
      </c>
      <c r="AF42" t="s">
        <v>796</v>
      </c>
      <c r="AQ42">
        <v>1</v>
      </c>
    </row>
    <row r="43" spans="1:43" hidden="1" x14ac:dyDescent="0.25">
      <c r="A43" t="s">
        <v>3217</v>
      </c>
      <c r="B43">
        <v>42</v>
      </c>
      <c r="C43">
        <v>114</v>
      </c>
      <c r="D43">
        <v>121</v>
      </c>
      <c r="G43" t="s">
        <v>3330</v>
      </c>
      <c r="I43" t="s">
        <v>3330</v>
      </c>
      <c r="J43" t="s">
        <v>3330</v>
      </c>
      <c r="K43" t="s">
        <v>3331</v>
      </c>
      <c r="M43" t="s">
        <v>3332</v>
      </c>
      <c r="R43" t="s">
        <v>3221</v>
      </c>
      <c r="S43" t="s">
        <v>3222</v>
      </c>
      <c r="T43" t="s">
        <v>3223</v>
      </c>
      <c r="U43" t="s">
        <v>2692</v>
      </c>
      <c r="Y43" t="s">
        <v>3217</v>
      </c>
      <c r="Z43">
        <v>325</v>
      </c>
      <c r="AA43" s="31">
        <v>45604</v>
      </c>
      <c r="AB43" s="61">
        <v>0.72949074074074072</v>
      </c>
      <c r="AC43" t="s">
        <v>795</v>
      </c>
      <c r="AD43" s="31">
        <v>45929</v>
      </c>
      <c r="AE43" s="61">
        <v>0.70285879629629633</v>
      </c>
      <c r="AF43" t="s">
        <v>796</v>
      </c>
      <c r="AQ43">
        <v>1</v>
      </c>
    </row>
    <row r="44" spans="1:43" hidden="1" x14ac:dyDescent="0.25">
      <c r="A44" t="s">
        <v>3217</v>
      </c>
      <c r="B44">
        <v>43</v>
      </c>
      <c r="C44">
        <v>115</v>
      </c>
      <c r="D44">
        <v>123</v>
      </c>
      <c r="G44" t="s">
        <v>3333</v>
      </c>
      <c r="I44" t="s">
        <v>3333</v>
      </c>
      <c r="J44" t="s">
        <v>3333</v>
      </c>
      <c r="M44" t="s">
        <v>3334</v>
      </c>
      <c r="R44" t="s">
        <v>3221</v>
      </c>
      <c r="S44" t="s">
        <v>3222</v>
      </c>
      <c r="T44" t="s">
        <v>3223</v>
      </c>
      <c r="U44" t="s">
        <v>2692</v>
      </c>
      <c r="Y44" t="s">
        <v>3217</v>
      </c>
      <c r="Z44">
        <v>325</v>
      </c>
      <c r="AA44" s="31">
        <v>45604</v>
      </c>
      <c r="AB44" s="61">
        <v>0.72949074074074072</v>
      </c>
      <c r="AC44" t="s">
        <v>795</v>
      </c>
      <c r="AD44" s="31">
        <v>45929</v>
      </c>
      <c r="AE44" s="61">
        <v>0.70288194444444441</v>
      </c>
      <c r="AF44" t="s">
        <v>796</v>
      </c>
      <c r="AQ44">
        <v>1</v>
      </c>
    </row>
    <row r="45" spans="1:43" hidden="1" x14ac:dyDescent="0.25">
      <c r="A45" t="s">
        <v>3217</v>
      </c>
      <c r="B45">
        <v>44</v>
      </c>
      <c r="C45">
        <v>116</v>
      </c>
      <c r="D45">
        <v>125</v>
      </c>
      <c r="G45" t="s">
        <v>3335</v>
      </c>
      <c r="I45" t="s">
        <v>3335</v>
      </c>
      <c r="J45" t="s">
        <v>3335</v>
      </c>
      <c r="K45" t="s">
        <v>3336</v>
      </c>
      <c r="M45" t="s">
        <v>3337</v>
      </c>
      <c r="P45" t="s">
        <v>3338</v>
      </c>
      <c r="Q45" t="s">
        <v>3339</v>
      </c>
      <c r="R45" t="s">
        <v>3221</v>
      </c>
      <c r="S45" t="s">
        <v>3222</v>
      </c>
      <c r="T45" t="s">
        <v>3223</v>
      </c>
      <c r="U45" t="s">
        <v>2692</v>
      </c>
      <c r="Y45" t="s">
        <v>3217</v>
      </c>
      <c r="Z45">
        <v>325</v>
      </c>
      <c r="AA45" s="31">
        <v>45604</v>
      </c>
      <c r="AB45" s="61">
        <v>0.72950231481481487</v>
      </c>
      <c r="AC45" t="s">
        <v>795</v>
      </c>
      <c r="AD45" s="31">
        <v>45929</v>
      </c>
      <c r="AE45" s="61">
        <v>0.70289351851851856</v>
      </c>
      <c r="AF45" t="s">
        <v>796</v>
      </c>
      <c r="AQ45">
        <v>1</v>
      </c>
    </row>
    <row r="46" spans="1:43" hidden="1" x14ac:dyDescent="0.25">
      <c r="A46" t="s">
        <v>3217</v>
      </c>
      <c r="B46">
        <v>45</v>
      </c>
      <c r="C46">
        <v>117</v>
      </c>
      <c r="D46">
        <v>127</v>
      </c>
      <c r="G46" t="s">
        <v>3340</v>
      </c>
      <c r="I46" t="s">
        <v>3340</v>
      </c>
      <c r="J46" t="s">
        <v>3340</v>
      </c>
      <c r="M46" t="s">
        <v>3341</v>
      </c>
      <c r="R46" t="s">
        <v>3221</v>
      </c>
      <c r="S46" t="s">
        <v>3222</v>
      </c>
      <c r="T46" t="s">
        <v>3223</v>
      </c>
      <c r="U46" t="s">
        <v>2692</v>
      </c>
      <c r="Y46" t="s">
        <v>3217</v>
      </c>
      <c r="Z46">
        <v>325</v>
      </c>
      <c r="AA46" s="31">
        <v>45604</v>
      </c>
      <c r="AB46" s="61">
        <v>0.72950231481481487</v>
      </c>
      <c r="AC46" t="s">
        <v>795</v>
      </c>
      <c r="AD46" s="31">
        <v>45929</v>
      </c>
      <c r="AE46" s="61">
        <v>0.70292824074074078</v>
      </c>
      <c r="AF46" t="s">
        <v>796</v>
      </c>
      <c r="AQ46">
        <v>1</v>
      </c>
    </row>
    <row r="47" spans="1:43" hidden="1" x14ac:dyDescent="0.25">
      <c r="A47" t="s">
        <v>3217</v>
      </c>
      <c r="B47">
        <v>46</v>
      </c>
      <c r="C47">
        <v>118</v>
      </c>
      <c r="D47">
        <v>129</v>
      </c>
      <c r="G47" t="s">
        <v>686</v>
      </c>
      <c r="I47" t="s">
        <v>686</v>
      </c>
      <c r="J47" t="s">
        <v>686</v>
      </c>
      <c r="K47" t="s">
        <v>3342</v>
      </c>
      <c r="M47" t="s">
        <v>3343</v>
      </c>
      <c r="R47" t="s">
        <v>3221</v>
      </c>
      <c r="S47" t="s">
        <v>3222</v>
      </c>
      <c r="T47" t="s">
        <v>3223</v>
      </c>
      <c r="U47" t="s">
        <v>2692</v>
      </c>
      <c r="Y47" t="s">
        <v>3217</v>
      </c>
      <c r="Z47">
        <v>325</v>
      </c>
      <c r="AA47" s="31">
        <v>45604</v>
      </c>
      <c r="AB47" s="61">
        <v>0.72950231481481487</v>
      </c>
      <c r="AC47" t="s">
        <v>795</v>
      </c>
      <c r="AD47" s="31">
        <v>45929</v>
      </c>
      <c r="AE47" s="61">
        <v>0.70248842592592597</v>
      </c>
      <c r="AF47" t="s">
        <v>796</v>
      </c>
      <c r="AQ47">
        <v>1</v>
      </c>
    </row>
    <row r="48" spans="1:43" hidden="1" x14ac:dyDescent="0.25">
      <c r="A48" t="s">
        <v>3217</v>
      </c>
      <c r="B48">
        <v>47</v>
      </c>
      <c r="C48">
        <v>119</v>
      </c>
      <c r="D48">
        <v>131</v>
      </c>
      <c r="G48" t="s">
        <v>608</v>
      </c>
      <c r="I48" t="s">
        <v>608</v>
      </c>
      <c r="J48" t="s">
        <v>608</v>
      </c>
      <c r="K48" t="s">
        <v>3344</v>
      </c>
      <c r="M48" t="s">
        <v>3345</v>
      </c>
      <c r="R48" t="s">
        <v>3221</v>
      </c>
      <c r="S48" t="s">
        <v>3222</v>
      </c>
      <c r="T48" t="s">
        <v>3223</v>
      </c>
      <c r="U48" t="s">
        <v>2692</v>
      </c>
      <c r="Y48" t="s">
        <v>3217</v>
      </c>
      <c r="Z48">
        <v>325</v>
      </c>
      <c r="AA48" s="31">
        <v>45604</v>
      </c>
      <c r="AB48" s="61">
        <v>0.72950231481481487</v>
      </c>
      <c r="AC48" t="s">
        <v>795</v>
      </c>
      <c r="AD48" s="31">
        <v>45929</v>
      </c>
      <c r="AE48" s="61">
        <v>0.70251157407407405</v>
      </c>
      <c r="AF48" t="s">
        <v>796</v>
      </c>
      <c r="AQ48">
        <v>1</v>
      </c>
    </row>
    <row r="49" spans="1:43" hidden="1" x14ac:dyDescent="0.25">
      <c r="A49" t="s">
        <v>3217</v>
      </c>
      <c r="B49">
        <v>48</v>
      </c>
      <c r="C49">
        <v>120</v>
      </c>
      <c r="D49">
        <v>133</v>
      </c>
      <c r="G49" t="s">
        <v>3346</v>
      </c>
      <c r="I49" t="s">
        <v>3346</v>
      </c>
      <c r="J49" t="s">
        <v>3346</v>
      </c>
      <c r="M49" t="s">
        <v>3347</v>
      </c>
      <c r="R49" t="s">
        <v>3221</v>
      </c>
      <c r="S49" t="s">
        <v>3222</v>
      </c>
      <c r="T49" t="s">
        <v>3223</v>
      </c>
      <c r="U49" t="s">
        <v>2692</v>
      </c>
      <c r="Y49" t="s">
        <v>3217</v>
      </c>
      <c r="Z49">
        <v>325</v>
      </c>
      <c r="AA49" s="31">
        <v>45604</v>
      </c>
      <c r="AB49" s="61">
        <v>0.72950231481481487</v>
      </c>
      <c r="AC49" t="s">
        <v>795</v>
      </c>
      <c r="AD49" s="31">
        <v>45929</v>
      </c>
      <c r="AE49" s="61">
        <v>0.70253472222222224</v>
      </c>
      <c r="AF49" t="s">
        <v>796</v>
      </c>
      <c r="AQ49">
        <v>1</v>
      </c>
    </row>
    <row r="50" spans="1:43" hidden="1" x14ac:dyDescent="0.25">
      <c r="A50" t="s">
        <v>3217</v>
      </c>
      <c r="B50">
        <v>49</v>
      </c>
      <c r="C50">
        <v>121</v>
      </c>
      <c r="D50">
        <v>135</v>
      </c>
      <c r="G50" t="s">
        <v>3348</v>
      </c>
      <c r="I50" t="s">
        <v>3348</v>
      </c>
      <c r="J50" t="s">
        <v>3348</v>
      </c>
      <c r="M50" t="s">
        <v>3349</v>
      </c>
      <c r="R50" t="s">
        <v>3221</v>
      </c>
      <c r="S50" t="s">
        <v>3222</v>
      </c>
      <c r="T50" t="s">
        <v>3223</v>
      </c>
      <c r="U50" t="s">
        <v>2692</v>
      </c>
      <c r="Y50" t="s">
        <v>3217</v>
      </c>
      <c r="Z50">
        <v>325</v>
      </c>
      <c r="AA50" s="31">
        <v>45604</v>
      </c>
      <c r="AB50" s="61">
        <v>0.72950231481481487</v>
      </c>
      <c r="AC50" t="s">
        <v>795</v>
      </c>
      <c r="AD50" s="31">
        <v>45929</v>
      </c>
      <c r="AE50" s="61">
        <v>0.70255787037037032</v>
      </c>
      <c r="AF50" t="s">
        <v>796</v>
      </c>
      <c r="AQ50">
        <v>1</v>
      </c>
    </row>
    <row r="51" spans="1:43" hidden="1" x14ac:dyDescent="0.25">
      <c r="A51" t="s">
        <v>3217</v>
      </c>
      <c r="B51">
        <v>50</v>
      </c>
      <c r="C51">
        <v>122</v>
      </c>
      <c r="D51">
        <v>137</v>
      </c>
      <c r="G51" t="s">
        <v>680</v>
      </c>
      <c r="I51" t="s">
        <v>680</v>
      </c>
      <c r="J51" t="s">
        <v>680</v>
      </c>
      <c r="K51" t="s">
        <v>3350</v>
      </c>
      <c r="M51" t="s">
        <v>3351</v>
      </c>
      <c r="R51" t="s">
        <v>3221</v>
      </c>
      <c r="S51" t="s">
        <v>3222</v>
      </c>
      <c r="T51" t="s">
        <v>3223</v>
      </c>
      <c r="U51" t="s">
        <v>2692</v>
      </c>
      <c r="Y51" t="s">
        <v>3217</v>
      </c>
      <c r="Z51">
        <v>325</v>
      </c>
      <c r="AA51" s="31">
        <v>45604</v>
      </c>
      <c r="AB51" s="61">
        <v>0.72950231481481487</v>
      </c>
      <c r="AC51" t="s">
        <v>795</v>
      </c>
      <c r="AD51" s="31">
        <v>45929</v>
      </c>
      <c r="AE51" s="61">
        <v>0.70258101851851851</v>
      </c>
      <c r="AF51" t="s">
        <v>796</v>
      </c>
      <c r="AQ51">
        <v>1</v>
      </c>
    </row>
    <row r="52" spans="1:43" hidden="1" x14ac:dyDescent="0.25">
      <c r="A52" t="s">
        <v>3217</v>
      </c>
      <c r="B52">
        <v>51</v>
      </c>
      <c r="C52">
        <v>123</v>
      </c>
      <c r="D52">
        <v>139</v>
      </c>
      <c r="G52" t="s">
        <v>647</v>
      </c>
      <c r="I52" t="s">
        <v>647</v>
      </c>
      <c r="J52" t="s">
        <v>647</v>
      </c>
      <c r="K52" t="s">
        <v>3352</v>
      </c>
      <c r="M52" t="s">
        <v>3353</v>
      </c>
      <c r="R52" t="s">
        <v>3221</v>
      </c>
      <c r="S52" t="s">
        <v>3222</v>
      </c>
      <c r="T52" t="s">
        <v>3223</v>
      </c>
      <c r="U52" t="s">
        <v>2692</v>
      </c>
      <c r="Y52" t="s">
        <v>3217</v>
      </c>
      <c r="Z52">
        <v>325</v>
      </c>
      <c r="AA52" s="31">
        <v>45604</v>
      </c>
      <c r="AB52" s="61">
        <v>0.72950231481481487</v>
      </c>
      <c r="AC52" t="s">
        <v>795</v>
      </c>
      <c r="AD52" s="31">
        <v>45929</v>
      </c>
      <c r="AE52" s="61">
        <v>0.7026041666666667</v>
      </c>
      <c r="AF52" t="s">
        <v>796</v>
      </c>
      <c r="AQ52">
        <v>1</v>
      </c>
    </row>
    <row r="53" spans="1:43" hidden="1" x14ac:dyDescent="0.25">
      <c r="A53" t="s">
        <v>3217</v>
      </c>
      <c r="B53">
        <v>52</v>
      </c>
      <c r="C53">
        <v>124</v>
      </c>
      <c r="D53">
        <v>141</v>
      </c>
      <c r="G53" t="s">
        <v>3354</v>
      </c>
      <c r="I53" t="s">
        <v>3354</v>
      </c>
      <c r="J53" t="s">
        <v>3354</v>
      </c>
      <c r="M53" t="s">
        <v>3355</v>
      </c>
      <c r="R53" t="s">
        <v>3221</v>
      </c>
      <c r="S53" t="s">
        <v>3222</v>
      </c>
      <c r="T53" t="s">
        <v>3223</v>
      </c>
      <c r="U53" t="s">
        <v>2692</v>
      </c>
      <c r="Y53" t="s">
        <v>3217</v>
      </c>
      <c r="Z53">
        <v>325</v>
      </c>
      <c r="AA53" s="31">
        <v>45604</v>
      </c>
      <c r="AB53" s="61">
        <v>0.72950231481481487</v>
      </c>
      <c r="AC53" t="s">
        <v>795</v>
      </c>
      <c r="AD53" s="31">
        <v>45929</v>
      </c>
      <c r="AE53" s="61">
        <v>0.70262731481481477</v>
      </c>
      <c r="AF53" t="s">
        <v>796</v>
      </c>
      <c r="AQ53">
        <v>1</v>
      </c>
    </row>
    <row r="54" spans="1:43" hidden="1" x14ac:dyDescent="0.25">
      <c r="A54" t="s">
        <v>3217</v>
      </c>
      <c r="B54">
        <v>53</v>
      </c>
      <c r="C54">
        <v>125</v>
      </c>
      <c r="D54">
        <v>143</v>
      </c>
      <c r="G54" t="s">
        <v>3356</v>
      </c>
      <c r="I54" t="s">
        <v>3356</v>
      </c>
      <c r="J54" t="s">
        <v>3356</v>
      </c>
      <c r="M54" t="s">
        <v>3357</v>
      </c>
      <c r="R54" t="s">
        <v>3221</v>
      </c>
      <c r="S54" t="s">
        <v>3222</v>
      </c>
      <c r="T54" t="s">
        <v>3223</v>
      </c>
      <c r="U54" t="s">
        <v>2692</v>
      </c>
      <c r="Y54" t="s">
        <v>3217</v>
      </c>
      <c r="Z54">
        <v>325</v>
      </c>
      <c r="AA54" s="31">
        <v>45604</v>
      </c>
      <c r="AB54" s="61">
        <v>0.72950231481481487</v>
      </c>
      <c r="AC54" t="s">
        <v>795</v>
      </c>
      <c r="AD54" s="31">
        <v>45929</v>
      </c>
      <c r="AE54" s="61">
        <v>0.702662037037037</v>
      </c>
      <c r="AF54" t="s">
        <v>796</v>
      </c>
      <c r="AQ54">
        <v>1</v>
      </c>
    </row>
    <row r="55" spans="1:43" hidden="1" x14ac:dyDescent="0.25">
      <c r="A55" t="s">
        <v>3217</v>
      </c>
      <c r="B55">
        <v>54</v>
      </c>
      <c r="C55">
        <v>126</v>
      </c>
      <c r="D55">
        <v>145</v>
      </c>
      <c r="G55" t="s">
        <v>3358</v>
      </c>
      <c r="I55" t="s">
        <v>3358</v>
      </c>
      <c r="J55" t="s">
        <v>3358</v>
      </c>
      <c r="M55" t="s">
        <v>3359</v>
      </c>
      <c r="R55" t="s">
        <v>3221</v>
      </c>
      <c r="S55" t="s">
        <v>3222</v>
      </c>
      <c r="T55" t="s">
        <v>3223</v>
      </c>
      <c r="U55" t="s">
        <v>2692</v>
      </c>
      <c r="Y55" t="s">
        <v>3217</v>
      </c>
      <c r="Z55">
        <v>325</v>
      </c>
      <c r="AA55" s="31">
        <v>45604</v>
      </c>
      <c r="AB55" s="61">
        <v>0.72950231481481487</v>
      </c>
      <c r="AC55" t="s">
        <v>795</v>
      </c>
      <c r="AD55" s="31">
        <v>45929</v>
      </c>
      <c r="AE55" s="61">
        <v>0.70270833333333338</v>
      </c>
      <c r="AF55" t="s">
        <v>796</v>
      </c>
      <c r="AQ55">
        <v>1</v>
      </c>
    </row>
    <row r="56" spans="1:43" hidden="1" x14ac:dyDescent="0.25">
      <c r="A56" t="s">
        <v>3217</v>
      </c>
      <c r="B56">
        <v>55</v>
      </c>
      <c r="C56">
        <v>127</v>
      </c>
      <c r="D56">
        <v>147</v>
      </c>
      <c r="G56" t="s">
        <v>3360</v>
      </c>
      <c r="I56" t="s">
        <v>3360</v>
      </c>
      <c r="J56" t="s">
        <v>3360</v>
      </c>
      <c r="K56" t="s">
        <v>3361</v>
      </c>
      <c r="M56" t="s">
        <v>3362</v>
      </c>
      <c r="R56" t="s">
        <v>3221</v>
      </c>
      <c r="S56" t="s">
        <v>3222</v>
      </c>
      <c r="T56" t="s">
        <v>3223</v>
      </c>
      <c r="U56" t="s">
        <v>2692</v>
      </c>
      <c r="Y56" t="s">
        <v>3217</v>
      </c>
      <c r="Z56">
        <v>325</v>
      </c>
      <c r="AA56" s="31">
        <v>45604</v>
      </c>
      <c r="AB56" s="61">
        <v>0.72950231481481487</v>
      </c>
      <c r="AC56" t="s">
        <v>795</v>
      </c>
      <c r="AD56" s="31">
        <v>45929</v>
      </c>
      <c r="AE56" s="61">
        <v>0.70274305555555561</v>
      </c>
      <c r="AF56" t="s">
        <v>796</v>
      </c>
      <c r="AQ56">
        <v>1</v>
      </c>
    </row>
    <row r="57" spans="1:43" hidden="1" x14ac:dyDescent="0.25">
      <c r="A57" t="s">
        <v>3217</v>
      </c>
      <c r="B57">
        <v>56</v>
      </c>
      <c r="C57">
        <v>128</v>
      </c>
      <c r="D57">
        <v>149</v>
      </c>
      <c r="G57" t="s">
        <v>3363</v>
      </c>
      <c r="I57" t="s">
        <v>3363</v>
      </c>
      <c r="J57" t="s">
        <v>3363</v>
      </c>
      <c r="M57" t="s">
        <v>3364</v>
      </c>
      <c r="R57" t="s">
        <v>3221</v>
      </c>
      <c r="S57" t="s">
        <v>3222</v>
      </c>
      <c r="T57" t="s">
        <v>3223</v>
      </c>
      <c r="U57" t="s">
        <v>2692</v>
      </c>
      <c r="Y57" t="s">
        <v>3217</v>
      </c>
      <c r="Z57">
        <v>325</v>
      </c>
      <c r="AA57" s="31">
        <v>45604</v>
      </c>
      <c r="AB57" s="61">
        <v>0.72950231481481487</v>
      </c>
      <c r="AC57" t="s">
        <v>795</v>
      </c>
      <c r="AD57" s="31">
        <v>45929</v>
      </c>
      <c r="AE57" s="61">
        <v>0.70277777777777772</v>
      </c>
      <c r="AF57" t="s">
        <v>796</v>
      </c>
      <c r="AQ57">
        <v>1</v>
      </c>
    </row>
    <row r="58" spans="1:43" hidden="1" x14ac:dyDescent="0.25">
      <c r="A58" t="s">
        <v>3217</v>
      </c>
      <c r="B58">
        <v>57</v>
      </c>
      <c r="C58">
        <v>129</v>
      </c>
      <c r="D58">
        <v>151</v>
      </c>
      <c r="G58" t="s">
        <v>679</v>
      </c>
      <c r="I58" t="s">
        <v>679</v>
      </c>
      <c r="J58" t="s">
        <v>679</v>
      </c>
      <c r="K58" t="s">
        <v>3365</v>
      </c>
      <c r="M58" t="s">
        <v>3366</v>
      </c>
      <c r="R58" t="s">
        <v>3221</v>
      </c>
      <c r="S58" t="s">
        <v>3222</v>
      </c>
      <c r="T58" t="s">
        <v>3223</v>
      </c>
      <c r="U58" t="s">
        <v>2692</v>
      </c>
      <c r="Y58" t="s">
        <v>3217</v>
      </c>
      <c r="Z58">
        <v>325</v>
      </c>
      <c r="AA58" s="31">
        <v>45604</v>
      </c>
      <c r="AB58" s="61">
        <v>0.72950231481481487</v>
      </c>
      <c r="AC58" t="s">
        <v>795</v>
      </c>
      <c r="AD58" s="31">
        <v>45929</v>
      </c>
      <c r="AE58" s="61">
        <v>0.70280092592592591</v>
      </c>
      <c r="AF58" t="s">
        <v>796</v>
      </c>
      <c r="AQ58">
        <v>1</v>
      </c>
    </row>
    <row r="59" spans="1:43" hidden="1" x14ac:dyDescent="0.25">
      <c r="A59" t="s">
        <v>3217</v>
      </c>
      <c r="B59">
        <v>58</v>
      </c>
      <c r="C59">
        <v>130</v>
      </c>
      <c r="D59">
        <v>153</v>
      </c>
      <c r="G59" t="s">
        <v>141</v>
      </c>
      <c r="I59" t="s">
        <v>141</v>
      </c>
      <c r="J59" t="s">
        <v>141</v>
      </c>
      <c r="K59" t="s">
        <v>3367</v>
      </c>
      <c r="M59" t="s">
        <v>3368</v>
      </c>
      <c r="P59" t="s">
        <v>923</v>
      </c>
      <c r="Q59" t="s">
        <v>790</v>
      </c>
      <c r="R59" t="s">
        <v>3221</v>
      </c>
      <c r="S59" t="s">
        <v>3222</v>
      </c>
      <c r="T59" t="s">
        <v>3223</v>
      </c>
      <c r="U59" t="s">
        <v>2692</v>
      </c>
      <c r="Y59" t="s">
        <v>3217</v>
      </c>
      <c r="Z59">
        <v>325</v>
      </c>
      <c r="AA59" s="31">
        <v>45604</v>
      </c>
      <c r="AB59" s="61">
        <v>0.72950231481481487</v>
      </c>
      <c r="AC59" t="s">
        <v>795</v>
      </c>
      <c r="AD59" s="31">
        <v>45929</v>
      </c>
      <c r="AE59" s="61">
        <v>0.7028240740740741</v>
      </c>
      <c r="AF59" t="s">
        <v>796</v>
      </c>
      <c r="AQ59">
        <v>1</v>
      </c>
    </row>
    <row r="60" spans="1:43" hidden="1" x14ac:dyDescent="0.25">
      <c r="A60" t="s">
        <v>3217</v>
      </c>
      <c r="B60">
        <v>59</v>
      </c>
      <c r="C60">
        <v>131</v>
      </c>
      <c r="D60">
        <v>155</v>
      </c>
      <c r="G60" t="s">
        <v>3369</v>
      </c>
      <c r="I60" t="s">
        <v>3369</v>
      </c>
      <c r="J60" t="s">
        <v>3369</v>
      </c>
      <c r="K60" t="s">
        <v>3370</v>
      </c>
      <c r="M60" t="s">
        <v>3371</v>
      </c>
      <c r="P60" t="s">
        <v>3372</v>
      </c>
      <c r="Q60" t="s">
        <v>1027</v>
      </c>
      <c r="R60" t="s">
        <v>3221</v>
      </c>
      <c r="S60" t="s">
        <v>3222</v>
      </c>
      <c r="T60" t="s">
        <v>3223</v>
      </c>
      <c r="U60" t="s">
        <v>2692</v>
      </c>
      <c r="Y60" t="s">
        <v>3217</v>
      </c>
      <c r="Z60">
        <v>325</v>
      </c>
      <c r="AA60" s="31">
        <v>45604</v>
      </c>
      <c r="AB60" s="61">
        <v>0.72950231481481487</v>
      </c>
      <c r="AC60" t="s">
        <v>795</v>
      </c>
      <c r="AD60" s="31">
        <v>45929</v>
      </c>
      <c r="AE60" s="61">
        <v>0.70284722222222218</v>
      </c>
      <c r="AF60" t="s">
        <v>796</v>
      </c>
      <c r="AQ60">
        <v>1</v>
      </c>
    </row>
    <row r="61" spans="1:43" hidden="1" x14ac:dyDescent="0.25">
      <c r="A61" t="s">
        <v>3217</v>
      </c>
      <c r="B61">
        <v>60</v>
      </c>
      <c r="C61">
        <v>132</v>
      </c>
      <c r="D61">
        <v>157</v>
      </c>
      <c r="G61" t="s">
        <v>3373</v>
      </c>
      <c r="I61" t="s">
        <v>3373</v>
      </c>
      <c r="J61" t="s">
        <v>3373</v>
      </c>
      <c r="K61" t="s">
        <v>3374</v>
      </c>
      <c r="M61" t="s">
        <v>3375</v>
      </c>
      <c r="R61" t="s">
        <v>3221</v>
      </c>
      <c r="S61" t="s">
        <v>3222</v>
      </c>
      <c r="T61" t="s">
        <v>3223</v>
      </c>
      <c r="U61" t="s">
        <v>2692</v>
      </c>
      <c r="Y61" t="s">
        <v>3217</v>
      </c>
      <c r="Z61">
        <v>325</v>
      </c>
      <c r="AA61" s="31">
        <v>45604</v>
      </c>
      <c r="AB61" s="61">
        <v>0.72950231481481487</v>
      </c>
      <c r="AC61" t="s">
        <v>795</v>
      </c>
      <c r="AD61" s="31">
        <v>45929</v>
      </c>
      <c r="AE61" s="61">
        <v>0.70288194444444441</v>
      </c>
      <c r="AF61" t="s">
        <v>796</v>
      </c>
      <c r="AQ61">
        <v>1</v>
      </c>
    </row>
    <row r="62" spans="1:43" hidden="1" x14ac:dyDescent="0.25">
      <c r="A62" t="s">
        <v>3217</v>
      </c>
      <c r="B62">
        <v>61</v>
      </c>
      <c r="C62">
        <v>133</v>
      </c>
      <c r="D62">
        <v>159</v>
      </c>
      <c r="G62" t="s">
        <v>625</v>
      </c>
      <c r="I62" t="s">
        <v>625</v>
      </c>
      <c r="J62" t="s">
        <v>625</v>
      </c>
      <c r="K62" t="s">
        <v>3376</v>
      </c>
      <c r="M62" t="s">
        <v>2207</v>
      </c>
      <c r="R62" t="s">
        <v>3221</v>
      </c>
      <c r="S62" t="s">
        <v>3222</v>
      </c>
      <c r="T62" t="s">
        <v>3223</v>
      </c>
      <c r="U62" t="s">
        <v>2692</v>
      </c>
      <c r="Y62" t="s">
        <v>3217</v>
      </c>
      <c r="Z62">
        <v>325</v>
      </c>
      <c r="AA62" s="31">
        <v>45604</v>
      </c>
      <c r="AB62" s="61">
        <v>0.72951388888888891</v>
      </c>
      <c r="AC62" t="s">
        <v>795</v>
      </c>
      <c r="AD62" s="31">
        <v>45929</v>
      </c>
      <c r="AE62" s="61">
        <v>0.70248842592592597</v>
      </c>
      <c r="AF62" t="s">
        <v>796</v>
      </c>
      <c r="AQ62">
        <v>1</v>
      </c>
    </row>
    <row r="63" spans="1:43" hidden="1" x14ac:dyDescent="0.25">
      <c r="A63" t="s">
        <v>3217</v>
      </c>
      <c r="B63">
        <v>62</v>
      </c>
      <c r="C63">
        <v>134</v>
      </c>
      <c r="D63">
        <v>161</v>
      </c>
      <c r="G63" t="s">
        <v>3377</v>
      </c>
      <c r="I63" t="s">
        <v>3377</v>
      </c>
      <c r="J63" t="s">
        <v>3377</v>
      </c>
      <c r="K63" t="s">
        <v>3378</v>
      </c>
      <c r="M63" t="s">
        <v>3379</v>
      </c>
      <c r="R63" t="s">
        <v>3221</v>
      </c>
      <c r="S63" t="s">
        <v>3222</v>
      </c>
      <c r="T63" t="s">
        <v>3223</v>
      </c>
      <c r="U63" t="s">
        <v>2692</v>
      </c>
      <c r="Y63" t="s">
        <v>3217</v>
      </c>
      <c r="Z63">
        <v>325</v>
      </c>
      <c r="AA63" s="31">
        <v>45604</v>
      </c>
      <c r="AB63" s="61">
        <v>0.72951388888888891</v>
      </c>
      <c r="AC63" t="s">
        <v>795</v>
      </c>
      <c r="AD63" s="31">
        <v>45929</v>
      </c>
      <c r="AE63" s="61">
        <v>0.7025231481481482</v>
      </c>
      <c r="AF63" t="s">
        <v>796</v>
      </c>
      <c r="AQ63">
        <v>1</v>
      </c>
    </row>
    <row r="64" spans="1:43" hidden="1" x14ac:dyDescent="0.25">
      <c r="A64" t="s">
        <v>3217</v>
      </c>
      <c r="B64">
        <v>63</v>
      </c>
      <c r="C64">
        <v>135</v>
      </c>
      <c r="D64">
        <v>163</v>
      </c>
      <c r="G64" t="s">
        <v>229</v>
      </c>
      <c r="I64" t="s">
        <v>229</v>
      </c>
      <c r="J64" t="s">
        <v>229</v>
      </c>
      <c r="K64" t="s">
        <v>3380</v>
      </c>
      <c r="M64" t="s">
        <v>3381</v>
      </c>
      <c r="R64" t="s">
        <v>3221</v>
      </c>
      <c r="S64" t="s">
        <v>3222</v>
      </c>
      <c r="T64" t="s">
        <v>3223</v>
      </c>
      <c r="U64" t="s">
        <v>2692</v>
      </c>
      <c r="Y64" t="s">
        <v>3217</v>
      </c>
      <c r="Z64">
        <v>325</v>
      </c>
      <c r="AA64" s="31">
        <v>45604</v>
      </c>
      <c r="AB64" s="61">
        <v>0.72951388888888891</v>
      </c>
      <c r="AC64" t="s">
        <v>795</v>
      </c>
      <c r="AD64" s="31">
        <v>45929</v>
      </c>
      <c r="AE64" s="61">
        <v>0.70254629629629628</v>
      </c>
      <c r="AF64" t="s">
        <v>796</v>
      </c>
      <c r="AQ64">
        <v>1</v>
      </c>
    </row>
    <row r="65" spans="1:43" hidden="1" x14ac:dyDescent="0.25">
      <c r="A65" t="s">
        <v>3217</v>
      </c>
      <c r="B65">
        <v>64</v>
      </c>
      <c r="C65">
        <v>136</v>
      </c>
      <c r="D65">
        <v>165</v>
      </c>
      <c r="G65" t="s">
        <v>3382</v>
      </c>
      <c r="I65" t="s">
        <v>3382</v>
      </c>
      <c r="J65" t="s">
        <v>3382</v>
      </c>
      <c r="K65" t="s">
        <v>3383</v>
      </c>
      <c r="M65" t="s">
        <v>3384</v>
      </c>
      <c r="R65" t="s">
        <v>3221</v>
      </c>
      <c r="S65" t="s">
        <v>3222</v>
      </c>
      <c r="T65" t="s">
        <v>3223</v>
      </c>
      <c r="U65" t="s">
        <v>2692</v>
      </c>
      <c r="Y65" t="s">
        <v>3217</v>
      </c>
      <c r="Z65">
        <v>325</v>
      </c>
      <c r="AA65" s="31">
        <v>45604</v>
      </c>
      <c r="AB65" s="61">
        <v>0.72951388888888891</v>
      </c>
      <c r="AC65" t="s">
        <v>795</v>
      </c>
      <c r="AD65" s="31">
        <v>45929</v>
      </c>
      <c r="AE65" s="61">
        <v>0.70256944444444447</v>
      </c>
      <c r="AF65" t="s">
        <v>796</v>
      </c>
      <c r="AQ65">
        <v>1</v>
      </c>
    </row>
    <row r="66" spans="1:43" hidden="1" x14ac:dyDescent="0.25">
      <c r="A66" t="s">
        <v>3217</v>
      </c>
      <c r="B66">
        <v>65</v>
      </c>
      <c r="C66">
        <v>137</v>
      </c>
      <c r="D66">
        <v>167</v>
      </c>
      <c r="G66" t="s">
        <v>116</v>
      </c>
      <c r="I66" t="s">
        <v>116</v>
      </c>
      <c r="J66" t="s">
        <v>116</v>
      </c>
      <c r="K66" t="s">
        <v>3385</v>
      </c>
      <c r="M66" t="s">
        <v>3386</v>
      </c>
      <c r="R66" t="s">
        <v>3221</v>
      </c>
      <c r="S66" t="s">
        <v>3222</v>
      </c>
      <c r="T66" t="s">
        <v>3223</v>
      </c>
      <c r="U66" t="s">
        <v>2692</v>
      </c>
      <c r="Y66" t="s">
        <v>3217</v>
      </c>
      <c r="Z66">
        <v>325</v>
      </c>
      <c r="AA66" s="31">
        <v>45604</v>
      </c>
      <c r="AB66" s="61">
        <v>0.72951388888888891</v>
      </c>
      <c r="AC66" t="s">
        <v>795</v>
      </c>
      <c r="AD66" s="31">
        <v>45929</v>
      </c>
      <c r="AE66" s="61">
        <v>0.70259259259259255</v>
      </c>
      <c r="AF66" t="s">
        <v>796</v>
      </c>
      <c r="AQ66">
        <v>1</v>
      </c>
    </row>
    <row r="67" spans="1:43" hidden="1" x14ac:dyDescent="0.25">
      <c r="A67" t="s">
        <v>3217</v>
      </c>
      <c r="B67">
        <v>66</v>
      </c>
      <c r="C67">
        <v>138</v>
      </c>
      <c r="D67">
        <v>169</v>
      </c>
      <c r="G67" t="s">
        <v>3387</v>
      </c>
      <c r="I67" t="s">
        <v>3387</v>
      </c>
      <c r="J67" t="s">
        <v>3387</v>
      </c>
      <c r="K67" t="s">
        <v>3388</v>
      </c>
      <c r="M67" t="s">
        <v>3389</v>
      </c>
      <c r="R67" t="s">
        <v>3221</v>
      </c>
      <c r="S67" t="s">
        <v>3222</v>
      </c>
      <c r="T67" t="s">
        <v>3223</v>
      </c>
      <c r="U67" t="s">
        <v>2692</v>
      </c>
      <c r="Y67" t="s">
        <v>3217</v>
      </c>
      <c r="Z67">
        <v>325</v>
      </c>
      <c r="AA67" s="31">
        <v>45604</v>
      </c>
      <c r="AB67" s="61">
        <v>0.72951388888888891</v>
      </c>
      <c r="AC67" t="s">
        <v>795</v>
      </c>
      <c r="AD67" s="31">
        <v>45929</v>
      </c>
      <c r="AE67" s="61">
        <v>0.70262731481481477</v>
      </c>
      <c r="AF67" t="s">
        <v>796</v>
      </c>
      <c r="AQ67">
        <v>1</v>
      </c>
    </row>
    <row r="68" spans="1:43" hidden="1" x14ac:dyDescent="0.25">
      <c r="A68" t="s">
        <v>3217</v>
      </c>
      <c r="B68">
        <v>67</v>
      </c>
      <c r="C68">
        <v>139</v>
      </c>
      <c r="D68">
        <v>171</v>
      </c>
      <c r="G68" t="s">
        <v>3390</v>
      </c>
      <c r="I68" t="s">
        <v>3390</v>
      </c>
      <c r="J68" t="s">
        <v>3390</v>
      </c>
      <c r="K68" t="s">
        <v>2046</v>
      </c>
      <c r="M68" t="s">
        <v>2047</v>
      </c>
      <c r="P68" t="s">
        <v>3391</v>
      </c>
      <c r="R68" t="s">
        <v>3221</v>
      </c>
      <c r="S68" t="s">
        <v>3222</v>
      </c>
      <c r="T68" t="s">
        <v>3223</v>
      </c>
      <c r="U68" t="s">
        <v>2692</v>
      </c>
      <c r="Y68" t="s">
        <v>3217</v>
      </c>
      <c r="Z68">
        <v>325</v>
      </c>
      <c r="AA68" s="31">
        <v>45604</v>
      </c>
      <c r="AB68" s="61">
        <v>0.72951388888888891</v>
      </c>
      <c r="AC68" t="s">
        <v>795</v>
      </c>
      <c r="AD68" s="31">
        <v>45929</v>
      </c>
      <c r="AE68" s="61">
        <v>0.70265046296296296</v>
      </c>
      <c r="AF68" t="s">
        <v>796</v>
      </c>
      <c r="AQ68">
        <v>1</v>
      </c>
    </row>
    <row r="69" spans="1:43" hidden="1" x14ac:dyDescent="0.25">
      <c r="A69" t="s">
        <v>3217</v>
      </c>
      <c r="B69">
        <v>68</v>
      </c>
      <c r="C69">
        <v>140</v>
      </c>
      <c r="D69">
        <v>173</v>
      </c>
      <c r="G69" t="s">
        <v>3392</v>
      </c>
      <c r="I69" t="s">
        <v>3392</v>
      </c>
      <c r="J69" t="s">
        <v>3392</v>
      </c>
      <c r="K69" t="s">
        <v>3393</v>
      </c>
      <c r="M69" t="s">
        <v>3394</v>
      </c>
      <c r="R69" t="s">
        <v>3221</v>
      </c>
      <c r="S69" t="s">
        <v>3222</v>
      </c>
      <c r="T69" t="s">
        <v>3223</v>
      </c>
      <c r="U69" t="s">
        <v>2692</v>
      </c>
      <c r="Y69" t="s">
        <v>3217</v>
      </c>
      <c r="Z69">
        <v>325</v>
      </c>
      <c r="AA69" s="31">
        <v>45604</v>
      </c>
      <c r="AB69" s="61">
        <v>0.72951388888888891</v>
      </c>
      <c r="AC69" t="s">
        <v>795</v>
      </c>
      <c r="AD69" s="31">
        <v>45929</v>
      </c>
      <c r="AE69" s="61">
        <v>0.70267361111111115</v>
      </c>
      <c r="AF69" t="s">
        <v>796</v>
      </c>
      <c r="AQ69">
        <v>1</v>
      </c>
    </row>
    <row r="70" spans="1:43" hidden="1" x14ac:dyDescent="0.25">
      <c r="A70" t="s">
        <v>3217</v>
      </c>
      <c r="B70">
        <v>69</v>
      </c>
      <c r="C70">
        <v>141</v>
      </c>
      <c r="D70">
        <v>175</v>
      </c>
      <c r="G70" t="s">
        <v>434</v>
      </c>
      <c r="I70" t="s">
        <v>434</v>
      </c>
      <c r="J70" t="s">
        <v>434</v>
      </c>
      <c r="K70" t="s">
        <v>3395</v>
      </c>
      <c r="M70" t="s">
        <v>3396</v>
      </c>
      <c r="R70" t="s">
        <v>3221</v>
      </c>
      <c r="S70" t="s">
        <v>3222</v>
      </c>
      <c r="T70" t="s">
        <v>3223</v>
      </c>
      <c r="U70" t="s">
        <v>2692</v>
      </c>
      <c r="Y70" t="s">
        <v>3217</v>
      </c>
      <c r="Z70">
        <v>325</v>
      </c>
      <c r="AA70" s="31">
        <v>45604</v>
      </c>
      <c r="AB70" s="61">
        <v>0.72951388888888891</v>
      </c>
      <c r="AC70" t="s">
        <v>795</v>
      </c>
      <c r="AD70" s="31">
        <v>45929</v>
      </c>
      <c r="AE70" s="61">
        <v>0.70270833333333338</v>
      </c>
      <c r="AF70" t="s">
        <v>796</v>
      </c>
      <c r="AQ70">
        <v>1</v>
      </c>
    </row>
    <row r="71" spans="1:43" hidden="1" x14ac:dyDescent="0.25">
      <c r="A71" t="s">
        <v>3217</v>
      </c>
      <c r="B71">
        <v>70</v>
      </c>
      <c r="C71">
        <v>142</v>
      </c>
      <c r="D71">
        <v>177</v>
      </c>
      <c r="G71" t="s">
        <v>3397</v>
      </c>
      <c r="I71" t="s">
        <v>3397</v>
      </c>
      <c r="J71" t="s">
        <v>3397</v>
      </c>
      <c r="K71" t="s">
        <v>3398</v>
      </c>
      <c r="M71" t="s">
        <v>3399</v>
      </c>
      <c r="P71" t="s">
        <v>3400</v>
      </c>
      <c r="Q71" t="s">
        <v>1699</v>
      </c>
      <c r="R71" t="s">
        <v>3221</v>
      </c>
      <c r="S71" t="s">
        <v>3222</v>
      </c>
      <c r="T71" t="s">
        <v>3223</v>
      </c>
      <c r="U71" t="s">
        <v>2692</v>
      </c>
      <c r="Y71" t="s">
        <v>3217</v>
      </c>
      <c r="Z71">
        <v>325</v>
      </c>
      <c r="AA71" s="31">
        <v>45604</v>
      </c>
      <c r="AB71" s="61">
        <v>0.72951388888888891</v>
      </c>
      <c r="AC71" t="s">
        <v>795</v>
      </c>
      <c r="AD71" s="31">
        <v>45929</v>
      </c>
      <c r="AE71" s="61">
        <v>0.70271990740740742</v>
      </c>
      <c r="AF71" t="s">
        <v>796</v>
      </c>
      <c r="AQ71">
        <v>1</v>
      </c>
    </row>
    <row r="72" spans="1:43" hidden="1" x14ac:dyDescent="0.25">
      <c r="A72" t="s">
        <v>3217</v>
      </c>
      <c r="B72">
        <v>71</v>
      </c>
      <c r="C72">
        <v>143</v>
      </c>
      <c r="D72">
        <v>179</v>
      </c>
      <c r="G72" t="s">
        <v>689</v>
      </c>
      <c r="I72" t="s">
        <v>689</v>
      </c>
      <c r="J72" t="s">
        <v>689</v>
      </c>
      <c r="K72" t="s">
        <v>3401</v>
      </c>
      <c r="M72" t="s">
        <v>3402</v>
      </c>
      <c r="R72" t="s">
        <v>3221</v>
      </c>
      <c r="S72" t="s">
        <v>3222</v>
      </c>
      <c r="T72" t="s">
        <v>3223</v>
      </c>
      <c r="U72" t="s">
        <v>2692</v>
      </c>
      <c r="Y72" t="s">
        <v>3217</v>
      </c>
      <c r="Z72">
        <v>325</v>
      </c>
      <c r="AA72" s="31">
        <v>45604</v>
      </c>
      <c r="AB72" s="61">
        <v>0.72951388888888891</v>
      </c>
      <c r="AC72" t="s">
        <v>795</v>
      </c>
      <c r="AD72" s="31">
        <v>45929</v>
      </c>
      <c r="AE72" s="61">
        <v>0.70274305555555561</v>
      </c>
      <c r="AF72" t="s">
        <v>796</v>
      </c>
      <c r="AQ72">
        <v>1</v>
      </c>
    </row>
    <row r="73" spans="1:43" hidden="1" x14ac:dyDescent="0.25">
      <c r="A73" t="s">
        <v>31</v>
      </c>
      <c r="B73">
        <v>72</v>
      </c>
      <c r="C73">
        <v>144</v>
      </c>
      <c r="D73">
        <v>521</v>
      </c>
      <c r="G73" t="s">
        <v>3403</v>
      </c>
      <c r="I73" t="s">
        <v>3404</v>
      </c>
      <c r="J73" t="s">
        <v>3405</v>
      </c>
      <c r="K73" t="s">
        <v>3406</v>
      </c>
      <c r="M73" t="s">
        <v>3407</v>
      </c>
      <c r="S73" t="s">
        <v>3408</v>
      </c>
      <c r="T73" t="s">
        <v>319</v>
      </c>
      <c r="U73" t="s">
        <v>3409</v>
      </c>
      <c r="Y73" t="s">
        <v>22</v>
      </c>
      <c r="Z73">
        <v>142</v>
      </c>
      <c r="AA73" s="31">
        <v>45622</v>
      </c>
      <c r="AB73" s="61">
        <v>0.68312499999999998</v>
      </c>
      <c r="AC73" t="s">
        <v>795</v>
      </c>
      <c r="AD73" s="31">
        <v>45764</v>
      </c>
      <c r="AE73" s="61">
        <v>0.50594907407407408</v>
      </c>
      <c r="AF73" t="s">
        <v>934</v>
      </c>
      <c r="AH73" t="s">
        <v>3410</v>
      </c>
      <c r="AQ73">
        <v>1</v>
      </c>
    </row>
    <row r="74" spans="1:43" hidden="1" x14ac:dyDescent="0.25">
      <c r="A74" t="s">
        <v>31</v>
      </c>
      <c r="B74">
        <v>73</v>
      </c>
      <c r="C74">
        <v>144</v>
      </c>
      <c r="D74">
        <v>521</v>
      </c>
      <c r="G74" t="s">
        <v>3411</v>
      </c>
      <c r="I74" t="s">
        <v>3404</v>
      </c>
      <c r="J74" t="s">
        <v>3405</v>
      </c>
      <c r="K74" t="s">
        <v>3406</v>
      </c>
      <c r="M74" t="s">
        <v>3407</v>
      </c>
      <c r="S74" t="s">
        <v>3412</v>
      </c>
      <c r="T74" t="s">
        <v>319</v>
      </c>
      <c r="U74" t="s">
        <v>3409</v>
      </c>
      <c r="Y74" t="s">
        <v>22</v>
      </c>
      <c r="Z74">
        <v>142</v>
      </c>
      <c r="AA74" s="31">
        <v>45622</v>
      </c>
      <c r="AB74" s="61">
        <v>0.68312499999999998</v>
      </c>
      <c r="AC74" t="s">
        <v>795</v>
      </c>
      <c r="AD74" s="31">
        <v>45764</v>
      </c>
      <c r="AE74" s="61">
        <v>0.50575231481481486</v>
      </c>
      <c r="AF74" t="s">
        <v>934</v>
      </c>
      <c r="AH74" t="s">
        <v>945</v>
      </c>
      <c r="AQ74">
        <v>1</v>
      </c>
    </row>
    <row r="75" spans="1:43" hidden="1" x14ac:dyDescent="0.25">
      <c r="A75" t="s">
        <v>31</v>
      </c>
      <c r="B75">
        <v>74</v>
      </c>
      <c r="C75">
        <v>97</v>
      </c>
      <c r="D75">
        <v>88</v>
      </c>
      <c r="G75" t="s">
        <v>3413</v>
      </c>
      <c r="H75">
        <v>22500484000170</v>
      </c>
      <c r="I75" t="s">
        <v>669</v>
      </c>
      <c r="J75" t="s">
        <v>3414</v>
      </c>
      <c r="K75" t="s">
        <v>3415</v>
      </c>
      <c r="M75" t="s">
        <v>3294</v>
      </c>
      <c r="S75" t="s">
        <v>3416</v>
      </c>
      <c r="T75" t="s">
        <v>319</v>
      </c>
      <c r="U75" t="s">
        <v>3417</v>
      </c>
      <c r="Y75" t="s">
        <v>22</v>
      </c>
      <c r="Z75">
        <v>84</v>
      </c>
      <c r="AA75" s="31">
        <v>45622</v>
      </c>
      <c r="AB75" s="61">
        <v>0.68312499999999998</v>
      </c>
      <c r="AC75" t="s">
        <v>795</v>
      </c>
      <c r="AD75" s="31">
        <v>45706</v>
      </c>
      <c r="AE75" s="61">
        <v>0.72165509259259264</v>
      </c>
      <c r="AF75" t="s">
        <v>796</v>
      </c>
      <c r="AH75" t="s">
        <v>3418</v>
      </c>
      <c r="AQ75">
        <v>1</v>
      </c>
    </row>
    <row r="76" spans="1:43" hidden="1" x14ac:dyDescent="0.25">
      <c r="A76" t="s">
        <v>31</v>
      </c>
      <c r="B76">
        <v>75</v>
      </c>
      <c r="C76">
        <v>145</v>
      </c>
      <c r="D76">
        <v>525</v>
      </c>
      <c r="G76" t="s">
        <v>3419</v>
      </c>
      <c r="H76">
        <v>774215000160</v>
      </c>
      <c r="I76" t="s">
        <v>3420</v>
      </c>
      <c r="J76" t="s">
        <v>2927</v>
      </c>
      <c r="K76" t="s">
        <v>3421</v>
      </c>
      <c r="M76" t="s">
        <v>3422</v>
      </c>
      <c r="S76" t="s">
        <v>3423</v>
      </c>
      <c r="T76" t="s">
        <v>319</v>
      </c>
      <c r="U76" t="s">
        <v>3417</v>
      </c>
      <c r="Y76" t="s">
        <v>22</v>
      </c>
      <c r="Z76">
        <v>15</v>
      </c>
      <c r="AA76" s="31">
        <v>45622</v>
      </c>
      <c r="AB76" s="61">
        <v>0.68312499999999998</v>
      </c>
      <c r="AC76" t="s">
        <v>795</v>
      </c>
      <c r="AD76" s="31">
        <v>45637</v>
      </c>
      <c r="AE76" s="61">
        <v>0.41211805555555547</v>
      </c>
      <c r="AF76" t="s">
        <v>974</v>
      </c>
      <c r="AH76" t="s">
        <v>947</v>
      </c>
      <c r="AQ76">
        <v>1</v>
      </c>
    </row>
    <row r="77" spans="1:43" hidden="1" x14ac:dyDescent="0.25">
      <c r="A77" t="s">
        <v>31</v>
      </c>
      <c r="B77">
        <v>76</v>
      </c>
      <c r="C77">
        <v>146</v>
      </c>
      <c r="D77">
        <v>527</v>
      </c>
      <c r="G77" t="s">
        <v>3424</v>
      </c>
      <c r="I77" t="s">
        <v>3425</v>
      </c>
      <c r="J77" t="s">
        <v>3426</v>
      </c>
      <c r="K77" t="s">
        <v>3427</v>
      </c>
      <c r="M77" t="s">
        <v>3428</v>
      </c>
      <c r="S77" t="s">
        <v>3408</v>
      </c>
      <c r="T77" t="s">
        <v>319</v>
      </c>
      <c r="U77" t="s">
        <v>3409</v>
      </c>
      <c r="Y77" t="s">
        <v>22</v>
      </c>
      <c r="Z77">
        <v>182</v>
      </c>
      <c r="AA77" s="31">
        <v>45622</v>
      </c>
      <c r="AB77" s="61">
        <v>0.68312499999999998</v>
      </c>
      <c r="AC77" t="s">
        <v>795</v>
      </c>
      <c r="AD77" s="31">
        <v>45804</v>
      </c>
      <c r="AE77" s="61">
        <v>0.79173611111111108</v>
      </c>
      <c r="AF77" t="s">
        <v>796</v>
      </c>
      <c r="AH77" t="s">
        <v>946</v>
      </c>
      <c r="AQ77">
        <v>1</v>
      </c>
    </row>
    <row r="78" spans="1:43" hidden="1" x14ac:dyDescent="0.25">
      <c r="A78" t="s">
        <v>31</v>
      </c>
      <c r="B78">
        <v>77</v>
      </c>
      <c r="C78">
        <v>147</v>
      </c>
      <c r="D78">
        <v>848</v>
      </c>
      <c r="G78" t="s">
        <v>3429</v>
      </c>
      <c r="H78">
        <v>7964558000136</v>
      </c>
      <c r="I78" t="s">
        <v>3430</v>
      </c>
      <c r="J78" t="s">
        <v>3431</v>
      </c>
      <c r="K78" t="s">
        <v>3432</v>
      </c>
      <c r="M78" t="s">
        <v>3433</v>
      </c>
      <c r="S78" t="s">
        <v>984</v>
      </c>
      <c r="T78" t="s">
        <v>319</v>
      </c>
      <c r="U78" t="s">
        <v>816</v>
      </c>
      <c r="W78">
        <v>4240</v>
      </c>
      <c r="Y78" t="s">
        <v>22</v>
      </c>
      <c r="Z78">
        <v>41</v>
      </c>
      <c r="AA78" s="31">
        <v>45622</v>
      </c>
      <c r="AB78" s="61">
        <v>0.68313657407407402</v>
      </c>
      <c r="AC78" t="s">
        <v>818</v>
      </c>
      <c r="AD78" s="31">
        <v>45663</v>
      </c>
      <c r="AE78" s="61">
        <v>0.61962962962962964</v>
      </c>
      <c r="AH78" t="s">
        <v>888</v>
      </c>
      <c r="AQ78">
        <v>1</v>
      </c>
    </row>
    <row r="79" spans="1:43" hidden="1" x14ac:dyDescent="0.25">
      <c r="A79" t="s">
        <v>31</v>
      </c>
      <c r="B79">
        <v>80</v>
      </c>
      <c r="C79">
        <v>150</v>
      </c>
      <c r="D79">
        <v>535</v>
      </c>
      <c r="G79" t="s">
        <v>3434</v>
      </c>
      <c r="H79">
        <v>32258848000101</v>
      </c>
      <c r="I79" t="s">
        <v>3435</v>
      </c>
      <c r="J79" t="s">
        <v>1540</v>
      </c>
      <c r="K79" t="s">
        <v>3436</v>
      </c>
      <c r="M79" t="s">
        <v>3437</v>
      </c>
      <c r="S79" t="s">
        <v>3408</v>
      </c>
      <c r="T79" t="s">
        <v>319</v>
      </c>
      <c r="U79" t="s">
        <v>3417</v>
      </c>
      <c r="Y79" t="s">
        <v>22</v>
      </c>
      <c r="Z79">
        <v>121</v>
      </c>
      <c r="AA79" s="31">
        <v>45622</v>
      </c>
      <c r="AB79" s="61">
        <v>0.68313657407407402</v>
      </c>
      <c r="AC79" t="s">
        <v>795</v>
      </c>
      <c r="AD79" s="31">
        <v>45743</v>
      </c>
      <c r="AE79" s="61">
        <v>0.35857638888888888</v>
      </c>
      <c r="AF79" t="s">
        <v>796</v>
      </c>
      <c r="AH79" t="s">
        <v>957</v>
      </c>
      <c r="AI79" t="s">
        <v>1364</v>
      </c>
      <c r="AQ79">
        <v>1</v>
      </c>
    </row>
    <row r="80" spans="1:43" hidden="1" x14ac:dyDescent="0.25">
      <c r="A80" t="s">
        <v>31</v>
      </c>
      <c r="B80">
        <v>81</v>
      </c>
      <c r="C80">
        <v>151</v>
      </c>
      <c r="D80">
        <v>537</v>
      </c>
      <c r="G80" t="s">
        <v>3438</v>
      </c>
      <c r="I80" t="s">
        <v>3439</v>
      </c>
      <c r="J80" t="s">
        <v>3440</v>
      </c>
      <c r="K80" t="s">
        <v>3395</v>
      </c>
      <c r="M80" t="s">
        <v>3441</v>
      </c>
      <c r="S80" t="s">
        <v>3442</v>
      </c>
      <c r="T80" t="s">
        <v>319</v>
      </c>
      <c r="U80" t="s">
        <v>816</v>
      </c>
      <c r="Y80" t="s">
        <v>22</v>
      </c>
      <c r="Z80">
        <v>73</v>
      </c>
      <c r="AA80" s="31">
        <v>45622</v>
      </c>
      <c r="AB80" s="61">
        <v>0.68313657407407402</v>
      </c>
      <c r="AC80" t="s">
        <v>795</v>
      </c>
      <c r="AD80" s="31">
        <v>45695</v>
      </c>
      <c r="AE80" s="61">
        <v>0.65645833333333337</v>
      </c>
      <c r="AF80" t="s">
        <v>796</v>
      </c>
      <c r="AH80" t="s">
        <v>3443</v>
      </c>
      <c r="AQ80">
        <v>1</v>
      </c>
    </row>
    <row r="81" spans="1:43" hidden="1" x14ac:dyDescent="0.25">
      <c r="A81" t="s">
        <v>31</v>
      </c>
      <c r="B81">
        <v>82</v>
      </c>
      <c r="C81">
        <v>152</v>
      </c>
      <c r="D81">
        <v>539</v>
      </c>
      <c r="G81" t="s">
        <v>3444</v>
      </c>
      <c r="I81" t="s">
        <v>3445</v>
      </c>
      <c r="J81" t="s">
        <v>3446</v>
      </c>
      <c r="K81" t="s">
        <v>3447</v>
      </c>
      <c r="M81" t="s">
        <v>3448</v>
      </c>
      <c r="S81" t="s">
        <v>3408</v>
      </c>
      <c r="T81" t="s">
        <v>319</v>
      </c>
      <c r="U81" t="s">
        <v>3417</v>
      </c>
      <c r="Y81" t="s">
        <v>22</v>
      </c>
      <c r="Z81">
        <v>121</v>
      </c>
      <c r="AA81" s="31">
        <v>45622</v>
      </c>
      <c r="AB81" s="61">
        <v>0.68313657407407402</v>
      </c>
      <c r="AC81" t="s">
        <v>795</v>
      </c>
      <c r="AD81" s="31">
        <v>45743</v>
      </c>
      <c r="AE81" s="61">
        <v>0.35847222222222219</v>
      </c>
      <c r="AF81" t="s">
        <v>796</v>
      </c>
      <c r="AH81" t="s">
        <v>3449</v>
      </c>
      <c r="AQ81">
        <v>1</v>
      </c>
    </row>
    <row r="82" spans="1:43" hidden="1" x14ac:dyDescent="0.25">
      <c r="A82" t="s">
        <v>31</v>
      </c>
      <c r="B82">
        <v>83</v>
      </c>
      <c r="C82">
        <v>153</v>
      </c>
      <c r="D82">
        <v>541</v>
      </c>
      <c r="G82" t="s">
        <v>3450</v>
      </c>
      <c r="I82" t="s">
        <v>3451</v>
      </c>
      <c r="J82" t="s">
        <v>3451</v>
      </c>
      <c r="K82" t="s">
        <v>3453</v>
      </c>
      <c r="M82" t="s">
        <v>3454</v>
      </c>
      <c r="S82" t="s">
        <v>984</v>
      </c>
      <c r="T82" t="s">
        <v>319</v>
      </c>
      <c r="U82" t="s">
        <v>3409</v>
      </c>
      <c r="Y82" t="s">
        <v>22</v>
      </c>
      <c r="Z82">
        <v>45</v>
      </c>
      <c r="AA82" s="31">
        <v>45622</v>
      </c>
      <c r="AB82" s="61">
        <v>0.68313657407407402</v>
      </c>
      <c r="AC82" t="s">
        <v>795</v>
      </c>
      <c r="AD82" s="31">
        <v>45667</v>
      </c>
      <c r="AE82" s="61">
        <v>0.63896990740740744</v>
      </c>
      <c r="AF82" t="s">
        <v>934</v>
      </c>
      <c r="AH82" t="s">
        <v>1021</v>
      </c>
      <c r="AQ82">
        <v>1</v>
      </c>
    </row>
    <row r="83" spans="1:43" hidden="1" x14ac:dyDescent="0.25">
      <c r="A83" t="s">
        <v>31</v>
      </c>
      <c r="B83">
        <v>84</v>
      </c>
      <c r="C83">
        <v>154</v>
      </c>
      <c r="D83">
        <v>543</v>
      </c>
      <c r="G83" t="s">
        <v>3455</v>
      </c>
      <c r="H83">
        <v>790751000159</v>
      </c>
      <c r="I83" t="s">
        <v>3456</v>
      </c>
      <c r="J83" t="s">
        <v>3457</v>
      </c>
      <c r="K83" t="s">
        <v>3458</v>
      </c>
      <c r="M83" t="s">
        <v>3459</v>
      </c>
      <c r="S83" t="s">
        <v>3460</v>
      </c>
      <c r="T83" t="s">
        <v>319</v>
      </c>
      <c r="U83" t="s">
        <v>3417</v>
      </c>
      <c r="V83" t="s">
        <v>817</v>
      </c>
      <c r="W83">
        <v>169128</v>
      </c>
      <c r="X83">
        <v>7128</v>
      </c>
      <c r="Y83" t="s">
        <v>22</v>
      </c>
      <c r="Z83">
        <v>104</v>
      </c>
      <c r="AA83" s="31">
        <v>45622</v>
      </c>
      <c r="AB83" s="61">
        <v>0.68313657407407402</v>
      </c>
      <c r="AC83" t="s">
        <v>795</v>
      </c>
      <c r="AD83" s="31">
        <v>45726</v>
      </c>
      <c r="AE83" s="61">
        <v>0.42429398148148151</v>
      </c>
      <c r="AF83" t="s">
        <v>796</v>
      </c>
      <c r="AH83" t="s">
        <v>829</v>
      </c>
      <c r="AI83" t="s">
        <v>3461</v>
      </c>
      <c r="AQ83">
        <v>1</v>
      </c>
    </row>
    <row r="84" spans="1:43" hidden="1" x14ac:dyDescent="0.25">
      <c r="A84" t="s">
        <v>31</v>
      </c>
      <c r="B84">
        <v>117</v>
      </c>
      <c r="C84">
        <v>147</v>
      </c>
      <c r="D84">
        <v>848</v>
      </c>
      <c r="G84" t="s">
        <v>3462</v>
      </c>
      <c r="H84">
        <v>7964558000136</v>
      </c>
      <c r="I84" t="s">
        <v>3430</v>
      </c>
      <c r="J84" t="s">
        <v>3431</v>
      </c>
      <c r="K84" t="s">
        <v>3432</v>
      </c>
      <c r="M84" t="s">
        <v>3433</v>
      </c>
      <c r="T84" t="s">
        <v>319</v>
      </c>
      <c r="U84" t="s">
        <v>3417</v>
      </c>
      <c r="Z84">
        <v>8</v>
      </c>
      <c r="AA84" s="31">
        <v>45629</v>
      </c>
      <c r="AB84" s="61">
        <v>0.68774305555555559</v>
      </c>
      <c r="AC84" t="s">
        <v>795</v>
      </c>
      <c r="AD84" s="31">
        <v>45637</v>
      </c>
      <c r="AE84" s="61">
        <v>0.41108796296296302</v>
      </c>
      <c r="AF84" t="s">
        <v>867</v>
      </c>
      <c r="AH84" t="s">
        <v>829</v>
      </c>
      <c r="AI84" t="s">
        <v>829</v>
      </c>
      <c r="AQ84">
        <v>1</v>
      </c>
    </row>
    <row r="85" spans="1:43" hidden="1" x14ac:dyDescent="0.25">
      <c r="A85" t="s">
        <v>31</v>
      </c>
      <c r="B85">
        <v>120</v>
      </c>
      <c r="C85">
        <v>169</v>
      </c>
      <c r="D85">
        <v>853</v>
      </c>
      <c r="G85" t="s">
        <v>3464</v>
      </c>
      <c r="H85">
        <v>11458315000101</v>
      </c>
      <c r="I85" t="s">
        <v>3465</v>
      </c>
      <c r="J85" t="s">
        <v>3474</v>
      </c>
      <c r="K85" t="s">
        <v>3467</v>
      </c>
      <c r="M85" t="s">
        <v>3468</v>
      </c>
      <c r="O85" t="s">
        <v>6442</v>
      </c>
      <c r="P85" t="s">
        <v>3470</v>
      </c>
      <c r="Q85" t="s">
        <v>790</v>
      </c>
      <c r="S85" t="s">
        <v>3460</v>
      </c>
      <c r="T85" t="s">
        <v>319</v>
      </c>
      <c r="U85" t="s">
        <v>816</v>
      </c>
      <c r="W85">
        <v>66375</v>
      </c>
      <c r="X85">
        <v>0</v>
      </c>
      <c r="Z85">
        <v>147</v>
      </c>
      <c r="AA85" s="31">
        <v>45630</v>
      </c>
      <c r="AB85" s="61">
        <v>0.50695601851851857</v>
      </c>
      <c r="AC85" t="s">
        <v>818</v>
      </c>
      <c r="AD85" s="31">
        <v>45777</v>
      </c>
      <c r="AE85" s="61">
        <v>0.66732638888888884</v>
      </c>
      <c r="AH85" t="s">
        <v>1584</v>
      </c>
      <c r="AQ85">
        <v>1</v>
      </c>
    </row>
    <row r="86" spans="1:43" hidden="1" x14ac:dyDescent="0.25">
      <c r="A86" t="s">
        <v>31</v>
      </c>
      <c r="B86">
        <v>121</v>
      </c>
      <c r="C86">
        <v>113</v>
      </c>
      <c r="D86">
        <v>854</v>
      </c>
      <c r="G86" t="s">
        <v>3471</v>
      </c>
      <c r="I86" t="s">
        <v>65</v>
      </c>
      <c r="J86" t="s">
        <v>1252</v>
      </c>
      <c r="K86" t="s">
        <v>3472</v>
      </c>
      <c r="M86" t="s">
        <v>3329</v>
      </c>
      <c r="T86" t="s">
        <v>319</v>
      </c>
      <c r="U86" t="s">
        <v>816</v>
      </c>
      <c r="W86">
        <v>3564</v>
      </c>
      <c r="Z86">
        <v>0</v>
      </c>
      <c r="AA86" s="31">
        <v>45630</v>
      </c>
      <c r="AB86" s="61">
        <v>0.51474537037037038</v>
      </c>
      <c r="AC86" t="s">
        <v>818</v>
      </c>
      <c r="AD86" s="31">
        <v>45630</v>
      </c>
      <c r="AE86" s="61">
        <v>0.65880787037037036</v>
      </c>
      <c r="AH86" t="s">
        <v>821</v>
      </c>
      <c r="AI86" t="s">
        <v>829</v>
      </c>
      <c r="AQ86">
        <v>1</v>
      </c>
    </row>
    <row r="87" spans="1:43" hidden="1" x14ac:dyDescent="0.25">
      <c r="A87" t="s">
        <v>31</v>
      </c>
      <c r="B87">
        <v>123</v>
      </c>
      <c r="C87">
        <v>169</v>
      </c>
      <c r="D87">
        <v>852</v>
      </c>
      <c r="G87" t="s">
        <v>3473</v>
      </c>
      <c r="H87">
        <v>11458315000101</v>
      </c>
      <c r="I87" t="s">
        <v>3465</v>
      </c>
      <c r="J87" t="s">
        <v>3474</v>
      </c>
      <c r="K87" t="s">
        <v>3475</v>
      </c>
      <c r="M87" t="s">
        <v>3468</v>
      </c>
      <c r="O87" t="s">
        <v>6442</v>
      </c>
      <c r="P87" t="s">
        <v>3470</v>
      </c>
      <c r="Q87" t="s">
        <v>790</v>
      </c>
      <c r="T87" t="s">
        <v>319</v>
      </c>
      <c r="U87" t="s">
        <v>3417</v>
      </c>
      <c r="Z87">
        <v>6</v>
      </c>
      <c r="AA87" s="31">
        <v>45631</v>
      </c>
      <c r="AB87" s="61">
        <v>0.45709490740740738</v>
      </c>
      <c r="AC87" t="s">
        <v>795</v>
      </c>
      <c r="AD87" s="31">
        <v>45637</v>
      </c>
      <c r="AE87" s="61">
        <v>0.61721064814814819</v>
      </c>
      <c r="AF87" t="s">
        <v>867</v>
      </c>
      <c r="AH87" t="s">
        <v>1019</v>
      </c>
      <c r="AI87" t="s">
        <v>1019</v>
      </c>
      <c r="AQ87">
        <v>1</v>
      </c>
    </row>
    <row r="88" spans="1:43" hidden="1" x14ac:dyDescent="0.25">
      <c r="A88" t="s">
        <v>31</v>
      </c>
      <c r="B88">
        <v>124</v>
      </c>
      <c r="C88">
        <v>108</v>
      </c>
      <c r="D88">
        <v>109</v>
      </c>
      <c r="G88" t="s">
        <v>6443</v>
      </c>
      <c r="I88" t="s">
        <v>3321</v>
      </c>
      <c r="J88" t="s">
        <v>3321</v>
      </c>
      <c r="M88" t="s">
        <v>3322</v>
      </c>
      <c r="T88" t="s">
        <v>319</v>
      </c>
      <c r="U88" t="s">
        <v>3417</v>
      </c>
      <c r="W88">
        <v>7140</v>
      </c>
      <c r="X88">
        <v>0</v>
      </c>
      <c r="Z88">
        <v>105</v>
      </c>
      <c r="AA88" s="31">
        <v>45631</v>
      </c>
      <c r="AB88" s="61">
        <v>0.6162037037037037</v>
      </c>
      <c r="AC88" t="s">
        <v>795</v>
      </c>
      <c r="AD88" s="31">
        <v>45736</v>
      </c>
      <c r="AE88" s="61">
        <v>0.41983796296296289</v>
      </c>
      <c r="AF88" t="s">
        <v>867</v>
      </c>
      <c r="AH88" t="s">
        <v>1020</v>
      </c>
      <c r="AQ88">
        <v>1</v>
      </c>
    </row>
    <row r="89" spans="1:43" hidden="1" x14ac:dyDescent="0.25">
      <c r="A89" t="s">
        <v>31</v>
      </c>
      <c r="B89">
        <v>126</v>
      </c>
      <c r="C89">
        <v>170</v>
      </c>
      <c r="D89">
        <v>864</v>
      </c>
      <c r="G89" t="s">
        <v>496</v>
      </c>
      <c r="H89">
        <v>4150555001304</v>
      </c>
      <c r="I89" t="s">
        <v>3477</v>
      </c>
      <c r="J89" t="s">
        <v>3478</v>
      </c>
      <c r="K89" t="s">
        <v>3479</v>
      </c>
      <c r="M89" t="s">
        <v>3480</v>
      </c>
      <c r="O89" t="s">
        <v>6444</v>
      </c>
      <c r="P89" t="s">
        <v>3482</v>
      </c>
      <c r="Q89" t="s">
        <v>1699</v>
      </c>
      <c r="T89" t="s">
        <v>319</v>
      </c>
      <c r="U89" t="s">
        <v>816</v>
      </c>
      <c r="W89">
        <v>7128</v>
      </c>
      <c r="Z89">
        <v>2</v>
      </c>
      <c r="AA89" s="31">
        <v>45635</v>
      </c>
      <c r="AB89" s="61">
        <v>0.50931712962962961</v>
      </c>
      <c r="AC89" t="s">
        <v>818</v>
      </c>
      <c r="AD89" s="31">
        <v>45637</v>
      </c>
      <c r="AE89" s="61">
        <v>0.61657407407407405</v>
      </c>
      <c r="AH89" t="s">
        <v>841</v>
      </c>
      <c r="AI89" t="s">
        <v>1011</v>
      </c>
      <c r="AQ89">
        <v>1</v>
      </c>
    </row>
    <row r="90" spans="1:43" hidden="1" x14ac:dyDescent="0.25">
      <c r="A90" t="s">
        <v>31</v>
      </c>
      <c r="B90">
        <v>128</v>
      </c>
      <c r="C90">
        <v>171</v>
      </c>
      <c r="D90">
        <v>983</v>
      </c>
      <c r="G90" t="s">
        <v>3483</v>
      </c>
      <c r="H90">
        <v>39955762000187</v>
      </c>
      <c r="I90" t="s">
        <v>3484</v>
      </c>
      <c r="J90" t="s">
        <v>1243</v>
      </c>
      <c r="K90" t="s">
        <v>3486</v>
      </c>
      <c r="M90" t="s">
        <v>3487</v>
      </c>
      <c r="O90" t="s">
        <v>6445</v>
      </c>
      <c r="P90" t="s">
        <v>1094</v>
      </c>
      <c r="Q90" t="s">
        <v>790</v>
      </c>
      <c r="T90" t="s">
        <v>319</v>
      </c>
      <c r="U90" t="s">
        <v>816</v>
      </c>
      <c r="Z90">
        <v>2</v>
      </c>
      <c r="AA90" s="31">
        <v>45636</v>
      </c>
      <c r="AB90" s="61">
        <v>0.46460648148148148</v>
      </c>
      <c r="AC90" t="s">
        <v>818</v>
      </c>
      <c r="AD90" s="31">
        <v>45638</v>
      </c>
      <c r="AE90" s="61">
        <v>0.4626736111111111</v>
      </c>
      <c r="AH90" t="s">
        <v>1020</v>
      </c>
      <c r="AI90" t="s">
        <v>821</v>
      </c>
      <c r="AQ90">
        <v>1</v>
      </c>
    </row>
    <row r="91" spans="1:43" hidden="1" x14ac:dyDescent="0.25">
      <c r="A91" t="s">
        <v>31</v>
      </c>
      <c r="B91">
        <v>129</v>
      </c>
      <c r="C91">
        <v>93</v>
      </c>
      <c r="D91">
        <v>986</v>
      </c>
      <c r="G91" t="s">
        <v>3489</v>
      </c>
      <c r="I91" t="s">
        <v>3285</v>
      </c>
      <c r="J91" t="s">
        <v>3490</v>
      </c>
      <c r="K91" t="s">
        <v>3491</v>
      </c>
      <c r="M91" t="s">
        <v>3286</v>
      </c>
      <c r="T91" t="s">
        <v>319</v>
      </c>
      <c r="U91" t="s">
        <v>781</v>
      </c>
      <c r="V91" t="s">
        <v>817</v>
      </c>
      <c r="W91">
        <v>0</v>
      </c>
      <c r="X91">
        <v>0</v>
      </c>
      <c r="Z91">
        <v>49</v>
      </c>
      <c r="AA91" s="31">
        <v>45637</v>
      </c>
      <c r="AB91" s="61">
        <v>0.61811342592592589</v>
      </c>
      <c r="AC91" t="s">
        <v>795</v>
      </c>
      <c r="AD91" s="31">
        <v>45686</v>
      </c>
      <c r="AE91" s="61">
        <v>0.72059027777777773</v>
      </c>
      <c r="AF91" t="s">
        <v>796</v>
      </c>
      <c r="AH91" t="s">
        <v>1003</v>
      </c>
      <c r="AI91" t="s">
        <v>3492</v>
      </c>
      <c r="AQ91">
        <v>1</v>
      </c>
    </row>
    <row r="92" spans="1:43" hidden="1" x14ac:dyDescent="0.25">
      <c r="A92" t="s">
        <v>31</v>
      </c>
      <c r="B92">
        <v>132</v>
      </c>
      <c r="C92">
        <v>150</v>
      </c>
      <c r="D92">
        <v>991</v>
      </c>
      <c r="G92" t="s">
        <v>3435</v>
      </c>
      <c r="H92">
        <v>32258848000101</v>
      </c>
      <c r="I92" t="s">
        <v>3435</v>
      </c>
      <c r="J92" t="s">
        <v>1540</v>
      </c>
      <c r="K92" t="s">
        <v>3493</v>
      </c>
      <c r="M92" t="s">
        <v>3437</v>
      </c>
      <c r="T92" t="s">
        <v>319</v>
      </c>
      <c r="U92" t="s">
        <v>781</v>
      </c>
      <c r="Z92">
        <v>48</v>
      </c>
      <c r="AA92" s="31">
        <v>45638</v>
      </c>
      <c r="AB92" s="61">
        <v>0.50313657407407408</v>
      </c>
      <c r="AC92" t="s">
        <v>795</v>
      </c>
      <c r="AD92" s="31">
        <v>45686</v>
      </c>
      <c r="AE92" s="61">
        <v>0.72013888888888888</v>
      </c>
      <c r="AF92" t="s">
        <v>796</v>
      </c>
      <c r="AH92" t="s">
        <v>924</v>
      </c>
      <c r="AQ92">
        <v>1</v>
      </c>
    </row>
    <row r="93" spans="1:43" hidden="1" x14ac:dyDescent="0.25">
      <c r="A93" t="s">
        <v>31</v>
      </c>
      <c r="B93">
        <v>133</v>
      </c>
      <c r="C93">
        <v>173</v>
      </c>
      <c r="D93">
        <v>993</v>
      </c>
      <c r="G93" t="s">
        <v>3494</v>
      </c>
      <c r="H93">
        <v>27914031000104</v>
      </c>
      <c r="I93" t="s">
        <v>3495</v>
      </c>
      <c r="J93" t="s">
        <v>3496</v>
      </c>
      <c r="K93" t="s">
        <v>3497</v>
      </c>
      <c r="M93" t="s">
        <v>3498</v>
      </c>
      <c r="O93" t="s">
        <v>6446</v>
      </c>
      <c r="P93" t="s">
        <v>2489</v>
      </c>
      <c r="Q93" t="s">
        <v>790</v>
      </c>
      <c r="T93" t="s">
        <v>319</v>
      </c>
      <c r="U93" t="s">
        <v>816</v>
      </c>
      <c r="W93">
        <v>324648</v>
      </c>
      <c r="X93">
        <v>57024</v>
      </c>
      <c r="Z93">
        <v>67</v>
      </c>
      <c r="AA93" s="31">
        <v>45638</v>
      </c>
      <c r="AB93" s="61">
        <v>0.67980324074074072</v>
      </c>
      <c r="AC93" t="s">
        <v>818</v>
      </c>
      <c r="AD93" s="31">
        <v>45705</v>
      </c>
      <c r="AE93" s="61">
        <v>0.39378472222222222</v>
      </c>
      <c r="AH93" t="s">
        <v>830</v>
      </c>
      <c r="AI93" t="s">
        <v>1059</v>
      </c>
      <c r="AQ93">
        <v>1</v>
      </c>
    </row>
    <row r="94" spans="1:43" hidden="1" x14ac:dyDescent="0.25">
      <c r="A94" t="s">
        <v>31</v>
      </c>
      <c r="B94">
        <v>134</v>
      </c>
      <c r="C94">
        <v>172</v>
      </c>
      <c r="D94">
        <v>994</v>
      </c>
      <c r="G94" t="s">
        <v>3500</v>
      </c>
      <c r="H94">
        <v>33561753000125</v>
      </c>
      <c r="I94" t="s">
        <v>3501</v>
      </c>
      <c r="J94" t="s">
        <v>952</v>
      </c>
      <c r="K94" t="s">
        <v>3502</v>
      </c>
      <c r="M94" t="s">
        <v>3503</v>
      </c>
      <c r="O94" t="s">
        <v>6447</v>
      </c>
      <c r="P94" t="s">
        <v>3505</v>
      </c>
      <c r="Q94" t="s">
        <v>790</v>
      </c>
      <c r="T94" t="s">
        <v>319</v>
      </c>
      <c r="U94" t="s">
        <v>3417</v>
      </c>
      <c r="Z94">
        <v>29</v>
      </c>
      <c r="AA94" s="31">
        <v>45638</v>
      </c>
      <c r="AB94" s="61">
        <v>0.68358796296296298</v>
      </c>
      <c r="AC94" t="s">
        <v>795</v>
      </c>
      <c r="AD94" s="31">
        <v>45667</v>
      </c>
      <c r="AE94" s="61">
        <v>0.63577546296296295</v>
      </c>
      <c r="AF94" t="s">
        <v>934</v>
      </c>
      <c r="AH94" t="s">
        <v>1003</v>
      </c>
      <c r="AI94" t="s">
        <v>3492</v>
      </c>
      <c r="AQ94">
        <v>1</v>
      </c>
    </row>
    <row r="95" spans="1:43" hidden="1" x14ac:dyDescent="0.25">
      <c r="A95" t="s">
        <v>31</v>
      </c>
      <c r="B95">
        <v>136</v>
      </c>
      <c r="C95">
        <v>174</v>
      </c>
      <c r="D95">
        <v>1000</v>
      </c>
      <c r="G95" t="s">
        <v>3506</v>
      </c>
      <c r="H95">
        <v>45238441000164</v>
      </c>
      <c r="I95" t="s">
        <v>3507</v>
      </c>
      <c r="J95" t="s">
        <v>3508</v>
      </c>
      <c r="K95" t="s">
        <v>3509</v>
      </c>
      <c r="L95">
        <v>11973359869</v>
      </c>
      <c r="M95" t="s">
        <v>3510</v>
      </c>
      <c r="O95" t="s">
        <v>6448</v>
      </c>
      <c r="P95" t="s">
        <v>1094</v>
      </c>
      <c r="Q95" t="s">
        <v>790</v>
      </c>
      <c r="T95" t="s">
        <v>319</v>
      </c>
      <c r="U95" t="s">
        <v>3417</v>
      </c>
      <c r="Z95">
        <v>25</v>
      </c>
      <c r="AA95" s="31">
        <v>45639</v>
      </c>
      <c r="AB95" s="61">
        <v>0.4911921296296296</v>
      </c>
      <c r="AC95" t="s">
        <v>795</v>
      </c>
      <c r="AD95" s="31">
        <v>45664</v>
      </c>
      <c r="AE95" s="61">
        <v>0.63392361111111106</v>
      </c>
      <c r="AF95" t="s">
        <v>867</v>
      </c>
      <c r="AH95" t="s">
        <v>3512</v>
      </c>
      <c r="AI95" t="s">
        <v>3513</v>
      </c>
      <c r="AQ95">
        <v>1</v>
      </c>
    </row>
    <row r="96" spans="1:43" hidden="1" x14ac:dyDescent="0.25">
      <c r="A96" t="s">
        <v>31</v>
      </c>
      <c r="B96">
        <v>137</v>
      </c>
      <c r="C96">
        <v>146</v>
      </c>
      <c r="D96">
        <v>1001</v>
      </c>
      <c r="G96" t="s">
        <v>3514</v>
      </c>
      <c r="I96" t="s">
        <v>3425</v>
      </c>
      <c r="J96" t="s">
        <v>3426</v>
      </c>
      <c r="K96" t="s">
        <v>3515</v>
      </c>
      <c r="M96" t="s">
        <v>3428</v>
      </c>
      <c r="T96" t="s">
        <v>319</v>
      </c>
      <c r="U96" t="s">
        <v>816</v>
      </c>
      <c r="W96">
        <v>424</v>
      </c>
      <c r="Z96">
        <v>25</v>
      </c>
      <c r="AA96" s="31">
        <v>45639</v>
      </c>
      <c r="AB96" s="61">
        <v>0.50317129629629631</v>
      </c>
      <c r="AC96" t="s">
        <v>818</v>
      </c>
      <c r="AD96" s="31">
        <v>45664</v>
      </c>
      <c r="AE96" s="61">
        <v>0.51849537037037041</v>
      </c>
      <c r="AH96" t="s">
        <v>888</v>
      </c>
      <c r="AI96" t="s">
        <v>888</v>
      </c>
      <c r="AQ96">
        <v>1</v>
      </c>
    </row>
    <row r="97" spans="1:43" hidden="1" x14ac:dyDescent="0.25">
      <c r="A97" t="s">
        <v>31</v>
      </c>
      <c r="B97">
        <v>143</v>
      </c>
      <c r="C97">
        <v>93</v>
      </c>
      <c r="D97">
        <v>986</v>
      </c>
      <c r="G97" t="s">
        <v>3516</v>
      </c>
      <c r="I97" t="s">
        <v>3285</v>
      </c>
      <c r="J97" t="s">
        <v>3490</v>
      </c>
      <c r="K97" t="s">
        <v>3491</v>
      </c>
      <c r="M97" t="s">
        <v>3286</v>
      </c>
      <c r="T97" t="s">
        <v>319</v>
      </c>
      <c r="U97" t="s">
        <v>3417</v>
      </c>
      <c r="W97">
        <v>16992</v>
      </c>
      <c r="X97">
        <v>55124</v>
      </c>
      <c r="Z97">
        <v>43</v>
      </c>
      <c r="AA97" s="31">
        <v>45663</v>
      </c>
      <c r="AB97" s="61">
        <v>0.64762731481481484</v>
      </c>
      <c r="AC97" t="s">
        <v>795</v>
      </c>
      <c r="AD97" s="31">
        <v>45706</v>
      </c>
      <c r="AE97" s="61">
        <v>0.72146990740740746</v>
      </c>
      <c r="AF97" t="s">
        <v>934</v>
      </c>
      <c r="AH97" t="s">
        <v>3517</v>
      </c>
      <c r="AI97" t="s">
        <v>3517</v>
      </c>
      <c r="AQ97">
        <v>1</v>
      </c>
    </row>
    <row r="98" spans="1:43" hidden="1" x14ac:dyDescent="0.25">
      <c r="A98" t="s">
        <v>31</v>
      </c>
      <c r="B98">
        <v>146</v>
      </c>
      <c r="C98">
        <v>175</v>
      </c>
      <c r="D98">
        <v>1520</v>
      </c>
      <c r="G98" t="s">
        <v>3518</v>
      </c>
      <c r="H98">
        <v>52362985000107</v>
      </c>
      <c r="I98" t="s">
        <v>3519</v>
      </c>
      <c r="J98" t="s">
        <v>1474</v>
      </c>
      <c r="K98" t="s">
        <v>3520</v>
      </c>
      <c r="M98" t="s">
        <v>3521</v>
      </c>
      <c r="O98" t="s">
        <v>6449</v>
      </c>
      <c r="P98" t="s">
        <v>3523</v>
      </c>
      <c r="Q98" t="s">
        <v>790</v>
      </c>
      <c r="T98" t="s">
        <v>319</v>
      </c>
      <c r="U98" t="s">
        <v>816</v>
      </c>
      <c r="Z98">
        <v>0</v>
      </c>
      <c r="AA98" s="31">
        <v>45665</v>
      </c>
      <c r="AB98" s="61">
        <v>0.44893518518518521</v>
      </c>
      <c r="AC98" t="s">
        <v>818</v>
      </c>
      <c r="AD98" s="31">
        <v>45665</v>
      </c>
      <c r="AE98" s="61">
        <v>0.44989583333333327</v>
      </c>
      <c r="AH98" t="s">
        <v>1070</v>
      </c>
      <c r="AQ98">
        <v>1</v>
      </c>
    </row>
    <row r="99" spans="1:43" hidden="1" x14ac:dyDescent="0.25">
      <c r="A99" t="s">
        <v>31</v>
      </c>
      <c r="B99">
        <v>149</v>
      </c>
      <c r="C99">
        <v>115</v>
      </c>
      <c r="D99">
        <v>1537</v>
      </c>
      <c r="G99" t="s">
        <v>3524</v>
      </c>
      <c r="I99" t="s">
        <v>3333</v>
      </c>
      <c r="J99" t="s">
        <v>6450</v>
      </c>
      <c r="K99" t="s">
        <v>3526</v>
      </c>
      <c r="M99" t="s">
        <v>3334</v>
      </c>
      <c r="T99" t="s">
        <v>319</v>
      </c>
      <c r="U99" t="s">
        <v>3417</v>
      </c>
      <c r="W99">
        <v>14416</v>
      </c>
      <c r="X99">
        <v>0</v>
      </c>
      <c r="Z99">
        <v>13</v>
      </c>
      <c r="AA99" s="31">
        <v>45666</v>
      </c>
      <c r="AB99" s="61">
        <v>0.48031249999999998</v>
      </c>
      <c r="AC99" t="s">
        <v>795</v>
      </c>
      <c r="AD99" s="31">
        <v>45679</v>
      </c>
      <c r="AE99" s="61">
        <v>0.66752314814814817</v>
      </c>
      <c r="AF99" t="s">
        <v>934</v>
      </c>
      <c r="AH99" t="s">
        <v>3527</v>
      </c>
      <c r="AQ99">
        <v>1</v>
      </c>
    </row>
    <row r="100" spans="1:43" hidden="1" x14ac:dyDescent="0.25">
      <c r="A100" t="s">
        <v>31</v>
      </c>
      <c r="B100">
        <v>150</v>
      </c>
      <c r="C100">
        <v>176</v>
      </c>
      <c r="D100">
        <v>1539</v>
      </c>
      <c r="G100" t="s">
        <v>3528</v>
      </c>
      <c r="H100">
        <v>34728104000139</v>
      </c>
      <c r="I100" t="s">
        <v>3529</v>
      </c>
      <c r="J100" t="s">
        <v>3530</v>
      </c>
      <c r="K100" t="s">
        <v>3531</v>
      </c>
      <c r="M100" t="s">
        <v>3532</v>
      </c>
      <c r="O100" t="s">
        <v>6451</v>
      </c>
      <c r="P100" t="s">
        <v>1787</v>
      </c>
      <c r="Q100" t="s">
        <v>790</v>
      </c>
      <c r="T100" t="s">
        <v>319</v>
      </c>
      <c r="U100" t="s">
        <v>3417</v>
      </c>
      <c r="V100" t="s">
        <v>817</v>
      </c>
      <c r="W100">
        <v>340984</v>
      </c>
      <c r="X100">
        <v>1350296</v>
      </c>
      <c r="Z100">
        <v>81</v>
      </c>
      <c r="AA100" s="31">
        <v>45666</v>
      </c>
      <c r="AB100" s="61">
        <v>0.60988425925925926</v>
      </c>
      <c r="AC100" t="s">
        <v>795</v>
      </c>
      <c r="AD100" s="31">
        <v>45747</v>
      </c>
      <c r="AE100" s="61">
        <v>0.50875000000000004</v>
      </c>
      <c r="AF100" t="s">
        <v>974</v>
      </c>
      <c r="AH100" t="s">
        <v>3534</v>
      </c>
      <c r="AI100" t="s">
        <v>1055</v>
      </c>
      <c r="AQ100">
        <v>1</v>
      </c>
    </row>
    <row r="101" spans="1:43" hidden="1" x14ac:dyDescent="0.25">
      <c r="A101" t="s">
        <v>31</v>
      </c>
      <c r="B101">
        <v>152</v>
      </c>
      <c r="C101">
        <v>129</v>
      </c>
      <c r="D101">
        <v>1542</v>
      </c>
      <c r="G101" t="s">
        <v>3535</v>
      </c>
      <c r="I101" t="s">
        <v>679</v>
      </c>
      <c r="J101" t="s">
        <v>3536</v>
      </c>
      <c r="K101" t="s">
        <v>3537</v>
      </c>
      <c r="M101" t="s">
        <v>3366</v>
      </c>
      <c r="T101" t="s">
        <v>319</v>
      </c>
      <c r="U101" t="s">
        <v>3417</v>
      </c>
      <c r="V101" t="s">
        <v>817</v>
      </c>
      <c r="W101">
        <v>0</v>
      </c>
      <c r="X101">
        <v>68904</v>
      </c>
      <c r="Z101">
        <v>36</v>
      </c>
      <c r="AA101" s="31">
        <v>45666</v>
      </c>
      <c r="AB101" s="61">
        <v>0.68798611111111108</v>
      </c>
      <c r="AC101" t="s">
        <v>795</v>
      </c>
      <c r="AD101" s="31">
        <v>45702</v>
      </c>
      <c r="AE101" s="61">
        <v>0.44013888888888891</v>
      </c>
      <c r="AF101" t="s">
        <v>796</v>
      </c>
      <c r="AH101" t="s">
        <v>3534</v>
      </c>
      <c r="AI101" t="s">
        <v>3534</v>
      </c>
      <c r="AQ101">
        <v>1</v>
      </c>
    </row>
    <row r="102" spans="1:43" hidden="1" x14ac:dyDescent="0.25">
      <c r="A102" t="s">
        <v>31</v>
      </c>
      <c r="B102">
        <v>153</v>
      </c>
      <c r="C102">
        <v>85</v>
      </c>
      <c r="D102">
        <v>63</v>
      </c>
      <c r="G102" t="s">
        <v>605</v>
      </c>
      <c r="I102" t="s">
        <v>3261</v>
      </c>
      <c r="J102" t="s">
        <v>3261</v>
      </c>
      <c r="K102" t="s">
        <v>3262</v>
      </c>
      <c r="M102" t="s">
        <v>3263</v>
      </c>
      <c r="P102" t="s">
        <v>3264</v>
      </c>
      <c r="T102" t="s">
        <v>319</v>
      </c>
      <c r="U102" t="s">
        <v>816</v>
      </c>
      <c r="Z102">
        <v>0</v>
      </c>
      <c r="AA102" s="31">
        <v>45667</v>
      </c>
      <c r="AB102" s="61">
        <v>0.43425925925925918</v>
      </c>
      <c r="AC102" t="s">
        <v>818</v>
      </c>
      <c r="AD102" s="31">
        <v>45667</v>
      </c>
      <c r="AE102" s="61">
        <v>0.43490740740740741</v>
      </c>
      <c r="AH102" t="s">
        <v>1113</v>
      </c>
      <c r="AQ102">
        <v>1</v>
      </c>
    </row>
    <row r="103" spans="1:43" hidden="1" x14ac:dyDescent="0.25">
      <c r="A103" t="s">
        <v>31</v>
      </c>
      <c r="B103">
        <v>157</v>
      </c>
      <c r="C103">
        <v>178</v>
      </c>
      <c r="D103">
        <v>1551</v>
      </c>
      <c r="G103" t="s">
        <v>3538</v>
      </c>
      <c r="H103">
        <v>54124158000100</v>
      </c>
      <c r="I103" t="s">
        <v>3539</v>
      </c>
      <c r="J103" t="s">
        <v>6452</v>
      </c>
      <c r="K103" t="s">
        <v>3541</v>
      </c>
      <c r="M103" t="s">
        <v>3542</v>
      </c>
      <c r="O103" t="s">
        <v>6453</v>
      </c>
      <c r="P103" t="s">
        <v>1837</v>
      </c>
      <c r="Q103" t="s">
        <v>790</v>
      </c>
      <c r="T103" t="s">
        <v>319</v>
      </c>
      <c r="U103" t="s">
        <v>816</v>
      </c>
      <c r="W103">
        <v>1360152</v>
      </c>
      <c r="X103">
        <v>64152</v>
      </c>
      <c r="Z103">
        <v>4</v>
      </c>
      <c r="AA103" s="31">
        <v>45670</v>
      </c>
      <c r="AB103" s="61">
        <v>0.40980324074074082</v>
      </c>
      <c r="AC103" t="s">
        <v>818</v>
      </c>
      <c r="AD103" s="31">
        <v>45674</v>
      </c>
      <c r="AE103" s="61">
        <v>0.48346064814814821</v>
      </c>
      <c r="AH103" t="s">
        <v>3544</v>
      </c>
      <c r="AI103" t="s">
        <v>3544</v>
      </c>
      <c r="AQ103">
        <v>1</v>
      </c>
    </row>
    <row r="104" spans="1:43" hidden="1" x14ac:dyDescent="0.25">
      <c r="A104" t="s">
        <v>31</v>
      </c>
      <c r="B104">
        <v>158</v>
      </c>
      <c r="C104">
        <v>179</v>
      </c>
      <c r="D104">
        <v>1552</v>
      </c>
      <c r="G104" t="s">
        <v>3545</v>
      </c>
      <c r="H104">
        <v>21736169000184</v>
      </c>
      <c r="I104" t="s">
        <v>3546</v>
      </c>
      <c r="J104" t="s">
        <v>1243</v>
      </c>
      <c r="K104" t="s">
        <v>3547</v>
      </c>
      <c r="M104" t="s">
        <v>3548</v>
      </c>
      <c r="O104" t="s">
        <v>6454</v>
      </c>
      <c r="P104" t="s">
        <v>3550</v>
      </c>
      <c r="Q104" t="s">
        <v>874</v>
      </c>
      <c r="T104" t="s">
        <v>319</v>
      </c>
      <c r="U104" t="s">
        <v>816</v>
      </c>
      <c r="Z104">
        <v>0</v>
      </c>
      <c r="AA104" s="31">
        <v>45670</v>
      </c>
      <c r="AB104" s="61">
        <v>0.41332175925925918</v>
      </c>
      <c r="AC104" t="s">
        <v>818</v>
      </c>
      <c r="AD104" s="31">
        <v>45670</v>
      </c>
      <c r="AE104" s="61">
        <v>0.41498842592592589</v>
      </c>
      <c r="AH104" t="s">
        <v>1113</v>
      </c>
      <c r="AQ104">
        <v>1</v>
      </c>
    </row>
    <row r="105" spans="1:43" hidden="1" x14ac:dyDescent="0.25">
      <c r="A105" t="s">
        <v>31</v>
      </c>
      <c r="B105">
        <v>159</v>
      </c>
      <c r="C105">
        <v>132</v>
      </c>
      <c r="D105">
        <v>1556</v>
      </c>
      <c r="G105" t="s">
        <v>3551</v>
      </c>
      <c r="I105" t="s">
        <v>3373</v>
      </c>
      <c r="J105" t="s">
        <v>3588</v>
      </c>
      <c r="K105" t="s">
        <v>3553</v>
      </c>
      <c r="M105" t="s">
        <v>3375</v>
      </c>
      <c r="T105" t="s">
        <v>319</v>
      </c>
      <c r="U105" t="s">
        <v>816</v>
      </c>
      <c r="V105" t="s">
        <v>817</v>
      </c>
      <c r="W105">
        <v>0</v>
      </c>
      <c r="X105">
        <v>0</v>
      </c>
      <c r="Z105">
        <v>2</v>
      </c>
      <c r="AA105" s="31">
        <v>45670</v>
      </c>
      <c r="AB105" s="61">
        <v>0.68215277777777783</v>
      </c>
      <c r="AC105" t="s">
        <v>818</v>
      </c>
      <c r="AD105" s="31">
        <v>45672</v>
      </c>
      <c r="AE105" s="61">
        <v>0.67391203703703706</v>
      </c>
      <c r="AH105" t="s">
        <v>3544</v>
      </c>
      <c r="AI105" t="s">
        <v>3544</v>
      </c>
      <c r="AQ105">
        <v>1</v>
      </c>
    </row>
    <row r="106" spans="1:43" hidden="1" x14ac:dyDescent="0.25">
      <c r="A106" t="s">
        <v>31</v>
      </c>
      <c r="B106">
        <v>160</v>
      </c>
      <c r="C106">
        <v>148</v>
      </c>
      <c r="D106">
        <v>1562</v>
      </c>
      <c r="G106" t="s">
        <v>3554</v>
      </c>
      <c r="H106">
        <v>8530284000130</v>
      </c>
      <c r="I106" t="s">
        <v>3555</v>
      </c>
      <c r="J106" t="s">
        <v>2927</v>
      </c>
      <c r="K106" t="s">
        <v>3556</v>
      </c>
      <c r="M106" t="s">
        <v>3557</v>
      </c>
      <c r="T106" t="s">
        <v>319</v>
      </c>
      <c r="U106" t="s">
        <v>3417</v>
      </c>
      <c r="V106" t="s">
        <v>3558</v>
      </c>
      <c r="W106">
        <v>1600</v>
      </c>
      <c r="X106">
        <v>339587</v>
      </c>
      <c r="Z106">
        <v>13</v>
      </c>
      <c r="AA106" s="31">
        <v>45671</v>
      </c>
      <c r="AB106" s="61">
        <v>0.48020833333333329</v>
      </c>
      <c r="AC106" t="s">
        <v>795</v>
      </c>
      <c r="AD106" s="31">
        <v>45684</v>
      </c>
      <c r="AE106" s="61">
        <v>0.41270833333333329</v>
      </c>
      <c r="AF106" t="s">
        <v>934</v>
      </c>
      <c r="AH106" t="s">
        <v>3559</v>
      </c>
      <c r="AI106" t="s">
        <v>3559</v>
      </c>
      <c r="AQ106">
        <v>1</v>
      </c>
    </row>
    <row r="107" spans="1:43" hidden="1" x14ac:dyDescent="0.25">
      <c r="A107" t="s">
        <v>31</v>
      </c>
      <c r="B107">
        <v>161</v>
      </c>
      <c r="C107">
        <v>180</v>
      </c>
      <c r="D107">
        <v>1577</v>
      </c>
      <c r="G107" t="s">
        <v>3560</v>
      </c>
      <c r="H107">
        <v>7287290000226</v>
      </c>
      <c r="I107" t="s">
        <v>3561</v>
      </c>
      <c r="J107" t="s">
        <v>3562</v>
      </c>
      <c r="K107" t="s">
        <v>3563</v>
      </c>
      <c r="M107" t="s">
        <v>3564</v>
      </c>
      <c r="O107" t="s">
        <v>6455</v>
      </c>
      <c r="P107" t="s">
        <v>3566</v>
      </c>
      <c r="Q107" t="s">
        <v>790</v>
      </c>
      <c r="T107" t="s">
        <v>319</v>
      </c>
      <c r="U107" t="s">
        <v>816</v>
      </c>
      <c r="V107" t="s">
        <v>3558</v>
      </c>
      <c r="W107">
        <v>28512</v>
      </c>
      <c r="X107">
        <v>28512</v>
      </c>
      <c r="Z107">
        <v>0</v>
      </c>
      <c r="AA107" s="31">
        <v>45672</v>
      </c>
      <c r="AB107" s="61">
        <v>0.39792824074074068</v>
      </c>
      <c r="AC107" t="s">
        <v>818</v>
      </c>
      <c r="AD107" s="31">
        <v>45672</v>
      </c>
      <c r="AE107" s="61">
        <v>0.40056712962962959</v>
      </c>
      <c r="AH107" t="s">
        <v>3559</v>
      </c>
      <c r="AI107" t="s">
        <v>3559</v>
      </c>
      <c r="AQ107">
        <v>1</v>
      </c>
    </row>
    <row r="108" spans="1:43" hidden="1" x14ac:dyDescent="0.25">
      <c r="A108" t="s">
        <v>31</v>
      </c>
      <c r="B108">
        <v>162</v>
      </c>
      <c r="C108">
        <v>170</v>
      </c>
      <c r="D108">
        <v>1579</v>
      </c>
      <c r="G108" t="s">
        <v>3567</v>
      </c>
      <c r="H108">
        <v>4150555001304</v>
      </c>
      <c r="I108" t="s">
        <v>3477</v>
      </c>
      <c r="J108" t="s">
        <v>3478</v>
      </c>
      <c r="K108" t="s">
        <v>3569</v>
      </c>
      <c r="M108" t="s">
        <v>3480</v>
      </c>
      <c r="O108" t="s">
        <v>6444</v>
      </c>
      <c r="P108" t="s">
        <v>3482</v>
      </c>
      <c r="Q108" t="s">
        <v>1699</v>
      </c>
      <c r="T108" t="s">
        <v>319</v>
      </c>
      <c r="U108" t="s">
        <v>3417</v>
      </c>
      <c r="Z108">
        <v>14</v>
      </c>
      <c r="AA108" s="31">
        <v>45672</v>
      </c>
      <c r="AB108" s="61">
        <v>0.65109953703703705</v>
      </c>
      <c r="AC108" t="s">
        <v>795</v>
      </c>
      <c r="AD108" s="31">
        <v>45686</v>
      </c>
      <c r="AE108" s="61">
        <v>0.71326388888888892</v>
      </c>
      <c r="AF108" t="s">
        <v>796</v>
      </c>
      <c r="AH108" t="s">
        <v>3570</v>
      </c>
      <c r="AI108" t="s">
        <v>3570</v>
      </c>
      <c r="AQ108">
        <v>1</v>
      </c>
    </row>
    <row r="109" spans="1:43" hidden="1" x14ac:dyDescent="0.25">
      <c r="A109" t="s">
        <v>31</v>
      </c>
      <c r="B109">
        <v>163</v>
      </c>
      <c r="C109">
        <v>170</v>
      </c>
      <c r="D109">
        <v>1580</v>
      </c>
      <c r="G109" t="s">
        <v>3571</v>
      </c>
      <c r="H109">
        <v>4150555001304</v>
      </c>
      <c r="I109" t="s">
        <v>3477</v>
      </c>
      <c r="J109" t="s">
        <v>3478</v>
      </c>
      <c r="K109" t="s">
        <v>3569</v>
      </c>
      <c r="M109" t="s">
        <v>3480</v>
      </c>
      <c r="O109" t="s">
        <v>6444</v>
      </c>
      <c r="P109" t="s">
        <v>3482</v>
      </c>
      <c r="Q109" t="s">
        <v>1699</v>
      </c>
      <c r="T109" t="s">
        <v>319</v>
      </c>
      <c r="U109" t="s">
        <v>3417</v>
      </c>
      <c r="W109">
        <v>30816</v>
      </c>
      <c r="X109">
        <v>85536</v>
      </c>
      <c r="Z109">
        <v>71</v>
      </c>
      <c r="AA109" s="31">
        <v>45672</v>
      </c>
      <c r="AB109" s="61">
        <v>0.65299768518518519</v>
      </c>
      <c r="AC109" t="s">
        <v>795</v>
      </c>
      <c r="AD109" s="31">
        <v>45743</v>
      </c>
      <c r="AE109" s="61">
        <v>0.35817129629629629</v>
      </c>
      <c r="AF109" t="s">
        <v>796</v>
      </c>
      <c r="AH109" t="s">
        <v>3570</v>
      </c>
      <c r="AI109" t="s">
        <v>3570</v>
      </c>
      <c r="AQ109">
        <v>1</v>
      </c>
    </row>
    <row r="110" spans="1:43" hidden="1" x14ac:dyDescent="0.25">
      <c r="A110" t="s">
        <v>31</v>
      </c>
      <c r="B110">
        <v>165</v>
      </c>
      <c r="C110">
        <v>182</v>
      </c>
      <c r="D110">
        <v>1586</v>
      </c>
      <c r="G110" t="s">
        <v>6456</v>
      </c>
      <c r="H110">
        <v>23873456000161</v>
      </c>
      <c r="I110" t="s">
        <v>3573</v>
      </c>
      <c r="J110" t="s">
        <v>3574</v>
      </c>
      <c r="K110" t="s">
        <v>3575</v>
      </c>
      <c r="M110" t="s">
        <v>3576</v>
      </c>
      <c r="O110" t="s">
        <v>6457</v>
      </c>
      <c r="P110" t="s">
        <v>1837</v>
      </c>
      <c r="Q110" t="s">
        <v>790</v>
      </c>
      <c r="T110" t="s">
        <v>319</v>
      </c>
      <c r="U110" t="s">
        <v>816</v>
      </c>
      <c r="V110" t="s">
        <v>817</v>
      </c>
      <c r="W110">
        <v>840</v>
      </c>
      <c r="X110">
        <v>0</v>
      </c>
      <c r="Z110">
        <v>1</v>
      </c>
      <c r="AA110" s="31">
        <v>45672</v>
      </c>
      <c r="AB110" s="61">
        <v>0.74322916666666672</v>
      </c>
      <c r="AC110" t="s">
        <v>818</v>
      </c>
      <c r="AD110" s="31">
        <v>45673</v>
      </c>
      <c r="AE110" s="61">
        <v>0.39634259259259258</v>
      </c>
      <c r="AH110" t="s">
        <v>3570</v>
      </c>
      <c r="AQ110">
        <v>1</v>
      </c>
    </row>
    <row r="111" spans="1:43" hidden="1" x14ac:dyDescent="0.25">
      <c r="A111" t="s">
        <v>31</v>
      </c>
      <c r="B111">
        <v>168</v>
      </c>
      <c r="C111">
        <v>154</v>
      </c>
      <c r="D111">
        <v>1601</v>
      </c>
      <c r="G111" t="s">
        <v>3578</v>
      </c>
      <c r="H111">
        <v>790751000159</v>
      </c>
      <c r="I111" t="s">
        <v>3456</v>
      </c>
      <c r="J111" t="s">
        <v>3579</v>
      </c>
      <c r="K111" t="s">
        <v>3580</v>
      </c>
      <c r="M111" t="s">
        <v>3459</v>
      </c>
      <c r="T111" t="s">
        <v>319</v>
      </c>
      <c r="U111" t="s">
        <v>3417</v>
      </c>
      <c r="W111">
        <v>0</v>
      </c>
      <c r="X111">
        <v>137479</v>
      </c>
      <c r="Z111">
        <v>28</v>
      </c>
      <c r="AA111" s="31">
        <v>45673</v>
      </c>
      <c r="AB111" s="61">
        <v>0.63656250000000003</v>
      </c>
      <c r="AC111" t="s">
        <v>795</v>
      </c>
      <c r="AD111" s="31">
        <v>45701</v>
      </c>
      <c r="AE111" s="61">
        <v>0.49040509259259257</v>
      </c>
      <c r="AF111" t="s">
        <v>796</v>
      </c>
      <c r="AH111" t="s">
        <v>3581</v>
      </c>
      <c r="AQ111">
        <v>1</v>
      </c>
    </row>
    <row r="112" spans="1:43" hidden="1" x14ac:dyDescent="0.25">
      <c r="A112" t="s">
        <v>31</v>
      </c>
      <c r="B112">
        <v>170</v>
      </c>
      <c r="C112">
        <v>133</v>
      </c>
      <c r="D112">
        <v>1602</v>
      </c>
      <c r="G112" t="s">
        <v>3582</v>
      </c>
      <c r="I112" t="s">
        <v>625</v>
      </c>
      <c r="J112" t="s">
        <v>3583</v>
      </c>
      <c r="K112" t="s">
        <v>3584</v>
      </c>
      <c r="M112" t="s">
        <v>2207</v>
      </c>
      <c r="T112" t="s">
        <v>319</v>
      </c>
      <c r="U112" t="s">
        <v>816</v>
      </c>
      <c r="V112" t="s">
        <v>817</v>
      </c>
      <c r="W112">
        <v>14600</v>
      </c>
      <c r="X112">
        <v>1728</v>
      </c>
      <c r="Z112">
        <v>74</v>
      </c>
      <c r="AA112" s="31">
        <v>45673</v>
      </c>
      <c r="AB112" s="61">
        <v>0.75452546296296297</v>
      </c>
      <c r="AC112" t="s">
        <v>818</v>
      </c>
      <c r="AD112" s="31">
        <v>45721</v>
      </c>
      <c r="AE112" s="61">
        <v>0.42261574074074082</v>
      </c>
      <c r="AG112">
        <v>0</v>
      </c>
      <c r="AH112" t="s">
        <v>3581</v>
      </c>
      <c r="AI112" t="s">
        <v>3581</v>
      </c>
      <c r="AQ112">
        <v>1</v>
      </c>
    </row>
    <row r="113" spans="1:43" hidden="1" x14ac:dyDescent="0.25">
      <c r="A113" t="s">
        <v>31</v>
      </c>
      <c r="B113">
        <v>171</v>
      </c>
      <c r="C113">
        <v>170</v>
      </c>
      <c r="D113">
        <v>1604</v>
      </c>
      <c r="G113" t="s">
        <v>3585</v>
      </c>
      <c r="H113">
        <v>4150555001304</v>
      </c>
      <c r="I113" t="s">
        <v>3477</v>
      </c>
      <c r="J113" t="s">
        <v>3478</v>
      </c>
      <c r="K113" t="s">
        <v>3569</v>
      </c>
      <c r="M113" t="s">
        <v>3480</v>
      </c>
      <c r="O113" t="s">
        <v>6444</v>
      </c>
      <c r="P113" t="s">
        <v>3482</v>
      </c>
      <c r="Q113" t="s">
        <v>1699</v>
      </c>
      <c r="T113" t="s">
        <v>319</v>
      </c>
      <c r="U113" t="s">
        <v>816</v>
      </c>
      <c r="V113" t="s">
        <v>3558</v>
      </c>
      <c r="W113">
        <v>7764</v>
      </c>
      <c r="X113">
        <v>3564</v>
      </c>
      <c r="Z113">
        <v>0</v>
      </c>
      <c r="AA113" s="31">
        <v>45674</v>
      </c>
      <c r="AB113" s="61">
        <v>0.48375000000000001</v>
      </c>
      <c r="AC113" t="s">
        <v>818</v>
      </c>
      <c r="AD113" s="31">
        <v>45674</v>
      </c>
      <c r="AE113" s="61">
        <v>0.48546296296296299</v>
      </c>
      <c r="AH113" t="s">
        <v>3586</v>
      </c>
      <c r="AI113" t="s">
        <v>3581</v>
      </c>
      <c r="AQ113">
        <v>1</v>
      </c>
    </row>
    <row r="114" spans="1:43" hidden="1" x14ac:dyDescent="0.25">
      <c r="A114" t="s">
        <v>31</v>
      </c>
      <c r="B114">
        <v>172</v>
      </c>
      <c r="C114">
        <v>132</v>
      </c>
      <c r="D114">
        <v>1607</v>
      </c>
      <c r="G114" t="s">
        <v>3587</v>
      </c>
      <c r="I114" t="s">
        <v>3373</v>
      </c>
      <c r="J114" t="s">
        <v>3588</v>
      </c>
      <c r="K114" t="s">
        <v>3553</v>
      </c>
      <c r="M114" t="s">
        <v>3375</v>
      </c>
      <c r="T114" t="s">
        <v>319</v>
      </c>
      <c r="U114" t="s">
        <v>816</v>
      </c>
      <c r="W114">
        <v>135165</v>
      </c>
      <c r="X114">
        <v>0</v>
      </c>
      <c r="Z114">
        <v>31</v>
      </c>
      <c r="AA114" s="31">
        <v>45674</v>
      </c>
      <c r="AB114" s="61">
        <v>0.73576388888888888</v>
      </c>
      <c r="AC114" t="s">
        <v>818</v>
      </c>
      <c r="AD114" s="31">
        <v>45705</v>
      </c>
      <c r="AE114" s="61">
        <v>0.44101851851851848</v>
      </c>
      <c r="AH114" t="s">
        <v>3586</v>
      </c>
      <c r="AQ114">
        <v>1</v>
      </c>
    </row>
    <row r="115" spans="1:43" hidden="1" x14ac:dyDescent="0.25">
      <c r="A115" t="s">
        <v>31</v>
      </c>
      <c r="B115">
        <v>173</v>
      </c>
      <c r="C115">
        <v>112</v>
      </c>
      <c r="D115">
        <v>1612</v>
      </c>
      <c r="G115" t="s">
        <v>3589</v>
      </c>
      <c r="I115" t="s">
        <v>3327</v>
      </c>
      <c r="J115" t="s">
        <v>914</v>
      </c>
      <c r="K115" t="s">
        <v>3590</v>
      </c>
      <c r="M115" t="s">
        <v>3328</v>
      </c>
      <c r="T115" t="s">
        <v>319</v>
      </c>
      <c r="U115" t="s">
        <v>816</v>
      </c>
      <c r="V115" t="s">
        <v>3558</v>
      </c>
      <c r="W115">
        <v>714</v>
      </c>
      <c r="X115">
        <v>0</v>
      </c>
      <c r="Z115">
        <v>0</v>
      </c>
      <c r="AA115" s="31">
        <v>45677</v>
      </c>
      <c r="AB115" s="61">
        <v>0.4858912037037037</v>
      </c>
      <c r="AC115" t="s">
        <v>818</v>
      </c>
      <c r="AD115" s="31">
        <v>45677</v>
      </c>
      <c r="AE115" s="61">
        <v>0.73797453703703708</v>
      </c>
      <c r="AH115" t="s">
        <v>1136</v>
      </c>
      <c r="AQ115">
        <v>1</v>
      </c>
    </row>
    <row r="116" spans="1:43" hidden="1" x14ac:dyDescent="0.25">
      <c r="A116" t="s">
        <v>31</v>
      </c>
      <c r="B116">
        <v>175</v>
      </c>
      <c r="C116">
        <v>178</v>
      </c>
      <c r="D116">
        <v>1614</v>
      </c>
      <c r="G116" t="s">
        <v>3591</v>
      </c>
      <c r="H116">
        <v>54124158000100</v>
      </c>
      <c r="I116" t="s">
        <v>3539</v>
      </c>
      <c r="J116" t="s">
        <v>1243</v>
      </c>
      <c r="K116" t="s">
        <v>3541</v>
      </c>
      <c r="M116" t="s">
        <v>3542</v>
      </c>
      <c r="O116" t="s">
        <v>6453</v>
      </c>
      <c r="P116" t="s">
        <v>1837</v>
      </c>
      <c r="Q116" t="s">
        <v>790</v>
      </c>
      <c r="T116" t="s">
        <v>319</v>
      </c>
      <c r="U116" t="s">
        <v>3417</v>
      </c>
      <c r="W116">
        <v>44651</v>
      </c>
      <c r="X116">
        <v>0</v>
      </c>
      <c r="Z116">
        <v>23</v>
      </c>
      <c r="AA116" s="31">
        <v>45678</v>
      </c>
      <c r="AB116" s="61">
        <v>0.45103009259259258</v>
      </c>
      <c r="AC116" t="s">
        <v>795</v>
      </c>
      <c r="AD116" s="31">
        <v>45701</v>
      </c>
      <c r="AE116" s="61">
        <v>0.48978009259259259</v>
      </c>
      <c r="AF116" t="s">
        <v>867</v>
      </c>
      <c r="AH116" t="s">
        <v>3592</v>
      </c>
      <c r="AQ116">
        <v>1</v>
      </c>
    </row>
    <row r="117" spans="1:43" hidden="1" x14ac:dyDescent="0.25">
      <c r="A117" t="s">
        <v>31</v>
      </c>
      <c r="B117">
        <v>176</v>
      </c>
      <c r="C117">
        <v>183</v>
      </c>
      <c r="D117">
        <v>1615</v>
      </c>
      <c r="G117" t="s">
        <v>6458</v>
      </c>
      <c r="H117">
        <v>3204281000192</v>
      </c>
      <c r="I117" t="s">
        <v>3594</v>
      </c>
      <c r="J117" t="s">
        <v>3595</v>
      </c>
      <c r="K117" t="s">
        <v>3596</v>
      </c>
      <c r="M117" t="s">
        <v>2617</v>
      </c>
      <c r="O117" t="s">
        <v>6459</v>
      </c>
      <c r="P117" t="s">
        <v>2618</v>
      </c>
      <c r="Q117" t="s">
        <v>790</v>
      </c>
      <c r="T117" t="s">
        <v>319</v>
      </c>
      <c r="U117" t="s">
        <v>816</v>
      </c>
      <c r="V117" t="s">
        <v>817</v>
      </c>
      <c r="W117">
        <v>831196</v>
      </c>
      <c r="X117">
        <v>36106</v>
      </c>
      <c r="Z117">
        <v>16</v>
      </c>
      <c r="AA117" s="31">
        <v>45678</v>
      </c>
      <c r="AB117" s="61">
        <v>0.51611111111111108</v>
      </c>
      <c r="AC117" t="s">
        <v>818</v>
      </c>
      <c r="AD117" s="31">
        <v>45694</v>
      </c>
      <c r="AE117" s="61">
        <v>0.43015046296296289</v>
      </c>
      <c r="AH117" t="s">
        <v>3592</v>
      </c>
      <c r="AQ117">
        <v>1</v>
      </c>
    </row>
    <row r="118" spans="1:43" hidden="1" x14ac:dyDescent="0.25">
      <c r="A118" t="s">
        <v>31</v>
      </c>
      <c r="B118">
        <v>177</v>
      </c>
      <c r="C118">
        <v>185</v>
      </c>
      <c r="D118">
        <v>1617</v>
      </c>
      <c r="G118" t="s">
        <v>3598</v>
      </c>
      <c r="H118">
        <v>51496785000176</v>
      </c>
      <c r="I118" t="s">
        <v>3599</v>
      </c>
      <c r="J118" t="s">
        <v>3600</v>
      </c>
      <c r="K118" t="s">
        <v>3601</v>
      </c>
      <c r="M118" t="s">
        <v>3602</v>
      </c>
      <c r="O118" t="s">
        <v>6460</v>
      </c>
      <c r="P118" t="s">
        <v>847</v>
      </c>
      <c r="Q118" t="s">
        <v>848</v>
      </c>
      <c r="T118" t="s">
        <v>319</v>
      </c>
      <c r="U118" t="s">
        <v>3417</v>
      </c>
      <c r="V118" t="s">
        <v>817</v>
      </c>
      <c r="W118">
        <v>33696</v>
      </c>
      <c r="X118">
        <v>7128</v>
      </c>
      <c r="Z118">
        <v>36</v>
      </c>
      <c r="AA118" s="31">
        <v>45679</v>
      </c>
      <c r="AB118" s="61">
        <v>0.43111111111111111</v>
      </c>
      <c r="AC118" t="s">
        <v>795</v>
      </c>
      <c r="AD118" s="31">
        <v>45715</v>
      </c>
      <c r="AE118" s="61">
        <v>0.51508101851851851</v>
      </c>
      <c r="AF118" t="s">
        <v>1358</v>
      </c>
      <c r="AH118" t="s">
        <v>3604</v>
      </c>
      <c r="AI118" t="s">
        <v>3517</v>
      </c>
      <c r="AQ118">
        <v>1</v>
      </c>
    </row>
    <row r="119" spans="1:43" hidden="1" x14ac:dyDescent="0.25">
      <c r="A119" t="s">
        <v>31</v>
      </c>
      <c r="B119">
        <v>180</v>
      </c>
      <c r="C119">
        <v>170</v>
      </c>
      <c r="D119">
        <v>1624</v>
      </c>
      <c r="G119" t="s">
        <v>3605</v>
      </c>
      <c r="H119">
        <v>4150555001304</v>
      </c>
      <c r="I119" t="s">
        <v>3477</v>
      </c>
      <c r="J119" t="s">
        <v>1499</v>
      </c>
      <c r="K119" t="s">
        <v>3569</v>
      </c>
      <c r="M119" t="s">
        <v>3480</v>
      </c>
      <c r="O119" t="s">
        <v>6444</v>
      </c>
      <c r="P119" t="s">
        <v>3482</v>
      </c>
      <c r="Q119" t="s">
        <v>1699</v>
      </c>
      <c r="T119" t="s">
        <v>319</v>
      </c>
      <c r="U119" t="s">
        <v>3606</v>
      </c>
      <c r="Z119">
        <v>21</v>
      </c>
      <c r="AA119" s="31">
        <v>45680</v>
      </c>
      <c r="AB119" s="61">
        <v>0.64934027777777781</v>
      </c>
      <c r="AC119" t="s">
        <v>795</v>
      </c>
      <c r="AD119" s="31">
        <v>45701</v>
      </c>
      <c r="AE119" s="61">
        <v>0.47988425925925932</v>
      </c>
      <c r="AF119" t="s">
        <v>1358</v>
      </c>
      <c r="AI119" t="s">
        <v>1010</v>
      </c>
      <c r="AQ119">
        <v>1</v>
      </c>
    </row>
    <row r="120" spans="1:43" hidden="1" x14ac:dyDescent="0.25">
      <c r="A120" t="s">
        <v>31</v>
      </c>
      <c r="B120">
        <v>181</v>
      </c>
      <c r="C120">
        <v>118</v>
      </c>
      <c r="D120">
        <v>1628</v>
      </c>
      <c r="G120" t="s">
        <v>3607</v>
      </c>
      <c r="I120" t="s">
        <v>686</v>
      </c>
      <c r="J120" t="s">
        <v>3608</v>
      </c>
      <c r="K120" t="s">
        <v>3609</v>
      </c>
      <c r="M120" t="s">
        <v>3343</v>
      </c>
      <c r="T120" t="s">
        <v>319</v>
      </c>
      <c r="U120" t="s">
        <v>3417</v>
      </c>
      <c r="W120">
        <v>33696</v>
      </c>
      <c r="X120">
        <v>0</v>
      </c>
      <c r="Z120">
        <v>20</v>
      </c>
      <c r="AA120" s="31">
        <v>45681</v>
      </c>
      <c r="AB120" s="61">
        <v>0.41077546296296302</v>
      </c>
      <c r="AC120" t="s">
        <v>795</v>
      </c>
      <c r="AD120" s="31">
        <v>45701</v>
      </c>
      <c r="AE120" s="61">
        <v>0.7180671296296296</v>
      </c>
      <c r="AF120" t="s">
        <v>796</v>
      </c>
      <c r="AH120" t="s">
        <v>3610</v>
      </c>
      <c r="AQ120">
        <v>1</v>
      </c>
    </row>
    <row r="121" spans="1:43" hidden="1" x14ac:dyDescent="0.25">
      <c r="A121" t="s">
        <v>31</v>
      </c>
      <c r="B121">
        <v>182</v>
      </c>
      <c r="C121">
        <v>181</v>
      </c>
      <c r="D121">
        <v>1630</v>
      </c>
      <c r="G121" t="s">
        <v>3611</v>
      </c>
      <c r="H121">
        <v>43204189000147</v>
      </c>
      <c r="I121" t="s">
        <v>3612</v>
      </c>
      <c r="J121" t="s">
        <v>990</v>
      </c>
      <c r="K121" t="s">
        <v>3613</v>
      </c>
      <c r="M121" t="s">
        <v>3614</v>
      </c>
      <c r="O121" t="s">
        <v>6461</v>
      </c>
      <c r="P121" t="s">
        <v>3616</v>
      </c>
      <c r="Q121" t="s">
        <v>790</v>
      </c>
      <c r="T121" t="s">
        <v>319</v>
      </c>
      <c r="U121" t="s">
        <v>3417</v>
      </c>
      <c r="Z121">
        <v>0</v>
      </c>
      <c r="AA121" s="31">
        <v>45681</v>
      </c>
      <c r="AB121" s="61">
        <v>0.42917824074074068</v>
      </c>
      <c r="AC121" t="s">
        <v>795</v>
      </c>
      <c r="AD121" s="31">
        <v>45681</v>
      </c>
      <c r="AE121" s="61">
        <v>0.43184027777777778</v>
      </c>
      <c r="AF121" t="s">
        <v>796</v>
      </c>
      <c r="AH121" t="s">
        <v>3586</v>
      </c>
      <c r="AQ121">
        <v>1</v>
      </c>
    </row>
    <row r="122" spans="1:43" hidden="1" x14ac:dyDescent="0.25">
      <c r="A122" t="s">
        <v>31</v>
      </c>
      <c r="B122">
        <v>184</v>
      </c>
      <c r="C122">
        <v>83</v>
      </c>
      <c r="D122">
        <v>1632</v>
      </c>
      <c r="G122" t="s">
        <v>3617</v>
      </c>
      <c r="I122" t="s">
        <v>3255</v>
      </c>
      <c r="J122" t="s">
        <v>6462</v>
      </c>
      <c r="M122" t="s">
        <v>3256</v>
      </c>
      <c r="P122" t="s">
        <v>3257</v>
      </c>
      <c r="T122" t="s">
        <v>319</v>
      </c>
      <c r="U122" t="s">
        <v>781</v>
      </c>
      <c r="Z122">
        <v>5</v>
      </c>
      <c r="AA122" s="31">
        <v>45681</v>
      </c>
      <c r="AB122" s="61">
        <v>0.49629629629629629</v>
      </c>
      <c r="AC122" t="s">
        <v>795</v>
      </c>
      <c r="AD122" s="31">
        <v>45686</v>
      </c>
      <c r="AE122" s="61">
        <v>0.71755787037037033</v>
      </c>
      <c r="AF122" t="s">
        <v>796</v>
      </c>
      <c r="AH122" t="s">
        <v>3619</v>
      </c>
      <c r="AQ122">
        <v>1</v>
      </c>
    </row>
    <row r="123" spans="1:43" hidden="1" x14ac:dyDescent="0.25">
      <c r="A123" t="s">
        <v>31</v>
      </c>
      <c r="B123">
        <v>185</v>
      </c>
      <c r="C123">
        <v>152</v>
      </c>
      <c r="D123">
        <v>1633</v>
      </c>
      <c r="G123" t="s">
        <v>3445</v>
      </c>
      <c r="I123" t="s">
        <v>3445</v>
      </c>
      <c r="J123" t="s">
        <v>3620</v>
      </c>
      <c r="K123" t="s">
        <v>3621</v>
      </c>
      <c r="M123" t="s">
        <v>3448</v>
      </c>
      <c r="T123" t="s">
        <v>319</v>
      </c>
      <c r="U123" t="s">
        <v>816</v>
      </c>
      <c r="V123" t="s">
        <v>817</v>
      </c>
      <c r="W123">
        <v>33696</v>
      </c>
      <c r="X123">
        <v>0</v>
      </c>
      <c r="Z123">
        <v>0</v>
      </c>
      <c r="AA123" s="31">
        <v>45681</v>
      </c>
      <c r="AB123" s="61">
        <v>0.66790509259259256</v>
      </c>
      <c r="AC123" t="s">
        <v>818</v>
      </c>
      <c r="AD123" s="31">
        <v>45681</v>
      </c>
      <c r="AE123" s="61">
        <v>0.67667824074074079</v>
      </c>
      <c r="AH123" t="s">
        <v>3619</v>
      </c>
      <c r="AQ123">
        <v>1</v>
      </c>
    </row>
    <row r="124" spans="1:43" hidden="1" x14ac:dyDescent="0.25">
      <c r="A124" t="s">
        <v>31</v>
      </c>
      <c r="B124">
        <v>186</v>
      </c>
      <c r="C124">
        <v>76</v>
      </c>
      <c r="D124">
        <v>1634</v>
      </c>
      <c r="G124" t="s">
        <v>3622</v>
      </c>
      <c r="I124" t="s">
        <v>225</v>
      </c>
      <c r="J124" t="s">
        <v>1499</v>
      </c>
      <c r="K124" t="s">
        <v>3623</v>
      </c>
      <c r="M124" t="s">
        <v>3233</v>
      </c>
      <c r="P124" t="s">
        <v>3234</v>
      </c>
      <c r="Q124" t="s">
        <v>1699</v>
      </c>
      <c r="T124" t="s">
        <v>319</v>
      </c>
      <c r="U124" t="s">
        <v>3417</v>
      </c>
      <c r="W124">
        <v>67392</v>
      </c>
      <c r="X124">
        <v>3564</v>
      </c>
      <c r="Z124">
        <v>45</v>
      </c>
      <c r="AA124" s="31">
        <v>45681</v>
      </c>
      <c r="AB124" s="61">
        <v>0.6774768518518518</v>
      </c>
      <c r="AC124" t="s">
        <v>795</v>
      </c>
      <c r="AD124" s="31">
        <v>45726</v>
      </c>
      <c r="AE124" s="61">
        <v>0.42464120370370367</v>
      </c>
      <c r="AF124" t="s">
        <v>796</v>
      </c>
      <c r="AH124" t="s">
        <v>3619</v>
      </c>
      <c r="AI124" t="s">
        <v>3619</v>
      </c>
      <c r="AQ124">
        <v>1</v>
      </c>
    </row>
    <row r="125" spans="1:43" hidden="1" x14ac:dyDescent="0.25">
      <c r="A125" t="s">
        <v>31</v>
      </c>
      <c r="B125">
        <v>189</v>
      </c>
      <c r="C125">
        <v>186</v>
      </c>
      <c r="D125">
        <v>1645</v>
      </c>
      <c r="G125" t="s">
        <v>3624</v>
      </c>
      <c r="H125">
        <v>10899939000193</v>
      </c>
      <c r="I125" t="s">
        <v>3625</v>
      </c>
      <c r="J125" t="s">
        <v>704</v>
      </c>
      <c r="K125" t="s">
        <v>3626</v>
      </c>
      <c r="M125" t="s">
        <v>3627</v>
      </c>
      <c r="O125" t="s">
        <v>6463</v>
      </c>
      <c r="P125" t="s">
        <v>3629</v>
      </c>
      <c r="Q125" t="s">
        <v>932</v>
      </c>
      <c r="T125" t="s">
        <v>319</v>
      </c>
      <c r="U125" t="s">
        <v>816</v>
      </c>
      <c r="V125" t="s">
        <v>817</v>
      </c>
      <c r="W125">
        <v>33696</v>
      </c>
      <c r="X125">
        <v>3564</v>
      </c>
      <c r="Z125">
        <v>1</v>
      </c>
      <c r="AA125" s="31">
        <v>45684</v>
      </c>
      <c r="AB125" s="61">
        <v>0.69358796296296299</v>
      </c>
      <c r="AC125" t="s">
        <v>818</v>
      </c>
      <c r="AD125" s="31">
        <v>45685</v>
      </c>
      <c r="AE125" s="61">
        <v>0.37228009259259259</v>
      </c>
      <c r="AH125" t="s">
        <v>3630</v>
      </c>
      <c r="AQ125">
        <v>1</v>
      </c>
    </row>
    <row r="126" spans="1:43" hidden="1" x14ac:dyDescent="0.25">
      <c r="A126" t="s">
        <v>31</v>
      </c>
      <c r="B126">
        <v>190</v>
      </c>
      <c r="C126">
        <v>187</v>
      </c>
      <c r="D126">
        <v>1646</v>
      </c>
      <c r="G126" t="s">
        <v>439</v>
      </c>
      <c r="H126">
        <v>17063632000105</v>
      </c>
      <c r="I126" t="s">
        <v>3631</v>
      </c>
      <c r="J126" t="s">
        <v>4014</v>
      </c>
      <c r="K126" t="s">
        <v>3633</v>
      </c>
      <c r="M126" t="s">
        <v>3634</v>
      </c>
      <c r="O126" t="s">
        <v>6464</v>
      </c>
      <c r="P126" t="s">
        <v>3636</v>
      </c>
      <c r="Q126" t="s">
        <v>1699</v>
      </c>
      <c r="T126" t="s">
        <v>319</v>
      </c>
      <c r="U126" t="s">
        <v>3417</v>
      </c>
      <c r="W126">
        <v>116253</v>
      </c>
      <c r="X126">
        <v>0</v>
      </c>
      <c r="Z126">
        <v>11</v>
      </c>
      <c r="AA126" s="31">
        <v>45684</v>
      </c>
      <c r="AB126" s="61">
        <v>0.71214120370370371</v>
      </c>
      <c r="AC126" t="s">
        <v>795</v>
      </c>
      <c r="AD126" s="31">
        <v>45695</v>
      </c>
      <c r="AE126" s="61">
        <v>0.66339120370370375</v>
      </c>
      <c r="AF126" t="s">
        <v>934</v>
      </c>
      <c r="AH126" t="s">
        <v>3630</v>
      </c>
      <c r="AQ126">
        <v>1</v>
      </c>
    </row>
    <row r="127" spans="1:43" hidden="1" x14ac:dyDescent="0.25">
      <c r="A127" t="s">
        <v>31</v>
      </c>
      <c r="B127">
        <v>192</v>
      </c>
      <c r="C127">
        <v>146</v>
      </c>
      <c r="D127">
        <v>1652</v>
      </c>
      <c r="G127" t="s">
        <v>3637</v>
      </c>
      <c r="I127" t="s">
        <v>3425</v>
      </c>
      <c r="J127" t="s">
        <v>3426</v>
      </c>
      <c r="K127" t="s">
        <v>3515</v>
      </c>
      <c r="M127" t="s">
        <v>3428</v>
      </c>
      <c r="T127" t="s">
        <v>319</v>
      </c>
      <c r="U127" t="s">
        <v>816</v>
      </c>
      <c r="V127" t="s">
        <v>3558</v>
      </c>
      <c r="W127">
        <v>63179</v>
      </c>
      <c r="X127">
        <v>0</v>
      </c>
      <c r="Z127">
        <v>0</v>
      </c>
      <c r="AA127" s="31">
        <v>45685</v>
      </c>
      <c r="AB127" s="61">
        <v>0.69449074074074069</v>
      </c>
      <c r="AC127" t="s">
        <v>818</v>
      </c>
      <c r="AD127" s="31">
        <v>45685</v>
      </c>
      <c r="AE127" s="61">
        <v>0.69738425925925929</v>
      </c>
      <c r="AH127" t="s">
        <v>1187</v>
      </c>
      <c r="AQ127">
        <v>1</v>
      </c>
    </row>
    <row r="128" spans="1:43" hidden="1" x14ac:dyDescent="0.25">
      <c r="A128" t="s">
        <v>31</v>
      </c>
      <c r="B128">
        <v>194</v>
      </c>
      <c r="C128">
        <v>188</v>
      </c>
      <c r="D128">
        <v>1654</v>
      </c>
      <c r="G128" t="s">
        <v>3638</v>
      </c>
      <c r="H128">
        <v>134729000150</v>
      </c>
      <c r="I128" t="s">
        <v>3639</v>
      </c>
      <c r="J128" t="s">
        <v>3640</v>
      </c>
      <c r="K128" t="s">
        <v>3641</v>
      </c>
      <c r="M128" t="s">
        <v>3642</v>
      </c>
      <c r="O128" t="s">
        <v>6465</v>
      </c>
      <c r="P128" t="s">
        <v>847</v>
      </c>
      <c r="Q128" t="s">
        <v>848</v>
      </c>
      <c r="S128" t="s">
        <v>1327</v>
      </c>
      <c r="T128" t="s">
        <v>319</v>
      </c>
      <c r="U128" t="s">
        <v>3417</v>
      </c>
      <c r="W128">
        <v>1600</v>
      </c>
      <c r="X128">
        <v>674148</v>
      </c>
      <c r="Z128">
        <v>22</v>
      </c>
      <c r="AA128" s="31">
        <v>45685</v>
      </c>
      <c r="AB128" s="61">
        <v>0.70484953703703701</v>
      </c>
      <c r="AC128" t="s">
        <v>795</v>
      </c>
      <c r="AD128" s="31">
        <v>45707</v>
      </c>
      <c r="AE128" s="61">
        <v>0.37031249999999999</v>
      </c>
      <c r="AF128" t="s">
        <v>796</v>
      </c>
      <c r="AH128" t="s">
        <v>1187</v>
      </c>
      <c r="AI128" t="s">
        <v>1187</v>
      </c>
      <c r="AQ128">
        <v>1</v>
      </c>
    </row>
    <row r="129" spans="1:43" hidden="1" x14ac:dyDescent="0.25">
      <c r="A129" t="s">
        <v>31</v>
      </c>
      <c r="B129">
        <v>216</v>
      </c>
      <c r="C129">
        <v>149</v>
      </c>
      <c r="D129">
        <v>1716</v>
      </c>
      <c r="G129" t="s">
        <v>3644</v>
      </c>
      <c r="H129">
        <v>12418196000118</v>
      </c>
      <c r="I129" t="s">
        <v>3645</v>
      </c>
      <c r="J129" t="s">
        <v>6466</v>
      </c>
      <c r="K129" t="s">
        <v>3647</v>
      </c>
      <c r="M129" t="s">
        <v>3648</v>
      </c>
      <c r="T129" t="s">
        <v>319</v>
      </c>
      <c r="U129" t="s">
        <v>3417</v>
      </c>
      <c r="W129">
        <v>1600</v>
      </c>
      <c r="X129">
        <v>1458885</v>
      </c>
      <c r="Z129">
        <v>39</v>
      </c>
      <c r="AA129" s="31">
        <v>45694</v>
      </c>
      <c r="AB129" s="61">
        <v>0.58359953703703704</v>
      </c>
      <c r="AC129" t="s">
        <v>795</v>
      </c>
      <c r="AD129" s="31">
        <v>45733</v>
      </c>
      <c r="AE129" s="61">
        <v>0.40326388888888892</v>
      </c>
      <c r="AF129" t="s">
        <v>796</v>
      </c>
      <c r="AH129" t="s">
        <v>1293</v>
      </c>
      <c r="AI129" t="s">
        <v>1293</v>
      </c>
      <c r="AQ129">
        <v>1</v>
      </c>
    </row>
    <row r="130" spans="1:43" hidden="1" x14ac:dyDescent="0.25">
      <c r="A130" t="s">
        <v>31</v>
      </c>
      <c r="B130">
        <v>217</v>
      </c>
      <c r="C130">
        <v>102</v>
      </c>
      <c r="D130">
        <v>1717</v>
      </c>
      <c r="G130" t="s">
        <v>3649</v>
      </c>
      <c r="I130" t="s">
        <v>3306</v>
      </c>
      <c r="J130" t="s">
        <v>6467</v>
      </c>
      <c r="K130" t="s">
        <v>3651</v>
      </c>
      <c r="M130" t="s">
        <v>3308</v>
      </c>
      <c r="S130" t="s">
        <v>1266</v>
      </c>
      <c r="T130" t="s">
        <v>319</v>
      </c>
      <c r="U130" t="s">
        <v>3417</v>
      </c>
      <c r="W130">
        <v>16200</v>
      </c>
      <c r="X130">
        <v>2160</v>
      </c>
      <c r="Z130">
        <v>39</v>
      </c>
      <c r="AA130" s="31">
        <v>45694</v>
      </c>
      <c r="AB130" s="61">
        <v>0.61443287037037042</v>
      </c>
      <c r="AC130" t="s">
        <v>795</v>
      </c>
      <c r="AD130" s="31">
        <v>45733</v>
      </c>
      <c r="AE130" s="61">
        <v>0.40384259259259259</v>
      </c>
      <c r="AF130" t="s">
        <v>796</v>
      </c>
      <c r="AH130" t="s">
        <v>1293</v>
      </c>
      <c r="AI130" t="s">
        <v>1293</v>
      </c>
      <c r="AQ130">
        <v>1</v>
      </c>
    </row>
    <row r="131" spans="1:43" hidden="1" x14ac:dyDescent="0.25">
      <c r="A131" t="s">
        <v>31</v>
      </c>
      <c r="B131">
        <v>218</v>
      </c>
      <c r="C131">
        <v>76</v>
      </c>
      <c r="D131">
        <v>1718</v>
      </c>
      <c r="G131" t="s">
        <v>3652</v>
      </c>
      <c r="I131" t="s">
        <v>225</v>
      </c>
      <c r="J131" t="s">
        <v>3653</v>
      </c>
      <c r="K131" t="s">
        <v>3623</v>
      </c>
      <c r="M131" t="s">
        <v>3233</v>
      </c>
      <c r="P131" t="s">
        <v>3234</v>
      </c>
      <c r="Q131" t="s">
        <v>1699</v>
      </c>
      <c r="S131" t="s">
        <v>1266</v>
      </c>
      <c r="T131" t="s">
        <v>319</v>
      </c>
      <c r="U131" t="s">
        <v>781</v>
      </c>
      <c r="Z131">
        <v>67</v>
      </c>
      <c r="AA131" s="31">
        <v>45694</v>
      </c>
      <c r="AB131" s="61">
        <v>0.63978009259259261</v>
      </c>
      <c r="AC131" t="s">
        <v>795</v>
      </c>
      <c r="AD131" s="31">
        <v>45761</v>
      </c>
      <c r="AE131" s="61">
        <v>0.36935185185185188</v>
      </c>
      <c r="AF131" t="s">
        <v>796</v>
      </c>
      <c r="AQ131">
        <v>1</v>
      </c>
    </row>
    <row r="132" spans="1:43" hidden="1" x14ac:dyDescent="0.25">
      <c r="A132" t="s">
        <v>31</v>
      </c>
      <c r="B132">
        <v>220</v>
      </c>
      <c r="C132">
        <v>129</v>
      </c>
      <c r="D132">
        <v>1723</v>
      </c>
      <c r="G132" t="s">
        <v>6468</v>
      </c>
      <c r="I132" t="s">
        <v>679</v>
      </c>
      <c r="J132" t="s">
        <v>928</v>
      </c>
      <c r="K132" t="s">
        <v>3537</v>
      </c>
      <c r="M132" t="s">
        <v>3366</v>
      </c>
      <c r="T132" t="s">
        <v>319</v>
      </c>
      <c r="U132" t="s">
        <v>816</v>
      </c>
      <c r="W132">
        <v>321408</v>
      </c>
      <c r="X132">
        <v>57024</v>
      </c>
      <c r="Z132">
        <v>48</v>
      </c>
      <c r="AA132" s="31">
        <v>45695</v>
      </c>
      <c r="AB132" s="61">
        <v>0.36967592592592591</v>
      </c>
      <c r="AC132" t="s">
        <v>795</v>
      </c>
      <c r="AD132" s="31">
        <v>45743</v>
      </c>
      <c r="AE132" s="61">
        <v>0.35805555555555563</v>
      </c>
      <c r="AF132" t="s">
        <v>796</v>
      </c>
      <c r="AH132" t="s">
        <v>1292</v>
      </c>
      <c r="AI132" t="s">
        <v>1293</v>
      </c>
      <c r="AQ132">
        <v>1</v>
      </c>
    </row>
    <row r="133" spans="1:43" hidden="1" x14ac:dyDescent="0.25">
      <c r="A133" t="s">
        <v>31</v>
      </c>
      <c r="B133">
        <v>221</v>
      </c>
      <c r="C133">
        <v>129</v>
      </c>
      <c r="D133">
        <v>1724</v>
      </c>
      <c r="G133" t="s">
        <v>3656</v>
      </c>
      <c r="I133" t="s">
        <v>679</v>
      </c>
      <c r="J133" t="s">
        <v>928</v>
      </c>
      <c r="K133" t="s">
        <v>3537</v>
      </c>
      <c r="M133" t="s">
        <v>3366</v>
      </c>
      <c r="S133" t="s">
        <v>1266</v>
      </c>
      <c r="T133" t="s">
        <v>319</v>
      </c>
      <c r="U133" t="s">
        <v>816</v>
      </c>
      <c r="W133">
        <v>23580</v>
      </c>
      <c r="X133">
        <v>3400</v>
      </c>
      <c r="Z133">
        <v>48</v>
      </c>
      <c r="AA133" s="31">
        <v>45695</v>
      </c>
      <c r="AB133" s="61">
        <v>0.41024305555555562</v>
      </c>
      <c r="AC133" t="s">
        <v>795</v>
      </c>
      <c r="AD133" s="31">
        <v>45743</v>
      </c>
      <c r="AE133" s="61">
        <v>0.35790509259259262</v>
      </c>
      <c r="AF133" t="s">
        <v>796</v>
      </c>
      <c r="AH133" t="s">
        <v>1292</v>
      </c>
      <c r="AI133" t="s">
        <v>1293</v>
      </c>
      <c r="AQ133">
        <v>1</v>
      </c>
    </row>
    <row r="134" spans="1:43" hidden="1" x14ac:dyDescent="0.25">
      <c r="A134" t="s">
        <v>31</v>
      </c>
      <c r="B134">
        <v>222</v>
      </c>
      <c r="C134">
        <v>172</v>
      </c>
      <c r="D134">
        <v>1725</v>
      </c>
      <c r="G134" t="s">
        <v>3657</v>
      </c>
      <c r="H134">
        <v>33561753000125</v>
      </c>
      <c r="I134" t="s">
        <v>3501</v>
      </c>
      <c r="J134" t="s">
        <v>952</v>
      </c>
      <c r="K134" t="s">
        <v>3502</v>
      </c>
      <c r="M134" t="s">
        <v>3503</v>
      </c>
      <c r="O134" t="s">
        <v>6447</v>
      </c>
      <c r="P134" t="s">
        <v>3505</v>
      </c>
      <c r="Q134" t="s">
        <v>790</v>
      </c>
      <c r="S134" t="s">
        <v>1266</v>
      </c>
      <c r="T134" t="s">
        <v>319</v>
      </c>
      <c r="U134" t="s">
        <v>3417</v>
      </c>
      <c r="W134">
        <v>23580</v>
      </c>
      <c r="X134">
        <v>3400</v>
      </c>
      <c r="Z134">
        <v>91</v>
      </c>
      <c r="AA134" s="31">
        <v>45695</v>
      </c>
      <c r="AB134" s="61">
        <v>0.44217592592592592</v>
      </c>
      <c r="AC134" t="s">
        <v>795</v>
      </c>
      <c r="AD134" s="31">
        <v>45786</v>
      </c>
      <c r="AE134" s="61">
        <v>0.6146759259259259</v>
      </c>
      <c r="AF134" t="s">
        <v>934</v>
      </c>
      <c r="AH134" t="s">
        <v>1292</v>
      </c>
      <c r="AI134" t="s">
        <v>1286</v>
      </c>
      <c r="AQ134">
        <v>1</v>
      </c>
    </row>
    <row r="135" spans="1:43" hidden="1" x14ac:dyDescent="0.25">
      <c r="A135" t="s">
        <v>31</v>
      </c>
      <c r="B135">
        <v>223</v>
      </c>
      <c r="C135">
        <v>172</v>
      </c>
      <c r="D135">
        <v>1726</v>
      </c>
      <c r="G135" t="s">
        <v>3658</v>
      </c>
      <c r="H135">
        <v>33561753000125</v>
      </c>
      <c r="I135" t="s">
        <v>3501</v>
      </c>
      <c r="J135" t="s">
        <v>952</v>
      </c>
      <c r="K135" t="s">
        <v>3502</v>
      </c>
      <c r="M135" t="s">
        <v>3503</v>
      </c>
      <c r="O135" t="s">
        <v>6447</v>
      </c>
      <c r="P135" t="s">
        <v>3505</v>
      </c>
      <c r="Q135" t="s">
        <v>790</v>
      </c>
      <c r="S135" t="s">
        <v>1266</v>
      </c>
      <c r="T135" t="s">
        <v>319</v>
      </c>
      <c r="U135" t="s">
        <v>3417</v>
      </c>
      <c r="W135">
        <v>214272</v>
      </c>
      <c r="X135">
        <v>48472</v>
      </c>
      <c r="Z135">
        <v>91</v>
      </c>
      <c r="AA135" s="31">
        <v>45695</v>
      </c>
      <c r="AB135" s="61">
        <v>0.44530092592592591</v>
      </c>
      <c r="AC135" t="s">
        <v>795</v>
      </c>
      <c r="AD135" s="31">
        <v>45786</v>
      </c>
      <c r="AE135" s="61">
        <v>0.61391203703703701</v>
      </c>
      <c r="AF135" t="s">
        <v>934</v>
      </c>
      <c r="AH135" t="s">
        <v>1292</v>
      </c>
      <c r="AI135" t="s">
        <v>1286</v>
      </c>
      <c r="AQ135">
        <v>1</v>
      </c>
    </row>
    <row r="136" spans="1:43" hidden="1" x14ac:dyDescent="0.25">
      <c r="A136" t="s">
        <v>31</v>
      </c>
      <c r="B136">
        <v>224</v>
      </c>
      <c r="C136">
        <v>172</v>
      </c>
      <c r="D136">
        <v>1727</v>
      </c>
      <c r="G136" t="s">
        <v>3659</v>
      </c>
      <c r="H136">
        <v>33561753000125</v>
      </c>
      <c r="I136" t="s">
        <v>3501</v>
      </c>
      <c r="J136" t="s">
        <v>952</v>
      </c>
      <c r="K136" t="s">
        <v>3502</v>
      </c>
      <c r="M136" t="s">
        <v>3503</v>
      </c>
      <c r="O136" t="s">
        <v>6447</v>
      </c>
      <c r="P136" t="s">
        <v>3505</v>
      </c>
      <c r="Q136" t="s">
        <v>790</v>
      </c>
      <c r="S136" t="s">
        <v>1266</v>
      </c>
      <c r="T136" t="s">
        <v>319</v>
      </c>
      <c r="U136" t="s">
        <v>3417</v>
      </c>
      <c r="W136">
        <v>142848</v>
      </c>
      <c r="X136">
        <v>0</v>
      </c>
      <c r="Z136">
        <v>91</v>
      </c>
      <c r="AA136" s="31">
        <v>45695</v>
      </c>
      <c r="AB136" s="61">
        <v>0.45251157407407411</v>
      </c>
      <c r="AC136" t="s">
        <v>795</v>
      </c>
      <c r="AD136" s="31">
        <v>45786</v>
      </c>
      <c r="AE136" s="61">
        <v>0.61659722222222224</v>
      </c>
      <c r="AF136" t="s">
        <v>934</v>
      </c>
      <c r="AH136" t="s">
        <v>1292</v>
      </c>
      <c r="AI136" t="s">
        <v>1286</v>
      </c>
      <c r="AQ136">
        <v>1</v>
      </c>
    </row>
    <row r="137" spans="1:43" hidden="1" x14ac:dyDescent="0.25">
      <c r="A137" t="s">
        <v>31</v>
      </c>
      <c r="B137">
        <v>225</v>
      </c>
      <c r="C137">
        <v>172</v>
      </c>
      <c r="D137">
        <v>1728</v>
      </c>
      <c r="G137" t="s">
        <v>3660</v>
      </c>
      <c r="H137">
        <v>33561753000125</v>
      </c>
      <c r="I137" t="s">
        <v>3501</v>
      </c>
      <c r="J137" t="s">
        <v>952</v>
      </c>
      <c r="K137" t="s">
        <v>3502</v>
      </c>
      <c r="M137" t="s">
        <v>3503</v>
      </c>
      <c r="O137" t="s">
        <v>6447</v>
      </c>
      <c r="P137" t="s">
        <v>3505</v>
      </c>
      <c r="Q137" t="s">
        <v>790</v>
      </c>
      <c r="S137" t="s">
        <v>1266</v>
      </c>
      <c r="T137" t="s">
        <v>319</v>
      </c>
      <c r="U137" t="s">
        <v>3417</v>
      </c>
      <c r="W137">
        <v>1600</v>
      </c>
      <c r="X137">
        <v>235228</v>
      </c>
      <c r="Z137">
        <v>91</v>
      </c>
      <c r="AA137" s="31">
        <v>45695</v>
      </c>
      <c r="AB137" s="61">
        <v>0.45512731481481478</v>
      </c>
      <c r="AC137" t="s">
        <v>795</v>
      </c>
      <c r="AD137" s="31">
        <v>45786</v>
      </c>
      <c r="AE137" s="61">
        <v>0.61518518518518517</v>
      </c>
      <c r="AF137" t="s">
        <v>934</v>
      </c>
      <c r="AH137" t="s">
        <v>1292</v>
      </c>
      <c r="AI137" t="s">
        <v>1286</v>
      </c>
      <c r="AQ137">
        <v>1</v>
      </c>
    </row>
    <row r="138" spans="1:43" hidden="1" x14ac:dyDescent="0.25">
      <c r="A138" t="s">
        <v>31</v>
      </c>
      <c r="B138">
        <v>226</v>
      </c>
      <c r="C138">
        <v>152</v>
      </c>
      <c r="D138">
        <v>1729</v>
      </c>
      <c r="G138" t="s">
        <v>3661</v>
      </c>
      <c r="I138" t="s">
        <v>3445</v>
      </c>
      <c r="J138" t="s">
        <v>3662</v>
      </c>
      <c r="K138" t="s">
        <v>3621</v>
      </c>
      <c r="M138" t="s">
        <v>3448</v>
      </c>
      <c r="T138" t="s">
        <v>319</v>
      </c>
      <c r="U138" t="s">
        <v>816</v>
      </c>
      <c r="W138">
        <v>89361</v>
      </c>
      <c r="X138">
        <v>0</v>
      </c>
      <c r="Z138">
        <v>26</v>
      </c>
      <c r="AA138" s="31">
        <v>45695</v>
      </c>
      <c r="AB138" s="61">
        <v>0.55688657407407405</v>
      </c>
      <c r="AC138" t="s">
        <v>795</v>
      </c>
      <c r="AD138" s="31">
        <v>45721</v>
      </c>
      <c r="AE138" s="61">
        <v>0.42237268518518523</v>
      </c>
      <c r="AF138" t="s">
        <v>867</v>
      </c>
      <c r="AH138" t="s">
        <v>1292</v>
      </c>
      <c r="AQ138">
        <v>1</v>
      </c>
    </row>
    <row r="139" spans="1:43" hidden="1" x14ac:dyDescent="0.25">
      <c r="A139" t="s">
        <v>31</v>
      </c>
      <c r="B139">
        <v>227</v>
      </c>
      <c r="C139">
        <v>171</v>
      </c>
      <c r="D139">
        <v>1730</v>
      </c>
      <c r="G139" t="s">
        <v>3663</v>
      </c>
      <c r="H139">
        <v>39955762000187</v>
      </c>
      <c r="I139" t="s">
        <v>3484</v>
      </c>
      <c r="J139" t="s">
        <v>3664</v>
      </c>
      <c r="K139" t="s">
        <v>3665</v>
      </c>
      <c r="M139" t="s">
        <v>3487</v>
      </c>
      <c r="O139" t="s">
        <v>6445</v>
      </c>
      <c r="P139" t="s">
        <v>1094</v>
      </c>
      <c r="Q139" t="s">
        <v>790</v>
      </c>
      <c r="T139" t="s">
        <v>319</v>
      </c>
      <c r="U139" t="s">
        <v>3417</v>
      </c>
      <c r="W139">
        <v>245704</v>
      </c>
      <c r="X139">
        <v>0</v>
      </c>
      <c r="Z139">
        <v>7</v>
      </c>
      <c r="AA139" s="31">
        <v>45695</v>
      </c>
      <c r="AB139" s="61">
        <v>0.55918981481481478</v>
      </c>
      <c r="AC139" t="s">
        <v>795</v>
      </c>
      <c r="AD139" s="31">
        <v>45702</v>
      </c>
      <c r="AE139" s="61">
        <v>0.4418287037037037</v>
      </c>
      <c r="AF139" t="s">
        <v>796</v>
      </c>
      <c r="AH139" t="s">
        <v>1292</v>
      </c>
      <c r="AQ139">
        <v>1</v>
      </c>
    </row>
    <row r="140" spans="1:43" hidden="1" x14ac:dyDescent="0.25">
      <c r="A140" t="s">
        <v>31</v>
      </c>
      <c r="B140">
        <v>228</v>
      </c>
      <c r="C140">
        <v>103</v>
      </c>
      <c r="D140">
        <v>1731</v>
      </c>
      <c r="G140" t="s">
        <v>3666</v>
      </c>
      <c r="H140">
        <v>12549273000179</v>
      </c>
      <c r="I140" t="s">
        <v>3309</v>
      </c>
      <c r="J140" t="s">
        <v>1804</v>
      </c>
      <c r="K140" t="s">
        <v>3667</v>
      </c>
      <c r="M140" t="s">
        <v>3312</v>
      </c>
      <c r="O140" t="s">
        <v>6441</v>
      </c>
      <c r="P140" t="s">
        <v>1596</v>
      </c>
      <c r="Q140" t="s">
        <v>790</v>
      </c>
      <c r="T140" t="s">
        <v>319</v>
      </c>
      <c r="U140" t="s">
        <v>3417</v>
      </c>
      <c r="W140">
        <v>7413</v>
      </c>
      <c r="X140">
        <v>0</v>
      </c>
      <c r="Z140">
        <v>33</v>
      </c>
      <c r="AA140" s="31">
        <v>45695</v>
      </c>
      <c r="AB140" s="61">
        <v>0.56200231481481477</v>
      </c>
      <c r="AC140" t="s">
        <v>795</v>
      </c>
      <c r="AD140" s="31">
        <v>45728</v>
      </c>
      <c r="AE140" s="61">
        <v>0.63368055555555558</v>
      </c>
      <c r="AF140" t="s">
        <v>796</v>
      </c>
      <c r="AH140" t="s">
        <v>1292</v>
      </c>
      <c r="AQ140">
        <v>1</v>
      </c>
    </row>
    <row r="141" spans="1:43" hidden="1" x14ac:dyDescent="0.25">
      <c r="A141" t="s">
        <v>31</v>
      </c>
      <c r="B141">
        <v>229</v>
      </c>
      <c r="C141">
        <v>81</v>
      </c>
      <c r="D141">
        <v>1732</v>
      </c>
      <c r="G141" t="s">
        <v>3668</v>
      </c>
      <c r="I141" t="s">
        <v>3248</v>
      </c>
      <c r="J141" t="s">
        <v>3562</v>
      </c>
      <c r="K141" t="s">
        <v>3670</v>
      </c>
      <c r="M141" t="s">
        <v>3250</v>
      </c>
      <c r="S141" t="s">
        <v>1266</v>
      </c>
      <c r="T141" t="s">
        <v>319</v>
      </c>
      <c r="U141" t="s">
        <v>3417</v>
      </c>
      <c r="W141">
        <v>16200</v>
      </c>
      <c r="X141">
        <v>2160</v>
      </c>
      <c r="Z141">
        <v>6</v>
      </c>
      <c r="AA141" s="31">
        <v>45695</v>
      </c>
      <c r="AB141" s="61">
        <v>0.62017361111111113</v>
      </c>
      <c r="AC141" t="s">
        <v>795</v>
      </c>
      <c r="AD141" s="31">
        <v>45701</v>
      </c>
      <c r="AE141" s="61">
        <v>0.48325231481481479</v>
      </c>
      <c r="AF141" t="s">
        <v>867</v>
      </c>
      <c r="AH141" t="s">
        <v>1292</v>
      </c>
      <c r="AI141" t="s">
        <v>1292</v>
      </c>
      <c r="AQ141">
        <v>1</v>
      </c>
    </row>
    <row r="142" spans="1:43" hidden="1" x14ac:dyDescent="0.25">
      <c r="A142" t="s">
        <v>31</v>
      </c>
      <c r="B142">
        <v>238</v>
      </c>
      <c r="C142">
        <v>96</v>
      </c>
      <c r="D142">
        <v>1761</v>
      </c>
      <c r="G142" t="s">
        <v>3671</v>
      </c>
      <c r="I142" t="s">
        <v>3291</v>
      </c>
      <c r="J142" t="s">
        <v>704</v>
      </c>
      <c r="K142" t="s">
        <v>3672</v>
      </c>
      <c r="M142" t="s">
        <v>3293</v>
      </c>
      <c r="S142" t="s">
        <v>1327</v>
      </c>
      <c r="T142" t="s">
        <v>319</v>
      </c>
      <c r="U142" t="s">
        <v>3417</v>
      </c>
      <c r="W142">
        <v>16200</v>
      </c>
      <c r="X142">
        <v>1404</v>
      </c>
      <c r="Z142">
        <v>7</v>
      </c>
      <c r="AA142" s="31">
        <v>45701</v>
      </c>
      <c r="AB142" s="61">
        <v>0.48359953703703712</v>
      </c>
      <c r="AC142" t="s">
        <v>795</v>
      </c>
      <c r="AD142" s="31">
        <v>45708</v>
      </c>
      <c r="AE142" s="61">
        <v>0.38273148148148151</v>
      </c>
      <c r="AF142" t="s">
        <v>867</v>
      </c>
      <c r="AH142" t="s">
        <v>3673</v>
      </c>
      <c r="AI142" t="s">
        <v>3673</v>
      </c>
      <c r="AQ142">
        <v>1</v>
      </c>
    </row>
    <row r="143" spans="1:43" hidden="1" x14ac:dyDescent="0.25">
      <c r="A143" t="s">
        <v>31</v>
      </c>
      <c r="B143">
        <v>239</v>
      </c>
      <c r="C143">
        <v>130</v>
      </c>
      <c r="D143">
        <v>1762</v>
      </c>
      <c r="G143" t="s">
        <v>3674</v>
      </c>
      <c r="I143" t="s">
        <v>141</v>
      </c>
      <c r="J143" t="s">
        <v>3675</v>
      </c>
      <c r="K143" t="s">
        <v>3676</v>
      </c>
      <c r="M143" t="s">
        <v>3368</v>
      </c>
      <c r="P143" t="s">
        <v>923</v>
      </c>
      <c r="Q143" t="s">
        <v>790</v>
      </c>
      <c r="S143" t="s">
        <v>1266</v>
      </c>
      <c r="T143" t="s">
        <v>319</v>
      </c>
      <c r="U143" t="s">
        <v>3417</v>
      </c>
      <c r="Z143">
        <v>20</v>
      </c>
      <c r="AA143" s="31">
        <v>45701</v>
      </c>
      <c r="AB143" s="61">
        <v>0.65766203703703707</v>
      </c>
      <c r="AC143" t="s">
        <v>795</v>
      </c>
      <c r="AD143" s="31">
        <v>45721</v>
      </c>
      <c r="AE143" s="61">
        <v>0.42332175925925919</v>
      </c>
      <c r="AF143" t="s">
        <v>796</v>
      </c>
      <c r="AH143" t="s">
        <v>3677</v>
      </c>
      <c r="AI143" t="s">
        <v>1286</v>
      </c>
      <c r="AQ143">
        <v>1</v>
      </c>
    </row>
    <row r="144" spans="1:43" hidden="1" x14ac:dyDescent="0.25">
      <c r="A144" t="s">
        <v>31</v>
      </c>
      <c r="B144">
        <v>240</v>
      </c>
      <c r="C144">
        <v>147</v>
      </c>
      <c r="D144">
        <v>1764</v>
      </c>
      <c r="G144" t="s">
        <v>3678</v>
      </c>
      <c r="H144">
        <v>7964558000136</v>
      </c>
      <c r="I144" t="s">
        <v>3430</v>
      </c>
      <c r="J144" t="s">
        <v>3679</v>
      </c>
      <c r="K144" t="s">
        <v>3515</v>
      </c>
      <c r="M144" t="s">
        <v>3433</v>
      </c>
      <c r="S144" t="s">
        <v>1266</v>
      </c>
      <c r="T144" t="s">
        <v>319</v>
      </c>
      <c r="U144" t="s">
        <v>781</v>
      </c>
      <c r="Z144">
        <v>20</v>
      </c>
      <c r="AA144" s="31">
        <v>45701</v>
      </c>
      <c r="AB144" s="61">
        <v>0.72121527777777783</v>
      </c>
      <c r="AC144" t="s">
        <v>795</v>
      </c>
      <c r="AD144" s="31">
        <v>45721</v>
      </c>
      <c r="AE144" s="61">
        <v>0.42427083333333332</v>
      </c>
      <c r="AF144" t="s">
        <v>796</v>
      </c>
      <c r="AH144" t="s">
        <v>3677</v>
      </c>
      <c r="AI144" t="s">
        <v>3677</v>
      </c>
      <c r="AQ144">
        <v>1</v>
      </c>
    </row>
    <row r="145" spans="1:43" hidden="1" x14ac:dyDescent="0.25">
      <c r="A145" t="s">
        <v>31</v>
      </c>
      <c r="B145">
        <v>241</v>
      </c>
      <c r="C145">
        <v>170</v>
      </c>
      <c r="D145">
        <v>1765</v>
      </c>
      <c r="G145" t="s">
        <v>3680</v>
      </c>
      <c r="H145">
        <v>4150555001304</v>
      </c>
      <c r="I145" t="s">
        <v>3477</v>
      </c>
      <c r="J145" t="s">
        <v>3478</v>
      </c>
      <c r="K145" t="s">
        <v>3569</v>
      </c>
      <c r="M145" t="s">
        <v>3480</v>
      </c>
      <c r="O145" t="s">
        <v>6444</v>
      </c>
      <c r="P145" t="s">
        <v>3482</v>
      </c>
      <c r="Q145" t="s">
        <v>1699</v>
      </c>
      <c r="S145" t="s">
        <v>1327</v>
      </c>
      <c r="T145" t="s">
        <v>319</v>
      </c>
      <c r="U145" t="s">
        <v>816</v>
      </c>
      <c r="W145">
        <v>838823</v>
      </c>
      <c r="X145">
        <v>0</v>
      </c>
      <c r="Z145">
        <v>42</v>
      </c>
      <c r="AA145" s="31">
        <v>45701</v>
      </c>
      <c r="AB145" s="61">
        <v>0.72212962962962968</v>
      </c>
      <c r="AC145" t="s">
        <v>818</v>
      </c>
      <c r="AD145" s="31">
        <v>45743</v>
      </c>
      <c r="AE145" s="61">
        <v>0.67868055555555551</v>
      </c>
      <c r="AQ145">
        <v>1</v>
      </c>
    </row>
    <row r="146" spans="1:43" hidden="1" x14ac:dyDescent="0.25">
      <c r="A146" t="s">
        <v>31</v>
      </c>
      <c r="B146">
        <v>243</v>
      </c>
      <c r="C146">
        <v>194</v>
      </c>
      <c r="D146">
        <v>1766</v>
      </c>
      <c r="G146" t="s">
        <v>3681</v>
      </c>
      <c r="H146">
        <v>44580314000186</v>
      </c>
      <c r="I146" t="s">
        <v>3682</v>
      </c>
      <c r="J146" t="s">
        <v>4411</v>
      </c>
      <c r="K146" t="s">
        <v>3684</v>
      </c>
      <c r="M146" t="s">
        <v>3685</v>
      </c>
      <c r="O146" t="s">
        <v>6469</v>
      </c>
      <c r="P146" t="s">
        <v>3687</v>
      </c>
      <c r="Q146" t="s">
        <v>790</v>
      </c>
      <c r="T146" t="s">
        <v>319</v>
      </c>
      <c r="U146" t="s">
        <v>816</v>
      </c>
      <c r="W146">
        <v>1440</v>
      </c>
      <c r="X146">
        <v>0</v>
      </c>
      <c r="Z146">
        <v>0</v>
      </c>
      <c r="AA146" s="31">
        <v>45702</v>
      </c>
      <c r="AB146" s="61">
        <v>0.36876157407407412</v>
      </c>
      <c r="AC146" t="s">
        <v>818</v>
      </c>
      <c r="AD146" s="31">
        <v>45702</v>
      </c>
      <c r="AE146" s="61">
        <v>0.40575231481481477</v>
      </c>
      <c r="AH146" t="s">
        <v>1359</v>
      </c>
      <c r="AI146" t="s">
        <v>1359</v>
      </c>
      <c r="AQ146">
        <v>1</v>
      </c>
    </row>
    <row r="147" spans="1:43" hidden="1" x14ac:dyDescent="0.25">
      <c r="A147" t="s">
        <v>31</v>
      </c>
      <c r="B147">
        <v>244</v>
      </c>
      <c r="C147">
        <v>149</v>
      </c>
      <c r="D147">
        <v>1767</v>
      </c>
      <c r="G147" t="s">
        <v>3645</v>
      </c>
      <c r="H147">
        <v>12418196000118</v>
      </c>
      <c r="I147" t="s">
        <v>3645</v>
      </c>
      <c r="J147" t="s">
        <v>3688</v>
      </c>
      <c r="K147" t="s">
        <v>3647</v>
      </c>
      <c r="M147" t="s">
        <v>3648</v>
      </c>
      <c r="S147" t="s">
        <v>1327</v>
      </c>
      <c r="T147" t="s">
        <v>319</v>
      </c>
      <c r="U147" t="s">
        <v>3417</v>
      </c>
      <c r="Z147">
        <v>0</v>
      </c>
      <c r="AA147" s="31">
        <v>45702</v>
      </c>
      <c r="AB147" s="61">
        <v>0.43881944444444437</v>
      </c>
      <c r="AC147" t="s">
        <v>795</v>
      </c>
      <c r="AD147" s="31">
        <v>45702</v>
      </c>
      <c r="AE147" s="61">
        <v>0.43979166666666669</v>
      </c>
      <c r="AF147" t="s">
        <v>796</v>
      </c>
      <c r="AI147" t="s">
        <v>1359</v>
      </c>
      <c r="AQ147">
        <v>1</v>
      </c>
    </row>
    <row r="148" spans="1:43" hidden="1" x14ac:dyDescent="0.25">
      <c r="A148" t="s">
        <v>31</v>
      </c>
      <c r="B148">
        <v>247</v>
      </c>
      <c r="C148">
        <v>190</v>
      </c>
      <c r="D148">
        <v>1769</v>
      </c>
      <c r="G148" t="s">
        <v>3689</v>
      </c>
      <c r="H148">
        <v>18203215000175</v>
      </c>
      <c r="I148" t="s">
        <v>3690</v>
      </c>
      <c r="J148" t="s">
        <v>3691</v>
      </c>
      <c r="K148" t="s">
        <v>3692</v>
      </c>
      <c r="M148" t="s">
        <v>3693</v>
      </c>
      <c r="O148" t="s">
        <v>6470</v>
      </c>
      <c r="P148" t="s">
        <v>3695</v>
      </c>
      <c r="Q148" t="s">
        <v>790</v>
      </c>
      <c r="S148" t="s">
        <v>1266</v>
      </c>
      <c r="T148" t="s">
        <v>319</v>
      </c>
      <c r="U148" t="s">
        <v>3409</v>
      </c>
      <c r="W148">
        <v>16200</v>
      </c>
      <c r="X148">
        <v>2160</v>
      </c>
      <c r="Z148">
        <v>25</v>
      </c>
      <c r="AA148" s="31">
        <v>45702</v>
      </c>
      <c r="AB148" s="61">
        <v>0.48204861111111108</v>
      </c>
      <c r="AC148" t="s">
        <v>795</v>
      </c>
      <c r="AD148" s="31">
        <v>45727</v>
      </c>
      <c r="AE148" s="61">
        <v>0.68393518518518515</v>
      </c>
      <c r="AF148" t="s">
        <v>796</v>
      </c>
      <c r="AH148" t="s">
        <v>1286</v>
      </c>
      <c r="AI148" t="s">
        <v>1286</v>
      </c>
      <c r="AQ148">
        <v>1</v>
      </c>
    </row>
    <row r="149" spans="1:43" hidden="1" x14ac:dyDescent="0.25">
      <c r="A149" t="s">
        <v>31</v>
      </c>
      <c r="B149">
        <v>251</v>
      </c>
      <c r="C149">
        <v>142</v>
      </c>
      <c r="D149">
        <v>1773</v>
      </c>
      <c r="G149" t="s">
        <v>3696</v>
      </c>
      <c r="I149" t="s">
        <v>3397</v>
      </c>
      <c r="J149" t="s">
        <v>3697</v>
      </c>
      <c r="K149" t="s">
        <v>3698</v>
      </c>
      <c r="M149" t="s">
        <v>3399</v>
      </c>
      <c r="P149" t="s">
        <v>3400</v>
      </c>
      <c r="Q149" t="s">
        <v>1699</v>
      </c>
      <c r="S149" t="s">
        <v>1266</v>
      </c>
      <c r="T149" t="s">
        <v>319</v>
      </c>
      <c r="U149" t="s">
        <v>3417</v>
      </c>
      <c r="W149">
        <v>16200</v>
      </c>
      <c r="X149">
        <v>2160</v>
      </c>
      <c r="Z149">
        <v>0</v>
      </c>
      <c r="AA149" s="31">
        <v>45702</v>
      </c>
      <c r="AB149" s="61">
        <v>0.70365740740740745</v>
      </c>
      <c r="AC149" t="s">
        <v>795</v>
      </c>
      <c r="AD149" s="31">
        <v>45702</v>
      </c>
      <c r="AE149" s="61">
        <v>0.70915509259259257</v>
      </c>
      <c r="AF149" t="s">
        <v>867</v>
      </c>
      <c r="AH149" t="s">
        <v>1359</v>
      </c>
      <c r="AI149" t="s">
        <v>1286</v>
      </c>
      <c r="AQ149">
        <v>1</v>
      </c>
    </row>
    <row r="150" spans="1:43" hidden="1" x14ac:dyDescent="0.25">
      <c r="A150" t="s">
        <v>31</v>
      </c>
      <c r="B150">
        <v>252</v>
      </c>
      <c r="C150">
        <v>147</v>
      </c>
      <c r="D150">
        <v>1774</v>
      </c>
      <c r="G150" t="s">
        <v>3699</v>
      </c>
      <c r="H150">
        <v>7964558000136</v>
      </c>
      <c r="I150" t="s">
        <v>3430</v>
      </c>
      <c r="J150" t="s">
        <v>1974</v>
      </c>
      <c r="K150" t="s">
        <v>3515</v>
      </c>
      <c r="M150" t="s">
        <v>3433</v>
      </c>
      <c r="S150" t="s">
        <v>1327</v>
      </c>
      <c r="T150" t="s">
        <v>319</v>
      </c>
      <c r="U150" t="s">
        <v>3417</v>
      </c>
      <c r="W150">
        <v>4212</v>
      </c>
      <c r="X150">
        <v>3564</v>
      </c>
      <c r="Z150">
        <v>4</v>
      </c>
      <c r="AA150" s="31">
        <v>45702</v>
      </c>
      <c r="AB150" s="61">
        <v>0.71611111111111114</v>
      </c>
      <c r="AC150" t="s">
        <v>795</v>
      </c>
      <c r="AD150" s="31">
        <v>45706</v>
      </c>
      <c r="AE150" s="61">
        <v>0.71895833333333337</v>
      </c>
      <c r="AF150" t="s">
        <v>796</v>
      </c>
      <c r="AI150" t="s">
        <v>1359</v>
      </c>
      <c r="AQ150">
        <v>1</v>
      </c>
    </row>
    <row r="151" spans="1:43" hidden="1" x14ac:dyDescent="0.25">
      <c r="A151" t="s">
        <v>31</v>
      </c>
      <c r="B151">
        <v>262</v>
      </c>
      <c r="C151">
        <v>137</v>
      </c>
      <c r="D151">
        <v>1787</v>
      </c>
      <c r="G151" t="s">
        <v>3701</v>
      </c>
      <c r="I151" t="s">
        <v>116</v>
      </c>
      <c r="J151" t="s">
        <v>3702</v>
      </c>
      <c r="K151" t="s">
        <v>3703</v>
      </c>
      <c r="M151" t="s">
        <v>3386</v>
      </c>
      <c r="T151" t="s">
        <v>319</v>
      </c>
      <c r="U151" t="s">
        <v>3417</v>
      </c>
      <c r="W151">
        <v>0</v>
      </c>
      <c r="X151">
        <v>46332</v>
      </c>
      <c r="Z151">
        <v>77</v>
      </c>
      <c r="AA151" s="31">
        <v>45705</v>
      </c>
      <c r="AB151" s="61">
        <v>0.62427083333333333</v>
      </c>
      <c r="AC151" t="s">
        <v>795</v>
      </c>
      <c r="AD151" s="31">
        <v>45782</v>
      </c>
      <c r="AE151" s="61">
        <v>0.66953703703703704</v>
      </c>
      <c r="AF151" t="s">
        <v>934</v>
      </c>
      <c r="AH151" t="s">
        <v>1378</v>
      </c>
      <c r="AI151" t="s">
        <v>1359</v>
      </c>
      <c r="AQ151">
        <v>1</v>
      </c>
    </row>
    <row r="152" spans="1:43" hidden="1" x14ac:dyDescent="0.25">
      <c r="A152" t="s">
        <v>31</v>
      </c>
      <c r="B152">
        <v>264</v>
      </c>
      <c r="C152">
        <v>170</v>
      </c>
      <c r="D152">
        <v>1791</v>
      </c>
      <c r="G152" t="s">
        <v>3704</v>
      </c>
      <c r="H152">
        <v>4150555001304</v>
      </c>
      <c r="I152" t="s">
        <v>3477</v>
      </c>
      <c r="J152" t="s">
        <v>3478</v>
      </c>
      <c r="K152" t="s">
        <v>3569</v>
      </c>
      <c r="M152" t="s">
        <v>3480</v>
      </c>
      <c r="O152" t="s">
        <v>6444</v>
      </c>
      <c r="P152" t="s">
        <v>3482</v>
      </c>
      <c r="Q152" t="s">
        <v>1699</v>
      </c>
      <c r="S152" t="s">
        <v>1266</v>
      </c>
      <c r="T152" t="s">
        <v>319</v>
      </c>
      <c r="U152" t="s">
        <v>781</v>
      </c>
      <c r="Z152">
        <v>55</v>
      </c>
      <c r="AA152" s="31">
        <v>45706</v>
      </c>
      <c r="AB152" s="61">
        <v>0.42887731481481478</v>
      </c>
      <c r="AC152" t="s">
        <v>795</v>
      </c>
      <c r="AD152" s="31">
        <v>45761</v>
      </c>
      <c r="AE152" s="61">
        <v>0.36827546296296299</v>
      </c>
      <c r="AF152" t="s">
        <v>796</v>
      </c>
      <c r="AI152" t="s">
        <v>3705</v>
      </c>
      <c r="AQ152">
        <v>1</v>
      </c>
    </row>
    <row r="153" spans="1:43" hidden="1" x14ac:dyDescent="0.25">
      <c r="A153" t="s">
        <v>31</v>
      </c>
      <c r="B153">
        <v>265</v>
      </c>
      <c r="C153">
        <v>103</v>
      </c>
      <c r="D153">
        <v>1864</v>
      </c>
      <c r="G153" t="s">
        <v>3706</v>
      </c>
      <c r="H153">
        <v>12549273000179</v>
      </c>
      <c r="I153" t="s">
        <v>3309</v>
      </c>
      <c r="J153" t="s">
        <v>3707</v>
      </c>
      <c r="M153" t="s">
        <v>3312</v>
      </c>
      <c r="O153" t="s">
        <v>6441</v>
      </c>
      <c r="P153" t="s">
        <v>1596</v>
      </c>
      <c r="Q153" t="s">
        <v>790</v>
      </c>
      <c r="T153" t="s">
        <v>319</v>
      </c>
      <c r="U153" t="s">
        <v>781</v>
      </c>
      <c r="Z153">
        <v>36</v>
      </c>
      <c r="AA153" s="31">
        <v>45707</v>
      </c>
      <c r="AB153" s="61">
        <v>0.41913194444444452</v>
      </c>
      <c r="AC153" t="s">
        <v>795</v>
      </c>
      <c r="AD153" s="31">
        <v>45743</v>
      </c>
      <c r="AE153" s="61">
        <v>0.6802083333333333</v>
      </c>
      <c r="AF153" t="s">
        <v>796</v>
      </c>
      <c r="AI153" t="s">
        <v>3708</v>
      </c>
      <c r="AQ153">
        <v>1</v>
      </c>
    </row>
    <row r="154" spans="1:43" hidden="1" x14ac:dyDescent="0.25">
      <c r="A154" t="s">
        <v>31</v>
      </c>
      <c r="B154">
        <v>269</v>
      </c>
      <c r="C154">
        <v>183</v>
      </c>
      <c r="D154">
        <v>1615</v>
      </c>
      <c r="G154" t="s">
        <v>3709</v>
      </c>
      <c r="H154">
        <v>3204281000192</v>
      </c>
      <c r="I154" t="s">
        <v>3594</v>
      </c>
      <c r="J154" t="s">
        <v>3595</v>
      </c>
      <c r="K154" t="s">
        <v>3596</v>
      </c>
      <c r="M154" t="s">
        <v>2617</v>
      </c>
      <c r="O154" t="s">
        <v>6459</v>
      </c>
      <c r="P154" t="s">
        <v>2618</v>
      </c>
      <c r="Q154" t="s">
        <v>790</v>
      </c>
      <c r="T154" t="s">
        <v>319</v>
      </c>
      <c r="U154" t="s">
        <v>816</v>
      </c>
      <c r="W154">
        <v>33696</v>
      </c>
      <c r="X154">
        <v>0</v>
      </c>
      <c r="Z154">
        <v>0</v>
      </c>
      <c r="AA154" s="31">
        <v>45708</v>
      </c>
      <c r="AB154" s="61">
        <v>0.46069444444444452</v>
      </c>
      <c r="AC154" t="s">
        <v>818</v>
      </c>
      <c r="AD154" s="31">
        <v>45708</v>
      </c>
      <c r="AE154" s="61">
        <v>0.46159722222222221</v>
      </c>
      <c r="AH154" t="s">
        <v>1453</v>
      </c>
      <c r="AQ154">
        <v>1</v>
      </c>
    </row>
    <row r="155" spans="1:43" hidden="1" x14ac:dyDescent="0.25">
      <c r="A155" t="s">
        <v>31</v>
      </c>
      <c r="B155">
        <v>271</v>
      </c>
      <c r="C155">
        <v>186</v>
      </c>
      <c r="D155">
        <v>1881</v>
      </c>
      <c r="G155" t="s">
        <v>3710</v>
      </c>
      <c r="H155">
        <v>10899939000193</v>
      </c>
      <c r="I155" t="s">
        <v>3625</v>
      </c>
      <c r="J155" t="s">
        <v>704</v>
      </c>
      <c r="K155" t="s">
        <v>3626</v>
      </c>
      <c r="M155" t="s">
        <v>3627</v>
      </c>
      <c r="O155" t="s">
        <v>6463</v>
      </c>
      <c r="P155" t="s">
        <v>3629</v>
      </c>
      <c r="Q155" t="s">
        <v>932</v>
      </c>
      <c r="T155" t="s">
        <v>319</v>
      </c>
      <c r="U155" t="s">
        <v>3417</v>
      </c>
      <c r="W155">
        <v>1600</v>
      </c>
      <c r="X155">
        <v>748029</v>
      </c>
      <c r="Z155">
        <v>105</v>
      </c>
      <c r="AA155" s="31">
        <v>45709</v>
      </c>
      <c r="AB155" s="61">
        <v>0.47337962962962971</v>
      </c>
      <c r="AC155" t="s">
        <v>795</v>
      </c>
      <c r="AD155" s="31">
        <v>45814</v>
      </c>
      <c r="AE155" s="61">
        <v>0.62725694444444446</v>
      </c>
      <c r="AF155" t="s">
        <v>934</v>
      </c>
      <c r="AH155" t="s">
        <v>1454</v>
      </c>
      <c r="AI155" t="s">
        <v>1454</v>
      </c>
      <c r="AQ155">
        <v>1</v>
      </c>
    </row>
    <row r="156" spans="1:43" hidden="1" x14ac:dyDescent="0.25">
      <c r="A156" t="s">
        <v>31</v>
      </c>
      <c r="B156">
        <v>274</v>
      </c>
      <c r="C156">
        <v>187</v>
      </c>
      <c r="D156">
        <v>1884</v>
      </c>
      <c r="G156" t="s">
        <v>3711</v>
      </c>
      <c r="H156">
        <v>17063632000105</v>
      </c>
      <c r="I156" t="s">
        <v>3631</v>
      </c>
      <c r="J156" t="s">
        <v>3712</v>
      </c>
      <c r="K156" t="s">
        <v>3713</v>
      </c>
      <c r="M156" t="s">
        <v>3634</v>
      </c>
      <c r="O156" t="s">
        <v>6464</v>
      </c>
      <c r="P156" t="s">
        <v>3636</v>
      </c>
      <c r="Q156" t="s">
        <v>1699</v>
      </c>
      <c r="T156" t="s">
        <v>319</v>
      </c>
      <c r="U156" t="s">
        <v>781</v>
      </c>
      <c r="Z156">
        <v>0</v>
      </c>
      <c r="AA156" s="31">
        <v>45713</v>
      </c>
      <c r="AB156" s="61">
        <v>0.46167824074074082</v>
      </c>
      <c r="AC156" t="s">
        <v>795</v>
      </c>
      <c r="AD156" s="31">
        <v>45713</v>
      </c>
      <c r="AE156" s="61">
        <v>0.49975694444444452</v>
      </c>
      <c r="AF156" t="s">
        <v>934</v>
      </c>
      <c r="AQ156">
        <v>1</v>
      </c>
    </row>
    <row r="157" spans="1:43" hidden="1" x14ac:dyDescent="0.25">
      <c r="A157" t="s">
        <v>31</v>
      </c>
      <c r="B157">
        <v>275</v>
      </c>
      <c r="C157">
        <v>196</v>
      </c>
      <c r="D157">
        <v>1885</v>
      </c>
      <c r="G157" t="s">
        <v>3714</v>
      </c>
      <c r="H157">
        <v>32494222000102</v>
      </c>
      <c r="I157" t="s">
        <v>3715</v>
      </c>
      <c r="J157" t="s">
        <v>3716</v>
      </c>
      <c r="K157" t="s">
        <v>3717</v>
      </c>
      <c r="M157" t="s">
        <v>3718</v>
      </c>
      <c r="O157" t="s">
        <v>6471</v>
      </c>
      <c r="P157" t="s">
        <v>3720</v>
      </c>
      <c r="Q157" t="s">
        <v>790</v>
      </c>
      <c r="T157" t="s">
        <v>319</v>
      </c>
      <c r="U157" t="s">
        <v>816</v>
      </c>
      <c r="W157">
        <v>2100</v>
      </c>
      <c r="X157">
        <v>0</v>
      </c>
      <c r="Z157">
        <v>57</v>
      </c>
      <c r="AA157" s="31">
        <v>45713</v>
      </c>
      <c r="AB157" s="61">
        <v>0.63856481481481486</v>
      </c>
      <c r="AC157" t="s">
        <v>818</v>
      </c>
      <c r="AD157" s="31">
        <v>45770</v>
      </c>
      <c r="AE157" s="61">
        <v>0.38543981481481482</v>
      </c>
      <c r="AH157" t="s">
        <v>1583</v>
      </c>
      <c r="AI157" t="s">
        <v>1619</v>
      </c>
      <c r="AQ157">
        <v>1</v>
      </c>
    </row>
    <row r="158" spans="1:43" hidden="1" x14ac:dyDescent="0.25">
      <c r="A158" t="s">
        <v>31</v>
      </c>
      <c r="B158">
        <v>276</v>
      </c>
      <c r="C158">
        <v>118</v>
      </c>
      <c r="D158">
        <v>1886</v>
      </c>
      <c r="G158" t="s">
        <v>3721</v>
      </c>
      <c r="I158" t="s">
        <v>686</v>
      </c>
      <c r="J158" t="s">
        <v>3722</v>
      </c>
      <c r="K158" t="s">
        <v>3609</v>
      </c>
      <c r="M158" t="s">
        <v>3343</v>
      </c>
      <c r="T158" t="s">
        <v>319</v>
      </c>
      <c r="U158" t="s">
        <v>3417</v>
      </c>
      <c r="W158">
        <v>3360</v>
      </c>
      <c r="X158">
        <v>3564</v>
      </c>
      <c r="Z158">
        <v>57</v>
      </c>
      <c r="AA158" s="31">
        <v>45713</v>
      </c>
      <c r="AB158" s="61">
        <v>0.65831018518518514</v>
      </c>
      <c r="AC158" t="s">
        <v>795</v>
      </c>
      <c r="AD158" s="31">
        <v>45770</v>
      </c>
      <c r="AE158" s="61">
        <v>0.41612268518518519</v>
      </c>
      <c r="AF158" t="s">
        <v>796</v>
      </c>
      <c r="AH158" t="s">
        <v>3723</v>
      </c>
      <c r="AI158" t="s">
        <v>3724</v>
      </c>
      <c r="AQ158">
        <v>1</v>
      </c>
    </row>
    <row r="159" spans="1:43" hidden="1" x14ac:dyDescent="0.25">
      <c r="A159" t="s">
        <v>31</v>
      </c>
      <c r="B159">
        <v>278</v>
      </c>
      <c r="C159">
        <v>197</v>
      </c>
      <c r="D159">
        <v>1888</v>
      </c>
      <c r="G159" t="s">
        <v>3725</v>
      </c>
      <c r="H159">
        <v>8616236000169</v>
      </c>
      <c r="I159" t="s">
        <v>3726</v>
      </c>
      <c r="J159" t="s">
        <v>704</v>
      </c>
      <c r="K159" t="s">
        <v>3727</v>
      </c>
      <c r="M159" t="s">
        <v>3728</v>
      </c>
      <c r="O159" t="s">
        <v>6472</v>
      </c>
      <c r="P159" t="s">
        <v>3687</v>
      </c>
      <c r="Q159" t="s">
        <v>790</v>
      </c>
      <c r="T159" t="s">
        <v>319</v>
      </c>
      <c r="U159" t="s">
        <v>3417</v>
      </c>
      <c r="W159">
        <v>1600</v>
      </c>
      <c r="X159">
        <v>867233</v>
      </c>
      <c r="Z159">
        <v>97</v>
      </c>
      <c r="AA159" s="31">
        <v>45714</v>
      </c>
      <c r="AB159" s="61">
        <v>0.51196759259259261</v>
      </c>
      <c r="AC159" t="s">
        <v>795</v>
      </c>
      <c r="AD159" s="31">
        <v>45811</v>
      </c>
      <c r="AE159" s="61">
        <v>0.64706018518518515</v>
      </c>
      <c r="AF159" t="s">
        <v>796</v>
      </c>
      <c r="AH159" t="s">
        <v>1455</v>
      </c>
      <c r="AI159" t="s">
        <v>1455</v>
      </c>
      <c r="AQ159">
        <v>1</v>
      </c>
    </row>
    <row r="160" spans="1:43" hidden="1" x14ac:dyDescent="0.25">
      <c r="A160" t="s">
        <v>31</v>
      </c>
      <c r="B160">
        <v>280</v>
      </c>
      <c r="C160">
        <v>183</v>
      </c>
      <c r="D160">
        <v>1891</v>
      </c>
      <c r="G160" t="s">
        <v>3730</v>
      </c>
      <c r="H160">
        <v>3204281000192</v>
      </c>
      <c r="I160" t="s">
        <v>3594</v>
      </c>
      <c r="J160" t="s">
        <v>3731</v>
      </c>
      <c r="K160" t="s">
        <v>3596</v>
      </c>
      <c r="M160" t="s">
        <v>2617</v>
      </c>
      <c r="O160" t="s">
        <v>6459</v>
      </c>
      <c r="P160" t="s">
        <v>2618</v>
      </c>
      <c r="Q160" t="s">
        <v>790</v>
      </c>
      <c r="T160" t="s">
        <v>319</v>
      </c>
      <c r="U160" t="s">
        <v>816</v>
      </c>
      <c r="W160">
        <v>23166</v>
      </c>
      <c r="X160">
        <v>0</v>
      </c>
      <c r="Z160">
        <v>6</v>
      </c>
      <c r="AA160" s="31">
        <v>45715</v>
      </c>
      <c r="AB160" s="61">
        <v>0.70269675925925923</v>
      </c>
      <c r="AC160" t="s">
        <v>818</v>
      </c>
      <c r="AD160" s="31">
        <v>45721</v>
      </c>
      <c r="AE160" s="61">
        <v>0.4221064814814815</v>
      </c>
      <c r="AH160" t="s">
        <v>3732</v>
      </c>
      <c r="AQ160">
        <v>1</v>
      </c>
    </row>
    <row r="161" spans="1:43" hidden="1" x14ac:dyDescent="0.25">
      <c r="A161" t="s">
        <v>31</v>
      </c>
      <c r="B161">
        <v>285</v>
      </c>
      <c r="C161">
        <v>191</v>
      </c>
      <c r="D161">
        <v>1899</v>
      </c>
      <c r="G161" t="s">
        <v>3733</v>
      </c>
      <c r="H161">
        <v>18628799000120</v>
      </c>
      <c r="I161" t="s">
        <v>3734</v>
      </c>
      <c r="J161" t="s">
        <v>3735</v>
      </c>
      <c r="K161" t="s">
        <v>2216</v>
      </c>
      <c r="M161" t="s">
        <v>2217</v>
      </c>
      <c r="O161" t="s">
        <v>6473</v>
      </c>
      <c r="P161" t="s">
        <v>1094</v>
      </c>
      <c r="Q161" t="s">
        <v>790</v>
      </c>
      <c r="T161" t="s">
        <v>319</v>
      </c>
      <c r="U161" t="s">
        <v>3417</v>
      </c>
      <c r="W161">
        <v>21384</v>
      </c>
      <c r="X161">
        <v>28512</v>
      </c>
      <c r="Z161">
        <v>60</v>
      </c>
      <c r="AA161" s="31">
        <v>45723</v>
      </c>
      <c r="AB161" s="61">
        <v>0.41721064814814812</v>
      </c>
      <c r="AC161" t="s">
        <v>795</v>
      </c>
      <c r="AD161" s="31">
        <v>45783</v>
      </c>
      <c r="AE161" s="61">
        <v>0.50687499999999996</v>
      </c>
      <c r="AF161" t="s">
        <v>934</v>
      </c>
      <c r="AH161" t="s">
        <v>3737</v>
      </c>
      <c r="AI161" t="s">
        <v>3738</v>
      </c>
      <c r="AQ161">
        <v>1</v>
      </c>
    </row>
    <row r="162" spans="1:43" hidden="1" x14ac:dyDescent="0.25">
      <c r="A162" t="s">
        <v>31</v>
      </c>
      <c r="B162">
        <v>288</v>
      </c>
      <c r="C162">
        <v>194</v>
      </c>
      <c r="D162">
        <v>1766</v>
      </c>
      <c r="G162" t="s">
        <v>3739</v>
      </c>
      <c r="H162">
        <v>44580314000186</v>
      </c>
      <c r="I162" t="s">
        <v>3682</v>
      </c>
      <c r="J162" t="s">
        <v>4411</v>
      </c>
      <c r="K162" t="s">
        <v>3684</v>
      </c>
      <c r="M162" t="s">
        <v>3685</v>
      </c>
      <c r="O162" t="s">
        <v>6469</v>
      </c>
      <c r="P162" t="s">
        <v>3687</v>
      </c>
      <c r="Q162" t="s">
        <v>790</v>
      </c>
      <c r="T162" t="s">
        <v>319</v>
      </c>
      <c r="U162" t="s">
        <v>816</v>
      </c>
      <c r="W162">
        <v>9720</v>
      </c>
      <c r="X162">
        <v>0</v>
      </c>
      <c r="Z162">
        <v>0</v>
      </c>
      <c r="AA162" s="31">
        <v>45728</v>
      </c>
      <c r="AB162" s="61">
        <v>0.40008101851851852</v>
      </c>
      <c r="AC162" t="s">
        <v>818</v>
      </c>
      <c r="AD162" s="31">
        <v>45728</v>
      </c>
      <c r="AE162" s="61">
        <v>0.40126157407407409</v>
      </c>
      <c r="AH162" t="s">
        <v>3740</v>
      </c>
      <c r="AQ162">
        <v>1</v>
      </c>
    </row>
    <row r="163" spans="1:43" hidden="1" x14ac:dyDescent="0.25">
      <c r="A163" t="s">
        <v>31</v>
      </c>
      <c r="B163">
        <v>289</v>
      </c>
      <c r="C163">
        <v>169</v>
      </c>
      <c r="D163">
        <v>1903</v>
      </c>
      <c r="G163" t="s">
        <v>3741</v>
      </c>
      <c r="H163">
        <v>11458315000101</v>
      </c>
      <c r="I163" t="s">
        <v>3465</v>
      </c>
      <c r="J163" t="s">
        <v>6474</v>
      </c>
      <c r="K163" t="s">
        <v>3467</v>
      </c>
      <c r="M163" t="s">
        <v>3468</v>
      </c>
      <c r="O163" t="s">
        <v>6442</v>
      </c>
      <c r="P163" t="s">
        <v>3470</v>
      </c>
      <c r="Q163" t="s">
        <v>790</v>
      </c>
      <c r="T163" t="s">
        <v>319</v>
      </c>
      <c r="U163" t="s">
        <v>3417</v>
      </c>
      <c r="W163">
        <v>4015</v>
      </c>
      <c r="X163">
        <v>0</v>
      </c>
      <c r="Z163">
        <v>5</v>
      </c>
      <c r="AA163" s="31">
        <v>45728</v>
      </c>
      <c r="AB163" s="61">
        <v>0.64027777777777772</v>
      </c>
      <c r="AC163" t="s">
        <v>795</v>
      </c>
      <c r="AD163" s="31">
        <v>45733</v>
      </c>
      <c r="AE163" s="61">
        <v>0.48651620370370369</v>
      </c>
      <c r="AF163" t="s">
        <v>867</v>
      </c>
      <c r="AH163" t="s">
        <v>3740</v>
      </c>
      <c r="AQ163">
        <v>1</v>
      </c>
    </row>
    <row r="164" spans="1:43" hidden="1" x14ac:dyDescent="0.25">
      <c r="A164" t="s">
        <v>31</v>
      </c>
      <c r="B164">
        <v>290</v>
      </c>
      <c r="C164">
        <v>187</v>
      </c>
      <c r="D164">
        <v>1884</v>
      </c>
      <c r="G164" t="s">
        <v>3743</v>
      </c>
      <c r="H164">
        <v>17063632000105</v>
      </c>
      <c r="I164" t="s">
        <v>3631</v>
      </c>
      <c r="J164" t="s">
        <v>3712</v>
      </c>
      <c r="K164" t="s">
        <v>3713</v>
      </c>
      <c r="M164" t="s">
        <v>3634</v>
      </c>
      <c r="O164" t="s">
        <v>6464</v>
      </c>
      <c r="P164" t="s">
        <v>3636</v>
      </c>
      <c r="Q164" t="s">
        <v>1699</v>
      </c>
      <c r="T164" t="s">
        <v>319</v>
      </c>
      <c r="U164" t="s">
        <v>816</v>
      </c>
      <c r="W164">
        <v>16800</v>
      </c>
      <c r="X164">
        <v>0</v>
      </c>
      <c r="Z164">
        <v>75</v>
      </c>
      <c r="AA164" s="31">
        <v>45728</v>
      </c>
      <c r="AB164" s="61">
        <v>0.72614583333333338</v>
      </c>
      <c r="AC164" t="s">
        <v>795</v>
      </c>
      <c r="AD164" s="31">
        <v>45803</v>
      </c>
      <c r="AE164" s="61">
        <v>0.80439814814814814</v>
      </c>
      <c r="AF164" t="s">
        <v>796</v>
      </c>
      <c r="AH164" t="s">
        <v>3740</v>
      </c>
      <c r="AI164" t="s">
        <v>1364</v>
      </c>
      <c r="AQ164">
        <v>1</v>
      </c>
    </row>
    <row r="165" spans="1:43" hidden="1" x14ac:dyDescent="0.25">
      <c r="A165" t="s">
        <v>31</v>
      </c>
      <c r="B165">
        <v>292</v>
      </c>
      <c r="C165">
        <v>198</v>
      </c>
      <c r="D165">
        <v>1905</v>
      </c>
      <c r="G165" t="s">
        <v>3744</v>
      </c>
      <c r="H165">
        <v>6014742000152</v>
      </c>
      <c r="I165" t="s">
        <v>3745</v>
      </c>
      <c r="J165" t="s">
        <v>1974</v>
      </c>
      <c r="K165" t="s">
        <v>3746</v>
      </c>
      <c r="M165" t="s">
        <v>3747</v>
      </c>
      <c r="O165" t="s">
        <v>6475</v>
      </c>
      <c r="P165" t="s">
        <v>1837</v>
      </c>
      <c r="Q165" t="s">
        <v>790</v>
      </c>
      <c r="T165" t="s">
        <v>319</v>
      </c>
      <c r="U165" t="s">
        <v>3417</v>
      </c>
      <c r="W165">
        <v>28512</v>
      </c>
      <c r="X165">
        <v>32076</v>
      </c>
      <c r="Z165">
        <v>6</v>
      </c>
      <c r="AA165" s="31">
        <v>45730</v>
      </c>
      <c r="AB165" s="61">
        <v>0.62114583333333329</v>
      </c>
      <c r="AC165" t="s">
        <v>795</v>
      </c>
      <c r="AD165" s="31">
        <v>45736</v>
      </c>
      <c r="AE165" s="61">
        <v>0.43630787037037039</v>
      </c>
      <c r="AF165" t="s">
        <v>796</v>
      </c>
      <c r="AH165" t="s">
        <v>3737</v>
      </c>
      <c r="AQ165">
        <v>1</v>
      </c>
    </row>
    <row r="166" spans="1:43" hidden="1" x14ac:dyDescent="0.25">
      <c r="A166" t="s">
        <v>31</v>
      </c>
      <c r="B166">
        <v>296</v>
      </c>
      <c r="C166">
        <v>199</v>
      </c>
      <c r="D166">
        <v>1910</v>
      </c>
      <c r="G166" t="s">
        <v>3749</v>
      </c>
      <c r="H166">
        <v>50963243000101</v>
      </c>
      <c r="I166" t="s">
        <v>3750</v>
      </c>
      <c r="J166" t="s">
        <v>3751</v>
      </c>
      <c r="K166" t="s">
        <v>3752</v>
      </c>
      <c r="M166" t="s">
        <v>3753</v>
      </c>
      <c r="O166" t="s">
        <v>6476</v>
      </c>
      <c r="P166" t="s">
        <v>1094</v>
      </c>
      <c r="Q166" t="s">
        <v>790</v>
      </c>
      <c r="T166" t="s">
        <v>319</v>
      </c>
      <c r="U166" t="s">
        <v>816</v>
      </c>
      <c r="W166">
        <v>756</v>
      </c>
      <c r="X166">
        <v>0</v>
      </c>
      <c r="Z166">
        <v>0</v>
      </c>
      <c r="AA166" s="31">
        <v>45733</v>
      </c>
      <c r="AB166" s="61">
        <v>0.66232638888888884</v>
      </c>
      <c r="AC166" t="s">
        <v>818</v>
      </c>
      <c r="AD166" s="31">
        <v>45733</v>
      </c>
      <c r="AE166" s="61">
        <v>0.71744212962962961</v>
      </c>
      <c r="AH166" t="s">
        <v>1503</v>
      </c>
      <c r="AI166" t="s">
        <v>1503</v>
      </c>
      <c r="AQ166">
        <v>1</v>
      </c>
    </row>
    <row r="167" spans="1:43" hidden="1" x14ac:dyDescent="0.25">
      <c r="A167" t="s">
        <v>31</v>
      </c>
      <c r="B167">
        <v>297</v>
      </c>
      <c r="C167">
        <v>110</v>
      </c>
      <c r="D167">
        <v>1912</v>
      </c>
      <c r="G167" t="s">
        <v>3755</v>
      </c>
      <c r="I167" t="s">
        <v>629</v>
      </c>
      <c r="J167" t="s">
        <v>1239</v>
      </c>
      <c r="K167" t="s">
        <v>3756</v>
      </c>
      <c r="M167" t="s">
        <v>3325</v>
      </c>
      <c r="T167" t="s">
        <v>319</v>
      </c>
      <c r="U167" t="s">
        <v>816</v>
      </c>
      <c r="W167">
        <v>294415</v>
      </c>
      <c r="X167">
        <v>0</v>
      </c>
      <c r="Z167">
        <v>2</v>
      </c>
      <c r="AA167" s="31">
        <v>45734</v>
      </c>
      <c r="AB167" s="61">
        <v>0.40950231481481481</v>
      </c>
      <c r="AC167" t="s">
        <v>818</v>
      </c>
      <c r="AD167" s="31">
        <v>45736</v>
      </c>
      <c r="AE167" s="61">
        <v>0.65533564814814815</v>
      </c>
      <c r="AH167" t="s">
        <v>3757</v>
      </c>
      <c r="AQ167">
        <v>1</v>
      </c>
    </row>
    <row r="168" spans="1:43" hidden="1" x14ac:dyDescent="0.25">
      <c r="A168" t="s">
        <v>31</v>
      </c>
      <c r="B168">
        <v>299</v>
      </c>
      <c r="C168">
        <v>187</v>
      </c>
      <c r="D168">
        <v>1914</v>
      </c>
      <c r="G168" t="s">
        <v>3758</v>
      </c>
      <c r="H168">
        <v>17063632000105</v>
      </c>
      <c r="I168" t="s">
        <v>3631</v>
      </c>
      <c r="J168" t="s">
        <v>3759</v>
      </c>
      <c r="K168" t="s">
        <v>3633</v>
      </c>
      <c r="M168" t="s">
        <v>3634</v>
      </c>
      <c r="O168" t="s">
        <v>6464</v>
      </c>
      <c r="P168" t="s">
        <v>3636</v>
      </c>
      <c r="Q168" t="s">
        <v>1699</v>
      </c>
      <c r="T168" t="s">
        <v>319</v>
      </c>
      <c r="U168" t="s">
        <v>3417</v>
      </c>
      <c r="W168">
        <v>630</v>
      </c>
      <c r="X168">
        <v>7128</v>
      </c>
      <c r="Z168">
        <v>16</v>
      </c>
      <c r="AA168" s="31">
        <v>45735</v>
      </c>
      <c r="AB168" s="61">
        <v>0.45504629629629628</v>
      </c>
      <c r="AC168" t="s">
        <v>795</v>
      </c>
      <c r="AD168" s="31">
        <v>45751</v>
      </c>
      <c r="AE168" s="61">
        <v>0.44026620370370367</v>
      </c>
      <c r="AF168" t="s">
        <v>867</v>
      </c>
      <c r="AH168" t="s">
        <v>3760</v>
      </c>
      <c r="AI168" t="s">
        <v>1503</v>
      </c>
      <c r="AQ168">
        <v>1</v>
      </c>
    </row>
    <row r="169" spans="1:43" hidden="1" x14ac:dyDescent="0.25">
      <c r="A169" t="s">
        <v>31</v>
      </c>
      <c r="B169">
        <v>300</v>
      </c>
      <c r="C169">
        <v>171</v>
      </c>
      <c r="D169">
        <v>1915</v>
      </c>
      <c r="G169" t="s">
        <v>3761</v>
      </c>
      <c r="H169">
        <v>39955762000187</v>
      </c>
      <c r="I169" t="s">
        <v>3484</v>
      </c>
      <c r="J169" t="s">
        <v>3664</v>
      </c>
      <c r="K169" t="s">
        <v>3665</v>
      </c>
      <c r="M169" t="s">
        <v>3487</v>
      </c>
      <c r="O169" t="s">
        <v>6445</v>
      </c>
      <c r="P169" t="s">
        <v>1094</v>
      </c>
      <c r="Q169" t="s">
        <v>790</v>
      </c>
      <c r="T169" t="s">
        <v>319</v>
      </c>
      <c r="U169" t="s">
        <v>816</v>
      </c>
      <c r="W169">
        <v>491408</v>
      </c>
      <c r="X169">
        <v>0</v>
      </c>
      <c r="Z169">
        <v>1</v>
      </c>
      <c r="AA169" s="31">
        <v>45735</v>
      </c>
      <c r="AB169" s="61">
        <v>0.62850694444444444</v>
      </c>
      <c r="AC169" t="s">
        <v>818</v>
      </c>
      <c r="AD169" s="31">
        <v>45736</v>
      </c>
      <c r="AE169" s="61">
        <v>0.6549652777777778</v>
      </c>
      <c r="AH169" t="s">
        <v>3760</v>
      </c>
      <c r="AQ169">
        <v>1</v>
      </c>
    </row>
    <row r="170" spans="1:43" hidden="1" x14ac:dyDescent="0.25">
      <c r="A170" t="s">
        <v>31</v>
      </c>
      <c r="B170">
        <v>302</v>
      </c>
      <c r="C170">
        <v>200</v>
      </c>
      <c r="D170">
        <v>1918</v>
      </c>
      <c r="G170" t="s">
        <v>3762</v>
      </c>
      <c r="H170">
        <v>8933028000193</v>
      </c>
      <c r="I170" t="s">
        <v>3763</v>
      </c>
      <c r="J170" t="s">
        <v>3764</v>
      </c>
      <c r="K170" t="s">
        <v>3765</v>
      </c>
      <c r="O170" t="s">
        <v>6477</v>
      </c>
      <c r="P170" t="s">
        <v>3767</v>
      </c>
      <c r="Q170" t="s">
        <v>1699</v>
      </c>
      <c r="T170" t="s">
        <v>319</v>
      </c>
      <c r="U170" t="s">
        <v>3417</v>
      </c>
      <c r="W170">
        <v>4212</v>
      </c>
      <c r="X170">
        <v>3564</v>
      </c>
      <c r="Z170">
        <v>5</v>
      </c>
      <c r="AA170" s="31">
        <v>45737</v>
      </c>
      <c r="AB170" s="61">
        <v>0.70013888888888887</v>
      </c>
      <c r="AC170" t="s">
        <v>795</v>
      </c>
      <c r="AD170" s="31">
        <v>45742</v>
      </c>
      <c r="AE170" s="61">
        <v>0.69468750000000001</v>
      </c>
      <c r="AF170" t="s">
        <v>796</v>
      </c>
      <c r="AH170" t="s">
        <v>3768</v>
      </c>
      <c r="AQ170">
        <v>1</v>
      </c>
    </row>
    <row r="171" spans="1:43" hidden="1" x14ac:dyDescent="0.25">
      <c r="A171" t="s">
        <v>31</v>
      </c>
      <c r="B171">
        <v>306</v>
      </c>
      <c r="C171">
        <v>201</v>
      </c>
      <c r="D171">
        <v>1925</v>
      </c>
      <c r="G171" t="s">
        <v>3769</v>
      </c>
      <c r="H171">
        <v>5291214000188</v>
      </c>
      <c r="I171" t="s">
        <v>3770</v>
      </c>
      <c r="J171" t="s">
        <v>1540</v>
      </c>
      <c r="K171" t="s">
        <v>3771</v>
      </c>
      <c r="M171" t="s">
        <v>3772</v>
      </c>
      <c r="O171" t="s">
        <v>6478</v>
      </c>
      <c r="P171" t="s">
        <v>3774</v>
      </c>
      <c r="Q171" t="s">
        <v>1105</v>
      </c>
      <c r="T171" t="s">
        <v>319</v>
      </c>
      <c r="U171" t="s">
        <v>816</v>
      </c>
      <c r="W171">
        <v>415052</v>
      </c>
      <c r="X171">
        <v>30294</v>
      </c>
      <c r="Z171">
        <v>121</v>
      </c>
      <c r="AA171" s="31">
        <v>45742</v>
      </c>
      <c r="AB171" s="61">
        <v>0.65071759259259254</v>
      </c>
      <c r="AC171" t="s">
        <v>818</v>
      </c>
      <c r="AD171" s="31">
        <v>45751</v>
      </c>
      <c r="AE171" s="61">
        <v>0.44199074074074068</v>
      </c>
      <c r="AG171">
        <v>0</v>
      </c>
      <c r="AH171" t="s">
        <v>1885</v>
      </c>
      <c r="AI171" t="s">
        <v>1885</v>
      </c>
      <c r="AQ171">
        <v>1</v>
      </c>
    </row>
    <row r="172" spans="1:43" hidden="1" x14ac:dyDescent="0.25">
      <c r="A172" t="s">
        <v>31</v>
      </c>
      <c r="B172">
        <v>307</v>
      </c>
      <c r="C172">
        <v>113</v>
      </c>
      <c r="D172">
        <v>1926</v>
      </c>
      <c r="G172" t="s">
        <v>3775</v>
      </c>
      <c r="I172" t="s">
        <v>65</v>
      </c>
      <c r="J172" t="s">
        <v>1252</v>
      </c>
      <c r="K172" t="s">
        <v>3472</v>
      </c>
      <c r="M172" t="s">
        <v>3329</v>
      </c>
      <c r="T172" t="s">
        <v>319</v>
      </c>
      <c r="U172" t="s">
        <v>3417</v>
      </c>
      <c r="W172">
        <v>1600</v>
      </c>
      <c r="X172">
        <v>1122183</v>
      </c>
      <c r="Z172">
        <v>69</v>
      </c>
      <c r="AA172" s="31">
        <v>45742</v>
      </c>
      <c r="AB172" s="61">
        <v>0.65554398148148152</v>
      </c>
      <c r="AC172" t="s">
        <v>795</v>
      </c>
      <c r="AD172" s="31">
        <v>45811</v>
      </c>
      <c r="AE172" s="61">
        <v>0.65164351851851854</v>
      </c>
      <c r="AF172" t="s">
        <v>796</v>
      </c>
      <c r="AH172" t="s">
        <v>3776</v>
      </c>
      <c r="AQ172">
        <v>1</v>
      </c>
    </row>
    <row r="173" spans="1:43" hidden="1" x14ac:dyDescent="0.25">
      <c r="A173" t="s">
        <v>31</v>
      </c>
      <c r="B173">
        <v>308</v>
      </c>
      <c r="C173">
        <v>202</v>
      </c>
      <c r="D173">
        <v>1927</v>
      </c>
      <c r="G173" t="s">
        <v>3777</v>
      </c>
      <c r="H173">
        <v>16939440000149</v>
      </c>
      <c r="I173" t="s">
        <v>3778</v>
      </c>
      <c r="J173" t="s">
        <v>707</v>
      </c>
      <c r="K173" t="s">
        <v>3779</v>
      </c>
      <c r="M173" t="s">
        <v>3780</v>
      </c>
      <c r="O173" t="s">
        <v>6479</v>
      </c>
      <c r="P173" t="s">
        <v>3782</v>
      </c>
      <c r="Q173" t="s">
        <v>790</v>
      </c>
      <c r="T173" t="s">
        <v>319</v>
      </c>
      <c r="U173" t="s">
        <v>816</v>
      </c>
      <c r="W173">
        <v>299691</v>
      </c>
      <c r="X173">
        <v>0</v>
      </c>
      <c r="Z173">
        <v>2</v>
      </c>
      <c r="AA173" s="31">
        <v>45742</v>
      </c>
      <c r="AB173" s="61">
        <v>0.69520833333333332</v>
      </c>
      <c r="AC173" t="s">
        <v>818</v>
      </c>
      <c r="AD173" s="31">
        <v>45744</v>
      </c>
      <c r="AE173" s="61">
        <v>0.61129629629629634</v>
      </c>
      <c r="AH173" t="s">
        <v>3776</v>
      </c>
      <c r="AQ173">
        <v>1</v>
      </c>
    </row>
    <row r="174" spans="1:43" hidden="1" x14ac:dyDescent="0.25">
      <c r="A174" t="s">
        <v>31</v>
      </c>
      <c r="B174">
        <v>309</v>
      </c>
      <c r="C174">
        <v>115</v>
      </c>
      <c r="D174">
        <v>1928</v>
      </c>
      <c r="G174" t="s">
        <v>3783</v>
      </c>
      <c r="I174" t="s">
        <v>3333</v>
      </c>
      <c r="J174" t="s">
        <v>1474</v>
      </c>
      <c r="K174" t="s">
        <v>3526</v>
      </c>
      <c r="M174" t="s">
        <v>3334</v>
      </c>
      <c r="T174" t="s">
        <v>319</v>
      </c>
      <c r="U174" t="s">
        <v>3417</v>
      </c>
      <c r="Z174">
        <v>40</v>
      </c>
      <c r="AA174" s="31">
        <v>45742</v>
      </c>
      <c r="AB174" s="61">
        <v>0.7003935185185185</v>
      </c>
      <c r="AC174" t="s">
        <v>795</v>
      </c>
      <c r="AD174" s="31">
        <v>45782</v>
      </c>
      <c r="AE174" s="61">
        <v>0.66651620370370368</v>
      </c>
      <c r="AF174" t="s">
        <v>934</v>
      </c>
      <c r="AH174" t="s">
        <v>3724</v>
      </c>
      <c r="AQ174">
        <v>1</v>
      </c>
    </row>
    <row r="175" spans="1:43" hidden="1" x14ac:dyDescent="0.25">
      <c r="A175" t="s">
        <v>31</v>
      </c>
      <c r="B175">
        <v>312</v>
      </c>
      <c r="C175">
        <v>197</v>
      </c>
      <c r="D175">
        <v>1943</v>
      </c>
      <c r="G175" t="s">
        <v>3784</v>
      </c>
      <c r="H175">
        <v>8616236000169</v>
      </c>
      <c r="I175" t="s">
        <v>3726</v>
      </c>
      <c r="J175" t="s">
        <v>704</v>
      </c>
      <c r="K175" t="s">
        <v>3785</v>
      </c>
      <c r="M175" t="s">
        <v>3728</v>
      </c>
      <c r="O175" t="s">
        <v>6472</v>
      </c>
      <c r="P175" t="s">
        <v>3687</v>
      </c>
      <c r="Q175" t="s">
        <v>790</v>
      </c>
      <c r="T175" t="s">
        <v>319</v>
      </c>
      <c r="U175" t="s">
        <v>3417</v>
      </c>
      <c r="Z175">
        <v>5</v>
      </c>
      <c r="AA175" s="31">
        <v>45743</v>
      </c>
      <c r="AB175" s="61">
        <v>0.65775462962962961</v>
      </c>
      <c r="AC175" t="s">
        <v>795</v>
      </c>
      <c r="AD175" s="31">
        <v>45748</v>
      </c>
      <c r="AE175" s="61">
        <v>0.4075347222222222</v>
      </c>
      <c r="AF175" t="s">
        <v>934</v>
      </c>
      <c r="AH175" t="s">
        <v>3724</v>
      </c>
      <c r="AQ175">
        <v>1</v>
      </c>
    </row>
    <row r="176" spans="1:43" hidden="1" x14ac:dyDescent="0.25">
      <c r="A176" t="s">
        <v>31</v>
      </c>
      <c r="B176">
        <v>320</v>
      </c>
      <c r="C176">
        <v>183</v>
      </c>
      <c r="D176">
        <v>1959</v>
      </c>
      <c r="G176" t="s">
        <v>3786</v>
      </c>
      <c r="H176">
        <v>3204281000192</v>
      </c>
      <c r="I176" t="s">
        <v>3594</v>
      </c>
      <c r="J176" t="s">
        <v>3787</v>
      </c>
      <c r="K176" t="s">
        <v>3596</v>
      </c>
      <c r="M176" t="s">
        <v>2617</v>
      </c>
      <c r="O176" t="s">
        <v>6459</v>
      </c>
      <c r="P176" t="s">
        <v>2618</v>
      </c>
      <c r="Q176" t="s">
        <v>790</v>
      </c>
      <c r="T176" t="s">
        <v>319</v>
      </c>
      <c r="U176" t="s">
        <v>816</v>
      </c>
      <c r="W176">
        <v>2730</v>
      </c>
      <c r="X176">
        <v>0</v>
      </c>
      <c r="Z176">
        <v>0</v>
      </c>
      <c r="AA176" s="31">
        <v>45747</v>
      </c>
      <c r="AB176" s="61">
        <v>0.49092592592592588</v>
      </c>
      <c r="AC176" t="s">
        <v>818</v>
      </c>
      <c r="AD176" s="31">
        <v>45747</v>
      </c>
      <c r="AE176" s="61">
        <v>0.50187499999999996</v>
      </c>
      <c r="AH176" t="s">
        <v>3788</v>
      </c>
      <c r="AI176" t="s">
        <v>3789</v>
      </c>
      <c r="AQ176">
        <v>1</v>
      </c>
    </row>
    <row r="177" spans="1:43" hidden="1" x14ac:dyDescent="0.25">
      <c r="A177" t="s">
        <v>31</v>
      </c>
      <c r="B177">
        <v>324</v>
      </c>
      <c r="C177">
        <v>203</v>
      </c>
      <c r="D177">
        <v>1965</v>
      </c>
      <c r="G177" t="s">
        <v>3790</v>
      </c>
      <c r="H177">
        <v>11806036000183</v>
      </c>
      <c r="I177" t="s">
        <v>3791</v>
      </c>
      <c r="J177" t="s">
        <v>2600</v>
      </c>
      <c r="K177" t="s">
        <v>3792</v>
      </c>
      <c r="M177" t="s">
        <v>3793</v>
      </c>
      <c r="O177" t="s">
        <v>6480</v>
      </c>
      <c r="P177" t="s">
        <v>3636</v>
      </c>
      <c r="Q177" t="s">
        <v>1699</v>
      </c>
      <c r="T177" t="s">
        <v>319</v>
      </c>
      <c r="U177" t="s">
        <v>3417</v>
      </c>
      <c r="W177">
        <v>26200</v>
      </c>
      <c r="X177">
        <v>3400</v>
      </c>
      <c r="Z177">
        <v>6</v>
      </c>
      <c r="AA177" s="31">
        <v>45748</v>
      </c>
      <c r="AB177" s="61">
        <v>0.40835648148148151</v>
      </c>
      <c r="AC177" t="s">
        <v>795</v>
      </c>
      <c r="AD177" s="31">
        <v>45754</v>
      </c>
      <c r="AE177" s="61">
        <v>0.4082175925925926</v>
      </c>
      <c r="AF177" t="s">
        <v>1358</v>
      </c>
      <c r="AH177" t="s">
        <v>3795</v>
      </c>
      <c r="AI177" t="s">
        <v>3795</v>
      </c>
      <c r="AQ177">
        <v>1</v>
      </c>
    </row>
    <row r="178" spans="1:43" hidden="1" x14ac:dyDescent="0.25">
      <c r="A178" t="s">
        <v>31</v>
      </c>
      <c r="B178">
        <v>325</v>
      </c>
      <c r="C178">
        <v>186</v>
      </c>
      <c r="D178">
        <v>1967</v>
      </c>
      <c r="G178" t="s">
        <v>3796</v>
      </c>
      <c r="H178">
        <v>10899939000193</v>
      </c>
      <c r="I178" t="s">
        <v>3625</v>
      </c>
      <c r="J178" t="s">
        <v>704</v>
      </c>
      <c r="K178" t="s">
        <v>3626</v>
      </c>
      <c r="M178" t="s">
        <v>3627</v>
      </c>
      <c r="O178" t="s">
        <v>6463</v>
      </c>
      <c r="P178" t="s">
        <v>3629</v>
      </c>
      <c r="Q178" t="s">
        <v>932</v>
      </c>
      <c r="T178" t="s">
        <v>319</v>
      </c>
      <c r="U178" t="s">
        <v>816</v>
      </c>
      <c r="W178">
        <v>1701</v>
      </c>
      <c r="X178">
        <v>0</v>
      </c>
      <c r="Z178">
        <v>66</v>
      </c>
      <c r="AA178" s="31">
        <v>45748</v>
      </c>
      <c r="AB178" s="61">
        <v>0.41013888888888889</v>
      </c>
      <c r="AC178" t="s">
        <v>818</v>
      </c>
      <c r="AD178" s="31">
        <v>45814</v>
      </c>
      <c r="AE178" s="61">
        <v>0.39609953703703699</v>
      </c>
      <c r="AH178" t="s">
        <v>3795</v>
      </c>
      <c r="AQ178">
        <v>1</v>
      </c>
    </row>
    <row r="179" spans="1:43" hidden="1" x14ac:dyDescent="0.25">
      <c r="A179" t="s">
        <v>31</v>
      </c>
      <c r="B179">
        <v>326</v>
      </c>
      <c r="C179">
        <v>76</v>
      </c>
      <c r="D179">
        <v>1968</v>
      </c>
      <c r="G179" t="s">
        <v>3797</v>
      </c>
      <c r="I179" t="s">
        <v>225</v>
      </c>
      <c r="J179" t="s">
        <v>1115</v>
      </c>
      <c r="K179" t="s">
        <v>3623</v>
      </c>
      <c r="M179" t="s">
        <v>3233</v>
      </c>
      <c r="P179" t="s">
        <v>3234</v>
      </c>
      <c r="Q179" t="s">
        <v>1699</v>
      </c>
      <c r="T179" t="s">
        <v>319</v>
      </c>
      <c r="U179" t="s">
        <v>3606</v>
      </c>
      <c r="Z179">
        <v>50</v>
      </c>
      <c r="AA179" s="31">
        <v>45748</v>
      </c>
      <c r="AB179" s="61">
        <v>0.41334490740740742</v>
      </c>
      <c r="AC179" t="s">
        <v>795</v>
      </c>
      <c r="AD179" s="31">
        <v>45798</v>
      </c>
      <c r="AE179" s="61">
        <v>0.53116898148148151</v>
      </c>
      <c r="AF179" t="s">
        <v>934</v>
      </c>
      <c r="AH179" t="s">
        <v>3798</v>
      </c>
      <c r="AI179" t="s">
        <v>3798</v>
      </c>
      <c r="AQ179">
        <v>1</v>
      </c>
    </row>
    <row r="180" spans="1:43" hidden="1" x14ac:dyDescent="0.25">
      <c r="A180" t="s">
        <v>31</v>
      </c>
      <c r="B180">
        <v>327</v>
      </c>
      <c r="C180">
        <v>187</v>
      </c>
      <c r="D180">
        <v>1969</v>
      </c>
      <c r="G180" t="s">
        <v>6481</v>
      </c>
      <c r="H180">
        <v>17063632000105</v>
      </c>
      <c r="I180" t="s">
        <v>3631</v>
      </c>
      <c r="J180" t="s">
        <v>3800</v>
      </c>
      <c r="K180" t="s">
        <v>3633</v>
      </c>
      <c r="M180" t="s">
        <v>3634</v>
      </c>
      <c r="O180" t="s">
        <v>6464</v>
      </c>
      <c r="P180" t="s">
        <v>3636</v>
      </c>
      <c r="Q180" t="s">
        <v>1699</v>
      </c>
      <c r="T180" t="s">
        <v>319</v>
      </c>
      <c r="U180" t="s">
        <v>3417</v>
      </c>
      <c r="W180">
        <v>3360</v>
      </c>
      <c r="X180">
        <v>0</v>
      </c>
      <c r="Z180">
        <v>52</v>
      </c>
      <c r="AA180" s="31">
        <v>45748</v>
      </c>
      <c r="AB180" s="61">
        <v>0.47216435185185179</v>
      </c>
      <c r="AC180" t="s">
        <v>795</v>
      </c>
      <c r="AD180" s="31">
        <v>45800</v>
      </c>
      <c r="AE180" s="61">
        <v>0.5276967592592593</v>
      </c>
      <c r="AF180" t="s">
        <v>934</v>
      </c>
      <c r="AH180" t="s">
        <v>3795</v>
      </c>
      <c r="AQ180">
        <v>1</v>
      </c>
    </row>
    <row r="181" spans="1:43" hidden="1" x14ac:dyDescent="0.25">
      <c r="A181" t="s">
        <v>31</v>
      </c>
      <c r="B181">
        <v>329</v>
      </c>
      <c r="C181">
        <v>182</v>
      </c>
      <c r="D181">
        <v>1973</v>
      </c>
      <c r="G181" t="s">
        <v>3801</v>
      </c>
      <c r="H181">
        <v>23873456000161</v>
      </c>
      <c r="I181" t="s">
        <v>3573</v>
      </c>
      <c r="J181" t="s">
        <v>3574</v>
      </c>
      <c r="K181" t="s">
        <v>3575</v>
      </c>
      <c r="M181" t="s">
        <v>3576</v>
      </c>
      <c r="O181" t="s">
        <v>6457</v>
      </c>
      <c r="P181" t="s">
        <v>1837</v>
      </c>
      <c r="Q181" t="s">
        <v>790</v>
      </c>
      <c r="T181" t="s">
        <v>319</v>
      </c>
      <c r="U181" t="s">
        <v>3417</v>
      </c>
      <c r="Z181">
        <v>33</v>
      </c>
      <c r="AA181" s="31">
        <v>45749</v>
      </c>
      <c r="AB181" s="61">
        <v>0.48545138888888889</v>
      </c>
      <c r="AC181" t="s">
        <v>795</v>
      </c>
      <c r="AD181" s="31">
        <v>45782</v>
      </c>
      <c r="AE181" s="61">
        <v>0.66695601851851849</v>
      </c>
      <c r="AF181" t="s">
        <v>934</v>
      </c>
      <c r="AH181" t="s">
        <v>1543</v>
      </c>
      <c r="AQ181">
        <v>1</v>
      </c>
    </row>
    <row r="182" spans="1:43" hidden="1" x14ac:dyDescent="0.25">
      <c r="A182" t="s">
        <v>31</v>
      </c>
      <c r="B182">
        <v>330</v>
      </c>
      <c r="C182">
        <v>197</v>
      </c>
      <c r="D182">
        <v>1974</v>
      </c>
      <c r="G182" t="s">
        <v>3803</v>
      </c>
      <c r="H182">
        <v>8616236000169</v>
      </c>
      <c r="I182" t="s">
        <v>3726</v>
      </c>
      <c r="J182" t="s">
        <v>704</v>
      </c>
      <c r="K182" t="s">
        <v>3727</v>
      </c>
      <c r="M182" t="s">
        <v>3728</v>
      </c>
      <c r="O182" t="s">
        <v>6472</v>
      </c>
      <c r="P182" t="s">
        <v>3687</v>
      </c>
      <c r="Q182" t="s">
        <v>790</v>
      </c>
      <c r="T182" t="s">
        <v>319</v>
      </c>
      <c r="U182" t="s">
        <v>816</v>
      </c>
      <c r="W182">
        <v>56880</v>
      </c>
      <c r="X182">
        <v>68904</v>
      </c>
      <c r="Z182">
        <v>60</v>
      </c>
      <c r="AA182" s="31">
        <v>45750</v>
      </c>
      <c r="AB182" s="61">
        <v>0.50753472222222218</v>
      </c>
      <c r="AC182" t="s">
        <v>818</v>
      </c>
      <c r="AD182" s="31">
        <v>45810</v>
      </c>
      <c r="AE182" s="61">
        <v>0.50966435185185188</v>
      </c>
      <c r="AH182" t="s">
        <v>3804</v>
      </c>
      <c r="AI182" t="s">
        <v>3804</v>
      </c>
      <c r="AQ182">
        <v>1</v>
      </c>
    </row>
    <row r="183" spans="1:43" hidden="1" x14ac:dyDescent="0.25">
      <c r="A183" t="s">
        <v>31</v>
      </c>
      <c r="B183">
        <v>331</v>
      </c>
      <c r="C183">
        <v>136</v>
      </c>
      <c r="D183">
        <v>1975</v>
      </c>
      <c r="G183" t="s">
        <v>3805</v>
      </c>
      <c r="I183" t="s">
        <v>3382</v>
      </c>
      <c r="J183" t="s">
        <v>704</v>
      </c>
      <c r="K183" t="s">
        <v>3806</v>
      </c>
      <c r="M183" t="s">
        <v>3384</v>
      </c>
      <c r="T183" t="s">
        <v>319</v>
      </c>
      <c r="U183" t="s">
        <v>3417</v>
      </c>
      <c r="W183">
        <v>24276</v>
      </c>
      <c r="X183">
        <v>0</v>
      </c>
      <c r="Z183">
        <v>20</v>
      </c>
      <c r="AA183" s="31">
        <v>45750</v>
      </c>
      <c r="AB183" s="61">
        <v>0.52722222222222226</v>
      </c>
      <c r="AC183" t="s">
        <v>795</v>
      </c>
      <c r="AD183" s="31">
        <v>45770</v>
      </c>
      <c r="AE183" s="61">
        <v>0.38817129629629632</v>
      </c>
      <c r="AF183" t="s">
        <v>934</v>
      </c>
      <c r="AH183" t="s">
        <v>3804</v>
      </c>
      <c r="AI183" t="s">
        <v>3804</v>
      </c>
      <c r="AQ183">
        <v>1</v>
      </c>
    </row>
    <row r="184" spans="1:43" hidden="1" x14ac:dyDescent="0.25">
      <c r="A184" t="s">
        <v>31</v>
      </c>
      <c r="B184">
        <v>332</v>
      </c>
      <c r="C184">
        <v>196</v>
      </c>
      <c r="D184">
        <v>1976</v>
      </c>
      <c r="G184" t="s">
        <v>3807</v>
      </c>
      <c r="H184">
        <v>32494222000102</v>
      </c>
      <c r="I184" t="s">
        <v>3715</v>
      </c>
      <c r="J184" t="s">
        <v>3808</v>
      </c>
      <c r="K184" t="s">
        <v>3717</v>
      </c>
      <c r="M184" t="s">
        <v>3718</v>
      </c>
      <c r="O184" t="s">
        <v>6471</v>
      </c>
      <c r="P184" t="s">
        <v>3720</v>
      </c>
      <c r="Q184" t="s">
        <v>790</v>
      </c>
      <c r="T184" t="s">
        <v>319</v>
      </c>
      <c r="U184" t="s">
        <v>816</v>
      </c>
      <c r="W184">
        <v>14200</v>
      </c>
      <c r="X184">
        <v>3564</v>
      </c>
      <c r="Z184">
        <v>63</v>
      </c>
      <c r="AA184" s="31">
        <v>45750</v>
      </c>
      <c r="AB184" s="61">
        <v>0.64652777777777781</v>
      </c>
      <c r="AC184" t="s">
        <v>795</v>
      </c>
      <c r="AD184" s="31">
        <v>45813</v>
      </c>
      <c r="AE184" s="61">
        <v>0.43116898148148147</v>
      </c>
      <c r="AF184" t="s">
        <v>934</v>
      </c>
      <c r="AH184" t="s">
        <v>1672</v>
      </c>
      <c r="AI184" t="s">
        <v>3809</v>
      </c>
      <c r="AQ184">
        <v>1</v>
      </c>
    </row>
    <row r="185" spans="1:43" hidden="1" x14ac:dyDescent="0.25">
      <c r="A185" t="s">
        <v>31</v>
      </c>
      <c r="B185">
        <v>335</v>
      </c>
      <c r="C185">
        <v>204</v>
      </c>
      <c r="D185">
        <v>1979</v>
      </c>
      <c r="G185" t="s">
        <v>3810</v>
      </c>
      <c r="H185">
        <v>33071847000116</v>
      </c>
      <c r="I185" t="s">
        <v>3811</v>
      </c>
      <c r="J185" t="s">
        <v>3812</v>
      </c>
      <c r="K185" t="s">
        <v>3813</v>
      </c>
      <c r="M185" t="s">
        <v>3814</v>
      </c>
      <c r="O185" t="s">
        <v>6482</v>
      </c>
      <c r="P185" t="s">
        <v>2589</v>
      </c>
      <c r="Q185" t="s">
        <v>790</v>
      </c>
      <c r="T185" t="s">
        <v>319</v>
      </c>
      <c r="U185" t="s">
        <v>816</v>
      </c>
      <c r="W185">
        <v>720</v>
      </c>
      <c r="X185">
        <v>0</v>
      </c>
      <c r="Z185">
        <v>0</v>
      </c>
      <c r="AA185" s="31">
        <v>45751</v>
      </c>
      <c r="AB185" s="61">
        <v>0.66421296296296295</v>
      </c>
      <c r="AC185" t="s">
        <v>818</v>
      </c>
      <c r="AD185" s="31">
        <v>45751</v>
      </c>
      <c r="AE185" s="61">
        <v>0.70851851851851855</v>
      </c>
      <c r="AH185" t="s">
        <v>1604</v>
      </c>
      <c r="AQ185">
        <v>1</v>
      </c>
    </row>
    <row r="186" spans="1:43" hidden="1" x14ac:dyDescent="0.25">
      <c r="A186" t="s">
        <v>31</v>
      </c>
      <c r="B186">
        <v>337</v>
      </c>
      <c r="C186">
        <v>185</v>
      </c>
      <c r="D186">
        <v>1982</v>
      </c>
      <c r="G186" t="s">
        <v>6483</v>
      </c>
      <c r="H186">
        <v>51496785000176</v>
      </c>
      <c r="I186" t="s">
        <v>3599</v>
      </c>
      <c r="J186" t="s">
        <v>3600</v>
      </c>
      <c r="K186" t="s">
        <v>3601</v>
      </c>
      <c r="M186" t="s">
        <v>3602</v>
      </c>
      <c r="O186" t="s">
        <v>6460</v>
      </c>
      <c r="P186" t="s">
        <v>847</v>
      </c>
      <c r="Q186" t="s">
        <v>848</v>
      </c>
      <c r="T186" t="s">
        <v>319</v>
      </c>
      <c r="U186" t="s">
        <v>3417</v>
      </c>
      <c r="W186">
        <v>420</v>
      </c>
      <c r="X186">
        <v>3564</v>
      </c>
      <c r="Z186">
        <v>10</v>
      </c>
      <c r="AA186" s="31">
        <v>45754</v>
      </c>
      <c r="AB186" s="61">
        <v>0.42759259259259258</v>
      </c>
      <c r="AC186" t="s">
        <v>795</v>
      </c>
      <c r="AD186" s="31">
        <v>45764</v>
      </c>
      <c r="AE186" s="61">
        <v>0.50528935185185186</v>
      </c>
      <c r="AF186" t="s">
        <v>867</v>
      </c>
      <c r="AH186" t="s">
        <v>1576</v>
      </c>
      <c r="AI186" t="s">
        <v>1603</v>
      </c>
      <c r="AQ186">
        <v>1</v>
      </c>
    </row>
    <row r="187" spans="1:43" hidden="1" x14ac:dyDescent="0.25">
      <c r="A187" t="s">
        <v>31</v>
      </c>
      <c r="B187">
        <v>339</v>
      </c>
      <c r="C187">
        <v>183</v>
      </c>
      <c r="D187">
        <v>1615</v>
      </c>
      <c r="G187" t="s">
        <v>6484</v>
      </c>
      <c r="H187">
        <v>3204281000192</v>
      </c>
      <c r="I187" t="s">
        <v>3594</v>
      </c>
      <c r="J187" t="s">
        <v>3595</v>
      </c>
      <c r="K187" t="s">
        <v>3596</v>
      </c>
      <c r="M187" t="s">
        <v>2617</v>
      </c>
      <c r="O187" t="s">
        <v>6459</v>
      </c>
      <c r="P187" t="s">
        <v>2618</v>
      </c>
      <c r="Q187" t="s">
        <v>790</v>
      </c>
      <c r="T187" t="s">
        <v>319</v>
      </c>
      <c r="U187" t="s">
        <v>816</v>
      </c>
      <c r="W187">
        <v>1890</v>
      </c>
      <c r="X187">
        <v>0</v>
      </c>
      <c r="Z187">
        <v>0</v>
      </c>
      <c r="AA187" s="31">
        <v>45755</v>
      </c>
      <c r="AB187" s="61">
        <v>0.64071759259259264</v>
      </c>
      <c r="AC187" t="s">
        <v>818</v>
      </c>
      <c r="AD187" s="31">
        <v>45755</v>
      </c>
      <c r="AE187" s="61">
        <v>0.65402777777777776</v>
      </c>
      <c r="AH187" t="s">
        <v>3798</v>
      </c>
      <c r="AQ187">
        <v>1</v>
      </c>
    </row>
    <row r="188" spans="1:43" hidden="1" x14ac:dyDescent="0.25">
      <c r="A188" t="s">
        <v>31</v>
      </c>
      <c r="B188">
        <v>340</v>
      </c>
      <c r="C188">
        <v>205</v>
      </c>
      <c r="D188">
        <v>1984</v>
      </c>
      <c r="G188" t="s">
        <v>6485</v>
      </c>
      <c r="H188">
        <v>57464109000105</v>
      </c>
      <c r="I188" t="s">
        <v>3819</v>
      </c>
      <c r="J188" t="s">
        <v>3820</v>
      </c>
      <c r="K188" t="s">
        <v>3821</v>
      </c>
      <c r="L188">
        <v>11984320025</v>
      </c>
      <c r="M188" t="s">
        <v>3822</v>
      </c>
      <c r="O188" t="s">
        <v>6486</v>
      </c>
      <c r="P188" t="s">
        <v>1094</v>
      </c>
      <c r="Q188" t="s">
        <v>790</v>
      </c>
      <c r="T188" t="s">
        <v>319</v>
      </c>
      <c r="U188" t="s">
        <v>3417</v>
      </c>
      <c r="W188">
        <v>3360</v>
      </c>
      <c r="X188">
        <v>7128</v>
      </c>
      <c r="Z188">
        <v>0</v>
      </c>
      <c r="AA188" s="31">
        <v>45755</v>
      </c>
      <c r="AB188" s="61">
        <v>0.65628472222222223</v>
      </c>
      <c r="AC188" t="s">
        <v>795</v>
      </c>
      <c r="AD188" s="31">
        <v>45755</v>
      </c>
      <c r="AE188" s="61">
        <v>0.694849537037037</v>
      </c>
      <c r="AF188" t="s">
        <v>867</v>
      </c>
      <c r="AH188" t="s">
        <v>3804</v>
      </c>
      <c r="AI188" t="s">
        <v>3804</v>
      </c>
      <c r="AQ188">
        <v>1</v>
      </c>
    </row>
    <row r="189" spans="1:43" hidden="1" x14ac:dyDescent="0.25">
      <c r="A189" t="s">
        <v>31</v>
      </c>
      <c r="B189">
        <v>341</v>
      </c>
      <c r="C189">
        <v>170</v>
      </c>
      <c r="D189">
        <v>1985</v>
      </c>
      <c r="G189" t="s">
        <v>460</v>
      </c>
      <c r="H189">
        <v>4150555001304</v>
      </c>
      <c r="I189" t="s">
        <v>3477</v>
      </c>
      <c r="J189" t="s">
        <v>3478</v>
      </c>
      <c r="K189" t="s">
        <v>3569</v>
      </c>
      <c r="M189" t="s">
        <v>3480</v>
      </c>
      <c r="O189" t="s">
        <v>6444</v>
      </c>
      <c r="P189" t="s">
        <v>3482</v>
      </c>
      <c r="Q189" t="s">
        <v>1699</v>
      </c>
      <c r="T189" t="s">
        <v>319</v>
      </c>
      <c r="U189" t="s">
        <v>816</v>
      </c>
      <c r="W189">
        <v>838823</v>
      </c>
      <c r="X189">
        <v>0</v>
      </c>
      <c r="Z189">
        <v>7</v>
      </c>
      <c r="AA189" s="31">
        <v>45757</v>
      </c>
      <c r="AB189" s="61">
        <v>0.37377314814814822</v>
      </c>
      <c r="AC189" t="s">
        <v>818</v>
      </c>
      <c r="AD189" s="31">
        <v>45764</v>
      </c>
      <c r="AE189" s="61">
        <v>0.41208333333333341</v>
      </c>
      <c r="AH189" t="s">
        <v>3824</v>
      </c>
      <c r="AQ189">
        <v>1</v>
      </c>
    </row>
    <row r="190" spans="1:43" hidden="1" x14ac:dyDescent="0.25">
      <c r="A190" t="s">
        <v>31</v>
      </c>
      <c r="B190">
        <v>342</v>
      </c>
      <c r="C190">
        <v>206</v>
      </c>
      <c r="D190">
        <v>1987</v>
      </c>
      <c r="G190" t="s">
        <v>3825</v>
      </c>
      <c r="H190">
        <v>37075503000136</v>
      </c>
      <c r="I190" t="s">
        <v>3826</v>
      </c>
      <c r="J190" t="s">
        <v>1474</v>
      </c>
      <c r="K190" t="s">
        <v>1475</v>
      </c>
      <c r="M190" t="s">
        <v>1476</v>
      </c>
      <c r="O190" t="s">
        <v>6487</v>
      </c>
      <c r="P190" t="s">
        <v>1477</v>
      </c>
      <c r="Q190" t="s">
        <v>932</v>
      </c>
      <c r="T190" t="s">
        <v>319</v>
      </c>
      <c r="U190" t="s">
        <v>3417</v>
      </c>
      <c r="W190">
        <v>0</v>
      </c>
      <c r="X190">
        <v>3564</v>
      </c>
      <c r="Z190">
        <v>4</v>
      </c>
      <c r="AA190" s="31">
        <v>45757</v>
      </c>
      <c r="AB190" s="61">
        <v>0.70687500000000003</v>
      </c>
      <c r="AC190" t="s">
        <v>795</v>
      </c>
      <c r="AD190" s="31">
        <v>45761</v>
      </c>
      <c r="AE190" s="61">
        <v>0.64089120370370367</v>
      </c>
      <c r="AF190" t="s">
        <v>867</v>
      </c>
      <c r="AH190" t="s">
        <v>3824</v>
      </c>
      <c r="AI190" t="s">
        <v>3824</v>
      </c>
      <c r="AQ190">
        <v>1</v>
      </c>
    </row>
    <row r="191" spans="1:43" hidden="1" x14ac:dyDescent="0.25">
      <c r="A191" t="s">
        <v>31</v>
      </c>
      <c r="B191">
        <v>344</v>
      </c>
      <c r="C191">
        <v>134</v>
      </c>
      <c r="D191">
        <v>1989</v>
      </c>
      <c r="G191" t="s">
        <v>3828</v>
      </c>
      <c r="I191" t="s">
        <v>3377</v>
      </c>
      <c r="J191" t="s">
        <v>3829</v>
      </c>
      <c r="K191" t="s">
        <v>3830</v>
      </c>
      <c r="M191" t="s">
        <v>3379</v>
      </c>
      <c r="T191" t="s">
        <v>319</v>
      </c>
      <c r="U191" t="s">
        <v>816</v>
      </c>
      <c r="W191">
        <v>1680</v>
      </c>
      <c r="X191">
        <v>0</v>
      </c>
      <c r="Z191">
        <v>2</v>
      </c>
      <c r="AA191" s="31">
        <v>45761</v>
      </c>
      <c r="AB191" s="61">
        <v>0.46211805555555557</v>
      </c>
      <c r="AC191" t="s">
        <v>818</v>
      </c>
      <c r="AD191" s="31">
        <v>45763</v>
      </c>
      <c r="AE191" s="61">
        <v>0.43277777777777782</v>
      </c>
      <c r="AH191" t="s">
        <v>1619</v>
      </c>
      <c r="AQ191">
        <v>1</v>
      </c>
    </row>
    <row r="192" spans="1:43" hidden="1" x14ac:dyDescent="0.25">
      <c r="A192" t="s">
        <v>31</v>
      </c>
      <c r="B192">
        <v>345</v>
      </c>
      <c r="C192">
        <v>171</v>
      </c>
      <c r="D192">
        <v>1990</v>
      </c>
      <c r="G192" t="s">
        <v>3663</v>
      </c>
      <c r="H192">
        <v>39955762000187</v>
      </c>
      <c r="I192" t="s">
        <v>3484</v>
      </c>
      <c r="J192" t="s">
        <v>3664</v>
      </c>
      <c r="K192" t="s">
        <v>3665</v>
      </c>
      <c r="M192" t="s">
        <v>3487</v>
      </c>
      <c r="O192" t="s">
        <v>6445</v>
      </c>
      <c r="P192" t="s">
        <v>1094</v>
      </c>
      <c r="Q192" t="s">
        <v>790</v>
      </c>
      <c r="T192" t="s">
        <v>319</v>
      </c>
      <c r="U192" t="s">
        <v>816</v>
      </c>
      <c r="W192">
        <v>491408</v>
      </c>
      <c r="X192">
        <v>0</v>
      </c>
      <c r="Z192">
        <v>3</v>
      </c>
      <c r="AA192" s="31">
        <v>45761</v>
      </c>
      <c r="AB192" s="61">
        <v>0.64141203703703709</v>
      </c>
      <c r="AC192" t="s">
        <v>818</v>
      </c>
      <c r="AD192" s="31">
        <v>45764</v>
      </c>
      <c r="AE192" s="61">
        <v>0.67682870370370374</v>
      </c>
      <c r="AH192" t="s">
        <v>3831</v>
      </c>
      <c r="AQ192">
        <v>1</v>
      </c>
    </row>
    <row r="193" spans="1:43" hidden="1" x14ac:dyDescent="0.25">
      <c r="A193" t="s">
        <v>31</v>
      </c>
      <c r="B193">
        <v>349</v>
      </c>
      <c r="C193">
        <v>202</v>
      </c>
      <c r="D193">
        <v>1995</v>
      </c>
      <c r="G193" t="s">
        <v>3777</v>
      </c>
      <c r="H193">
        <v>16939440000149</v>
      </c>
      <c r="I193" t="s">
        <v>3778</v>
      </c>
      <c r="J193" t="s">
        <v>3832</v>
      </c>
      <c r="K193" t="s">
        <v>3779</v>
      </c>
      <c r="M193" t="s">
        <v>3780</v>
      </c>
      <c r="O193" t="s">
        <v>6479</v>
      </c>
      <c r="P193" t="s">
        <v>3782</v>
      </c>
      <c r="Q193" t="s">
        <v>790</v>
      </c>
      <c r="T193" t="s">
        <v>319</v>
      </c>
      <c r="U193" t="s">
        <v>816</v>
      </c>
      <c r="W193">
        <v>2996</v>
      </c>
      <c r="X193">
        <v>0</v>
      </c>
      <c r="Z193">
        <v>0</v>
      </c>
      <c r="AA193" s="31">
        <v>45763</v>
      </c>
      <c r="AB193" s="61">
        <v>0.63655092592592588</v>
      </c>
      <c r="AC193" t="s">
        <v>818</v>
      </c>
      <c r="AD193" s="31">
        <v>45763</v>
      </c>
      <c r="AE193" s="61">
        <v>0.63858796296296294</v>
      </c>
      <c r="AH193" t="s">
        <v>3833</v>
      </c>
      <c r="AQ193">
        <v>1</v>
      </c>
    </row>
    <row r="194" spans="1:43" hidden="1" x14ac:dyDescent="0.25">
      <c r="A194" t="s">
        <v>31</v>
      </c>
      <c r="B194">
        <v>350</v>
      </c>
      <c r="C194">
        <v>130</v>
      </c>
      <c r="D194">
        <v>1996</v>
      </c>
      <c r="G194" t="s">
        <v>3834</v>
      </c>
      <c r="I194" t="s">
        <v>141</v>
      </c>
      <c r="J194" t="s">
        <v>3675</v>
      </c>
      <c r="K194" t="s">
        <v>3676</v>
      </c>
      <c r="M194" t="s">
        <v>3368</v>
      </c>
      <c r="P194" t="s">
        <v>923</v>
      </c>
      <c r="Q194" t="s">
        <v>790</v>
      </c>
      <c r="T194" t="s">
        <v>319</v>
      </c>
      <c r="U194" t="s">
        <v>816</v>
      </c>
      <c r="W194">
        <v>447164</v>
      </c>
      <c r="X194">
        <v>0</v>
      </c>
      <c r="Z194">
        <v>0</v>
      </c>
      <c r="AA194" s="31">
        <v>45764</v>
      </c>
      <c r="AB194" s="61">
        <v>0.40780092592592587</v>
      </c>
      <c r="AC194" t="s">
        <v>818</v>
      </c>
      <c r="AD194" s="31">
        <v>45764</v>
      </c>
      <c r="AE194" s="61">
        <v>0.5020486111111111</v>
      </c>
      <c r="AH194" t="s">
        <v>3835</v>
      </c>
      <c r="AQ194">
        <v>1</v>
      </c>
    </row>
    <row r="195" spans="1:43" hidden="1" x14ac:dyDescent="0.25">
      <c r="A195" t="s">
        <v>31</v>
      </c>
      <c r="B195">
        <v>356</v>
      </c>
      <c r="C195">
        <v>197</v>
      </c>
      <c r="D195">
        <v>2006</v>
      </c>
      <c r="G195" t="s">
        <v>3836</v>
      </c>
      <c r="H195">
        <v>8616236000169</v>
      </c>
      <c r="I195" t="s">
        <v>3726</v>
      </c>
      <c r="J195" t="s">
        <v>704</v>
      </c>
      <c r="K195" t="s">
        <v>3727</v>
      </c>
      <c r="M195" t="s">
        <v>3728</v>
      </c>
      <c r="O195" t="s">
        <v>6472</v>
      </c>
      <c r="P195" t="s">
        <v>3687</v>
      </c>
      <c r="Q195" t="s">
        <v>790</v>
      </c>
      <c r="T195" t="s">
        <v>319</v>
      </c>
      <c r="U195" t="s">
        <v>816</v>
      </c>
      <c r="W195">
        <v>1440</v>
      </c>
      <c r="X195">
        <v>0</v>
      </c>
      <c r="Z195">
        <v>14</v>
      </c>
      <c r="AA195" s="31">
        <v>45770</v>
      </c>
      <c r="AB195" s="61">
        <v>0.63509259259259254</v>
      </c>
      <c r="AC195" t="s">
        <v>818</v>
      </c>
      <c r="AD195" s="31">
        <v>45784</v>
      </c>
      <c r="AE195" s="61">
        <v>0.66</v>
      </c>
      <c r="AH195" t="s">
        <v>3837</v>
      </c>
      <c r="AI195" t="s">
        <v>3837</v>
      </c>
      <c r="AQ195">
        <v>1</v>
      </c>
    </row>
    <row r="196" spans="1:43" hidden="1" x14ac:dyDescent="0.25">
      <c r="A196" t="s">
        <v>31</v>
      </c>
      <c r="B196">
        <v>357</v>
      </c>
      <c r="C196">
        <v>207</v>
      </c>
      <c r="D196">
        <v>2007</v>
      </c>
      <c r="G196" t="s">
        <v>3838</v>
      </c>
      <c r="H196">
        <v>43609706000168</v>
      </c>
      <c r="I196" t="s">
        <v>3839</v>
      </c>
      <c r="J196" t="s">
        <v>1804</v>
      </c>
      <c r="K196" t="s">
        <v>3840</v>
      </c>
      <c r="M196" t="s">
        <v>3841</v>
      </c>
      <c r="O196" t="s">
        <v>6488</v>
      </c>
      <c r="P196" t="s">
        <v>3843</v>
      </c>
      <c r="Q196" t="s">
        <v>932</v>
      </c>
      <c r="T196" t="s">
        <v>319</v>
      </c>
      <c r="U196" t="s">
        <v>816</v>
      </c>
      <c r="W196">
        <v>4000</v>
      </c>
      <c r="X196">
        <v>0</v>
      </c>
      <c r="Z196">
        <v>1</v>
      </c>
      <c r="AA196" s="31">
        <v>45771</v>
      </c>
      <c r="AB196" s="61">
        <v>0.4306712962962963</v>
      </c>
      <c r="AC196" t="s">
        <v>818</v>
      </c>
      <c r="AD196" s="31">
        <v>45772</v>
      </c>
      <c r="AE196" s="61">
        <v>0.69015046296296301</v>
      </c>
      <c r="AH196" t="s">
        <v>1666</v>
      </c>
      <c r="AQ196">
        <v>1</v>
      </c>
    </row>
    <row r="197" spans="1:43" hidden="1" x14ac:dyDescent="0.25">
      <c r="A197" t="s">
        <v>31</v>
      </c>
      <c r="B197">
        <v>363</v>
      </c>
      <c r="C197">
        <v>199</v>
      </c>
      <c r="D197">
        <v>2012</v>
      </c>
      <c r="G197" t="s">
        <v>3749</v>
      </c>
      <c r="H197">
        <v>50963243000101</v>
      </c>
      <c r="I197" t="s">
        <v>3750</v>
      </c>
      <c r="J197" t="s">
        <v>3844</v>
      </c>
      <c r="K197" t="s">
        <v>3752</v>
      </c>
      <c r="M197" t="s">
        <v>3753</v>
      </c>
      <c r="O197" t="s">
        <v>6476</v>
      </c>
      <c r="P197" t="s">
        <v>1094</v>
      </c>
      <c r="Q197" t="s">
        <v>790</v>
      </c>
      <c r="T197" t="s">
        <v>319</v>
      </c>
      <c r="U197" t="s">
        <v>816</v>
      </c>
      <c r="W197">
        <v>1890</v>
      </c>
      <c r="X197">
        <v>0</v>
      </c>
      <c r="Z197">
        <v>0</v>
      </c>
      <c r="AA197" s="31">
        <v>45777</v>
      </c>
      <c r="AB197" s="61">
        <v>0.58546296296296296</v>
      </c>
      <c r="AC197" t="s">
        <v>818</v>
      </c>
      <c r="AD197" s="31">
        <v>45777</v>
      </c>
      <c r="AE197" s="61">
        <v>0.5869212962962963</v>
      </c>
      <c r="AH197" t="s">
        <v>3845</v>
      </c>
      <c r="AQ197">
        <v>1</v>
      </c>
    </row>
    <row r="198" spans="1:43" hidden="1" x14ac:dyDescent="0.25">
      <c r="A198" t="s">
        <v>31</v>
      </c>
      <c r="B198">
        <v>364</v>
      </c>
      <c r="C198">
        <v>204</v>
      </c>
      <c r="D198">
        <v>2013</v>
      </c>
      <c r="G198" t="s">
        <v>3810</v>
      </c>
      <c r="H198">
        <v>33071847000116</v>
      </c>
      <c r="I198" t="s">
        <v>3811</v>
      </c>
      <c r="J198" t="s">
        <v>3846</v>
      </c>
      <c r="K198" t="s">
        <v>3813</v>
      </c>
      <c r="M198" t="s">
        <v>3814</v>
      </c>
      <c r="O198" t="s">
        <v>6482</v>
      </c>
      <c r="P198" t="s">
        <v>2589</v>
      </c>
      <c r="Q198" t="s">
        <v>790</v>
      </c>
      <c r="T198" t="s">
        <v>319</v>
      </c>
      <c r="U198" t="s">
        <v>816</v>
      </c>
      <c r="W198">
        <v>3360</v>
      </c>
      <c r="X198">
        <v>0</v>
      </c>
      <c r="Z198">
        <v>0</v>
      </c>
      <c r="AA198" s="31">
        <v>45777</v>
      </c>
      <c r="AB198" s="61">
        <v>0.58721064814814816</v>
      </c>
      <c r="AC198" t="s">
        <v>818</v>
      </c>
      <c r="AD198" s="31">
        <v>45777</v>
      </c>
      <c r="AE198" s="61">
        <v>0.5879861111111111</v>
      </c>
      <c r="AH198" t="s">
        <v>3845</v>
      </c>
      <c r="AQ198">
        <v>1</v>
      </c>
    </row>
    <row r="199" spans="1:43" hidden="1" x14ac:dyDescent="0.25">
      <c r="A199" t="s">
        <v>31</v>
      </c>
      <c r="B199">
        <v>365</v>
      </c>
      <c r="C199">
        <v>142</v>
      </c>
      <c r="D199">
        <v>2014</v>
      </c>
      <c r="G199" t="s">
        <v>3847</v>
      </c>
      <c r="I199" t="s">
        <v>3397</v>
      </c>
      <c r="J199" t="s">
        <v>3848</v>
      </c>
      <c r="K199" t="s">
        <v>3698</v>
      </c>
      <c r="M199" t="s">
        <v>3399</v>
      </c>
      <c r="P199" t="s">
        <v>3400</v>
      </c>
      <c r="Q199" t="s">
        <v>1699</v>
      </c>
      <c r="T199" t="s">
        <v>319</v>
      </c>
      <c r="U199" t="s">
        <v>3417</v>
      </c>
      <c r="W199">
        <v>26200</v>
      </c>
      <c r="X199">
        <v>3400</v>
      </c>
      <c r="Z199">
        <v>27</v>
      </c>
      <c r="AA199" s="31">
        <v>45777</v>
      </c>
      <c r="AB199" s="61">
        <v>0.58881944444444445</v>
      </c>
      <c r="AC199" t="s">
        <v>795</v>
      </c>
      <c r="AD199" s="31">
        <v>45804</v>
      </c>
      <c r="AE199" s="61">
        <v>0.79233796296296299</v>
      </c>
      <c r="AF199" t="s">
        <v>974</v>
      </c>
      <c r="AH199" t="s">
        <v>1374</v>
      </c>
      <c r="AI199" t="s">
        <v>3845</v>
      </c>
      <c r="AQ199">
        <v>1</v>
      </c>
    </row>
    <row r="200" spans="1:43" hidden="1" x14ac:dyDescent="0.25">
      <c r="A200" t="s">
        <v>31</v>
      </c>
      <c r="B200">
        <v>371</v>
      </c>
      <c r="C200">
        <v>178</v>
      </c>
      <c r="D200">
        <v>2021</v>
      </c>
      <c r="G200" t="s">
        <v>3849</v>
      </c>
      <c r="H200">
        <v>54124158000100</v>
      </c>
      <c r="I200" t="s">
        <v>3539</v>
      </c>
      <c r="J200" t="s">
        <v>1243</v>
      </c>
      <c r="K200" t="s">
        <v>3850</v>
      </c>
      <c r="M200" t="s">
        <v>3542</v>
      </c>
      <c r="O200" t="s">
        <v>6453</v>
      </c>
      <c r="P200" t="s">
        <v>1837</v>
      </c>
      <c r="Q200" t="s">
        <v>790</v>
      </c>
      <c r="T200" t="s">
        <v>319</v>
      </c>
      <c r="U200" t="s">
        <v>3417</v>
      </c>
      <c r="Z200">
        <v>18</v>
      </c>
      <c r="AA200" s="31">
        <v>45782</v>
      </c>
      <c r="AB200" s="61">
        <v>0.66790509259259256</v>
      </c>
      <c r="AC200" t="s">
        <v>795</v>
      </c>
      <c r="AD200" s="31">
        <v>45800</v>
      </c>
      <c r="AE200" s="61">
        <v>0.52974537037037039</v>
      </c>
      <c r="AF200" t="s">
        <v>796</v>
      </c>
      <c r="AH200" t="s">
        <v>3851</v>
      </c>
      <c r="AI200" t="s">
        <v>3851</v>
      </c>
      <c r="AQ200">
        <v>1</v>
      </c>
    </row>
    <row r="201" spans="1:43" hidden="1" x14ac:dyDescent="0.25">
      <c r="A201" t="s">
        <v>31</v>
      </c>
      <c r="B201">
        <v>372</v>
      </c>
      <c r="C201">
        <v>199</v>
      </c>
      <c r="D201">
        <v>2022</v>
      </c>
      <c r="G201" t="s">
        <v>3852</v>
      </c>
      <c r="H201">
        <v>50963243000101</v>
      </c>
      <c r="I201" t="s">
        <v>3750</v>
      </c>
      <c r="J201" t="s">
        <v>3853</v>
      </c>
      <c r="K201" t="s">
        <v>3752</v>
      </c>
      <c r="M201" t="s">
        <v>3753</v>
      </c>
      <c r="O201" t="s">
        <v>6476</v>
      </c>
      <c r="P201" t="s">
        <v>1094</v>
      </c>
      <c r="Q201" t="s">
        <v>790</v>
      </c>
      <c r="T201" t="s">
        <v>319</v>
      </c>
      <c r="U201" t="s">
        <v>3417</v>
      </c>
      <c r="W201">
        <v>0</v>
      </c>
      <c r="X201">
        <v>1496</v>
      </c>
      <c r="Z201">
        <v>30</v>
      </c>
      <c r="AA201" s="31">
        <v>45783</v>
      </c>
      <c r="AB201" s="61">
        <v>0.48534722222222221</v>
      </c>
      <c r="AC201" t="s">
        <v>795</v>
      </c>
      <c r="AD201" s="31">
        <v>45813</v>
      </c>
      <c r="AE201" s="61">
        <v>0.47509259259259262</v>
      </c>
      <c r="AF201" t="s">
        <v>934</v>
      </c>
      <c r="AH201" t="s">
        <v>3854</v>
      </c>
      <c r="AI201" t="s">
        <v>3855</v>
      </c>
      <c r="AQ201">
        <v>1</v>
      </c>
    </row>
    <row r="202" spans="1:43" hidden="1" x14ac:dyDescent="0.25">
      <c r="A202" t="s">
        <v>31</v>
      </c>
      <c r="B202">
        <v>373</v>
      </c>
      <c r="C202">
        <v>178</v>
      </c>
      <c r="D202">
        <v>1614</v>
      </c>
      <c r="G202" t="s">
        <v>3591</v>
      </c>
      <c r="H202">
        <v>54124158000100</v>
      </c>
      <c r="I202" t="s">
        <v>3539</v>
      </c>
      <c r="J202" t="s">
        <v>1243</v>
      </c>
      <c r="K202" t="s">
        <v>3541</v>
      </c>
      <c r="M202" t="s">
        <v>3542</v>
      </c>
      <c r="O202" t="s">
        <v>6453</v>
      </c>
      <c r="P202" t="s">
        <v>1837</v>
      </c>
      <c r="Q202" t="s">
        <v>790</v>
      </c>
      <c r="T202" t="s">
        <v>319</v>
      </c>
      <c r="U202" t="s">
        <v>816</v>
      </c>
      <c r="W202">
        <v>44651</v>
      </c>
      <c r="X202">
        <v>0</v>
      </c>
      <c r="Z202">
        <v>5</v>
      </c>
      <c r="AA202" s="31">
        <v>45784</v>
      </c>
      <c r="AB202" s="61">
        <v>0.51723379629629629</v>
      </c>
      <c r="AC202" t="s">
        <v>818</v>
      </c>
      <c r="AD202" s="31">
        <v>45789</v>
      </c>
      <c r="AE202" s="61">
        <v>0.39689814814814822</v>
      </c>
      <c r="AH202" t="s">
        <v>3856</v>
      </c>
      <c r="AQ202">
        <v>1</v>
      </c>
    </row>
    <row r="203" spans="1:43" hidden="1" x14ac:dyDescent="0.25">
      <c r="A203" t="s">
        <v>31</v>
      </c>
      <c r="B203">
        <v>374</v>
      </c>
      <c r="C203">
        <v>134</v>
      </c>
      <c r="D203">
        <v>161</v>
      </c>
      <c r="G203" t="s">
        <v>6489</v>
      </c>
      <c r="I203" t="s">
        <v>3377</v>
      </c>
      <c r="J203" t="s">
        <v>3377</v>
      </c>
      <c r="K203" t="s">
        <v>3378</v>
      </c>
      <c r="M203" t="s">
        <v>3379</v>
      </c>
      <c r="T203" t="s">
        <v>319</v>
      </c>
      <c r="U203" t="s">
        <v>3417</v>
      </c>
      <c r="Z203">
        <v>6</v>
      </c>
      <c r="AA203" s="31">
        <v>45785</v>
      </c>
      <c r="AB203" s="61">
        <v>0.64045138888888886</v>
      </c>
      <c r="AC203" t="s">
        <v>795</v>
      </c>
      <c r="AD203" s="31">
        <v>45791</v>
      </c>
      <c r="AE203" s="61">
        <v>0.4856712962962963</v>
      </c>
      <c r="AF203" t="s">
        <v>934</v>
      </c>
      <c r="AH203" t="s">
        <v>3858</v>
      </c>
      <c r="AQ203">
        <v>1</v>
      </c>
    </row>
    <row r="204" spans="1:43" hidden="1" x14ac:dyDescent="0.25">
      <c r="A204" t="s">
        <v>31</v>
      </c>
      <c r="B204">
        <v>377</v>
      </c>
      <c r="C204">
        <v>123</v>
      </c>
      <c r="D204">
        <v>2026</v>
      </c>
      <c r="G204" t="s">
        <v>3859</v>
      </c>
      <c r="I204" t="s">
        <v>647</v>
      </c>
      <c r="J204" t="s">
        <v>4067</v>
      </c>
      <c r="K204" t="s">
        <v>3861</v>
      </c>
      <c r="M204" t="s">
        <v>3353</v>
      </c>
      <c r="T204" t="s">
        <v>319</v>
      </c>
      <c r="U204" t="s">
        <v>816</v>
      </c>
      <c r="W204">
        <v>1428</v>
      </c>
      <c r="X204">
        <v>550</v>
      </c>
      <c r="Z204">
        <v>17</v>
      </c>
      <c r="AA204" s="31">
        <v>45786</v>
      </c>
      <c r="AB204" s="61">
        <v>0.41125</v>
      </c>
      <c r="AC204" t="s">
        <v>818</v>
      </c>
      <c r="AD204" s="31">
        <v>45803</v>
      </c>
      <c r="AE204" s="61">
        <v>0.80402777777777779</v>
      </c>
      <c r="AH204" t="s">
        <v>3862</v>
      </c>
      <c r="AI204" t="s">
        <v>3862</v>
      </c>
      <c r="AQ204">
        <v>1</v>
      </c>
    </row>
    <row r="205" spans="1:43" hidden="1" x14ac:dyDescent="0.25">
      <c r="A205" t="s">
        <v>31</v>
      </c>
      <c r="B205">
        <v>378</v>
      </c>
      <c r="C205">
        <v>134</v>
      </c>
      <c r="D205">
        <v>2027</v>
      </c>
      <c r="G205" t="s">
        <v>3863</v>
      </c>
      <c r="I205" t="s">
        <v>3377</v>
      </c>
      <c r="J205" t="s">
        <v>3985</v>
      </c>
      <c r="K205" t="s">
        <v>3830</v>
      </c>
      <c r="M205" t="s">
        <v>3379</v>
      </c>
      <c r="T205" t="s">
        <v>319</v>
      </c>
      <c r="U205" t="s">
        <v>3417</v>
      </c>
      <c r="Z205">
        <v>5</v>
      </c>
      <c r="AA205" s="31">
        <v>45786</v>
      </c>
      <c r="AB205" s="61">
        <v>0.60530092592592588</v>
      </c>
      <c r="AC205" t="s">
        <v>795</v>
      </c>
      <c r="AD205" s="31">
        <v>45791</v>
      </c>
      <c r="AE205" s="61">
        <v>0.48603009259259261</v>
      </c>
      <c r="AF205" t="s">
        <v>934</v>
      </c>
      <c r="AH205" t="s">
        <v>3862</v>
      </c>
      <c r="AI205" t="s">
        <v>3856</v>
      </c>
      <c r="AQ205">
        <v>1</v>
      </c>
    </row>
    <row r="206" spans="1:43" hidden="1" x14ac:dyDescent="0.25">
      <c r="A206" t="s">
        <v>31</v>
      </c>
      <c r="B206">
        <v>380</v>
      </c>
      <c r="C206">
        <v>122</v>
      </c>
      <c r="D206">
        <v>2029</v>
      </c>
      <c r="G206" t="s">
        <v>3865</v>
      </c>
      <c r="I206" t="s">
        <v>680</v>
      </c>
      <c r="J206" t="s">
        <v>680</v>
      </c>
      <c r="K206" t="s">
        <v>3867</v>
      </c>
      <c r="M206" t="s">
        <v>3351</v>
      </c>
      <c r="T206" t="s">
        <v>319</v>
      </c>
      <c r="U206" t="s">
        <v>3417</v>
      </c>
      <c r="W206">
        <v>2880</v>
      </c>
      <c r="X206">
        <v>0</v>
      </c>
      <c r="Z206">
        <v>22</v>
      </c>
      <c r="AA206" s="31">
        <v>45789</v>
      </c>
      <c r="AB206" s="61">
        <v>0.42956018518518518</v>
      </c>
      <c r="AC206" t="s">
        <v>795</v>
      </c>
      <c r="AD206" s="31">
        <v>45811</v>
      </c>
      <c r="AE206" s="61">
        <v>0.5135763888888889</v>
      </c>
      <c r="AF206" t="s">
        <v>867</v>
      </c>
      <c r="AH206" t="s">
        <v>3868</v>
      </c>
      <c r="AQ206">
        <v>1</v>
      </c>
    </row>
    <row r="207" spans="1:43" hidden="1" x14ac:dyDescent="0.25">
      <c r="A207" t="s">
        <v>31</v>
      </c>
      <c r="B207">
        <v>381</v>
      </c>
      <c r="C207">
        <v>194</v>
      </c>
      <c r="D207">
        <v>2030</v>
      </c>
      <c r="G207" t="s">
        <v>233</v>
      </c>
      <c r="H207">
        <v>44580314000186</v>
      </c>
      <c r="I207" t="s">
        <v>3682</v>
      </c>
      <c r="J207" t="s">
        <v>704</v>
      </c>
      <c r="K207" t="s">
        <v>3684</v>
      </c>
      <c r="M207" t="s">
        <v>3685</v>
      </c>
      <c r="O207" t="s">
        <v>6469</v>
      </c>
      <c r="P207" t="s">
        <v>3687</v>
      </c>
      <c r="Q207" t="s">
        <v>790</v>
      </c>
      <c r="T207" t="s">
        <v>319</v>
      </c>
      <c r="U207" t="s">
        <v>816</v>
      </c>
      <c r="W207">
        <v>2856</v>
      </c>
      <c r="X207">
        <v>28512</v>
      </c>
      <c r="Z207">
        <v>28</v>
      </c>
      <c r="AA207" s="31">
        <v>45789</v>
      </c>
      <c r="AB207" s="61">
        <v>0.61649305555555556</v>
      </c>
      <c r="AC207" t="s">
        <v>818</v>
      </c>
      <c r="AD207" s="31">
        <v>45817</v>
      </c>
      <c r="AE207" s="61">
        <v>0.51645833333333335</v>
      </c>
      <c r="AH207" t="s">
        <v>3868</v>
      </c>
      <c r="AI207" t="s">
        <v>3869</v>
      </c>
      <c r="AQ207">
        <v>1</v>
      </c>
    </row>
    <row r="208" spans="1:43" hidden="1" x14ac:dyDescent="0.25">
      <c r="A208" t="s">
        <v>31</v>
      </c>
      <c r="B208">
        <v>386</v>
      </c>
      <c r="C208">
        <v>183</v>
      </c>
      <c r="D208">
        <v>2038</v>
      </c>
      <c r="G208" t="s">
        <v>3870</v>
      </c>
      <c r="H208">
        <v>3204281000192</v>
      </c>
      <c r="I208" t="s">
        <v>3594</v>
      </c>
      <c r="J208" t="s">
        <v>3595</v>
      </c>
      <c r="K208" t="s">
        <v>3596</v>
      </c>
      <c r="M208" t="s">
        <v>2617</v>
      </c>
      <c r="O208" t="s">
        <v>6459</v>
      </c>
      <c r="P208" t="s">
        <v>2618</v>
      </c>
      <c r="Q208" t="s">
        <v>790</v>
      </c>
      <c r="T208" t="s">
        <v>319</v>
      </c>
      <c r="U208" t="s">
        <v>816</v>
      </c>
      <c r="W208">
        <v>420</v>
      </c>
      <c r="X208">
        <v>0</v>
      </c>
      <c r="Z208">
        <v>5</v>
      </c>
      <c r="AA208" s="31">
        <v>45791</v>
      </c>
      <c r="AB208" s="61">
        <v>0.63041666666666663</v>
      </c>
      <c r="AC208" t="s">
        <v>818</v>
      </c>
      <c r="AD208" s="31">
        <v>45796</v>
      </c>
      <c r="AE208" s="61">
        <v>0.37569444444444439</v>
      </c>
      <c r="AH208" t="s">
        <v>3871</v>
      </c>
      <c r="AI208" t="s">
        <v>3872</v>
      </c>
      <c r="AQ208">
        <v>1</v>
      </c>
    </row>
    <row r="209" spans="1:43" hidden="1" x14ac:dyDescent="0.25">
      <c r="A209" t="s">
        <v>31</v>
      </c>
      <c r="B209">
        <v>387</v>
      </c>
      <c r="C209">
        <v>197</v>
      </c>
      <c r="D209">
        <v>1888</v>
      </c>
      <c r="G209" t="s">
        <v>6490</v>
      </c>
      <c r="H209">
        <v>8616236000169</v>
      </c>
      <c r="I209" t="s">
        <v>3726</v>
      </c>
      <c r="J209" t="s">
        <v>704</v>
      </c>
      <c r="K209" t="s">
        <v>3727</v>
      </c>
      <c r="M209" t="s">
        <v>3728</v>
      </c>
      <c r="O209" t="s">
        <v>6472</v>
      </c>
      <c r="P209" t="s">
        <v>3687</v>
      </c>
      <c r="Q209" t="s">
        <v>790</v>
      </c>
      <c r="T209" t="s">
        <v>319</v>
      </c>
      <c r="U209" t="s">
        <v>3417</v>
      </c>
      <c r="W209">
        <v>2880</v>
      </c>
      <c r="X209">
        <v>0</v>
      </c>
      <c r="Z209">
        <v>19</v>
      </c>
      <c r="AA209" s="31">
        <v>45792</v>
      </c>
      <c r="AB209" s="61">
        <v>0.51618055555555553</v>
      </c>
      <c r="AC209" t="s">
        <v>795</v>
      </c>
      <c r="AD209" s="31">
        <v>45811</v>
      </c>
      <c r="AE209" s="61">
        <v>0.64978009259259262</v>
      </c>
      <c r="AF209" t="s">
        <v>796</v>
      </c>
      <c r="AH209" t="s">
        <v>3874</v>
      </c>
      <c r="AI209" t="s">
        <v>1695</v>
      </c>
      <c r="AQ209">
        <v>1</v>
      </c>
    </row>
    <row r="210" spans="1:43" hidden="1" x14ac:dyDescent="0.25">
      <c r="A210" t="s">
        <v>31</v>
      </c>
      <c r="B210">
        <v>388</v>
      </c>
      <c r="C210">
        <v>187</v>
      </c>
      <c r="D210">
        <v>2039</v>
      </c>
      <c r="G210" t="s">
        <v>3875</v>
      </c>
      <c r="H210">
        <v>17063632000105</v>
      </c>
      <c r="I210" t="s">
        <v>3631</v>
      </c>
      <c r="J210" t="s">
        <v>1499</v>
      </c>
      <c r="K210" t="s">
        <v>3633</v>
      </c>
      <c r="M210" t="s">
        <v>3634</v>
      </c>
      <c r="O210" t="s">
        <v>6464</v>
      </c>
      <c r="P210" t="s">
        <v>3636</v>
      </c>
      <c r="Q210" t="s">
        <v>1699</v>
      </c>
      <c r="T210" t="s">
        <v>319</v>
      </c>
      <c r="U210" t="s">
        <v>3417</v>
      </c>
      <c r="W210">
        <v>6300</v>
      </c>
      <c r="X210">
        <v>0</v>
      </c>
      <c r="Z210">
        <v>8</v>
      </c>
      <c r="AA210" s="31">
        <v>45792</v>
      </c>
      <c r="AB210" s="61">
        <v>0.7066782407407407</v>
      </c>
      <c r="AC210" t="s">
        <v>795</v>
      </c>
      <c r="AD210" s="31">
        <v>45800</v>
      </c>
      <c r="AE210" s="61">
        <v>0.52802083333333338</v>
      </c>
      <c r="AF210" t="s">
        <v>934</v>
      </c>
      <c r="AH210" t="s">
        <v>3874</v>
      </c>
      <c r="AQ210">
        <v>1</v>
      </c>
    </row>
    <row r="211" spans="1:43" hidden="1" x14ac:dyDescent="0.25">
      <c r="A211" t="s">
        <v>31</v>
      </c>
      <c r="B211">
        <v>389</v>
      </c>
      <c r="C211">
        <v>184</v>
      </c>
      <c r="D211">
        <v>2040</v>
      </c>
      <c r="G211" t="s">
        <v>3876</v>
      </c>
      <c r="H211">
        <v>11861121000144</v>
      </c>
      <c r="I211" t="s">
        <v>3877</v>
      </c>
      <c r="J211" t="s">
        <v>3878</v>
      </c>
      <c r="K211" t="s">
        <v>3879</v>
      </c>
      <c r="M211" t="s">
        <v>3880</v>
      </c>
      <c r="O211" t="s">
        <v>6491</v>
      </c>
      <c r="P211" t="s">
        <v>1094</v>
      </c>
      <c r="Q211" t="s">
        <v>790</v>
      </c>
      <c r="T211" t="s">
        <v>319</v>
      </c>
      <c r="U211" t="s">
        <v>781</v>
      </c>
      <c r="Z211">
        <v>6</v>
      </c>
      <c r="AA211" s="31">
        <v>45793</v>
      </c>
      <c r="AB211" s="61">
        <v>0.43585648148148148</v>
      </c>
      <c r="AC211" t="s">
        <v>795</v>
      </c>
      <c r="AD211" s="31">
        <v>45799</v>
      </c>
      <c r="AE211" s="61">
        <v>0.38090277777777781</v>
      </c>
      <c r="AF211" t="s">
        <v>934</v>
      </c>
      <c r="AI211" t="s">
        <v>3882</v>
      </c>
      <c r="AQ211">
        <v>1</v>
      </c>
    </row>
    <row r="212" spans="1:43" hidden="1" x14ac:dyDescent="0.25">
      <c r="A212" t="s">
        <v>31</v>
      </c>
      <c r="B212">
        <v>390</v>
      </c>
      <c r="C212">
        <v>148</v>
      </c>
      <c r="D212">
        <v>2041</v>
      </c>
      <c r="G212" t="s">
        <v>3883</v>
      </c>
      <c r="H212">
        <v>8530284000130</v>
      </c>
      <c r="I212" t="s">
        <v>3555</v>
      </c>
      <c r="J212" t="s">
        <v>2927</v>
      </c>
      <c r="K212" t="s">
        <v>3556</v>
      </c>
      <c r="M212" t="s">
        <v>3557</v>
      </c>
      <c r="S212" t="s">
        <v>1718</v>
      </c>
      <c r="T212" t="s">
        <v>319</v>
      </c>
      <c r="U212" t="s">
        <v>3417</v>
      </c>
      <c r="W212">
        <v>2856</v>
      </c>
      <c r="X212">
        <v>64152</v>
      </c>
      <c r="Z212">
        <v>101</v>
      </c>
      <c r="AA212" s="31">
        <v>45793</v>
      </c>
      <c r="AB212" s="61">
        <v>0.60055555555555551</v>
      </c>
      <c r="AC212" t="s">
        <v>795</v>
      </c>
      <c r="AD212" s="31">
        <v>45894</v>
      </c>
      <c r="AE212" s="61">
        <v>0.66383101851851856</v>
      </c>
      <c r="AF212" t="s">
        <v>867</v>
      </c>
      <c r="AH212" t="s">
        <v>3884</v>
      </c>
      <c r="AI212" t="s">
        <v>1885</v>
      </c>
      <c r="AQ212">
        <v>1</v>
      </c>
    </row>
    <row r="213" spans="1:43" hidden="1" x14ac:dyDescent="0.25">
      <c r="A213" t="s">
        <v>31</v>
      </c>
      <c r="B213">
        <v>391</v>
      </c>
      <c r="C213">
        <v>210</v>
      </c>
      <c r="D213">
        <v>2042</v>
      </c>
      <c r="G213" t="s">
        <v>3885</v>
      </c>
      <c r="H213">
        <v>51781567000183</v>
      </c>
      <c r="I213" t="s">
        <v>3886</v>
      </c>
      <c r="J213" t="s">
        <v>3735</v>
      </c>
      <c r="K213" t="s">
        <v>3887</v>
      </c>
      <c r="M213" t="s">
        <v>3888</v>
      </c>
      <c r="O213" t="s">
        <v>6492</v>
      </c>
      <c r="P213" t="s">
        <v>3890</v>
      </c>
      <c r="Q213" t="s">
        <v>932</v>
      </c>
      <c r="T213" t="s">
        <v>319</v>
      </c>
      <c r="U213" t="s">
        <v>3417</v>
      </c>
      <c r="W213">
        <v>420</v>
      </c>
      <c r="X213">
        <v>0</v>
      </c>
      <c r="Z213">
        <v>0</v>
      </c>
      <c r="AA213" s="31">
        <v>45793</v>
      </c>
      <c r="AB213" s="61">
        <v>0.61630787037037038</v>
      </c>
      <c r="AC213" t="s">
        <v>795</v>
      </c>
      <c r="AD213" s="31">
        <v>45793</v>
      </c>
      <c r="AE213" s="61">
        <v>0.62888888888888894</v>
      </c>
      <c r="AF213" t="s">
        <v>796</v>
      </c>
      <c r="AH213" t="s">
        <v>3891</v>
      </c>
      <c r="AQ213">
        <v>1</v>
      </c>
    </row>
    <row r="214" spans="1:43" hidden="1" x14ac:dyDescent="0.25">
      <c r="A214" t="s">
        <v>31</v>
      </c>
      <c r="B214">
        <v>392</v>
      </c>
      <c r="C214">
        <v>209</v>
      </c>
      <c r="D214">
        <v>2043</v>
      </c>
      <c r="G214" t="s">
        <v>3892</v>
      </c>
      <c r="H214">
        <v>10682266000115</v>
      </c>
      <c r="I214" t="s">
        <v>3893</v>
      </c>
      <c r="J214" t="s">
        <v>4028</v>
      </c>
      <c r="K214" t="s">
        <v>3895</v>
      </c>
      <c r="M214" t="s">
        <v>3896</v>
      </c>
      <c r="O214" t="s">
        <v>6493</v>
      </c>
      <c r="P214" t="s">
        <v>1596</v>
      </c>
      <c r="Q214" t="s">
        <v>790</v>
      </c>
      <c r="T214" t="s">
        <v>319</v>
      </c>
      <c r="U214" t="s">
        <v>3606</v>
      </c>
      <c r="Z214">
        <v>7</v>
      </c>
      <c r="AA214" s="31">
        <v>45793</v>
      </c>
      <c r="AB214" s="61">
        <v>0.62921296296296292</v>
      </c>
      <c r="AC214" t="s">
        <v>795</v>
      </c>
      <c r="AD214" s="31">
        <v>45800</v>
      </c>
      <c r="AE214" s="61">
        <v>0.52667824074074077</v>
      </c>
      <c r="AF214" t="s">
        <v>796</v>
      </c>
      <c r="AI214" t="s">
        <v>1730</v>
      </c>
      <c r="AJ214" t="s">
        <v>1730</v>
      </c>
      <c r="AQ214">
        <v>1</v>
      </c>
    </row>
    <row r="215" spans="1:43" hidden="1" x14ac:dyDescent="0.25">
      <c r="A215" t="s">
        <v>31</v>
      </c>
      <c r="B215">
        <v>393</v>
      </c>
      <c r="C215">
        <v>133</v>
      </c>
      <c r="D215">
        <v>2044</v>
      </c>
      <c r="G215" t="s">
        <v>3898</v>
      </c>
      <c r="I215" t="s">
        <v>625</v>
      </c>
      <c r="J215" t="s">
        <v>3899</v>
      </c>
      <c r="K215" t="s">
        <v>3584</v>
      </c>
      <c r="M215" t="s">
        <v>2207</v>
      </c>
      <c r="S215" t="s">
        <v>1327</v>
      </c>
      <c r="T215" t="s">
        <v>319</v>
      </c>
      <c r="U215" t="s">
        <v>816</v>
      </c>
      <c r="W215">
        <v>0</v>
      </c>
      <c r="X215">
        <v>325116</v>
      </c>
      <c r="Z215">
        <v>20</v>
      </c>
      <c r="AA215" s="31">
        <v>45793</v>
      </c>
      <c r="AB215" s="61">
        <v>0.68398148148148152</v>
      </c>
      <c r="AC215" t="s">
        <v>818</v>
      </c>
      <c r="AD215" s="31">
        <v>45813</v>
      </c>
      <c r="AE215" s="61">
        <v>0.47848379629629628</v>
      </c>
      <c r="AH215" t="s">
        <v>3900</v>
      </c>
      <c r="AI215" t="s">
        <v>3901</v>
      </c>
      <c r="AQ215">
        <v>1</v>
      </c>
    </row>
    <row r="216" spans="1:43" hidden="1" x14ac:dyDescent="0.25">
      <c r="A216" t="s">
        <v>31</v>
      </c>
      <c r="B216">
        <v>394</v>
      </c>
      <c r="C216">
        <v>208</v>
      </c>
      <c r="D216">
        <v>2045</v>
      </c>
      <c r="G216" t="s">
        <v>3902</v>
      </c>
      <c r="H216">
        <v>42830750000130</v>
      </c>
      <c r="I216" t="s">
        <v>3903</v>
      </c>
      <c r="J216" t="s">
        <v>3904</v>
      </c>
      <c r="K216" t="s">
        <v>3905</v>
      </c>
      <c r="M216" t="s">
        <v>4594</v>
      </c>
      <c r="O216" t="s">
        <v>6494</v>
      </c>
      <c r="P216" t="s">
        <v>1094</v>
      </c>
      <c r="Q216" t="s">
        <v>790</v>
      </c>
      <c r="T216" t="s">
        <v>319</v>
      </c>
      <c r="U216" t="s">
        <v>3417</v>
      </c>
      <c r="W216">
        <v>5040</v>
      </c>
      <c r="X216">
        <v>0</v>
      </c>
      <c r="Z216">
        <v>18</v>
      </c>
      <c r="AA216" s="31">
        <v>45796</v>
      </c>
      <c r="AB216" s="61">
        <v>0.42694444444444452</v>
      </c>
      <c r="AC216" t="s">
        <v>795</v>
      </c>
      <c r="AD216" s="31">
        <v>45814</v>
      </c>
      <c r="AE216" s="61">
        <v>0.49690972222222218</v>
      </c>
      <c r="AF216" t="s">
        <v>867</v>
      </c>
      <c r="AH216" t="s">
        <v>3901</v>
      </c>
      <c r="AI216" t="s">
        <v>3871</v>
      </c>
      <c r="AQ216">
        <v>1</v>
      </c>
    </row>
    <row r="217" spans="1:43" hidden="1" x14ac:dyDescent="0.25">
      <c r="A217" t="s">
        <v>31</v>
      </c>
      <c r="B217">
        <v>395</v>
      </c>
      <c r="C217">
        <v>179</v>
      </c>
      <c r="D217">
        <v>2046</v>
      </c>
      <c r="G217" t="s">
        <v>3908</v>
      </c>
      <c r="H217">
        <v>21736169000184</v>
      </c>
      <c r="I217" t="s">
        <v>3546</v>
      </c>
      <c r="J217" t="s">
        <v>3909</v>
      </c>
      <c r="K217" t="s">
        <v>3547</v>
      </c>
      <c r="M217" t="s">
        <v>3548</v>
      </c>
      <c r="O217" t="s">
        <v>6454</v>
      </c>
      <c r="P217" t="s">
        <v>3550</v>
      </c>
      <c r="Q217" t="s">
        <v>874</v>
      </c>
      <c r="T217" t="s">
        <v>319</v>
      </c>
      <c r="U217" t="s">
        <v>3417</v>
      </c>
      <c r="W217">
        <v>3360</v>
      </c>
      <c r="X217">
        <v>7128</v>
      </c>
      <c r="Z217">
        <v>134</v>
      </c>
      <c r="AA217" s="31">
        <v>45796</v>
      </c>
      <c r="AB217" s="61">
        <v>0.46653935185185191</v>
      </c>
      <c r="AC217" t="s">
        <v>795</v>
      </c>
      <c r="AD217" s="31">
        <v>45930</v>
      </c>
      <c r="AE217" s="61">
        <v>0.38721064814814821</v>
      </c>
      <c r="AF217" t="s">
        <v>796</v>
      </c>
      <c r="AH217" t="s">
        <v>3910</v>
      </c>
      <c r="AI217" t="s">
        <v>1885</v>
      </c>
      <c r="AQ217">
        <v>1</v>
      </c>
    </row>
    <row r="218" spans="1:43" hidden="1" x14ac:dyDescent="0.25">
      <c r="A218" t="s">
        <v>31</v>
      </c>
      <c r="B218">
        <v>396</v>
      </c>
      <c r="C218">
        <v>211</v>
      </c>
      <c r="D218">
        <v>2047</v>
      </c>
      <c r="G218" t="s">
        <v>3911</v>
      </c>
      <c r="H218">
        <v>5691820000190</v>
      </c>
      <c r="I218" t="s">
        <v>3912</v>
      </c>
      <c r="J218" t="s">
        <v>1239</v>
      </c>
      <c r="K218" t="s">
        <v>3913</v>
      </c>
      <c r="M218" t="s">
        <v>3914</v>
      </c>
      <c r="O218" t="s">
        <v>6495</v>
      </c>
      <c r="P218" t="s">
        <v>1026</v>
      </c>
      <c r="Q218" t="s">
        <v>1027</v>
      </c>
      <c r="S218" t="s">
        <v>1718</v>
      </c>
      <c r="T218" t="s">
        <v>319</v>
      </c>
      <c r="U218" t="s">
        <v>816</v>
      </c>
      <c r="W218">
        <v>1123798</v>
      </c>
      <c r="X218">
        <v>1404</v>
      </c>
      <c r="Z218">
        <v>52</v>
      </c>
      <c r="AA218" s="31">
        <v>45796</v>
      </c>
      <c r="AB218" s="61">
        <v>0.6614930555555556</v>
      </c>
      <c r="AC218" t="s">
        <v>818</v>
      </c>
      <c r="AD218" s="31">
        <v>45848</v>
      </c>
      <c r="AE218" s="61">
        <v>0.37546296296296289</v>
      </c>
      <c r="AH218" t="s">
        <v>3916</v>
      </c>
      <c r="AI218" t="s">
        <v>1730</v>
      </c>
      <c r="AJ218" t="s">
        <v>3916</v>
      </c>
      <c r="AQ218">
        <v>1</v>
      </c>
    </row>
    <row r="219" spans="1:43" hidden="1" x14ac:dyDescent="0.25">
      <c r="A219" t="s">
        <v>31</v>
      </c>
      <c r="B219">
        <v>397</v>
      </c>
      <c r="C219">
        <v>149</v>
      </c>
      <c r="D219">
        <v>2048</v>
      </c>
      <c r="G219" t="s">
        <v>3644</v>
      </c>
      <c r="H219">
        <v>12418196000118</v>
      </c>
      <c r="I219" t="s">
        <v>3645</v>
      </c>
      <c r="J219" t="s">
        <v>3917</v>
      </c>
      <c r="K219" t="s">
        <v>3647</v>
      </c>
      <c r="M219" t="s">
        <v>3648</v>
      </c>
      <c r="T219" t="s">
        <v>319</v>
      </c>
      <c r="U219" t="s">
        <v>3417</v>
      </c>
      <c r="W219">
        <v>1600</v>
      </c>
      <c r="X219">
        <v>1939757</v>
      </c>
      <c r="Z219">
        <v>17</v>
      </c>
      <c r="AA219" s="31">
        <v>45796</v>
      </c>
      <c r="AB219" s="61">
        <v>0.68685185185185182</v>
      </c>
      <c r="AC219" t="s">
        <v>795</v>
      </c>
      <c r="AD219" s="31">
        <v>45813</v>
      </c>
      <c r="AE219" s="61">
        <v>0.43167824074074068</v>
      </c>
      <c r="AF219" t="s">
        <v>934</v>
      </c>
      <c r="AH219" t="s">
        <v>3901</v>
      </c>
      <c r="AI219" t="s">
        <v>3900</v>
      </c>
      <c r="AQ219">
        <v>1</v>
      </c>
    </row>
    <row r="220" spans="1:43" hidden="1" x14ac:dyDescent="0.25">
      <c r="A220" t="s">
        <v>31</v>
      </c>
      <c r="B220">
        <v>398</v>
      </c>
      <c r="C220">
        <v>98</v>
      </c>
      <c r="D220">
        <v>2049</v>
      </c>
      <c r="G220" t="s">
        <v>3918</v>
      </c>
      <c r="I220" t="s">
        <v>604</v>
      </c>
      <c r="J220" t="s">
        <v>1243</v>
      </c>
      <c r="M220" t="s">
        <v>3295</v>
      </c>
      <c r="T220" t="s">
        <v>319</v>
      </c>
      <c r="U220" t="s">
        <v>3417</v>
      </c>
      <c r="Z220">
        <v>14</v>
      </c>
      <c r="AA220" s="31">
        <v>45797</v>
      </c>
      <c r="AB220" s="61">
        <v>0.40790509259259261</v>
      </c>
      <c r="AC220" t="s">
        <v>795</v>
      </c>
      <c r="AD220" s="31">
        <v>45811</v>
      </c>
      <c r="AE220" s="61">
        <v>0.65237268518518521</v>
      </c>
      <c r="AF220" t="s">
        <v>796</v>
      </c>
      <c r="AH220" t="s">
        <v>3919</v>
      </c>
      <c r="AI220" t="s">
        <v>3920</v>
      </c>
      <c r="AQ220">
        <v>1</v>
      </c>
    </row>
    <row r="221" spans="1:43" hidden="1" x14ac:dyDescent="0.25">
      <c r="A221" t="s">
        <v>31</v>
      </c>
      <c r="B221">
        <v>399</v>
      </c>
      <c r="C221">
        <v>180</v>
      </c>
      <c r="D221">
        <v>2052</v>
      </c>
      <c r="G221" t="s">
        <v>3921</v>
      </c>
      <c r="H221">
        <v>7287290000226</v>
      </c>
      <c r="I221" t="s">
        <v>3561</v>
      </c>
      <c r="J221" t="s">
        <v>3922</v>
      </c>
      <c r="K221" t="s">
        <v>3563</v>
      </c>
      <c r="M221" t="s">
        <v>3564</v>
      </c>
      <c r="O221" t="s">
        <v>6455</v>
      </c>
      <c r="P221" t="s">
        <v>3566</v>
      </c>
      <c r="Q221" t="s">
        <v>790</v>
      </c>
      <c r="T221" t="s">
        <v>319</v>
      </c>
      <c r="U221" t="s">
        <v>816</v>
      </c>
      <c r="W221">
        <v>840</v>
      </c>
      <c r="X221">
        <v>0</v>
      </c>
      <c r="Z221">
        <v>0</v>
      </c>
      <c r="AA221" s="31">
        <v>45798</v>
      </c>
      <c r="AB221" s="61">
        <v>0.53145833333333337</v>
      </c>
      <c r="AC221" t="s">
        <v>818</v>
      </c>
      <c r="AD221" s="31">
        <v>45798</v>
      </c>
      <c r="AE221" s="61">
        <v>0.53222222222222226</v>
      </c>
      <c r="AH221" t="s">
        <v>3882</v>
      </c>
      <c r="AI221" t="s">
        <v>3920</v>
      </c>
      <c r="AQ221">
        <v>1</v>
      </c>
    </row>
    <row r="222" spans="1:43" hidden="1" x14ac:dyDescent="0.25">
      <c r="A222" t="s">
        <v>31</v>
      </c>
      <c r="B222">
        <v>400</v>
      </c>
      <c r="C222">
        <v>107</v>
      </c>
      <c r="D222">
        <v>2055</v>
      </c>
      <c r="G222" t="s">
        <v>3923</v>
      </c>
      <c r="H222">
        <v>7527737000297</v>
      </c>
      <c r="I222" t="s">
        <v>427</v>
      </c>
      <c r="J222" t="s">
        <v>914</v>
      </c>
      <c r="M222" t="s">
        <v>3320</v>
      </c>
      <c r="S222" t="s">
        <v>1718</v>
      </c>
      <c r="T222" t="s">
        <v>319</v>
      </c>
      <c r="U222" t="s">
        <v>781</v>
      </c>
      <c r="Z222">
        <v>132</v>
      </c>
      <c r="AA222" s="31">
        <v>45799</v>
      </c>
      <c r="AB222" s="61">
        <v>0.39634259259259258</v>
      </c>
      <c r="AC222" t="s">
        <v>795</v>
      </c>
      <c r="AD222" s="31">
        <v>45931</v>
      </c>
      <c r="AE222" s="61">
        <v>0.70456018518518515</v>
      </c>
      <c r="AF222" t="s">
        <v>1358</v>
      </c>
      <c r="AI222" t="s">
        <v>3924</v>
      </c>
      <c r="AQ222">
        <v>1</v>
      </c>
    </row>
    <row r="223" spans="1:43" hidden="1" x14ac:dyDescent="0.25">
      <c r="A223" t="s">
        <v>31</v>
      </c>
      <c r="B223">
        <v>401</v>
      </c>
      <c r="C223">
        <v>103</v>
      </c>
      <c r="D223">
        <v>2056</v>
      </c>
      <c r="G223" t="s">
        <v>3925</v>
      </c>
      <c r="H223">
        <v>12549273000179</v>
      </c>
      <c r="I223" t="s">
        <v>3309</v>
      </c>
      <c r="J223" t="s">
        <v>1804</v>
      </c>
      <c r="M223" t="s">
        <v>3312</v>
      </c>
      <c r="O223" t="s">
        <v>6441</v>
      </c>
      <c r="P223" t="s">
        <v>1596</v>
      </c>
      <c r="Q223" t="s">
        <v>790</v>
      </c>
      <c r="T223" t="s">
        <v>319</v>
      </c>
      <c r="U223" t="s">
        <v>816</v>
      </c>
      <c r="W223">
        <v>3780</v>
      </c>
      <c r="X223">
        <v>0</v>
      </c>
      <c r="Z223">
        <v>13</v>
      </c>
      <c r="AA223" s="31">
        <v>45799</v>
      </c>
      <c r="AB223" s="61">
        <v>0.43107638888888888</v>
      </c>
      <c r="AC223" t="s">
        <v>818</v>
      </c>
      <c r="AD223" s="31">
        <v>45812</v>
      </c>
      <c r="AE223" s="61">
        <v>0.6988078703703704</v>
      </c>
      <c r="AH223" t="s">
        <v>3924</v>
      </c>
      <c r="AI223" t="s">
        <v>1726</v>
      </c>
      <c r="AQ223">
        <v>1</v>
      </c>
    </row>
    <row r="224" spans="1:43" hidden="1" x14ac:dyDescent="0.25">
      <c r="A224" t="s">
        <v>31</v>
      </c>
      <c r="B224">
        <v>402</v>
      </c>
      <c r="C224">
        <v>98</v>
      </c>
      <c r="D224">
        <v>2057</v>
      </c>
      <c r="G224" t="s">
        <v>3926</v>
      </c>
      <c r="I224" t="s">
        <v>604</v>
      </c>
      <c r="J224" t="s">
        <v>3927</v>
      </c>
      <c r="M224" t="s">
        <v>3295</v>
      </c>
      <c r="T224" t="s">
        <v>319</v>
      </c>
      <c r="U224" t="s">
        <v>3417</v>
      </c>
      <c r="Z224">
        <v>1</v>
      </c>
      <c r="AA224" s="31">
        <v>45799</v>
      </c>
      <c r="AB224" s="61">
        <v>0.45256944444444452</v>
      </c>
      <c r="AC224" t="s">
        <v>795</v>
      </c>
      <c r="AD224" s="31">
        <v>45800</v>
      </c>
      <c r="AE224" s="61">
        <v>0.53533564814814816</v>
      </c>
      <c r="AF224" t="s">
        <v>1358</v>
      </c>
      <c r="AH224" t="s">
        <v>3924</v>
      </c>
      <c r="AI224" t="s">
        <v>1726</v>
      </c>
      <c r="AQ224">
        <v>1</v>
      </c>
    </row>
    <row r="225" spans="1:43" hidden="1" x14ac:dyDescent="0.25">
      <c r="A225" t="s">
        <v>31</v>
      </c>
      <c r="B225">
        <v>403</v>
      </c>
      <c r="C225">
        <v>76</v>
      </c>
      <c r="D225">
        <v>2059</v>
      </c>
      <c r="G225" t="s">
        <v>3928</v>
      </c>
      <c r="I225" t="s">
        <v>225</v>
      </c>
      <c r="J225" t="s">
        <v>3691</v>
      </c>
      <c r="K225" t="s">
        <v>3623</v>
      </c>
      <c r="M225" t="s">
        <v>3233</v>
      </c>
      <c r="P225" t="s">
        <v>3234</v>
      </c>
      <c r="Q225" t="s">
        <v>1699</v>
      </c>
      <c r="T225" t="s">
        <v>319</v>
      </c>
      <c r="U225" t="s">
        <v>816</v>
      </c>
      <c r="W225">
        <v>1680</v>
      </c>
      <c r="X225">
        <v>0</v>
      </c>
      <c r="Z225">
        <v>0</v>
      </c>
      <c r="AA225" s="31">
        <v>45804</v>
      </c>
      <c r="AB225" s="61">
        <v>0.78116898148148151</v>
      </c>
      <c r="AC225" t="s">
        <v>818</v>
      </c>
      <c r="AD225" s="31">
        <v>45804</v>
      </c>
      <c r="AE225" s="61">
        <v>0.78571759259259255</v>
      </c>
      <c r="AH225" t="s">
        <v>3929</v>
      </c>
      <c r="AI225" t="s">
        <v>3929</v>
      </c>
      <c r="AQ225">
        <v>1</v>
      </c>
    </row>
    <row r="226" spans="1:43" hidden="1" x14ac:dyDescent="0.25">
      <c r="A226" t="s">
        <v>31</v>
      </c>
      <c r="B226">
        <v>404</v>
      </c>
      <c r="C226">
        <v>107</v>
      </c>
      <c r="D226">
        <v>2060</v>
      </c>
      <c r="G226" t="s">
        <v>3930</v>
      </c>
      <c r="H226">
        <v>7527737000297</v>
      </c>
      <c r="I226" t="s">
        <v>427</v>
      </c>
      <c r="J226" t="s">
        <v>914</v>
      </c>
      <c r="M226" t="s">
        <v>3320</v>
      </c>
      <c r="T226" t="s">
        <v>319</v>
      </c>
      <c r="U226" t="s">
        <v>781</v>
      </c>
      <c r="Z226">
        <v>127</v>
      </c>
      <c r="AA226" s="31">
        <v>45804</v>
      </c>
      <c r="AB226" s="61">
        <v>0.79291666666666671</v>
      </c>
      <c r="AC226" t="s">
        <v>795</v>
      </c>
      <c r="AD226" s="31">
        <v>45931</v>
      </c>
      <c r="AE226" s="61">
        <v>0.70349537037037035</v>
      </c>
      <c r="AF226" t="s">
        <v>867</v>
      </c>
      <c r="AQ226">
        <v>1</v>
      </c>
    </row>
    <row r="227" spans="1:43" hidden="1" x14ac:dyDescent="0.25">
      <c r="A227" t="s">
        <v>31</v>
      </c>
      <c r="B227">
        <v>411</v>
      </c>
      <c r="C227">
        <v>103</v>
      </c>
      <c r="D227">
        <v>2074</v>
      </c>
      <c r="G227" t="s">
        <v>3931</v>
      </c>
      <c r="H227">
        <v>12549273000179</v>
      </c>
      <c r="I227" t="s">
        <v>3309</v>
      </c>
      <c r="J227" t="s">
        <v>3932</v>
      </c>
      <c r="K227" t="s">
        <v>3933</v>
      </c>
      <c r="M227" t="s">
        <v>3312</v>
      </c>
      <c r="O227" t="s">
        <v>6441</v>
      </c>
      <c r="P227" t="s">
        <v>1596</v>
      </c>
      <c r="Q227" t="s">
        <v>790</v>
      </c>
      <c r="S227" t="s">
        <v>1718</v>
      </c>
      <c r="T227" t="s">
        <v>319</v>
      </c>
      <c r="U227" t="s">
        <v>3417</v>
      </c>
      <c r="W227">
        <v>420</v>
      </c>
      <c r="X227">
        <v>3564</v>
      </c>
      <c r="Z227">
        <v>29</v>
      </c>
      <c r="AA227" s="31">
        <v>45805</v>
      </c>
      <c r="AB227" s="61">
        <v>0.45006944444444452</v>
      </c>
      <c r="AC227" t="s">
        <v>795</v>
      </c>
      <c r="AD227" s="31">
        <v>45834</v>
      </c>
      <c r="AE227" s="61">
        <v>0.66600694444444442</v>
      </c>
      <c r="AF227" t="s">
        <v>867</v>
      </c>
      <c r="AH227" t="s">
        <v>3934</v>
      </c>
      <c r="AI227" t="s">
        <v>3934</v>
      </c>
      <c r="AQ227">
        <v>1</v>
      </c>
    </row>
    <row r="228" spans="1:43" hidden="1" x14ac:dyDescent="0.25">
      <c r="A228" t="s">
        <v>31</v>
      </c>
      <c r="B228">
        <v>414</v>
      </c>
      <c r="C228">
        <v>187</v>
      </c>
      <c r="D228">
        <v>2102</v>
      </c>
      <c r="G228" t="s">
        <v>3935</v>
      </c>
      <c r="H228">
        <v>17063632000105</v>
      </c>
      <c r="I228" t="s">
        <v>3631</v>
      </c>
      <c r="J228" t="s">
        <v>3936</v>
      </c>
      <c r="K228" t="s">
        <v>3633</v>
      </c>
      <c r="M228" t="s">
        <v>3634</v>
      </c>
      <c r="O228" t="s">
        <v>6464</v>
      </c>
      <c r="P228" t="s">
        <v>3636</v>
      </c>
      <c r="Q228" t="s">
        <v>1699</v>
      </c>
      <c r="T228" t="s">
        <v>319</v>
      </c>
      <c r="U228" t="s">
        <v>3417</v>
      </c>
      <c r="W228">
        <v>4200</v>
      </c>
      <c r="X228">
        <v>0</v>
      </c>
      <c r="Z228">
        <v>5</v>
      </c>
      <c r="AA228" s="31">
        <v>45806</v>
      </c>
      <c r="AB228" s="61">
        <v>0.6139930555555555</v>
      </c>
      <c r="AC228" t="s">
        <v>795</v>
      </c>
      <c r="AD228" s="31">
        <v>45811</v>
      </c>
      <c r="AE228" s="61">
        <v>0.64604166666666663</v>
      </c>
      <c r="AF228" t="s">
        <v>796</v>
      </c>
      <c r="AH228" t="s">
        <v>3937</v>
      </c>
      <c r="AQ228">
        <v>1</v>
      </c>
    </row>
    <row r="229" spans="1:43" hidden="1" x14ac:dyDescent="0.25">
      <c r="A229" t="s">
        <v>31</v>
      </c>
      <c r="B229">
        <v>418</v>
      </c>
      <c r="C229">
        <v>196</v>
      </c>
      <c r="D229">
        <v>2143</v>
      </c>
      <c r="G229" t="s">
        <v>488</v>
      </c>
      <c r="H229">
        <v>32494222000102</v>
      </c>
      <c r="I229" t="s">
        <v>3715</v>
      </c>
      <c r="J229" t="s">
        <v>3716</v>
      </c>
      <c r="K229" t="s">
        <v>3717</v>
      </c>
      <c r="M229" t="s">
        <v>3718</v>
      </c>
      <c r="O229" t="s">
        <v>6471</v>
      </c>
      <c r="P229" t="s">
        <v>3720</v>
      </c>
      <c r="Q229" t="s">
        <v>790</v>
      </c>
      <c r="T229" t="s">
        <v>319</v>
      </c>
      <c r="U229" t="s">
        <v>3417</v>
      </c>
      <c r="W229">
        <v>1600</v>
      </c>
      <c r="X229">
        <v>252621</v>
      </c>
      <c r="Z229">
        <v>4</v>
      </c>
      <c r="AA229" s="31">
        <v>45807</v>
      </c>
      <c r="AB229" s="61">
        <v>0.49321759259259262</v>
      </c>
      <c r="AC229" t="s">
        <v>795</v>
      </c>
      <c r="AD229" s="31">
        <v>45811</v>
      </c>
      <c r="AE229" s="61">
        <v>0.65384259259259259</v>
      </c>
      <c r="AF229" t="s">
        <v>867</v>
      </c>
      <c r="AH229" t="s">
        <v>1590</v>
      </c>
      <c r="AI229" t="s">
        <v>1590</v>
      </c>
      <c r="AQ229">
        <v>1</v>
      </c>
    </row>
    <row r="230" spans="1:43" hidden="1" x14ac:dyDescent="0.25">
      <c r="A230" t="s">
        <v>31</v>
      </c>
      <c r="B230">
        <v>420</v>
      </c>
      <c r="C230">
        <v>73</v>
      </c>
      <c r="D230">
        <v>2145</v>
      </c>
      <c r="G230" t="s">
        <v>3938</v>
      </c>
      <c r="I230" t="s">
        <v>3218</v>
      </c>
      <c r="J230" t="s">
        <v>1474</v>
      </c>
      <c r="K230" t="s">
        <v>3939</v>
      </c>
      <c r="M230" t="s">
        <v>3220</v>
      </c>
      <c r="T230" t="s">
        <v>319</v>
      </c>
      <c r="U230" t="s">
        <v>3417</v>
      </c>
      <c r="W230">
        <v>3024</v>
      </c>
      <c r="X230">
        <v>3564</v>
      </c>
      <c r="Z230">
        <v>7</v>
      </c>
      <c r="AA230" s="31">
        <v>45807</v>
      </c>
      <c r="AB230" s="61">
        <v>0.59365740740740736</v>
      </c>
      <c r="AC230" t="s">
        <v>795</v>
      </c>
      <c r="AD230" s="31">
        <v>45814</v>
      </c>
      <c r="AE230" s="61">
        <v>0.47375</v>
      </c>
      <c r="AF230" t="s">
        <v>796</v>
      </c>
      <c r="AH230" t="s">
        <v>3940</v>
      </c>
      <c r="AI230" t="s">
        <v>3940</v>
      </c>
      <c r="AQ230">
        <v>1</v>
      </c>
    </row>
    <row r="231" spans="1:43" hidden="1" x14ac:dyDescent="0.25">
      <c r="A231" t="s">
        <v>31</v>
      </c>
      <c r="B231">
        <v>421</v>
      </c>
      <c r="C231">
        <v>148</v>
      </c>
      <c r="D231">
        <v>531</v>
      </c>
      <c r="G231" t="s">
        <v>3941</v>
      </c>
      <c r="H231">
        <v>8530284000130</v>
      </c>
      <c r="I231" t="s">
        <v>3555</v>
      </c>
      <c r="J231" t="s">
        <v>2927</v>
      </c>
      <c r="K231" t="s">
        <v>3942</v>
      </c>
      <c r="M231" t="s">
        <v>3557</v>
      </c>
      <c r="T231" t="s">
        <v>319</v>
      </c>
      <c r="U231" t="s">
        <v>816</v>
      </c>
      <c r="W231">
        <v>714</v>
      </c>
      <c r="X231">
        <v>32076</v>
      </c>
      <c r="Z231">
        <v>7</v>
      </c>
      <c r="AA231" s="31">
        <v>45807</v>
      </c>
      <c r="AB231" s="61">
        <v>0.61069444444444443</v>
      </c>
      <c r="AC231" t="s">
        <v>818</v>
      </c>
      <c r="AD231" s="31">
        <v>45814</v>
      </c>
      <c r="AE231" s="61">
        <v>0.70561342592592591</v>
      </c>
      <c r="AH231" t="s">
        <v>3916</v>
      </c>
      <c r="AI231" t="s">
        <v>3940</v>
      </c>
      <c r="AQ231">
        <v>1</v>
      </c>
    </row>
    <row r="232" spans="1:43" hidden="1" x14ac:dyDescent="0.25">
      <c r="A232" t="s">
        <v>31</v>
      </c>
      <c r="B232">
        <v>424</v>
      </c>
      <c r="C232">
        <v>122</v>
      </c>
      <c r="D232">
        <v>2180</v>
      </c>
      <c r="G232" t="s">
        <v>3865</v>
      </c>
      <c r="I232" t="s">
        <v>680</v>
      </c>
      <c r="J232" t="s">
        <v>680</v>
      </c>
      <c r="K232" t="s">
        <v>3867</v>
      </c>
      <c r="M232" t="s">
        <v>3351</v>
      </c>
      <c r="T232" t="s">
        <v>319</v>
      </c>
      <c r="U232" t="s">
        <v>816</v>
      </c>
      <c r="W232">
        <v>2000</v>
      </c>
      <c r="X232">
        <v>0</v>
      </c>
      <c r="Z232">
        <v>0</v>
      </c>
      <c r="AA232" s="31">
        <v>45812</v>
      </c>
      <c r="AB232" s="61">
        <v>0.68781250000000005</v>
      </c>
      <c r="AC232" t="s">
        <v>818</v>
      </c>
      <c r="AD232" s="31">
        <v>45812</v>
      </c>
      <c r="AE232" s="61">
        <v>0.69079861111111107</v>
      </c>
      <c r="AH232" t="s">
        <v>3943</v>
      </c>
      <c r="AQ232">
        <v>1</v>
      </c>
    </row>
    <row r="233" spans="1:43" hidden="1" x14ac:dyDescent="0.25">
      <c r="A233" t="s">
        <v>31</v>
      </c>
      <c r="B233">
        <v>427</v>
      </c>
      <c r="C233">
        <v>115</v>
      </c>
      <c r="D233">
        <v>2188</v>
      </c>
      <c r="G233" t="s">
        <v>3944</v>
      </c>
      <c r="I233" t="s">
        <v>3333</v>
      </c>
      <c r="J233" t="s">
        <v>3945</v>
      </c>
      <c r="K233" t="s">
        <v>3526</v>
      </c>
      <c r="M233" t="s">
        <v>3334</v>
      </c>
      <c r="T233" t="s">
        <v>319</v>
      </c>
      <c r="U233" t="s">
        <v>3417</v>
      </c>
      <c r="Z233">
        <v>8</v>
      </c>
      <c r="AA233" s="31">
        <v>45813</v>
      </c>
      <c r="AB233" s="61">
        <v>0.61968749999999995</v>
      </c>
      <c r="AC233" t="s">
        <v>795</v>
      </c>
      <c r="AD233" s="31">
        <v>45821</v>
      </c>
      <c r="AE233" s="61">
        <v>0.69953703703703707</v>
      </c>
      <c r="AF233" t="s">
        <v>934</v>
      </c>
      <c r="AH233" t="s">
        <v>1854</v>
      </c>
      <c r="AI233" t="s">
        <v>3946</v>
      </c>
      <c r="AQ233">
        <v>1</v>
      </c>
    </row>
    <row r="234" spans="1:43" hidden="1" x14ac:dyDescent="0.25">
      <c r="A234" t="s">
        <v>31</v>
      </c>
      <c r="B234">
        <v>429</v>
      </c>
      <c r="C234">
        <v>119</v>
      </c>
      <c r="D234">
        <v>2191</v>
      </c>
      <c r="G234" t="s">
        <v>3947</v>
      </c>
      <c r="I234" t="s">
        <v>608</v>
      </c>
      <c r="J234" t="s">
        <v>844</v>
      </c>
      <c r="K234" t="s">
        <v>3948</v>
      </c>
      <c r="M234" t="s">
        <v>3345</v>
      </c>
      <c r="S234" t="s">
        <v>1419</v>
      </c>
      <c r="T234" t="s">
        <v>319</v>
      </c>
      <c r="U234" t="s">
        <v>3417</v>
      </c>
      <c r="W234">
        <v>26200</v>
      </c>
      <c r="X234">
        <v>3400</v>
      </c>
      <c r="Z234">
        <v>102</v>
      </c>
      <c r="AA234" s="31">
        <v>45814</v>
      </c>
      <c r="AB234" s="61">
        <v>0.59260416666666671</v>
      </c>
      <c r="AC234" t="s">
        <v>795</v>
      </c>
      <c r="AD234" s="31">
        <v>45916</v>
      </c>
      <c r="AE234" s="61">
        <v>0.50366898148148154</v>
      </c>
      <c r="AF234" t="s">
        <v>934</v>
      </c>
      <c r="AQ234">
        <v>1</v>
      </c>
    </row>
    <row r="235" spans="1:43" hidden="1" x14ac:dyDescent="0.25">
      <c r="A235" t="s">
        <v>31</v>
      </c>
      <c r="B235">
        <v>430</v>
      </c>
      <c r="C235">
        <v>134</v>
      </c>
      <c r="D235">
        <v>2192</v>
      </c>
      <c r="G235" t="s">
        <v>3949</v>
      </c>
      <c r="I235" t="s">
        <v>3377</v>
      </c>
      <c r="J235" t="s">
        <v>161</v>
      </c>
      <c r="K235" t="s">
        <v>3830</v>
      </c>
      <c r="M235" t="s">
        <v>3379</v>
      </c>
      <c r="S235" t="s">
        <v>1419</v>
      </c>
      <c r="T235" t="s">
        <v>319</v>
      </c>
      <c r="U235" t="s">
        <v>3417</v>
      </c>
      <c r="W235">
        <v>0</v>
      </c>
      <c r="X235">
        <v>2016</v>
      </c>
      <c r="Z235">
        <v>81</v>
      </c>
      <c r="AA235" s="31">
        <v>45814</v>
      </c>
      <c r="AB235" s="61">
        <v>0.61868055555555557</v>
      </c>
      <c r="AC235" t="s">
        <v>795</v>
      </c>
      <c r="AD235" s="31">
        <v>45895</v>
      </c>
      <c r="AE235" s="61">
        <v>0.63534722222222217</v>
      </c>
      <c r="AF235" t="s">
        <v>934</v>
      </c>
      <c r="AH235" t="s">
        <v>3951</v>
      </c>
      <c r="AI235" t="s">
        <v>3951</v>
      </c>
      <c r="AQ235">
        <v>1</v>
      </c>
    </row>
    <row r="236" spans="1:43" hidden="1" x14ac:dyDescent="0.25">
      <c r="A236" t="s">
        <v>31</v>
      </c>
      <c r="B236">
        <v>432</v>
      </c>
      <c r="C236">
        <v>211</v>
      </c>
      <c r="D236">
        <v>2196</v>
      </c>
      <c r="G236" t="s">
        <v>3952</v>
      </c>
      <c r="H236">
        <v>5691820000190</v>
      </c>
      <c r="I236" t="s">
        <v>3912</v>
      </c>
      <c r="J236" t="s">
        <v>6496</v>
      </c>
      <c r="K236" t="s">
        <v>3913</v>
      </c>
      <c r="M236" t="s">
        <v>3914</v>
      </c>
      <c r="O236" t="s">
        <v>6495</v>
      </c>
      <c r="P236" t="s">
        <v>1026</v>
      </c>
      <c r="Q236" t="s">
        <v>1027</v>
      </c>
      <c r="T236" t="s">
        <v>319</v>
      </c>
      <c r="U236" t="s">
        <v>3417</v>
      </c>
      <c r="W236">
        <v>58143</v>
      </c>
      <c r="X236">
        <v>0</v>
      </c>
      <c r="Z236">
        <v>3</v>
      </c>
      <c r="AA236" s="31">
        <v>45818</v>
      </c>
      <c r="AB236" s="61">
        <v>0.52453703703703702</v>
      </c>
      <c r="AC236" t="s">
        <v>795</v>
      </c>
      <c r="AD236" s="31">
        <v>45821</v>
      </c>
      <c r="AE236" s="61">
        <v>0.46098379629629632</v>
      </c>
      <c r="AF236" t="s">
        <v>867</v>
      </c>
      <c r="AH236" t="s">
        <v>3954</v>
      </c>
      <c r="AQ236">
        <v>1</v>
      </c>
    </row>
    <row r="237" spans="1:43" hidden="1" x14ac:dyDescent="0.25">
      <c r="A237" t="s">
        <v>31</v>
      </c>
      <c r="B237">
        <v>436</v>
      </c>
      <c r="C237">
        <v>207</v>
      </c>
      <c r="D237">
        <v>2201</v>
      </c>
      <c r="G237" t="s">
        <v>6497</v>
      </c>
      <c r="H237">
        <v>43609706000168</v>
      </c>
      <c r="I237" t="s">
        <v>3839</v>
      </c>
      <c r="J237" t="s">
        <v>3956</v>
      </c>
      <c r="K237" t="s">
        <v>3840</v>
      </c>
      <c r="M237" t="s">
        <v>3841</v>
      </c>
      <c r="O237" t="s">
        <v>6488</v>
      </c>
      <c r="P237" t="s">
        <v>3843</v>
      </c>
      <c r="Q237" t="s">
        <v>932</v>
      </c>
      <c r="S237" t="s">
        <v>1419</v>
      </c>
      <c r="T237" t="s">
        <v>319</v>
      </c>
      <c r="U237" t="s">
        <v>3417</v>
      </c>
      <c r="W237">
        <v>7140</v>
      </c>
      <c r="X237">
        <v>0</v>
      </c>
      <c r="Z237">
        <v>12</v>
      </c>
      <c r="AA237" s="31">
        <v>45820</v>
      </c>
      <c r="AB237" s="61">
        <v>0.70355324074074077</v>
      </c>
      <c r="AC237" t="s">
        <v>795</v>
      </c>
      <c r="AD237" s="31">
        <v>45832</v>
      </c>
      <c r="AE237" s="61">
        <v>0.64807870370370368</v>
      </c>
      <c r="AF237" t="s">
        <v>934</v>
      </c>
      <c r="AH237" t="s">
        <v>3957</v>
      </c>
      <c r="AI237" t="s">
        <v>3957</v>
      </c>
      <c r="AQ237">
        <v>1</v>
      </c>
    </row>
    <row r="238" spans="1:43" hidden="1" x14ac:dyDescent="0.25">
      <c r="A238" t="s">
        <v>31</v>
      </c>
      <c r="B238">
        <v>437</v>
      </c>
      <c r="C238">
        <v>147</v>
      </c>
      <c r="D238">
        <v>2202</v>
      </c>
      <c r="G238" t="s">
        <v>3958</v>
      </c>
      <c r="H238">
        <v>7964558000136</v>
      </c>
      <c r="I238" t="s">
        <v>3430</v>
      </c>
      <c r="J238" t="s">
        <v>6498</v>
      </c>
      <c r="K238" t="s">
        <v>3515</v>
      </c>
      <c r="M238" t="s">
        <v>3433</v>
      </c>
      <c r="S238" t="s">
        <v>1718</v>
      </c>
      <c r="T238" t="s">
        <v>319</v>
      </c>
      <c r="U238" t="s">
        <v>3417</v>
      </c>
      <c r="W238">
        <v>420</v>
      </c>
      <c r="X238">
        <v>3564</v>
      </c>
      <c r="Z238">
        <v>52</v>
      </c>
      <c r="AA238" s="31">
        <v>45821</v>
      </c>
      <c r="AB238" s="61">
        <v>0.42613425925925918</v>
      </c>
      <c r="AC238" t="s">
        <v>795</v>
      </c>
      <c r="AD238" s="31">
        <v>45873</v>
      </c>
      <c r="AE238" s="61">
        <v>0.72765046296296299</v>
      </c>
      <c r="AF238" t="s">
        <v>1358</v>
      </c>
      <c r="AH238" t="s">
        <v>3960</v>
      </c>
      <c r="AI238" t="s">
        <v>3960</v>
      </c>
      <c r="AQ238">
        <v>1</v>
      </c>
    </row>
    <row r="239" spans="1:43" hidden="1" x14ac:dyDescent="0.25">
      <c r="A239" t="s">
        <v>31</v>
      </c>
      <c r="B239">
        <v>438</v>
      </c>
      <c r="C239">
        <v>182</v>
      </c>
      <c r="D239">
        <v>2203</v>
      </c>
      <c r="G239" t="s">
        <v>3961</v>
      </c>
      <c r="H239">
        <v>23873456000161</v>
      </c>
      <c r="I239" t="s">
        <v>3573</v>
      </c>
      <c r="J239" t="s">
        <v>6499</v>
      </c>
      <c r="K239" t="s">
        <v>3575</v>
      </c>
      <c r="M239" t="s">
        <v>3576</v>
      </c>
      <c r="O239" t="s">
        <v>6457</v>
      </c>
      <c r="P239" t="s">
        <v>1837</v>
      </c>
      <c r="Q239" t="s">
        <v>790</v>
      </c>
      <c r="S239" t="s">
        <v>1718</v>
      </c>
      <c r="T239" t="s">
        <v>319</v>
      </c>
      <c r="U239" t="s">
        <v>3417</v>
      </c>
      <c r="W239">
        <v>420</v>
      </c>
      <c r="X239">
        <v>3564</v>
      </c>
      <c r="Z239">
        <v>10</v>
      </c>
      <c r="AA239" s="31">
        <v>45821</v>
      </c>
      <c r="AB239" s="61">
        <v>0.46237268518518521</v>
      </c>
      <c r="AC239" t="s">
        <v>795</v>
      </c>
      <c r="AD239" s="31">
        <v>45831</v>
      </c>
      <c r="AE239" s="61">
        <v>0.44872685185185179</v>
      </c>
      <c r="AF239" t="s">
        <v>934</v>
      </c>
      <c r="AH239" t="s">
        <v>3960</v>
      </c>
      <c r="AI239" t="s">
        <v>3960</v>
      </c>
      <c r="AQ239">
        <v>1</v>
      </c>
    </row>
    <row r="240" spans="1:43" hidden="1" x14ac:dyDescent="0.25">
      <c r="A240" t="s">
        <v>31</v>
      </c>
      <c r="B240">
        <v>439</v>
      </c>
      <c r="C240">
        <v>149</v>
      </c>
      <c r="D240">
        <v>2204</v>
      </c>
      <c r="G240" t="s">
        <v>3963</v>
      </c>
      <c r="H240">
        <v>12418196000118</v>
      </c>
      <c r="I240" t="s">
        <v>3645</v>
      </c>
      <c r="J240" t="s">
        <v>3688</v>
      </c>
      <c r="K240" t="s">
        <v>3647</v>
      </c>
      <c r="M240" t="s">
        <v>3648</v>
      </c>
      <c r="S240" t="s">
        <v>1718</v>
      </c>
      <c r="T240" t="s">
        <v>319</v>
      </c>
      <c r="U240" t="s">
        <v>3606</v>
      </c>
      <c r="Z240">
        <v>13</v>
      </c>
      <c r="AA240" s="31">
        <v>45821</v>
      </c>
      <c r="AB240" s="61">
        <v>0.46744212962962961</v>
      </c>
      <c r="AC240" t="s">
        <v>795</v>
      </c>
      <c r="AD240" s="31">
        <v>45834</v>
      </c>
      <c r="AE240" s="61">
        <v>0.66707175925925921</v>
      </c>
      <c r="AF240" t="s">
        <v>867</v>
      </c>
      <c r="AI240" t="s">
        <v>3960</v>
      </c>
      <c r="AQ240">
        <v>1</v>
      </c>
    </row>
    <row r="241" spans="1:43" hidden="1" x14ac:dyDescent="0.25">
      <c r="A241" t="s">
        <v>31</v>
      </c>
      <c r="B241">
        <v>440</v>
      </c>
      <c r="C241">
        <v>212</v>
      </c>
      <c r="D241">
        <v>2205</v>
      </c>
      <c r="G241" t="s">
        <v>3964</v>
      </c>
      <c r="H241">
        <v>54984976000175</v>
      </c>
      <c r="I241" t="s">
        <v>3965</v>
      </c>
      <c r="J241" t="s">
        <v>3966</v>
      </c>
      <c r="K241" t="s">
        <v>3967</v>
      </c>
      <c r="M241" t="s">
        <v>3968</v>
      </c>
      <c r="O241" t="s">
        <v>6500</v>
      </c>
      <c r="P241" t="s">
        <v>1094</v>
      </c>
      <c r="Q241" t="s">
        <v>790</v>
      </c>
      <c r="S241" t="s">
        <v>1718</v>
      </c>
      <c r="T241" t="s">
        <v>319</v>
      </c>
      <c r="U241" t="s">
        <v>816</v>
      </c>
      <c r="W241">
        <v>420</v>
      </c>
      <c r="X241">
        <v>3564</v>
      </c>
      <c r="Z241">
        <v>10</v>
      </c>
      <c r="AA241" s="31">
        <v>45821</v>
      </c>
      <c r="AB241" s="61">
        <v>0.48508101851851848</v>
      </c>
      <c r="AC241" t="s">
        <v>795</v>
      </c>
      <c r="AD241" s="31">
        <v>45831</v>
      </c>
      <c r="AE241" s="61">
        <v>0.39015046296296302</v>
      </c>
      <c r="AF241" t="s">
        <v>934</v>
      </c>
      <c r="AH241" t="s">
        <v>3960</v>
      </c>
      <c r="AI241" t="s">
        <v>3960</v>
      </c>
      <c r="AQ241">
        <v>1</v>
      </c>
    </row>
    <row r="242" spans="1:43" hidden="1" x14ac:dyDescent="0.25">
      <c r="A242" t="s">
        <v>31</v>
      </c>
      <c r="B242">
        <v>442</v>
      </c>
      <c r="C242">
        <v>85</v>
      </c>
      <c r="D242">
        <v>2207</v>
      </c>
      <c r="G242" t="s">
        <v>3970</v>
      </c>
      <c r="I242" t="s">
        <v>3261</v>
      </c>
      <c r="J242" t="s">
        <v>3971</v>
      </c>
      <c r="K242" t="s">
        <v>3972</v>
      </c>
      <c r="M242" t="s">
        <v>3263</v>
      </c>
      <c r="P242" t="s">
        <v>3264</v>
      </c>
      <c r="T242" t="s">
        <v>319</v>
      </c>
      <c r="U242" t="s">
        <v>3417</v>
      </c>
      <c r="W242">
        <v>420</v>
      </c>
      <c r="X242">
        <v>3564</v>
      </c>
      <c r="Z242">
        <v>71</v>
      </c>
      <c r="AA242" s="31">
        <v>45824</v>
      </c>
      <c r="AB242" s="61">
        <v>0.40819444444444453</v>
      </c>
      <c r="AC242" t="s">
        <v>795</v>
      </c>
      <c r="AD242" s="31">
        <v>45895</v>
      </c>
      <c r="AE242" s="61">
        <v>0.62921296296296292</v>
      </c>
      <c r="AF242" t="s">
        <v>867</v>
      </c>
      <c r="AH242" t="s">
        <v>1769</v>
      </c>
      <c r="AI242" t="s">
        <v>3973</v>
      </c>
      <c r="AQ242">
        <v>1</v>
      </c>
    </row>
    <row r="243" spans="1:43" hidden="1" x14ac:dyDescent="0.25">
      <c r="A243" t="s">
        <v>31</v>
      </c>
      <c r="B243">
        <v>443</v>
      </c>
      <c r="C243">
        <v>108</v>
      </c>
      <c r="D243">
        <v>2208</v>
      </c>
      <c r="G243" t="s">
        <v>3974</v>
      </c>
      <c r="I243" t="s">
        <v>3321</v>
      </c>
      <c r="J243" t="s">
        <v>3975</v>
      </c>
      <c r="M243" t="s">
        <v>3322</v>
      </c>
      <c r="T243" t="s">
        <v>319</v>
      </c>
      <c r="U243" t="s">
        <v>3417</v>
      </c>
      <c r="W243">
        <v>420</v>
      </c>
      <c r="X243">
        <v>3564</v>
      </c>
      <c r="Z243">
        <v>2</v>
      </c>
      <c r="AA243" s="31">
        <v>45824</v>
      </c>
      <c r="AB243" s="61">
        <v>0.47565972222222219</v>
      </c>
      <c r="AC243" t="s">
        <v>795</v>
      </c>
      <c r="AD243" s="31">
        <v>45826</v>
      </c>
      <c r="AE243" s="61">
        <v>0.72990740740740745</v>
      </c>
      <c r="AF243" t="s">
        <v>867</v>
      </c>
      <c r="AH243" t="s">
        <v>3973</v>
      </c>
      <c r="AI243" t="s">
        <v>3973</v>
      </c>
      <c r="AQ243">
        <v>1</v>
      </c>
    </row>
    <row r="244" spans="1:43" hidden="1" x14ac:dyDescent="0.25">
      <c r="A244" t="s">
        <v>31</v>
      </c>
      <c r="B244">
        <v>444</v>
      </c>
      <c r="C244">
        <v>137</v>
      </c>
      <c r="D244">
        <v>2209</v>
      </c>
      <c r="G244" t="s">
        <v>3976</v>
      </c>
      <c r="I244" t="s">
        <v>116</v>
      </c>
      <c r="J244" t="s">
        <v>704</v>
      </c>
      <c r="K244" t="s">
        <v>3703</v>
      </c>
      <c r="M244" t="s">
        <v>3386</v>
      </c>
      <c r="T244" t="s">
        <v>319</v>
      </c>
      <c r="U244" t="s">
        <v>3417</v>
      </c>
      <c r="W244">
        <v>420</v>
      </c>
      <c r="X244">
        <v>3564</v>
      </c>
      <c r="Z244">
        <v>9</v>
      </c>
      <c r="AA244" s="31">
        <v>45824</v>
      </c>
      <c r="AB244" s="61">
        <v>0.48714120370370367</v>
      </c>
      <c r="AC244" t="s">
        <v>795</v>
      </c>
      <c r="AD244" s="31">
        <v>45833</v>
      </c>
      <c r="AE244" s="61">
        <v>0.46094907407407409</v>
      </c>
      <c r="AF244" t="s">
        <v>934</v>
      </c>
      <c r="AH244" t="s">
        <v>3973</v>
      </c>
      <c r="AI244" t="s">
        <v>3973</v>
      </c>
      <c r="AQ244">
        <v>1</v>
      </c>
    </row>
    <row r="245" spans="1:43" hidden="1" x14ac:dyDescent="0.25">
      <c r="A245" t="s">
        <v>31</v>
      </c>
      <c r="B245">
        <v>445</v>
      </c>
      <c r="C245">
        <v>116</v>
      </c>
      <c r="D245">
        <v>2211</v>
      </c>
      <c r="G245" t="s">
        <v>3977</v>
      </c>
      <c r="I245" t="s">
        <v>3335</v>
      </c>
      <c r="J245" t="s">
        <v>3978</v>
      </c>
      <c r="K245" t="s">
        <v>3979</v>
      </c>
      <c r="M245" t="s">
        <v>3337</v>
      </c>
      <c r="P245" t="s">
        <v>3338</v>
      </c>
      <c r="Q245" t="s">
        <v>3339</v>
      </c>
      <c r="T245" t="s">
        <v>319</v>
      </c>
      <c r="U245" t="s">
        <v>816</v>
      </c>
      <c r="W245">
        <v>420</v>
      </c>
      <c r="X245">
        <v>3564</v>
      </c>
      <c r="Z245">
        <v>39</v>
      </c>
      <c r="AA245" s="31">
        <v>45824</v>
      </c>
      <c r="AB245" s="61">
        <v>0.61697916666666663</v>
      </c>
      <c r="AC245" t="s">
        <v>795</v>
      </c>
      <c r="AD245" s="31">
        <v>45863</v>
      </c>
      <c r="AE245" s="61">
        <v>0.61900462962962965</v>
      </c>
      <c r="AF245" t="s">
        <v>934</v>
      </c>
      <c r="AH245" t="s">
        <v>3973</v>
      </c>
      <c r="AI245" t="s">
        <v>3973</v>
      </c>
      <c r="AQ245">
        <v>1</v>
      </c>
    </row>
    <row r="246" spans="1:43" hidden="1" x14ac:dyDescent="0.25">
      <c r="A246" t="s">
        <v>31</v>
      </c>
      <c r="B246">
        <v>446</v>
      </c>
      <c r="C246">
        <v>112</v>
      </c>
      <c r="D246">
        <v>2212</v>
      </c>
      <c r="G246" t="s">
        <v>3980</v>
      </c>
      <c r="I246" t="s">
        <v>3327</v>
      </c>
      <c r="J246" t="s">
        <v>3764</v>
      </c>
      <c r="M246" t="s">
        <v>3328</v>
      </c>
      <c r="T246" t="s">
        <v>319</v>
      </c>
      <c r="U246" t="s">
        <v>816</v>
      </c>
      <c r="W246">
        <v>420</v>
      </c>
      <c r="X246">
        <v>3564</v>
      </c>
      <c r="Z246">
        <v>2</v>
      </c>
      <c r="AA246" s="31">
        <v>45824</v>
      </c>
      <c r="AB246" s="61">
        <v>0.64842592592592596</v>
      </c>
      <c r="AC246" t="s">
        <v>795</v>
      </c>
      <c r="AD246" s="31">
        <v>45826</v>
      </c>
      <c r="AE246" s="61">
        <v>0.39716435185185178</v>
      </c>
      <c r="AF246" t="s">
        <v>867</v>
      </c>
      <c r="AH246" t="s">
        <v>3973</v>
      </c>
      <c r="AI246" t="s">
        <v>3973</v>
      </c>
      <c r="AQ246">
        <v>1</v>
      </c>
    </row>
    <row r="247" spans="1:43" hidden="1" x14ac:dyDescent="0.25">
      <c r="A247" t="s">
        <v>31</v>
      </c>
      <c r="B247">
        <v>448</v>
      </c>
      <c r="C247">
        <v>153</v>
      </c>
      <c r="D247">
        <v>2214</v>
      </c>
      <c r="G247" t="s">
        <v>3981</v>
      </c>
      <c r="I247" t="s">
        <v>3451</v>
      </c>
      <c r="J247" t="s">
        <v>6501</v>
      </c>
      <c r="K247" t="s">
        <v>3983</v>
      </c>
      <c r="M247" t="s">
        <v>3454</v>
      </c>
      <c r="T247" t="s">
        <v>319</v>
      </c>
      <c r="U247" t="s">
        <v>816</v>
      </c>
      <c r="W247">
        <v>420</v>
      </c>
      <c r="X247">
        <v>3564</v>
      </c>
      <c r="Z247">
        <v>10</v>
      </c>
      <c r="AA247" s="31">
        <v>45824</v>
      </c>
      <c r="AB247" s="61">
        <v>0.73062499999999997</v>
      </c>
      <c r="AC247" t="s">
        <v>795</v>
      </c>
      <c r="AD247" s="31">
        <v>45834</v>
      </c>
      <c r="AE247" s="61">
        <v>0.48526620370370371</v>
      </c>
      <c r="AF247" t="s">
        <v>934</v>
      </c>
      <c r="AH247" t="s">
        <v>3973</v>
      </c>
      <c r="AI247" t="s">
        <v>3973</v>
      </c>
      <c r="AQ247">
        <v>1</v>
      </c>
    </row>
    <row r="248" spans="1:43" hidden="1" x14ac:dyDescent="0.25">
      <c r="A248" t="s">
        <v>31</v>
      </c>
      <c r="B248">
        <v>449</v>
      </c>
      <c r="C248">
        <v>134</v>
      </c>
      <c r="D248">
        <v>2215</v>
      </c>
      <c r="G248" t="s">
        <v>3984</v>
      </c>
      <c r="I248" t="s">
        <v>3377</v>
      </c>
      <c r="J248" t="s">
        <v>3985</v>
      </c>
      <c r="K248" t="s">
        <v>3830</v>
      </c>
      <c r="M248" t="s">
        <v>3379</v>
      </c>
      <c r="T248" t="s">
        <v>319</v>
      </c>
      <c r="U248" t="s">
        <v>816</v>
      </c>
      <c r="W248">
        <v>1680</v>
      </c>
      <c r="X248">
        <v>0</v>
      </c>
      <c r="Z248">
        <v>0</v>
      </c>
      <c r="AA248" s="31">
        <v>45826</v>
      </c>
      <c r="AB248" s="61">
        <v>0.39401620370370372</v>
      </c>
      <c r="AC248" t="s">
        <v>818</v>
      </c>
      <c r="AD248" s="31">
        <v>45826</v>
      </c>
      <c r="AE248" s="61">
        <v>0.39494212962962971</v>
      </c>
      <c r="AH248" t="s">
        <v>3986</v>
      </c>
      <c r="AQ248">
        <v>1</v>
      </c>
    </row>
    <row r="249" spans="1:43" hidden="1" x14ac:dyDescent="0.25">
      <c r="A249" t="s">
        <v>31</v>
      </c>
      <c r="B249">
        <v>452</v>
      </c>
      <c r="C249">
        <v>134</v>
      </c>
      <c r="D249">
        <v>2215</v>
      </c>
      <c r="G249" t="s">
        <v>6502</v>
      </c>
      <c r="I249" t="s">
        <v>3377</v>
      </c>
      <c r="J249" t="s">
        <v>3985</v>
      </c>
      <c r="K249" t="s">
        <v>3830</v>
      </c>
      <c r="M249" t="s">
        <v>3379</v>
      </c>
      <c r="T249" t="s">
        <v>319</v>
      </c>
      <c r="U249" t="s">
        <v>3409</v>
      </c>
      <c r="Z249">
        <v>8</v>
      </c>
      <c r="AA249" s="31">
        <v>45826</v>
      </c>
      <c r="AB249" s="61">
        <v>0.69927083333333329</v>
      </c>
      <c r="AC249" t="s">
        <v>795</v>
      </c>
      <c r="AD249" s="31">
        <v>45834</v>
      </c>
      <c r="AE249" s="61">
        <v>0.66675925925925927</v>
      </c>
      <c r="AF249" t="s">
        <v>867</v>
      </c>
      <c r="AH249" t="s">
        <v>3986</v>
      </c>
      <c r="AI249" t="s">
        <v>3986</v>
      </c>
      <c r="AQ249">
        <v>1</v>
      </c>
    </row>
    <row r="250" spans="1:43" hidden="1" x14ac:dyDescent="0.25">
      <c r="A250" t="s">
        <v>31</v>
      </c>
      <c r="B250">
        <v>454</v>
      </c>
      <c r="C250">
        <v>170</v>
      </c>
      <c r="D250">
        <v>2220</v>
      </c>
      <c r="G250" t="s">
        <v>3988</v>
      </c>
      <c r="H250">
        <v>4150555001304</v>
      </c>
      <c r="I250" t="s">
        <v>3477</v>
      </c>
      <c r="J250" t="s">
        <v>3478</v>
      </c>
      <c r="K250" t="s">
        <v>3569</v>
      </c>
      <c r="M250" t="s">
        <v>3480</v>
      </c>
      <c r="O250" t="s">
        <v>6444</v>
      </c>
      <c r="P250" t="s">
        <v>3482</v>
      </c>
      <c r="Q250" t="s">
        <v>1699</v>
      </c>
      <c r="T250" t="s">
        <v>319</v>
      </c>
      <c r="U250" t="s">
        <v>816</v>
      </c>
      <c r="W250">
        <v>13000</v>
      </c>
      <c r="X250">
        <v>64152</v>
      </c>
      <c r="Z250">
        <v>44</v>
      </c>
      <c r="AA250" s="31">
        <v>45832</v>
      </c>
      <c r="AB250" s="61">
        <v>0.41875000000000001</v>
      </c>
      <c r="AC250" t="s">
        <v>795</v>
      </c>
      <c r="AD250" s="31">
        <v>45876</v>
      </c>
      <c r="AE250" s="61">
        <v>0.48769675925925932</v>
      </c>
      <c r="AF250" t="s">
        <v>934</v>
      </c>
      <c r="AH250" t="s">
        <v>3989</v>
      </c>
      <c r="AI250" t="s">
        <v>3989</v>
      </c>
      <c r="AQ250">
        <v>1</v>
      </c>
    </row>
    <row r="251" spans="1:43" hidden="1" x14ac:dyDescent="0.25">
      <c r="A251" t="s">
        <v>31</v>
      </c>
      <c r="B251">
        <v>458</v>
      </c>
      <c r="C251">
        <v>170</v>
      </c>
      <c r="D251">
        <v>2233</v>
      </c>
      <c r="G251" t="s">
        <v>460</v>
      </c>
      <c r="H251">
        <v>4150555001304</v>
      </c>
      <c r="I251" t="s">
        <v>3477</v>
      </c>
      <c r="J251" t="s">
        <v>3478</v>
      </c>
      <c r="K251" t="s">
        <v>3569</v>
      </c>
      <c r="M251" t="s">
        <v>3480</v>
      </c>
      <c r="O251" t="s">
        <v>6444</v>
      </c>
      <c r="P251" t="s">
        <v>3482</v>
      </c>
      <c r="Q251" t="s">
        <v>1699</v>
      </c>
      <c r="T251" t="s">
        <v>319</v>
      </c>
      <c r="U251" t="s">
        <v>816</v>
      </c>
      <c r="W251">
        <v>838821</v>
      </c>
      <c r="X251">
        <v>0</v>
      </c>
      <c r="Z251">
        <v>64</v>
      </c>
      <c r="AA251" s="31">
        <v>45832</v>
      </c>
      <c r="AB251" s="61">
        <v>0.64075231481481476</v>
      </c>
      <c r="AC251" t="s">
        <v>795</v>
      </c>
      <c r="AD251" s="31">
        <v>45896</v>
      </c>
      <c r="AE251" s="61">
        <v>0.65649305555555559</v>
      </c>
      <c r="AF251" t="s">
        <v>867</v>
      </c>
      <c r="AH251" t="s">
        <v>3990</v>
      </c>
      <c r="AQ251">
        <v>1</v>
      </c>
    </row>
    <row r="252" spans="1:43" hidden="1" x14ac:dyDescent="0.25">
      <c r="A252" t="s">
        <v>31</v>
      </c>
      <c r="B252">
        <v>459</v>
      </c>
      <c r="C252">
        <v>183</v>
      </c>
      <c r="D252">
        <v>2234</v>
      </c>
      <c r="G252" t="s">
        <v>3991</v>
      </c>
      <c r="H252">
        <v>3204281000192</v>
      </c>
      <c r="I252" t="s">
        <v>3594</v>
      </c>
      <c r="J252" t="s">
        <v>3595</v>
      </c>
      <c r="K252" t="s">
        <v>3596</v>
      </c>
      <c r="M252" t="s">
        <v>2617</v>
      </c>
      <c r="O252" t="s">
        <v>6459</v>
      </c>
      <c r="P252" t="s">
        <v>2618</v>
      </c>
      <c r="Q252" t="s">
        <v>790</v>
      </c>
      <c r="T252" t="s">
        <v>319</v>
      </c>
      <c r="U252" t="s">
        <v>3417</v>
      </c>
      <c r="W252">
        <v>420</v>
      </c>
      <c r="X252">
        <v>3564</v>
      </c>
      <c r="Z252">
        <v>45</v>
      </c>
      <c r="AA252" s="31">
        <v>45832</v>
      </c>
      <c r="AB252" s="61">
        <v>0.65225694444444449</v>
      </c>
      <c r="AC252" t="s">
        <v>795</v>
      </c>
      <c r="AD252" s="31">
        <v>45877</v>
      </c>
      <c r="AE252" s="61">
        <v>0.42207175925925933</v>
      </c>
      <c r="AF252" t="s">
        <v>934</v>
      </c>
      <c r="AH252" t="s">
        <v>3989</v>
      </c>
      <c r="AI252" t="s">
        <v>3989</v>
      </c>
      <c r="AQ252">
        <v>1</v>
      </c>
    </row>
    <row r="253" spans="1:43" hidden="1" x14ac:dyDescent="0.25">
      <c r="A253" t="s">
        <v>31</v>
      </c>
      <c r="B253">
        <v>460</v>
      </c>
      <c r="C253">
        <v>88</v>
      </c>
      <c r="D253">
        <v>2235</v>
      </c>
      <c r="G253" t="s">
        <v>3992</v>
      </c>
      <c r="I253" t="s">
        <v>660</v>
      </c>
      <c r="J253" t="s">
        <v>1133</v>
      </c>
      <c r="K253" t="s">
        <v>3993</v>
      </c>
      <c r="M253" t="s">
        <v>3273</v>
      </c>
      <c r="P253" t="s">
        <v>3274</v>
      </c>
      <c r="Q253" t="s">
        <v>932</v>
      </c>
      <c r="T253" t="s">
        <v>319</v>
      </c>
      <c r="U253" t="s">
        <v>816</v>
      </c>
      <c r="W253">
        <v>2100</v>
      </c>
      <c r="X253">
        <v>0</v>
      </c>
      <c r="Z253">
        <v>0</v>
      </c>
      <c r="AA253" s="31">
        <v>45832</v>
      </c>
      <c r="AB253" s="61">
        <v>0.67142361111111115</v>
      </c>
      <c r="AC253" t="s">
        <v>818</v>
      </c>
      <c r="AD253" s="31">
        <v>45832</v>
      </c>
      <c r="AE253" s="61">
        <v>0.67877314814814815</v>
      </c>
      <c r="AH253" t="s">
        <v>3990</v>
      </c>
      <c r="AQ253">
        <v>1</v>
      </c>
    </row>
    <row r="254" spans="1:43" hidden="1" x14ac:dyDescent="0.25">
      <c r="A254" t="s">
        <v>31</v>
      </c>
      <c r="B254">
        <v>461</v>
      </c>
      <c r="C254">
        <v>174</v>
      </c>
      <c r="D254">
        <v>2236</v>
      </c>
      <c r="G254" t="s">
        <v>3994</v>
      </c>
      <c r="H254">
        <v>45238441000164</v>
      </c>
      <c r="I254" t="s">
        <v>3507</v>
      </c>
      <c r="J254" t="s">
        <v>3995</v>
      </c>
      <c r="K254" t="s">
        <v>3509</v>
      </c>
      <c r="L254">
        <v>11973359869</v>
      </c>
      <c r="M254" t="s">
        <v>3510</v>
      </c>
      <c r="O254" t="s">
        <v>6448</v>
      </c>
      <c r="P254" t="s">
        <v>1094</v>
      </c>
      <c r="Q254" t="s">
        <v>790</v>
      </c>
      <c r="T254" t="s">
        <v>319</v>
      </c>
      <c r="U254" t="s">
        <v>816</v>
      </c>
      <c r="W254">
        <v>116661</v>
      </c>
      <c r="X254">
        <v>0</v>
      </c>
      <c r="Z254">
        <v>0</v>
      </c>
      <c r="AA254" s="31">
        <v>45832</v>
      </c>
      <c r="AB254" s="61">
        <v>0.6791666666666667</v>
      </c>
      <c r="AC254" t="s">
        <v>818</v>
      </c>
      <c r="AD254" s="31">
        <v>45832</v>
      </c>
      <c r="AE254" s="61">
        <v>0.68104166666666666</v>
      </c>
      <c r="AH254" t="s">
        <v>3990</v>
      </c>
      <c r="AQ254">
        <v>1</v>
      </c>
    </row>
    <row r="255" spans="1:43" hidden="1" x14ac:dyDescent="0.25">
      <c r="A255" t="s">
        <v>31</v>
      </c>
      <c r="B255">
        <v>464</v>
      </c>
      <c r="C255">
        <v>206</v>
      </c>
      <c r="D255">
        <v>2241</v>
      </c>
      <c r="G255" t="s">
        <v>3996</v>
      </c>
      <c r="H255">
        <v>37075503000136</v>
      </c>
      <c r="I255" t="s">
        <v>3826</v>
      </c>
      <c r="J255" t="s">
        <v>1474</v>
      </c>
      <c r="K255" t="s">
        <v>1475</v>
      </c>
      <c r="M255" t="s">
        <v>1476</v>
      </c>
      <c r="O255" t="s">
        <v>6487</v>
      </c>
      <c r="P255" t="s">
        <v>1477</v>
      </c>
      <c r="Q255" t="s">
        <v>932</v>
      </c>
      <c r="T255" t="s">
        <v>319</v>
      </c>
      <c r="U255" t="s">
        <v>3417</v>
      </c>
      <c r="Z255">
        <v>30</v>
      </c>
      <c r="AA255" s="31">
        <v>45833</v>
      </c>
      <c r="AB255" s="61">
        <v>0.45314814814814808</v>
      </c>
      <c r="AC255" t="s">
        <v>795</v>
      </c>
      <c r="AD255" s="31">
        <v>45863</v>
      </c>
      <c r="AE255" s="61">
        <v>0.4473611111111111</v>
      </c>
      <c r="AF255" t="s">
        <v>867</v>
      </c>
      <c r="AH255" t="s">
        <v>3997</v>
      </c>
      <c r="AQ255">
        <v>1</v>
      </c>
    </row>
    <row r="256" spans="1:43" hidden="1" x14ac:dyDescent="0.25">
      <c r="A256" t="s">
        <v>31</v>
      </c>
      <c r="B256">
        <v>465</v>
      </c>
      <c r="C256">
        <v>169</v>
      </c>
      <c r="D256">
        <v>2242</v>
      </c>
      <c r="G256" t="s">
        <v>3998</v>
      </c>
      <c r="H256">
        <v>11458315000101</v>
      </c>
      <c r="I256" t="s">
        <v>3465</v>
      </c>
      <c r="J256" t="s">
        <v>707</v>
      </c>
      <c r="K256" t="s">
        <v>3467</v>
      </c>
      <c r="M256" t="s">
        <v>3468</v>
      </c>
      <c r="O256" t="s">
        <v>6442</v>
      </c>
      <c r="P256" t="s">
        <v>3470</v>
      </c>
      <c r="Q256" t="s">
        <v>790</v>
      </c>
      <c r="T256" t="s">
        <v>319</v>
      </c>
      <c r="U256" t="s">
        <v>816</v>
      </c>
      <c r="W256">
        <v>1701</v>
      </c>
      <c r="X256">
        <v>32076</v>
      </c>
      <c r="Z256">
        <v>44</v>
      </c>
      <c r="AA256" s="31">
        <v>45833</v>
      </c>
      <c r="AB256" s="61">
        <v>0.50416666666666665</v>
      </c>
      <c r="AC256" t="s">
        <v>818</v>
      </c>
      <c r="AD256" s="31">
        <v>45877</v>
      </c>
      <c r="AE256" s="61">
        <v>0.60512731481481485</v>
      </c>
      <c r="AH256" t="s">
        <v>3997</v>
      </c>
      <c r="AI256" t="s">
        <v>3999</v>
      </c>
      <c r="AQ256">
        <v>1</v>
      </c>
    </row>
    <row r="257" spans="1:43" hidden="1" x14ac:dyDescent="0.25">
      <c r="A257" t="s">
        <v>31</v>
      </c>
      <c r="B257">
        <v>471</v>
      </c>
      <c r="C257">
        <v>133</v>
      </c>
      <c r="D257">
        <v>2279</v>
      </c>
      <c r="G257" t="s">
        <v>6503</v>
      </c>
      <c r="I257" t="s">
        <v>625</v>
      </c>
      <c r="J257" t="s">
        <v>3899</v>
      </c>
      <c r="K257" t="s">
        <v>3584</v>
      </c>
      <c r="M257" t="s">
        <v>2207</v>
      </c>
      <c r="T257" t="s">
        <v>319</v>
      </c>
      <c r="U257" t="s">
        <v>3417</v>
      </c>
      <c r="W257">
        <v>840</v>
      </c>
      <c r="X257">
        <v>0</v>
      </c>
      <c r="Z257">
        <v>63</v>
      </c>
      <c r="AA257" s="31">
        <v>45838</v>
      </c>
      <c r="AB257" s="61">
        <v>0.64850694444444446</v>
      </c>
      <c r="AC257" t="s">
        <v>795</v>
      </c>
      <c r="AD257" s="31">
        <v>45901</v>
      </c>
      <c r="AE257" s="61">
        <v>0.49880787037037039</v>
      </c>
      <c r="AF257" t="s">
        <v>796</v>
      </c>
      <c r="AH257" t="s">
        <v>1901</v>
      </c>
      <c r="AQ257">
        <v>1</v>
      </c>
    </row>
    <row r="258" spans="1:43" hidden="1" x14ac:dyDescent="0.25">
      <c r="A258" t="s">
        <v>31</v>
      </c>
      <c r="B258">
        <v>472</v>
      </c>
      <c r="C258">
        <v>206</v>
      </c>
      <c r="D258">
        <v>2280</v>
      </c>
      <c r="G258" t="s">
        <v>4001</v>
      </c>
      <c r="H258">
        <v>37075503000136</v>
      </c>
      <c r="I258" t="s">
        <v>3826</v>
      </c>
      <c r="J258" t="s">
        <v>1474</v>
      </c>
      <c r="K258" t="s">
        <v>1475</v>
      </c>
      <c r="M258" t="s">
        <v>1476</v>
      </c>
      <c r="O258" t="s">
        <v>6487</v>
      </c>
      <c r="P258" t="s">
        <v>1477</v>
      </c>
      <c r="Q258" t="s">
        <v>932</v>
      </c>
      <c r="T258" t="s">
        <v>319</v>
      </c>
      <c r="U258" t="s">
        <v>816</v>
      </c>
      <c r="W258">
        <v>0</v>
      </c>
      <c r="X258">
        <v>264</v>
      </c>
      <c r="Z258">
        <v>1</v>
      </c>
      <c r="AA258" s="31">
        <v>45838</v>
      </c>
      <c r="AB258" s="61">
        <v>0.67339120370370376</v>
      </c>
      <c r="AC258" t="s">
        <v>818</v>
      </c>
      <c r="AD258" s="31">
        <v>45839</v>
      </c>
      <c r="AE258" s="61">
        <v>0.64826388888888886</v>
      </c>
      <c r="AH258" t="s">
        <v>1866</v>
      </c>
      <c r="AI258" t="s">
        <v>1866</v>
      </c>
      <c r="AQ258">
        <v>1</v>
      </c>
    </row>
    <row r="259" spans="1:43" hidden="1" x14ac:dyDescent="0.25">
      <c r="A259" t="s">
        <v>31</v>
      </c>
      <c r="B259">
        <v>473</v>
      </c>
      <c r="C259">
        <v>154</v>
      </c>
      <c r="D259">
        <v>2296</v>
      </c>
      <c r="G259" t="s">
        <v>4002</v>
      </c>
      <c r="H259">
        <v>790751000159</v>
      </c>
      <c r="I259" t="s">
        <v>3456</v>
      </c>
      <c r="J259" t="s">
        <v>4003</v>
      </c>
      <c r="K259" t="s">
        <v>3580</v>
      </c>
      <c r="M259" t="s">
        <v>3459</v>
      </c>
      <c r="T259" t="s">
        <v>319</v>
      </c>
      <c r="U259" t="s">
        <v>781</v>
      </c>
      <c r="Z259">
        <v>59</v>
      </c>
      <c r="AA259" s="31">
        <v>45839</v>
      </c>
      <c r="AB259" s="61">
        <v>0.65577546296296296</v>
      </c>
      <c r="AC259" t="s">
        <v>795</v>
      </c>
      <c r="AD259" s="31">
        <v>45898</v>
      </c>
      <c r="AE259" s="61">
        <v>0.68674768518518514</v>
      </c>
      <c r="AF259" t="s">
        <v>867</v>
      </c>
      <c r="AQ259">
        <v>1</v>
      </c>
    </row>
    <row r="260" spans="1:43" hidden="1" x14ac:dyDescent="0.25">
      <c r="A260" t="s">
        <v>31</v>
      </c>
      <c r="B260">
        <v>474</v>
      </c>
      <c r="C260">
        <v>203</v>
      </c>
      <c r="D260">
        <v>2298</v>
      </c>
      <c r="G260" t="s">
        <v>4004</v>
      </c>
      <c r="H260">
        <v>11806036000183</v>
      </c>
      <c r="I260" t="s">
        <v>3791</v>
      </c>
      <c r="J260" t="s">
        <v>2600</v>
      </c>
      <c r="K260" t="s">
        <v>3792</v>
      </c>
      <c r="M260" t="s">
        <v>3793</v>
      </c>
      <c r="O260" t="s">
        <v>6480</v>
      </c>
      <c r="P260" t="s">
        <v>3636</v>
      </c>
      <c r="Q260" t="s">
        <v>1699</v>
      </c>
      <c r="T260" t="s">
        <v>319</v>
      </c>
      <c r="U260" t="s">
        <v>3417</v>
      </c>
      <c r="Z260">
        <v>13</v>
      </c>
      <c r="AA260" s="31">
        <v>45841</v>
      </c>
      <c r="AB260" s="61">
        <v>0.67476851851851849</v>
      </c>
      <c r="AC260" t="s">
        <v>795</v>
      </c>
      <c r="AD260" s="31">
        <v>45854</v>
      </c>
      <c r="AE260" s="61">
        <v>0.45506944444444453</v>
      </c>
      <c r="AF260" t="s">
        <v>1358</v>
      </c>
      <c r="AH260" t="s">
        <v>1878</v>
      </c>
      <c r="AI260" t="s">
        <v>4005</v>
      </c>
      <c r="AQ260">
        <v>1</v>
      </c>
    </row>
    <row r="261" spans="1:43" hidden="1" x14ac:dyDescent="0.25">
      <c r="A261" t="s">
        <v>31</v>
      </c>
      <c r="B261">
        <v>476</v>
      </c>
      <c r="D261">
        <v>2323</v>
      </c>
      <c r="G261" t="s">
        <v>6504</v>
      </c>
      <c r="H261">
        <v>16939440000149</v>
      </c>
      <c r="J261" t="s">
        <v>707</v>
      </c>
      <c r="K261" t="s">
        <v>3779</v>
      </c>
      <c r="M261" t="s">
        <v>3780</v>
      </c>
      <c r="T261" t="s">
        <v>319</v>
      </c>
      <c r="U261" t="s">
        <v>816</v>
      </c>
      <c r="W261">
        <v>2880</v>
      </c>
      <c r="X261">
        <v>0</v>
      </c>
      <c r="Z261">
        <v>0</v>
      </c>
      <c r="AA261" s="31">
        <v>45845</v>
      </c>
      <c r="AB261" s="61">
        <v>0.71598379629629627</v>
      </c>
      <c r="AC261" t="s">
        <v>818</v>
      </c>
      <c r="AD261" s="31">
        <v>45845</v>
      </c>
      <c r="AE261" s="61">
        <v>0.71729166666666666</v>
      </c>
      <c r="AH261" t="s">
        <v>4008</v>
      </c>
      <c r="AI261" t="s">
        <v>4008</v>
      </c>
      <c r="AQ261">
        <v>1</v>
      </c>
    </row>
    <row r="262" spans="1:43" hidden="1" x14ac:dyDescent="0.25">
      <c r="A262" t="s">
        <v>31</v>
      </c>
      <c r="B262">
        <v>477</v>
      </c>
      <c r="C262">
        <v>202</v>
      </c>
      <c r="D262">
        <v>2325</v>
      </c>
      <c r="G262" t="s">
        <v>4009</v>
      </c>
      <c r="H262">
        <v>16939440000149</v>
      </c>
      <c r="I262" t="s">
        <v>3778</v>
      </c>
      <c r="J262" t="s">
        <v>707</v>
      </c>
      <c r="K262" t="s">
        <v>3779</v>
      </c>
      <c r="M262" t="s">
        <v>3780</v>
      </c>
      <c r="O262" t="s">
        <v>6479</v>
      </c>
      <c r="P262" t="s">
        <v>3782</v>
      </c>
      <c r="Q262" t="s">
        <v>790</v>
      </c>
      <c r="T262" t="s">
        <v>319</v>
      </c>
      <c r="U262" t="s">
        <v>816</v>
      </c>
      <c r="W262">
        <v>1440</v>
      </c>
      <c r="X262">
        <v>0</v>
      </c>
      <c r="Z262">
        <v>0</v>
      </c>
      <c r="AA262" s="31">
        <v>45845</v>
      </c>
      <c r="AB262" s="61">
        <v>0.73579861111111111</v>
      </c>
      <c r="AC262" t="s">
        <v>818</v>
      </c>
      <c r="AD262" s="31">
        <v>45845</v>
      </c>
      <c r="AE262" s="61">
        <v>0.73719907407407403</v>
      </c>
      <c r="AH262" t="s">
        <v>4008</v>
      </c>
      <c r="AQ262">
        <v>1</v>
      </c>
    </row>
    <row r="263" spans="1:43" hidden="1" x14ac:dyDescent="0.25">
      <c r="A263" t="s">
        <v>31</v>
      </c>
      <c r="B263">
        <v>478</v>
      </c>
      <c r="D263">
        <v>2326</v>
      </c>
      <c r="G263" t="s">
        <v>4010</v>
      </c>
      <c r="H263">
        <v>21922850000117</v>
      </c>
      <c r="J263" t="s">
        <v>4011</v>
      </c>
      <c r="K263" t="s">
        <v>4012</v>
      </c>
      <c r="T263" t="s">
        <v>319</v>
      </c>
      <c r="U263" t="s">
        <v>816</v>
      </c>
      <c r="W263">
        <v>275352</v>
      </c>
      <c r="X263">
        <v>0</v>
      </c>
      <c r="Z263">
        <v>0</v>
      </c>
      <c r="AA263" s="31">
        <v>45846</v>
      </c>
      <c r="AB263" s="61">
        <v>0.71418981481481481</v>
      </c>
      <c r="AC263" t="s">
        <v>818</v>
      </c>
      <c r="AD263" s="31">
        <v>45846</v>
      </c>
      <c r="AE263" s="61">
        <v>0.71649305555555554</v>
      </c>
      <c r="AH263" t="s">
        <v>4013</v>
      </c>
      <c r="AI263" t="s">
        <v>4013</v>
      </c>
      <c r="AQ263">
        <v>1</v>
      </c>
    </row>
    <row r="264" spans="1:43" hidden="1" x14ac:dyDescent="0.25">
      <c r="A264" t="s">
        <v>31</v>
      </c>
      <c r="B264">
        <v>479</v>
      </c>
      <c r="C264">
        <v>187</v>
      </c>
      <c r="D264">
        <v>2330</v>
      </c>
      <c r="G264" t="s">
        <v>439</v>
      </c>
      <c r="H264">
        <v>17063632000105</v>
      </c>
      <c r="I264" t="s">
        <v>3631</v>
      </c>
      <c r="J264" t="s">
        <v>4014</v>
      </c>
      <c r="K264" t="s">
        <v>3633</v>
      </c>
      <c r="M264" t="s">
        <v>3634</v>
      </c>
      <c r="O264" t="s">
        <v>6464</v>
      </c>
      <c r="P264" t="s">
        <v>3636</v>
      </c>
      <c r="Q264" t="s">
        <v>1699</v>
      </c>
      <c r="T264" t="s">
        <v>319</v>
      </c>
      <c r="U264" t="s">
        <v>816</v>
      </c>
      <c r="W264">
        <v>41275</v>
      </c>
      <c r="X264">
        <v>0</v>
      </c>
      <c r="Z264">
        <v>2</v>
      </c>
      <c r="AA264" s="31">
        <v>45846</v>
      </c>
      <c r="AB264" s="61">
        <v>0.71885416666666668</v>
      </c>
      <c r="AC264" t="s">
        <v>818</v>
      </c>
      <c r="AD264" s="31">
        <v>45848</v>
      </c>
      <c r="AE264" s="61">
        <v>0.4230902777777778</v>
      </c>
      <c r="AH264" t="s">
        <v>4013</v>
      </c>
      <c r="AQ264">
        <v>1</v>
      </c>
    </row>
    <row r="265" spans="1:43" hidden="1" x14ac:dyDescent="0.25">
      <c r="A265" t="s">
        <v>31</v>
      </c>
      <c r="B265">
        <v>480</v>
      </c>
      <c r="D265">
        <v>2331</v>
      </c>
      <c r="G265" t="s">
        <v>4015</v>
      </c>
      <c r="H265">
        <v>21922850000117</v>
      </c>
      <c r="J265" t="s">
        <v>4011</v>
      </c>
      <c r="K265" t="s">
        <v>4012</v>
      </c>
      <c r="T265" t="s">
        <v>319</v>
      </c>
      <c r="U265" t="s">
        <v>816</v>
      </c>
      <c r="W265">
        <v>25200</v>
      </c>
      <c r="X265">
        <v>68904</v>
      </c>
      <c r="Z265">
        <v>27</v>
      </c>
      <c r="AA265" s="31">
        <v>45846</v>
      </c>
      <c r="AB265" s="61">
        <v>0.71953703703703709</v>
      </c>
      <c r="AC265" t="s">
        <v>795</v>
      </c>
      <c r="AD265" s="31">
        <v>45873</v>
      </c>
      <c r="AE265" s="61">
        <v>0.4752777777777778</v>
      </c>
      <c r="AF265" t="s">
        <v>1358</v>
      </c>
      <c r="AH265" t="s">
        <v>4013</v>
      </c>
      <c r="AI265" t="s">
        <v>4017</v>
      </c>
      <c r="AQ265">
        <v>1</v>
      </c>
    </row>
    <row r="266" spans="1:43" hidden="1" x14ac:dyDescent="0.25">
      <c r="A266" t="s">
        <v>31</v>
      </c>
      <c r="B266">
        <v>481</v>
      </c>
      <c r="C266">
        <v>152</v>
      </c>
      <c r="D266">
        <v>2337</v>
      </c>
      <c r="G266" t="s">
        <v>4018</v>
      </c>
      <c r="I266" t="s">
        <v>3445</v>
      </c>
      <c r="J266" t="s">
        <v>3620</v>
      </c>
      <c r="K266" t="s">
        <v>3621</v>
      </c>
      <c r="M266" t="s">
        <v>3448</v>
      </c>
      <c r="T266" t="s">
        <v>319</v>
      </c>
      <c r="U266" t="s">
        <v>3409</v>
      </c>
      <c r="Z266">
        <v>81</v>
      </c>
      <c r="AA266" s="31">
        <v>45849</v>
      </c>
      <c r="AB266" s="61">
        <v>0.64908564814814818</v>
      </c>
      <c r="AC266" t="s">
        <v>795</v>
      </c>
      <c r="AD266" s="31">
        <v>45930</v>
      </c>
      <c r="AE266" s="61">
        <v>0.39872685185185192</v>
      </c>
      <c r="AF266" t="s">
        <v>796</v>
      </c>
      <c r="AI266" t="s">
        <v>4019</v>
      </c>
      <c r="AQ266">
        <v>1</v>
      </c>
    </row>
    <row r="267" spans="1:43" hidden="1" x14ac:dyDescent="0.25">
      <c r="A267" t="s">
        <v>31</v>
      </c>
      <c r="B267">
        <v>482</v>
      </c>
      <c r="C267">
        <v>149</v>
      </c>
      <c r="D267">
        <v>2338</v>
      </c>
      <c r="G267" t="s">
        <v>4020</v>
      </c>
      <c r="H267">
        <v>12418196000118</v>
      </c>
      <c r="I267" t="s">
        <v>3645</v>
      </c>
      <c r="J267" t="s">
        <v>1115</v>
      </c>
      <c r="K267" t="s">
        <v>3647</v>
      </c>
      <c r="M267" t="s">
        <v>3648</v>
      </c>
      <c r="T267" t="s">
        <v>319</v>
      </c>
      <c r="U267" t="s">
        <v>3417</v>
      </c>
      <c r="W267">
        <v>0</v>
      </c>
      <c r="X267">
        <v>0</v>
      </c>
      <c r="Z267">
        <v>17</v>
      </c>
      <c r="AA267" s="31">
        <v>45849</v>
      </c>
      <c r="AB267" s="61">
        <v>0.65001157407407406</v>
      </c>
      <c r="AC267" t="s">
        <v>795</v>
      </c>
      <c r="AD267" s="31">
        <v>45866</v>
      </c>
      <c r="AE267" s="61">
        <v>0.72260416666666671</v>
      </c>
      <c r="AF267" t="s">
        <v>1358</v>
      </c>
      <c r="AH267" t="s">
        <v>4021</v>
      </c>
      <c r="AI267" t="s">
        <v>4019</v>
      </c>
      <c r="AQ267">
        <v>1</v>
      </c>
    </row>
    <row r="268" spans="1:43" hidden="1" x14ac:dyDescent="0.25">
      <c r="A268" t="s">
        <v>31</v>
      </c>
      <c r="B268">
        <v>483</v>
      </c>
      <c r="C268">
        <v>147</v>
      </c>
      <c r="D268">
        <v>2339</v>
      </c>
      <c r="G268" t="s">
        <v>4022</v>
      </c>
      <c r="H268">
        <v>7964558000136</v>
      </c>
      <c r="I268" t="s">
        <v>3430</v>
      </c>
      <c r="J268" t="s">
        <v>1317</v>
      </c>
      <c r="K268" t="s">
        <v>3515</v>
      </c>
      <c r="M268" t="s">
        <v>3433</v>
      </c>
      <c r="T268" t="s">
        <v>319</v>
      </c>
      <c r="U268" t="s">
        <v>816</v>
      </c>
      <c r="Z268">
        <v>27</v>
      </c>
      <c r="AA268" s="31">
        <v>45849</v>
      </c>
      <c r="AB268" s="61">
        <v>0.65327546296296302</v>
      </c>
      <c r="AC268" t="s">
        <v>795</v>
      </c>
      <c r="AD268" s="31">
        <v>45876</v>
      </c>
      <c r="AE268" s="61">
        <v>0.59097222222222223</v>
      </c>
      <c r="AF268" t="s">
        <v>1358</v>
      </c>
      <c r="AH268" t="s">
        <v>4019</v>
      </c>
      <c r="AQ268">
        <v>1</v>
      </c>
    </row>
    <row r="269" spans="1:43" hidden="1" x14ac:dyDescent="0.25">
      <c r="A269" t="s">
        <v>31</v>
      </c>
      <c r="B269">
        <v>489</v>
      </c>
      <c r="C269">
        <v>181</v>
      </c>
      <c r="D269">
        <v>2349</v>
      </c>
      <c r="G269" t="s">
        <v>4023</v>
      </c>
      <c r="H269">
        <v>43204189000147</v>
      </c>
      <c r="I269" t="s">
        <v>3612</v>
      </c>
      <c r="J269" t="s">
        <v>990</v>
      </c>
      <c r="K269" t="s">
        <v>3613</v>
      </c>
      <c r="M269" t="s">
        <v>3614</v>
      </c>
      <c r="O269" t="s">
        <v>6461</v>
      </c>
      <c r="P269" t="s">
        <v>3616</v>
      </c>
      <c r="Q269" t="s">
        <v>790</v>
      </c>
      <c r="T269" t="s">
        <v>319</v>
      </c>
      <c r="U269" t="s">
        <v>816</v>
      </c>
      <c r="W269">
        <v>4320</v>
      </c>
      <c r="X269">
        <v>0</v>
      </c>
      <c r="Z269">
        <v>0</v>
      </c>
      <c r="AA269" s="31">
        <v>45854</v>
      </c>
      <c r="AB269" s="61">
        <v>0.70699074074074075</v>
      </c>
      <c r="AC269" t="s">
        <v>818</v>
      </c>
      <c r="AD269" s="31">
        <v>45854</v>
      </c>
      <c r="AE269" s="61">
        <v>0.70780092592592592</v>
      </c>
      <c r="AH269" t="s">
        <v>4024</v>
      </c>
      <c r="AI269" t="s">
        <v>4025</v>
      </c>
      <c r="AQ269">
        <v>1</v>
      </c>
    </row>
    <row r="270" spans="1:43" hidden="1" x14ac:dyDescent="0.25">
      <c r="A270" t="s">
        <v>31</v>
      </c>
      <c r="B270">
        <v>490</v>
      </c>
      <c r="C270">
        <v>182</v>
      </c>
      <c r="D270">
        <v>2350</v>
      </c>
      <c r="G270" t="s">
        <v>4026</v>
      </c>
      <c r="H270">
        <v>23873456000161</v>
      </c>
      <c r="I270" t="s">
        <v>3573</v>
      </c>
      <c r="J270" t="s">
        <v>3574</v>
      </c>
      <c r="K270" t="s">
        <v>3575</v>
      </c>
      <c r="M270" t="s">
        <v>3576</v>
      </c>
      <c r="O270" t="s">
        <v>6457</v>
      </c>
      <c r="P270" t="s">
        <v>1837</v>
      </c>
      <c r="Q270" t="s">
        <v>790</v>
      </c>
      <c r="T270" t="s">
        <v>319</v>
      </c>
      <c r="U270" t="s">
        <v>816</v>
      </c>
      <c r="W270">
        <v>4200</v>
      </c>
      <c r="X270">
        <v>0</v>
      </c>
      <c r="Z270">
        <v>6</v>
      </c>
      <c r="AA270" s="31">
        <v>45854</v>
      </c>
      <c r="AB270" s="61">
        <v>0.70843750000000005</v>
      </c>
      <c r="AC270" t="s">
        <v>818</v>
      </c>
      <c r="AD270" s="31">
        <v>45860</v>
      </c>
      <c r="AE270" s="61">
        <v>0.52978009259259262</v>
      </c>
      <c r="AH270" t="s">
        <v>4024</v>
      </c>
      <c r="AQ270">
        <v>1</v>
      </c>
    </row>
    <row r="271" spans="1:43" hidden="1" x14ac:dyDescent="0.25">
      <c r="A271" t="s">
        <v>31</v>
      </c>
      <c r="B271">
        <v>491</v>
      </c>
      <c r="C271">
        <v>209</v>
      </c>
      <c r="D271">
        <v>2351</v>
      </c>
      <c r="G271" t="s">
        <v>4027</v>
      </c>
      <c r="H271">
        <v>10682266000115</v>
      </c>
      <c r="I271" t="s">
        <v>3893</v>
      </c>
      <c r="J271" t="s">
        <v>4028</v>
      </c>
      <c r="K271" t="s">
        <v>3895</v>
      </c>
      <c r="M271" t="s">
        <v>3896</v>
      </c>
      <c r="O271" t="s">
        <v>6493</v>
      </c>
      <c r="P271" t="s">
        <v>1596</v>
      </c>
      <c r="Q271" t="s">
        <v>790</v>
      </c>
      <c r="T271" t="s">
        <v>319</v>
      </c>
      <c r="U271" t="s">
        <v>816</v>
      </c>
      <c r="W271">
        <v>6720</v>
      </c>
      <c r="X271">
        <v>0</v>
      </c>
      <c r="Z271">
        <v>15</v>
      </c>
      <c r="AA271" s="31">
        <v>45855</v>
      </c>
      <c r="AB271" s="61">
        <v>0.42640046296296302</v>
      </c>
      <c r="AC271" t="s">
        <v>818</v>
      </c>
      <c r="AD271" s="31">
        <v>45870</v>
      </c>
      <c r="AE271" s="61">
        <v>0.61040509259259257</v>
      </c>
      <c r="AH271" t="s">
        <v>4029</v>
      </c>
      <c r="AI271" t="s">
        <v>1945</v>
      </c>
      <c r="AQ271">
        <v>1</v>
      </c>
    </row>
    <row r="272" spans="1:43" hidden="1" x14ac:dyDescent="0.25">
      <c r="A272" t="s">
        <v>31</v>
      </c>
      <c r="B272">
        <v>492</v>
      </c>
      <c r="C272">
        <v>147</v>
      </c>
      <c r="D272">
        <v>848</v>
      </c>
      <c r="G272" t="s">
        <v>4030</v>
      </c>
      <c r="H272">
        <v>7964558000136</v>
      </c>
      <c r="I272" t="s">
        <v>3430</v>
      </c>
      <c r="J272" t="s">
        <v>3431</v>
      </c>
      <c r="K272" t="s">
        <v>3432</v>
      </c>
      <c r="M272" t="s">
        <v>3433</v>
      </c>
      <c r="T272" t="s">
        <v>319</v>
      </c>
      <c r="U272" t="s">
        <v>3417</v>
      </c>
      <c r="W272">
        <v>716156</v>
      </c>
      <c r="X272">
        <v>0</v>
      </c>
      <c r="Z272">
        <v>11</v>
      </c>
      <c r="AA272" s="31">
        <v>45855</v>
      </c>
      <c r="AB272" s="61">
        <v>0.43496527777777783</v>
      </c>
      <c r="AC272" t="s">
        <v>795</v>
      </c>
      <c r="AD272" s="31">
        <v>45866</v>
      </c>
      <c r="AE272" s="61">
        <v>0.5060069444444445</v>
      </c>
      <c r="AF272" t="s">
        <v>867</v>
      </c>
      <c r="AH272" t="s">
        <v>4029</v>
      </c>
      <c r="AQ272">
        <v>1</v>
      </c>
    </row>
    <row r="273" spans="1:43" hidden="1" x14ac:dyDescent="0.25">
      <c r="A273" t="s">
        <v>31</v>
      </c>
      <c r="B273">
        <v>498</v>
      </c>
      <c r="C273">
        <v>171</v>
      </c>
      <c r="D273">
        <v>2383</v>
      </c>
      <c r="G273" t="s">
        <v>3663</v>
      </c>
      <c r="H273">
        <v>39955762000187</v>
      </c>
      <c r="I273" t="s">
        <v>3484</v>
      </c>
      <c r="J273" t="s">
        <v>3664</v>
      </c>
      <c r="K273" t="s">
        <v>3665</v>
      </c>
      <c r="M273" t="s">
        <v>3487</v>
      </c>
      <c r="O273" t="s">
        <v>6445</v>
      </c>
      <c r="P273" t="s">
        <v>1094</v>
      </c>
      <c r="Q273" t="s">
        <v>790</v>
      </c>
      <c r="T273" t="s">
        <v>319</v>
      </c>
      <c r="U273" t="s">
        <v>816</v>
      </c>
      <c r="W273">
        <v>245704</v>
      </c>
      <c r="X273">
        <v>0</v>
      </c>
      <c r="Z273">
        <v>0</v>
      </c>
      <c r="AA273" s="31">
        <v>45861</v>
      </c>
      <c r="AB273" s="61">
        <v>0.71406250000000004</v>
      </c>
      <c r="AC273" t="s">
        <v>818</v>
      </c>
      <c r="AD273" s="31">
        <v>45861</v>
      </c>
      <c r="AE273" s="61">
        <v>0.71575231481481483</v>
      </c>
      <c r="AH273" t="s">
        <v>4032</v>
      </c>
      <c r="AQ273">
        <v>1</v>
      </c>
    </row>
    <row r="274" spans="1:43" hidden="1" x14ac:dyDescent="0.25">
      <c r="A274" t="s">
        <v>31</v>
      </c>
      <c r="B274">
        <v>499</v>
      </c>
      <c r="C274">
        <v>97</v>
      </c>
      <c r="D274">
        <v>2390</v>
      </c>
      <c r="G274" t="s">
        <v>4033</v>
      </c>
      <c r="H274">
        <v>22500484000170</v>
      </c>
      <c r="I274" t="s">
        <v>669</v>
      </c>
      <c r="J274" t="s">
        <v>4034</v>
      </c>
      <c r="K274" t="s">
        <v>4035</v>
      </c>
      <c r="M274" t="s">
        <v>3294</v>
      </c>
      <c r="T274" t="s">
        <v>319</v>
      </c>
      <c r="U274" t="s">
        <v>816</v>
      </c>
      <c r="W274">
        <v>840</v>
      </c>
      <c r="X274">
        <v>0</v>
      </c>
      <c r="Z274">
        <v>0</v>
      </c>
      <c r="AA274" s="31">
        <v>45862</v>
      </c>
      <c r="AB274" s="61">
        <v>0.58165509259259263</v>
      </c>
      <c r="AC274" t="s">
        <v>818</v>
      </c>
      <c r="AD274" s="31">
        <v>45862</v>
      </c>
      <c r="AE274" s="61">
        <v>0.65292824074074074</v>
      </c>
      <c r="AH274" t="s">
        <v>4036</v>
      </c>
      <c r="AQ274">
        <v>1</v>
      </c>
    </row>
    <row r="275" spans="1:43" hidden="1" x14ac:dyDescent="0.25">
      <c r="A275" t="s">
        <v>31</v>
      </c>
      <c r="B275">
        <v>500</v>
      </c>
      <c r="C275">
        <v>96</v>
      </c>
      <c r="D275">
        <v>2391</v>
      </c>
      <c r="G275" t="s">
        <v>6505</v>
      </c>
      <c r="I275" t="s">
        <v>3291</v>
      </c>
      <c r="J275" t="s">
        <v>4038</v>
      </c>
      <c r="K275" t="s">
        <v>3672</v>
      </c>
      <c r="M275" t="s">
        <v>3293</v>
      </c>
      <c r="T275" t="s">
        <v>319</v>
      </c>
      <c r="U275" t="s">
        <v>816</v>
      </c>
      <c r="W275">
        <v>1440</v>
      </c>
      <c r="X275">
        <v>0</v>
      </c>
      <c r="Z275">
        <v>0</v>
      </c>
      <c r="AA275" s="31">
        <v>45862</v>
      </c>
      <c r="AB275" s="61">
        <v>0.62880787037037034</v>
      </c>
      <c r="AC275" t="s">
        <v>818</v>
      </c>
      <c r="AD275" s="31">
        <v>45862</v>
      </c>
      <c r="AE275" s="61">
        <v>0.63013888888888892</v>
      </c>
      <c r="AH275" t="s">
        <v>4036</v>
      </c>
      <c r="AQ275">
        <v>1</v>
      </c>
    </row>
    <row r="276" spans="1:43" hidden="1" x14ac:dyDescent="0.25">
      <c r="A276" t="s">
        <v>31</v>
      </c>
      <c r="B276">
        <v>501</v>
      </c>
      <c r="C276">
        <v>147</v>
      </c>
      <c r="D276">
        <v>2392</v>
      </c>
      <c r="G276" t="s">
        <v>4039</v>
      </c>
      <c r="H276">
        <v>7964558000136</v>
      </c>
      <c r="I276" t="s">
        <v>3430</v>
      </c>
      <c r="J276" t="s">
        <v>704</v>
      </c>
      <c r="K276" t="s">
        <v>3515</v>
      </c>
      <c r="M276" t="s">
        <v>3433</v>
      </c>
      <c r="T276" t="s">
        <v>319</v>
      </c>
      <c r="U276" t="s">
        <v>816</v>
      </c>
      <c r="W276">
        <v>6720</v>
      </c>
      <c r="X276">
        <v>0</v>
      </c>
      <c r="Z276">
        <v>0</v>
      </c>
      <c r="AA276" s="31">
        <v>45862</v>
      </c>
      <c r="AB276" s="61">
        <v>0.63891203703703703</v>
      </c>
      <c r="AC276" t="s">
        <v>818</v>
      </c>
      <c r="AD276" s="31">
        <v>45862</v>
      </c>
      <c r="AE276" s="61">
        <v>0.65201388888888889</v>
      </c>
      <c r="AH276" t="s">
        <v>4036</v>
      </c>
      <c r="AQ276">
        <v>1</v>
      </c>
    </row>
    <row r="277" spans="1:43" hidden="1" x14ac:dyDescent="0.25">
      <c r="A277" t="s">
        <v>31</v>
      </c>
      <c r="B277">
        <v>502</v>
      </c>
      <c r="C277">
        <v>112</v>
      </c>
      <c r="D277">
        <v>2429</v>
      </c>
      <c r="G277" t="s">
        <v>4040</v>
      </c>
      <c r="I277" t="s">
        <v>3327</v>
      </c>
      <c r="J277" t="s">
        <v>704</v>
      </c>
      <c r="M277" t="s">
        <v>3328</v>
      </c>
      <c r="T277" t="s">
        <v>319</v>
      </c>
      <c r="U277" t="s">
        <v>3417</v>
      </c>
      <c r="W277">
        <v>1600</v>
      </c>
      <c r="X277">
        <v>774415</v>
      </c>
      <c r="Z277">
        <v>34</v>
      </c>
      <c r="AA277" s="31">
        <v>45868</v>
      </c>
      <c r="AB277" s="61">
        <v>0.48775462962962962</v>
      </c>
      <c r="AC277" t="s">
        <v>795</v>
      </c>
      <c r="AD277" s="31">
        <v>45902</v>
      </c>
      <c r="AE277" s="61">
        <v>0.49239583333333331</v>
      </c>
      <c r="AF277" t="s">
        <v>5347</v>
      </c>
      <c r="AH277" t="s">
        <v>4041</v>
      </c>
      <c r="AI277" t="s">
        <v>4041</v>
      </c>
      <c r="AQ277">
        <v>1</v>
      </c>
    </row>
    <row r="278" spans="1:43" hidden="1" x14ac:dyDescent="0.25">
      <c r="A278" t="s">
        <v>31</v>
      </c>
      <c r="B278">
        <v>511</v>
      </c>
      <c r="C278">
        <v>93</v>
      </c>
      <c r="D278">
        <v>986</v>
      </c>
      <c r="G278" t="s">
        <v>4042</v>
      </c>
      <c r="I278" t="s">
        <v>3285</v>
      </c>
      <c r="J278" t="s">
        <v>3490</v>
      </c>
      <c r="K278" t="s">
        <v>3491</v>
      </c>
      <c r="M278" t="s">
        <v>3286</v>
      </c>
      <c r="T278" t="s">
        <v>319</v>
      </c>
      <c r="U278" t="s">
        <v>3417</v>
      </c>
      <c r="W278">
        <v>3360</v>
      </c>
      <c r="X278">
        <v>7128</v>
      </c>
      <c r="Z278">
        <v>28</v>
      </c>
      <c r="AA278" s="31">
        <v>45870</v>
      </c>
      <c r="AB278" s="61">
        <v>0.65550925925925929</v>
      </c>
      <c r="AC278" t="s">
        <v>795</v>
      </c>
      <c r="AD278" s="31">
        <v>45898</v>
      </c>
      <c r="AE278" s="61">
        <v>0.60733796296296294</v>
      </c>
      <c r="AF278" t="s">
        <v>867</v>
      </c>
      <c r="AH278" t="s">
        <v>4043</v>
      </c>
      <c r="AI278" t="s">
        <v>4044</v>
      </c>
      <c r="AQ278">
        <v>1</v>
      </c>
    </row>
    <row r="279" spans="1:43" hidden="1" x14ac:dyDescent="0.25">
      <c r="A279" t="s">
        <v>31</v>
      </c>
      <c r="B279">
        <v>512</v>
      </c>
      <c r="C279">
        <v>149</v>
      </c>
      <c r="D279">
        <v>2450</v>
      </c>
      <c r="G279" t="s">
        <v>6506</v>
      </c>
      <c r="H279">
        <v>12418196000118</v>
      </c>
      <c r="I279" t="s">
        <v>3645</v>
      </c>
      <c r="J279" t="s">
        <v>1115</v>
      </c>
      <c r="K279" t="s">
        <v>3647</v>
      </c>
      <c r="M279" t="s">
        <v>3648</v>
      </c>
      <c r="T279" t="s">
        <v>319</v>
      </c>
      <c r="U279" t="s">
        <v>816</v>
      </c>
      <c r="W279">
        <v>3360</v>
      </c>
      <c r="X279">
        <v>0</v>
      </c>
      <c r="Z279">
        <v>3</v>
      </c>
      <c r="AA279" s="31">
        <v>45873</v>
      </c>
      <c r="AB279" s="61">
        <v>0.43699074074074068</v>
      </c>
      <c r="AC279" t="s">
        <v>818</v>
      </c>
      <c r="AD279" s="31">
        <v>45876</v>
      </c>
      <c r="AE279" s="61">
        <v>0.64539351851851856</v>
      </c>
      <c r="AH279" t="s">
        <v>4046</v>
      </c>
      <c r="AQ279">
        <v>1</v>
      </c>
    </row>
    <row r="280" spans="1:43" hidden="1" x14ac:dyDescent="0.25">
      <c r="A280" t="s">
        <v>31</v>
      </c>
      <c r="B280">
        <v>513</v>
      </c>
      <c r="C280">
        <v>150</v>
      </c>
      <c r="D280">
        <v>2451</v>
      </c>
      <c r="G280" t="s">
        <v>4047</v>
      </c>
      <c r="H280">
        <v>32258848000101</v>
      </c>
      <c r="I280" t="s">
        <v>3435</v>
      </c>
      <c r="J280" t="s">
        <v>1804</v>
      </c>
      <c r="K280" t="s">
        <v>3493</v>
      </c>
      <c r="M280" t="s">
        <v>3437</v>
      </c>
      <c r="T280" t="s">
        <v>319</v>
      </c>
      <c r="U280" t="s">
        <v>816</v>
      </c>
      <c r="W280">
        <v>1680</v>
      </c>
      <c r="X280">
        <v>0</v>
      </c>
      <c r="Z280">
        <v>3</v>
      </c>
      <c r="AA280" s="31">
        <v>45873</v>
      </c>
      <c r="AB280" s="61">
        <v>0.62299768518518517</v>
      </c>
      <c r="AC280" t="s">
        <v>818</v>
      </c>
      <c r="AD280" s="31">
        <v>45876</v>
      </c>
      <c r="AE280" s="61">
        <v>0.69701388888888893</v>
      </c>
      <c r="AH280" t="s">
        <v>4046</v>
      </c>
      <c r="AQ280">
        <v>1</v>
      </c>
    </row>
    <row r="281" spans="1:43" hidden="1" x14ac:dyDescent="0.25">
      <c r="A281" t="s">
        <v>31</v>
      </c>
      <c r="B281">
        <v>514</v>
      </c>
      <c r="C281">
        <v>190</v>
      </c>
      <c r="D281">
        <v>1769</v>
      </c>
      <c r="G281" t="s">
        <v>4048</v>
      </c>
      <c r="H281">
        <v>18203215000175</v>
      </c>
      <c r="I281" t="s">
        <v>3690</v>
      </c>
      <c r="J281" t="s">
        <v>3691</v>
      </c>
      <c r="K281" t="s">
        <v>3692</v>
      </c>
      <c r="M281" t="s">
        <v>3693</v>
      </c>
      <c r="O281" t="s">
        <v>6470</v>
      </c>
      <c r="P281" t="s">
        <v>3695</v>
      </c>
      <c r="Q281" t="s">
        <v>790</v>
      </c>
      <c r="T281" t="s">
        <v>319</v>
      </c>
      <c r="U281" t="s">
        <v>816</v>
      </c>
      <c r="W281">
        <v>3024</v>
      </c>
      <c r="X281">
        <v>605</v>
      </c>
      <c r="Z281">
        <v>14</v>
      </c>
      <c r="AA281" s="31">
        <v>45874</v>
      </c>
      <c r="AB281" s="61">
        <v>0.66400462962962958</v>
      </c>
      <c r="AC281" t="s">
        <v>818</v>
      </c>
      <c r="AD281" s="31">
        <v>45888</v>
      </c>
      <c r="AE281" s="61">
        <v>0.48135416666666669</v>
      </c>
      <c r="AH281" t="s">
        <v>1981</v>
      </c>
      <c r="AI281" t="s">
        <v>1981</v>
      </c>
      <c r="AQ281">
        <v>1</v>
      </c>
    </row>
    <row r="282" spans="1:43" hidden="1" x14ac:dyDescent="0.25">
      <c r="A282" t="s">
        <v>31</v>
      </c>
      <c r="B282">
        <v>515</v>
      </c>
      <c r="C282">
        <v>170</v>
      </c>
      <c r="D282">
        <v>2455</v>
      </c>
      <c r="G282" t="s">
        <v>4049</v>
      </c>
      <c r="H282">
        <v>4150555001304</v>
      </c>
      <c r="I282" t="s">
        <v>3477</v>
      </c>
      <c r="J282" t="s">
        <v>3478</v>
      </c>
      <c r="K282" t="s">
        <v>3569</v>
      </c>
      <c r="M282" t="s">
        <v>3480</v>
      </c>
      <c r="O282" t="s">
        <v>6444</v>
      </c>
      <c r="P282" t="s">
        <v>3482</v>
      </c>
      <c r="Q282" t="s">
        <v>1699</v>
      </c>
      <c r="T282" t="s">
        <v>319</v>
      </c>
      <c r="U282" t="s">
        <v>816</v>
      </c>
      <c r="W282">
        <v>1847759</v>
      </c>
      <c r="X282">
        <v>1590</v>
      </c>
      <c r="Z282">
        <v>28</v>
      </c>
      <c r="AA282" s="31">
        <v>45876</v>
      </c>
      <c r="AB282" s="61">
        <v>0.48866898148148152</v>
      </c>
      <c r="AC282" t="s">
        <v>818</v>
      </c>
      <c r="AD282" s="31">
        <v>45904</v>
      </c>
      <c r="AE282" s="61">
        <v>0.71673611111111113</v>
      </c>
      <c r="AH282" t="s">
        <v>4050</v>
      </c>
      <c r="AQ282">
        <v>1</v>
      </c>
    </row>
    <row r="283" spans="1:43" hidden="1" x14ac:dyDescent="0.25">
      <c r="A283" t="s">
        <v>31</v>
      </c>
      <c r="B283">
        <v>522</v>
      </c>
      <c r="C283">
        <v>149</v>
      </c>
      <c r="D283">
        <v>2460</v>
      </c>
      <c r="G283" t="s">
        <v>4051</v>
      </c>
      <c r="H283">
        <v>12418196000118</v>
      </c>
      <c r="I283" t="s">
        <v>3645</v>
      </c>
      <c r="J283" t="s">
        <v>4052</v>
      </c>
      <c r="K283" t="s">
        <v>3647</v>
      </c>
      <c r="M283" t="s">
        <v>3648</v>
      </c>
      <c r="T283" t="s">
        <v>319</v>
      </c>
      <c r="U283" t="s">
        <v>3409</v>
      </c>
      <c r="Z283">
        <v>21</v>
      </c>
      <c r="AA283" s="31">
        <v>45877</v>
      </c>
      <c r="AB283" s="61">
        <v>0.51511574074074074</v>
      </c>
      <c r="AC283" t="s">
        <v>795</v>
      </c>
      <c r="AD283" s="31">
        <v>45898</v>
      </c>
      <c r="AE283" s="61">
        <v>0.68209490740740741</v>
      </c>
      <c r="AF283" t="s">
        <v>867</v>
      </c>
      <c r="AI283" t="s">
        <v>4043</v>
      </c>
      <c r="AQ283">
        <v>1</v>
      </c>
    </row>
    <row r="284" spans="1:43" hidden="1" x14ac:dyDescent="0.25">
      <c r="A284" t="s">
        <v>31</v>
      </c>
      <c r="B284">
        <v>523</v>
      </c>
      <c r="C284">
        <v>183</v>
      </c>
      <c r="D284">
        <v>2461</v>
      </c>
      <c r="G284" t="s">
        <v>4053</v>
      </c>
      <c r="H284">
        <v>3204281000192</v>
      </c>
      <c r="I284" t="s">
        <v>3594</v>
      </c>
      <c r="J284" t="s">
        <v>3595</v>
      </c>
      <c r="K284" t="s">
        <v>3596</v>
      </c>
      <c r="M284" t="s">
        <v>2617</v>
      </c>
      <c r="O284" t="s">
        <v>6459</v>
      </c>
      <c r="P284" t="s">
        <v>2618</v>
      </c>
      <c r="Q284" t="s">
        <v>790</v>
      </c>
      <c r="T284" t="s">
        <v>319</v>
      </c>
      <c r="U284" t="s">
        <v>816</v>
      </c>
      <c r="W284">
        <v>26200</v>
      </c>
      <c r="X284">
        <v>3400</v>
      </c>
      <c r="Z284">
        <v>43</v>
      </c>
      <c r="AA284" s="31">
        <v>45880</v>
      </c>
      <c r="AB284" s="61">
        <v>0.49128472222222219</v>
      </c>
      <c r="AC284" t="s">
        <v>795</v>
      </c>
      <c r="AD284" s="31">
        <v>45923</v>
      </c>
      <c r="AE284" s="61">
        <v>0.65136574074074072</v>
      </c>
      <c r="AF284" t="s">
        <v>974</v>
      </c>
      <c r="AH284" t="s">
        <v>1959</v>
      </c>
      <c r="AI284" t="s">
        <v>1959</v>
      </c>
      <c r="AQ284">
        <v>1</v>
      </c>
    </row>
    <row r="285" spans="1:43" hidden="1" x14ac:dyDescent="0.25">
      <c r="A285" t="s">
        <v>31</v>
      </c>
      <c r="B285">
        <v>524</v>
      </c>
      <c r="C285">
        <v>146</v>
      </c>
      <c r="D285">
        <v>2462</v>
      </c>
      <c r="G285" t="s">
        <v>4054</v>
      </c>
      <c r="I285" t="s">
        <v>3425</v>
      </c>
      <c r="J285" t="s">
        <v>3426</v>
      </c>
      <c r="K285" t="s">
        <v>3515</v>
      </c>
      <c r="M285" t="s">
        <v>3428</v>
      </c>
      <c r="T285" t="s">
        <v>319</v>
      </c>
      <c r="U285" t="s">
        <v>3417</v>
      </c>
      <c r="W285">
        <v>3360</v>
      </c>
      <c r="X285">
        <v>7128</v>
      </c>
      <c r="Z285">
        <v>14</v>
      </c>
      <c r="AA285" s="31">
        <v>45880</v>
      </c>
      <c r="AB285" s="61">
        <v>0.49332175925925931</v>
      </c>
      <c r="AC285" t="s">
        <v>795</v>
      </c>
      <c r="AD285" s="31">
        <v>45894</v>
      </c>
      <c r="AE285" s="61">
        <v>0.66289351851851852</v>
      </c>
      <c r="AF285" t="s">
        <v>867</v>
      </c>
      <c r="AH285" t="s">
        <v>1959</v>
      </c>
      <c r="AI285" t="s">
        <v>4055</v>
      </c>
      <c r="AQ285">
        <v>1</v>
      </c>
    </row>
    <row r="286" spans="1:43" hidden="1" x14ac:dyDescent="0.25">
      <c r="A286" t="s">
        <v>31</v>
      </c>
      <c r="B286">
        <v>525</v>
      </c>
      <c r="C286">
        <v>202</v>
      </c>
      <c r="D286">
        <v>2467</v>
      </c>
      <c r="G286" t="s">
        <v>4056</v>
      </c>
      <c r="H286">
        <v>16939440000149</v>
      </c>
      <c r="I286" t="s">
        <v>3778</v>
      </c>
      <c r="J286" t="s">
        <v>707</v>
      </c>
      <c r="K286" t="s">
        <v>3779</v>
      </c>
      <c r="M286" t="s">
        <v>3780</v>
      </c>
      <c r="O286" t="s">
        <v>6479</v>
      </c>
      <c r="P286" t="s">
        <v>3782</v>
      </c>
      <c r="Q286" t="s">
        <v>790</v>
      </c>
      <c r="T286" t="s">
        <v>319</v>
      </c>
      <c r="U286" t="s">
        <v>816</v>
      </c>
      <c r="W286">
        <v>6048</v>
      </c>
      <c r="X286">
        <v>0</v>
      </c>
      <c r="Z286">
        <v>0</v>
      </c>
      <c r="AA286" s="31">
        <v>45887</v>
      </c>
      <c r="AB286" s="61">
        <v>0.39128472222222221</v>
      </c>
      <c r="AC286" t="s">
        <v>818</v>
      </c>
      <c r="AD286" s="31">
        <v>45887</v>
      </c>
      <c r="AE286" s="61">
        <v>0.39361111111111108</v>
      </c>
      <c r="AH286" t="s">
        <v>1959</v>
      </c>
      <c r="AQ286">
        <v>1</v>
      </c>
    </row>
    <row r="287" spans="1:43" hidden="1" x14ac:dyDescent="0.25">
      <c r="A287" t="s">
        <v>31</v>
      </c>
      <c r="B287">
        <v>526</v>
      </c>
      <c r="C287">
        <v>186</v>
      </c>
      <c r="D287">
        <v>2468</v>
      </c>
      <c r="G287" t="s">
        <v>4057</v>
      </c>
      <c r="H287">
        <v>10899939000193</v>
      </c>
      <c r="I287" t="s">
        <v>3625</v>
      </c>
      <c r="J287" t="s">
        <v>704</v>
      </c>
      <c r="K287" t="s">
        <v>3626</v>
      </c>
      <c r="M287" t="s">
        <v>3627</v>
      </c>
      <c r="O287" t="s">
        <v>6463</v>
      </c>
      <c r="P287" t="s">
        <v>3629</v>
      </c>
      <c r="Q287" t="s">
        <v>932</v>
      </c>
      <c r="T287" t="s">
        <v>319</v>
      </c>
      <c r="U287" t="s">
        <v>3417</v>
      </c>
      <c r="W287">
        <v>0</v>
      </c>
      <c r="X287">
        <v>3564</v>
      </c>
      <c r="Z287">
        <v>28</v>
      </c>
      <c r="AA287" s="31">
        <v>45887</v>
      </c>
      <c r="AB287" s="61">
        <v>0.40155092592592601</v>
      </c>
      <c r="AC287" t="s">
        <v>795</v>
      </c>
      <c r="AD287" s="31">
        <v>45915</v>
      </c>
      <c r="AE287" s="61">
        <v>0.63196759259259261</v>
      </c>
      <c r="AF287" t="s">
        <v>934</v>
      </c>
      <c r="AH287" t="s">
        <v>2042</v>
      </c>
      <c r="AI287" t="s">
        <v>2042</v>
      </c>
      <c r="AQ287">
        <v>1</v>
      </c>
    </row>
    <row r="288" spans="1:43" hidden="1" x14ac:dyDescent="0.25">
      <c r="A288" t="s">
        <v>31</v>
      </c>
      <c r="B288">
        <v>527</v>
      </c>
      <c r="C288">
        <v>195</v>
      </c>
      <c r="D288">
        <v>2469</v>
      </c>
      <c r="G288" t="s">
        <v>6507</v>
      </c>
      <c r="H288">
        <v>49682710000138</v>
      </c>
      <c r="I288" t="s">
        <v>4059</v>
      </c>
      <c r="J288" t="s">
        <v>4060</v>
      </c>
      <c r="K288" t="s">
        <v>4061</v>
      </c>
      <c r="M288" t="s">
        <v>4062</v>
      </c>
      <c r="O288" t="s">
        <v>6508</v>
      </c>
      <c r="P288" t="s">
        <v>1633</v>
      </c>
      <c r="Q288" t="s">
        <v>848</v>
      </c>
      <c r="T288" t="s">
        <v>319</v>
      </c>
      <c r="U288" t="s">
        <v>816</v>
      </c>
      <c r="W288">
        <v>0</v>
      </c>
      <c r="X288">
        <v>7524</v>
      </c>
      <c r="Z288">
        <v>7</v>
      </c>
      <c r="AA288" s="31">
        <v>45887</v>
      </c>
      <c r="AB288" s="61">
        <v>0.4024652777777778</v>
      </c>
      <c r="AC288" t="s">
        <v>818</v>
      </c>
      <c r="AD288" s="31">
        <v>45894</v>
      </c>
      <c r="AE288" s="61">
        <v>0.49158564814814809</v>
      </c>
      <c r="AH288" t="s">
        <v>4064</v>
      </c>
      <c r="AI288" t="s">
        <v>4064</v>
      </c>
      <c r="AQ288">
        <v>1</v>
      </c>
    </row>
    <row r="289" spans="1:43" hidden="1" x14ac:dyDescent="0.25">
      <c r="A289" t="s">
        <v>31</v>
      </c>
      <c r="B289">
        <v>528</v>
      </c>
      <c r="C289">
        <v>88</v>
      </c>
      <c r="D289">
        <v>2470</v>
      </c>
      <c r="G289" t="s">
        <v>6509</v>
      </c>
      <c r="I289" t="s">
        <v>660</v>
      </c>
      <c r="J289" t="s">
        <v>1133</v>
      </c>
      <c r="K289" t="s">
        <v>3993</v>
      </c>
      <c r="M289" t="s">
        <v>3273</v>
      </c>
      <c r="P289" t="s">
        <v>3274</v>
      </c>
      <c r="Q289" t="s">
        <v>932</v>
      </c>
      <c r="T289" t="s">
        <v>319</v>
      </c>
      <c r="U289" t="s">
        <v>3417</v>
      </c>
      <c r="W289">
        <v>3360</v>
      </c>
      <c r="X289">
        <v>7128</v>
      </c>
      <c r="Z289">
        <v>43</v>
      </c>
      <c r="AA289" s="31">
        <v>45887</v>
      </c>
      <c r="AB289" s="61">
        <v>0.43887731481481479</v>
      </c>
      <c r="AC289" t="s">
        <v>795</v>
      </c>
      <c r="AD289" s="31">
        <v>45930</v>
      </c>
      <c r="AE289" s="61">
        <v>0.38685185185185178</v>
      </c>
      <c r="AF289" t="s">
        <v>867</v>
      </c>
      <c r="AH289" t="s">
        <v>2042</v>
      </c>
      <c r="AI289" t="s">
        <v>2042</v>
      </c>
      <c r="AQ289">
        <v>1</v>
      </c>
    </row>
    <row r="290" spans="1:43" hidden="1" x14ac:dyDescent="0.25">
      <c r="A290" t="s">
        <v>31</v>
      </c>
      <c r="B290">
        <v>529</v>
      </c>
      <c r="C290">
        <v>103</v>
      </c>
      <c r="D290">
        <v>2471</v>
      </c>
      <c r="G290" t="s">
        <v>4066</v>
      </c>
      <c r="H290">
        <v>12549273000179</v>
      </c>
      <c r="I290" t="s">
        <v>3309</v>
      </c>
      <c r="J290" t="s">
        <v>4067</v>
      </c>
      <c r="M290" t="s">
        <v>3312</v>
      </c>
      <c r="O290" t="s">
        <v>6441</v>
      </c>
      <c r="P290" t="s">
        <v>1596</v>
      </c>
      <c r="Q290" t="s">
        <v>790</v>
      </c>
      <c r="T290" t="s">
        <v>319</v>
      </c>
      <c r="U290" t="s">
        <v>3417</v>
      </c>
      <c r="W290">
        <v>420</v>
      </c>
      <c r="X290">
        <v>3564</v>
      </c>
      <c r="Z290">
        <v>25</v>
      </c>
      <c r="AA290" s="31">
        <v>45887</v>
      </c>
      <c r="AB290" s="61">
        <v>0.52501157407407406</v>
      </c>
      <c r="AC290" t="s">
        <v>795</v>
      </c>
      <c r="AD290" s="31">
        <v>45912</v>
      </c>
      <c r="AE290" s="61">
        <v>0.71452546296296293</v>
      </c>
      <c r="AF290" t="s">
        <v>934</v>
      </c>
      <c r="AH290" t="s">
        <v>2042</v>
      </c>
      <c r="AI290" t="s">
        <v>4068</v>
      </c>
      <c r="AQ290">
        <v>1</v>
      </c>
    </row>
    <row r="291" spans="1:43" hidden="1" x14ac:dyDescent="0.25">
      <c r="A291" t="s">
        <v>31</v>
      </c>
      <c r="B291">
        <v>530</v>
      </c>
      <c r="C291">
        <v>154</v>
      </c>
      <c r="D291">
        <v>2472</v>
      </c>
      <c r="G291" t="s">
        <v>6510</v>
      </c>
      <c r="H291">
        <v>790751000159</v>
      </c>
      <c r="I291" t="s">
        <v>3456</v>
      </c>
      <c r="J291" t="s">
        <v>4003</v>
      </c>
      <c r="K291" t="s">
        <v>3580</v>
      </c>
      <c r="M291" t="s">
        <v>3459</v>
      </c>
      <c r="T291" t="s">
        <v>319</v>
      </c>
      <c r="U291" t="s">
        <v>816</v>
      </c>
      <c r="W291">
        <v>5800</v>
      </c>
      <c r="X291">
        <v>0</v>
      </c>
      <c r="Z291">
        <v>10</v>
      </c>
      <c r="AA291" s="31">
        <v>45887</v>
      </c>
      <c r="AB291" s="61">
        <v>0.59663194444444445</v>
      </c>
      <c r="AC291" t="s">
        <v>818</v>
      </c>
      <c r="AD291" s="31">
        <v>45897</v>
      </c>
      <c r="AE291" s="61">
        <v>0.6378125</v>
      </c>
      <c r="AH291" t="s">
        <v>4064</v>
      </c>
      <c r="AQ291">
        <v>1</v>
      </c>
    </row>
    <row r="292" spans="1:43" hidden="1" x14ac:dyDescent="0.25">
      <c r="A292" t="s">
        <v>31</v>
      </c>
      <c r="B292">
        <v>533</v>
      </c>
      <c r="C292">
        <v>167</v>
      </c>
      <c r="D292">
        <v>2480</v>
      </c>
      <c r="G292" t="s">
        <v>4070</v>
      </c>
      <c r="H292">
        <v>7973104000121</v>
      </c>
      <c r="I292" t="s">
        <v>979</v>
      </c>
      <c r="J292" t="s">
        <v>952</v>
      </c>
      <c r="K292" t="s">
        <v>4071</v>
      </c>
      <c r="M292" t="s">
        <v>982</v>
      </c>
      <c r="P292" t="s">
        <v>983</v>
      </c>
      <c r="Q292" t="s">
        <v>932</v>
      </c>
      <c r="T292" t="s">
        <v>319</v>
      </c>
      <c r="U292" t="s">
        <v>781</v>
      </c>
      <c r="Z292">
        <v>23</v>
      </c>
      <c r="AA292" s="31">
        <v>45889</v>
      </c>
      <c r="AB292" s="61">
        <v>0.41270833333333329</v>
      </c>
      <c r="AC292" t="s">
        <v>795</v>
      </c>
      <c r="AD292" s="31">
        <v>45912</v>
      </c>
      <c r="AE292" s="61">
        <v>0.71810185185185182</v>
      </c>
      <c r="AF292" t="s">
        <v>934</v>
      </c>
      <c r="AQ292">
        <v>1</v>
      </c>
    </row>
    <row r="293" spans="1:43" hidden="1" x14ac:dyDescent="0.25">
      <c r="A293" t="s">
        <v>31</v>
      </c>
      <c r="B293">
        <v>535</v>
      </c>
      <c r="C293">
        <v>175</v>
      </c>
      <c r="D293">
        <v>2483</v>
      </c>
      <c r="G293" t="s">
        <v>4072</v>
      </c>
      <c r="H293">
        <v>52362985000107</v>
      </c>
      <c r="I293" t="s">
        <v>3519</v>
      </c>
      <c r="J293" t="s">
        <v>4073</v>
      </c>
      <c r="K293" t="s">
        <v>4074</v>
      </c>
      <c r="M293" t="s">
        <v>3521</v>
      </c>
      <c r="O293" t="s">
        <v>6449</v>
      </c>
      <c r="P293" t="s">
        <v>3523</v>
      </c>
      <c r="Q293" t="s">
        <v>790</v>
      </c>
      <c r="T293" t="s">
        <v>319</v>
      </c>
      <c r="U293" t="s">
        <v>3417</v>
      </c>
      <c r="W293">
        <v>3360</v>
      </c>
      <c r="X293">
        <v>0</v>
      </c>
      <c r="Z293">
        <v>41</v>
      </c>
      <c r="AA293" s="31">
        <v>45889</v>
      </c>
      <c r="AB293" s="61">
        <v>0.42591435185185178</v>
      </c>
      <c r="AC293" t="s">
        <v>795</v>
      </c>
      <c r="AD293" s="31">
        <v>45930</v>
      </c>
      <c r="AE293" s="61">
        <v>0.39935185185185179</v>
      </c>
      <c r="AF293" t="s">
        <v>796</v>
      </c>
      <c r="AI293" t="s">
        <v>4075</v>
      </c>
      <c r="AQ293">
        <v>1</v>
      </c>
    </row>
    <row r="294" spans="1:43" hidden="1" x14ac:dyDescent="0.25">
      <c r="A294" t="s">
        <v>31</v>
      </c>
      <c r="B294">
        <v>536</v>
      </c>
      <c r="D294">
        <v>2484</v>
      </c>
      <c r="G294" t="s">
        <v>4076</v>
      </c>
      <c r="H294">
        <v>8037413000152</v>
      </c>
      <c r="J294" t="s">
        <v>4077</v>
      </c>
      <c r="K294" t="s">
        <v>4078</v>
      </c>
      <c r="M294" t="s">
        <v>4079</v>
      </c>
      <c r="T294" t="s">
        <v>319</v>
      </c>
      <c r="U294" t="s">
        <v>3417</v>
      </c>
      <c r="W294">
        <v>3360</v>
      </c>
      <c r="X294">
        <v>7128</v>
      </c>
      <c r="Z294">
        <v>37</v>
      </c>
      <c r="AA294" s="31">
        <v>45889</v>
      </c>
      <c r="AB294" s="61">
        <v>0.43030092592592589</v>
      </c>
      <c r="AC294" t="s">
        <v>795</v>
      </c>
      <c r="AD294" s="31">
        <v>45926</v>
      </c>
      <c r="AE294" s="61">
        <v>0.67302083333333329</v>
      </c>
      <c r="AF294" t="s">
        <v>796</v>
      </c>
      <c r="AH294" t="s">
        <v>4080</v>
      </c>
      <c r="AQ294">
        <v>1</v>
      </c>
    </row>
    <row r="295" spans="1:43" hidden="1" x14ac:dyDescent="0.25">
      <c r="A295" t="s">
        <v>31</v>
      </c>
      <c r="B295">
        <v>538</v>
      </c>
      <c r="C295">
        <v>132</v>
      </c>
      <c r="D295">
        <v>2489</v>
      </c>
      <c r="G295" t="s">
        <v>4081</v>
      </c>
      <c r="I295" t="s">
        <v>3373</v>
      </c>
      <c r="J295" t="s">
        <v>3588</v>
      </c>
      <c r="K295" t="s">
        <v>3553</v>
      </c>
      <c r="M295" t="s">
        <v>3375</v>
      </c>
      <c r="T295" t="s">
        <v>319</v>
      </c>
      <c r="U295" t="s">
        <v>3417</v>
      </c>
      <c r="W295">
        <v>3360</v>
      </c>
      <c r="X295">
        <v>7128</v>
      </c>
      <c r="Z295">
        <v>5</v>
      </c>
      <c r="AA295" s="31">
        <v>45889</v>
      </c>
      <c r="AB295" s="61">
        <v>0.46584490740740742</v>
      </c>
      <c r="AC295" t="s">
        <v>795</v>
      </c>
      <c r="AD295" s="31">
        <v>45894</v>
      </c>
      <c r="AE295" s="61">
        <v>0.70057870370370368</v>
      </c>
      <c r="AF295" t="s">
        <v>867</v>
      </c>
      <c r="AH295" t="s">
        <v>4080</v>
      </c>
      <c r="AI295" t="s">
        <v>4080</v>
      </c>
      <c r="AQ295">
        <v>1</v>
      </c>
    </row>
    <row r="296" spans="1:43" hidden="1" x14ac:dyDescent="0.25">
      <c r="A296" t="s">
        <v>31</v>
      </c>
      <c r="B296">
        <v>541</v>
      </c>
      <c r="C296">
        <v>97</v>
      </c>
      <c r="D296">
        <v>2495</v>
      </c>
      <c r="G296" t="s">
        <v>4082</v>
      </c>
      <c r="H296">
        <v>22500484000170</v>
      </c>
      <c r="I296" t="s">
        <v>669</v>
      </c>
      <c r="J296" t="s">
        <v>4034</v>
      </c>
      <c r="K296" t="s">
        <v>4035</v>
      </c>
      <c r="M296" t="s">
        <v>3294</v>
      </c>
      <c r="T296" t="s">
        <v>319</v>
      </c>
      <c r="U296" t="s">
        <v>816</v>
      </c>
      <c r="W296">
        <v>630</v>
      </c>
      <c r="X296">
        <v>0</v>
      </c>
      <c r="Z296">
        <v>0</v>
      </c>
      <c r="AA296" s="31">
        <v>45889</v>
      </c>
      <c r="AB296" s="61">
        <v>0.69578703703703704</v>
      </c>
      <c r="AC296" t="s">
        <v>818</v>
      </c>
      <c r="AD296" s="31">
        <v>45889</v>
      </c>
      <c r="AE296" s="61">
        <v>0.69665509259259262</v>
      </c>
      <c r="AH296" t="s">
        <v>4080</v>
      </c>
      <c r="AQ296">
        <v>1</v>
      </c>
    </row>
    <row r="297" spans="1:43" hidden="1" x14ac:dyDescent="0.25">
      <c r="A297" t="s">
        <v>31</v>
      </c>
      <c r="B297">
        <v>543</v>
      </c>
      <c r="C297">
        <v>179</v>
      </c>
      <c r="D297">
        <v>2500</v>
      </c>
      <c r="G297" t="s">
        <v>4083</v>
      </c>
      <c r="H297">
        <v>21736169000184</v>
      </c>
      <c r="I297" t="s">
        <v>3546</v>
      </c>
      <c r="J297" t="s">
        <v>1243</v>
      </c>
      <c r="K297" t="s">
        <v>3547</v>
      </c>
      <c r="M297" t="s">
        <v>3548</v>
      </c>
      <c r="O297" t="s">
        <v>6454</v>
      </c>
      <c r="P297" t="s">
        <v>3550</v>
      </c>
      <c r="Q297" t="s">
        <v>874</v>
      </c>
      <c r="T297" t="s">
        <v>319</v>
      </c>
      <c r="U297" t="s">
        <v>816</v>
      </c>
      <c r="W297">
        <v>4200</v>
      </c>
      <c r="X297">
        <v>0</v>
      </c>
      <c r="Z297">
        <v>39</v>
      </c>
      <c r="AA297" s="31">
        <v>45890</v>
      </c>
      <c r="AB297" s="61">
        <v>0.4518287037037037</v>
      </c>
      <c r="AC297" t="s">
        <v>795</v>
      </c>
      <c r="AD297" s="31">
        <v>45929</v>
      </c>
      <c r="AE297" s="61">
        <v>0.44091435185185179</v>
      </c>
      <c r="AF297" t="s">
        <v>796</v>
      </c>
      <c r="AH297" t="s">
        <v>4084</v>
      </c>
      <c r="AQ297">
        <v>1</v>
      </c>
    </row>
    <row r="298" spans="1:43" hidden="1" x14ac:dyDescent="0.25">
      <c r="A298" t="s">
        <v>31</v>
      </c>
      <c r="B298">
        <v>544</v>
      </c>
      <c r="C298">
        <v>76</v>
      </c>
      <c r="D298">
        <v>2501</v>
      </c>
      <c r="G298" t="s">
        <v>4085</v>
      </c>
      <c r="I298" t="s">
        <v>225</v>
      </c>
      <c r="J298" t="s">
        <v>4086</v>
      </c>
      <c r="K298" t="s">
        <v>3623</v>
      </c>
      <c r="M298" t="s">
        <v>3233</v>
      </c>
      <c r="P298" t="s">
        <v>3234</v>
      </c>
      <c r="Q298" t="s">
        <v>1699</v>
      </c>
      <c r="T298" t="s">
        <v>319</v>
      </c>
      <c r="U298" t="s">
        <v>816</v>
      </c>
      <c r="W298">
        <v>1680</v>
      </c>
      <c r="X298">
        <v>0</v>
      </c>
      <c r="Z298">
        <v>0</v>
      </c>
      <c r="AA298" s="31">
        <v>45890</v>
      </c>
      <c r="AB298" s="61">
        <v>0.4753472222222222</v>
      </c>
      <c r="AC298" t="s">
        <v>818</v>
      </c>
      <c r="AD298" s="31">
        <v>45890</v>
      </c>
      <c r="AE298" s="61">
        <v>0.66390046296296301</v>
      </c>
      <c r="AH298" t="s">
        <v>4084</v>
      </c>
      <c r="AQ298">
        <v>1</v>
      </c>
    </row>
    <row r="299" spans="1:43" hidden="1" x14ac:dyDescent="0.25">
      <c r="A299" t="s">
        <v>31</v>
      </c>
      <c r="B299">
        <v>547</v>
      </c>
      <c r="C299">
        <v>76</v>
      </c>
      <c r="D299">
        <v>2503</v>
      </c>
      <c r="G299" t="s">
        <v>4087</v>
      </c>
      <c r="I299" t="s">
        <v>225</v>
      </c>
      <c r="J299" t="s">
        <v>3691</v>
      </c>
      <c r="K299" t="s">
        <v>3623</v>
      </c>
      <c r="M299" t="s">
        <v>3233</v>
      </c>
      <c r="P299" t="s">
        <v>3234</v>
      </c>
      <c r="Q299" t="s">
        <v>1699</v>
      </c>
      <c r="T299" t="s">
        <v>319</v>
      </c>
      <c r="U299" t="s">
        <v>816</v>
      </c>
      <c r="W299">
        <v>1680</v>
      </c>
      <c r="X299">
        <v>64152</v>
      </c>
      <c r="Z299">
        <v>21</v>
      </c>
      <c r="AA299" s="31">
        <v>45894</v>
      </c>
      <c r="AB299" s="61">
        <v>0.41486111111111112</v>
      </c>
      <c r="AC299" t="s">
        <v>818</v>
      </c>
      <c r="AD299" s="31">
        <v>45915</v>
      </c>
      <c r="AE299" s="61">
        <v>0.47063657407407411</v>
      </c>
      <c r="AH299" t="s">
        <v>2048</v>
      </c>
      <c r="AI299" t="s">
        <v>2048</v>
      </c>
      <c r="AQ299">
        <v>1</v>
      </c>
    </row>
    <row r="300" spans="1:43" hidden="1" x14ac:dyDescent="0.25">
      <c r="A300" t="s">
        <v>31</v>
      </c>
      <c r="B300">
        <v>548</v>
      </c>
      <c r="C300">
        <v>190</v>
      </c>
      <c r="D300">
        <v>2504</v>
      </c>
      <c r="G300" t="s">
        <v>4088</v>
      </c>
      <c r="H300">
        <v>18203215000175</v>
      </c>
      <c r="I300" t="s">
        <v>3690</v>
      </c>
      <c r="J300" t="s">
        <v>4210</v>
      </c>
      <c r="K300" t="s">
        <v>3692</v>
      </c>
      <c r="M300" t="s">
        <v>3693</v>
      </c>
      <c r="O300" t="s">
        <v>6470</v>
      </c>
      <c r="P300" t="s">
        <v>3695</v>
      </c>
      <c r="Q300" t="s">
        <v>790</v>
      </c>
      <c r="T300" t="s">
        <v>319</v>
      </c>
      <c r="U300" t="s">
        <v>816</v>
      </c>
      <c r="W300">
        <v>3360</v>
      </c>
      <c r="X300">
        <v>0</v>
      </c>
      <c r="Z300">
        <v>9</v>
      </c>
      <c r="AA300" s="31">
        <v>45894</v>
      </c>
      <c r="AB300" s="61">
        <v>0.43626157407407412</v>
      </c>
      <c r="AC300" t="s">
        <v>818</v>
      </c>
      <c r="AD300" s="31">
        <v>45903</v>
      </c>
      <c r="AE300" s="61">
        <v>0.51253472222222218</v>
      </c>
      <c r="AH300" t="s">
        <v>2048</v>
      </c>
      <c r="AQ300">
        <v>1</v>
      </c>
    </row>
    <row r="301" spans="1:43" hidden="1" x14ac:dyDescent="0.25">
      <c r="A301" t="s">
        <v>31</v>
      </c>
      <c r="B301">
        <v>549</v>
      </c>
      <c r="C301">
        <v>208</v>
      </c>
      <c r="D301">
        <v>2505</v>
      </c>
      <c r="G301" t="s">
        <v>4090</v>
      </c>
      <c r="H301">
        <v>42830750000130</v>
      </c>
      <c r="I301" t="s">
        <v>3903</v>
      </c>
      <c r="J301" t="s">
        <v>4091</v>
      </c>
      <c r="K301" t="s">
        <v>3905</v>
      </c>
      <c r="M301" t="s">
        <v>4594</v>
      </c>
      <c r="O301" t="s">
        <v>6494</v>
      </c>
      <c r="P301" t="s">
        <v>1094</v>
      </c>
      <c r="Q301" t="s">
        <v>790</v>
      </c>
      <c r="T301" t="s">
        <v>319</v>
      </c>
      <c r="U301" t="s">
        <v>3417</v>
      </c>
      <c r="W301">
        <v>3360</v>
      </c>
      <c r="X301">
        <v>7128</v>
      </c>
      <c r="Z301">
        <v>7</v>
      </c>
      <c r="AA301" s="31">
        <v>45894</v>
      </c>
      <c r="AB301" s="61">
        <v>0.49232638888888891</v>
      </c>
      <c r="AC301" t="s">
        <v>795</v>
      </c>
      <c r="AD301" s="31">
        <v>45901</v>
      </c>
      <c r="AE301" s="61">
        <v>0.45027777777777778</v>
      </c>
      <c r="AF301" t="s">
        <v>934</v>
      </c>
      <c r="AH301" t="s">
        <v>2048</v>
      </c>
      <c r="AI301" t="s">
        <v>2048</v>
      </c>
      <c r="AQ301">
        <v>1</v>
      </c>
    </row>
    <row r="302" spans="1:43" hidden="1" x14ac:dyDescent="0.25">
      <c r="A302" t="s">
        <v>31</v>
      </c>
      <c r="B302">
        <v>551</v>
      </c>
      <c r="C302">
        <v>130</v>
      </c>
      <c r="D302">
        <v>2507</v>
      </c>
      <c r="G302" t="s">
        <v>4092</v>
      </c>
      <c r="I302" t="s">
        <v>141</v>
      </c>
      <c r="J302" t="s">
        <v>3675</v>
      </c>
      <c r="K302" t="s">
        <v>3676</v>
      </c>
      <c r="M302" t="s">
        <v>3368</v>
      </c>
      <c r="P302" t="s">
        <v>923</v>
      </c>
      <c r="Q302" t="s">
        <v>790</v>
      </c>
      <c r="T302" t="s">
        <v>319</v>
      </c>
      <c r="U302" t="s">
        <v>816</v>
      </c>
      <c r="W302">
        <v>2000</v>
      </c>
      <c r="X302">
        <v>0</v>
      </c>
      <c r="Z302">
        <v>0</v>
      </c>
      <c r="AA302" s="31">
        <v>45894</v>
      </c>
      <c r="AB302" s="61">
        <v>0.60696759259259259</v>
      </c>
      <c r="AC302" t="s">
        <v>818</v>
      </c>
      <c r="AD302" s="31">
        <v>45894</v>
      </c>
      <c r="AE302" s="61">
        <v>0.64976851851851847</v>
      </c>
      <c r="AH302" t="s">
        <v>2048</v>
      </c>
      <c r="AQ302">
        <v>1</v>
      </c>
    </row>
    <row r="303" spans="1:43" hidden="1" x14ac:dyDescent="0.25">
      <c r="A303" t="s">
        <v>31</v>
      </c>
      <c r="B303">
        <v>554</v>
      </c>
      <c r="C303">
        <v>0</v>
      </c>
      <c r="D303">
        <v>2510</v>
      </c>
      <c r="G303" t="s">
        <v>6511</v>
      </c>
      <c r="H303">
        <v>49119936000125</v>
      </c>
      <c r="J303" t="s">
        <v>4094</v>
      </c>
      <c r="K303" t="s">
        <v>4095</v>
      </c>
      <c r="M303" t="s">
        <v>4096</v>
      </c>
      <c r="T303" t="s">
        <v>319</v>
      </c>
      <c r="U303" t="s">
        <v>781</v>
      </c>
      <c r="Z303">
        <v>35</v>
      </c>
      <c r="AA303" s="31">
        <v>45895</v>
      </c>
      <c r="AB303" s="61">
        <v>0.47723379629629631</v>
      </c>
      <c r="AC303" t="s">
        <v>795</v>
      </c>
      <c r="AD303" s="31">
        <v>45930</v>
      </c>
      <c r="AE303" s="61">
        <v>0.69893518518518516</v>
      </c>
      <c r="AF303" t="s">
        <v>796</v>
      </c>
      <c r="AQ303">
        <v>1</v>
      </c>
    </row>
    <row r="304" spans="1:43" hidden="1" x14ac:dyDescent="0.25">
      <c r="A304" t="s">
        <v>31</v>
      </c>
      <c r="B304">
        <v>555</v>
      </c>
      <c r="C304">
        <v>129</v>
      </c>
      <c r="D304">
        <v>2513</v>
      </c>
      <c r="G304" t="s">
        <v>3535</v>
      </c>
      <c r="I304" t="s">
        <v>679</v>
      </c>
      <c r="J304" t="s">
        <v>928</v>
      </c>
      <c r="K304" t="s">
        <v>3537</v>
      </c>
      <c r="M304" t="s">
        <v>3366</v>
      </c>
      <c r="T304" t="s">
        <v>319</v>
      </c>
      <c r="U304" t="s">
        <v>816</v>
      </c>
      <c r="W304">
        <v>50000</v>
      </c>
      <c r="X304">
        <v>68904</v>
      </c>
      <c r="Z304">
        <v>21</v>
      </c>
      <c r="AA304" s="31">
        <v>45895</v>
      </c>
      <c r="AB304" s="61">
        <v>0.51844907407407403</v>
      </c>
      <c r="AC304" t="s">
        <v>818</v>
      </c>
      <c r="AD304" s="31">
        <v>45916</v>
      </c>
      <c r="AE304" s="61">
        <v>0.65458333333333329</v>
      </c>
      <c r="AH304" t="s">
        <v>4097</v>
      </c>
      <c r="AI304" t="s">
        <v>4097</v>
      </c>
      <c r="AQ304">
        <v>1</v>
      </c>
    </row>
    <row r="305" spans="1:43" hidden="1" x14ac:dyDescent="0.25">
      <c r="A305" t="s">
        <v>31</v>
      </c>
      <c r="B305">
        <v>556</v>
      </c>
      <c r="C305">
        <v>118</v>
      </c>
      <c r="D305">
        <v>2514</v>
      </c>
      <c r="G305" t="s">
        <v>4098</v>
      </c>
      <c r="I305" t="s">
        <v>686</v>
      </c>
      <c r="J305" t="s">
        <v>162</v>
      </c>
      <c r="K305" t="s">
        <v>3609</v>
      </c>
      <c r="M305" t="s">
        <v>3343</v>
      </c>
      <c r="T305" t="s">
        <v>319</v>
      </c>
      <c r="U305" t="s">
        <v>3417</v>
      </c>
      <c r="W305">
        <v>8400</v>
      </c>
      <c r="X305">
        <v>0</v>
      </c>
      <c r="Z305">
        <v>23</v>
      </c>
      <c r="AA305" s="31">
        <v>45895</v>
      </c>
      <c r="AB305" s="61">
        <v>0.52089120370370368</v>
      </c>
      <c r="AC305" t="s">
        <v>795</v>
      </c>
      <c r="AD305" s="31">
        <v>45918</v>
      </c>
      <c r="AE305" s="61">
        <v>0.51217592592592598</v>
      </c>
      <c r="AF305" t="s">
        <v>934</v>
      </c>
      <c r="AH305" t="s">
        <v>4097</v>
      </c>
      <c r="AI305" t="s">
        <v>4097</v>
      </c>
      <c r="AQ305">
        <v>1</v>
      </c>
    </row>
    <row r="306" spans="1:43" hidden="1" x14ac:dyDescent="0.25">
      <c r="A306" t="s">
        <v>31</v>
      </c>
      <c r="B306">
        <v>560</v>
      </c>
      <c r="C306">
        <v>142</v>
      </c>
      <c r="D306">
        <v>2522</v>
      </c>
      <c r="G306" t="s">
        <v>4099</v>
      </c>
      <c r="I306" t="s">
        <v>3397</v>
      </c>
      <c r="J306" t="s">
        <v>2610</v>
      </c>
      <c r="K306" t="s">
        <v>3698</v>
      </c>
      <c r="M306" t="s">
        <v>3399</v>
      </c>
      <c r="P306" t="s">
        <v>3400</v>
      </c>
      <c r="Q306" t="s">
        <v>1699</v>
      </c>
      <c r="T306" t="s">
        <v>319</v>
      </c>
      <c r="U306" t="s">
        <v>3417</v>
      </c>
      <c r="W306">
        <v>3360</v>
      </c>
      <c r="X306">
        <v>7128</v>
      </c>
      <c r="Z306">
        <v>14</v>
      </c>
      <c r="AA306" s="31">
        <v>45898</v>
      </c>
      <c r="AB306" s="61">
        <v>0.67541666666666667</v>
      </c>
      <c r="AC306" t="s">
        <v>795</v>
      </c>
      <c r="AD306" s="31">
        <v>45912</v>
      </c>
      <c r="AE306" s="61">
        <v>0.71483796296296298</v>
      </c>
      <c r="AF306" t="s">
        <v>934</v>
      </c>
      <c r="AH306" t="s">
        <v>4100</v>
      </c>
      <c r="AI306" t="s">
        <v>4100</v>
      </c>
      <c r="AQ306">
        <v>1</v>
      </c>
    </row>
    <row r="307" spans="1:43" hidden="1" x14ac:dyDescent="0.25">
      <c r="A307" t="s">
        <v>31</v>
      </c>
      <c r="B307">
        <v>565</v>
      </c>
      <c r="C307">
        <v>185</v>
      </c>
      <c r="D307">
        <v>2537</v>
      </c>
      <c r="G307" t="s">
        <v>4101</v>
      </c>
      <c r="H307">
        <v>51496785000176</v>
      </c>
      <c r="I307" t="s">
        <v>3599</v>
      </c>
      <c r="J307" t="s">
        <v>3600</v>
      </c>
      <c r="K307" t="s">
        <v>3601</v>
      </c>
      <c r="M307" t="s">
        <v>3602</v>
      </c>
      <c r="O307" t="s">
        <v>6460</v>
      </c>
      <c r="P307" t="s">
        <v>847</v>
      </c>
      <c r="Q307" t="s">
        <v>848</v>
      </c>
      <c r="T307" t="s">
        <v>319</v>
      </c>
      <c r="U307" t="s">
        <v>816</v>
      </c>
      <c r="W307">
        <v>293842</v>
      </c>
      <c r="X307">
        <v>0</v>
      </c>
      <c r="Z307">
        <v>3</v>
      </c>
      <c r="AA307" s="31">
        <v>45901</v>
      </c>
      <c r="AB307" s="61">
        <v>0.66069444444444447</v>
      </c>
      <c r="AC307" t="s">
        <v>818</v>
      </c>
      <c r="AD307" s="31">
        <v>45904</v>
      </c>
      <c r="AE307" s="61">
        <v>0.62457175925925923</v>
      </c>
      <c r="AH307" t="s">
        <v>4102</v>
      </c>
      <c r="AQ307">
        <v>1</v>
      </c>
    </row>
    <row r="308" spans="1:43" hidden="1" x14ac:dyDescent="0.25">
      <c r="A308" t="s">
        <v>31</v>
      </c>
      <c r="B308">
        <v>568</v>
      </c>
      <c r="C308">
        <v>199</v>
      </c>
      <c r="D308">
        <v>2542</v>
      </c>
      <c r="G308" t="s">
        <v>4103</v>
      </c>
      <c r="H308">
        <v>50963243000101</v>
      </c>
      <c r="I308" t="s">
        <v>3750</v>
      </c>
      <c r="J308" t="s">
        <v>3844</v>
      </c>
      <c r="K308" t="s">
        <v>3752</v>
      </c>
      <c r="M308" t="s">
        <v>3753</v>
      </c>
      <c r="O308" t="s">
        <v>6476</v>
      </c>
      <c r="P308" t="s">
        <v>1094</v>
      </c>
      <c r="Q308" t="s">
        <v>790</v>
      </c>
      <c r="T308" t="s">
        <v>319</v>
      </c>
      <c r="U308" t="s">
        <v>816</v>
      </c>
      <c r="W308">
        <v>3024</v>
      </c>
      <c r="X308">
        <v>0</v>
      </c>
      <c r="Z308">
        <v>1</v>
      </c>
      <c r="AA308" s="31">
        <v>45902</v>
      </c>
      <c r="AB308" s="61">
        <v>0.50137731481481485</v>
      </c>
      <c r="AC308" t="s">
        <v>818</v>
      </c>
      <c r="AD308" s="31">
        <v>45903</v>
      </c>
      <c r="AE308" s="61">
        <v>0.51120370370370372</v>
      </c>
      <c r="AH308" t="s">
        <v>2213</v>
      </c>
      <c r="AQ308">
        <v>1</v>
      </c>
    </row>
    <row r="309" spans="1:43" hidden="1" x14ac:dyDescent="0.25">
      <c r="A309" t="s">
        <v>31</v>
      </c>
      <c r="B309">
        <v>569</v>
      </c>
      <c r="C309">
        <v>130</v>
      </c>
      <c r="D309">
        <v>2543</v>
      </c>
      <c r="G309" t="s">
        <v>4104</v>
      </c>
      <c r="I309" t="s">
        <v>141</v>
      </c>
      <c r="J309" t="s">
        <v>3675</v>
      </c>
      <c r="K309" t="s">
        <v>3676</v>
      </c>
      <c r="M309" t="s">
        <v>3368</v>
      </c>
      <c r="P309" t="s">
        <v>923</v>
      </c>
      <c r="Q309" t="s">
        <v>790</v>
      </c>
      <c r="T309" t="s">
        <v>319</v>
      </c>
      <c r="U309" t="s">
        <v>816</v>
      </c>
      <c r="W309">
        <v>11340</v>
      </c>
      <c r="X309">
        <v>42982</v>
      </c>
      <c r="Z309">
        <v>8</v>
      </c>
      <c r="AA309" s="31">
        <v>45903</v>
      </c>
      <c r="AB309" s="61">
        <v>0.4649537037037037</v>
      </c>
      <c r="AC309" t="s">
        <v>818</v>
      </c>
      <c r="AD309" s="31">
        <v>45911</v>
      </c>
      <c r="AE309" s="61">
        <v>0.42986111111111108</v>
      </c>
      <c r="AH309" t="s">
        <v>4105</v>
      </c>
      <c r="AI309" t="s">
        <v>4105</v>
      </c>
      <c r="AQ309">
        <v>1</v>
      </c>
    </row>
    <row r="310" spans="1:43" hidden="1" x14ac:dyDescent="0.25">
      <c r="A310" t="s">
        <v>31</v>
      </c>
      <c r="B310">
        <v>570</v>
      </c>
      <c r="C310">
        <v>122</v>
      </c>
      <c r="D310">
        <v>2544</v>
      </c>
      <c r="G310" t="s">
        <v>4106</v>
      </c>
      <c r="I310" t="s">
        <v>680</v>
      </c>
      <c r="J310" t="s">
        <v>680</v>
      </c>
      <c r="K310" t="s">
        <v>3867</v>
      </c>
      <c r="M310" t="s">
        <v>3351</v>
      </c>
      <c r="T310" t="s">
        <v>319</v>
      </c>
      <c r="U310" t="s">
        <v>816</v>
      </c>
      <c r="W310">
        <v>1008</v>
      </c>
      <c r="X310">
        <v>0</v>
      </c>
      <c r="Z310">
        <v>0</v>
      </c>
      <c r="AA310" s="31">
        <v>45903</v>
      </c>
      <c r="AB310" s="61">
        <v>0.47706018518518523</v>
      </c>
      <c r="AC310" t="s">
        <v>818</v>
      </c>
      <c r="AD310" s="31">
        <v>45903</v>
      </c>
      <c r="AE310" s="61">
        <v>0.51025462962962964</v>
      </c>
      <c r="AH310" t="s">
        <v>4105</v>
      </c>
      <c r="AQ310">
        <v>1</v>
      </c>
    </row>
    <row r="311" spans="1:43" hidden="1" x14ac:dyDescent="0.25">
      <c r="A311" t="s">
        <v>31</v>
      </c>
      <c r="B311">
        <v>571</v>
      </c>
      <c r="C311">
        <v>194</v>
      </c>
      <c r="D311">
        <v>2546</v>
      </c>
      <c r="G311" t="s">
        <v>4107</v>
      </c>
      <c r="H311">
        <v>44580314000186</v>
      </c>
      <c r="I311" t="s">
        <v>3682</v>
      </c>
      <c r="J311" t="s">
        <v>4411</v>
      </c>
      <c r="K311" t="s">
        <v>3684</v>
      </c>
      <c r="M311" t="s">
        <v>3685</v>
      </c>
      <c r="O311" t="s">
        <v>6469</v>
      </c>
      <c r="P311" t="s">
        <v>3687</v>
      </c>
      <c r="Q311" t="s">
        <v>790</v>
      </c>
      <c r="T311" t="s">
        <v>319</v>
      </c>
      <c r="U311" t="s">
        <v>816</v>
      </c>
      <c r="W311">
        <v>7200</v>
      </c>
      <c r="X311">
        <v>0</v>
      </c>
      <c r="Z311">
        <v>0</v>
      </c>
      <c r="AA311" s="31">
        <v>45903</v>
      </c>
      <c r="AB311" s="61">
        <v>0.6932638888888889</v>
      </c>
      <c r="AC311" t="s">
        <v>818</v>
      </c>
      <c r="AD311" s="31">
        <v>45903</v>
      </c>
      <c r="AE311" s="61">
        <v>0.7319444444444444</v>
      </c>
      <c r="AH311" t="s">
        <v>4105</v>
      </c>
      <c r="AI311" t="s">
        <v>4105</v>
      </c>
      <c r="AQ311">
        <v>1</v>
      </c>
    </row>
    <row r="312" spans="1:43" hidden="1" x14ac:dyDescent="0.25">
      <c r="A312" t="s">
        <v>31</v>
      </c>
      <c r="B312">
        <v>572</v>
      </c>
      <c r="C312">
        <v>137</v>
      </c>
      <c r="D312">
        <v>2548</v>
      </c>
      <c r="G312" t="s">
        <v>3701</v>
      </c>
      <c r="I312" t="s">
        <v>116</v>
      </c>
      <c r="J312" t="s">
        <v>704</v>
      </c>
      <c r="K312" t="s">
        <v>3703</v>
      </c>
      <c r="M312" t="s">
        <v>3386</v>
      </c>
      <c r="T312" t="s">
        <v>319</v>
      </c>
      <c r="U312" t="s">
        <v>816</v>
      </c>
      <c r="W312">
        <v>0</v>
      </c>
      <c r="X312">
        <v>55241</v>
      </c>
      <c r="Z312">
        <v>21</v>
      </c>
      <c r="AA312" s="31">
        <v>45908</v>
      </c>
      <c r="AB312" s="61">
        <v>0.42853009259259262</v>
      </c>
      <c r="AC312" t="s">
        <v>795</v>
      </c>
      <c r="AD312" s="31">
        <v>45929</v>
      </c>
      <c r="AE312" s="61">
        <v>0.3904050925925926</v>
      </c>
      <c r="AF312" t="s">
        <v>1358</v>
      </c>
      <c r="AH312" t="s">
        <v>4108</v>
      </c>
      <c r="AI312" t="s">
        <v>4108</v>
      </c>
      <c r="AQ312">
        <v>1</v>
      </c>
    </row>
    <row r="313" spans="1:43" hidden="1" x14ac:dyDescent="0.25">
      <c r="A313" t="s">
        <v>31</v>
      </c>
      <c r="B313">
        <v>573</v>
      </c>
      <c r="C313">
        <v>85</v>
      </c>
      <c r="D313">
        <v>2550</v>
      </c>
      <c r="G313" t="s">
        <v>4109</v>
      </c>
      <c r="I313" t="s">
        <v>3261</v>
      </c>
      <c r="J313" t="s">
        <v>3971</v>
      </c>
      <c r="K313" t="s">
        <v>3972</v>
      </c>
      <c r="M313" t="s">
        <v>3263</v>
      </c>
      <c r="P313" t="s">
        <v>3264</v>
      </c>
      <c r="T313" t="s">
        <v>319</v>
      </c>
      <c r="U313" t="s">
        <v>3417</v>
      </c>
      <c r="W313">
        <v>3360</v>
      </c>
      <c r="X313">
        <v>3564</v>
      </c>
      <c r="Z313">
        <v>4</v>
      </c>
      <c r="AA313" s="31">
        <v>45908</v>
      </c>
      <c r="AB313" s="61">
        <v>0.69795138888888886</v>
      </c>
      <c r="AC313" t="s">
        <v>795</v>
      </c>
      <c r="AD313" s="31">
        <v>45912</v>
      </c>
      <c r="AE313" s="61">
        <v>0.44373842592592588</v>
      </c>
      <c r="AF313" t="s">
        <v>974</v>
      </c>
      <c r="AH313" t="s">
        <v>4108</v>
      </c>
      <c r="AI313" t="s">
        <v>4108</v>
      </c>
      <c r="AQ313">
        <v>1</v>
      </c>
    </row>
    <row r="314" spans="1:43" hidden="1" x14ac:dyDescent="0.25">
      <c r="A314" t="s">
        <v>31</v>
      </c>
      <c r="B314">
        <v>574</v>
      </c>
      <c r="C314">
        <v>159</v>
      </c>
      <c r="D314">
        <v>823</v>
      </c>
      <c r="G314" t="s">
        <v>4110</v>
      </c>
      <c r="H314">
        <v>43526090000161</v>
      </c>
      <c r="I314" t="s">
        <v>913</v>
      </c>
      <c r="J314" t="s">
        <v>914</v>
      </c>
      <c r="K314" t="s">
        <v>915</v>
      </c>
      <c r="M314" t="s">
        <v>916</v>
      </c>
      <c r="P314" t="s">
        <v>909</v>
      </c>
      <c r="Q314" t="s">
        <v>790</v>
      </c>
      <c r="T314" t="s">
        <v>319</v>
      </c>
      <c r="U314" t="s">
        <v>3417</v>
      </c>
      <c r="W314">
        <v>3360</v>
      </c>
      <c r="X314">
        <v>3564</v>
      </c>
      <c r="Z314">
        <v>21</v>
      </c>
      <c r="AA314" s="31">
        <v>45909</v>
      </c>
      <c r="AB314" s="61">
        <v>0.62616898148148148</v>
      </c>
      <c r="AC314" t="s">
        <v>795</v>
      </c>
      <c r="AD314" s="31">
        <v>45930</v>
      </c>
      <c r="AE314" s="61">
        <v>0.38518518518518519</v>
      </c>
      <c r="AF314" t="s">
        <v>934</v>
      </c>
      <c r="AH314" t="s">
        <v>2209</v>
      </c>
      <c r="AI314" t="s">
        <v>2209</v>
      </c>
      <c r="AQ314">
        <v>1</v>
      </c>
    </row>
    <row r="315" spans="1:43" hidden="1" x14ac:dyDescent="0.25">
      <c r="A315" t="s">
        <v>31</v>
      </c>
      <c r="B315">
        <v>579</v>
      </c>
      <c r="C315">
        <v>208</v>
      </c>
      <c r="D315">
        <v>2552</v>
      </c>
      <c r="G315" t="s">
        <v>4111</v>
      </c>
      <c r="H315">
        <v>42830750000130</v>
      </c>
      <c r="I315" t="s">
        <v>3903</v>
      </c>
      <c r="J315" t="s">
        <v>4091</v>
      </c>
      <c r="K315" t="s">
        <v>3905</v>
      </c>
      <c r="M315" t="s">
        <v>4594</v>
      </c>
      <c r="O315" t="s">
        <v>6494</v>
      </c>
      <c r="P315" t="s">
        <v>1094</v>
      </c>
      <c r="Q315" t="s">
        <v>790</v>
      </c>
      <c r="T315" t="s">
        <v>319</v>
      </c>
      <c r="U315" t="s">
        <v>3606</v>
      </c>
      <c r="Z315">
        <v>0</v>
      </c>
      <c r="AA315" s="31">
        <v>45911</v>
      </c>
      <c r="AB315" s="61">
        <v>0.43406250000000002</v>
      </c>
      <c r="AC315" t="s">
        <v>795</v>
      </c>
      <c r="AD315" s="31">
        <v>45911</v>
      </c>
      <c r="AE315" s="61">
        <v>0.4347685185185185</v>
      </c>
      <c r="AF315" t="s">
        <v>796</v>
      </c>
      <c r="AI315" t="s">
        <v>2107</v>
      </c>
      <c r="AQ315">
        <v>1</v>
      </c>
    </row>
    <row r="316" spans="1:43" hidden="1" x14ac:dyDescent="0.25">
      <c r="A316" t="s">
        <v>31</v>
      </c>
      <c r="B316">
        <v>580</v>
      </c>
      <c r="C316">
        <v>174</v>
      </c>
      <c r="D316">
        <v>2553</v>
      </c>
      <c r="G316" t="s">
        <v>4112</v>
      </c>
      <c r="H316">
        <v>45238441000164</v>
      </c>
      <c r="I316" t="s">
        <v>3507</v>
      </c>
      <c r="J316" t="s">
        <v>3995</v>
      </c>
      <c r="K316" t="s">
        <v>3509</v>
      </c>
      <c r="L316">
        <v>11973359869</v>
      </c>
      <c r="M316" t="s">
        <v>3510</v>
      </c>
      <c r="O316" t="s">
        <v>6448</v>
      </c>
      <c r="P316" t="s">
        <v>1094</v>
      </c>
      <c r="Q316" t="s">
        <v>790</v>
      </c>
      <c r="T316" t="s">
        <v>319</v>
      </c>
      <c r="U316" t="s">
        <v>816</v>
      </c>
      <c r="W316">
        <v>8064</v>
      </c>
      <c r="X316">
        <v>0</v>
      </c>
      <c r="Z316">
        <v>40</v>
      </c>
      <c r="AA316" s="31">
        <v>45911</v>
      </c>
      <c r="AB316" s="61">
        <v>0.43517361111111108</v>
      </c>
      <c r="AC316" t="s">
        <v>818</v>
      </c>
      <c r="AD316" s="31">
        <v>45951</v>
      </c>
      <c r="AE316" s="61">
        <v>0.44538194444444451</v>
      </c>
      <c r="AH316" t="s">
        <v>4113</v>
      </c>
      <c r="AI316" t="s">
        <v>2107</v>
      </c>
      <c r="AQ316">
        <v>1</v>
      </c>
    </row>
    <row r="317" spans="1:43" hidden="1" x14ac:dyDescent="0.25">
      <c r="A317" t="s">
        <v>31</v>
      </c>
      <c r="B317">
        <v>581</v>
      </c>
      <c r="C317">
        <v>150</v>
      </c>
      <c r="D317">
        <v>2554</v>
      </c>
      <c r="G317" t="s">
        <v>4114</v>
      </c>
      <c r="H317">
        <v>32258848000101</v>
      </c>
      <c r="I317" t="s">
        <v>3435</v>
      </c>
      <c r="J317" t="s">
        <v>1540</v>
      </c>
      <c r="K317" t="s">
        <v>3493</v>
      </c>
      <c r="M317" t="s">
        <v>3437</v>
      </c>
      <c r="T317" t="s">
        <v>319</v>
      </c>
      <c r="U317" t="s">
        <v>816</v>
      </c>
      <c r="W317">
        <v>7560</v>
      </c>
      <c r="X317">
        <v>0</v>
      </c>
      <c r="Z317">
        <v>1</v>
      </c>
      <c r="AA317" s="31">
        <v>45911</v>
      </c>
      <c r="AB317" s="61">
        <v>0.43752314814814808</v>
      </c>
      <c r="AC317" t="s">
        <v>818</v>
      </c>
      <c r="AD317" s="31">
        <v>45912</v>
      </c>
      <c r="AE317" s="61">
        <v>0.44337962962962962</v>
      </c>
      <c r="AH317" t="s">
        <v>2129</v>
      </c>
      <c r="AI317" t="s">
        <v>2107</v>
      </c>
      <c r="AQ317">
        <v>1</v>
      </c>
    </row>
    <row r="318" spans="1:43" hidden="1" x14ac:dyDescent="0.25">
      <c r="A318" t="s">
        <v>31</v>
      </c>
      <c r="B318">
        <v>584</v>
      </c>
      <c r="C318">
        <v>211</v>
      </c>
      <c r="D318">
        <v>2556</v>
      </c>
      <c r="G318" t="s">
        <v>4115</v>
      </c>
      <c r="H318">
        <v>5691820000190</v>
      </c>
      <c r="I318" t="s">
        <v>3912</v>
      </c>
      <c r="J318" t="s">
        <v>3431</v>
      </c>
      <c r="K318" t="s">
        <v>3913</v>
      </c>
      <c r="M318" t="s">
        <v>3914</v>
      </c>
      <c r="O318" t="s">
        <v>6495</v>
      </c>
      <c r="P318" t="s">
        <v>1026</v>
      </c>
      <c r="Q318" t="s">
        <v>1027</v>
      </c>
      <c r="T318" t="s">
        <v>319</v>
      </c>
      <c r="U318" t="s">
        <v>816</v>
      </c>
      <c r="W318">
        <v>630</v>
      </c>
      <c r="X318">
        <v>0</v>
      </c>
      <c r="Z318">
        <v>1</v>
      </c>
      <c r="AA318" s="31">
        <v>45911</v>
      </c>
      <c r="AB318" s="61">
        <v>0.7147337962962963</v>
      </c>
      <c r="AC318" t="s">
        <v>818</v>
      </c>
      <c r="AD318" s="31">
        <v>45912</v>
      </c>
      <c r="AE318" s="61">
        <v>0.42611111111111111</v>
      </c>
      <c r="AH318" t="s">
        <v>4116</v>
      </c>
      <c r="AQ318">
        <v>1</v>
      </c>
    </row>
    <row r="319" spans="1:43" hidden="1" x14ac:dyDescent="0.25">
      <c r="A319" t="s">
        <v>31</v>
      </c>
      <c r="B319">
        <v>586</v>
      </c>
      <c r="C319">
        <v>113</v>
      </c>
      <c r="D319">
        <v>2558</v>
      </c>
      <c r="G319" t="s">
        <v>4117</v>
      </c>
      <c r="H319">
        <v>5588978000130</v>
      </c>
      <c r="I319" t="s">
        <v>65</v>
      </c>
      <c r="J319" t="s">
        <v>1252</v>
      </c>
      <c r="K319" t="s">
        <v>3472</v>
      </c>
      <c r="M319" t="s">
        <v>3329</v>
      </c>
      <c r="T319" t="s">
        <v>319</v>
      </c>
      <c r="U319" t="s">
        <v>3417</v>
      </c>
      <c r="W319">
        <v>1696</v>
      </c>
      <c r="X319">
        <v>0</v>
      </c>
      <c r="Z319">
        <v>14</v>
      </c>
      <c r="AA319" s="31">
        <v>45912</v>
      </c>
      <c r="AB319" s="61">
        <v>0.71891203703703699</v>
      </c>
      <c r="AC319" t="s">
        <v>795</v>
      </c>
      <c r="AD319" s="31">
        <v>45926</v>
      </c>
      <c r="AE319" s="61">
        <v>0.70046296296296295</v>
      </c>
      <c r="AF319" t="s">
        <v>796</v>
      </c>
      <c r="AH319" t="s">
        <v>4116</v>
      </c>
      <c r="AQ319">
        <v>1</v>
      </c>
    </row>
    <row r="320" spans="1:43" hidden="1" x14ac:dyDescent="0.25">
      <c r="A320" t="s">
        <v>31</v>
      </c>
      <c r="B320">
        <v>588</v>
      </c>
      <c r="C320">
        <v>133</v>
      </c>
      <c r="D320">
        <v>2560</v>
      </c>
      <c r="G320" t="s">
        <v>4119</v>
      </c>
      <c r="H320">
        <v>9517464000144</v>
      </c>
      <c r="I320" t="s">
        <v>625</v>
      </c>
      <c r="J320" t="s">
        <v>3899</v>
      </c>
      <c r="K320" t="s">
        <v>3584</v>
      </c>
      <c r="M320" t="s">
        <v>2207</v>
      </c>
      <c r="T320" t="s">
        <v>319</v>
      </c>
      <c r="U320" t="s">
        <v>3417</v>
      </c>
      <c r="W320">
        <v>7200</v>
      </c>
      <c r="X320">
        <v>0</v>
      </c>
      <c r="Z320">
        <v>10</v>
      </c>
      <c r="AA320" s="31">
        <v>45915</v>
      </c>
      <c r="AB320" s="61">
        <v>0.66822916666666665</v>
      </c>
      <c r="AC320" t="s">
        <v>795</v>
      </c>
      <c r="AD320" s="31">
        <v>45925</v>
      </c>
      <c r="AE320" s="61">
        <v>0.72099537037037043</v>
      </c>
      <c r="AF320" t="s">
        <v>867</v>
      </c>
      <c r="AH320" t="s">
        <v>2133</v>
      </c>
      <c r="AQ320">
        <v>1</v>
      </c>
    </row>
    <row r="321" spans="1:43" hidden="1" x14ac:dyDescent="0.25">
      <c r="A321" t="s">
        <v>31</v>
      </c>
      <c r="B321">
        <v>591</v>
      </c>
      <c r="C321">
        <v>76</v>
      </c>
      <c r="D321">
        <v>2562</v>
      </c>
      <c r="G321" t="s">
        <v>4120</v>
      </c>
      <c r="H321">
        <v>43372158000103</v>
      </c>
      <c r="I321" t="s">
        <v>225</v>
      </c>
      <c r="J321" t="s">
        <v>3691</v>
      </c>
      <c r="K321" t="s">
        <v>3623</v>
      </c>
      <c r="M321" t="s">
        <v>3233</v>
      </c>
      <c r="P321" t="s">
        <v>3234</v>
      </c>
      <c r="Q321" t="s">
        <v>1699</v>
      </c>
      <c r="T321" t="s">
        <v>319</v>
      </c>
      <c r="U321" t="s">
        <v>816</v>
      </c>
      <c r="W321">
        <v>59632</v>
      </c>
      <c r="X321">
        <v>0</v>
      </c>
      <c r="Z321">
        <v>15</v>
      </c>
      <c r="AA321" s="31">
        <v>45916</v>
      </c>
      <c r="AB321" s="61">
        <v>0.65560185185185182</v>
      </c>
      <c r="AC321" t="s">
        <v>818</v>
      </c>
      <c r="AD321" s="31">
        <v>45931</v>
      </c>
      <c r="AE321" s="61">
        <v>0.40254629629629629</v>
      </c>
      <c r="AH321" t="s">
        <v>2142</v>
      </c>
      <c r="AQ321">
        <v>1</v>
      </c>
    </row>
    <row r="322" spans="1:43" hidden="1" x14ac:dyDescent="0.25">
      <c r="A322" t="s">
        <v>31</v>
      </c>
      <c r="B322">
        <v>592</v>
      </c>
      <c r="C322">
        <v>201</v>
      </c>
      <c r="D322">
        <v>2566</v>
      </c>
      <c r="G322" t="s">
        <v>4122</v>
      </c>
      <c r="H322">
        <v>5291214000188</v>
      </c>
      <c r="I322" t="s">
        <v>3770</v>
      </c>
      <c r="J322" t="s">
        <v>4123</v>
      </c>
      <c r="K322" t="s">
        <v>4124</v>
      </c>
      <c r="M322" t="s">
        <v>3772</v>
      </c>
      <c r="O322" t="s">
        <v>6478</v>
      </c>
      <c r="P322" t="s">
        <v>3774</v>
      </c>
      <c r="Q322" t="s">
        <v>1105</v>
      </c>
      <c r="T322" t="s">
        <v>319</v>
      </c>
      <c r="U322" t="s">
        <v>3417</v>
      </c>
      <c r="W322">
        <v>3600</v>
      </c>
      <c r="X322">
        <v>0</v>
      </c>
      <c r="Z322">
        <v>12</v>
      </c>
      <c r="AA322" s="31">
        <v>45918</v>
      </c>
      <c r="AB322" s="61">
        <v>0.42675925925925928</v>
      </c>
      <c r="AC322" t="s">
        <v>795</v>
      </c>
      <c r="AD322" s="31">
        <v>45930</v>
      </c>
      <c r="AE322" s="61">
        <v>0.38418981481481479</v>
      </c>
      <c r="AF322" t="s">
        <v>934</v>
      </c>
      <c r="AH322" t="s">
        <v>4125</v>
      </c>
      <c r="AI322" t="s">
        <v>4125</v>
      </c>
      <c r="AQ322">
        <v>1</v>
      </c>
    </row>
    <row r="323" spans="1:43" hidden="1" x14ac:dyDescent="0.25">
      <c r="A323" t="s">
        <v>31</v>
      </c>
      <c r="B323">
        <v>593</v>
      </c>
      <c r="C323">
        <v>141</v>
      </c>
      <c r="D323">
        <v>2567</v>
      </c>
      <c r="G323" t="s">
        <v>4126</v>
      </c>
      <c r="I323" t="s">
        <v>434</v>
      </c>
      <c r="J323" t="s">
        <v>914</v>
      </c>
      <c r="K323" t="s">
        <v>4127</v>
      </c>
      <c r="M323" t="s">
        <v>3396</v>
      </c>
      <c r="T323" t="s">
        <v>319</v>
      </c>
      <c r="U323" t="s">
        <v>3417</v>
      </c>
      <c r="W323">
        <v>1600</v>
      </c>
      <c r="X323">
        <v>513518</v>
      </c>
      <c r="Z323">
        <v>8</v>
      </c>
      <c r="AA323" s="31">
        <v>45918</v>
      </c>
      <c r="AB323" s="61">
        <v>0.43583333333333341</v>
      </c>
      <c r="AC323" t="s">
        <v>795</v>
      </c>
      <c r="AD323" s="31">
        <v>45926</v>
      </c>
      <c r="AE323" s="61">
        <v>0.40023148148148152</v>
      </c>
      <c r="AF323" t="s">
        <v>934</v>
      </c>
      <c r="AH323" t="s">
        <v>4125</v>
      </c>
      <c r="AQ323">
        <v>1</v>
      </c>
    </row>
    <row r="324" spans="1:43" hidden="1" x14ac:dyDescent="0.25">
      <c r="A324" t="s">
        <v>31</v>
      </c>
      <c r="B324">
        <v>594</v>
      </c>
      <c r="C324">
        <v>196</v>
      </c>
      <c r="D324">
        <v>2568</v>
      </c>
      <c r="G324" t="s">
        <v>4128</v>
      </c>
      <c r="H324">
        <v>32494222000102</v>
      </c>
      <c r="I324" t="s">
        <v>3715</v>
      </c>
      <c r="J324" t="s">
        <v>3808</v>
      </c>
      <c r="K324" t="s">
        <v>3717</v>
      </c>
      <c r="M324" t="s">
        <v>3718</v>
      </c>
      <c r="O324" t="s">
        <v>6471</v>
      </c>
      <c r="P324" t="s">
        <v>3720</v>
      </c>
      <c r="Q324" t="s">
        <v>790</v>
      </c>
      <c r="T324" t="s">
        <v>319</v>
      </c>
      <c r="U324" t="s">
        <v>816</v>
      </c>
      <c r="W324">
        <v>2880</v>
      </c>
      <c r="X324">
        <v>32074</v>
      </c>
      <c r="Z324">
        <v>49</v>
      </c>
      <c r="AA324" s="31">
        <v>45918</v>
      </c>
      <c r="AB324" s="61">
        <v>0.46307870370370369</v>
      </c>
      <c r="AC324" t="s">
        <v>818</v>
      </c>
      <c r="AD324" s="31">
        <v>45953</v>
      </c>
      <c r="AE324" s="61">
        <v>0.40722222222222221</v>
      </c>
      <c r="AG324">
        <v>0</v>
      </c>
      <c r="AH324" t="s">
        <v>4125</v>
      </c>
      <c r="AI324" t="s">
        <v>4125</v>
      </c>
      <c r="AQ324">
        <v>1</v>
      </c>
    </row>
    <row r="325" spans="1:43" hidden="1" x14ac:dyDescent="0.25">
      <c r="A325" t="s">
        <v>31</v>
      </c>
      <c r="B325">
        <v>595</v>
      </c>
      <c r="C325">
        <v>153</v>
      </c>
      <c r="D325">
        <v>2569</v>
      </c>
      <c r="G325" t="s">
        <v>4129</v>
      </c>
      <c r="I325" t="s">
        <v>3451</v>
      </c>
      <c r="J325" t="s">
        <v>6501</v>
      </c>
      <c r="K325" t="s">
        <v>3983</v>
      </c>
      <c r="M325" t="s">
        <v>3454</v>
      </c>
      <c r="T325" t="s">
        <v>319</v>
      </c>
      <c r="U325" t="s">
        <v>816</v>
      </c>
      <c r="W325">
        <v>21000</v>
      </c>
      <c r="X325">
        <v>57024</v>
      </c>
      <c r="Z325">
        <v>39</v>
      </c>
      <c r="AA325" s="31">
        <v>45918</v>
      </c>
      <c r="AB325" s="61">
        <v>0.62599537037037034</v>
      </c>
      <c r="AC325" t="s">
        <v>818</v>
      </c>
      <c r="AD325" s="31">
        <v>45957</v>
      </c>
      <c r="AE325" s="61">
        <v>0.69543981481481476</v>
      </c>
      <c r="AH325" t="s">
        <v>4125</v>
      </c>
      <c r="AI325" t="s">
        <v>4125</v>
      </c>
      <c r="AQ325">
        <v>1</v>
      </c>
    </row>
    <row r="326" spans="1:43" hidden="1" x14ac:dyDescent="0.25">
      <c r="A326" t="s">
        <v>31</v>
      </c>
      <c r="B326">
        <v>596</v>
      </c>
      <c r="C326">
        <v>190</v>
      </c>
      <c r="D326">
        <v>2570</v>
      </c>
      <c r="G326" t="s">
        <v>4130</v>
      </c>
      <c r="H326">
        <v>18203215000175</v>
      </c>
      <c r="I326" t="s">
        <v>3690</v>
      </c>
      <c r="J326" t="s">
        <v>4131</v>
      </c>
      <c r="K326" t="s">
        <v>3692</v>
      </c>
      <c r="M326" t="s">
        <v>3693</v>
      </c>
      <c r="O326" t="s">
        <v>6470</v>
      </c>
      <c r="P326" t="s">
        <v>3695</v>
      </c>
      <c r="Q326" t="s">
        <v>790</v>
      </c>
      <c r="T326" t="s">
        <v>319</v>
      </c>
      <c r="U326" t="s">
        <v>816</v>
      </c>
      <c r="W326">
        <v>4320</v>
      </c>
      <c r="X326">
        <v>0</v>
      </c>
      <c r="Z326">
        <v>0</v>
      </c>
      <c r="AA326" s="31">
        <v>45919</v>
      </c>
      <c r="AB326" s="61">
        <v>0.45946759259259262</v>
      </c>
      <c r="AC326" t="s">
        <v>818</v>
      </c>
      <c r="AD326" s="31">
        <v>45919</v>
      </c>
      <c r="AE326" s="61">
        <v>0.7117013888888889</v>
      </c>
      <c r="AH326" t="s">
        <v>4132</v>
      </c>
      <c r="AQ326">
        <v>1</v>
      </c>
    </row>
    <row r="327" spans="1:43" hidden="1" x14ac:dyDescent="0.25">
      <c r="A327" t="s">
        <v>31</v>
      </c>
      <c r="B327">
        <v>598</v>
      </c>
      <c r="C327">
        <v>183</v>
      </c>
      <c r="D327">
        <v>2577</v>
      </c>
      <c r="G327" t="s">
        <v>4133</v>
      </c>
      <c r="H327">
        <v>3204281000192</v>
      </c>
      <c r="I327" t="s">
        <v>3594</v>
      </c>
      <c r="J327" t="s">
        <v>3595</v>
      </c>
      <c r="K327" t="s">
        <v>3596</v>
      </c>
      <c r="M327" t="s">
        <v>2617</v>
      </c>
      <c r="O327" t="s">
        <v>6459</v>
      </c>
      <c r="P327" t="s">
        <v>2618</v>
      </c>
      <c r="Q327" t="s">
        <v>790</v>
      </c>
      <c r="T327" t="s">
        <v>319</v>
      </c>
      <c r="U327" t="s">
        <v>3417</v>
      </c>
      <c r="W327">
        <v>3360</v>
      </c>
      <c r="X327">
        <v>7128</v>
      </c>
      <c r="Z327">
        <v>7</v>
      </c>
      <c r="AA327" s="31">
        <v>45923</v>
      </c>
      <c r="AB327" s="61">
        <v>0.45662037037037029</v>
      </c>
      <c r="AC327" t="s">
        <v>795</v>
      </c>
      <c r="AD327" s="31">
        <v>45930</v>
      </c>
      <c r="AE327" s="61">
        <v>0.38368055555555558</v>
      </c>
      <c r="AF327" t="s">
        <v>1358</v>
      </c>
      <c r="AH327" t="s">
        <v>2154</v>
      </c>
      <c r="AI327" t="s">
        <v>2154</v>
      </c>
      <c r="AQ327">
        <v>1</v>
      </c>
    </row>
    <row r="328" spans="1:43" hidden="1" x14ac:dyDescent="0.25">
      <c r="A328" t="s">
        <v>31</v>
      </c>
      <c r="B328">
        <v>599</v>
      </c>
      <c r="C328">
        <v>150</v>
      </c>
      <c r="D328">
        <v>2578</v>
      </c>
      <c r="G328" t="s">
        <v>4134</v>
      </c>
      <c r="H328">
        <v>32258848000101</v>
      </c>
      <c r="I328" t="s">
        <v>3435</v>
      </c>
      <c r="J328" t="s">
        <v>1540</v>
      </c>
      <c r="K328" t="s">
        <v>3493</v>
      </c>
      <c r="M328" t="s">
        <v>3437</v>
      </c>
      <c r="T328" t="s">
        <v>319</v>
      </c>
      <c r="U328" t="s">
        <v>816</v>
      </c>
      <c r="W328">
        <v>1440</v>
      </c>
      <c r="X328">
        <v>0</v>
      </c>
      <c r="Z328">
        <v>0</v>
      </c>
      <c r="AA328" s="31">
        <v>45923</v>
      </c>
      <c r="AB328" s="61">
        <v>0.50372685185185184</v>
      </c>
      <c r="AC328" t="s">
        <v>818</v>
      </c>
      <c r="AD328" s="31">
        <v>45923</v>
      </c>
      <c r="AE328" s="61">
        <v>0.50454861111111116</v>
      </c>
      <c r="AH328" t="s">
        <v>2154</v>
      </c>
      <c r="AQ328">
        <v>1</v>
      </c>
    </row>
    <row r="329" spans="1:43" hidden="1" x14ac:dyDescent="0.25">
      <c r="A329" t="s">
        <v>31</v>
      </c>
      <c r="B329">
        <v>605</v>
      </c>
      <c r="C329">
        <v>197</v>
      </c>
      <c r="D329">
        <v>2588</v>
      </c>
      <c r="G329" t="s">
        <v>4135</v>
      </c>
      <c r="H329">
        <v>8616236000169</v>
      </c>
      <c r="I329" t="s">
        <v>3726</v>
      </c>
      <c r="J329" t="s">
        <v>704</v>
      </c>
      <c r="K329" t="s">
        <v>3727</v>
      </c>
      <c r="M329" t="s">
        <v>3728</v>
      </c>
      <c r="O329" t="s">
        <v>6472</v>
      </c>
      <c r="P329" t="s">
        <v>3687</v>
      </c>
      <c r="Q329" t="s">
        <v>790</v>
      </c>
      <c r="T329" t="s">
        <v>319</v>
      </c>
      <c r="U329" t="s">
        <v>816</v>
      </c>
      <c r="W329">
        <v>0</v>
      </c>
      <c r="X329">
        <v>3564</v>
      </c>
      <c r="Z329">
        <v>5</v>
      </c>
      <c r="AA329" s="31">
        <v>45925</v>
      </c>
      <c r="AB329" s="61">
        <v>0.64129629629629625</v>
      </c>
      <c r="AC329" t="s">
        <v>818</v>
      </c>
      <c r="AD329" s="31">
        <v>45930</v>
      </c>
      <c r="AE329" s="61">
        <v>0.69265046296296295</v>
      </c>
      <c r="AH329" t="s">
        <v>4136</v>
      </c>
      <c r="AI329" t="s">
        <v>4136</v>
      </c>
      <c r="AQ329">
        <v>1</v>
      </c>
    </row>
    <row r="330" spans="1:43" hidden="1" x14ac:dyDescent="0.25">
      <c r="A330" t="s">
        <v>31</v>
      </c>
      <c r="B330">
        <v>606</v>
      </c>
      <c r="C330">
        <v>196</v>
      </c>
      <c r="D330">
        <v>2589</v>
      </c>
      <c r="G330" t="s">
        <v>4137</v>
      </c>
      <c r="H330">
        <v>32494222000102</v>
      </c>
      <c r="I330" t="s">
        <v>3715</v>
      </c>
      <c r="J330" t="s">
        <v>3716</v>
      </c>
      <c r="K330" t="s">
        <v>3717</v>
      </c>
      <c r="M330" t="s">
        <v>3718</v>
      </c>
      <c r="O330" t="s">
        <v>6471</v>
      </c>
      <c r="P330" t="s">
        <v>3720</v>
      </c>
      <c r="Q330" t="s">
        <v>790</v>
      </c>
      <c r="T330" t="s">
        <v>319</v>
      </c>
      <c r="U330" t="s">
        <v>3417</v>
      </c>
      <c r="W330">
        <v>7200</v>
      </c>
      <c r="X330">
        <v>0</v>
      </c>
      <c r="Z330">
        <v>28</v>
      </c>
      <c r="AA330" s="31">
        <v>45925</v>
      </c>
      <c r="AB330" s="61">
        <v>0.66199074074074071</v>
      </c>
      <c r="AC330" t="s">
        <v>795</v>
      </c>
      <c r="AD330" s="31">
        <v>45953</v>
      </c>
      <c r="AE330" s="61">
        <v>0.40660879629629632</v>
      </c>
      <c r="AF330" t="s">
        <v>867</v>
      </c>
      <c r="AH330" t="s">
        <v>4136</v>
      </c>
      <c r="AI330" t="s">
        <v>4136</v>
      </c>
      <c r="AQ330">
        <v>1</v>
      </c>
    </row>
    <row r="331" spans="1:43" hidden="1" x14ac:dyDescent="0.25">
      <c r="A331" t="s">
        <v>31</v>
      </c>
      <c r="B331">
        <v>612</v>
      </c>
      <c r="C331">
        <v>179</v>
      </c>
      <c r="D331">
        <v>2599</v>
      </c>
      <c r="G331" t="s">
        <v>4138</v>
      </c>
      <c r="H331">
        <v>21736169000184</v>
      </c>
      <c r="I331" t="s">
        <v>3546</v>
      </c>
      <c r="J331" t="s">
        <v>1243</v>
      </c>
      <c r="K331" t="s">
        <v>3547</v>
      </c>
      <c r="M331" t="s">
        <v>3548</v>
      </c>
      <c r="O331" t="s">
        <v>6454</v>
      </c>
      <c r="P331" t="s">
        <v>3550</v>
      </c>
      <c r="Q331" t="s">
        <v>874</v>
      </c>
      <c r="T331" t="s">
        <v>319</v>
      </c>
      <c r="U331" t="s">
        <v>816</v>
      </c>
      <c r="W331">
        <v>5040</v>
      </c>
      <c r="X331">
        <v>0</v>
      </c>
      <c r="Z331">
        <v>2</v>
      </c>
      <c r="AA331" s="31">
        <v>45929</v>
      </c>
      <c r="AB331" s="61">
        <v>0.44142361111111111</v>
      </c>
      <c r="AC331" t="s">
        <v>818</v>
      </c>
      <c r="AD331" s="31">
        <v>45931</v>
      </c>
      <c r="AE331" s="61">
        <v>0.42006944444444438</v>
      </c>
      <c r="AH331" t="s">
        <v>4139</v>
      </c>
      <c r="AQ331">
        <v>1</v>
      </c>
    </row>
    <row r="332" spans="1:43" hidden="1" x14ac:dyDescent="0.25">
      <c r="A332" t="s">
        <v>31</v>
      </c>
      <c r="B332">
        <v>617</v>
      </c>
      <c r="C332">
        <v>132</v>
      </c>
      <c r="D332">
        <v>2608</v>
      </c>
      <c r="G332" t="s">
        <v>3587</v>
      </c>
      <c r="I332" t="s">
        <v>3373</v>
      </c>
      <c r="J332" t="s">
        <v>3588</v>
      </c>
      <c r="K332" t="s">
        <v>3553</v>
      </c>
      <c r="M332" t="s">
        <v>3375</v>
      </c>
      <c r="T332" t="s">
        <v>319</v>
      </c>
      <c r="U332" t="s">
        <v>3417</v>
      </c>
      <c r="W332">
        <v>14677</v>
      </c>
      <c r="X332">
        <v>0</v>
      </c>
      <c r="Z332">
        <v>23</v>
      </c>
      <c r="AA332" s="31">
        <v>45930</v>
      </c>
      <c r="AB332" s="61">
        <v>0.39962962962962961</v>
      </c>
      <c r="AC332" t="s">
        <v>795</v>
      </c>
      <c r="AD332" s="31">
        <v>45953</v>
      </c>
      <c r="AE332" s="61">
        <v>0.4246064814814815</v>
      </c>
      <c r="AF332" t="s">
        <v>934</v>
      </c>
      <c r="AH332" t="s">
        <v>4140</v>
      </c>
      <c r="AQ332">
        <v>1</v>
      </c>
    </row>
    <row r="333" spans="1:43" hidden="1" x14ac:dyDescent="0.25">
      <c r="A333" t="s">
        <v>31</v>
      </c>
      <c r="B333">
        <v>625</v>
      </c>
      <c r="C333">
        <v>119</v>
      </c>
      <c r="D333">
        <v>2620</v>
      </c>
      <c r="G333" t="s">
        <v>4141</v>
      </c>
      <c r="H333">
        <v>60963378000112</v>
      </c>
      <c r="I333" t="s">
        <v>608</v>
      </c>
      <c r="J333" t="s">
        <v>844</v>
      </c>
      <c r="K333" t="s">
        <v>3948</v>
      </c>
      <c r="M333" t="s">
        <v>3345</v>
      </c>
      <c r="T333" t="s">
        <v>319</v>
      </c>
      <c r="U333" t="s">
        <v>3417</v>
      </c>
      <c r="W333">
        <v>0</v>
      </c>
      <c r="X333">
        <v>220373</v>
      </c>
      <c r="Z333">
        <v>44</v>
      </c>
      <c r="AA333" s="31">
        <v>45931</v>
      </c>
      <c r="AB333" s="61">
        <v>0.60418981481481482</v>
      </c>
      <c r="AC333" t="s">
        <v>795</v>
      </c>
      <c r="AD333" s="31">
        <v>45975</v>
      </c>
      <c r="AE333" s="61">
        <v>0.5134143518518518</v>
      </c>
      <c r="AF333" t="s">
        <v>867</v>
      </c>
      <c r="AH333" t="s">
        <v>4142</v>
      </c>
      <c r="AQ333">
        <v>1</v>
      </c>
    </row>
    <row r="334" spans="1:43" hidden="1" x14ac:dyDescent="0.25">
      <c r="A334" t="s">
        <v>31</v>
      </c>
      <c r="B334">
        <v>626</v>
      </c>
      <c r="C334">
        <v>150</v>
      </c>
      <c r="D334">
        <v>2621</v>
      </c>
      <c r="G334" t="s">
        <v>4143</v>
      </c>
      <c r="H334">
        <v>32258848000101</v>
      </c>
      <c r="I334" t="s">
        <v>3435</v>
      </c>
      <c r="J334" t="s">
        <v>1540</v>
      </c>
      <c r="K334" t="s">
        <v>3493</v>
      </c>
      <c r="M334" t="s">
        <v>3437</v>
      </c>
      <c r="T334" t="s">
        <v>319</v>
      </c>
      <c r="U334" t="s">
        <v>816</v>
      </c>
      <c r="W334">
        <v>0</v>
      </c>
      <c r="X334">
        <v>28512</v>
      </c>
      <c r="Z334">
        <v>20</v>
      </c>
      <c r="AA334" s="31">
        <v>45931</v>
      </c>
      <c r="AB334" s="61">
        <v>0.67376157407407411</v>
      </c>
      <c r="AC334" t="s">
        <v>818</v>
      </c>
      <c r="AD334" s="31">
        <v>45951</v>
      </c>
      <c r="AE334" s="61">
        <v>0.41662037037037042</v>
      </c>
      <c r="AH334" t="s">
        <v>4142</v>
      </c>
      <c r="AI334" t="s">
        <v>4142</v>
      </c>
      <c r="AQ334">
        <v>1</v>
      </c>
    </row>
    <row r="335" spans="1:43" hidden="1" x14ac:dyDescent="0.25">
      <c r="A335" t="s">
        <v>31</v>
      </c>
      <c r="B335">
        <v>627</v>
      </c>
      <c r="C335">
        <v>189</v>
      </c>
      <c r="D335">
        <v>2623</v>
      </c>
      <c r="G335" t="s">
        <v>4144</v>
      </c>
      <c r="H335">
        <v>10698565000148</v>
      </c>
      <c r="I335" t="s">
        <v>4145</v>
      </c>
      <c r="J335" t="s">
        <v>4146</v>
      </c>
      <c r="K335" t="s">
        <v>4147</v>
      </c>
      <c r="O335" t="s">
        <v>6512</v>
      </c>
      <c r="P335" t="s">
        <v>4149</v>
      </c>
      <c r="Q335" t="s">
        <v>4150</v>
      </c>
      <c r="T335" t="s">
        <v>319</v>
      </c>
      <c r="U335" t="s">
        <v>816</v>
      </c>
      <c r="W335">
        <v>700</v>
      </c>
      <c r="X335">
        <v>0</v>
      </c>
      <c r="Z335">
        <v>5</v>
      </c>
      <c r="AA335" s="31">
        <v>45932</v>
      </c>
      <c r="AB335" s="61">
        <v>0.64900462962962968</v>
      </c>
      <c r="AC335" t="s">
        <v>818</v>
      </c>
      <c r="AD335" s="31">
        <v>45937</v>
      </c>
      <c r="AE335" s="61">
        <v>0.65004629629629629</v>
      </c>
      <c r="AH335" t="s">
        <v>4151</v>
      </c>
      <c r="AQ335">
        <v>1</v>
      </c>
    </row>
    <row r="336" spans="1:43" hidden="1" x14ac:dyDescent="0.25">
      <c r="A336" t="s">
        <v>31</v>
      </c>
      <c r="B336">
        <v>629</v>
      </c>
      <c r="C336">
        <v>184</v>
      </c>
      <c r="D336">
        <v>2624</v>
      </c>
      <c r="G336" t="s">
        <v>453</v>
      </c>
      <c r="H336">
        <v>11861121000144</v>
      </c>
      <c r="I336" t="s">
        <v>3877</v>
      </c>
      <c r="J336" t="s">
        <v>3878</v>
      </c>
      <c r="K336" t="s">
        <v>3879</v>
      </c>
      <c r="M336" t="s">
        <v>3880</v>
      </c>
      <c r="O336" t="s">
        <v>6491</v>
      </c>
      <c r="P336" t="s">
        <v>1094</v>
      </c>
      <c r="Q336" t="s">
        <v>790</v>
      </c>
      <c r="T336" t="s">
        <v>319</v>
      </c>
      <c r="U336" t="s">
        <v>3417</v>
      </c>
      <c r="W336">
        <v>16200</v>
      </c>
      <c r="X336">
        <v>2160</v>
      </c>
      <c r="Z336">
        <v>17</v>
      </c>
      <c r="AA336" s="31">
        <v>45933</v>
      </c>
      <c r="AB336" s="61">
        <v>0.61473379629629632</v>
      </c>
      <c r="AC336" t="s">
        <v>795</v>
      </c>
      <c r="AD336" s="31">
        <v>45950</v>
      </c>
      <c r="AE336" s="61">
        <v>0.46638888888888891</v>
      </c>
      <c r="AF336" t="s">
        <v>867</v>
      </c>
      <c r="AH336" t="s">
        <v>4153</v>
      </c>
      <c r="AI336" t="s">
        <v>4153</v>
      </c>
      <c r="AQ336">
        <v>1</v>
      </c>
    </row>
    <row r="337" spans="1:43" hidden="1" x14ac:dyDescent="0.25">
      <c r="A337" t="s">
        <v>31</v>
      </c>
      <c r="B337">
        <v>630</v>
      </c>
      <c r="C337">
        <v>159</v>
      </c>
      <c r="D337">
        <v>2625</v>
      </c>
      <c r="G337" t="s">
        <v>4154</v>
      </c>
      <c r="H337">
        <v>43526090000161</v>
      </c>
      <c r="I337" t="s">
        <v>913</v>
      </c>
      <c r="J337" t="s">
        <v>4067</v>
      </c>
      <c r="K337" t="s">
        <v>4155</v>
      </c>
      <c r="M337" t="s">
        <v>916</v>
      </c>
      <c r="P337" t="s">
        <v>909</v>
      </c>
      <c r="Q337" t="s">
        <v>790</v>
      </c>
      <c r="T337" t="s">
        <v>319</v>
      </c>
      <c r="U337" t="s">
        <v>3417</v>
      </c>
      <c r="W337">
        <v>420</v>
      </c>
      <c r="X337">
        <v>3564</v>
      </c>
      <c r="Z337">
        <v>26</v>
      </c>
      <c r="AA337" s="31">
        <v>45933</v>
      </c>
      <c r="AB337" s="61">
        <v>0.67500000000000004</v>
      </c>
      <c r="AC337" t="s">
        <v>795</v>
      </c>
      <c r="AD337" s="31">
        <v>45959</v>
      </c>
      <c r="AE337" s="61">
        <v>0.44155092592592587</v>
      </c>
      <c r="AF337" t="s">
        <v>867</v>
      </c>
      <c r="AH337" t="s">
        <v>4153</v>
      </c>
      <c r="AI337" t="s">
        <v>4153</v>
      </c>
      <c r="AQ337">
        <v>1</v>
      </c>
    </row>
    <row r="338" spans="1:43" hidden="1" x14ac:dyDescent="0.25">
      <c r="A338" t="s">
        <v>31</v>
      </c>
      <c r="B338">
        <v>631</v>
      </c>
      <c r="C338">
        <v>204</v>
      </c>
      <c r="D338">
        <v>2626</v>
      </c>
      <c r="G338" t="s">
        <v>4156</v>
      </c>
      <c r="H338">
        <v>33071847000116</v>
      </c>
      <c r="I338" t="s">
        <v>3811</v>
      </c>
      <c r="J338" t="s">
        <v>4157</v>
      </c>
      <c r="K338" t="s">
        <v>3813</v>
      </c>
      <c r="M338" t="s">
        <v>3814</v>
      </c>
      <c r="O338" t="s">
        <v>6482</v>
      </c>
      <c r="P338" t="s">
        <v>2589</v>
      </c>
      <c r="Q338" t="s">
        <v>790</v>
      </c>
      <c r="S338" t="s">
        <v>1419</v>
      </c>
      <c r="T338" t="s">
        <v>319</v>
      </c>
      <c r="U338" t="s">
        <v>3417</v>
      </c>
      <c r="W338">
        <v>29400</v>
      </c>
      <c r="X338">
        <v>57024</v>
      </c>
      <c r="Z338">
        <v>101</v>
      </c>
      <c r="AA338" s="31">
        <v>45933</v>
      </c>
      <c r="AB338" s="61">
        <v>0.71627314814814813</v>
      </c>
      <c r="AC338" t="s">
        <v>795</v>
      </c>
      <c r="AD338" s="31">
        <v>46034</v>
      </c>
      <c r="AE338" s="61">
        <v>0.49495370370370367</v>
      </c>
      <c r="AF338" t="s">
        <v>934</v>
      </c>
      <c r="AH338" t="s">
        <v>4158</v>
      </c>
      <c r="AI338" t="s">
        <v>2251</v>
      </c>
      <c r="AK338" t="s">
        <v>4159</v>
      </c>
      <c r="AQ338">
        <v>1</v>
      </c>
    </row>
    <row r="339" spans="1:43" hidden="1" x14ac:dyDescent="0.25">
      <c r="A339" t="s">
        <v>31</v>
      </c>
      <c r="B339">
        <v>632</v>
      </c>
      <c r="D339">
        <v>2627</v>
      </c>
      <c r="G339" t="s">
        <v>4160</v>
      </c>
      <c r="H339">
        <v>8636039000101</v>
      </c>
      <c r="J339" t="s">
        <v>4455</v>
      </c>
      <c r="K339" t="s">
        <v>4162</v>
      </c>
      <c r="M339" t="s">
        <v>4163</v>
      </c>
      <c r="T339" t="s">
        <v>319</v>
      </c>
      <c r="U339" t="s">
        <v>781</v>
      </c>
      <c r="Z339">
        <v>35</v>
      </c>
      <c r="AA339" s="31">
        <v>45936</v>
      </c>
      <c r="AB339" s="61">
        <v>0.49776620370370372</v>
      </c>
      <c r="AC339" t="s">
        <v>795</v>
      </c>
      <c r="AD339" s="31">
        <v>45971</v>
      </c>
      <c r="AE339" s="61">
        <v>0.67709490740740741</v>
      </c>
      <c r="AF339" t="s">
        <v>796</v>
      </c>
      <c r="AQ339">
        <v>1</v>
      </c>
    </row>
    <row r="340" spans="1:43" hidden="1" x14ac:dyDescent="0.25">
      <c r="A340" t="s">
        <v>31</v>
      </c>
      <c r="B340">
        <v>633</v>
      </c>
      <c r="C340">
        <v>96</v>
      </c>
      <c r="D340">
        <v>2628</v>
      </c>
      <c r="G340" t="s">
        <v>4164</v>
      </c>
      <c r="H340">
        <v>44075830000153</v>
      </c>
      <c r="I340" t="s">
        <v>3291</v>
      </c>
      <c r="J340" t="s">
        <v>704</v>
      </c>
      <c r="K340" t="s">
        <v>3672</v>
      </c>
      <c r="M340" t="s">
        <v>3293</v>
      </c>
      <c r="T340" t="s">
        <v>319</v>
      </c>
      <c r="U340" t="s">
        <v>816</v>
      </c>
      <c r="W340">
        <v>1440</v>
      </c>
      <c r="X340">
        <v>0</v>
      </c>
      <c r="Z340">
        <v>0</v>
      </c>
      <c r="AA340" s="31">
        <v>45936</v>
      </c>
      <c r="AB340" s="61">
        <v>0.64180555555555552</v>
      </c>
      <c r="AC340" t="s">
        <v>818</v>
      </c>
      <c r="AD340" s="31">
        <v>45936</v>
      </c>
      <c r="AE340" s="61">
        <v>0.64354166666666668</v>
      </c>
      <c r="AH340" t="s">
        <v>4165</v>
      </c>
      <c r="AQ340">
        <v>1</v>
      </c>
    </row>
    <row r="341" spans="1:43" hidden="1" x14ac:dyDescent="0.25">
      <c r="A341" t="s">
        <v>31</v>
      </c>
      <c r="B341">
        <v>635</v>
      </c>
      <c r="D341">
        <v>2634</v>
      </c>
      <c r="E341" t="s">
        <v>4595</v>
      </c>
      <c r="G341" t="s">
        <v>4596</v>
      </c>
      <c r="H341">
        <v>21922850000117</v>
      </c>
      <c r="J341" t="s">
        <v>4169</v>
      </c>
      <c r="K341" t="s">
        <v>4597</v>
      </c>
      <c r="S341" t="s">
        <v>1718</v>
      </c>
      <c r="T341" t="s">
        <v>319</v>
      </c>
      <c r="U341" t="s">
        <v>3417</v>
      </c>
      <c r="W341">
        <v>3360</v>
      </c>
      <c r="X341">
        <v>7128</v>
      </c>
      <c r="Z341">
        <v>101</v>
      </c>
      <c r="AA341" s="31">
        <v>45940</v>
      </c>
      <c r="AB341" s="61">
        <v>0.43915509259259261</v>
      </c>
      <c r="AC341" t="s">
        <v>795</v>
      </c>
      <c r="AD341" s="31">
        <v>46041</v>
      </c>
      <c r="AE341" s="61">
        <v>0.45721064814814821</v>
      </c>
      <c r="AF341" t="s">
        <v>1358</v>
      </c>
      <c r="AH341" t="s">
        <v>2273</v>
      </c>
      <c r="AI341" t="s">
        <v>2273</v>
      </c>
      <c r="AK341" t="s">
        <v>2590</v>
      </c>
      <c r="AQ341">
        <v>1</v>
      </c>
    </row>
    <row r="342" spans="1:43" hidden="1" x14ac:dyDescent="0.25">
      <c r="A342" t="s">
        <v>31</v>
      </c>
      <c r="B342">
        <v>636</v>
      </c>
      <c r="C342">
        <v>187</v>
      </c>
      <c r="D342">
        <v>2638</v>
      </c>
      <c r="G342" t="s">
        <v>4173</v>
      </c>
      <c r="H342">
        <v>17063632000105</v>
      </c>
      <c r="I342" t="s">
        <v>3631</v>
      </c>
      <c r="J342" t="s">
        <v>4174</v>
      </c>
      <c r="K342" t="s">
        <v>3633</v>
      </c>
      <c r="M342" t="s">
        <v>3634</v>
      </c>
      <c r="O342" t="s">
        <v>6464</v>
      </c>
      <c r="P342" t="s">
        <v>3636</v>
      </c>
      <c r="Q342" t="s">
        <v>1699</v>
      </c>
      <c r="T342" t="s">
        <v>319</v>
      </c>
      <c r="U342" t="s">
        <v>3417</v>
      </c>
      <c r="W342">
        <v>3360</v>
      </c>
      <c r="X342">
        <v>3564</v>
      </c>
      <c r="Z342">
        <v>53</v>
      </c>
      <c r="AA342" s="31">
        <v>45940</v>
      </c>
      <c r="AB342" s="61">
        <v>0.4409837962962963</v>
      </c>
      <c r="AC342" t="s">
        <v>795</v>
      </c>
      <c r="AD342" s="31">
        <v>45993</v>
      </c>
      <c r="AE342" s="61">
        <v>0.39199074074074081</v>
      </c>
      <c r="AF342" t="s">
        <v>934</v>
      </c>
      <c r="AH342" t="s">
        <v>4175</v>
      </c>
      <c r="AI342" t="s">
        <v>4175</v>
      </c>
      <c r="AQ342">
        <v>1</v>
      </c>
    </row>
    <row r="343" spans="1:43" hidden="1" x14ac:dyDescent="0.25">
      <c r="A343" t="s">
        <v>31</v>
      </c>
      <c r="B343">
        <v>637</v>
      </c>
      <c r="C343">
        <v>89</v>
      </c>
      <c r="D343">
        <v>2639</v>
      </c>
      <c r="G343" t="s">
        <v>4176</v>
      </c>
      <c r="I343" t="s">
        <v>3275</v>
      </c>
      <c r="J343" t="s">
        <v>4177</v>
      </c>
      <c r="K343" t="s">
        <v>4178</v>
      </c>
      <c r="M343" t="s">
        <v>3277</v>
      </c>
      <c r="T343" t="s">
        <v>319</v>
      </c>
      <c r="U343" t="s">
        <v>3417</v>
      </c>
      <c r="Z343">
        <v>19</v>
      </c>
      <c r="AA343" s="31">
        <v>45940</v>
      </c>
      <c r="AB343" s="61">
        <v>0.44233796296296302</v>
      </c>
      <c r="AC343" t="s">
        <v>795</v>
      </c>
      <c r="AD343" s="31">
        <v>45959</v>
      </c>
      <c r="AE343" s="61">
        <v>0.44339120370370372</v>
      </c>
      <c r="AF343" t="s">
        <v>867</v>
      </c>
      <c r="AH343" t="s">
        <v>4175</v>
      </c>
      <c r="AQ343">
        <v>1</v>
      </c>
    </row>
    <row r="344" spans="1:43" hidden="1" x14ac:dyDescent="0.25">
      <c r="A344" t="s">
        <v>31</v>
      </c>
      <c r="B344">
        <v>646</v>
      </c>
      <c r="C344">
        <v>0</v>
      </c>
      <c r="D344">
        <v>2658</v>
      </c>
      <c r="G344" t="s">
        <v>4179</v>
      </c>
      <c r="H344">
        <v>55585815000171</v>
      </c>
      <c r="J344" t="s">
        <v>4180</v>
      </c>
      <c r="K344" t="s">
        <v>4181</v>
      </c>
      <c r="M344" t="s">
        <v>4182</v>
      </c>
      <c r="T344" t="s">
        <v>319</v>
      </c>
      <c r="U344" t="s">
        <v>816</v>
      </c>
      <c r="W344">
        <v>378</v>
      </c>
      <c r="X344">
        <v>3564</v>
      </c>
      <c r="Z344">
        <v>25</v>
      </c>
      <c r="AA344" s="31">
        <v>45947</v>
      </c>
      <c r="AB344" s="61">
        <v>0.45363425925925932</v>
      </c>
      <c r="AC344" t="s">
        <v>818</v>
      </c>
      <c r="AD344" s="31">
        <v>45972</v>
      </c>
      <c r="AE344" s="61">
        <v>0.50258101851851855</v>
      </c>
      <c r="AH344" t="s">
        <v>2008</v>
      </c>
      <c r="AI344" t="s">
        <v>4183</v>
      </c>
      <c r="AQ344">
        <v>1</v>
      </c>
    </row>
    <row r="345" spans="1:43" hidden="1" x14ac:dyDescent="0.25">
      <c r="A345" t="s">
        <v>31</v>
      </c>
      <c r="B345">
        <v>647</v>
      </c>
      <c r="C345">
        <v>206</v>
      </c>
      <c r="D345">
        <v>2662</v>
      </c>
      <c r="G345" t="s">
        <v>4184</v>
      </c>
      <c r="H345">
        <v>37075503000136</v>
      </c>
      <c r="I345" t="s">
        <v>3826</v>
      </c>
      <c r="J345" t="s">
        <v>1474</v>
      </c>
      <c r="K345" t="s">
        <v>1475</v>
      </c>
      <c r="M345" t="s">
        <v>1476</v>
      </c>
      <c r="O345" t="s">
        <v>6487</v>
      </c>
      <c r="P345" t="s">
        <v>1477</v>
      </c>
      <c r="Q345" t="s">
        <v>932</v>
      </c>
      <c r="T345" t="s">
        <v>319</v>
      </c>
      <c r="U345" t="s">
        <v>3417</v>
      </c>
      <c r="W345">
        <v>0</v>
      </c>
      <c r="X345">
        <v>210</v>
      </c>
      <c r="Z345">
        <v>21</v>
      </c>
      <c r="AA345" s="31">
        <v>45950</v>
      </c>
      <c r="AB345" s="61">
        <v>0.42215277777777782</v>
      </c>
      <c r="AC345" t="s">
        <v>795</v>
      </c>
      <c r="AD345" s="31">
        <v>45971</v>
      </c>
      <c r="AE345" s="61">
        <v>0.67648148148148146</v>
      </c>
      <c r="AF345" t="s">
        <v>934</v>
      </c>
      <c r="AH345" t="s">
        <v>4185</v>
      </c>
      <c r="AI345" t="s">
        <v>4185</v>
      </c>
      <c r="AQ345">
        <v>1</v>
      </c>
    </row>
    <row r="346" spans="1:43" hidden="1" x14ac:dyDescent="0.25">
      <c r="A346" t="s">
        <v>31</v>
      </c>
      <c r="B346">
        <v>648</v>
      </c>
      <c r="C346">
        <v>206</v>
      </c>
      <c r="D346">
        <v>2663</v>
      </c>
      <c r="G346" t="s">
        <v>4186</v>
      </c>
      <c r="H346">
        <v>37075503000136</v>
      </c>
      <c r="I346" t="s">
        <v>3826</v>
      </c>
      <c r="J346" t="s">
        <v>1474</v>
      </c>
      <c r="K346" t="s">
        <v>1475</v>
      </c>
      <c r="M346" t="s">
        <v>1476</v>
      </c>
      <c r="O346" t="s">
        <v>6487</v>
      </c>
      <c r="P346" t="s">
        <v>1477</v>
      </c>
      <c r="Q346" t="s">
        <v>932</v>
      </c>
      <c r="T346" t="s">
        <v>319</v>
      </c>
      <c r="U346" t="s">
        <v>3417</v>
      </c>
      <c r="W346">
        <v>26200</v>
      </c>
      <c r="X346">
        <v>3400</v>
      </c>
      <c r="Z346">
        <v>21</v>
      </c>
      <c r="AA346" s="31">
        <v>45950</v>
      </c>
      <c r="AB346" s="61">
        <v>0.42942129629629627</v>
      </c>
      <c r="AC346" t="s">
        <v>795</v>
      </c>
      <c r="AD346" s="31">
        <v>45971</v>
      </c>
      <c r="AE346" s="61">
        <v>0.67660879629629633</v>
      </c>
      <c r="AF346" t="s">
        <v>934</v>
      </c>
      <c r="AH346" t="s">
        <v>4185</v>
      </c>
      <c r="AI346" t="s">
        <v>4185</v>
      </c>
      <c r="AQ346">
        <v>1</v>
      </c>
    </row>
    <row r="347" spans="1:43" hidden="1" x14ac:dyDescent="0.25">
      <c r="A347" t="s">
        <v>31</v>
      </c>
      <c r="B347">
        <v>649</v>
      </c>
      <c r="C347">
        <v>124</v>
      </c>
      <c r="D347">
        <v>2664</v>
      </c>
      <c r="G347" t="s">
        <v>4187</v>
      </c>
      <c r="H347">
        <v>12121089000123</v>
      </c>
      <c r="I347" t="s">
        <v>3354</v>
      </c>
      <c r="J347" t="s">
        <v>4188</v>
      </c>
      <c r="M347" t="s">
        <v>3355</v>
      </c>
      <c r="T347" t="s">
        <v>319</v>
      </c>
      <c r="U347" t="s">
        <v>3417</v>
      </c>
      <c r="W347">
        <v>8400</v>
      </c>
      <c r="X347">
        <v>0</v>
      </c>
      <c r="Z347">
        <v>37</v>
      </c>
      <c r="AA347" s="31">
        <v>45950</v>
      </c>
      <c r="AB347" s="61">
        <v>0.47859953703703711</v>
      </c>
      <c r="AC347" t="s">
        <v>795</v>
      </c>
      <c r="AD347" s="31">
        <v>45987</v>
      </c>
      <c r="AE347" s="61">
        <v>0.505</v>
      </c>
      <c r="AF347" t="s">
        <v>796</v>
      </c>
      <c r="AH347" t="s">
        <v>4185</v>
      </c>
      <c r="AI347" t="s">
        <v>2223</v>
      </c>
      <c r="AQ347">
        <v>1</v>
      </c>
    </row>
    <row r="348" spans="1:43" hidden="1" x14ac:dyDescent="0.25">
      <c r="A348" t="s">
        <v>31</v>
      </c>
      <c r="B348">
        <v>650</v>
      </c>
      <c r="C348">
        <v>128</v>
      </c>
      <c r="D348">
        <v>2665</v>
      </c>
      <c r="G348" t="s">
        <v>4189</v>
      </c>
      <c r="H348">
        <v>8530284000130</v>
      </c>
      <c r="I348" t="s">
        <v>3363</v>
      </c>
      <c r="J348" t="s">
        <v>4190</v>
      </c>
      <c r="M348" t="s">
        <v>3364</v>
      </c>
      <c r="T348" t="s">
        <v>319</v>
      </c>
      <c r="U348" t="s">
        <v>3417</v>
      </c>
      <c r="W348">
        <v>3360</v>
      </c>
      <c r="X348">
        <v>7128</v>
      </c>
      <c r="Z348">
        <v>18</v>
      </c>
      <c r="AA348" s="31">
        <v>45950</v>
      </c>
      <c r="AB348" s="61">
        <v>0.52028935185185188</v>
      </c>
      <c r="AC348" t="s">
        <v>795</v>
      </c>
      <c r="AD348" s="31">
        <v>45968</v>
      </c>
      <c r="AE348" s="61">
        <v>0.41829861111111111</v>
      </c>
      <c r="AF348" t="s">
        <v>867</v>
      </c>
      <c r="AH348" t="s">
        <v>4185</v>
      </c>
      <c r="AI348" t="s">
        <v>4185</v>
      </c>
      <c r="AQ348">
        <v>1</v>
      </c>
    </row>
    <row r="349" spans="1:43" hidden="1" x14ac:dyDescent="0.25">
      <c r="A349" t="s">
        <v>31</v>
      </c>
      <c r="B349">
        <v>651</v>
      </c>
      <c r="D349">
        <v>2666</v>
      </c>
      <c r="G349" t="s">
        <v>4191</v>
      </c>
      <c r="H349">
        <v>49119936000125</v>
      </c>
      <c r="J349" t="s">
        <v>4565</v>
      </c>
      <c r="K349" t="s">
        <v>4193</v>
      </c>
      <c r="M349" t="s">
        <v>4096</v>
      </c>
      <c r="T349" t="s">
        <v>319</v>
      </c>
      <c r="U349" t="s">
        <v>3417</v>
      </c>
      <c r="W349">
        <v>0</v>
      </c>
      <c r="X349">
        <v>2574</v>
      </c>
      <c r="Z349">
        <v>37</v>
      </c>
      <c r="AA349" s="31">
        <v>45950</v>
      </c>
      <c r="AB349" s="61">
        <v>0.73157407407407404</v>
      </c>
      <c r="AC349" t="s">
        <v>795</v>
      </c>
      <c r="AD349" s="31">
        <v>45987</v>
      </c>
      <c r="AE349" s="61">
        <v>0.49932870370370369</v>
      </c>
      <c r="AF349" t="s">
        <v>796</v>
      </c>
      <c r="AH349" t="s">
        <v>4185</v>
      </c>
      <c r="AI349" t="s">
        <v>4185</v>
      </c>
      <c r="AQ349">
        <v>1</v>
      </c>
    </row>
    <row r="350" spans="1:43" hidden="1" x14ac:dyDescent="0.25">
      <c r="A350" t="s">
        <v>31</v>
      </c>
      <c r="B350">
        <v>652</v>
      </c>
      <c r="C350">
        <v>203</v>
      </c>
      <c r="D350">
        <v>2667</v>
      </c>
      <c r="G350" t="s">
        <v>4194</v>
      </c>
      <c r="H350">
        <v>11806036000183</v>
      </c>
      <c r="I350" t="s">
        <v>3791</v>
      </c>
      <c r="J350" t="s">
        <v>2600</v>
      </c>
      <c r="K350" t="s">
        <v>3792</v>
      </c>
      <c r="M350" t="s">
        <v>3793</v>
      </c>
      <c r="O350" t="s">
        <v>6480</v>
      </c>
      <c r="P350" t="s">
        <v>3636</v>
      </c>
      <c r="Q350" t="s">
        <v>1699</v>
      </c>
      <c r="T350" t="s">
        <v>319</v>
      </c>
      <c r="U350" t="s">
        <v>3417</v>
      </c>
      <c r="W350">
        <v>2160</v>
      </c>
      <c r="X350">
        <v>0</v>
      </c>
      <c r="Z350">
        <v>14</v>
      </c>
      <c r="AA350" s="31">
        <v>45951</v>
      </c>
      <c r="AB350" s="61">
        <v>0.48002314814814823</v>
      </c>
      <c r="AC350" t="s">
        <v>795</v>
      </c>
      <c r="AD350" s="31">
        <v>45965</v>
      </c>
      <c r="AE350" s="61">
        <v>0.50258101851851855</v>
      </c>
      <c r="AF350" t="s">
        <v>934</v>
      </c>
      <c r="AH350" t="s">
        <v>2297</v>
      </c>
      <c r="AI350" t="s">
        <v>4195</v>
      </c>
      <c r="AQ350">
        <v>1</v>
      </c>
    </row>
    <row r="351" spans="1:43" hidden="1" x14ac:dyDescent="0.25">
      <c r="A351" t="s">
        <v>31</v>
      </c>
      <c r="B351">
        <v>653</v>
      </c>
      <c r="D351">
        <v>2668</v>
      </c>
      <c r="E351" t="s">
        <v>4196</v>
      </c>
      <c r="G351" t="s">
        <v>4197</v>
      </c>
      <c r="H351">
        <v>38160619000136</v>
      </c>
      <c r="J351" t="s">
        <v>4198</v>
      </c>
      <c r="K351" t="s">
        <v>4199</v>
      </c>
      <c r="M351" t="s">
        <v>4200</v>
      </c>
      <c r="S351" t="s">
        <v>1419</v>
      </c>
      <c r="T351" t="s">
        <v>319</v>
      </c>
      <c r="U351" t="s">
        <v>3417</v>
      </c>
      <c r="W351">
        <v>16200</v>
      </c>
      <c r="X351">
        <v>7128</v>
      </c>
      <c r="Z351">
        <v>211</v>
      </c>
      <c r="AA351" s="31">
        <v>45951</v>
      </c>
      <c r="AB351" s="61">
        <v>0.4896759259259259</v>
      </c>
      <c r="AC351" t="s">
        <v>782</v>
      </c>
      <c r="AD351" s="31"/>
      <c r="AE351" s="61"/>
      <c r="AH351" t="s">
        <v>4195</v>
      </c>
      <c r="AI351" t="s">
        <v>4195</v>
      </c>
      <c r="AK351" t="s">
        <v>423</v>
      </c>
      <c r="AL351" t="s">
        <v>1423</v>
      </c>
      <c r="AQ351">
        <v>1</v>
      </c>
    </row>
    <row r="352" spans="1:43" hidden="1" x14ac:dyDescent="0.25">
      <c r="A352" t="s">
        <v>31</v>
      </c>
      <c r="B352">
        <v>654</v>
      </c>
      <c r="C352">
        <v>73</v>
      </c>
      <c r="D352">
        <v>2670</v>
      </c>
      <c r="G352" t="s">
        <v>4201</v>
      </c>
      <c r="I352" t="s">
        <v>3218</v>
      </c>
      <c r="J352" t="s">
        <v>1474</v>
      </c>
      <c r="K352" t="s">
        <v>3939</v>
      </c>
      <c r="M352" t="s">
        <v>3220</v>
      </c>
      <c r="T352" t="s">
        <v>319</v>
      </c>
      <c r="U352" t="s">
        <v>3417</v>
      </c>
      <c r="W352">
        <v>1600</v>
      </c>
      <c r="X352">
        <v>322193</v>
      </c>
      <c r="Z352">
        <v>19</v>
      </c>
      <c r="AA352" s="31">
        <v>45952</v>
      </c>
      <c r="AB352" s="61">
        <v>0.38269675925925928</v>
      </c>
      <c r="AC352" t="s">
        <v>795</v>
      </c>
      <c r="AD352" s="31">
        <v>45971</v>
      </c>
      <c r="AE352" s="61">
        <v>0.62304398148148143</v>
      </c>
      <c r="AF352" t="s">
        <v>867</v>
      </c>
      <c r="AH352" t="s">
        <v>4195</v>
      </c>
      <c r="AI352" t="s">
        <v>4202</v>
      </c>
      <c r="AQ352">
        <v>1</v>
      </c>
    </row>
    <row r="353" spans="1:43" hidden="1" x14ac:dyDescent="0.25">
      <c r="A353" t="s">
        <v>31</v>
      </c>
      <c r="B353">
        <v>655</v>
      </c>
      <c r="C353">
        <v>107</v>
      </c>
      <c r="D353">
        <v>2671</v>
      </c>
      <c r="G353" t="s">
        <v>4203</v>
      </c>
      <c r="H353">
        <v>7527737000297</v>
      </c>
      <c r="I353" t="s">
        <v>427</v>
      </c>
      <c r="J353" t="s">
        <v>6513</v>
      </c>
      <c r="M353" t="s">
        <v>3320</v>
      </c>
      <c r="T353" t="s">
        <v>319</v>
      </c>
      <c r="U353" t="s">
        <v>3417</v>
      </c>
      <c r="W353">
        <v>420</v>
      </c>
      <c r="X353">
        <v>3564</v>
      </c>
      <c r="Z353">
        <v>26</v>
      </c>
      <c r="AA353" s="31">
        <v>45952</v>
      </c>
      <c r="AB353" s="61">
        <v>0.48693287037037042</v>
      </c>
      <c r="AC353" t="s">
        <v>795</v>
      </c>
      <c r="AD353" s="31">
        <v>45978</v>
      </c>
      <c r="AE353" s="61">
        <v>0.41158564814814808</v>
      </c>
      <c r="AF353" t="s">
        <v>934</v>
      </c>
      <c r="AH353" t="s">
        <v>4202</v>
      </c>
      <c r="AI353" t="s">
        <v>4202</v>
      </c>
      <c r="AQ353">
        <v>1</v>
      </c>
    </row>
    <row r="354" spans="1:43" hidden="1" x14ac:dyDescent="0.25">
      <c r="A354" t="s">
        <v>31</v>
      </c>
      <c r="B354">
        <v>658</v>
      </c>
      <c r="C354">
        <v>191</v>
      </c>
      <c r="D354">
        <v>2681</v>
      </c>
      <c r="G354" t="s">
        <v>4205</v>
      </c>
      <c r="H354">
        <v>18628799000120</v>
      </c>
      <c r="I354" t="s">
        <v>3734</v>
      </c>
      <c r="J354" t="s">
        <v>3735</v>
      </c>
      <c r="K354" t="s">
        <v>2216</v>
      </c>
      <c r="M354" t="s">
        <v>2217</v>
      </c>
      <c r="O354" t="s">
        <v>6473</v>
      </c>
      <c r="P354" t="s">
        <v>1094</v>
      </c>
      <c r="Q354" t="s">
        <v>790</v>
      </c>
      <c r="T354" t="s">
        <v>319</v>
      </c>
      <c r="U354" t="s">
        <v>816</v>
      </c>
      <c r="W354">
        <v>0</v>
      </c>
      <c r="X354">
        <v>64159</v>
      </c>
      <c r="Z354">
        <v>2</v>
      </c>
      <c r="AA354" s="31">
        <v>45957</v>
      </c>
      <c r="AB354" s="61">
        <v>0.64555555555555555</v>
      </c>
      <c r="AC354" t="s">
        <v>818</v>
      </c>
      <c r="AD354" s="31">
        <v>45959</v>
      </c>
      <c r="AE354" s="61">
        <v>0.38715277777777779</v>
      </c>
      <c r="AH354" t="s">
        <v>4206</v>
      </c>
      <c r="AQ354">
        <v>1</v>
      </c>
    </row>
    <row r="355" spans="1:43" hidden="1" x14ac:dyDescent="0.25">
      <c r="A355" t="s">
        <v>31</v>
      </c>
      <c r="B355">
        <v>660</v>
      </c>
      <c r="C355">
        <v>174</v>
      </c>
      <c r="D355">
        <v>2682</v>
      </c>
      <c r="G355" t="s">
        <v>4207</v>
      </c>
      <c r="H355">
        <v>45238441000164</v>
      </c>
      <c r="I355" t="s">
        <v>3507</v>
      </c>
      <c r="J355" t="s">
        <v>3995</v>
      </c>
      <c r="K355" t="s">
        <v>3509</v>
      </c>
      <c r="L355">
        <v>11973359869</v>
      </c>
      <c r="M355" t="s">
        <v>3510</v>
      </c>
      <c r="O355" t="s">
        <v>6448</v>
      </c>
      <c r="P355" t="s">
        <v>1094</v>
      </c>
      <c r="Q355" t="s">
        <v>790</v>
      </c>
      <c r="T355" t="s">
        <v>319</v>
      </c>
      <c r="U355" t="s">
        <v>816</v>
      </c>
      <c r="W355">
        <v>0</v>
      </c>
      <c r="X355">
        <v>14256</v>
      </c>
      <c r="Z355">
        <v>0</v>
      </c>
      <c r="AA355" s="31">
        <v>45957</v>
      </c>
      <c r="AB355" s="61">
        <v>0.65339120370370374</v>
      </c>
      <c r="AC355" t="s">
        <v>818</v>
      </c>
      <c r="AD355" s="31">
        <v>45957</v>
      </c>
      <c r="AE355" s="61">
        <v>0.65457175925925926</v>
      </c>
      <c r="AH355" t="s">
        <v>4185</v>
      </c>
      <c r="AI355" t="s">
        <v>4165</v>
      </c>
      <c r="AQ355">
        <v>1</v>
      </c>
    </row>
    <row r="356" spans="1:43" hidden="1" x14ac:dyDescent="0.25">
      <c r="A356" t="s">
        <v>31</v>
      </c>
      <c r="B356">
        <v>661</v>
      </c>
      <c r="D356">
        <v>2683</v>
      </c>
      <c r="G356" t="s">
        <v>4208</v>
      </c>
      <c r="H356">
        <v>38160619000136</v>
      </c>
      <c r="J356" t="s">
        <v>4198</v>
      </c>
      <c r="K356" t="s">
        <v>4199</v>
      </c>
      <c r="M356" t="s">
        <v>4200</v>
      </c>
      <c r="T356" t="s">
        <v>319</v>
      </c>
      <c r="U356" t="s">
        <v>816</v>
      </c>
      <c r="W356">
        <v>0</v>
      </c>
      <c r="X356">
        <v>2586</v>
      </c>
      <c r="Z356">
        <v>1</v>
      </c>
      <c r="AA356" s="31">
        <v>45957</v>
      </c>
      <c r="AB356" s="61">
        <v>0.65902777777777777</v>
      </c>
      <c r="AC356" t="s">
        <v>818</v>
      </c>
      <c r="AD356" s="31">
        <v>45958</v>
      </c>
      <c r="AE356" s="61">
        <v>0.42133101851851851</v>
      </c>
      <c r="AH356" t="s">
        <v>4206</v>
      </c>
      <c r="AQ356">
        <v>1</v>
      </c>
    </row>
    <row r="357" spans="1:43" hidden="1" x14ac:dyDescent="0.25">
      <c r="A357" t="s">
        <v>31</v>
      </c>
      <c r="B357">
        <v>663</v>
      </c>
      <c r="C357">
        <v>190</v>
      </c>
      <c r="D357">
        <v>2689</v>
      </c>
      <c r="G357" t="s">
        <v>4209</v>
      </c>
      <c r="H357">
        <v>18203215000175</v>
      </c>
      <c r="I357" t="s">
        <v>3690</v>
      </c>
      <c r="J357" t="s">
        <v>4210</v>
      </c>
      <c r="K357" t="s">
        <v>3692</v>
      </c>
      <c r="M357" t="s">
        <v>3693</v>
      </c>
      <c r="O357" t="s">
        <v>6470</v>
      </c>
      <c r="P357" t="s">
        <v>3695</v>
      </c>
      <c r="Q357" t="s">
        <v>790</v>
      </c>
      <c r="T357" t="s">
        <v>319</v>
      </c>
      <c r="U357" t="s">
        <v>816</v>
      </c>
      <c r="W357">
        <v>8400</v>
      </c>
      <c r="X357">
        <v>0</v>
      </c>
      <c r="Z357">
        <v>0</v>
      </c>
      <c r="AA357" s="31">
        <v>45959</v>
      </c>
      <c r="AB357" s="61">
        <v>0.41988425925925932</v>
      </c>
      <c r="AC357" t="s">
        <v>818</v>
      </c>
      <c r="AD357" s="31">
        <v>45959</v>
      </c>
      <c r="AE357" s="61">
        <v>0.42054398148148148</v>
      </c>
      <c r="AH357" t="s">
        <v>4211</v>
      </c>
      <c r="AI357" t="s">
        <v>4211</v>
      </c>
      <c r="AQ357">
        <v>1</v>
      </c>
    </row>
    <row r="358" spans="1:43" hidden="1" x14ac:dyDescent="0.25">
      <c r="A358" t="s">
        <v>31</v>
      </c>
      <c r="B358">
        <v>664</v>
      </c>
      <c r="C358">
        <v>191</v>
      </c>
      <c r="D358">
        <v>2691</v>
      </c>
      <c r="G358" t="s">
        <v>4212</v>
      </c>
      <c r="H358">
        <v>18628799000120</v>
      </c>
      <c r="I358" t="s">
        <v>3734</v>
      </c>
      <c r="J358" t="s">
        <v>3735</v>
      </c>
      <c r="K358" t="s">
        <v>2216</v>
      </c>
      <c r="M358" t="s">
        <v>2217</v>
      </c>
      <c r="O358" t="s">
        <v>6473</v>
      </c>
      <c r="P358" t="s">
        <v>1094</v>
      </c>
      <c r="Q358" t="s">
        <v>790</v>
      </c>
      <c r="T358" t="s">
        <v>319</v>
      </c>
      <c r="U358" t="s">
        <v>3417</v>
      </c>
      <c r="W358">
        <v>26200</v>
      </c>
      <c r="X358">
        <v>3400</v>
      </c>
      <c r="Z358">
        <v>36</v>
      </c>
      <c r="AA358" s="31">
        <v>45959</v>
      </c>
      <c r="AB358" s="61">
        <v>0.69269675925925922</v>
      </c>
      <c r="AC358" t="s">
        <v>795</v>
      </c>
      <c r="AD358" s="31">
        <v>45995</v>
      </c>
      <c r="AE358" s="61">
        <v>0.40078703703703711</v>
      </c>
      <c r="AF358" t="s">
        <v>796</v>
      </c>
      <c r="AH358" t="s">
        <v>4211</v>
      </c>
      <c r="AI358" t="s">
        <v>4211</v>
      </c>
      <c r="AQ358">
        <v>1</v>
      </c>
    </row>
    <row r="359" spans="1:43" hidden="1" x14ac:dyDescent="0.25">
      <c r="A359" t="s">
        <v>31</v>
      </c>
      <c r="B359">
        <v>668</v>
      </c>
      <c r="C359">
        <v>103</v>
      </c>
      <c r="D359">
        <v>2717</v>
      </c>
      <c r="G359" t="s">
        <v>4213</v>
      </c>
      <c r="H359">
        <v>12549273000179</v>
      </c>
      <c r="I359" t="s">
        <v>3309</v>
      </c>
      <c r="J359" t="s">
        <v>4067</v>
      </c>
      <c r="K359" t="s">
        <v>4214</v>
      </c>
      <c r="M359" t="s">
        <v>3312</v>
      </c>
      <c r="O359" t="s">
        <v>6441</v>
      </c>
      <c r="P359" t="s">
        <v>1596</v>
      </c>
      <c r="Q359" t="s">
        <v>790</v>
      </c>
      <c r="S359" t="s">
        <v>1581</v>
      </c>
      <c r="T359" t="s">
        <v>319</v>
      </c>
      <c r="U359" t="s">
        <v>3417</v>
      </c>
      <c r="W359">
        <v>1600</v>
      </c>
      <c r="X359">
        <v>47183</v>
      </c>
      <c r="Z359">
        <v>82</v>
      </c>
      <c r="AA359" s="31">
        <v>45961</v>
      </c>
      <c r="AB359" s="61">
        <v>0.45398148148148149</v>
      </c>
      <c r="AC359" t="s">
        <v>795</v>
      </c>
      <c r="AD359" s="31">
        <v>46043</v>
      </c>
      <c r="AE359" s="61">
        <v>0.40621527777777777</v>
      </c>
      <c r="AF359" t="s">
        <v>867</v>
      </c>
      <c r="AH359" t="s">
        <v>4215</v>
      </c>
      <c r="AI359" t="s">
        <v>4206</v>
      </c>
      <c r="AK359" t="s">
        <v>2576</v>
      </c>
      <c r="AQ359">
        <v>1</v>
      </c>
    </row>
    <row r="360" spans="1:43" hidden="1" x14ac:dyDescent="0.25">
      <c r="A360" t="s">
        <v>31</v>
      </c>
      <c r="B360">
        <v>670</v>
      </c>
      <c r="D360">
        <v>2719</v>
      </c>
      <c r="G360" t="s">
        <v>4216</v>
      </c>
      <c r="H360">
        <v>6946105000114</v>
      </c>
      <c r="J360" t="s">
        <v>4217</v>
      </c>
      <c r="K360" t="s">
        <v>4218</v>
      </c>
      <c r="M360" t="s">
        <v>4219</v>
      </c>
      <c r="T360" t="s">
        <v>319</v>
      </c>
      <c r="U360" t="s">
        <v>816</v>
      </c>
      <c r="W360">
        <v>0</v>
      </c>
      <c r="X360">
        <v>28512</v>
      </c>
      <c r="Z360">
        <v>19</v>
      </c>
      <c r="AA360" s="31">
        <v>45961</v>
      </c>
      <c r="AB360" s="61">
        <v>0.68109953703703707</v>
      </c>
      <c r="AC360" t="s">
        <v>818</v>
      </c>
      <c r="AD360" s="31">
        <v>45980</v>
      </c>
      <c r="AE360" s="61">
        <v>0.71309027777777778</v>
      </c>
      <c r="AH360" t="s">
        <v>4220</v>
      </c>
      <c r="AI360" t="s">
        <v>4220</v>
      </c>
      <c r="AQ360">
        <v>1</v>
      </c>
    </row>
    <row r="361" spans="1:43" hidden="1" x14ac:dyDescent="0.25">
      <c r="A361" t="s">
        <v>31</v>
      </c>
      <c r="B361">
        <v>671</v>
      </c>
      <c r="C361">
        <v>189</v>
      </c>
      <c r="D361">
        <v>2728</v>
      </c>
      <c r="G361" t="s">
        <v>4221</v>
      </c>
      <c r="H361">
        <v>10698565000148</v>
      </c>
      <c r="I361" t="s">
        <v>4145</v>
      </c>
      <c r="J361" t="s">
        <v>4146</v>
      </c>
      <c r="K361" t="s">
        <v>4147</v>
      </c>
      <c r="O361" t="s">
        <v>6512</v>
      </c>
      <c r="P361" t="s">
        <v>4149</v>
      </c>
      <c r="Q361" t="s">
        <v>4150</v>
      </c>
      <c r="T361" t="s">
        <v>319</v>
      </c>
      <c r="U361" t="s">
        <v>3417</v>
      </c>
      <c r="W361">
        <v>2040708</v>
      </c>
      <c r="X361">
        <v>7128</v>
      </c>
      <c r="Z361">
        <v>30</v>
      </c>
      <c r="AA361" s="31">
        <v>45964</v>
      </c>
      <c r="AB361" s="61">
        <v>0.44855324074074082</v>
      </c>
      <c r="AC361" t="s">
        <v>795</v>
      </c>
      <c r="AD361" s="31">
        <v>45994</v>
      </c>
      <c r="AE361" s="61">
        <v>0.4256597222222222</v>
      </c>
      <c r="AF361" t="s">
        <v>867</v>
      </c>
      <c r="AH361" t="s">
        <v>2324</v>
      </c>
      <c r="AI361" t="s">
        <v>2324</v>
      </c>
      <c r="AQ361">
        <v>1</v>
      </c>
    </row>
    <row r="362" spans="1:43" hidden="1" x14ac:dyDescent="0.25">
      <c r="A362" t="s">
        <v>31</v>
      </c>
      <c r="B362">
        <v>675</v>
      </c>
      <c r="C362">
        <v>159</v>
      </c>
      <c r="D362">
        <v>2742</v>
      </c>
      <c r="G362" t="s">
        <v>4222</v>
      </c>
      <c r="H362">
        <v>43526090000161</v>
      </c>
      <c r="I362" t="s">
        <v>913</v>
      </c>
      <c r="J362" t="s">
        <v>4067</v>
      </c>
      <c r="K362" t="s">
        <v>4155</v>
      </c>
      <c r="M362" t="s">
        <v>916</v>
      </c>
      <c r="P362" t="s">
        <v>909</v>
      </c>
      <c r="Q362" t="s">
        <v>790</v>
      </c>
      <c r="T362" t="s">
        <v>319</v>
      </c>
      <c r="U362" t="s">
        <v>3417</v>
      </c>
      <c r="Z362">
        <v>25</v>
      </c>
      <c r="AA362" s="31">
        <v>45968</v>
      </c>
      <c r="AB362" s="61">
        <v>0.67895833333333333</v>
      </c>
      <c r="AC362" t="s">
        <v>795</v>
      </c>
      <c r="AD362" s="31">
        <v>45993</v>
      </c>
      <c r="AE362" s="61">
        <v>0.39473379629629629</v>
      </c>
      <c r="AF362" t="s">
        <v>796</v>
      </c>
      <c r="AH362" t="s">
        <v>4223</v>
      </c>
      <c r="AI362" t="s">
        <v>4223</v>
      </c>
      <c r="AQ362">
        <v>1</v>
      </c>
    </row>
    <row r="363" spans="1:43" hidden="1" x14ac:dyDescent="0.25">
      <c r="A363" t="s">
        <v>31</v>
      </c>
      <c r="B363">
        <v>676</v>
      </c>
      <c r="C363">
        <v>208</v>
      </c>
      <c r="D363">
        <v>2746</v>
      </c>
      <c r="G363" t="s">
        <v>4224</v>
      </c>
      <c r="H363">
        <v>42830750000130</v>
      </c>
      <c r="I363" t="s">
        <v>3903</v>
      </c>
      <c r="J363" t="s">
        <v>1804</v>
      </c>
      <c r="K363" t="s">
        <v>3905</v>
      </c>
      <c r="M363" t="s">
        <v>4594</v>
      </c>
      <c r="O363" t="s">
        <v>6494</v>
      </c>
      <c r="P363" t="s">
        <v>1094</v>
      </c>
      <c r="Q363" t="s">
        <v>790</v>
      </c>
      <c r="T363" t="s">
        <v>319</v>
      </c>
      <c r="U363" t="s">
        <v>3417</v>
      </c>
      <c r="W363">
        <v>0</v>
      </c>
      <c r="X363">
        <v>308</v>
      </c>
      <c r="Z363">
        <v>30</v>
      </c>
      <c r="AA363" s="31">
        <v>45971</v>
      </c>
      <c r="AB363" s="61">
        <v>0.39951388888888889</v>
      </c>
      <c r="AC363" t="s">
        <v>795</v>
      </c>
      <c r="AD363" s="31">
        <v>46001</v>
      </c>
      <c r="AE363" s="61">
        <v>0.44709490740740743</v>
      </c>
      <c r="AF363" t="s">
        <v>796</v>
      </c>
      <c r="AH363" t="s">
        <v>2437</v>
      </c>
      <c r="AI363" t="s">
        <v>2437</v>
      </c>
      <c r="AQ363">
        <v>1</v>
      </c>
    </row>
    <row r="364" spans="1:43" hidden="1" x14ac:dyDescent="0.25">
      <c r="A364" t="s">
        <v>31</v>
      </c>
      <c r="B364">
        <v>677</v>
      </c>
      <c r="C364">
        <v>182</v>
      </c>
      <c r="D364">
        <v>2752</v>
      </c>
      <c r="G364" t="s">
        <v>4225</v>
      </c>
      <c r="H364">
        <v>23873456000161</v>
      </c>
      <c r="I364" t="s">
        <v>3573</v>
      </c>
      <c r="J364" t="s">
        <v>3574</v>
      </c>
      <c r="K364" t="s">
        <v>3575</v>
      </c>
      <c r="M364" t="s">
        <v>3576</v>
      </c>
      <c r="O364" t="s">
        <v>6457</v>
      </c>
      <c r="P364" t="s">
        <v>1837</v>
      </c>
      <c r="Q364" t="s">
        <v>790</v>
      </c>
      <c r="S364" t="s">
        <v>1718</v>
      </c>
      <c r="T364" t="s">
        <v>319</v>
      </c>
      <c r="U364" t="s">
        <v>781</v>
      </c>
      <c r="Z364">
        <v>63</v>
      </c>
      <c r="AA364" s="31">
        <v>45972</v>
      </c>
      <c r="AB364" s="61">
        <v>0.64833333333333332</v>
      </c>
      <c r="AC364" t="s">
        <v>795</v>
      </c>
      <c r="AD364" s="31">
        <v>46035</v>
      </c>
      <c r="AE364" s="61">
        <v>0.70446759259259262</v>
      </c>
      <c r="AF364" t="s">
        <v>796</v>
      </c>
      <c r="AQ364">
        <v>1</v>
      </c>
    </row>
    <row r="365" spans="1:43" hidden="1" x14ac:dyDescent="0.25">
      <c r="A365" t="s">
        <v>31</v>
      </c>
      <c r="B365">
        <v>678</v>
      </c>
      <c r="C365">
        <v>182</v>
      </c>
      <c r="D365">
        <v>2753</v>
      </c>
      <c r="G365" t="s">
        <v>4226</v>
      </c>
      <c r="H365">
        <v>23873456000161</v>
      </c>
      <c r="I365" t="s">
        <v>3573</v>
      </c>
      <c r="J365" t="s">
        <v>3574</v>
      </c>
      <c r="K365" t="s">
        <v>3575</v>
      </c>
      <c r="M365" t="s">
        <v>3576</v>
      </c>
      <c r="O365" t="s">
        <v>6457</v>
      </c>
      <c r="P365" t="s">
        <v>1837</v>
      </c>
      <c r="Q365" t="s">
        <v>790</v>
      </c>
      <c r="S365" t="s">
        <v>1718</v>
      </c>
      <c r="T365" t="s">
        <v>319</v>
      </c>
      <c r="U365" t="s">
        <v>3417</v>
      </c>
      <c r="W365">
        <v>3360</v>
      </c>
      <c r="X365">
        <v>3564</v>
      </c>
      <c r="Z365">
        <v>106</v>
      </c>
      <c r="AA365" s="31">
        <v>45972</v>
      </c>
      <c r="AB365" s="61">
        <v>0.64900462962962968</v>
      </c>
      <c r="AC365" t="s">
        <v>795</v>
      </c>
      <c r="AD365" s="31">
        <v>46078</v>
      </c>
      <c r="AE365" s="61">
        <v>0.46172453703703698</v>
      </c>
      <c r="AF365" t="s">
        <v>796</v>
      </c>
      <c r="AH365" t="s">
        <v>4227</v>
      </c>
      <c r="AI365" t="s">
        <v>4227</v>
      </c>
      <c r="AK365" t="s">
        <v>2326</v>
      </c>
      <c r="AL365" t="s">
        <v>2119</v>
      </c>
      <c r="AQ365">
        <v>1</v>
      </c>
    </row>
    <row r="366" spans="1:43" hidden="1" x14ac:dyDescent="0.25">
      <c r="A366" t="s">
        <v>31</v>
      </c>
      <c r="B366">
        <v>679</v>
      </c>
      <c r="C366">
        <v>182</v>
      </c>
      <c r="D366">
        <v>2754</v>
      </c>
      <c r="G366" t="s">
        <v>4228</v>
      </c>
      <c r="H366">
        <v>23873456000161</v>
      </c>
      <c r="I366" t="s">
        <v>3573</v>
      </c>
      <c r="J366" t="s">
        <v>3574</v>
      </c>
      <c r="K366" t="s">
        <v>3575</v>
      </c>
      <c r="M366" t="s">
        <v>3576</v>
      </c>
      <c r="O366" t="s">
        <v>6457</v>
      </c>
      <c r="P366" t="s">
        <v>1837</v>
      </c>
      <c r="Q366" t="s">
        <v>790</v>
      </c>
      <c r="S366" t="s">
        <v>1718</v>
      </c>
      <c r="T366" t="s">
        <v>319</v>
      </c>
      <c r="U366" t="s">
        <v>3417</v>
      </c>
      <c r="W366">
        <v>25200</v>
      </c>
      <c r="X366">
        <v>104544</v>
      </c>
      <c r="Z366">
        <v>79</v>
      </c>
      <c r="AA366" s="31">
        <v>45972</v>
      </c>
      <c r="AB366" s="61">
        <v>0.66282407407407407</v>
      </c>
      <c r="AC366" t="s">
        <v>795</v>
      </c>
      <c r="AD366" s="31">
        <v>46051</v>
      </c>
      <c r="AE366" s="61">
        <v>0.39392361111111113</v>
      </c>
      <c r="AF366" t="s">
        <v>796</v>
      </c>
      <c r="AH366" t="s">
        <v>2529</v>
      </c>
      <c r="AI366" t="s">
        <v>2529</v>
      </c>
      <c r="AK366" t="s">
        <v>2891</v>
      </c>
      <c r="AQ366">
        <v>1</v>
      </c>
    </row>
    <row r="367" spans="1:43" hidden="1" x14ac:dyDescent="0.25">
      <c r="A367" t="s">
        <v>31</v>
      </c>
      <c r="B367">
        <v>682</v>
      </c>
      <c r="C367">
        <v>206</v>
      </c>
      <c r="D367">
        <v>2758</v>
      </c>
      <c r="G367" t="s">
        <v>4229</v>
      </c>
      <c r="H367">
        <v>37075503000136</v>
      </c>
      <c r="I367" t="s">
        <v>3826</v>
      </c>
      <c r="J367" t="s">
        <v>1474</v>
      </c>
      <c r="K367" t="s">
        <v>1475</v>
      </c>
      <c r="M367" t="s">
        <v>1476</v>
      </c>
      <c r="O367" t="s">
        <v>6487</v>
      </c>
      <c r="P367" t="s">
        <v>1477</v>
      </c>
      <c r="Q367" t="s">
        <v>932</v>
      </c>
      <c r="T367" t="s">
        <v>319</v>
      </c>
      <c r="U367" t="s">
        <v>3417</v>
      </c>
      <c r="W367">
        <v>70875</v>
      </c>
      <c r="X367">
        <v>0</v>
      </c>
      <c r="Z367">
        <v>19</v>
      </c>
      <c r="AA367" s="31">
        <v>45974</v>
      </c>
      <c r="AB367" s="61">
        <v>0.40334490740740742</v>
      </c>
      <c r="AC367" t="s">
        <v>795</v>
      </c>
      <c r="AD367" s="31">
        <v>45993</v>
      </c>
      <c r="AE367" s="61">
        <v>0.39771990740740742</v>
      </c>
      <c r="AF367" t="s">
        <v>796</v>
      </c>
      <c r="AH367" t="s">
        <v>4230</v>
      </c>
      <c r="AQ367">
        <v>1</v>
      </c>
    </row>
    <row r="368" spans="1:43" hidden="1" x14ac:dyDescent="0.25">
      <c r="A368" t="s">
        <v>31</v>
      </c>
      <c r="B368">
        <v>683</v>
      </c>
      <c r="C368">
        <v>186</v>
      </c>
      <c r="D368">
        <v>2759</v>
      </c>
      <c r="G368" t="s">
        <v>4231</v>
      </c>
      <c r="H368">
        <v>10899939000193</v>
      </c>
      <c r="I368" t="s">
        <v>3625</v>
      </c>
      <c r="J368" t="s">
        <v>704</v>
      </c>
      <c r="K368" t="s">
        <v>3626</v>
      </c>
      <c r="M368" t="s">
        <v>3627</v>
      </c>
      <c r="O368" t="s">
        <v>6463</v>
      </c>
      <c r="P368" t="s">
        <v>3629</v>
      </c>
      <c r="Q368" t="s">
        <v>932</v>
      </c>
      <c r="S368" t="s">
        <v>1704</v>
      </c>
      <c r="T368" t="s">
        <v>319</v>
      </c>
      <c r="U368" t="s">
        <v>816</v>
      </c>
      <c r="W368">
        <v>2856</v>
      </c>
      <c r="X368">
        <v>60588</v>
      </c>
      <c r="Z368">
        <v>60</v>
      </c>
      <c r="AA368" s="31">
        <v>45974</v>
      </c>
      <c r="AB368" s="61">
        <v>0.44814814814814807</v>
      </c>
      <c r="AC368" t="s">
        <v>795</v>
      </c>
      <c r="AD368" s="31">
        <v>46034</v>
      </c>
      <c r="AE368" s="61">
        <v>0.46733796296296298</v>
      </c>
      <c r="AF368" t="s">
        <v>934</v>
      </c>
      <c r="AH368" t="s">
        <v>4230</v>
      </c>
      <c r="AK368" t="s">
        <v>2519</v>
      </c>
      <c r="AQ368">
        <v>1</v>
      </c>
    </row>
    <row r="369" spans="1:43" hidden="1" x14ac:dyDescent="0.25">
      <c r="A369" t="s">
        <v>31</v>
      </c>
      <c r="B369">
        <v>687</v>
      </c>
      <c r="C369">
        <v>152</v>
      </c>
      <c r="D369">
        <v>2817</v>
      </c>
      <c r="G369" t="s">
        <v>4018</v>
      </c>
      <c r="I369" t="s">
        <v>3445</v>
      </c>
      <c r="J369" t="s">
        <v>4146</v>
      </c>
      <c r="K369" t="s">
        <v>3621</v>
      </c>
      <c r="M369" t="s">
        <v>3448</v>
      </c>
      <c r="S369" t="s">
        <v>1718</v>
      </c>
      <c r="T369" t="s">
        <v>319</v>
      </c>
      <c r="U369" t="s">
        <v>816</v>
      </c>
      <c r="W369">
        <v>3360</v>
      </c>
      <c r="X369">
        <v>7128</v>
      </c>
      <c r="Z369">
        <v>67</v>
      </c>
      <c r="AA369" s="31">
        <v>45978</v>
      </c>
      <c r="AB369" s="61">
        <v>0.72304398148148152</v>
      </c>
      <c r="AC369" t="s">
        <v>818</v>
      </c>
      <c r="AD369" s="31">
        <v>46045</v>
      </c>
      <c r="AE369" s="61">
        <v>0.71009259259259261</v>
      </c>
      <c r="AH369" t="s">
        <v>2273</v>
      </c>
      <c r="AI369" t="s">
        <v>2273</v>
      </c>
      <c r="AK369" t="s">
        <v>2590</v>
      </c>
      <c r="AQ369">
        <v>1</v>
      </c>
    </row>
    <row r="370" spans="1:43" hidden="1" x14ac:dyDescent="0.25">
      <c r="A370" t="s">
        <v>31</v>
      </c>
      <c r="B370">
        <v>688</v>
      </c>
      <c r="C370">
        <v>170</v>
      </c>
      <c r="D370">
        <v>2818</v>
      </c>
      <c r="G370" t="s">
        <v>460</v>
      </c>
      <c r="H370">
        <v>4150555001304</v>
      </c>
      <c r="I370" t="s">
        <v>3477</v>
      </c>
      <c r="J370" t="s">
        <v>3478</v>
      </c>
      <c r="K370" t="s">
        <v>3569</v>
      </c>
      <c r="M370" t="s">
        <v>3480</v>
      </c>
      <c r="O370" t="s">
        <v>6444</v>
      </c>
      <c r="P370" t="s">
        <v>3482</v>
      </c>
      <c r="Q370" t="s">
        <v>1699</v>
      </c>
      <c r="T370" t="s">
        <v>319</v>
      </c>
      <c r="U370" t="s">
        <v>816</v>
      </c>
      <c r="W370">
        <v>838823</v>
      </c>
      <c r="X370">
        <v>0</v>
      </c>
      <c r="Z370">
        <v>8</v>
      </c>
      <c r="AA370" s="31">
        <v>45979</v>
      </c>
      <c r="AB370" s="61">
        <v>0.6174884259259259</v>
      </c>
      <c r="AC370" t="s">
        <v>818</v>
      </c>
      <c r="AD370" s="31">
        <v>45987</v>
      </c>
      <c r="AE370" s="61">
        <v>0.49862268518518521</v>
      </c>
      <c r="AH370" t="s">
        <v>4232</v>
      </c>
      <c r="AQ370">
        <v>1</v>
      </c>
    </row>
    <row r="371" spans="1:43" hidden="1" x14ac:dyDescent="0.25">
      <c r="A371" t="s">
        <v>31</v>
      </c>
      <c r="B371">
        <v>689</v>
      </c>
      <c r="C371">
        <v>0</v>
      </c>
      <c r="D371">
        <v>2851</v>
      </c>
      <c r="G371" t="s">
        <v>4233</v>
      </c>
      <c r="J371" t="s">
        <v>6514</v>
      </c>
      <c r="K371" t="s">
        <v>4235</v>
      </c>
      <c r="M371" t="s">
        <v>4236</v>
      </c>
      <c r="S371" t="s">
        <v>1718</v>
      </c>
      <c r="T371" t="s">
        <v>319</v>
      </c>
      <c r="U371" t="s">
        <v>3606</v>
      </c>
      <c r="Z371">
        <v>45</v>
      </c>
      <c r="AA371" s="31">
        <v>45985</v>
      </c>
      <c r="AB371" s="61">
        <v>0.38097222222222221</v>
      </c>
      <c r="AC371" t="s">
        <v>795</v>
      </c>
      <c r="AD371" s="31">
        <v>46030</v>
      </c>
      <c r="AE371" s="61">
        <v>0.49526620370370372</v>
      </c>
      <c r="AF371" t="s">
        <v>1358</v>
      </c>
      <c r="AI371" t="s">
        <v>2433</v>
      </c>
      <c r="AK371" t="s">
        <v>2326</v>
      </c>
      <c r="AQ371">
        <v>1</v>
      </c>
    </row>
    <row r="372" spans="1:43" hidden="1" x14ac:dyDescent="0.25">
      <c r="A372" t="s">
        <v>31</v>
      </c>
      <c r="B372">
        <v>691</v>
      </c>
      <c r="C372">
        <v>197</v>
      </c>
      <c r="D372">
        <v>2873</v>
      </c>
      <c r="G372" t="s">
        <v>4237</v>
      </c>
      <c r="H372">
        <v>8616236000169</v>
      </c>
      <c r="I372" t="s">
        <v>3726</v>
      </c>
      <c r="J372" t="s">
        <v>704</v>
      </c>
      <c r="K372" t="s">
        <v>3727</v>
      </c>
      <c r="M372" t="s">
        <v>3728</v>
      </c>
      <c r="O372" t="s">
        <v>6472</v>
      </c>
      <c r="P372" t="s">
        <v>3687</v>
      </c>
      <c r="Q372" t="s">
        <v>790</v>
      </c>
      <c r="S372" t="s">
        <v>1419</v>
      </c>
      <c r="T372" t="s">
        <v>319</v>
      </c>
      <c r="U372" t="s">
        <v>3417</v>
      </c>
      <c r="W372">
        <v>3360</v>
      </c>
      <c r="X372">
        <v>19642</v>
      </c>
      <c r="Z372">
        <v>176</v>
      </c>
      <c r="AA372" s="31">
        <v>45986</v>
      </c>
      <c r="AB372" s="61">
        <v>0.42895833333333327</v>
      </c>
      <c r="AC372" t="s">
        <v>782</v>
      </c>
      <c r="AD372" s="31"/>
      <c r="AE372" s="61"/>
      <c r="AH372" t="s">
        <v>4238</v>
      </c>
      <c r="AI372" t="s">
        <v>4238</v>
      </c>
      <c r="AK372" t="s">
        <v>2519</v>
      </c>
      <c r="AL372" t="s">
        <v>1423</v>
      </c>
      <c r="AQ372">
        <v>1</v>
      </c>
    </row>
    <row r="373" spans="1:43" hidden="1" x14ac:dyDescent="0.25">
      <c r="A373" t="s">
        <v>31</v>
      </c>
      <c r="B373">
        <v>698</v>
      </c>
      <c r="C373">
        <v>148</v>
      </c>
      <c r="D373">
        <v>2888</v>
      </c>
      <c r="G373" t="s">
        <v>3554</v>
      </c>
      <c r="H373">
        <v>8530284000130</v>
      </c>
      <c r="I373" t="s">
        <v>3555</v>
      </c>
      <c r="J373" t="s">
        <v>4190</v>
      </c>
      <c r="K373" t="s">
        <v>3556</v>
      </c>
      <c r="M373" t="s">
        <v>3557</v>
      </c>
      <c r="T373" t="s">
        <v>319</v>
      </c>
      <c r="U373" t="s">
        <v>3417</v>
      </c>
      <c r="W373">
        <v>1600</v>
      </c>
      <c r="X373">
        <v>40193</v>
      </c>
      <c r="Z373">
        <v>16</v>
      </c>
      <c r="AA373" s="31">
        <v>45986</v>
      </c>
      <c r="AB373" s="61">
        <v>0.71763888888888894</v>
      </c>
      <c r="AC373" t="s">
        <v>795</v>
      </c>
      <c r="AD373" s="31">
        <v>46002</v>
      </c>
      <c r="AE373" s="61">
        <v>0.63847222222222222</v>
      </c>
      <c r="AF373" t="s">
        <v>867</v>
      </c>
      <c r="AH373" t="s">
        <v>4238</v>
      </c>
      <c r="AI373" t="s">
        <v>4238</v>
      </c>
      <c r="AQ373">
        <v>1</v>
      </c>
    </row>
    <row r="374" spans="1:43" hidden="1" x14ac:dyDescent="0.25">
      <c r="A374" t="s">
        <v>31</v>
      </c>
      <c r="B374">
        <v>699</v>
      </c>
      <c r="C374">
        <v>172</v>
      </c>
      <c r="D374">
        <v>2889</v>
      </c>
      <c r="G374" t="s">
        <v>3500</v>
      </c>
      <c r="H374">
        <v>33561753000125</v>
      </c>
      <c r="I374" t="s">
        <v>3501</v>
      </c>
      <c r="J374" t="s">
        <v>4180</v>
      </c>
      <c r="K374" t="s">
        <v>3502</v>
      </c>
      <c r="M374" t="s">
        <v>3503</v>
      </c>
      <c r="O374" t="s">
        <v>6447</v>
      </c>
      <c r="P374" t="s">
        <v>3505</v>
      </c>
      <c r="Q374" t="s">
        <v>790</v>
      </c>
      <c r="T374" t="s">
        <v>319</v>
      </c>
      <c r="U374" t="s">
        <v>3417</v>
      </c>
      <c r="W374">
        <v>1680</v>
      </c>
      <c r="X374">
        <v>3564</v>
      </c>
      <c r="Z374">
        <v>0</v>
      </c>
      <c r="AA374" s="31">
        <v>45986</v>
      </c>
      <c r="AB374" s="61">
        <v>0.71848379629629633</v>
      </c>
      <c r="AC374" t="s">
        <v>795</v>
      </c>
      <c r="AD374" s="31">
        <v>45986</v>
      </c>
      <c r="AE374" s="61">
        <v>0.72062499999999996</v>
      </c>
      <c r="AF374" t="s">
        <v>796</v>
      </c>
      <c r="AH374" t="s">
        <v>4238</v>
      </c>
      <c r="AI374" t="s">
        <v>4238</v>
      </c>
      <c r="AQ374">
        <v>1</v>
      </c>
    </row>
    <row r="375" spans="1:43" hidden="1" x14ac:dyDescent="0.25">
      <c r="A375" t="s">
        <v>31</v>
      </c>
      <c r="B375">
        <v>710</v>
      </c>
      <c r="C375">
        <v>149</v>
      </c>
      <c r="D375">
        <v>2901</v>
      </c>
      <c r="G375" t="s">
        <v>4020</v>
      </c>
      <c r="H375">
        <v>12418196000118</v>
      </c>
      <c r="I375" t="s">
        <v>3645</v>
      </c>
      <c r="J375" t="s">
        <v>1115</v>
      </c>
      <c r="K375" t="s">
        <v>3647</v>
      </c>
      <c r="M375" t="s">
        <v>3648</v>
      </c>
      <c r="T375" t="s">
        <v>319</v>
      </c>
      <c r="U375" t="s">
        <v>816</v>
      </c>
      <c r="W375">
        <v>2856</v>
      </c>
      <c r="X375">
        <v>60588</v>
      </c>
      <c r="Z375">
        <v>8</v>
      </c>
      <c r="AA375" s="31">
        <v>45987</v>
      </c>
      <c r="AB375" s="61">
        <v>0.50680555555555551</v>
      </c>
      <c r="AC375" t="s">
        <v>818</v>
      </c>
      <c r="AD375" s="31">
        <v>45995</v>
      </c>
      <c r="AE375" s="61">
        <v>0.38068287037037041</v>
      </c>
      <c r="AH375" t="s">
        <v>2392</v>
      </c>
      <c r="AI375" t="s">
        <v>2392</v>
      </c>
      <c r="AQ375">
        <v>1</v>
      </c>
    </row>
    <row r="376" spans="1:43" hidden="1" x14ac:dyDescent="0.25">
      <c r="A376" t="s">
        <v>31</v>
      </c>
      <c r="B376">
        <v>712</v>
      </c>
      <c r="D376">
        <v>2903</v>
      </c>
      <c r="G376" t="s">
        <v>4239</v>
      </c>
      <c r="H376">
        <v>6847915000113</v>
      </c>
      <c r="J376" t="s">
        <v>4240</v>
      </c>
      <c r="K376" t="s">
        <v>4241</v>
      </c>
      <c r="M376" t="s">
        <v>4242</v>
      </c>
      <c r="S376" t="s">
        <v>1419</v>
      </c>
      <c r="T376" t="s">
        <v>319</v>
      </c>
      <c r="U376" t="s">
        <v>3417</v>
      </c>
      <c r="W376">
        <v>16200</v>
      </c>
      <c r="X376">
        <v>2160</v>
      </c>
      <c r="Z376">
        <v>47</v>
      </c>
      <c r="AA376" s="31">
        <v>45987</v>
      </c>
      <c r="AB376" s="61">
        <v>0.67927083333333338</v>
      </c>
      <c r="AC376" t="s">
        <v>795</v>
      </c>
      <c r="AD376" s="31">
        <v>46034</v>
      </c>
      <c r="AE376" s="61">
        <v>0.47002314814814822</v>
      </c>
      <c r="AF376" t="s">
        <v>867</v>
      </c>
      <c r="AH376" t="s">
        <v>4243</v>
      </c>
      <c r="AI376" t="s">
        <v>4243</v>
      </c>
      <c r="AK376" t="s">
        <v>4244</v>
      </c>
      <c r="AQ376">
        <v>1</v>
      </c>
    </row>
    <row r="377" spans="1:43" hidden="1" x14ac:dyDescent="0.25">
      <c r="A377" t="s">
        <v>31</v>
      </c>
      <c r="B377">
        <v>713</v>
      </c>
      <c r="C377">
        <v>208</v>
      </c>
      <c r="D377">
        <v>2905</v>
      </c>
      <c r="G377" t="s">
        <v>3902</v>
      </c>
      <c r="H377">
        <v>42830750000130</v>
      </c>
      <c r="I377" t="s">
        <v>3903</v>
      </c>
      <c r="J377" t="s">
        <v>4091</v>
      </c>
      <c r="K377" t="s">
        <v>3905</v>
      </c>
      <c r="M377" t="s">
        <v>4594</v>
      </c>
      <c r="O377" t="s">
        <v>6494</v>
      </c>
      <c r="P377" t="s">
        <v>1094</v>
      </c>
      <c r="Q377" t="s">
        <v>790</v>
      </c>
      <c r="S377" t="s">
        <v>1704</v>
      </c>
      <c r="T377" t="s">
        <v>319</v>
      </c>
      <c r="U377" t="s">
        <v>3409</v>
      </c>
      <c r="W377">
        <v>2100</v>
      </c>
      <c r="X377">
        <v>0</v>
      </c>
      <c r="Z377">
        <v>43</v>
      </c>
      <c r="AA377" s="31">
        <v>45988</v>
      </c>
      <c r="AB377" s="61">
        <v>0.71693287037037035</v>
      </c>
      <c r="AC377" t="s">
        <v>795</v>
      </c>
      <c r="AD377" s="31">
        <v>46031</v>
      </c>
      <c r="AE377" s="61">
        <v>0.50325231481481481</v>
      </c>
      <c r="AF377" t="s">
        <v>796</v>
      </c>
      <c r="AH377" t="s">
        <v>4243</v>
      </c>
      <c r="AK377" t="s">
        <v>2326</v>
      </c>
      <c r="AQ377">
        <v>1</v>
      </c>
    </row>
    <row r="378" spans="1:43" hidden="1" x14ac:dyDescent="0.25">
      <c r="A378" t="s">
        <v>31</v>
      </c>
      <c r="B378">
        <v>715</v>
      </c>
      <c r="C378">
        <v>191</v>
      </c>
      <c r="D378">
        <v>2911</v>
      </c>
      <c r="G378" t="s">
        <v>4245</v>
      </c>
      <c r="H378">
        <v>18628799000120</v>
      </c>
      <c r="I378" t="s">
        <v>3734</v>
      </c>
      <c r="J378" t="s">
        <v>3735</v>
      </c>
      <c r="K378" t="s">
        <v>2216</v>
      </c>
      <c r="M378" t="s">
        <v>2217</v>
      </c>
      <c r="O378" t="s">
        <v>6473</v>
      </c>
      <c r="P378" t="s">
        <v>1094</v>
      </c>
      <c r="Q378" t="s">
        <v>790</v>
      </c>
      <c r="T378" t="s">
        <v>319</v>
      </c>
      <c r="U378" t="s">
        <v>3417</v>
      </c>
      <c r="W378">
        <v>62091</v>
      </c>
      <c r="X378">
        <v>0</v>
      </c>
      <c r="Z378">
        <v>5</v>
      </c>
      <c r="AA378" s="31">
        <v>45989</v>
      </c>
      <c r="AB378" s="61">
        <v>0.67053240740740738</v>
      </c>
      <c r="AC378" t="s">
        <v>795</v>
      </c>
      <c r="AD378" s="31">
        <v>45994</v>
      </c>
      <c r="AE378" s="61">
        <v>0.42509259259259258</v>
      </c>
      <c r="AF378" t="s">
        <v>796</v>
      </c>
      <c r="AQ378">
        <v>1</v>
      </c>
    </row>
    <row r="379" spans="1:43" hidden="1" x14ac:dyDescent="0.25">
      <c r="A379" t="s">
        <v>31</v>
      </c>
      <c r="B379">
        <v>716</v>
      </c>
      <c r="D379">
        <v>2912</v>
      </c>
      <c r="G379" t="s">
        <v>4246</v>
      </c>
      <c r="H379">
        <v>38160619000136</v>
      </c>
      <c r="J379" t="s">
        <v>4198</v>
      </c>
      <c r="K379" t="s">
        <v>4199</v>
      </c>
      <c r="M379" t="s">
        <v>4200</v>
      </c>
      <c r="T379" t="s">
        <v>319</v>
      </c>
      <c r="U379" t="s">
        <v>816</v>
      </c>
      <c r="W379">
        <v>714</v>
      </c>
      <c r="X379">
        <v>0</v>
      </c>
      <c r="Z379">
        <v>0</v>
      </c>
      <c r="AA379" s="31">
        <v>45989</v>
      </c>
      <c r="AB379" s="61">
        <v>0.6887268518518519</v>
      </c>
      <c r="AC379" t="s">
        <v>818</v>
      </c>
      <c r="AD379" s="31">
        <v>45989</v>
      </c>
      <c r="AE379" s="61">
        <v>0.70133101851851853</v>
      </c>
      <c r="AH379" t="s">
        <v>4247</v>
      </c>
      <c r="AQ379">
        <v>1</v>
      </c>
    </row>
    <row r="380" spans="1:43" hidden="1" x14ac:dyDescent="0.25">
      <c r="A380" t="s">
        <v>31</v>
      </c>
      <c r="B380">
        <v>720</v>
      </c>
      <c r="C380">
        <v>147</v>
      </c>
      <c r="D380">
        <v>2956</v>
      </c>
      <c r="G380" t="s">
        <v>4248</v>
      </c>
      <c r="H380">
        <v>7964558000136</v>
      </c>
      <c r="I380" t="s">
        <v>3430</v>
      </c>
      <c r="J380" t="s">
        <v>1317</v>
      </c>
      <c r="K380" t="s">
        <v>3515</v>
      </c>
      <c r="M380" t="s">
        <v>3433</v>
      </c>
      <c r="S380" t="s">
        <v>1704</v>
      </c>
      <c r="T380" t="s">
        <v>319</v>
      </c>
      <c r="U380" t="s">
        <v>816</v>
      </c>
      <c r="W380">
        <v>5040</v>
      </c>
      <c r="X380">
        <v>114048</v>
      </c>
      <c r="Z380">
        <v>169</v>
      </c>
      <c r="AA380" s="31">
        <v>45993</v>
      </c>
      <c r="AB380" s="61">
        <v>0.49560185185185179</v>
      </c>
      <c r="AC380" t="s">
        <v>782</v>
      </c>
      <c r="AD380" s="31"/>
      <c r="AE380" s="61"/>
      <c r="AH380" t="s">
        <v>5847</v>
      </c>
      <c r="AI380" t="s">
        <v>6515</v>
      </c>
      <c r="AK380" t="s">
        <v>5847</v>
      </c>
      <c r="AL380" t="s">
        <v>1970</v>
      </c>
      <c r="AQ380">
        <v>1</v>
      </c>
    </row>
    <row r="381" spans="1:43" hidden="1" x14ac:dyDescent="0.25">
      <c r="A381" t="s">
        <v>31</v>
      </c>
      <c r="B381">
        <v>721</v>
      </c>
      <c r="C381">
        <v>190</v>
      </c>
      <c r="D381">
        <v>2957</v>
      </c>
      <c r="G381" t="s">
        <v>4249</v>
      </c>
      <c r="H381">
        <v>18203215000175</v>
      </c>
      <c r="I381" t="s">
        <v>3690</v>
      </c>
      <c r="J381" t="s">
        <v>4210</v>
      </c>
      <c r="K381" t="s">
        <v>3692</v>
      </c>
      <c r="M381" t="s">
        <v>3693</v>
      </c>
      <c r="O381" t="s">
        <v>6470</v>
      </c>
      <c r="P381" t="s">
        <v>3695</v>
      </c>
      <c r="Q381" t="s">
        <v>790</v>
      </c>
      <c r="S381" t="s">
        <v>1704</v>
      </c>
      <c r="T381" t="s">
        <v>319</v>
      </c>
      <c r="U381" t="s">
        <v>816</v>
      </c>
      <c r="W381">
        <v>7000</v>
      </c>
      <c r="X381">
        <v>0</v>
      </c>
      <c r="Z381">
        <v>8</v>
      </c>
      <c r="AA381" s="31">
        <v>45994</v>
      </c>
      <c r="AB381" s="61">
        <v>0.48918981481481483</v>
      </c>
      <c r="AC381" t="s">
        <v>818</v>
      </c>
      <c r="AD381" s="31">
        <v>46002</v>
      </c>
      <c r="AE381" s="61">
        <v>0.68612268518518515</v>
      </c>
      <c r="AH381" t="s">
        <v>2465</v>
      </c>
      <c r="AI381" t="s">
        <v>2465</v>
      </c>
      <c r="AQ381">
        <v>1</v>
      </c>
    </row>
    <row r="382" spans="1:43" hidden="1" x14ac:dyDescent="0.25">
      <c r="A382" t="s">
        <v>31</v>
      </c>
      <c r="B382">
        <v>722</v>
      </c>
      <c r="C382">
        <v>195</v>
      </c>
      <c r="D382">
        <v>2964</v>
      </c>
      <c r="G382" t="s">
        <v>4250</v>
      </c>
      <c r="H382">
        <v>49682710000138</v>
      </c>
      <c r="I382" t="s">
        <v>4059</v>
      </c>
      <c r="J382" t="s">
        <v>4060</v>
      </c>
      <c r="K382" t="s">
        <v>4061</v>
      </c>
      <c r="M382" t="s">
        <v>4062</v>
      </c>
      <c r="O382" t="s">
        <v>6508</v>
      </c>
      <c r="P382" t="s">
        <v>1633</v>
      </c>
      <c r="Q382" t="s">
        <v>848</v>
      </c>
      <c r="T382" t="s">
        <v>319</v>
      </c>
      <c r="U382" t="s">
        <v>816</v>
      </c>
      <c r="W382">
        <v>7200</v>
      </c>
      <c r="X382">
        <v>0</v>
      </c>
      <c r="Z382">
        <v>0</v>
      </c>
      <c r="AA382" s="31">
        <v>45996</v>
      </c>
      <c r="AB382" s="61">
        <v>0.39057870370370368</v>
      </c>
      <c r="AC382" t="s">
        <v>818</v>
      </c>
      <c r="AD382" s="31">
        <v>45996</v>
      </c>
      <c r="AE382" s="61">
        <v>0.41447916666666668</v>
      </c>
      <c r="AH382" t="s">
        <v>2459</v>
      </c>
      <c r="AQ382">
        <v>1</v>
      </c>
    </row>
    <row r="383" spans="1:43" hidden="1" x14ac:dyDescent="0.25">
      <c r="A383" t="s">
        <v>31</v>
      </c>
      <c r="B383">
        <v>723</v>
      </c>
      <c r="C383">
        <v>197</v>
      </c>
      <c r="D383">
        <v>2965</v>
      </c>
      <c r="G383" t="s">
        <v>4251</v>
      </c>
      <c r="H383">
        <v>8616236000169</v>
      </c>
      <c r="I383" t="s">
        <v>3726</v>
      </c>
      <c r="J383" t="s">
        <v>704</v>
      </c>
      <c r="K383" t="s">
        <v>3727</v>
      </c>
      <c r="M383" t="s">
        <v>3728</v>
      </c>
      <c r="O383" t="s">
        <v>6472</v>
      </c>
      <c r="P383" t="s">
        <v>3687</v>
      </c>
      <c r="Q383" t="s">
        <v>790</v>
      </c>
      <c r="S383" t="s">
        <v>1581</v>
      </c>
      <c r="T383" t="s">
        <v>319</v>
      </c>
      <c r="U383" t="s">
        <v>816</v>
      </c>
      <c r="W383">
        <v>2856</v>
      </c>
      <c r="X383">
        <v>60588</v>
      </c>
      <c r="Z383">
        <v>38</v>
      </c>
      <c r="AA383" s="31">
        <v>45996</v>
      </c>
      <c r="AB383" s="61">
        <v>0.70861111111111108</v>
      </c>
      <c r="AC383" t="s">
        <v>795</v>
      </c>
      <c r="AD383" s="31">
        <v>46034</v>
      </c>
      <c r="AE383" s="61">
        <v>0.46759259259259262</v>
      </c>
      <c r="AF383" t="s">
        <v>934</v>
      </c>
      <c r="AH383" t="s">
        <v>2459</v>
      </c>
      <c r="AI383" t="s">
        <v>2459</v>
      </c>
      <c r="AK383" t="s">
        <v>2519</v>
      </c>
      <c r="AQ383">
        <v>1</v>
      </c>
    </row>
    <row r="384" spans="1:43" hidden="1" x14ac:dyDescent="0.25">
      <c r="A384" t="s">
        <v>31</v>
      </c>
      <c r="B384">
        <v>724</v>
      </c>
      <c r="C384">
        <v>180</v>
      </c>
      <c r="D384">
        <v>2968</v>
      </c>
      <c r="G384" t="s">
        <v>4252</v>
      </c>
      <c r="H384">
        <v>7287290000226</v>
      </c>
      <c r="I384" t="s">
        <v>3561</v>
      </c>
      <c r="J384" t="s">
        <v>3922</v>
      </c>
      <c r="K384" t="s">
        <v>3563</v>
      </c>
      <c r="M384" t="s">
        <v>3564</v>
      </c>
      <c r="O384" t="s">
        <v>6455</v>
      </c>
      <c r="P384" t="s">
        <v>3566</v>
      </c>
      <c r="Q384" t="s">
        <v>790</v>
      </c>
      <c r="S384" t="s">
        <v>1419</v>
      </c>
      <c r="T384" t="s">
        <v>319</v>
      </c>
      <c r="U384" t="s">
        <v>3417</v>
      </c>
      <c r="W384">
        <v>669483</v>
      </c>
      <c r="X384">
        <v>0</v>
      </c>
      <c r="Z384">
        <v>28</v>
      </c>
      <c r="AA384" s="31">
        <v>45999</v>
      </c>
      <c r="AB384" s="61">
        <v>0.47325231481481478</v>
      </c>
      <c r="AC384" t="s">
        <v>795</v>
      </c>
      <c r="AD384" s="31">
        <v>46027</v>
      </c>
      <c r="AE384" s="61">
        <v>0.60864583333333333</v>
      </c>
      <c r="AF384" t="s">
        <v>934</v>
      </c>
      <c r="AH384" t="s">
        <v>4253</v>
      </c>
      <c r="AK384" t="s">
        <v>2520</v>
      </c>
      <c r="AQ384">
        <v>1</v>
      </c>
    </row>
    <row r="385" spans="1:43" hidden="1" x14ac:dyDescent="0.25">
      <c r="A385" t="s">
        <v>31</v>
      </c>
      <c r="B385">
        <v>738</v>
      </c>
      <c r="C385">
        <v>133</v>
      </c>
      <c r="D385">
        <v>2990</v>
      </c>
      <c r="G385" t="s">
        <v>4254</v>
      </c>
      <c r="H385">
        <v>9517464000144</v>
      </c>
      <c r="I385" t="s">
        <v>625</v>
      </c>
      <c r="J385" t="s">
        <v>4255</v>
      </c>
      <c r="K385" t="s">
        <v>3584</v>
      </c>
      <c r="M385" t="s">
        <v>2207</v>
      </c>
      <c r="S385" t="s">
        <v>1704</v>
      </c>
      <c r="T385" t="s">
        <v>319</v>
      </c>
      <c r="U385" t="s">
        <v>816</v>
      </c>
      <c r="W385">
        <v>3570</v>
      </c>
      <c r="X385">
        <v>0</v>
      </c>
      <c r="Z385">
        <v>1</v>
      </c>
      <c r="AA385" s="31">
        <v>46002</v>
      </c>
      <c r="AB385" s="61">
        <v>0.69379629629629624</v>
      </c>
      <c r="AC385" t="s">
        <v>818</v>
      </c>
      <c r="AD385" s="31">
        <v>46003</v>
      </c>
      <c r="AE385" s="61">
        <v>0.74067129629629624</v>
      </c>
      <c r="AH385" t="s">
        <v>4256</v>
      </c>
      <c r="AI385" t="s">
        <v>4256</v>
      </c>
      <c r="AK385" t="s">
        <v>2326</v>
      </c>
      <c r="AQ385">
        <v>1</v>
      </c>
    </row>
    <row r="386" spans="1:43" hidden="1" x14ac:dyDescent="0.25">
      <c r="A386" t="s">
        <v>31</v>
      </c>
      <c r="B386">
        <v>743</v>
      </c>
      <c r="D386">
        <v>2998</v>
      </c>
      <c r="G386" t="s">
        <v>4191</v>
      </c>
      <c r="H386">
        <v>49119936000125</v>
      </c>
      <c r="J386" t="s">
        <v>1288</v>
      </c>
      <c r="K386" t="s">
        <v>4193</v>
      </c>
      <c r="M386" t="s">
        <v>4096</v>
      </c>
      <c r="S386" t="s">
        <v>1718</v>
      </c>
      <c r="T386" t="s">
        <v>319</v>
      </c>
      <c r="U386" t="s">
        <v>3417</v>
      </c>
      <c r="W386">
        <v>0</v>
      </c>
      <c r="X386">
        <v>26136</v>
      </c>
      <c r="Z386">
        <v>33</v>
      </c>
      <c r="AA386" s="31">
        <v>46008</v>
      </c>
      <c r="AB386" s="61">
        <v>0.69160879629629635</v>
      </c>
      <c r="AC386" t="s">
        <v>795</v>
      </c>
      <c r="AD386" s="31">
        <v>46041</v>
      </c>
      <c r="AE386" s="61">
        <v>0.43174768518518519</v>
      </c>
      <c r="AF386" t="s">
        <v>934</v>
      </c>
      <c r="AH386" t="s">
        <v>4257</v>
      </c>
      <c r="AI386" t="s">
        <v>4257</v>
      </c>
      <c r="AK386" t="s">
        <v>4257</v>
      </c>
      <c r="AQ386">
        <v>1</v>
      </c>
    </row>
    <row r="387" spans="1:43" hidden="1" x14ac:dyDescent="0.25">
      <c r="A387" t="s">
        <v>31</v>
      </c>
      <c r="B387">
        <v>744</v>
      </c>
      <c r="C387">
        <v>134</v>
      </c>
      <c r="D387">
        <v>2999</v>
      </c>
      <c r="G387" t="s">
        <v>3863</v>
      </c>
      <c r="I387" t="s">
        <v>3377</v>
      </c>
      <c r="J387" t="s">
        <v>3985</v>
      </c>
      <c r="K387" t="s">
        <v>3830</v>
      </c>
      <c r="M387" t="s">
        <v>3379</v>
      </c>
      <c r="T387" t="s">
        <v>319</v>
      </c>
      <c r="U387" t="s">
        <v>816</v>
      </c>
      <c r="W387">
        <v>9867</v>
      </c>
      <c r="X387">
        <v>8000</v>
      </c>
      <c r="Z387">
        <v>21</v>
      </c>
      <c r="AA387" s="31">
        <v>46008</v>
      </c>
      <c r="AB387" s="61">
        <v>0.702662037037037</v>
      </c>
      <c r="AC387" t="s">
        <v>818</v>
      </c>
      <c r="AD387" s="31">
        <v>46029</v>
      </c>
      <c r="AE387" s="61">
        <v>0.45002314814814809</v>
      </c>
      <c r="AH387" t="s">
        <v>4257</v>
      </c>
      <c r="AI387" t="s">
        <v>4258</v>
      </c>
      <c r="AK387" t="s">
        <v>4259</v>
      </c>
      <c r="AQ387">
        <v>1</v>
      </c>
    </row>
    <row r="388" spans="1:43" hidden="1" x14ac:dyDescent="0.25">
      <c r="A388" t="s">
        <v>31</v>
      </c>
      <c r="B388">
        <v>745</v>
      </c>
      <c r="C388">
        <v>122</v>
      </c>
      <c r="D388">
        <v>137</v>
      </c>
      <c r="G388" t="s">
        <v>4260</v>
      </c>
      <c r="I388" t="s">
        <v>680</v>
      </c>
      <c r="J388" t="s">
        <v>680</v>
      </c>
      <c r="K388" t="s">
        <v>3350</v>
      </c>
      <c r="M388" t="s">
        <v>3351</v>
      </c>
      <c r="S388" t="s">
        <v>1718</v>
      </c>
      <c r="T388" t="s">
        <v>319</v>
      </c>
      <c r="U388" t="s">
        <v>3417</v>
      </c>
      <c r="W388">
        <v>3360</v>
      </c>
      <c r="X388">
        <v>0</v>
      </c>
      <c r="Z388">
        <v>31</v>
      </c>
      <c r="AA388" s="31">
        <v>46010</v>
      </c>
      <c r="AB388" s="61">
        <v>0.45038194444444452</v>
      </c>
      <c r="AC388" t="s">
        <v>795</v>
      </c>
      <c r="AD388" s="31">
        <v>46041</v>
      </c>
      <c r="AE388" s="61">
        <v>0.37591435185185179</v>
      </c>
      <c r="AF388" t="s">
        <v>796</v>
      </c>
      <c r="AH388" t="s">
        <v>4261</v>
      </c>
      <c r="AI388" t="s">
        <v>4262</v>
      </c>
      <c r="AK388" t="s">
        <v>4261</v>
      </c>
      <c r="AQ388">
        <v>1</v>
      </c>
    </row>
    <row r="389" spans="1:43" hidden="1" x14ac:dyDescent="0.25">
      <c r="A389" t="s">
        <v>31</v>
      </c>
      <c r="B389">
        <v>751</v>
      </c>
      <c r="D389">
        <v>3019</v>
      </c>
      <c r="G389" t="s">
        <v>4263</v>
      </c>
      <c r="H389">
        <v>38160619000136</v>
      </c>
      <c r="J389" t="s">
        <v>4198</v>
      </c>
      <c r="K389" t="s">
        <v>4199</v>
      </c>
      <c r="M389" t="s">
        <v>4200</v>
      </c>
      <c r="S389" t="s">
        <v>1718</v>
      </c>
      <c r="T389" t="s">
        <v>319</v>
      </c>
      <c r="U389" t="s">
        <v>3417</v>
      </c>
      <c r="W389">
        <v>13100</v>
      </c>
      <c r="X389">
        <v>1700</v>
      </c>
      <c r="Z389">
        <v>62</v>
      </c>
      <c r="AA389" s="31">
        <v>46028</v>
      </c>
      <c r="AB389" s="61">
        <v>0.47716435185185191</v>
      </c>
      <c r="AC389" t="s">
        <v>795</v>
      </c>
      <c r="AD389" s="31">
        <v>46090</v>
      </c>
      <c r="AE389" s="61">
        <v>0.73898148148148146</v>
      </c>
      <c r="AF389" t="s">
        <v>796</v>
      </c>
      <c r="AH389" t="s">
        <v>4264</v>
      </c>
      <c r="AK389" t="s">
        <v>4264</v>
      </c>
      <c r="AL389" t="s">
        <v>2119</v>
      </c>
      <c r="AQ389">
        <v>1</v>
      </c>
    </row>
    <row r="390" spans="1:43" hidden="1" x14ac:dyDescent="0.25">
      <c r="A390" t="s">
        <v>31</v>
      </c>
      <c r="B390">
        <v>752</v>
      </c>
      <c r="C390">
        <v>0</v>
      </c>
      <c r="D390">
        <v>3020</v>
      </c>
      <c r="G390" t="s">
        <v>4265</v>
      </c>
      <c r="H390">
        <v>38160619000136</v>
      </c>
      <c r="J390" t="s">
        <v>4198</v>
      </c>
      <c r="K390" t="s">
        <v>4199</v>
      </c>
      <c r="M390" t="s">
        <v>4200</v>
      </c>
      <c r="S390" t="s">
        <v>1718</v>
      </c>
      <c r="T390" t="s">
        <v>319</v>
      </c>
      <c r="U390" t="s">
        <v>781</v>
      </c>
      <c r="Z390">
        <v>37</v>
      </c>
      <c r="AA390" s="31">
        <v>46028</v>
      </c>
      <c r="AB390" s="61">
        <v>0.49056712962962962</v>
      </c>
      <c r="AC390" t="s">
        <v>795</v>
      </c>
      <c r="AD390" s="31">
        <v>46065</v>
      </c>
      <c r="AE390" s="61">
        <v>0.7333912037037037</v>
      </c>
      <c r="AF390" t="s">
        <v>796</v>
      </c>
      <c r="AK390" t="s">
        <v>4264</v>
      </c>
      <c r="AL390" t="s">
        <v>2119</v>
      </c>
      <c r="AQ390">
        <v>1</v>
      </c>
    </row>
    <row r="391" spans="1:43" hidden="1" x14ac:dyDescent="0.25">
      <c r="A391" t="s">
        <v>31</v>
      </c>
      <c r="B391">
        <v>753</v>
      </c>
      <c r="C391">
        <v>152</v>
      </c>
      <c r="D391">
        <v>3021</v>
      </c>
      <c r="E391" t="s">
        <v>4598</v>
      </c>
      <c r="G391" t="s">
        <v>3661</v>
      </c>
      <c r="I391" t="s">
        <v>3445</v>
      </c>
      <c r="J391" t="s">
        <v>4273</v>
      </c>
      <c r="K391" t="s">
        <v>3621</v>
      </c>
      <c r="M391" t="s">
        <v>3448</v>
      </c>
      <c r="S391" t="s">
        <v>1718</v>
      </c>
      <c r="T391" t="s">
        <v>319</v>
      </c>
      <c r="U391" t="s">
        <v>3417</v>
      </c>
      <c r="W391">
        <v>12351</v>
      </c>
      <c r="X391">
        <v>0</v>
      </c>
      <c r="Z391">
        <v>30</v>
      </c>
      <c r="AA391" s="31">
        <v>46028</v>
      </c>
      <c r="AB391" s="61">
        <v>0.50945601851851852</v>
      </c>
      <c r="AC391" t="s">
        <v>795</v>
      </c>
      <c r="AD391" s="31">
        <v>46058</v>
      </c>
      <c r="AE391" s="61">
        <v>0.60276620370370371</v>
      </c>
      <c r="AF391" t="s">
        <v>867</v>
      </c>
      <c r="AH391" t="s">
        <v>4264</v>
      </c>
      <c r="AK391" t="s">
        <v>2990</v>
      </c>
      <c r="AQ391">
        <v>1</v>
      </c>
    </row>
    <row r="392" spans="1:43" hidden="1" x14ac:dyDescent="0.25">
      <c r="A392" t="s">
        <v>31</v>
      </c>
      <c r="B392">
        <v>755</v>
      </c>
      <c r="C392">
        <v>194</v>
      </c>
      <c r="D392">
        <v>3043</v>
      </c>
      <c r="G392" t="s">
        <v>4277</v>
      </c>
      <c r="H392">
        <v>44580314000186</v>
      </c>
      <c r="I392" t="s">
        <v>3682</v>
      </c>
      <c r="J392" t="s">
        <v>704</v>
      </c>
      <c r="K392" t="s">
        <v>3684</v>
      </c>
      <c r="M392" t="s">
        <v>3685</v>
      </c>
      <c r="O392" t="s">
        <v>6469</v>
      </c>
      <c r="P392" t="s">
        <v>3687</v>
      </c>
      <c r="Q392" t="s">
        <v>790</v>
      </c>
      <c r="S392" t="s">
        <v>1704</v>
      </c>
      <c r="T392" t="s">
        <v>319</v>
      </c>
      <c r="U392" t="s">
        <v>816</v>
      </c>
      <c r="W392">
        <v>8100</v>
      </c>
      <c r="X392">
        <v>1080</v>
      </c>
      <c r="Z392">
        <v>37</v>
      </c>
      <c r="AA392" s="31">
        <v>46029</v>
      </c>
      <c r="AB392" s="61">
        <v>0.7151967592592593</v>
      </c>
      <c r="AC392" t="s">
        <v>818</v>
      </c>
      <c r="AD392" s="31">
        <v>46066</v>
      </c>
      <c r="AE392" s="61">
        <v>0.39057870370370368</v>
      </c>
      <c r="AH392" t="s">
        <v>4278</v>
      </c>
      <c r="AI392" t="s">
        <v>4278</v>
      </c>
      <c r="AK392" t="s">
        <v>4278</v>
      </c>
      <c r="AL392" t="s">
        <v>1970</v>
      </c>
      <c r="AQ392">
        <v>1</v>
      </c>
    </row>
    <row r="393" spans="1:43" hidden="1" x14ac:dyDescent="0.25">
      <c r="A393" t="s">
        <v>31</v>
      </c>
      <c r="B393">
        <v>756</v>
      </c>
      <c r="C393">
        <v>194</v>
      </c>
      <c r="D393">
        <v>3044</v>
      </c>
      <c r="G393" t="s">
        <v>233</v>
      </c>
      <c r="H393">
        <v>44580314000186</v>
      </c>
      <c r="I393" t="s">
        <v>3682</v>
      </c>
      <c r="J393" t="s">
        <v>704</v>
      </c>
      <c r="K393" t="s">
        <v>3684</v>
      </c>
      <c r="M393" t="s">
        <v>3685</v>
      </c>
      <c r="O393" t="s">
        <v>6469</v>
      </c>
      <c r="P393" t="s">
        <v>3687</v>
      </c>
      <c r="Q393" t="s">
        <v>790</v>
      </c>
      <c r="S393" t="s">
        <v>1718</v>
      </c>
      <c r="T393" t="s">
        <v>319</v>
      </c>
      <c r="U393" t="s">
        <v>816</v>
      </c>
      <c r="W393">
        <v>29400</v>
      </c>
      <c r="X393">
        <v>0</v>
      </c>
      <c r="Z393">
        <v>98</v>
      </c>
      <c r="AA393" s="31">
        <v>46029</v>
      </c>
      <c r="AB393" s="61">
        <v>0.72042824074074074</v>
      </c>
      <c r="AC393" t="s">
        <v>795</v>
      </c>
      <c r="AD393" s="31">
        <v>46127</v>
      </c>
      <c r="AE393" s="61">
        <v>0.6214467592592593</v>
      </c>
      <c r="AF393" t="s">
        <v>796</v>
      </c>
      <c r="AH393" t="s">
        <v>4279</v>
      </c>
      <c r="AK393" t="s">
        <v>2591</v>
      </c>
      <c r="AL393" t="s">
        <v>2119</v>
      </c>
      <c r="AQ393">
        <v>1</v>
      </c>
    </row>
    <row r="394" spans="1:43" hidden="1" x14ac:dyDescent="0.25">
      <c r="A394" t="s">
        <v>31</v>
      </c>
      <c r="B394">
        <v>791</v>
      </c>
      <c r="C394">
        <v>182</v>
      </c>
      <c r="D394">
        <v>3085</v>
      </c>
      <c r="E394" t="s">
        <v>4599</v>
      </c>
      <c r="G394" t="s">
        <v>4600</v>
      </c>
      <c r="H394">
        <v>23873456000161</v>
      </c>
      <c r="I394" t="s">
        <v>3573</v>
      </c>
      <c r="J394" t="s">
        <v>928</v>
      </c>
      <c r="K394" t="s">
        <v>3575</v>
      </c>
      <c r="M394" t="s">
        <v>3576</v>
      </c>
      <c r="O394" t="s">
        <v>6457</v>
      </c>
      <c r="P394" t="s">
        <v>1837</v>
      </c>
      <c r="Q394" t="s">
        <v>790</v>
      </c>
      <c r="T394" t="s">
        <v>319</v>
      </c>
      <c r="U394" t="s">
        <v>3417</v>
      </c>
      <c r="W394">
        <v>16200</v>
      </c>
      <c r="X394">
        <v>7128</v>
      </c>
      <c r="Z394">
        <v>8</v>
      </c>
      <c r="AA394" s="31">
        <v>46035</v>
      </c>
      <c r="AB394" s="61">
        <v>0.70474537037037033</v>
      </c>
      <c r="AC394" t="s">
        <v>795</v>
      </c>
      <c r="AD394" s="31">
        <v>46043</v>
      </c>
      <c r="AE394" s="61">
        <v>0.3976736111111111</v>
      </c>
      <c r="AF394" t="s">
        <v>867</v>
      </c>
      <c r="AH394" t="s">
        <v>2770</v>
      </c>
      <c r="AI394" t="s">
        <v>2770</v>
      </c>
      <c r="AK394" t="s">
        <v>2770</v>
      </c>
      <c r="AQ394">
        <v>1</v>
      </c>
    </row>
    <row r="395" spans="1:43" hidden="1" x14ac:dyDescent="0.25">
      <c r="A395" t="s">
        <v>31</v>
      </c>
      <c r="B395">
        <v>797</v>
      </c>
      <c r="C395">
        <v>103</v>
      </c>
      <c r="D395">
        <v>3089</v>
      </c>
      <c r="E395" t="s">
        <v>4601</v>
      </c>
      <c r="G395" t="s">
        <v>4602</v>
      </c>
      <c r="H395">
        <v>12549273000179</v>
      </c>
      <c r="I395" t="s">
        <v>3309</v>
      </c>
      <c r="J395" t="s">
        <v>4297</v>
      </c>
      <c r="M395" t="s">
        <v>3312</v>
      </c>
      <c r="O395" t="s">
        <v>6441</v>
      </c>
      <c r="P395" t="s">
        <v>1596</v>
      </c>
      <c r="Q395" t="s">
        <v>790</v>
      </c>
      <c r="S395" t="s">
        <v>1718</v>
      </c>
      <c r="T395" t="s">
        <v>319</v>
      </c>
      <c r="U395" t="s">
        <v>816</v>
      </c>
      <c r="W395">
        <v>3000</v>
      </c>
      <c r="X395">
        <v>0</v>
      </c>
      <c r="Z395">
        <v>29</v>
      </c>
      <c r="AA395" s="31">
        <v>46036</v>
      </c>
      <c r="AB395" s="61">
        <v>0.4802777777777778</v>
      </c>
      <c r="AC395" t="s">
        <v>818</v>
      </c>
      <c r="AD395" s="31">
        <v>46065</v>
      </c>
      <c r="AE395" s="61">
        <v>0.67753472222222222</v>
      </c>
      <c r="AH395" t="s">
        <v>2808</v>
      </c>
      <c r="AI395" t="s">
        <v>2770</v>
      </c>
      <c r="AK395" t="s">
        <v>4603</v>
      </c>
      <c r="AL395" t="s">
        <v>2119</v>
      </c>
      <c r="AQ395">
        <v>1</v>
      </c>
    </row>
    <row r="396" spans="1:43" hidden="1" x14ac:dyDescent="0.25">
      <c r="A396" t="s">
        <v>31</v>
      </c>
      <c r="B396">
        <v>798</v>
      </c>
      <c r="C396">
        <v>149</v>
      </c>
      <c r="D396">
        <v>3090</v>
      </c>
      <c r="E396" t="s">
        <v>4300</v>
      </c>
      <c r="G396" t="s">
        <v>4301</v>
      </c>
      <c r="H396">
        <v>12418196000118</v>
      </c>
      <c r="I396" t="s">
        <v>3645</v>
      </c>
      <c r="J396" t="s">
        <v>3878</v>
      </c>
      <c r="K396" t="s">
        <v>3647</v>
      </c>
      <c r="M396" t="s">
        <v>3648</v>
      </c>
      <c r="T396" t="s">
        <v>319</v>
      </c>
      <c r="U396" t="s">
        <v>3606</v>
      </c>
      <c r="Z396">
        <v>0</v>
      </c>
      <c r="AA396" s="31">
        <v>46036</v>
      </c>
      <c r="AB396" s="61">
        <v>0.52998842592592588</v>
      </c>
      <c r="AC396" t="s">
        <v>795</v>
      </c>
      <c r="AD396" s="31">
        <v>46036</v>
      </c>
      <c r="AE396" s="61">
        <v>0.53285879629629629</v>
      </c>
      <c r="AF396" t="s">
        <v>1358</v>
      </c>
      <c r="AI396" t="s">
        <v>2770</v>
      </c>
      <c r="AK396" t="s">
        <v>2808</v>
      </c>
      <c r="AQ396">
        <v>1</v>
      </c>
    </row>
    <row r="397" spans="1:43" hidden="1" x14ac:dyDescent="0.25">
      <c r="A397" t="s">
        <v>31</v>
      </c>
      <c r="B397">
        <v>801</v>
      </c>
      <c r="C397">
        <v>211</v>
      </c>
      <c r="D397">
        <v>3097</v>
      </c>
      <c r="E397" t="s">
        <v>4302</v>
      </c>
      <c r="G397" t="s">
        <v>4303</v>
      </c>
      <c r="H397">
        <v>5691820000190</v>
      </c>
      <c r="I397" t="s">
        <v>3912</v>
      </c>
      <c r="J397" t="s">
        <v>3431</v>
      </c>
      <c r="K397" t="s">
        <v>3913</v>
      </c>
      <c r="M397" t="s">
        <v>3914</v>
      </c>
      <c r="O397" t="s">
        <v>6495</v>
      </c>
      <c r="P397" t="s">
        <v>1026</v>
      </c>
      <c r="Q397" t="s">
        <v>1027</v>
      </c>
      <c r="T397" t="s">
        <v>319</v>
      </c>
      <c r="U397" t="s">
        <v>816</v>
      </c>
      <c r="W397">
        <v>2310</v>
      </c>
      <c r="X397">
        <v>0</v>
      </c>
      <c r="Z397">
        <v>4</v>
      </c>
      <c r="AA397" s="31">
        <v>46038</v>
      </c>
      <c r="AB397" s="61">
        <v>0.64081018518518518</v>
      </c>
      <c r="AC397" t="s">
        <v>818</v>
      </c>
      <c r="AD397" s="31">
        <v>46042</v>
      </c>
      <c r="AE397" s="61">
        <v>0.42754629629629631</v>
      </c>
      <c r="AH397" t="s">
        <v>4304</v>
      </c>
      <c r="AK397" t="s">
        <v>2829</v>
      </c>
      <c r="AQ397">
        <v>1</v>
      </c>
    </row>
    <row r="398" spans="1:43" hidden="1" x14ac:dyDescent="0.25">
      <c r="A398" t="s">
        <v>31</v>
      </c>
      <c r="B398">
        <v>802</v>
      </c>
      <c r="C398">
        <v>208</v>
      </c>
      <c r="D398">
        <v>3098</v>
      </c>
      <c r="G398" t="s">
        <v>4305</v>
      </c>
      <c r="H398">
        <v>42830750000130</v>
      </c>
      <c r="I398" t="s">
        <v>3903</v>
      </c>
      <c r="J398" t="s">
        <v>1804</v>
      </c>
      <c r="K398" t="s">
        <v>3905</v>
      </c>
      <c r="M398" t="s">
        <v>4594</v>
      </c>
      <c r="O398" t="s">
        <v>6494</v>
      </c>
      <c r="P398" t="s">
        <v>1094</v>
      </c>
      <c r="Q398" t="s">
        <v>790</v>
      </c>
      <c r="T398" t="s">
        <v>319</v>
      </c>
      <c r="U398" t="s">
        <v>816</v>
      </c>
      <c r="W398">
        <v>2100</v>
      </c>
      <c r="X398">
        <v>0</v>
      </c>
      <c r="Z398">
        <v>0</v>
      </c>
      <c r="AA398" s="31">
        <v>46038</v>
      </c>
      <c r="AB398" s="61">
        <v>0.64391203703703703</v>
      </c>
      <c r="AC398" t="s">
        <v>818</v>
      </c>
      <c r="AD398" s="31">
        <v>46038</v>
      </c>
      <c r="AE398" s="61">
        <v>0.67453703703703705</v>
      </c>
      <c r="AH398" t="s">
        <v>4304</v>
      </c>
      <c r="AK398" t="s">
        <v>4304</v>
      </c>
      <c r="AQ398">
        <v>1</v>
      </c>
    </row>
    <row r="399" spans="1:43" hidden="1" x14ac:dyDescent="0.25">
      <c r="A399" t="s">
        <v>31</v>
      </c>
      <c r="B399">
        <v>806</v>
      </c>
      <c r="C399">
        <v>185</v>
      </c>
      <c r="D399">
        <v>3100</v>
      </c>
      <c r="G399" t="s">
        <v>4306</v>
      </c>
      <c r="H399">
        <v>51496785000176</v>
      </c>
      <c r="I399" t="s">
        <v>3599</v>
      </c>
      <c r="J399" t="s">
        <v>3600</v>
      </c>
      <c r="K399" t="s">
        <v>3601</v>
      </c>
      <c r="M399" t="s">
        <v>3602</v>
      </c>
      <c r="O399" t="s">
        <v>6460</v>
      </c>
      <c r="P399" t="s">
        <v>847</v>
      </c>
      <c r="Q399" t="s">
        <v>848</v>
      </c>
      <c r="S399" t="s">
        <v>1718</v>
      </c>
      <c r="T399" t="s">
        <v>319</v>
      </c>
      <c r="U399" t="s">
        <v>3417</v>
      </c>
      <c r="W399">
        <v>3360</v>
      </c>
      <c r="X399">
        <v>7128</v>
      </c>
      <c r="Z399">
        <v>54</v>
      </c>
      <c r="AA399" s="31">
        <v>46038</v>
      </c>
      <c r="AB399" s="61">
        <v>0.69921296296296298</v>
      </c>
      <c r="AC399" t="s">
        <v>795</v>
      </c>
      <c r="AD399" s="31">
        <v>46092</v>
      </c>
      <c r="AE399" s="61">
        <v>0.48524305555555558</v>
      </c>
      <c r="AF399" t="s">
        <v>867</v>
      </c>
      <c r="AH399" t="s">
        <v>4304</v>
      </c>
      <c r="AI399" t="s">
        <v>4304</v>
      </c>
      <c r="AK399" t="s">
        <v>380</v>
      </c>
      <c r="AL399" t="s">
        <v>2119</v>
      </c>
      <c r="AQ399">
        <v>1</v>
      </c>
    </row>
    <row r="400" spans="1:43" hidden="1" x14ac:dyDescent="0.25">
      <c r="A400" t="s">
        <v>31</v>
      </c>
      <c r="B400">
        <v>807</v>
      </c>
      <c r="C400">
        <v>0</v>
      </c>
      <c r="D400">
        <v>3104</v>
      </c>
      <c r="E400" t="s">
        <v>6516</v>
      </c>
      <c r="G400" t="s">
        <v>4605</v>
      </c>
      <c r="H400">
        <v>82128935000201</v>
      </c>
      <c r="J400" t="s">
        <v>4314</v>
      </c>
      <c r="K400" t="s">
        <v>4315</v>
      </c>
      <c r="M400" t="s">
        <v>4316</v>
      </c>
      <c r="R400" t="s">
        <v>2919</v>
      </c>
      <c r="T400" t="s">
        <v>4317</v>
      </c>
      <c r="U400" t="s">
        <v>4318</v>
      </c>
      <c r="Z400">
        <v>121</v>
      </c>
      <c r="AA400" s="31">
        <v>46041</v>
      </c>
      <c r="AB400" s="61">
        <v>0.36096064814814821</v>
      </c>
      <c r="AC400" t="s">
        <v>782</v>
      </c>
      <c r="AD400" s="31"/>
      <c r="AE400" s="61"/>
      <c r="AK400" t="s">
        <v>2829</v>
      </c>
      <c r="AQ400">
        <v>1</v>
      </c>
    </row>
    <row r="401" spans="1:43" hidden="1" x14ac:dyDescent="0.25">
      <c r="A401" t="s">
        <v>31</v>
      </c>
      <c r="B401">
        <v>808</v>
      </c>
      <c r="C401">
        <v>0</v>
      </c>
      <c r="D401">
        <v>3105</v>
      </c>
      <c r="E401" t="s">
        <v>4606</v>
      </c>
      <c r="G401" t="s">
        <v>4607</v>
      </c>
      <c r="H401">
        <v>11247450000108</v>
      </c>
      <c r="J401" t="s">
        <v>1474</v>
      </c>
      <c r="K401" t="s">
        <v>4321</v>
      </c>
      <c r="M401" t="s">
        <v>4322</v>
      </c>
      <c r="T401" t="s">
        <v>4317</v>
      </c>
      <c r="U401" t="s">
        <v>4318</v>
      </c>
      <c r="Z401">
        <v>121</v>
      </c>
      <c r="AA401" s="31">
        <v>46041</v>
      </c>
      <c r="AB401" s="61">
        <v>0.36554398148148148</v>
      </c>
      <c r="AC401" t="s">
        <v>782</v>
      </c>
      <c r="AD401" s="31"/>
      <c r="AE401" s="61"/>
      <c r="AK401" t="s">
        <v>2891</v>
      </c>
      <c r="AQ401">
        <v>1</v>
      </c>
    </row>
    <row r="402" spans="1:43" hidden="1" x14ac:dyDescent="0.25">
      <c r="A402" t="s">
        <v>31</v>
      </c>
      <c r="B402">
        <v>809</v>
      </c>
      <c r="C402">
        <v>0</v>
      </c>
      <c r="D402">
        <v>3106</v>
      </c>
      <c r="E402" t="s">
        <v>4608</v>
      </c>
      <c r="G402" t="s">
        <v>4609</v>
      </c>
      <c r="H402">
        <v>32258848000101</v>
      </c>
      <c r="J402" t="s">
        <v>1540</v>
      </c>
      <c r="K402" t="s">
        <v>3493</v>
      </c>
      <c r="M402" t="s">
        <v>3437</v>
      </c>
      <c r="T402" t="s">
        <v>4317</v>
      </c>
      <c r="U402" t="s">
        <v>4318</v>
      </c>
      <c r="Z402">
        <v>121</v>
      </c>
      <c r="AA402" s="31">
        <v>46041</v>
      </c>
      <c r="AB402" s="61">
        <v>0.36634259259259261</v>
      </c>
      <c r="AC402" t="s">
        <v>782</v>
      </c>
      <c r="AD402" s="31"/>
      <c r="AE402" s="61"/>
      <c r="AK402" t="s">
        <v>2890</v>
      </c>
      <c r="AQ402">
        <v>1</v>
      </c>
    </row>
    <row r="403" spans="1:43" hidden="1" x14ac:dyDescent="0.25">
      <c r="A403" t="s">
        <v>44</v>
      </c>
      <c r="B403">
        <v>810</v>
      </c>
      <c r="C403">
        <v>0</v>
      </c>
      <c r="D403">
        <v>3107</v>
      </c>
      <c r="G403" t="s">
        <v>4325</v>
      </c>
      <c r="H403">
        <v>4150555000170</v>
      </c>
      <c r="J403" t="s">
        <v>4326</v>
      </c>
      <c r="K403" t="s">
        <v>4327</v>
      </c>
      <c r="M403" t="s">
        <v>4328</v>
      </c>
      <c r="T403" t="s">
        <v>4317</v>
      </c>
      <c r="U403" t="s">
        <v>4329</v>
      </c>
      <c r="Z403">
        <v>121</v>
      </c>
      <c r="AA403" s="31">
        <v>46041</v>
      </c>
      <c r="AB403" s="61">
        <v>0.36829861111111112</v>
      </c>
      <c r="AC403" t="s">
        <v>782</v>
      </c>
      <c r="AD403" s="31"/>
      <c r="AE403" s="61"/>
      <c r="AK403" t="s">
        <v>4330</v>
      </c>
      <c r="AQ403">
        <v>1</v>
      </c>
    </row>
    <row r="404" spans="1:43" hidden="1" x14ac:dyDescent="0.25">
      <c r="A404" t="s">
        <v>44</v>
      </c>
      <c r="B404">
        <v>811</v>
      </c>
      <c r="C404">
        <v>0</v>
      </c>
      <c r="D404">
        <v>3108</v>
      </c>
      <c r="G404" t="s">
        <v>4331</v>
      </c>
      <c r="H404">
        <v>16710794000117</v>
      </c>
      <c r="J404" t="s">
        <v>1540</v>
      </c>
      <c r="K404" t="s">
        <v>4332</v>
      </c>
      <c r="M404" t="s">
        <v>4333</v>
      </c>
      <c r="T404" t="s">
        <v>4317</v>
      </c>
      <c r="U404" t="s">
        <v>4329</v>
      </c>
      <c r="Z404">
        <v>121</v>
      </c>
      <c r="AA404" s="31">
        <v>46041</v>
      </c>
      <c r="AB404" s="61">
        <v>0.37181712962962971</v>
      </c>
      <c r="AC404" t="s">
        <v>782</v>
      </c>
      <c r="AD404" s="31"/>
      <c r="AE404" s="61"/>
      <c r="AK404" t="s">
        <v>4330</v>
      </c>
      <c r="AQ404">
        <v>1</v>
      </c>
    </row>
    <row r="405" spans="1:43" hidden="1" x14ac:dyDescent="0.25">
      <c r="A405" t="s">
        <v>44</v>
      </c>
      <c r="B405">
        <v>812</v>
      </c>
      <c r="C405">
        <v>0</v>
      </c>
      <c r="D405">
        <v>3109</v>
      </c>
      <c r="G405" t="s">
        <v>4334</v>
      </c>
      <c r="H405">
        <v>59262535000183</v>
      </c>
      <c r="J405" t="s">
        <v>4335</v>
      </c>
      <c r="K405" t="s">
        <v>4336</v>
      </c>
      <c r="M405" t="s">
        <v>4337</v>
      </c>
      <c r="T405" t="s">
        <v>4317</v>
      </c>
      <c r="U405" t="s">
        <v>4329</v>
      </c>
      <c r="Z405">
        <v>121</v>
      </c>
      <c r="AA405" s="31">
        <v>46041</v>
      </c>
      <c r="AB405" s="61">
        <v>0.37361111111111112</v>
      </c>
      <c r="AC405" t="s">
        <v>782</v>
      </c>
      <c r="AD405" s="31"/>
      <c r="AE405" s="61"/>
      <c r="AK405" t="s">
        <v>4330</v>
      </c>
      <c r="AQ405">
        <v>1</v>
      </c>
    </row>
    <row r="406" spans="1:43" hidden="1" x14ac:dyDescent="0.25">
      <c r="A406" t="s">
        <v>22</v>
      </c>
      <c r="B406">
        <v>813</v>
      </c>
      <c r="C406">
        <v>0</v>
      </c>
      <c r="D406">
        <v>3110</v>
      </c>
      <c r="G406" t="s">
        <v>4338</v>
      </c>
      <c r="H406">
        <v>8616236000169</v>
      </c>
      <c r="J406" t="s">
        <v>1499</v>
      </c>
      <c r="K406" t="s">
        <v>4339</v>
      </c>
      <c r="M406" t="s">
        <v>3728</v>
      </c>
      <c r="T406" t="s">
        <v>4317</v>
      </c>
      <c r="U406" t="s">
        <v>4329</v>
      </c>
      <c r="Z406">
        <v>121</v>
      </c>
      <c r="AA406" s="31">
        <v>46041</v>
      </c>
      <c r="AB406" s="61">
        <v>0.37436342592592592</v>
      </c>
      <c r="AC406" t="s">
        <v>782</v>
      </c>
      <c r="AD406" s="31"/>
      <c r="AE406" s="61"/>
      <c r="AK406" t="s">
        <v>4330</v>
      </c>
      <c r="AQ406">
        <v>1</v>
      </c>
    </row>
    <row r="407" spans="1:43" hidden="1" x14ac:dyDescent="0.25">
      <c r="A407" t="s">
        <v>22</v>
      </c>
      <c r="B407">
        <v>814</v>
      </c>
      <c r="C407">
        <v>0</v>
      </c>
      <c r="D407">
        <v>3114</v>
      </c>
      <c r="G407" t="s">
        <v>4340</v>
      </c>
      <c r="H407">
        <v>7527737000297</v>
      </c>
      <c r="J407" t="s">
        <v>4067</v>
      </c>
      <c r="K407" t="s">
        <v>4341</v>
      </c>
      <c r="M407" t="s">
        <v>4342</v>
      </c>
      <c r="T407" t="s">
        <v>4317</v>
      </c>
      <c r="U407" t="s">
        <v>4329</v>
      </c>
      <c r="Z407">
        <v>121</v>
      </c>
      <c r="AA407" s="31">
        <v>46041</v>
      </c>
      <c r="AB407" s="61">
        <v>0.38780092592592591</v>
      </c>
      <c r="AC407" t="s">
        <v>782</v>
      </c>
      <c r="AD407" s="31"/>
      <c r="AE407" s="61"/>
      <c r="AK407" t="s">
        <v>4330</v>
      </c>
      <c r="AQ407">
        <v>1</v>
      </c>
    </row>
    <row r="408" spans="1:43" hidden="1" x14ac:dyDescent="0.25">
      <c r="A408" t="s">
        <v>31</v>
      </c>
      <c r="B408">
        <v>815</v>
      </c>
      <c r="C408">
        <v>191</v>
      </c>
      <c r="D408">
        <v>3115</v>
      </c>
      <c r="E408" t="s">
        <v>4610</v>
      </c>
      <c r="G408" t="s">
        <v>4245</v>
      </c>
      <c r="H408">
        <v>18628799000120</v>
      </c>
      <c r="I408" t="s">
        <v>3734</v>
      </c>
      <c r="J408" t="s">
        <v>4346</v>
      </c>
      <c r="K408" t="s">
        <v>2216</v>
      </c>
      <c r="M408" t="s">
        <v>2217</v>
      </c>
      <c r="O408" t="s">
        <v>6473</v>
      </c>
      <c r="P408" t="s">
        <v>1094</v>
      </c>
      <c r="Q408" t="s">
        <v>790</v>
      </c>
      <c r="T408" t="s">
        <v>319</v>
      </c>
      <c r="U408" t="s">
        <v>816</v>
      </c>
      <c r="W408">
        <v>527518</v>
      </c>
      <c r="X408">
        <v>0</v>
      </c>
      <c r="Z408">
        <v>9</v>
      </c>
      <c r="AA408" s="31">
        <v>46041</v>
      </c>
      <c r="AB408" s="61">
        <v>0.38818287037037041</v>
      </c>
      <c r="AC408" t="s">
        <v>818</v>
      </c>
      <c r="AD408" s="31">
        <v>46050</v>
      </c>
      <c r="AE408" s="61">
        <v>0.60274305555555552</v>
      </c>
      <c r="AH408" t="s">
        <v>4330</v>
      </c>
      <c r="AK408" t="s">
        <v>4349</v>
      </c>
      <c r="AQ408">
        <v>1</v>
      </c>
    </row>
    <row r="409" spans="1:43" hidden="1" x14ac:dyDescent="0.25">
      <c r="A409" t="s">
        <v>31</v>
      </c>
      <c r="B409">
        <v>816</v>
      </c>
      <c r="C409">
        <v>184</v>
      </c>
      <c r="D409">
        <v>3116</v>
      </c>
      <c r="E409" t="s">
        <v>4611</v>
      </c>
      <c r="G409" t="s">
        <v>419</v>
      </c>
      <c r="H409">
        <v>11861121000144</v>
      </c>
      <c r="I409" t="s">
        <v>3877</v>
      </c>
      <c r="J409" t="s">
        <v>1401</v>
      </c>
      <c r="K409" t="s">
        <v>3879</v>
      </c>
      <c r="M409" t="s">
        <v>3880</v>
      </c>
      <c r="O409" t="s">
        <v>6491</v>
      </c>
      <c r="P409" t="s">
        <v>1094</v>
      </c>
      <c r="Q409" t="s">
        <v>790</v>
      </c>
      <c r="S409" t="s">
        <v>1718</v>
      </c>
      <c r="T409" t="s">
        <v>319</v>
      </c>
      <c r="U409" t="s">
        <v>3417</v>
      </c>
      <c r="W409">
        <v>6000</v>
      </c>
      <c r="X409">
        <v>2000</v>
      </c>
      <c r="Z409">
        <v>86</v>
      </c>
      <c r="AA409" s="31">
        <v>46041</v>
      </c>
      <c r="AB409" s="61">
        <v>0.39466435185185178</v>
      </c>
      <c r="AC409" t="s">
        <v>795</v>
      </c>
      <c r="AD409" s="31">
        <v>46127</v>
      </c>
      <c r="AE409" s="61">
        <v>0.71504629629629635</v>
      </c>
      <c r="AF409" t="s">
        <v>796</v>
      </c>
      <c r="AH409" t="s">
        <v>420</v>
      </c>
      <c r="AI409" t="s">
        <v>420</v>
      </c>
      <c r="AK409" t="s">
        <v>5866</v>
      </c>
      <c r="AL409" t="s">
        <v>2119</v>
      </c>
      <c r="AP409" t="s">
        <v>2922</v>
      </c>
      <c r="AQ409">
        <v>1</v>
      </c>
    </row>
    <row r="410" spans="1:43" hidden="1" x14ac:dyDescent="0.25">
      <c r="A410" t="s">
        <v>31</v>
      </c>
      <c r="B410">
        <v>817</v>
      </c>
      <c r="C410">
        <v>208</v>
      </c>
      <c r="D410">
        <v>3117</v>
      </c>
      <c r="G410" t="s">
        <v>4351</v>
      </c>
      <c r="H410">
        <v>42830750000130</v>
      </c>
      <c r="I410" t="s">
        <v>3903</v>
      </c>
      <c r="J410" t="s">
        <v>4091</v>
      </c>
      <c r="K410" t="s">
        <v>3905</v>
      </c>
      <c r="M410" t="s">
        <v>4594</v>
      </c>
      <c r="O410" t="s">
        <v>6494</v>
      </c>
      <c r="P410" t="s">
        <v>1094</v>
      </c>
      <c r="Q410" t="s">
        <v>790</v>
      </c>
      <c r="S410" t="s">
        <v>1718</v>
      </c>
      <c r="T410" t="s">
        <v>319</v>
      </c>
      <c r="U410" t="s">
        <v>3606</v>
      </c>
      <c r="Z410">
        <v>121</v>
      </c>
      <c r="AA410" s="31">
        <v>46041</v>
      </c>
      <c r="AB410" s="61">
        <v>0.39607638888888891</v>
      </c>
      <c r="AC410" t="s">
        <v>782</v>
      </c>
      <c r="AD410" s="31"/>
      <c r="AE410" s="61"/>
      <c r="AI410" t="s">
        <v>4613</v>
      </c>
      <c r="AK410" t="s">
        <v>4352</v>
      </c>
      <c r="AL410" t="s">
        <v>2119</v>
      </c>
      <c r="AP410" t="s">
        <v>2922</v>
      </c>
      <c r="AQ410">
        <v>1</v>
      </c>
    </row>
    <row r="411" spans="1:43" hidden="1" x14ac:dyDescent="0.25">
      <c r="A411" t="s">
        <v>31</v>
      </c>
      <c r="B411">
        <v>822</v>
      </c>
      <c r="D411">
        <v>3121</v>
      </c>
      <c r="E411" t="s">
        <v>4614</v>
      </c>
      <c r="G411" t="s">
        <v>4354</v>
      </c>
      <c r="H411">
        <v>55585815000171</v>
      </c>
      <c r="J411" t="s">
        <v>914</v>
      </c>
      <c r="K411" t="s">
        <v>4181</v>
      </c>
      <c r="M411" t="s">
        <v>4182</v>
      </c>
      <c r="S411" t="s">
        <v>1419</v>
      </c>
      <c r="T411" t="s">
        <v>319</v>
      </c>
      <c r="U411" t="s">
        <v>3417</v>
      </c>
      <c r="W411">
        <v>4760</v>
      </c>
      <c r="X411">
        <v>712</v>
      </c>
      <c r="Z411">
        <v>98</v>
      </c>
      <c r="AA411" s="31">
        <v>46042</v>
      </c>
      <c r="AB411" s="61">
        <v>0.36277777777777781</v>
      </c>
      <c r="AC411" t="s">
        <v>795</v>
      </c>
      <c r="AD411" s="31">
        <v>46140</v>
      </c>
      <c r="AE411" s="61">
        <v>0.51946759259259256</v>
      </c>
      <c r="AF411" t="s">
        <v>796</v>
      </c>
      <c r="AH411" t="s">
        <v>2891</v>
      </c>
      <c r="AI411" t="s">
        <v>2829</v>
      </c>
      <c r="AK411" t="s">
        <v>5847</v>
      </c>
      <c r="AL411" t="s">
        <v>1423</v>
      </c>
      <c r="AQ411">
        <v>1</v>
      </c>
    </row>
    <row r="412" spans="1:43" hidden="1" x14ac:dyDescent="0.25">
      <c r="A412" t="s">
        <v>31</v>
      </c>
      <c r="B412">
        <v>824</v>
      </c>
      <c r="C412">
        <v>153</v>
      </c>
      <c r="D412">
        <v>3124</v>
      </c>
      <c r="G412" t="s">
        <v>4356</v>
      </c>
      <c r="I412" t="s">
        <v>3451</v>
      </c>
      <c r="J412" t="s">
        <v>6501</v>
      </c>
      <c r="K412" t="s">
        <v>3983</v>
      </c>
      <c r="M412" t="s">
        <v>3454</v>
      </c>
      <c r="T412" t="s">
        <v>319</v>
      </c>
      <c r="U412" t="s">
        <v>816</v>
      </c>
      <c r="W412">
        <v>16779</v>
      </c>
      <c r="X412">
        <v>0</v>
      </c>
      <c r="Z412">
        <v>1</v>
      </c>
      <c r="AA412" s="31">
        <v>46042</v>
      </c>
      <c r="AB412" s="61">
        <v>0.38716435185185177</v>
      </c>
      <c r="AC412" t="s">
        <v>818</v>
      </c>
      <c r="AD412" s="31">
        <v>46043</v>
      </c>
      <c r="AE412" s="61">
        <v>0.39550925925925928</v>
      </c>
      <c r="AH412" t="s">
        <v>4330</v>
      </c>
      <c r="AK412" t="s">
        <v>2576</v>
      </c>
      <c r="AQ412">
        <v>1</v>
      </c>
    </row>
    <row r="413" spans="1:43" hidden="1" x14ac:dyDescent="0.25">
      <c r="A413" t="s">
        <v>31</v>
      </c>
      <c r="B413">
        <v>825</v>
      </c>
      <c r="C413">
        <v>0</v>
      </c>
      <c r="D413">
        <v>3125</v>
      </c>
      <c r="E413" t="s">
        <v>4615</v>
      </c>
      <c r="G413" t="s">
        <v>466</v>
      </c>
      <c r="H413">
        <v>9023754000131</v>
      </c>
      <c r="J413" t="s">
        <v>4360</v>
      </c>
      <c r="K413" t="s">
        <v>4361</v>
      </c>
      <c r="M413" t="s">
        <v>4362</v>
      </c>
      <c r="R413" t="s">
        <v>2919</v>
      </c>
      <c r="T413" t="s">
        <v>4317</v>
      </c>
      <c r="U413" t="s">
        <v>4318</v>
      </c>
      <c r="Z413">
        <v>120</v>
      </c>
      <c r="AA413" s="31">
        <v>46042</v>
      </c>
      <c r="AB413" s="61">
        <v>0.419375</v>
      </c>
      <c r="AC413" t="s">
        <v>782</v>
      </c>
      <c r="AD413" s="31"/>
      <c r="AE413" s="61"/>
      <c r="AK413" t="s">
        <v>4407</v>
      </c>
      <c r="AQ413">
        <v>1</v>
      </c>
    </row>
    <row r="414" spans="1:43" hidden="1" x14ac:dyDescent="0.25">
      <c r="A414" t="s">
        <v>31</v>
      </c>
      <c r="B414">
        <v>826</v>
      </c>
      <c r="C414">
        <v>0</v>
      </c>
      <c r="D414">
        <v>3126</v>
      </c>
      <c r="E414" t="s">
        <v>4616</v>
      </c>
      <c r="G414" t="s">
        <v>4372</v>
      </c>
      <c r="H414">
        <v>20353768000156</v>
      </c>
      <c r="J414" t="s">
        <v>4617</v>
      </c>
      <c r="K414" t="s">
        <v>4374</v>
      </c>
      <c r="M414" t="s">
        <v>4375</v>
      </c>
      <c r="T414" t="s">
        <v>4317</v>
      </c>
      <c r="U414" t="s">
        <v>4318</v>
      </c>
      <c r="Z414">
        <v>120</v>
      </c>
      <c r="AA414" s="31">
        <v>46042</v>
      </c>
      <c r="AB414" s="61">
        <v>0.42237268518518523</v>
      </c>
      <c r="AC414" t="s">
        <v>782</v>
      </c>
      <c r="AD414" s="31"/>
      <c r="AE414" s="61"/>
      <c r="AK414" t="s">
        <v>2890</v>
      </c>
      <c r="AQ414">
        <v>1</v>
      </c>
    </row>
    <row r="415" spans="1:43" hidden="1" x14ac:dyDescent="0.25">
      <c r="A415" t="s">
        <v>31</v>
      </c>
      <c r="B415">
        <v>827</v>
      </c>
      <c r="C415">
        <v>0</v>
      </c>
      <c r="D415">
        <v>3127</v>
      </c>
      <c r="E415" t="s">
        <v>4618</v>
      </c>
      <c r="G415" t="s">
        <v>4619</v>
      </c>
      <c r="H415">
        <v>5236564000141</v>
      </c>
      <c r="J415" t="s">
        <v>3922</v>
      </c>
      <c r="K415" t="s">
        <v>4379</v>
      </c>
      <c r="M415" t="s">
        <v>4380</v>
      </c>
      <c r="T415" t="s">
        <v>4317</v>
      </c>
      <c r="U415" t="s">
        <v>4318</v>
      </c>
      <c r="Z415">
        <v>120</v>
      </c>
      <c r="AA415" s="31">
        <v>46042</v>
      </c>
      <c r="AB415" s="61">
        <v>0.42685185185185193</v>
      </c>
      <c r="AC415" t="s">
        <v>782</v>
      </c>
      <c r="AD415" s="31"/>
      <c r="AE415" s="61"/>
      <c r="AK415" t="s">
        <v>4407</v>
      </c>
      <c r="AQ415">
        <v>1</v>
      </c>
    </row>
    <row r="416" spans="1:43" hidden="1" x14ac:dyDescent="0.25">
      <c r="A416" t="s">
        <v>31</v>
      </c>
      <c r="B416">
        <v>828</v>
      </c>
      <c r="C416">
        <v>0</v>
      </c>
      <c r="D416">
        <v>3128</v>
      </c>
      <c r="E416" t="s">
        <v>6517</v>
      </c>
      <c r="G416" t="s">
        <v>471</v>
      </c>
      <c r="H416">
        <v>10303813000104</v>
      </c>
      <c r="J416" t="s">
        <v>1243</v>
      </c>
      <c r="K416" t="s">
        <v>4621</v>
      </c>
      <c r="M416" t="s">
        <v>4384</v>
      </c>
      <c r="T416" t="s">
        <v>4317</v>
      </c>
      <c r="U416" t="s">
        <v>4318</v>
      </c>
      <c r="Z416">
        <v>120</v>
      </c>
      <c r="AA416" s="31">
        <v>46042</v>
      </c>
      <c r="AB416" s="61">
        <v>0.43459490740740742</v>
      </c>
      <c r="AC416" t="s">
        <v>782</v>
      </c>
      <c r="AD416" s="31"/>
      <c r="AE416" s="61"/>
      <c r="AK416" t="s">
        <v>2890</v>
      </c>
      <c r="AQ416">
        <v>1</v>
      </c>
    </row>
    <row r="417" spans="1:43" hidden="1" x14ac:dyDescent="0.25">
      <c r="A417" t="s">
        <v>31</v>
      </c>
      <c r="B417">
        <v>829</v>
      </c>
      <c r="C417">
        <v>0</v>
      </c>
      <c r="D417">
        <v>3130</v>
      </c>
      <c r="E417" t="s">
        <v>4622</v>
      </c>
      <c r="G417" t="s">
        <v>4623</v>
      </c>
      <c r="H417">
        <v>55585815000171</v>
      </c>
      <c r="J417" t="s">
        <v>914</v>
      </c>
      <c r="K417" t="s">
        <v>4181</v>
      </c>
      <c r="M417" t="s">
        <v>4182</v>
      </c>
      <c r="T417" t="s">
        <v>4317</v>
      </c>
      <c r="U417" t="s">
        <v>4318</v>
      </c>
      <c r="Z417">
        <v>120</v>
      </c>
      <c r="AA417" s="31">
        <v>46042</v>
      </c>
      <c r="AB417" s="61">
        <v>0.49190972222222218</v>
      </c>
      <c r="AC417" t="s">
        <v>782</v>
      </c>
      <c r="AD417" s="31"/>
      <c r="AE417" s="61"/>
      <c r="AK417" t="s">
        <v>4407</v>
      </c>
      <c r="AQ417">
        <v>1</v>
      </c>
    </row>
    <row r="418" spans="1:43" hidden="1" x14ac:dyDescent="0.25">
      <c r="A418" t="s">
        <v>31</v>
      </c>
      <c r="B418">
        <v>830</v>
      </c>
      <c r="C418">
        <v>0</v>
      </c>
      <c r="D418">
        <v>3131</v>
      </c>
      <c r="E418" t="s">
        <v>4624</v>
      </c>
      <c r="G418" t="s">
        <v>3529</v>
      </c>
      <c r="H418">
        <v>34728104000139</v>
      </c>
      <c r="J418" t="s">
        <v>1474</v>
      </c>
      <c r="K418" t="s">
        <v>3531</v>
      </c>
      <c r="M418" t="s">
        <v>4399</v>
      </c>
      <c r="T418" t="s">
        <v>4317</v>
      </c>
      <c r="U418" t="s">
        <v>4318</v>
      </c>
      <c r="Z418">
        <v>120</v>
      </c>
      <c r="AA418" s="31">
        <v>46042</v>
      </c>
      <c r="AB418" s="61">
        <v>0.49453703703703711</v>
      </c>
      <c r="AC418" t="s">
        <v>782</v>
      </c>
      <c r="AD418" s="31"/>
      <c r="AE418" s="61"/>
      <c r="AK418" t="s">
        <v>4625</v>
      </c>
      <c r="AQ418">
        <v>1</v>
      </c>
    </row>
    <row r="419" spans="1:43" hidden="1" x14ac:dyDescent="0.25">
      <c r="A419" t="s">
        <v>22</v>
      </c>
      <c r="B419">
        <v>831</v>
      </c>
      <c r="C419">
        <v>0</v>
      </c>
      <c r="D419">
        <v>3132</v>
      </c>
      <c r="E419" t="s">
        <v>4626</v>
      </c>
      <c r="G419" t="s">
        <v>4403</v>
      </c>
      <c r="H419">
        <v>23085291000163</v>
      </c>
      <c r="J419" t="s">
        <v>3848</v>
      </c>
      <c r="K419" t="s">
        <v>4405</v>
      </c>
      <c r="M419" t="s">
        <v>3237</v>
      </c>
      <c r="S419" t="s">
        <v>4406</v>
      </c>
      <c r="T419" t="s">
        <v>4317</v>
      </c>
      <c r="U419" t="s">
        <v>4318</v>
      </c>
      <c r="Z419">
        <v>120</v>
      </c>
      <c r="AA419" s="31">
        <v>46042</v>
      </c>
      <c r="AB419" s="61">
        <v>0.49695601851851851</v>
      </c>
      <c r="AC419" t="s">
        <v>782</v>
      </c>
      <c r="AD419" s="31"/>
      <c r="AE419" s="61"/>
      <c r="AK419" t="s">
        <v>4407</v>
      </c>
      <c r="AQ419">
        <v>1</v>
      </c>
    </row>
    <row r="420" spans="1:43" hidden="1" x14ac:dyDescent="0.25">
      <c r="A420" t="s">
        <v>31</v>
      </c>
      <c r="B420">
        <v>832</v>
      </c>
      <c r="C420">
        <v>0</v>
      </c>
      <c r="D420">
        <v>3133</v>
      </c>
      <c r="E420" t="s">
        <v>4627</v>
      </c>
      <c r="G420" t="s">
        <v>4628</v>
      </c>
      <c r="H420">
        <v>35548485000137</v>
      </c>
      <c r="J420" t="s">
        <v>4411</v>
      </c>
      <c r="K420" t="s">
        <v>4412</v>
      </c>
      <c r="M420" t="s">
        <v>4413</v>
      </c>
      <c r="T420" t="s">
        <v>4317</v>
      </c>
      <c r="U420" t="s">
        <v>4318</v>
      </c>
      <c r="Z420">
        <v>120</v>
      </c>
      <c r="AA420" s="31">
        <v>46042</v>
      </c>
      <c r="AB420" s="61">
        <v>0.49824074074074082</v>
      </c>
      <c r="AC420" t="s">
        <v>782</v>
      </c>
      <c r="AD420" s="31"/>
      <c r="AE420" s="61"/>
      <c r="AK420" t="s">
        <v>4407</v>
      </c>
      <c r="AQ420">
        <v>1</v>
      </c>
    </row>
    <row r="421" spans="1:43" hidden="1" x14ac:dyDescent="0.25">
      <c r="A421" t="s">
        <v>44</v>
      </c>
      <c r="B421">
        <v>833</v>
      </c>
      <c r="C421">
        <v>0</v>
      </c>
      <c r="D421">
        <v>3134</v>
      </c>
      <c r="G421" t="s">
        <v>4414</v>
      </c>
      <c r="H421">
        <v>26699965000108</v>
      </c>
      <c r="J421" t="s">
        <v>4415</v>
      </c>
      <c r="K421" t="s">
        <v>4416</v>
      </c>
      <c r="M421" t="s">
        <v>4417</v>
      </c>
      <c r="T421" t="s">
        <v>4317</v>
      </c>
      <c r="U421" t="s">
        <v>4329</v>
      </c>
      <c r="Z421">
        <v>120</v>
      </c>
      <c r="AA421" s="31">
        <v>46042</v>
      </c>
      <c r="AB421" s="61">
        <v>0.50177083333333339</v>
      </c>
      <c r="AC421" t="s">
        <v>782</v>
      </c>
      <c r="AD421" s="31"/>
      <c r="AE421" s="61"/>
      <c r="AK421" t="s">
        <v>4407</v>
      </c>
      <c r="AQ421">
        <v>1</v>
      </c>
    </row>
    <row r="422" spans="1:43" hidden="1" x14ac:dyDescent="0.25">
      <c r="A422" t="s">
        <v>44</v>
      </c>
      <c r="B422">
        <v>834</v>
      </c>
      <c r="C422">
        <v>0</v>
      </c>
      <c r="D422">
        <v>3135</v>
      </c>
      <c r="G422" t="s">
        <v>4418</v>
      </c>
      <c r="H422">
        <v>2462686000168</v>
      </c>
      <c r="J422" t="s">
        <v>3530</v>
      </c>
      <c r="K422" t="s">
        <v>4419</v>
      </c>
      <c r="M422" t="s">
        <v>4420</v>
      </c>
      <c r="T422" t="s">
        <v>4317</v>
      </c>
      <c r="U422" t="s">
        <v>4329</v>
      </c>
      <c r="Z422">
        <v>120</v>
      </c>
      <c r="AA422" s="31">
        <v>46042</v>
      </c>
      <c r="AB422" s="61">
        <v>0.50340277777777775</v>
      </c>
      <c r="AC422" t="s">
        <v>782</v>
      </c>
      <c r="AD422" s="31"/>
      <c r="AE422" s="61"/>
      <c r="AK422" t="s">
        <v>4407</v>
      </c>
      <c r="AQ422">
        <v>1</v>
      </c>
    </row>
    <row r="423" spans="1:43" hidden="1" x14ac:dyDescent="0.25">
      <c r="A423" t="s">
        <v>44</v>
      </c>
      <c r="B423">
        <v>835</v>
      </c>
      <c r="C423">
        <v>0</v>
      </c>
      <c r="D423">
        <v>3136</v>
      </c>
      <c r="G423" t="s">
        <v>4421</v>
      </c>
      <c r="H423">
        <v>6959313000158</v>
      </c>
      <c r="J423" t="s">
        <v>4422</v>
      </c>
      <c r="K423" t="s">
        <v>4423</v>
      </c>
      <c r="M423" t="s">
        <v>4424</v>
      </c>
      <c r="T423" t="s">
        <v>4317</v>
      </c>
      <c r="U423" t="s">
        <v>4329</v>
      </c>
      <c r="Z423">
        <v>120</v>
      </c>
      <c r="AA423" s="31">
        <v>46042</v>
      </c>
      <c r="AB423" s="61">
        <v>0.50469907407407411</v>
      </c>
      <c r="AC423" t="s">
        <v>782</v>
      </c>
      <c r="AD423" s="31"/>
      <c r="AE423" s="61"/>
      <c r="AK423" t="s">
        <v>4407</v>
      </c>
      <c r="AQ423">
        <v>1</v>
      </c>
    </row>
    <row r="424" spans="1:43" hidden="1" x14ac:dyDescent="0.25">
      <c r="A424" t="s">
        <v>44</v>
      </c>
      <c r="B424">
        <v>836</v>
      </c>
      <c r="C424">
        <v>0</v>
      </c>
      <c r="D424">
        <v>3137</v>
      </c>
      <c r="G424" t="s">
        <v>4425</v>
      </c>
      <c r="H424">
        <v>14172069000107</v>
      </c>
      <c r="J424" t="s">
        <v>4426</v>
      </c>
      <c r="K424" t="s">
        <v>4427</v>
      </c>
      <c r="M424" t="s">
        <v>4428</v>
      </c>
      <c r="T424" t="s">
        <v>4317</v>
      </c>
      <c r="U424" t="s">
        <v>4329</v>
      </c>
      <c r="Z424">
        <v>120</v>
      </c>
      <c r="AA424" s="31">
        <v>46042</v>
      </c>
      <c r="AB424" s="61">
        <v>0.50646990740740738</v>
      </c>
      <c r="AC424" t="s">
        <v>782</v>
      </c>
      <c r="AD424" s="31"/>
      <c r="AE424" s="61"/>
      <c r="AK424" t="s">
        <v>4407</v>
      </c>
      <c r="AQ424">
        <v>1</v>
      </c>
    </row>
    <row r="425" spans="1:43" hidden="1" x14ac:dyDescent="0.25">
      <c r="A425" t="s">
        <v>44</v>
      </c>
      <c r="B425">
        <v>837</v>
      </c>
      <c r="C425">
        <v>0</v>
      </c>
      <c r="D425">
        <v>3138</v>
      </c>
      <c r="E425" t="s">
        <v>6518</v>
      </c>
      <c r="G425" t="s">
        <v>3239</v>
      </c>
      <c r="H425">
        <v>11458315000101</v>
      </c>
      <c r="J425" t="s">
        <v>4436</v>
      </c>
      <c r="K425" t="s">
        <v>4630</v>
      </c>
      <c r="M425" t="s">
        <v>3468</v>
      </c>
      <c r="T425" t="s">
        <v>4317</v>
      </c>
      <c r="U425" t="s">
        <v>4437</v>
      </c>
      <c r="Z425">
        <v>120</v>
      </c>
      <c r="AA425" s="31">
        <v>46042</v>
      </c>
      <c r="AB425" s="61">
        <v>0.50835648148148149</v>
      </c>
      <c r="AC425" t="s">
        <v>782</v>
      </c>
      <c r="AD425" s="31"/>
      <c r="AE425" s="61"/>
      <c r="AK425" t="s">
        <v>4407</v>
      </c>
      <c r="AQ425">
        <v>1</v>
      </c>
    </row>
    <row r="426" spans="1:43" hidden="1" x14ac:dyDescent="0.25">
      <c r="A426" t="s">
        <v>44</v>
      </c>
      <c r="B426">
        <v>838</v>
      </c>
      <c r="C426">
        <v>0</v>
      </c>
      <c r="D426">
        <v>3139</v>
      </c>
      <c r="E426" t="s">
        <v>6519</v>
      </c>
      <c r="G426" t="s">
        <v>4632</v>
      </c>
      <c r="H426">
        <v>7554218000137</v>
      </c>
      <c r="J426" t="s">
        <v>4445</v>
      </c>
      <c r="K426" t="s">
        <v>4446</v>
      </c>
      <c r="M426" t="s">
        <v>4447</v>
      </c>
      <c r="T426" t="s">
        <v>4317</v>
      </c>
      <c r="U426" t="s">
        <v>4437</v>
      </c>
      <c r="Z426">
        <v>120</v>
      </c>
      <c r="AA426" s="31">
        <v>46042</v>
      </c>
      <c r="AB426" s="61">
        <v>0.50949074074074074</v>
      </c>
      <c r="AC426" t="s">
        <v>782</v>
      </c>
      <c r="AD426" s="31"/>
      <c r="AE426" s="61"/>
      <c r="AK426" t="s">
        <v>2576</v>
      </c>
      <c r="AQ426">
        <v>1</v>
      </c>
    </row>
    <row r="427" spans="1:43" hidden="1" x14ac:dyDescent="0.25">
      <c r="A427" t="s">
        <v>44</v>
      </c>
      <c r="B427">
        <v>839</v>
      </c>
      <c r="C427">
        <v>0</v>
      </c>
      <c r="D427">
        <v>3140</v>
      </c>
      <c r="G427" t="s">
        <v>4448</v>
      </c>
      <c r="H427">
        <v>7044171000161</v>
      </c>
      <c r="J427" t="s">
        <v>4449</v>
      </c>
      <c r="K427" t="s">
        <v>4450</v>
      </c>
      <c r="M427" t="s">
        <v>4451</v>
      </c>
      <c r="T427" t="s">
        <v>4317</v>
      </c>
      <c r="U427" t="s">
        <v>4329</v>
      </c>
      <c r="Z427">
        <v>120</v>
      </c>
      <c r="AA427" s="31">
        <v>46042</v>
      </c>
      <c r="AB427" s="61">
        <v>0.51048611111111108</v>
      </c>
      <c r="AC427" t="s">
        <v>782</v>
      </c>
      <c r="AD427" s="31"/>
      <c r="AE427" s="61"/>
      <c r="AK427" t="s">
        <v>4407</v>
      </c>
      <c r="AQ427">
        <v>1</v>
      </c>
    </row>
    <row r="428" spans="1:43" hidden="1" x14ac:dyDescent="0.25">
      <c r="A428" t="s">
        <v>22</v>
      </c>
      <c r="B428">
        <v>840</v>
      </c>
      <c r="C428">
        <v>0</v>
      </c>
      <c r="D428">
        <v>3141</v>
      </c>
      <c r="G428" t="s">
        <v>4452</v>
      </c>
      <c r="H428">
        <v>6847915000202</v>
      </c>
      <c r="J428" t="s">
        <v>1804</v>
      </c>
      <c r="K428" t="s">
        <v>4453</v>
      </c>
      <c r="M428" t="s">
        <v>4242</v>
      </c>
      <c r="T428" t="s">
        <v>4317</v>
      </c>
      <c r="U428" t="s">
        <v>4329</v>
      </c>
      <c r="Z428">
        <v>120</v>
      </c>
      <c r="AA428" s="31">
        <v>46042</v>
      </c>
      <c r="AB428" s="61">
        <v>0.58880787037037041</v>
      </c>
      <c r="AC428" t="s">
        <v>782</v>
      </c>
      <c r="AD428" s="31"/>
      <c r="AE428" s="61"/>
      <c r="AK428" t="s">
        <v>4407</v>
      </c>
      <c r="AQ428">
        <v>1</v>
      </c>
    </row>
    <row r="429" spans="1:43" hidden="1" x14ac:dyDescent="0.25">
      <c r="A429" t="s">
        <v>22</v>
      </c>
      <c r="B429">
        <v>841</v>
      </c>
      <c r="C429">
        <v>0</v>
      </c>
      <c r="D429">
        <v>3142</v>
      </c>
      <c r="G429" t="s">
        <v>4454</v>
      </c>
      <c r="H429">
        <v>8636039000101</v>
      </c>
      <c r="J429" t="s">
        <v>4455</v>
      </c>
      <c r="K429" t="s">
        <v>4456</v>
      </c>
      <c r="M429" t="s">
        <v>4163</v>
      </c>
      <c r="T429" t="s">
        <v>4317</v>
      </c>
      <c r="U429" t="s">
        <v>4329</v>
      </c>
      <c r="Z429">
        <v>120</v>
      </c>
      <c r="AA429" s="31">
        <v>46042</v>
      </c>
      <c r="AB429" s="61">
        <v>0.58991898148148147</v>
      </c>
      <c r="AC429" t="s">
        <v>782</v>
      </c>
      <c r="AD429" s="31"/>
      <c r="AE429" s="61"/>
      <c r="AK429" t="s">
        <v>4407</v>
      </c>
      <c r="AQ429">
        <v>1</v>
      </c>
    </row>
    <row r="430" spans="1:43" hidden="1" x14ac:dyDescent="0.25">
      <c r="A430" t="s">
        <v>22</v>
      </c>
      <c r="B430">
        <v>842</v>
      </c>
      <c r="C430">
        <v>0</v>
      </c>
      <c r="D430">
        <v>3143</v>
      </c>
      <c r="G430" t="s">
        <v>4457</v>
      </c>
      <c r="H430">
        <v>7729393000118</v>
      </c>
      <c r="J430" t="s">
        <v>4458</v>
      </c>
      <c r="K430" t="s">
        <v>4459</v>
      </c>
      <c r="M430" t="s">
        <v>4460</v>
      </c>
      <c r="T430" t="s">
        <v>4317</v>
      </c>
      <c r="U430" t="s">
        <v>4329</v>
      </c>
      <c r="Z430">
        <v>120</v>
      </c>
      <c r="AA430" s="31">
        <v>46042</v>
      </c>
      <c r="AB430" s="61">
        <v>0.59046296296296297</v>
      </c>
      <c r="AC430" t="s">
        <v>782</v>
      </c>
      <c r="AD430" s="31"/>
      <c r="AE430" s="61"/>
      <c r="AK430" t="s">
        <v>4407</v>
      </c>
      <c r="AQ430">
        <v>1</v>
      </c>
    </row>
    <row r="431" spans="1:43" hidden="1" x14ac:dyDescent="0.25">
      <c r="A431" t="s">
        <v>22</v>
      </c>
      <c r="B431">
        <v>844</v>
      </c>
      <c r="C431">
        <v>0</v>
      </c>
      <c r="D431">
        <v>3145</v>
      </c>
      <c r="G431" t="s">
        <v>4461</v>
      </c>
      <c r="H431">
        <v>27914031000104</v>
      </c>
      <c r="J431" t="s">
        <v>3496</v>
      </c>
      <c r="K431" t="s">
        <v>3497</v>
      </c>
      <c r="M431" t="s">
        <v>3498</v>
      </c>
      <c r="T431" t="s">
        <v>4317</v>
      </c>
      <c r="U431" t="s">
        <v>4329</v>
      </c>
      <c r="Z431">
        <v>120</v>
      </c>
      <c r="AA431" s="31">
        <v>46042</v>
      </c>
      <c r="AB431" s="61">
        <v>0.59171296296296294</v>
      </c>
      <c r="AC431" t="s">
        <v>782</v>
      </c>
      <c r="AD431" s="31"/>
      <c r="AE431" s="61"/>
      <c r="AK431" t="s">
        <v>4407</v>
      </c>
      <c r="AQ431">
        <v>1</v>
      </c>
    </row>
    <row r="432" spans="1:43" hidden="1" x14ac:dyDescent="0.25">
      <c r="A432" t="s">
        <v>22</v>
      </c>
      <c r="B432">
        <v>845</v>
      </c>
      <c r="C432">
        <v>0</v>
      </c>
      <c r="D432">
        <v>3146</v>
      </c>
      <c r="E432" t="s">
        <v>4633</v>
      </c>
      <c r="G432" t="s">
        <v>4634</v>
      </c>
      <c r="H432">
        <v>43204189000147</v>
      </c>
      <c r="J432" t="s">
        <v>990</v>
      </c>
      <c r="K432" t="s">
        <v>4635</v>
      </c>
      <c r="M432" t="s">
        <v>3614</v>
      </c>
      <c r="T432" t="s">
        <v>4317</v>
      </c>
      <c r="U432" t="s">
        <v>4437</v>
      </c>
      <c r="Z432">
        <v>120</v>
      </c>
      <c r="AA432" s="31">
        <v>46042</v>
      </c>
      <c r="AB432" s="61">
        <v>0.59254629629629629</v>
      </c>
      <c r="AC432" t="s">
        <v>782</v>
      </c>
      <c r="AD432" s="31"/>
      <c r="AE432" s="61"/>
      <c r="AK432" t="s">
        <v>4407</v>
      </c>
      <c r="AQ432">
        <v>1</v>
      </c>
    </row>
    <row r="433" spans="1:43" hidden="1" x14ac:dyDescent="0.25">
      <c r="A433" t="s">
        <v>22</v>
      </c>
      <c r="B433">
        <v>846</v>
      </c>
      <c r="C433">
        <v>0</v>
      </c>
      <c r="D433">
        <v>3147</v>
      </c>
      <c r="G433" t="s">
        <v>4464</v>
      </c>
      <c r="H433">
        <v>24435880000197</v>
      </c>
      <c r="J433" t="s">
        <v>4465</v>
      </c>
      <c r="K433" t="s">
        <v>4466</v>
      </c>
      <c r="M433" t="s">
        <v>4467</v>
      </c>
      <c r="T433" t="s">
        <v>4317</v>
      </c>
      <c r="U433" t="s">
        <v>4329</v>
      </c>
      <c r="Z433">
        <v>120</v>
      </c>
      <c r="AA433" s="31">
        <v>46042</v>
      </c>
      <c r="AB433" s="61">
        <v>0.59587962962962959</v>
      </c>
      <c r="AC433" t="s">
        <v>782</v>
      </c>
      <c r="AD433" s="31"/>
      <c r="AE433" s="61"/>
      <c r="AK433" t="s">
        <v>4407</v>
      </c>
      <c r="AQ433">
        <v>1</v>
      </c>
    </row>
    <row r="434" spans="1:43" hidden="1" x14ac:dyDescent="0.25">
      <c r="A434" t="s">
        <v>44</v>
      </c>
      <c r="B434">
        <v>852</v>
      </c>
      <c r="C434">
        <v>0</v>
      </c>
      <c r="D434">
        <v>3152</v>
      </c>
      <c r="G434" t="s">
        <v>508</v>
      </c>
      <c r="H434">
        <v>11119066000111</v>
      </c>
      <c r="J434" t="s">
        <v>4468</v>
      </c>
      <c r="K434" t="s">
        <v>4469</v>
      </c>
      <c r="M434" t="s">
        <v>4470</v>
      </c>
      <c r="T434" t="s">
        <v>4317</v>
      </c>
      <c r="U434" t="s">
        <v>4437</v>
      </c>
      <c r="Z434">
        <v>119</v>
      </c>
      <c r="AA434" s="31">
        <v>46043</v>
      </c>
      <c r="AB434" s="61">
        <v>0.60939814814814819</v>
      </c>
      <c r="AC434" t="s">
        <v>782</v>
      </c>
      <c r="AD434" s="31"/>
      <c r="AE434" s="61"/>
      <c r="AK434" t="s">
        <v>4471</v>
      </c>
      <c r="AQ434">
        <v>1</v>
      </c>
    </row>
    <row r="435" spans="1:43" hidden="1" x14ac:dyDescent="0.25">
      <c r="A435" t="s">
        <v>31</v>
      </c>
      <c r="B435">
        <v>855</v>
      </c>
      <c r="C435">
        <v>0</v>
      </c>
      <c r="D435">
        <v>3159</v>
      </c>
      <c r="G435" t="s">
        <v>4472</v>
      </c>
      <c r="H435">
        <v>56450877000309</v>
      </c>
      <c r="J435" t="s">
        <v>4473</v>
      </c>
      <c r="K435" t="s">
        <v>4474</v>
      </c>
      <c r="M435" t="s">
        <v>4475</v>
      </c>
      <c r="T435" t="s">
        <v>4317</v>
      </c>
      <c r="U435" t="s">
        <v>4329</v>
      </c>
      <c r="Z435">
        <v>118</v>
      </c>
      <c r="AA435" s="31">
        <v>46044</v>
      </c>
      <c r="AB435" s="61">
        <v>0.68799768518518523</v>
      </c>
      <c r="AC435" t="s">
        <v>782</v>
      </c>
      <c r="AD435" s="31"/>
      <c r="AE435" s="61"/>
      <c r="AK435" t="s">
        <v>4476</v>
      </c>
      <c r="AQ435">
        <v>1</v>
      </c>
    </row>
    <row r="436" spans="1:43" hidden="1" x14ac:dyDescent="0.25">
      <c r="A436" t="s">
        <v>31</v>
      </c>
      <c r="B436">
        <v>856</v>
      </c>
      <c r="C436">
        <v>0</v>
      </c>
      <c r="D436">
        <v>3160</v>
      </c>
      <c r="E436" t="s">
        <v>4477</v>
      </c>
      <c r="G436" t="s">
        <v>4478</v>
      </c>
      <c r="H436">
        <v>10294630000170</v>
      </c>
      <c r="J436" t="s">
        <v>4479</v>
      </c>
      <c r="K436" t="s">
        <v>4480</v>
      </c>
      <c r="M436" t="s">
        <v>4481</v>
      </c>
      <c r="T436" t="s">
        <v>4317</v>
      </c>
      <c r="U436" t="s">
        <v>4437</v>
      </c>
      <c r="Z436">
        <v>118</v>
      </c>
      <c r="AA436" s="31">
        <v>46044</v>
      </c>
      <c r="AB436" s="61">
        <v>0.68909722222222225</v>
      </c>
      <c r="AC436" t="s">
        <v>782</v>
      </c>
      <c r="AD436" s="31"/>
      <c r="AE436" s="61"/>
      <c r="AK436" t="s">
        <v>2890</v>
      </c>
      <c r="AQ436">
        <v>1</v>
      </c>
    </row>
    <row r="437" spans="1:43" hidden="1" x14ac:dyDescent="0.25">
      <c r="A437" t="s">
        <v>31</v>
      </c>
      <c r="B437">
        <v>857</v>
      </c>
      <c r="C437">
        <v>0</v>
      </c>
      <c r="D437">
        <v>3161</v>
      </c>
      <c r="E437" t="s">
        <v>4636</v>
      </c>
      <c r="G437" t="s">
        <v>4489</v>
      </c>
      <c r="H437">
        <v>56712607000159</v>
      </c>
      <c r="J437" t="s">
        <v>4637</v>
      </c>
      <c r="K437" t="s">
        <v>4491</v>
      </c>
      <c r="M437" t="s">
        <v>4492</v>
      </c>
      <c r="T437" t="s">
        <v>4317</v>
      </c>
      <c r="U437" t="s">
        <v>4318</v>
      </c>
      <c r="Z437">
        <v>118</v>
      </c>
      <c r="AA437" s="31">
        <v>46044</v>
      </c>
      <c r="AB437" s="61">
        <v>0.68972222222222224</v>
      </c>
      <c r="AC437" t="s">
        <v>782</v>
      </c>
      <c r="AD437" s="31"/>
      <c r="AE437" s="61"/>
      <c r="AK437" t="s">
        <v>2890</v>
      </c>
      <c r="AQ437">
        <v>1</v>
      </c>
    </row>
    <row r="438" spans="1:43" hidden="1" x14ac:dyDescent="0.25">
      <c r="A438" t="s">
        <v>31</v>
      </c>
      <c r="B438">
        <v>858</v>
      </c>
      <c r="C438">
        <v>0</v>
      </c>
      <c r="D438">
        <v>3162</v>
      </c>
      <c r="E438" t="s">
        <v>6520</v>
      </c>
      <c r="G438" t="s">
        <v>4494</v>
      </c>
      <c r="H438">
        <v>12549273000179</v>
      </c>
      <c r="J438" t="s">
        <v>1804</v>
      </c>
      <c r="K438" t="s">
        <v>4495</v>
      </c>
      <c r="M438" t="s">
        <v>4496</v>
      </c>
      <c r="T438" t="s">
        <v>4317</v>
      </c>
      <c r="U438" t="s">
        <v>4318</v>
      </c>
      <c r="Z438">
        <v>118</v>
      </c>
      <c r="AA438" s="31">
        <v>46044</v>
      </c>
      <c r="AB438" s="61">
        <v>0.69061342592592589</v>
      </c>
      <c r="AC438" t="s">
        <v>782</v>
      </c>
      <c r="AD438" s="31"/>
      <c r="AE438" s="61"/>
      <c r="AK438" t="s">
        <v>2890</v>
      </c>
      <c r="AQ438">
        <v>1</v>
      </c>
    </row>
    <row r="439" spans="1:43" hidden="1" x14ac:dyDescent="0.25">
      <c r="A439" t="s">
        <v>31</v>
      </c>
      <c r="B439">
        <v>859</v>
      </c>
      <c r="C439">
        <v>0</v>
      </c>
      <c r="D439">
        <v>3163</v>
      </c>
      <c r="G439" t="s">
        <v>4497</v>
      </c>
      <c r="H439">
        <v>3431924000130</v>
      </c>
      <c r="J439" t="s">
        <v>3691</v>
      </c>
      <c r="K439" t="s">
        <v>4498</v>
      </c>
      <c r="M439" t="s">
        <v>4499</v>
      </c>
      <c r="T439" t="s">
        <v>4317</v>
      </c>
      <c r="U439" t="s">
        <v>4329</v>
      </c>
      <c r="Z439">
        <v>118</v>
      </c>
      <c r="AA439" s="31">
        <v>46044</v>
      </c>
      <c r="AB439" s="61">
        <v>0.69150462962962966</v>
      </c>
      <c r="AC439" t="s">
        <v>782</v>
      </c>
      <c r="AD439" s="31"/>
      <c r="AE439" s="61"/>
      <c r="AK439" t="s">
        <v>4476</v>
      </c>
      <c r="AQ439">
        <v>1</v>
      </c>
    </row>
    <row r="440" spans="1:43" hidden="1" x14ac:dyDescent="0.25">
      <c r="A440" t="s">
        <v>31</v>
      </c>
      <c r="B440">
        <v>863</v>
      </c>
      <c r="C440">
        <v>203</v>
      </c>
      <c r="D440">
        <v>3168</v>
      </c>
      <c r="E440" t="s">
        <v>6521</v>
      </c>
      <c r="G440" t="s">
        <v>4501</v>
      </c>
      <c r="H440">
        <v>11806036000183</v>
      </c>
      <c r="I440" t="s">
        <v>3791</v>
      </c>
      <c r="J440" t="s">
        <v>2600</v>
      </c>
      <c r="K440" t="s">
        <v>3792</v>
      </c>
      <c r="M440" t="s">
        <v>3793</v>
      </c>
      <c r="O440" t="s">
        <v>6480</v>
      </c>
      <c r="P440" t="s">
        <v>3636</v>
      </c>
      <c r="Q440" t="s">
        <v>1699</v>
      </c>
      <c r="T440" t="s">
        <v>319</v>
      </c>
      <c r="U440" t="s">
        <v>816</v>
      </c>
      <c r="W440">
        <v>8100</v>
      </c>
      <c r="X440">
        <v>1080</v>
      </c>
      <c r="Z440">
        <v>5</v>
      </c>
      <c r="AA440" s="31">
        <v>46045</v>
      </c>
      <c r="AB440" s="61">
        <v>0.67321759259259262</v>
      </c>
      <c r="AC440" t="s">
        <v>818</v>
      </c>
      <c r="AD440" s="31">
        <v>46050</v>
      </c>
      <c r="AE440" s="61">
        <v>0.60244212962962962</v>
      </c>
      <c r="AH440" t="s">
        <v>4278</v>
      </c>
      <c r="AI440" t="s">
        <v>2920</v>
      </c>
      <c r="AK440" t="s">
        <v>2920</v>
      </c>
      <c r="AQ440">
        <v>1</v>
      </c>
    </row>
    <row r="441" spans="1:43" hidden="1" x14ac:dyDescent="0.25">
      <c r="A441" t="s">
        <v>31</v>
      </c>
      <c r="B441">
        <v>875</v>
      </c>
      <c r="D441">
        <v>3181</v>
      </c>
      <c r="E441" t="s">
        <v>4638</v>
      </c>
      <c r="G441" t="s">
        <v>4619</v>
      </c>
      <c r="H441">
        <v>5236564000141</v>
      </c>
      <c r="J441" t="s">
        <v>4504</v>
      </c>
      <c r="K441" t="s">
        <v>4379</v>
      </c>
      <c r="M441" t="s">
        <v>4380</v>
      </c>
      <c r="T441" t="s">
        <v>319</v>
      </c>
      <c r="U441" t="s">
        <v>3417</v>
      </c>
      <c r="W441">
        <v>1600</v>
      </c>
      <c r="X441">
        <v>229519</v>
      </c>
      <c r="Z441">
        <v>9</v>
      </c>
      <c r="AA441" s="31">
        <v>46049</v>
      </c>
      <c r="AB441" s="61">
        <v>0.70740740740740737</v>
      </c>
      <c r="AC441" t="s">
        <v>795</v>
      </c>
      <c r="AD441" s="31">
        <v>46058</v>
      </c>
      <c r="AE441" s="61">
        <v>0.59599537037037043</v>
      </c>
      <c r="AF441" t="s">
        <v>867</v>
      </c>
      <c r="AH441" t="s">
        <v>4639</v>
      </c>
      <c r="AI441" t="s">
        <v>4639</v>
      </c>
      <c r="AK441" t="s">
        <v>382</v>
      </c>
      <c r="AQ441">
        <v>1</v>
      </c>
    </row>
    <row r="442" spans="1:43" hidden="1" x14ac:dyDescent="0.25">
      <c r="A442" t="s">
        <v>31</v>
      </c>
      <c r="B442">
        <v>878</v>
      </c>
      <c r="C442">
        <v>206</v>
      </c>
      <c r="D442">
        <v>3189</v>
      </c>
      <c r="G442" t="s">
        <v>4508</v>
      </c>
      <c r="H442">
        <v>37075503000136</v>
      </c>
      <c r="I442" t="s">
        <v>3826</v>
      </c>
      <c r="J442" t="s">
        <v>1474</v>
      </c>
      <c r="K442" t="s">
        <v>1475</v>
      </c>
      <c r="M442" t="s">
        <v>1476</v>
      </c>
      <c r="O442" t="s">
        <v>6487</v>
      </c>
      <c r="P442" t="s">
        <v>1477</v>
      </c>
      <c r="Q442" t="s">
        <v>932</v>
      </c>
      <c r="T442" t="s">
        <v>319</v>
      </c>
      <c r="U442" t="s">
        <v>816</v>
      </c>
      <c r="W442">
        <v>7110</v>
      </c>
      <c r="X442">
        <v>0</v>
      </c>
      <c r="Z442">
        <v>1</v>
      </c>
      <c r="AA442" s="31">
        <v>46050</v>
      </c>
      <c r="AB442" s="61">
        <v>0.72538194444444448</v>
      </c>
      <c r="AC442" t="s">
        <v>818</v>
      </c>
      <c r="AD442" s="31">
        <v>46051</v>
      </c>
      <c r="AE442" s="61">
        <v>0.38591435185185191</v>
      </c>
      <c r="AH442" t="s">
        <v>4509</v>
      </c>
      <c r="AK442" t="s">
        <v>4509</v>
      </c>
      <c r="AQ442">
        <v>1</v>
      </c>
    </row>
    <row r="443" spans="1:43" hidden="1" x14ac:dyDescent="0.25">
      <c r="A443" t="s">
        <v>31</v>
      </c>
      <c r="B443">
        <v>880</v>
      </c>
      <c r="D443">
        <v>3194</v>
      </c>
      <c r="E443" t="s">
        <v>4640</v>
      </c>
      <c r="G443" t="s">
        <v>4511</v>
      </c>
      <c r="H443">
        <v>55585815000171</v>
      </c>
      <c r="J443" t="s">
        <v>914</v>
      </c>
      <c r="K443" t="s">
        <v>4181</v>
      </c>
      <c r="M443" t="s">
        <v>4182</v>
      </c>
      <c r="S443" t="s">
        <v>1419</v>
      </c>
      <c r="T443" t="s">
        <v>319</v>
      </c>
      <c r="U443" t="s">
        <v>3417</v>
      </c>
      <c r="W443">
        <v>8100</v>
      </c>
      <c r="X443">
        <v>1080</v>
      </c>
      <c r="Z443">
        <v>89</v>
      </c>
      <c r="AA443" s="31">
        <v>46051</v>
      </c>
      <c r="AB443" s="61">
        <v>0.41949074074074072</v>
      </c>
      <c r="AC443" t="s">
        <v>795</v>
      </c>
      <c r="AD443" s="31">
        <v>46140</v>
      </c>
      <c r="AE443" s="61">
        <v>0.51998842592592598</v>
      </c>
      <c r="AF443" t="s">
        <v>796</v>
      </c>
      <c r="AH443" t="s">
        <v>4512</v>
      </c>
      <c r="AI443" t="s">
        <v>4407</v>
      </c>
      <c r="AK443" t="s">
        <v>5847</v>
      </c>
      <c r="AL443" t="s">
        <v>1423</v>
      </c>
      <c r="AQ443">
        <v>1</v>
      </c>
    </row>
    <row r="444" spans="1:43" hidden="1" x14ac:dyDescent="0.25">
      <c r="A444" t="s">
        <v>31</v>
      </c>
      <c r="B444">
        <v>881</v>
      </c>
      <c r="C444">
        <v>0</v>
      </c>
      <c r="D444">
        <v>3195</v>
      </c>
      <c r="E444" t="s">
        <v>6522</v>
      </c>
      <c r="G444" t="s">
        <v>428</v>
      </c>
      <c r="H444">
        <v>55585815000171</v>
      </c>
      <c r="J444" t="s">
        <v>914</v>
      </c>
      <c r="K444" t="s">
        <v>4181</v>
      </c>
      <c r="M444" t="s">
        <v>4182</v>
      </c>
      <c r="S444" t="s">
        <v>1718</v>
      </c>
      <c r="T444" t="s">
        <v>319</v>
      </c>
      <c r="U444" t="s">
        <v>3417</v>
      </c>
      <c r="W444">
        <v>8400</v>
      </c>
      <c r="X444">
        <v>0</v>
      </c>
      <c r="Z444">
        <v>89</v>
      </c>
      <c r="AA444" s="31">
        <v>46051</v>
      </c>
      <c r="AB444" s="61">
        <v>0.42379629629629628</v>
      </c>
      <c r="AC444" t="s">
        <v>795</v>
      </c>
      <c r="AD444" s="31">
        <v>46140</v>
      </c>
      <c r="AE444" s="61">
        <v>0.52084490740740741</v>
      </c>
      <c r="AF444" t="s">
        <v>796</v>
      </c>
      <c r="AH444" t="s">
        <v>403</v>
      </c>
      <c r="AI444" t="s">
        <v>4407</v>
      </c>
      <c r="AJ444" t="s">
        <v>4517</v>
      </c>
      <c r="AK444" t="s">
        <v>5847</v>
      </c>
      <c r="AL444" t="s">
        <v>2119</v>
      </c>
      <c r="AP444" t="s">
        <v>54</v>
      </c>
      <c r="AQ444">
        <v>1</v>
      </c>
    </row>
    <row r="445" spans="1:43" hidden="1" x14ac:dyDescent="0.25">
      <c r="A445" t="s">
        <v>31</v>
      </c>
      <c r="B445">
        <v>896</v>
      </c>
      <c r="C445">
        <v>181</v>
      </c>
      <c r="D445">
        <v>3212</v>
      </c>
      <c r="E445" t="s">
        <v>4642</v>
      </c>
      <c r="G445" t="s">
        <v>435</v>
      </c>
      <c r="H445">
        <v>43204189000147</v>
      </c>
      <c r="I445" t="s">
        <v>3612</v>
      </c>
      <c r="J445" t="s">
        <v>990</v>
      </c>
      <c r="K445" t="s">
        <v>3613</v>
      </c>
      <c r="M445" t="s">
        <v>3614</v>
      </c>
      <c r="O445" t="s">
        <v>6461</v>
      </c>
      <c r="P445" t="s">
        <v>3616</v>
      </c>
      <c r="Q445" t="s">
        <v>790</v>
      </c>
      <c r="T445" t="s">
        <v>319</v>
      </c>
      <c r="U445" t="s">
        <v>816</v>
      </c>
      <c r="W445">
        <v>1512</v>
      </c>
      <c r="X445">
        <v>0</v>
      </c>
      <c r="Z445">
        <v>0</v>
      </c>
      <c r="AA445" s="31">
        <v>46055</v>
      </c>
      <c r="AB445" s="61">
        <v>0.4690509259259259</v>
      </c>
      <c r="AC445" t="s">
        <v>818</v>
      </c>
      <c r="AD445" s="31">
        <v>46055</v>
      </c>
      <c r="AE445" s="61">
        <v>0.47340277777777778</v>
      </c>
      <c r="AH445" t="s">
        <v>436</v>
      </c>
      <c r="AI445" t="s">
        <v>436</v>
      </c>
      <c r="AK445" t="s">
        <v>436</v>
      </c>
      <c r="AQ445">
        <v>1</v>
      </c>
    </row>
    <row r="446" spans="1:43" hidden="1" x14ac:dyDescent="0.25">
      <c r="A446" t="s">
        <v>31</v>
      </c>
      <c r="B446">
        <v>897</v>
      </c>
      <c r="C446">
        <v>133</v>
      </c>
      <c r="D446">
        <v>3213</v>
      </c>
      <c r="E446" t="s">
        <v>6523</v>
      </c>
      <c r="G446" t="s">
        <v>443</v>
      </c>
      <c r="H446">
        <v>9517464000144</v>
      </c>
      <c r="I446" t="s">
        <v>625</v>
      </c>
      <c r="J446" t="s">
        <v>4541</v>
      </c>
      <c r="K446" t="s">
        <v>3584</v>
      </c>
      <c r="M446" t="s">
        <v>2207</v>
      </c>
      <c r="S446" t="s">
        <v>1419</v>
      </c>
      <c r="T446" t="s">
        <v>319</v>
      </c>
      <c r="U446" t="s">
        <v>3417</v>
      </c>
      <c r="W446">
        <v>13100</v>
      </c>
      <c r="X446">
        <v>1900</v>
      </c>
      <c r="Z446">
        <v>72</v>
      </c>
      <c r="AA446" s="31">
        <v>46055</v>
      </c>
      <c r="AB446" s="61">
        <v>0.48864583333333328</v>
      </c>
      <c r="AC446" t="s">
        <v>795</v>
      </c>
      <c r="AD446" s="31">
        <v>46127</v>
      </c>
      <c r="AE446" s="61">
        <v>0.71645833333333331</v>
      </c>
      <c r="AF446" t="s">
        <v>796</v>
      </c>
      <c r="AH446" t="s">
        <v>436</v>
      </c>
      <c r="AI446" t="s">
        <v>436</v>
      </c>
      <c r="AK446" t="s">
        <v>5866</v>
      </c>
      <c r="AL446" t="s">
        <v>1423</v>
      </c>
      <c r="AP446" t="s">
        <v>69</v>
      </c>
      <c r="AQ446">
        <v>1</v>
      </c>
    </row>
    <row r="447" spans="1:43" hidden="1" x14ac:dyDescent="0.25">
      <c r="A447" t="s">
        <v>31</v>
      </c>
      <c r="B447">
        <v>899</v>
      </c>
      <c r="C447">
        <v>210</v>
      </c>
      <c r="D447">
        <v>3215</v>
      </c>
      <c r="E447" t="s">
        <v>4645</v>
      </c>
      <c r="G447" t="s">
        <v>476</v>
      </c>
      <c r="H447">
        <v>51781567000183</v>
      </c>
      <c r="I447" t="s">
        <v>3886</v>
      </c>
      <c r="J447" t="s">
        <v>1804</v>
      </c>
      <c r="K447" t="s">
        <v>3887</v>
      </c>
      <c r="M447" t="s">
        <v>3888</v>
      </c>
      <c r="O447" t="s">
        <v>6492</v>
      </c>
      <c r="P447" t="s">
        <v>3890</v>
      </c>
      <c r="Q447" t="s">
        <v>932</v>
      </c>
      <c r="S447" t="s">
        <v>1718</v>
      </c>
      <c r="T447" t="s">
        <v>319</v>
      </c>
      <c r="U447" t="s">
        <v>816</v>
      </c>
      <c r="W447">
        <v>8100</v>
      </c>
      <c r="X447">
        <v>1080</v>
      </c>
      <c r="Z447">
        <v>29</v>
      </c>
      <c r="AA447" s="31">
        <v>46056</v>
      </c>
      <c r="AB447" s="61">
        <v>0.85563657407407412</v>
      </c>
      <c r="AC447" t="s">
        <v>795</v>
      </c>
      <c r="AD447" s="31">
        <v>46085</v>
      </c>
      <c r="AE447" s="61">
        <v>0.72565972222222219</v>
      </c>
      <c r="AF447" t="s">
        <v>867</v>
      </c>
      <c r="AI447" t="s">
        <v>382</v>
      </c>
      <c r="AK447" t="s">
        <v>4603</v>
      </c>
      <c r="AL447" t="s">
        <v>2119</v>
      </c>
      <c r="AP447" t="s">
        <v>52</v>
      </c>
      <c r="AQ447">
        <v>1</v>
      </c>
    </row>
    <row r="448" spans="1:43" hidden="1" x14ac:dyDescent="0.25">
      <c r="A448" t="s">
        <v>31</v>
      </c>
      <c r="B448">
        <v>904</v>
      </c>
      <c r="D448">
        <v>3221</v>
      </c>
      <c r="E448" t="s">
        <v>6524</v>
      </c>
      <c r="G448" t="s">
        <v>448</v>
      </c>
      <c r="H448">
        <v>10303813000104</v>
      </c>
      <c r="J448" t="s">
        <v>4555</v>
      </c>
      <c r="K448" t="s">
        <v>4556</v>
      </c>
      <c r="M448" t="s">
        <v>4384</v>
      </c>
      <c r="S448" t="s">
        <v>1704</v>
      </c>
      <c r="T448" t="s">
        <v>319</v>
      </c>
      <c r="U448" t="s">
        <v>816</v>
      </c>
      <c r="W448">
        <v>0</v>
      </c>
      <c r="X448">
        <v>575</v>
      </c>
      <c r="Z448">
        <v>6</v>
      </c>
      <c r="AA448" s="31">
        <v>46058</v>
      </c>
      <c r="AB448" s="61">
        <v>0.38868055555555547</v>
      </c>
      <c r="AC448" t="s">
        <v>818</v>
      </c>
      <c r="AD448" s="31">
        <v>46064</v>
      </c>
      <c r="AE448" s="61">
        <v>0.37197916666666669</v>
      </c>
      <c r="AH448" t="s">
        <v>449</v>
      </c>
      <c r="AI448" t="s">
        <v>4559</v>
      </c>
      <c r="AK448" t="s">
        <v>449</v>
      </c>
      <c r="AL448" t="s">
        <v>1970</v>
      </c>
      <c r="AQ448">
        <v>1</v>
      </c>
    </row>
    <row r="449" spans="1:43" hidden="1" x14ac:dyDescent="0.25">
      <c r="A449" t="s">
        <v>31</v>
      </c>
      <c r="B449">
        <v>905</v>
      </c>
      <c r="C449">
        <v>147</v>
      </c>
      <c r="D449">
        <v>3223</v>
      </c>
      <c r="G449" t="s">
        <v>456</v>
      </c>
      <c r="H449">
        <v>7964558000136</v>
      </c>
      <c r="I449" t="s">
        <v>3430</v>
      </c>
      <c r="J449" t="s">
        <v>3431</v>
      </c>
      <c r="K449" t="s">
        <v>3515</v>
      </c>
      <c r="M449" t="s">
        <v>3433</v>
      </c>
      <c r="S449" t="s">
        <v>1718</v>
      </c>
      <c r="T449" t="s">
        <v>319</v>
      </c>
      <c r="U449" t="s">
        <v>3417</v>
      </c>
      <c r="W449">
        <v>1680</v>
      </c>
      <c r="X449">
        <v>7128</v>
      </c>
      <c r="Z449">
        <v>18</v>
      </c>
      <c r="AA449" s="31">
        <v>46058</v>
      </c>
      <c r="AB449" s="61">
        <v>0.47660879629629632</v>
      </c>
      <c r="AC449" t="s">
        <v>795</v>
      </c>
      <c r="AD449" s="31">
        <v>46076</v>
      </c>
      <c r="AE449" s="61">
        <v>0.71887731481481476</v>
      </c>
      <c r="AF449" t="s">
        <v>796</v>
      </c>
      <c r="AH449" t="s">
        <v>449</v>
      </c>
      <c r="AI449" t="s">
        <v>4559</v>
      </c>
      <c r="AK449" t="s">
        <v>449</v>
      </c>
      <c r="AL449" t="s">
        <v>2119</v>
      </c>
      <c r="AQ449">
        <v>1</v>
      </c>
    </row>
    <row r="450" spans="1:43" hidden="1" x14ac:dyDescent="0.25">
      <c r="A450" t="s">
        <v>31</v>
      </c>
      <c r="B450">
        <v>910</v>
      </c>
      <c r="D450">
        <v>3246</v>
      </c>
      <c r="E450" t="s">
        <v>4560</v>
      </c>
      <c r="G450" t="s">
        <v>4561</v>
      </c>
      <c r="H450">
        <v>55585815000171</v>
      </c>
      <c r="J450" t="s">
        <v>914</v>
      </c>
      <c r="K450" t="s">
        <v>4181</v>
      </c>
      <c r="M450" t="s">
        <v>4182</v>
      </c>
      <c r="T450" t="s">
        <v>319</v>
      </c>
      <c r="U450" t="s">
        <v>3606</v>
      </c>
      <c r="Z450">
        <v>76</v>
      </c>
      <c r="AA450" s="31">
        <v>46064</v>
      </c>
      <c r="AB450" s="61">
        <v>0.4114814814814815</v>
      </c>
      <c r="AC450" t="s">
        <v>795</v>
      </c>
      <c r="AD450" s="31">
        <v>46140</v>
      </c>
      <c r="AE450" s="61">
        <v>0.52303240740740742</v>
      </c>
      <c r="AF450" t="s">
        <v>796</v>
      </c>
      <c r="AI450" t="s">
        <v>463</v>
      </c>
      <c r="AK450" t="s">
        <v>5847</v>
      </c>
      <c r="AL450" t="s">
        <v>2119</v>
      </c>
      <c r="AP450" t="s">
        <v>2922</v>
      </c>
      <c r="AQ450">
        <v>1</v>
      </c>
    </row>
    <row r="451" spans="1:43" hidden="1" x14ac:dyDescent="0.25">
      <c r="A451" t="s">
        <v>31</v>
      </c>
      <c r="B451">
        <v>911</v>
      </c>
      <c r="D451">
        <v>3247</v>
      </c>
      <c r="E451" t="s">
        <v>4647</v>
      </c>
      <c r="G451" t="s">
        <v>4191</v>
      </c>
      <c r="H451">
        <v>49119936000125</v>
      </c>
      <c r="J451" t="s">
        <v>4565</v>
      </c>
      <c r="K451" t="s">
        <v>4193</v>
      </c>
      <c r="M451" t="s">
        <v>4096</v>
      </c>
      <c r="T451" t="s">
        <v>319</v>
      </c>
      <c r="U451" t="s">
        <v>3417</v>
      </c>
      <c r="W451">
        <v>13100</v>
      </c>
      <c r="X451">
        <v>1700</v>
      </c>
      <c r="Z451">
        <v>98</v>
      </c>
      <c r="AA451" s="31">
        <v>46064</v>
      </c>
      <c r="AB451" s="61">
        <v>0.41498842592592589</v>
      </c>
      <c r="AC451" t="s">
        <v>782</v>
      </c>
      <c r="AD451" s="31"/>
      <c r="AE451" s="61"/>
      <c r="AH451" t="s">
        <v>463</v>
      </c>
      <c r="AI451" t="s">
        <v>403</v>
      </c>
      <c r="AJ451" t="s">
        <v>458</v>
      </c>
      <c r="AK451" t="s">
        <v>4612</v>
      </c>
      <c r="AL451" t="s">
        <v>2119</v>
      </c>
      <c r="AP451" t="s">
        <v>69</v>
      </c>
      <c r="AQ451">
        <v>1</v>
      </c>
    </row>
    <row r="452" spans="1:43" hidden="1" x14ac:dyDescent="0.25">
      <c r="A452" t="s">
        <v>31</v>
      </c>
      <c r="B452">
        <v>913</v>
      </c>
      <c r="C452">
        <v>173</v>
      </c>
      <c r="D452">
        <v>3251</v>
      </c>
      <c r="E452" t="s">
        <v>6525</v>
      </c>
      <c r="G452" t="s">
        <v>468</v>
      </c>
      <c r="H452">
        <v>27914031000104</v>
      </c>
      <c r="I452" t="s">
        <v>3495</v>
      </c>
      <c r="J452" t="s">
        <v>3496</v>
      </c>
      <c r="K452" t="s">
        <v>3497</v>
      </c>
      <c r="M452" t="s">
        <v>3498</v>
      </c>
      <c r="O452" t="s">
        <v>6446</v>
      </c>
      <c r="P452" t="s">
        <v>2489</v>
      </c>
      <c r="Q452" t="s">
        <v>790</v>
      </c>
      <c r="T452" t="s">
        <v>319</v>
      </c>
      <c r="U452" t="s">
        <v>3417</v>
      </c>
      <c r="W452">
        <v>1680</v>
      </c>
      <c r="X452">
        <v>7128</v>
      </c>
      <c r="Z452">
        <v>48</v>
      </c>
      <c r="AA452" s="31">
        <v>46064</v>
      </c>
      <c r="AB452" s="61">
        <v>0.42258101851851848</v>
      </c>
      <c r="AC452" t="s">
        <v>795</v>
      </c>
      <c r="AD452" s="31">
        <v>46112</v>
      </c>
      <c r="AE452" s="61">
        <v>0.66119212962962959</v>
      </c>
      <c r="AF452" t="s">
        <v>796</v>
      </c>
      <c r="AH452" t="s">
        <v>449</v>
      </c>
      <c r="AI452" t="s">
        <v>449</v>
      </c>
      <c r="AK452" t="s">
        <v>4649</v>
      </c>
      <c r="AL452" t="s">
        <v>2119</v>
      </c>
      <c r="AP452" t="s">
        <v>2605</v>
      </c>
      <c r="AQ452">
        <v>1</v>
      </c>
    </row>
    <row r="453" spans="1:43" hidden="1" x14ac:dyDescent="0.25">
      <c r="A453" t="s">
        <v>31</v>
      </c>
      <c r="B453">
        <v>914</v>
      </c>
      <c r="C453">
        <v>147</v>
      </c>
      <c r="D453">
        <v>3252</v>
      </c>
      <c r="E453" t="s">
        <v>4571</v>
      </c>
      <c r="G453" t="s">
        <v>473</v>
      </c>
      <c r="H453">
        <v>7964558000136</v>
      </c>
      <c r="I453" t="s">
        <v>3430</v>
      </c>
      <c r="J453" t="s">
        <v>3431</v>
      </c>
      <c r="K453" t="s">
        <v>3515</v>
      </c>
      <c r="M453" t="s">
        <v>3433</v>
      </c>
      <c r="T453" t="s">
        <v>319</v>
      </c>
      <c r="U453" t="s">
        <v>3417</v>
      </c>
      <c r="W453">
        <v>1680</v>
      </c>
      <c r="X453">
        <v>7128</v>
      </c>
      <c r="Z453">
        <v>63</v>
      </c>
      <c r="AA453" s="31">
        <v>46064</v>
      </c>
      <c r="AB453" s="61">
        <v>0.42469907407407409</v>
      </c>
      <c r="AC453" t="s">
        <v>795</v>
      </c>
      <c r="AD453" s="31">
        <v>46127</v>
      </c>
      <c r="AE453" s="61">
        <v>0.72184027777777782</v>
      </c>
      <c r="AF453" t="s">
        <v>796</v>
      </c>
      <c r="AH453" t="s">
        <v>403</v>
      </c>
      <c r="AI453" t="s">
        <v>4572</v>
      </c>
      <c r="AK453" t="s">
        <v>5866</v>
      </c>
      <c r="AL453" t="s">
        <v>2119</v>
      </c>
      <c r="AP453" t="s">
        <v>2605</v>
      </c>
      <c r="AQ453">
        <v>1</v>
      </c>
    </row>
    <row r="454" spans="1:43" hidden="1" x14ac:dyDescent="0.25">
      <c r="A454" t="s">
        <v>31</v>
      </c>
      <c r="B454">
        <v>916</v>
      </c>
      <c r="C454">
        <v>196</v>
      </c>
      <c r="D454">
        <v>3254</v>
      </c>
      <c r="E454" t="s">
        <v>6526</v>
      </c>
      <c r="G454" t="s">
        <v>478</v>
      </c>
      <c r="H454">
        <v>32494222000102</v>
      </c>
      <c r="I454" t="s">
        <v>3715</v>
      </c>
      <c r="J454" t="s">
        <v>3716</v>
      </c>
      <c r="K454" t="s">
        <v>3717</v>
      </c>
      <c r="M454" t="s">
        <v>3718</v>
      </c>
      <c r="O454" t="s">
        <v>6471</v>
      </c>
      <c r="P454" t="s">
        <v>3720</v>
      </c>
      <c r="Q454" t="s">
        <v>790</v>
      </c>
      <c r="T454" t="s">
        <v>319</v>
      </c>
      <c r="U454" t="s">
        <v>3417</v>
      </c>
      <c r="W454">
        <v>8100</v>
      </c>
      <c r="X454">
        <v>1080</v>
      </c>
      <c r="Z454">
        <v>63</v>
      </c>
      <c r="AA454" s="31">
        <v>46064</v>
      </c>
      <c r="AB454" s="61">
        <v>0.45479166666666659</v>
      </c>
      <c r="AC454" t="s">
        <v>795</v>
      </c>
      <c r="AD454" s="31">
        <v>46127</v>
      </c>
      <c r="AE454" s="61">
        <v>0.71711805555555552</v>
      </c>
      <c r="AF454" t="s">
        <v>796</v>
      </c>
      <c r="AH454" t="s">
        <v>463</v>
      </c>
      <c r="AI454" t="s">
        <v>452</v>
      </c>
      <c r="AK454" t="s">
        <v>5866</v>
      </c>
      <c r="AL454" t="s">
        <v>2119</v>
      </c>
      <c r="AP454" t="s">
        <v>52</v>
      </c>
      <c r="AQ454">
        <v>1</v>
      </c>
    </row>
    <row r="455" spans="1:43" hidden="1" x14ac:dyDescent="0.25">
      <c r="A455" t="s">
        <v>31</v>
      </c>
      <c r="B455">
        <v>917</v>
      </c>
      <c r="C455">
        <v>196</v>
      </c>
      <c r="D455">
        <v>3255</v>
      </c>
      <c r="E455" t="s">
        <v>4651</v>
      </c>
      <c r="G455" t="s">
        <v>4577</v>
      </c>
      <c r="H455">
        <v>32494222000102</v>
      </c>
      <c r="I455" t="s">
        <v>3715</v>
      </c>
      <c r="J455" t="s">
        <v>3716</v>
      </c>
      <c r="K455" t="s">
        <v>3717</v>
      </c>
      <c r="M455" t="s">
        <v>3718</v>
      </c>
      <c r="O455" t="s">
        <v>6471</v>
      </c>
      <c r="P455" t="s">
        <v>3720</v>
      </c>
      <c r="Q455" t="s">
        <v>790</v>
      </c>
      <c r="T455" t="s">
        <v>319</v>
      </c>
      <c r="U455" t="s">
        <v>816</v>
      </c>
      <c r="W455">
        <v>9000</v>
      </c>
      <c r="X455">
        <v>0</v>
      </c>
      <c r="Z455">
        <v>15</v>
      </c>
      <c r="AA455" s="31">
        <v>46064</v>
      </c>
      <c r="AB455" s="61">
        <v>0.45805555555555549</v>
      </c>
      <c r="AC455" t="s">
        <v>818</v>
      </c>
      <c r="AD455" s="31">
        <v>46079</v>
      </c>
      <c r="AE455" s="61">
        <v>0.72291666666666665</v>
      </c>
      <c r="AH455" t="s">
        <v>484</v>
      </c>
      <c r="AI455" t="s">
        <v>452</v>
      </c>
      <c r="AK455" t="s">
        <v>4568</v>
      </c>
      <c r="AL455" t="s">
        <v>4580</v>
      </c>
      <c r="AP455" t="s">
        <v>4581</v>
      </c>
      <c r="AQ455">
        <v>1</v>
      </c>
    </row>
    <row r="456" spans="1:43" hidden="1" x14ac:dyDescent="0.25">
      <c r="A456" t="s">
        <v>31</v>
      </c>
      <c r="B456">
        <v>918</v>
      </c>
      <c r="C456">
        <v>196</v>
      </c>
      <c r="D456">
        <v>3256</v>
      </c>
      <c r="E456" t="s">
        <v>4652</v>
      </c>
      <c r="G456" t="s">
        <v>488</v>
      </c>
      <c r="H456">
        <v>32494222000102</v>
      </c>
      <c r="I456" t="s">
        <v>3715</v>
      </c>
      <c r="J456" t="s">
        <v>3716</v>
      </c>
      <c r="K456" t="s">
        <v>3717</v>
      </c>
      <c r="M456" t="s">
        <v>3718</v>
      </c>
      <c r="O456" t="s">
        <v>6471</v>
      </c>
      <c r="P456" t="s">
        <v>3720</v>
      </c>
      <c r="Q456" t="s">
        <v>790</v>
      </c>
      <c r="T456" t="s">
        <v>319</v>
      </c>
      <c r="U456" t="s">
        <v>3417</v>
      </c>
      <c r="W456">
        <v>1600</v>
      </c>
      <c r="X456">
        <v>31504</v>
      </c>
      <c r="Z456">
        <v>98</v>
      </c>
      <c r="AA456" s="31">
        <v>46064</v>
      </c>
      <c r="AB456" s="61">
        <v>0.4621527777777778</v>
      </c>
      <c r="AC456" t="s">
        <v>782</v>
      </c>
      <c r="AD456" s="31"/>
      <c r="AE456" s="61"/>
      <c r="AH456" t="s">
        <v>463</v>
      </c>
      <c r="AI456" t="s">
        <v>452</v>
      </c>
      <c r="AK456" t="s">
        <v>463</v>
      </c>
      <c r="AL456" t="s">
        <v>2119</v>
      </c>
      <c r="AP456" t="s">
        <v>53</v>
      </c>
      <c r="AQ456">
        <v>1</v>
      </c>
    </row>
    <row r="457" spans="1:43" hidden="1" x14ac:dyDescent="0.25">
      <c r="A457" t="s">
        <v>31</v>
      </c>
      <c r="B457">
        <v>939</v>
      </c>
      <c r="C457">
        <v>207</v>
      </c>
      <c r="D457">
        <v>3272</v>
      </c>
      <c r="E457" t="s">
        <v>4653</v>
      </c>
      <c r="G457" t="s">
        <v>492</v>
      </c>
      <c r="H457">
        <v>43609706000168</v>
      </c>
      <c r="I457" t="s">
        <v>3839</v>
      </c>
      <c r="J457" t="s">
        <v>1804</v>
      </c>
      <c r="K457" t="s">
        <v>3840</v>
      </c>
      <c r="M457" t="s">
        <v>3841</v>
      </c>
      <c r="O457" t="s">
        <v>6488</v>
      </c>
      <c r="P457" t="s">
        <v>3843</v>
      </c>
      <c r="Q457" t="s">
        <v>932</v>
      </c>
      <c r="T457" t="s">
        <v>319</v>
      </c>
      <c r="U457" t="s">
        <v>3417</v>
      </c>
      <c r="W457">
        <v>13100</v>
      </c>
      <c r="X457">
        <v>1700</v>
      </c>
      <c r="Z457">
        <v>57</v>
      </c>
      <c r="AA457" s="31">
        <v>46070</v>
      </c>
      <c r="AB457" s="61">
        <v>0.41354166666666659</v>
      </c>
      <c r="AC457" t="s">
        <v>795</v>
      </c>
      <c r="AD457" s="31">
        <v>46127</v>
      </c>
      <c r="AE457" s="61">
        <v>0.66509259259259257</v>
      </c>
      <c r="AF457" t="s">
        <v>796</v>
      </c>
      <c r="AH457" t="s">
        <v>493</v>
      </c>
      <c r="AK457" t="s">
        <v>5866</v>
      </c>
      <c r="AL457" t="s">
        <v>2119</v>
      </c>
      <c r="AP457" t="s">
        <v>69</v>
      </c>
      <c r="AQ457">
        <v>1</v>
      </c>
    </row>
    <row r="458" spans="1:43" hidden="1" x14ac:dyDescent="0.25">
      <c r="A458" t="s">
        <v>31</v>
      </c>
      <c r="B458">
        <v>940</v>
      </c>
      <c r="C458">
        <v>170</v>
      </c>
      <c r="D458">
        <v>3273</v>
      </c>
      <c r="G458" t="s">
        <v>496</v>
      </c>
      <c r="H458">
        <v>4150555001304</v>
      </c>
      <c r="I458" t="s">
        <v>3477</v>
      </c>
      <c r="J458" t="s">
        <v>4585</v>
      </c>
      <c r="K458" t="s">
        <v>3569</v>
      </c>
      <c r="M458" t="s">
        <v>3480</v>
      </c>
      <c r="O458" t="s">
        <v>6444</v>
      </c>
      <c r="P458" t="s">
        <v>3482</v>
      </c>
      <c r="Q458" t="s">
        <v>1699</v>
      </c>
      <c r="T458" t="s">
        <v>319</v>
      </c>
      <c r="U458" t="s">
        <v>816</v>
      </c>
      <c r="W458">
        <v>1512</v>
      </c>
      <c r="X458">
        <v>0</v>
      </c>
      <c r="Z458">
        <v>8</v>
      </c>
      <c r="AA458" s="31">
        <v>46070</v>
      </c>
      <c r="AB458" s="61">
        <v>0.41755787037037029</v>
      </c>
      <c r="AC458" t="s">
        <v>818</v>
      </c>
      <c r="AD458" s="31">
        <v>46078</v>
      </c>
      <c r="AE458" s="61">
        <v>0.65865740740740741</v>
      </c>
      <c r="AH458" t="s">
        <v>497</v>
      </c>
      <c r="AK458" t="s">
        <v>480</v>
      </c>
      <c r="AL458" t="s">
        <v>2119</v>
      </c>
      <c r="AP458" t="s">
        <v>318</v>
      </c>
      <c r="AQ458">
        <v>1</v>
      </c>
    </row>
    <row r="459" spans="1:43" hidden="1" x14ac:dyDescent="0.25">
      <c r="A459" t="s">
        <v>31</v>
      </c>
      <c r="B459">
        <v>941</v>
      </c>
      <c r="C459">
        <v>181</v>
      </c>
      <c r="D459">
        <v>3274</v>
      </c>
      <c r="E459" t="s">
        <v>6527</v>
      </c>
      <c r="G459" t="s">
        <v>499</v>
      </c>
      <c r="H459">
        <v>43204189000147</v>
      </c>
      <c r="I459" t="s">
        <v>3612</v>
      </c>
      <c r="J459" t="s">
        <v>990</v>
      </c>
      <c r="K459" t="s">
        <v>3613</v>
      </c>
      <c r="M459" t="s">
        <v>3614</v>
      </c>
      <c r="O459" t="s">
        <v>6461</v>
      </c>
      <c r="P459" t="s">
        <v>3616</v>
      </c>
      <c r="Q459" t="s">
        <v>790</v>
      </c>
      <c r="T459" t="s">
        <v>319</v>
      </c>
      <c r="U459" t="s">
        <v>3417</v>
      </c>
      <c r="W459">
        <v>1600</v>
      </c>
      <c r="X459">
        <v>384454</v>
      </c>
      <c r="Z459">
        <v>22</v>
      </c>
      <c r="AA459" s="31">
        <v>46070</v>
      </c>
      <c r="AB459" s="61">
        <v>0.42311342592592588</v>
      </c>
      <c r="AC459" t="s">
        <v>795</v>
      </c>
      <c r="AD459" s="31">
        <v>46092</v>
      </c>
      <c r="AE459" s="61">
        <v>0.48651620370370369</v>
      </c>
      <c r="AF459" t="s">
        <v>867</v>
      </c>
      <c r="AH459" t="s">
        <v>500</v>
      </c>
      <c r="AI459" t="s">
        <v>480</v>
      </c>
      <c r="AK459" t="s">
        <v>480</v>
      </c>
      <c r="AL459" t="s">
        <v>2119</v>
      </c>
      <c r="AP459" t="s">
        <v>53</v>
      </c>
      <c r="AQ459">
        <v>1</v>
      </c>
    </row>
    <row r="460" spans="1:43" hidden="1" x14ac:dyDescent="0.25">
      <c r="A460" t="s">
        <v>31</v>
      </c>
      <c r="B460">
        <v>942</v>
      </c>
      <c r="C460">
        <v>103</v>
      </c>
      <c r="D460">
        <v>3275</v>
      </c>
      <c r="E460" t="s">
        <v>4586</v>
      </c>
      <c r="G460" t="s">
        <v>4587</v>
      </c>
      <c r="H460">
        <v>12549273000179</v>
      </c>
      <c r="I460" t="s">
        <v>3309</v>
      </c>
      <c r="J460" t="s">
        <v>1804</v>
      </c>
      <c r="M460" t="s">
        <v>3312</v>
      </c>
      <c r="O460" t="s">
        <v>6441</v>
      </c>
      <c r="P460" t="s">
        <v>1596</v>
      </c>
      <c r="Q460" t="s">
        <v>790</v>
      </c>
      <c r="T460" t="s">
        <v>319</v>
      </c>
      <c r="U460" t="s">
        <v>3606</v>
      </c>
      <c r="Z460">
        <v>92</v>
      </c>
      <c r="AA460" s="31">
        <v>46070</v>
      </c>
      <c r="AB460" s="61">
        <v>0.43594907407407413</v>
      </c>
      <c r="AC460" t="s">
        <v>782</v>
      </c>
      <c r="AD460" s="31"/>
      <c r="AE460" s="61"/>
      <c r="AI460" t="s">
        <v>497</v>
      </c>
      <c r="AK460" t="s">
        <v>497</v>
      </c>
      <c r="AL460" t="s">
        <v>2119</v>
      </c>
      <c r="AP460" t="s">
        <v>2922</v>
      </c>
      <c r="AQ460">
        <v>1</v>
      </c>
    </row>
    <row r="461" spans="1:43" hidden="1" x14ac:dyDescent="0.25">
      <c r="A461" t="s">
        <v>31</v>
      </c>
      <c r="B461">
        <v>943</v>
      </c>
      <c r="C461">
        <v>149</v>
      </c>
      <c r="D461">
        <v>3276</v>
      </c>
      <c r="G461" t="s">
        <v>502</v>
      </c>
      <c r="H461">
        <v>12418196000118</v>
      </c>
      <c r="I461" t="s">
        <v>3645</v>
      </c>
      <c r="J461" t="s">
        <v>844</v>
      </c>
      <c r="K461" t="s">
        <v>3647</v>
      </c>
      <c r="M461" t="s">
        <v>3648</v>
      </c>
      <c r="T461" t="s">
        <v>319</v>
      </c>
      <c r="U461" t="s">
        <v>816</v>
      </c>
      <c r="W461">
        <v>8400</v>
      </c>
      <c r="X461">
        <v>0</v>
      </c>
      <c r="Z461">
        <v>8</v>
      </c>
      <c r="AA461" s="31">
        <v>46070</v>
      </c>
      <c r="AB461" s="61">
        <v>0.6010416666666667</v>
      </c>
      <c r="AC461" t="s">
        <v>818</v>
      </c>
      <c r="AD461" s="31">
        <v>46078</v>
      </c>
      <c r="AE461" s="61">
        <v>0.68366898148148147</v>
      </c>
      <c r="AH461" t="s">
        <v>497</v>
      </c>
      <c r="AI461" t="s">
        <v>480</v>
      </c>
      <c r="AK461" t="s">
        <v>380</v>
      </c>
      <c r="AL461" t="s">
        <v>2119</v>
      </c>
      <c r="AP461" t="s">
        <v>318</v>
      </c>
      <c r="AQ461">
        <v>1</v>
      </c>
    </row>
    <row r="462" spans="1:43" hidden="1" x14ac:dyDescent="0.25">
      <c r="A462" t="s">
        <v>31</v>
      </c>
      <c r="B462">
        <v>944</v>
      </c>
      <c r="C462">
        <v>149</v>
      </c>
      <c r="D462">
        <v>3277</v>
      </c>
      <c r="E462" t="s">
        <v>4589</v>
      </c>
      <c r="G462" t="s">
        <v>504</v>
      </c>
      <c r="H462">
        <v>12418196000118</v>
      </c>
      <c r="I462" t="s">
        <v>3645</v>
      </c>
      <c r="J462" t="s">
        <v>844</v>
      </c>
      <c r="K462" t="s">
        <v>3647</v>
      </c>
      <c r="M462" t="s">
        <v>3648</v>
      </c>
      <c r="T462" t="s">
        <v>319</v>
      </c>
      <c r="U462" t="s">
        <v>3417</v>
      </c>
      <c r="W462">
        <v>1680</v>
      </c>
      <c r="X462">
        <v>0</v>
      </c>
      <c r="Z462">
        <v>2</v>
      </c>
      <c r="AA462" s="31">
        <v>46070</v>
      </c>
      <c r="AB462" s="61">
        <v>0.63858796296296294</v>
      </c>
      <c r="AC462" t="s">
        <v>795</v>
      </c>
      <c r="AD462" s="31">
        <v>46072</v>
      </c>
      <c r="AE462" s="61">
        <v>0.46702546296296299</v>
      </c>
      <c r="AF462" t="s">
        <v>796</v>
      </c>
      <c r="AH462" t="s">
        <v>497</v>
      </c>
      <c r="AI462" t="s">
        <v>480</v>
      </c>
      <c r="AK462" t="s">
        <v>497</v>
      </c>
      <c r="AL462" t="s">
        <v>2119</v>
      </c>
      <c r="AP462" t="s">
        <v>318</v>
      </c>
      <c r="AQ462">
        <v>1</v>
      </c>
    </row>
    <row r="463" spans="1:43" hidden="1" x14ac:dyDescent="0.25">
      <c r="A463" t="s">
        <v>31</v>
      </c>
      <c r="B463">
        <v>947</v>
      </c>
      <c r="C463">
        <v>194</v>
      </c>
      <c r="D463">
        <v>3281</v>
      </c>
      <c r="E463" t="s">
        <v>4590</v>
      </c>
      <c r="G463" t="s">
        <v>506</v>
      </c>
      <c r="H463">
        <v>44580314000186</v>
      </c>
      <c r="I463" t="s">
        <v>3682</v>
      </c>
      <c r="J463" t="s">
        <v>4411</v>
      </c>
      <c r="K463" t="s">
        <v>4591</v>
      </c>
      <c r="M463" t="s">
        <v>3685</v>
      </c>
      <c r="O463" t="s">
        <v>6469</v>
      </c>
      <c r="P463" t="s">
        <v>3687</v>
      </c>
      <c r="Q463" t="s">
        <v>790</v>
      </c>
      <c r="T463" t="s">
        <v>319</v>
      </c>
      <c r="U463" t="s">
        <v>816</v>
      </c>
      <c r="W463">
        <v>3024</v>
      </c>
      <c r="X463">
        <v>1080</v>
      </c>
      <c r="Z463">
        <v>56</v>
      </c>
      <c r="AA463" s="31">
        <v>46071</v>
      </c>
      <c r="AB463" s="61">
        <v>0.39603009259259259</v>
      </c>
      <c r="AC463" t="s">
        <v>795</v>
      </c>
      <c r="AD463" s="31">
        <v>46127</v>
      </c>
      <c r="AE463" s="61">
        <v>0.62123842592592593</v>
      </c>
      <c r="AF463" t="s">
        <v>796</v>
      </c>
      <c r="AH463" t="s">
        <v>507</v>
      </c>
      <c r="AI463" t="s">
        <v>480</v>
      </c>
      <c r="AK463" t="s">
        <v>507</v>
      </c>
      <c r="AL463" t="s">
        <v>1423</v>
      </c>
      <c r="AP463" t="s">
        <v>52</v>
      </c>
      <c r="AQ463">
        <v>1</v>
      </c>
    </row>
    <row r="464" spans="1:43" x14ac:dyDescent="0.25">
      <c r="A464" t="s">
        <v>31</v>
      </c>
      <c r="B464">
        <v>954</v>
      </c>
      <c r="C464">
        <v>159</v>
      </c>
      <c r="D464">
        <v>3285</v>
      </c>
      <c r="E464" t="s">
        <v>4656</v>
      </c>
      <c r="G464" t="s">
        <v>255</v>
      </c>
      <c r="H464">
        <v>43526090000161</v>
      </c>
      <c r="I464" t="s">
        <v>913</v>
      </c>
      <c r="J464" t="s">
        <v>6528</v>
      </c>
      <c r="K464" t="s">
        <v>4155</v>
      </c>
      <c r="M464" t="s">
        <v>916</v>
      </c>
      <c r="P464" t="s">
        <v>909</v>
      </c>
      <c r="Q464" t="s">
        <v>790</v>
      </c>
      <c r="T464" t="s">
        <v>319</v>
      </c>
      <c r="U464" t="s">
        <v>816</v>
      </c>
      <c r="W464">
        <v>8100</v>
      </c>
      <c r="X464">
        <v>1080</v>
      </c>
      <c r="Z464">
        <v>90</v>
      </c>
      <c r="AA464" s="31">
        <v>46072</v>
      </c>
      <c r="AB464" s="61">
        <v>0.67166666666666663</v>
      </c>
      <c r="AC464" t="s">
        <v>782</v>
      </c>
      <c r="AD464" s="31"/>
      <c r="AE464" s="61"/>
      <c r="AH464" t="s">
        <v>5691</v>
      </c>
      <c r="AI464" t="s">
        <v>393</v>
      </c>
      <c r="AK464" t="s">
        <v>6162</v>
      </c>
      <c r="AL464" t="s">
        <v>2119</v>
      </c>
      <c r="AP464" t="s">
        <v>4659</v>
      </c>
      <c r="AQ464">
        <v>1</v>
      </c>
    </row>
    <row r="465" spans="1:43" hidden="1" x14ac:dyDescent="0.25">
      <c r="A465" t="s">
        <v>31</v>
      </c>
      <c r="B465">
        <v>955</v>
      </c>
      <c r="D465">
        <v>3289</v>
      </c>
      <c r="E465" t="s">
        <v>4660</v>
      </c>
      <c r="G465" t="s">
        <v>508</v>
      </c>
      <c r="H465">
        <v>11119066000111</v>
      </c>
      <c r="J465" t="s">
        <v>4661</v>
      </c>
      <c r="K465" t="s">
        <v>4662</v>
      </c>
      <c r="M465" t="s">
        <v>4470</v>
      </c>
      <c r="T465" t="s">
        <v>319</v>
      </c>
      <c r="U465" t="s">
        <v>816</v>
      </c>
      <c r="W465">
        <v>420</v>
      </c>
      <c r="X465">
        <v>3564</v>
      </c>
      <c r="Z465">
        <v>6</v>
      </c>
      <c r="AA465" s="31">
        <v>46073</v>
      </c>
      <c r="AB465" s="61">
        <v>0.52296296296296296</v>
      </c>
      <c r="AC465" t="s">
        <v>818</v>
      </c>
      <c r="AD465" s="31">
        <v>46079</v>
      </c>
      <c r="AE465" s="61">
        <v>0.72277777777777774</v>
      </c>
      <c r="AH465" t="s">
        <v>401</v>
      </c>
      <c r="AI465" t="s">
        <v>401</v>
      </c>
      <c r="AK465" t="s">
        <v>401</v>
      </c>
      <c r="AL465" t="s">
        <v>2119</v>
      </c>
      <c r="AP465" t="s">
        <v>2605</v>
      </c>
      <c r="AQ465">
        <v>1</v>
      </c>
    </row>
    <row r="466" spans="1:43" hidden="1" x14ac:dyDescent="0.25">
      <c r="A466" t="s">
        <v>31</v>
      </c>
      <c r="B466">
        <v>957</v>
      </c>
      <c r="C466">
        <v>186</v>
      </c>
      <c r="D466">
        <v>3291</v>
      </c>
      <c r="E466" t="s">
        <v>4663</v>
      </c>
      <c r="G466" t="s">
        <v>482</v>
      </c>
      <c r="H466">
        <v>10899939000193</v>
      </c>
      <c r="I466" t="s">
        <v>3625</v>
      </c>
      <c r="J466" t="s">
        <v>704</v>
      </c>
      <c r="K466" t="s">
        <v>3626</v>
      </c>
      <c r="M466" t="s">
        <v>3627</v>
      </c>
      <c r="O466" t="s">
        <v>6463</v>
      </c>
      <c r="P466" t="s">
        <v>3629</v>
      </c>
      <c r="Q466" t="s">
        <v>932</v>
      </c>
      <c r="T466" t="s">
        <v>319</v>
      </c>
      <c r="U466" t="s">
        <v>3417</v>
      </c>
      <c r="W466">
        <v>13100</v>
      </c>
      <c r="X466">
        <v>1700</v>
      </c>
      <c r="Z466">
        <v>89</v>
      </c>
      <c r="AA466" s="31">
        <v>46073</v>
      </c>
      <c r="AB466" s="61">
        <v>0.73730324074074072</v>
      </c>
      <c r="AC466" t="s">
        <v>782</v>
      </c>
      <c r="AD466" s="31"/>
      <c r="AE466" s="61"/>
      <c r="AH466" t="s">
        <v>4664</v>
      </c>
      <c r="AI466" t="s">
        <v>4664</v>
      </c>
      <c r="AK466" t="s">
        <v>5866</v>
      </c>
      <c r="AL466" t="s">
        <v>2119</v>
      </c>
      <c r="AP466" t="s">
        <v>69</v>
      </c>
      <c r="AQ466">
        <v>1</v>
      </c>
    </row>
    <row r="467" spans="1:43" hidden="1" x14ac:dyDescent="0.25">
      <c r="A467" t="s">
        <v>31</v>
      </c>
      <c r="B467">
        <v>958</v>
      </c>
      <c r="C467">
        <v>142</v>
      </c>
      <c r="D467">
        <v>3292</v>
      </c>
      <c r="E467" t="s">
        <v>4666</v>
      </c>
      <c r="G467" t="s">
        <v>509</v>
      </c>
      <c r="H467">
        <v>1101123000181</v>
      </c>
      <c r="I467" t="s">
        <v>3397</v>
      </c>
      <c r="J467" t="s">
        <v>2610</v>
      </c>
      <c r="K467" t="s">
        <v>3698</v>
      </c>
      <c r="M467" t="s">
        <v>3399</v>
      </c>
      <c r="P467" t="s">
        <v>3400</v>
      </c>
      <c r="Q467" t="s">
        <v>1699</v>
      </c>
      <c r="T467" t="s">
        <v>319</v>
      </c>
      <c r="U467" t="s">
        <v>3417</v>
      </c>
      <c r="W467">
        <v>32400</v>
      </c>
      <c r="X467">
        <v>14256</v>
      </c>
      <c r="Z467">
        <v>11</v>
      </c>
      <c r="AA467" s="31">
        <v>46073</v>
      </c>
      <c r="AB467" s="61">
        <v>0.74099537037037033</v>
      </c>
      <c r="AC467" t="s">
        <v>795</v>
      </c>
      <c r="AD467" s="31">
        <v>46084</v>
      </c>
      <c r="AE467" s="61">
        <v>0.525787037037037</v>
      </c>
      <c r="AF467" t="s">
        <v>867</v>
      </c>
      <c r="AH467" t="s">
        <v>401</v>
      </c>
      <c r="AI467" t="s">
        <v>401</v>
      </c>
      <c r="AK467" t="s">
        <v>401</v>
      </c>
      <c r="AL467" t="s">
        <v>2119</v>
      </c>
      <c r="AP467" t="s">
        <v>2605</v>
      </c>
      <c r="AQ467">
        <v>1</v>
      </c>
    </row>
    <row r="468" spans="1:43" hidden="1" x14ac:dyDescent="0.25">
      <c r="A468" t="s">
        <v>31</v>
      </c>
      <c r="B468">
        <v>970</v>
      </c>
      <c r="C468">
        <v>0</v>
      </c>
      <c r="D468">
        <v>3307</v>
      </c>
      <c r="E468" t="s">
        <v>4667</v>
      </c>
      <c r="G468" t="s">
        <v>466</v>
      </c>
      <c r="H468">
        <v>9023754000131</v>
      </c>
      <c r="J468" t="s">
        <v>4360</v>
      </c>
      <c r="K468" t="s">
        <v>4361</v>
      </c>
      <c r="M468" t="s">
        <v>4362</v>
      </c>
      <c r="T468" t="s">
        <v>319</v>
      </c>
      <c r="U468" t="s">
        <v>816</v>
      </c>
      <c r="W468">
        <v>0</v>
      </c>
      <c r="X468">
        <v>3000</v>
      </c>
      <c r="Z468">
        <v>84</v>
      </c>
      <c r="AA468" s="31">
        <v>46078</v>
      </c>
      <c r="AB468" s="61">
        <v>0.41778935185185179</v>
      </c>
      <c r="AC468" t="s">
        <v>782</v>
      </c>
      <c r="AD468" s="31"/>
      <c r="AE468" s="61"/>
      <c r="AH468" t="s">
        <v>4668</v>
      </c>
      <c r="AI468" t="s">
        <v>4669</v>
      </c>
      <c r="AK468" t="s">
        <v>4664</v>
      </c>
      <c r="AL468" t="s">
        <v>2119</v>
      </c>
      <c r="AP468" t="s">
        <v>2605</v>
      </c>
      <c r="AQ468">
        <v>1</v>
      </c>
    </row>
    <row r="469" spans="1:43" hidden="1" x14ac:dyDescent="0.25">
      <c r="A469" t="s">
        <v>31</v>
      </c>
      <c r="B469">
        <v>975</v>
      </c>
      <c r="C469">
        <v>190</v>
      </c>
      <c r="D469">
        <v>3313</v>
      </c>
      <c r="G469" t="s">
        <v>510</v>
      </c>
      <c r="H469">
        <v>18203215000175</v>
      </c>
      <c r="I469" t="s">
        <v>3690</v>
      </c>
      <c r="J469" t="s">
        <v>4670</v>
      </c>
      <c r="K469" t="s">
        <v>3692</v>
      </c>
      <c r="M469" t="s">
        <v>3693</v>
      </c>
      <c r="O469" t="s">
        <v>6470</v>
      </c>
      <c r="P469" t="s">
        <v>3695</v>
      </c>
      <c r="Q469" t="s">
        <v>790</v>
      </c>
      <c r="T469" t="s">
        <v>319</v>
      </c>
      <c r="U469" t="s">
        <v>816</v>
      </c>
      <c r="W469">
        <v>1680</v>
      </c>
      <c r="X469">
        <v>3564</v>
      </c>
      <c r="Z469">
        <v>20</v>
      </c>
      <c r="AA469" s="31">
        <v>46079</v>
      </c>
      <c r="AB469" s="61">
        <v>0.52194444444444443</v>
      </c>
      <c r="AC469" t="s">
        <v>818</v>
      </c>
      <c r="AD469" s="31">
        <v>46099</v>
      </c>
      <c r="AE469" s="61">
        <v>0.62033564814814812</v>
      </c>
      <c r="AH469" t="s">
        <v>511</v>
      </c>
      <c r="AI469" t="s">
        <v>511</v>
      </c>
      <c r="AK469" t="s">
        <v>395</v>
      </c>
      <c r="AL469" t="s">
        <v>2119</v>
      </c>
      <c r="AP469" t="s">
        <v>2605</v>
      </c>
      <c r="AQ469">
        <v>1</v>
      </c>
    </row>
    <row r="470" spans="1:43" hidden="1" x14ac:dyDescent="0.25">
      <c r="A470" t="s">
        <v>31</v>
      </c>
      <c r="B470">
        <v>986</v>
      </c>
      <c r="C470">
        <v>147</v>
      </c>
      <c r="D470">
        <v>3333</v>
      </c>
      <c r="G470" t="s">
        <v>4671</v>
      </c>
      <c r="H470">
        <v>7964558000136</v>
      </c>
      <c r="I470" t="s">
        <v>3430</v>
      </c>
      <c r="J470" t="s">
        <v>3679</v>
      </c>
      <c r="K470" t="s">
        <v>3515</v>
      </c>
      <c r="M470" t="s">
        <v>3433</v>
      </c>
      <c r="T470" t="s">
        <v>319</v>
      </c>
      <c r="U470" t="s">
        <v>3417</v>
      </c>
      <c r="W470">
        <v>6000</v>
      </c>
      <c r="X470">
        <v>2000</v>
      </c>
      <c r="Z470">
        <v>82</v>
      </c>
      <c r="AA470" s="31">
        <v>46080</v>
      </c>
      <c r="AB470" s="61">
        <v>0.66025462962962966</v>
      </c>
      <c r="AC470" t="s">
        <v>782</v>
      </c>
      <c r="AD470" s="31"/>
      <c r="AE470" s="61"/>
      <c r="AH470" t="s">
        <v>5866</v>
      </c>
      <c r="AI470" t="s">
        <v>4672</v>
      </c>
      <c r="AK470" t="s">
        <v>5866</v>
      </c>
      <c r="AL470" t="s">
        <v>2119</v>
      </c>
      <c r="AP470" t="s">
        <v>2922</v>
      </c>
      <c r="AQ470">
        <v>1</v>
      </c>
    </row>
    <row r="471" spans="1:43" hidden="1" x14ac:dyDescent="0.25">
      <c r="A471" t="s">
        <v>31</v>
      </c>
      <c r="B471">
        <v>988</v>
      </c>
      <c r="C471">
        <v>0</v>
      </c>
      <c r="D471">
        <v>3336</v>
      </c>
      <c r="G471" t="s">
        <v>4673</v>
      </c>
      <c r="H471">
        <v>40082701000131</v>
      </c>
      <c r="J471" t="s">
        <v>4674</v>
      </c>
      <c r="K471" t="s">
        <v>1531</v>
      </c>
      <c r="M471" t="s">
        <v>1532</v>
      </c>
      <c r="T471" t="s">
        <v>319</v>
      </c>
      <c r="U471" t="s">
        <v>781</v>
      </c>
      <c r="Z471">
        <v>14</v>
      </c>
      <c r="AA471" s="31">
        <v>46084</v>
      </c>
      <c r="AB471" s="61">
        <v>0.65028935185185188</v>
      </c>
      <c r="AC471" t="s">
        <v>795</v>
      </c>
      <c r="AD471" s="31">
        <v>46098</v>
      </c>
      <c r="AE471" s="61">
        <v>0.71456018518518516</v>
      </c>
      <c r="AF471" t="s">
        <v>796</v>
      </c>
      <c r="AK471" t="s">
        <v>4675</v>
      </c>
      <c r="AL471" t="s">
        <v>2119</v>
      </c>
      <c r="AP471" t="s">
        <v>321</v>
      </c>
      <c r="AQ471">
        <v>1</v>
      </c>
    </row>
    <row r="472" spans="1:43" hidden="1" x14ac:dyDescent="0.25">
      <c r="A472" t="s">
        <v>31</v>
      </c>
      <c r="B472">
        <v>989</v>
      </c>
      <c r="C472">
        <v>154</v>
      </c>
      <c r="D472">
        <v>3337</v>
      </c>
      <c r="E472" t="s">
        <v>6529</v>
      </c>
      <c r="G472" t="s">
        <v>486</v>
      </c>
      <c r="H472">
        <v>790751000159</v>
      </c>
      <c r="I472" t="s">
        <v>3456</v>
      </c>
      <c r="J472" t="s">
        <v>1540</v>
      </c>
      <c r="K472" t="s">
        <v>3580</v>
      </c>
      <c r="M472" t="s">
        <v>3459</v>
      </c>
      <c r="T472" t="s">
        <v>319</v>
      </c>
      <c r="U472" t="s">
        <v>3417</v>
      </c>
      <c r="W472">
        <v>6000</v>
      </c>
      <c r="X472">
        <v>2000</v>
      </c>
      <c r="Z472">
        <v>78</v>
      </c>
      <c r="AA472" s="31">
        <v>46084</v>
      </c>
      <c r="AB472" s="61">
        <v>0.69407407407407407</v>
      </c>
      <c r="AC472" t="s">
        <v>782</v>
      </c>
      <c r="AD472" s="31"/>
      <c r="AE472" s="61"/>
      <c r="AH472" t="s">
        <v>4675</v>
      </c>
      <c r="AI472" t="s">
        <v>4675</v>
      </c>
      <c r="AK472" t="s">
        <v>5866</v>
      </c>
      <c r="AL472" t="s">
        <v>2119</v>
      </c>
      <c r="AP472" t="s">
        <v>2922</v>
      </c>
      <c r="AQ472">
        <v>1</v>
      </c>
    </row>
    <row r="473" spans="1:43" hidden="1" x14ac:dyDescent="0.25">
      <c r="A473" t="s">
        <v>31</v>
      </c>
      <c r="B473">
        <v>992</v>
      </c>
      <c r="C473">
        <v>170</v>
      </c>
      <c r="D473">
        <v>3340</v>
      </c>
      <c r="G473" t="s">
        <v>460</v>
      </c>
      <c r="H473">
        <v>4150555001304</v>
      </c>
      <c r="I473" t="s">
        <v>3477</v>
      </c>
      <c r="J473" t="s">
        <v>3477</v>
      </c>
      <c r="K473" t="s">
        <v>3569</v>
      </c>
      <c r="M473" t="s">
        <v>3480</v>
      </c>
      <c r="O473" t="s">
        <v>6444</v>
      </c>
      <c r="P473" t="s">
        <v>3482</v>
      </c>
      <c r="Q473" t="s">
        <v>1699</v>
      </c>
      <c r="T473" t="s">
        <v>319</v>
      </c>
      <c r="U473" t="s">
        <v>816</v>
      </c>
      <c r="W473">
        <v>74718</v>
      </c>
      <c r="X473">
        <v>0</v>
      </c>
      <c r="Z473">
        <v>13</v>
      </c>
      <c r="AA473" s="31">
        <v>46085</v>
      </c>
      <c r="AB473" s="61">
        <v>0.71363425925925927</v>
      </c>
      <c r="AC473" t="s">
        <v>818</v>
      </c>
      <c r="AD473" s="31">
        <v>46098</v>
      </c>
      <c r="AE473" s="61">
        <v>0.46490740740740738</v>
      </c>
      <c r="AH473" t="s">
        <v>4677</v>
      </c>
      <c r="AK473" t="s">
        <v>4677</v>
      </c>
      <c r="AL473" t="s">
        <v>5718</v>
      </c>
      <c r="AP473" t="s">
        <v>2605</v>
      </c>
      <c r="AQ473">
        <v>1</v>
      </c>
    </row>
    <row r="474" spans="1:43" hidden="1" x14ac:dyDescent="0.25">
      <c r="A474" t="s">
        <v>31</v>
      </c>
      <c r="B474">
        <v>998</v>
      </c>
      <c r="C474">
        <v>129</v>
      </c>
      <c r="D474">
        <v>3359</v>
      </c>
      <c r="E474" t="s">
        <v>6530</v>
      </c>
      <c r="G474" t="s">
        <v>490</v>
      </c>
      <c r="H474">
        <v>2867917000113</v>
      </c>
      <c r="I474" t="s">
        <v>679</v>
      </c>
      <c r="J474" t="s">
        <v>679</v>
      </c>
      <c r="K474" t="s">
        <v>3537</v>
      </c>
      <c r="M474" t="s">
        <v>3366</v>
      </c>
      <c r="T474" t="s">
        <v>319</v>
      </c>
      <c r="U474" t="s">
        <v>3417</v>
      </c>
      <c r="W474">
        <v>1680</v>
      </c>
      <c r="X474">
        <v>3564</v>
      </c>
      <c r="Z474">
        <v>52</v>
      </c>
      <c r="AA474" s="31">
        <v>46090</v>
      </c>
      <c r="AB474" s="61">
        <v>0.72798611111111111</v>
      </c>
      <c r="AC474" t="s">
        <v>795</v>
      </c>
      <c r="AD474" s="31">
        <v>46142</v>
      </c>
      <c r="AE474" s="61">
        <v>0.75043981481481481</v>
      </c>
      <c r="AF474" t="s">
        <v>796</v>
      </c>
      <c r="AH474" t="s">
        <v>4679</v>
      </c>
      <c r="AI474" t="s">
        <v>4679</v>
      </c>
      <c r="AK474" t="s">
        <v>6531</v>
      </c>
      <c r="AL474" t="s">
        <v>2119</v>
      </c>
      <c r="AP474" t="s">
        <v>2605</v>
      </c>
      <c r="AQ474">
        <v>1</v>
      </c>
    </row>
    <row r="475" spans="1:43" hidden="1" x14ac:dyDescent="0.25">
      <c r="A475" t="s">
        <v>31</v>
      </c>
      <c r="B475">
        <v>1010</v>
      </c>
      <c r="C475">
        <v>141</v>
      </c>
      <c r="D475">
        <v>3366</v>
      </c>
      <c r="G475" t="s">
        <v>434</v>
      </c>
      <c r="I475" t="s">
        <v>434</v>
      </c>
      <c r="J475" t="s">
        <v>434</v>
      </c>
      <c r="K475" t="s">
        <v>4127</v>
      </c>
      <c r="M475" t="s">
        <v>3396</v>
      </c>
      <c r="T475" t="s">
        <v>319</v>
      </c>
      <c r="U475" t="s">
        <v>816</v>
      </c>
      <c r="W475">
        <v>1600</v>
      </c>
      <c r="X475">
        <v>34428</v>
      </c>
      <c r="Z475">
        <v>8</v>
      </c>
      <c r="AA475" s="31">
        <v>46092</v>
      </c>
      <c r="AB475" s="61">
        <v>0.47452546296296289</v>
      </c>
      <c r="AC475" t="s">
        <v>818</v>
      </c>
      <c r="AD475" s="31">
        <v>46100</v>
      </c>
      <c r="AE475" s="61">
        <v>0.6378935185185185</v>
      </c>
      <c r="AH475" t="s">
        <v>4680</v>
      </c>
      <c r="AK475" t="s">
        <v>4680</v>
      </c>
      <c r="AL475" t="s">
        <v>2119</v>
      </c>
      <c r="AP475" t="s">
        <v>53</v>
      </c>
      <c r="AQ475">
        <v>1</v>
      </c>
    </row>
    <row r="476" spans="1:43" hidden="1" x14ac:dyDescent="0.25">
      <c r="A476" t="s">
        <v>31</v>
      </c>
      <c r="B476">
        <v>1028</v>
      </c>
      <c r="D476">
        <v>3398</v>
      </c>
      <c r="G476" t="s">
        <v>471</v>
      </c>
      <c r="H476">
        <v>10303813000104</v>
      </c>
      <c r="J476" t="s">
        <v>1243</v>
      </c>
      <c r="K476" t="s">
        <v>4556</v>
      </c>
      <c r="M476" t="s">
        <v>4384</v>
      </c>
      <c r="T476" t="s">
        <v>319</v>
      </c>
      <c r="U476" t="s">
        <v>816</v>
      </c>
      <c r="W476">
        <v>2100</v>
      </c>
      <c r="X476">
        <v>0</v>
      </c>
      <c r="Z476">
        <v>0</v>
      </c>
      <c r="AA476" s="31">
        <v>46098</v>
      </c>
      <c r="AB476" s="61">
        <v>0.62350694444444443</v>
      </c>
      <c r="AC476" t="s">
        <v>818</v>
      </c>
      <c r="AD476" s="31">
        <v>46098</v>
      </c>
      <c r="AE476" s="61">
        <v>0.71381944444444445</v>
      </c>
      <c r="AH476" t="s">
        <v>4681</v>
      </c>
      <c r="AK476" t="s">
        <v>4682</v>
      </c>
      <c r="AL476" t="s">
        <v>4299</v>
      </c>
      <c r="AP476" t="s">
        <v>63</v>
      </c>
      <c r="AQ476">
        <v>1</v>
      </c>
    </row>
    <row r="477" spans="1:43" hidden="1" x14ac:dyDescent="0.25">
      <c r="A477" t="s">
        <v>31</v>
      </c>
      <c r="B477">
        <v>1036</v>
      </c>
      <c r="C477">
        <v>184</v>
      </c>
      <c r="D477">
        <v>3406</v>
      </c>
      <c r="E477" t="s">
        <v>6532</v>
      </c>
      <c r="G477" t="s">
        <v>453</v>
      </c>
      <c r="H477">
        <v>11861121000144</v>
      </c>
      <c r="I477" t="s">
        <v>3877</v>
      </c>
      <c r="J477" t="s">
        <v>3877</v>
      </c>
      <c r="K477" t="s">
        <v>3879</v>
      </c>
      <c r="M477" t="s">
        <v>3880</v>
      </c>
      <c r="O477" t="s">
        <v>6491</v>
      </c>
      <c r="P477" t="s">
        <v>1094</v>
      </c>
      <c r="Q477" t="s">
        <v>790</v>
      </c>
      <c r="T477" t="s">
        <v>319</v>
      </c>
      <c r="U477" t="s">
        <v>3417</v>
      </c>
      <c r="W477">
        <v>8100</v>
      </c>
      <c r="X477">
        <v>1080</v>
      </c>
      <c r="Z477">
        <v>34</v>
      </c>
      <c r="AA477" s="31">
        <v>46100</v>
      </c>
      <c r="AB477" s="61">
        <v>0.42835648148148148</v>
      </c>
      <c r="AC477" t="s">
        <v>795</v>
      </c>
      <c r="AD477" s="31">
        <v>46134</v>
      </c>
      <c r="AE477" s="61">
        <v>0.41387731481481482</v>
      </c>
      <c r="AF477" t="s">
        <v>796</v>
      </c>
      <c r="AH477" t="s">
        <v>4684</v>
      </c>
      <c r="AI477" t="s">
        <v>4684</v>
      </c>
      <c r="AJ477" t="s">
        <v>4649</v>
      </c>
      <c r="AK477" t="s">
        <v>6531</v>
      </c>
      <c r="AL477" t="s">
        <v>2119</v>
      </c>
      <c r="AP477" t="s">
        <v>52</v>
      </c>
      <c r="AQ477">
        <v>1</v>
      </c>
    </row>
    <row r="478" spans="1:43" hidden="1" x14ac:dyDescent="0.25">
      <c r="A478" t="s">
        <v>31</v>
      </c>
      <c r="B478">
        <v>1039</v>
      </c>
      <c r="C478">
        <v>97</v>
      </c>
      <c r="D478">
        <v>3407</v>
      </c>
      <c r="E478" t="s">
        <v>6533</v>
      </c>
      <c r="G478" t="s">
        <v>494</v>
      </c>
      <c r="H478">
        <v>22500484000170</v>
      </c>
      <c r="I478" t="s">
        <v>669</v>
      </c>
      <c r="J478" t="s">
        <v>669</v>
      </c>
      <c r="K478" t="s">
        <v>4035</v>
      </c>
      <c r="M478" t="s">
        <v>3294</v>
      </c>
      <c r="T478" t="s">
        <v>319</v>
      </c>
      <c r="U478" t="s">
        <v>816</v>
      </c>
      <c r="W478">
        <v>4200</v>
      </c>
      <c r="X478">
        <v>0</v>
      </c>
      <c r="Z478">
        <v>26</v>
      </c>
      <c r="AA478" s="31">
        <v>46100</v>
      </c>
      <c r="AB478" s="61">
        <v>0.68789351851851854</v>
      </c>
      <c r="AC478" t="s">
        <v>795</v>
      </c>
      <c r="AD478" s="31">
        <v>46126</v>
      </c>
      <c r="AE478" s="61">
        <v>0.70424768518518521</v>
      </c>
      <c r="AF478" t="s">
        <v>796</v>
      </c>
      <c r="AH478" t="s">
        <v>4684</v>
      </c>
      <c r="AK478" t="s">
        <v>4684</v>
      </c>
      <c r="AL478" t="s">
        <v>2119</v>
      </c>
      <c r="AP478" t="s">
        <v>318</v>
      </c>
      <c r="AQ478">
        <v>1</v>
      </c>
    </row>
    <row r="479" spans="1:43" hidden="1" x14ac:dyDescent="0.25">
      <c r="A479" t="s">
        <v>31</v>
      </c>
      <c r="B479">
        <v>1043</v>
      </c>
      <c r="C479">
        <v>149</v>
      </c>
      <c r="D479">
        <v>3415</v>
      </c>
      <c r="E479" t="s">
        <v>6534</v>
      </c>
      <c r="G479" t="s">
        <v>498</v>
      </c>
      <c r="H479">
        <v>12418196000118</v>
      </c>
      <c r="I479" t="s">
        <v>3645</v>
      </c>
      <c r="J479" t="s">
        <v>3645</v>
      </c>
      <c r="K479" t="s">
        <v>3647</v>
      </c>
      <c r="M479" t="s">
        <v>3648</v>
      </c>
      <c r="T479" t="s">
        <v>319</v>
      </c>
      <c r="U479" t="s">
        <v>3417</v>
      </c>
      <c r="W479">
        <v>25200</v>
      </c>
      <c r="X479">
        <v>104544</v>
      </c>
      <c r="Z479">
        <v>58</v>
      </c>
      <c r="AA479" s="31">
        <v>46104</v>
      </c>
      <c r="AB479" s="61">
        <v>0.45837962962962958</v>
      </c>
      <c r="AC479" t="s">
        <v>782</v>
      </c>
      <c r="AD479" s="31"/>
      <c r="AE479" s="61"/>
      <c r="AH479" t="s">
        <v>4687</v>
      </c>
      <c r="AK479" t="s">
        <v>4687</v>
      </c>
      <c r="AL479" t="s">
        <v>2119</v>
      </c>
      <c r="AM479" t="s">
        <v>6535</v>
      </c>
      <c r="AP479" t="s">
        <v>2605</v>
      </c>
      <c r="AQ479">
        <v>1</v>
      </c>
    </row>
    <row r="480" spans="1:43" hidden="1" x14ac:dyDescent="0.25">
      <c r="A480" t="s">
        <v>31</v>
      </c>
      <c r="B480">
        <v>1048</v>
      </c>
      <c r="C480">
        <v>137</v>
      </c>
      <c r="D480">
        <v>3418</v>
      </c>
      <c r="E480" t="s">
        <v>4688</v>
      </c>
      <c r="G480" t="s">
        <v>501</v>
      </c>
      <c r="I480" t="s">
        <v>116</v>
      </c>
      <c r="J480" t="s">
        <v>116</v>
      </c>
      <c r="K480" t="s">
        <v>3703</v>
      </c>
      <c r="M480" t="s">
        <v>3386</v>
      </c>
      <c r="T480" t="s">
        <v>319</v>
      </c>
      <c r="U480" t="s">
        <v>816</v>
      </c>
      <c r="W480">
        <v>0</v>
      </c>
      <c r="X480">
        <v>4752</v>
      </c>
      <c r="Z480">
        <v>8</v>
      </c>
      <c r="AA480" s="31">
        <v>46105</v>
      </c>
      <c r="AB480" s="61">
        <v>0.67633101851851851</v>
      </c>
      <c r="AC480" t="s">
        <v>818</v>
      </c>
      <c r="AD480" s="31">
        <v>46113</v>
      </c>
      <c r="AE480" s="61">
        <v>0.40630787037037042</v>
      </c>
      <c r="AH480" t="s">
        <v>4689</v>
      </c>
      <c r="AK480" t="s">
        <v>4649</v>
      </c>
      <c r="AL480" t="s">
        <v>2119</v>
      </c>
      <c r="AP480" t="s">
        <v>2605</v>
      </c>
      <c r="AQ480">
        <v>1</v>
      </c>
    </row>
    <row r="481" spans="1:43" hidden="1" x14ac:dyDescent="0.25">
      <c r="A481" t="s">
        <v>31</v>
      </c>
      <c r="B481">
        <v>1056</v>
      </c>
      <c r="C481">
        <v>210</v>
      </c>
      <c r="D481">
        <v>3431</v>
      </c>
      <c r="E481" t="s">
        <v>4690</v>
      </c>
      <c r="G481" t="s">
        <v>476</v>
      </c>
      <c r="H481">
        <v>51781567000183</v>
      </c>
      <c r="I481" t="s">
        <v>3886</v>
      </c>
      <c r="J481" t="s">
        <v>3886</v>
      </c>
      <c r="K481" t="s">
        <v>3887</v>
      </c>
      <c r="M481" t="s">
        <v>3888</v>
      </c>
      <c r="O481" t="s">
        <v>6492</v>
      </c>
      <c r="P481" t="s">
        <v>3890</v>
      </c>
      <c r="Q481" t="s">
        <v>932</v>
      </c>
      <c r="T481" t="s">
        <v>319</v>
      </c>
      <c r="U481" t="s">
        <v>816</v>
      </c>
      <c r="W481">
        <v>0</v>
      </c>
      <c r="X481">
        <v>1080</v>
      </c>
      <c r="Z481">
        <v>4</v>
      </c>
      <c r="AA481" s="31">
        <v>46108</v>
      </c>
      <c r="AB481" s="61">
        <v>0.6171875</v>
      </c>
      <c r="AC481" t="s">
        <v>818</v>
      </c>
      <c r="AD481" s="31">
        <v>46112</v>
      </c>
      <c r="AE481" s="61">
        <v>0.64339120370370373</v>
      </c>
      <c r="AH481" t="s">
        <v>4691</v>
      </c>
      <c r="AK481" t="s">
        <v>4691</v>
      </c>
      <c r="AL481" t="s">
        <v>2119</v>
      </c>
      <c r="AP481" t="s">
        <v>52</v>
      </c>
      <c r="AQ481">
        <v>1</v>
      </c>
    </row>
    <row r="482" spans="1:43" hidden="1" x14ac:dyDescent="0.25">
      <c r="A482" t="s">
        <v>31</v>
      </c>
      <c r="B482">
        <v>1057</v>
      </c>
      <c r="C482">
        <v>187</v>
      </c>
      <c r="D482">
        <v>3432</v>
      </c>
      <c r="E482" t="s">
        <v>6536</v>
      </c>
      <c r="G482" t="s">
        <v>439</v>
      </c>
      <c r="H482">
        <v>17063632000105</v>
      </c>
      <c r="I482" t="s">
        <v>3631</v>
      </c>
      <c r="J482" t="s">
        <v>3631</v>
      </c>
      <c r="K482" t="s">
        <v>3633</v>
      </c>
      <c r="M482" t="s">
        <v>3634</v>
      </c>
      <c r="O482" t="s">
        <v>6464</v>
      </c>
      <c r="P482" t="s">
        <v>3636</v>
      </c>
      <c r="Q482" t="s">
        <v>1699</v>
      </c>
      <c r="T482" t="s">
        <v>319</v>
      </c>
      <c r="U482" t="s">
        <v>816</v>
      </c>
      <c r="W482">
        <v>861975</v>
      </c>
      <c r="X482">
        <v>0</v>
      </c>
      <c r="Z482">
        <v>10</v>
      </c>
      <c r="AA482" s="31">
        <v>46108</v>
      </c>
      <c r="AB482" s="61">
        <v>0.63226851851851851</v>
      </c>
      <c r="AC482" t="s">
        <v>795</v>
      </c>
      <c r="AD482" s="31">
        <v>46118</v>
      </c>
      <c r="AE482" s="61">
        <v>0.69535879629629627</v>
      </c>
      <c r="AF482" t="s">
        <v>934</v>
      </c>
      <c r="AH482" t="s">
        <v>4691</v>
      </c>
      <c r="AK482" t="s">
        <v>4691</v>
      </c>
      <c r="AL482" t="s">
        <v>2119</v>
      </c>
      <c r="AP482" t="s">
        <v>2605</v>
      </c>
      <c r="AQ482">
        <v>1</v>
      </c>
    </row>
    <row r="483" spans="1:43" hidden="1" x14ac:dyDescent="0.25">
      <c r="A483" t="s">
        <v>31</v>
      </c>
      <c r="B483">
        <v>1058</v>
      </c>
      <c r="C483">
        <v>208</v>
      </c>
      <c r="D483">
        <v>3436</v>
      </c>
      <c r="E483" t="s">
        <v>4693</v>
      </c>
      <c r="G483" t="s">
        <v>503</v>
      </c>
      <c r="H483">
        <v>42830750000130</v>
      </c>
      <c r="I483" t="s">
        <v>3903</v>
      </c>
      <c r="J483" t="s">
        <v>3903</v>
      </c>
      <c r="K483" t="s">
        <v>3905</v>
      </c>
      <c r="M483" t="s">
        <v>4594</v>
      </c>
      <c r="O483" t="s">
        <v>6494</v>
      </c>
      <c r="P483" t="s">
        <v>1094</v>
      </c>
      <c r="Q483" t="s">
        <v>790</v>
      </c>
      <c r="T483" t="s">
        <v>319</v>
      </c>
      <c r="U483" t="s">
        <v>816</v>
      </c>
      <c r="W483">
        <v>1680</v>
      </c>
      <c r="X483">
        <v>7128</v>
      </c>
      <c r="Z483">
        <v>28</v>
      </c>
      <c r="AA483" s="31">
        <v>46108</v>
      </c>
      <c r="AB483" s="61">
        <v>0.6628356481481481</v>
      </c>
      <c r="AC483" t="s">
        <v>795</v>
      </c>
      <c r="AD483" s="31">
        <v>46136</v>
      </c>
      <c r="AE483" s="61">
        <v>0.42043981481481479</v>
      </c>
      <c r="AF483" t="s">
        <v>796</v>
      </c>
      <c r="AH483" t="s">
        <v>4691</v>
      </c>
      <c r="AK483" t="s">
        <v>6537</v>
      </c>
      <c r="AL483" t="s">
        <v>2119</v>
      </c>
      <c r="AP483" t="s">
        <v>2605</v>
      </c>
      <c r="AQ483">
        <v>1</v>
      </c>
    </row>
    <row r="484" spans="1:43" hidden="1" x14ac:dyDescent="0.25">
      <c r="A484" t="s">
        <v>31</v>
      </c>
      <c r="B484">
        <v>1070</v>
      </c>
      <c r="C484">
        <v>211</v>
      </c>
      <c r="D484">
        <v>3473</v>
      </c>
      <c r="E484" t="s">
        <v>6538</v>
      </c>
      <c r="G484" t="s">
        <v>505</v>
      </c>
      <c r="H484">
        <v>5691820000190</v>
      </c>
      <c r="I484" t="s">
        <v>3912</v>
      </c>
      <c r="J484" t="s">
        <v>3912</v>
      </c>
      <c r="K484" t="s">
        <v>3913</v>
      </c>
      <c r="M484" t="s">
        <v>3914</v>
      </c>
      <c r="O484" t="s">
        <v>6495</v>
      </c>
      <c r="P484" t="s">
        <v>1026</v>
      </c>
      <c r="Q484" t="s">
        <v>1027</v>
      </c>
      <c r="T484" t="s">
        <v>319</v>
      </c>
      <c r="U484" t="s">
        <v>816</v>
      </c>
      <c r="W484">
        <v>13100</v>
      </c>
      <c r="X484">
        <v>1700</v>
      </c>
      <c r="Z484">
        <v>20</v>
      </c>
      <c r="AA484" s="31">
        <v>46112</v>
      </c>
      <c r="AB484" s="61">
        <v>0.69315972222222222</v>
      </c>
      <c r="AC484" t="s">
        <v>818</v>
      </c>
      <c r="AD484" s="31">
        <v>46132</v>
      </c>
      <c r="AE484" s="61">
        <v>0.41349537037037037</v>
      </c>
      <c r="AH484" t="s">
        <v>4695</v>
      </c>
      <c r="AI484" t="s">
        <v>4695</v>
      </c>
      <c r="AK484" t="s">
        <v>4695</v>
      </c>
      <c r="AL484" t="s">
        <v>2119</v>
      </c>
      <c r="AP484" t="s">
        <v>69</v>
      </c>
      <c r="AQ484">
        <v>1</v>
      </c>
    </row>
    <row r="485" spans="1:43" hidden="1" x14ac:dyDescent="0.25">
      <c r="A485" t="s">
        <v>31</v>
      </c>
      <c r="B485">
        <v>1071</v>
      </c>
      <c r="C485">
        <v>185</v>
      </c>
      <c r="D485">
        <v>3475</v>
      </c>
      <c r="G485" t="s">
        <v>441</v>
      </c>
      <c r="H485">
        <v>51496785000176</v>
      </c>
      <c r="I485" t="s">
        <v>3599</v>
      </c>
      <c r="J485" t="s">
        <v>3599</v>
      </c>
      <c r="K485" t="s">
        <v>3601</v>
      </c>
      <c r="M485" t="s">
        <v>3602</v>
      </c>
      <c r="O485" t="s">
        <v>6460</v>
      </c>
      <c r="P485" t="s">
        <v>847</v>
      </c>
      <c r="Q485" t="s">
        <v>848</v>
      </c>
      <c r="T485" t="s">
        <v>319</v>
      </c>
      <c r="U485" t="s">
        <v>816</v>
      </c>
      <c r="Z485">
        <v>12</v>
      </c>
      <c r="AA485" s="31">
        <v>46113</v>
      </c>
      <c r="AB485" s="61">
        <v>0.4354513888888889</v>
      </c>
      <c r="AC485" t="s">
        <v>818</v>
      </c>
      <c r="AD485" s="31">
        <v>46125</v>
      </c>
      <c r="AE485" s="61">
        <v>0.49717592592592591</v>
      </c>
      <c r="AH485" t="s">
        <v>4696</v>
      </c>
      <c r="AI485" t="s">
        <v>4696</v>
      </c>
      <c r="AK485" t="s">
        <v>4696</v>
      </c>
      <c r="AL485" t="s">
        <v>2119</v>
      </c>
      <c r="AP485" t="s">
        <v>2605</v>
      </c>
      <c r="AQ485">
        <v>1</v>
      </c>
    </row>
    <row r="486" spans="1:43" hidden="1" x14ac:dyDescent="0.25">
      <c r="A486" t="s">
        <v>31</v>
      </c>
      <c r="B486">
        <v>1108</v>
      </c>
      <c r="C486">
        <v>107</v>
      </c>
      <c r="D486">
        <v>3537</v>
      </c>
      <c r="E486" t="s">
        <v>4697</v>
      </c>
      <c r="G486" t="s">
        <v>427</v>
      </c>
      <c r="H486">
        <v>7527737000297</v>
      </c>
      <c r="I486" t="s">
        <v>427</v>
      </c>
      <c r="J486" t="s">
        <v>427</v>
      </c>
      <c r="M486" t="s">
        <v>3320</v>
      </c>
      <c r="T486" t="s">
        <v>319</v>
      </c>
      <c r="U486" t="s">
        <v>816</v>
      </c>
      <c r="W486">
        <v>420</v>
      </c>
      <c r="X486">
        <v>3564</v>
      </c>
      <c r="Z486">
        <v>27</v>
      </c>
      <c r="AA486" s="31">
        <v>46126</v>
      </c>
      <c r="AB486" s="61">
        <v>0.65339120370370374</v>
      </c>
      <c r="AC486" t="s">
        <v>818</v>
      </c>
      <c r="AD486" s="31">
        <v>46153</v>
      </c>
      <c r="AE486" s="61">
        <v>0.47436342592592601</v>
      </c>
      <c r="AH486" t="s">
        <v>4698</v>
      </c>
      <c r="AI486" t="s">
        <v>4698</v>
      </c>
      <c r="AK486" t="s">
        <v>6539</v>
      </c>
      <c r="AL486" t="s">
        <v>2119</v>
      </c>
      <c r="AP486" t="s">
        <v>2605</v>
      </c>
      <c r="AQ486">
        <v>1</v>
      </c>
    </row>
    <row r="487" spans="1:43" hidden="1" x14ac:dyDescent="0.25">
      <c r="A487" t="s">
        <v>31</v>
      </c>
      <c r="B487">
        <v>1109</v>
      </c>
      <c r="C487">
        <v>190</v>
      </c>
      <c r="D487">
        <v>3538</v>
      </c>
      <c r="E487" t="s">
        <v>6540</v>
      </c>
      <c r="G487" t="s">
        <v>447</v>
      </c>
      <c r="H487">
        <v>18203215000175</v>
      </c>
      <c r="I487" t="s">
        <v>3690</v>
      </c>
      <c r="J487" t="s">
        <v>3690</v>
      </c>
      <c r="K487" t="s">
        <v>3692</v>
      </c>
      <c r="M487" t="s">
        <v>3693</v>
      </c>
      <c r="O487" t="s">
        <v>6470</v>
      </c>
      <c r="P487" t="s">
        <v>3695</v>
      </c>
      <c r="Q487" t="s">
        <v>790</v>
      </c>
      <c r="T487" t="s">
        <v>319</v>
      </c>
      <c r="U487" t="s">
        <v>3417</v>
      </c>
      <c r="W487">
        <v>6000</v>
      </c>
      <c r="X487">
        <v>2000</v>
      </c>
      <c r="Z487">
        <v>1</v>
      </c>
      <c r="AA487" s="31">
        <v>46126</v>
      </c>
      <c r="AB487" s="61">
        <v>0.65795138888888893</v>
      </c>
      <c r="AC487" t="s">
        <v>795</v>
      </c>
      <c r="AD487" s="31">
        <v>46127</v>
      </c>
      <c r="AE487" s="61">
        <v>0.53789351851851852</v>
      </c>
      <c r="AF487" t="s">
        <v>1358</v>
      </c>
      <c r="AH487" t="s">
        <v>4698</v>
      </c>
      <c r="AI487" t="s">
        <v>4698</v>
      </c>
      <c r="AK487" t="s">
        <v>4698</v>
      </c>
      <c r="AL487" t="s">
        <v>2119</v>
      </c>
      <c r="AP487" t="s">
        <v>2922</v>
      </c>
      <c r="AQ487">
        <v>1</v>
      </c>
    </row>
    <row r="488" spans="1:43" hidden="1" x14ac:dyDescent="0.25">
      <c r="A488" t="s">
        <v>31</v>
      </c>
      <c r="B488">
        <v>1110</v>
      </c>
      <c r="C488">
        <v>190</v>
      </c>
      <c r="D488">
        <v>3539</v>
      </c>
      <c r="E488" t="s">
        <v>4699</v>
      </c>
      <c r="G488" t="s">
        <v>3689</v>
      </c>
      <c r="H488">
        <v>18203215000175</v>
      </c>
      <c r="I488" t="s">
        <v>3690</v>
      </c>
      <c r="J488" t="s">
        <v>3690</v>
      </c>
      <c r="K488" t="s">
        <v>3692</v>
      </c>
      <c r="M488" t="s">
        <v>3693</v>
      </c>
      <c r="O488" t="s">
        <v>6470</v>
      </c>
      <c r="P488" t="s">
        <v>3695</v>
      </c>
      <c r="Q488" t="s">
        <v>790</v>
      </c>
      <c r="T488" t="s">
        <v>319</v>
      </c>
      <c r="U488" t="s">
        <v>3417</v>
      </c>
      <c r="W488">
        <v>8100</v>
      </c>
      <c r="X488">
        <v>1080</v>
      </c>
      <c r="Z488">
        <v>36</v>
      </c>
      <c r="AA488" s="31">
        <v>46126</v>
      </c>
      <c r="AB488" s="61">
        <v>0.65972222222222221</v>
      </c>
      <c r="AC488" t="s">
        <v>782</v>
      </c>
      <c r="AD488" s="31"/>
      <c r="AE488" s="61"/>
      <c r="AH488" t="s">
        <v>5866</v>
      </c>
      <c r="AI488" t="s">
        <v>5866</v>
      </c>
      <c r="AK488" t="s">
        <v>5729</v>
      </c>
      <c r="AL488" t="s">
        <v>2119</v>
      </c>
      <c r="AP488" t="s">
        <v>52</v>
      </c>
      <c r="AQ488">
        <v>1</v>
      </c>
    </row>
    <row r="489" spans="1:43" hidden="1" x14ac:dyDescent="0.25">
      <c r="A489" t="s">
        <v>31</v>
      </c>
      <c r="B489">
        <v>1111</v>
      </c>
      <c r="C489">
        <v>190</v>
      </c>
      <c r="D489">
        <v>3540</v>
      </c>
      <c r="E489" t="s">
        <v>4701</v>
      </c>
      <c r="G489" t="s">
        <v>4702</v>
      </c>
      <c r="H489">
        <v>18203215000175</v>
      </c>
      <c r="I489" t="s">
        <v>3690</v>
      </c>
      <c r="J489" t="s">
        <v>3690</v>
      </c>
      <c r="K489" t="s">
        <v>3692</v>
      </c>
      <c r="M489" t="s">
        <v>3693</v>
      </c>
      <c r="O489" t="s">
        <v>6470</v>
      </c>
      <c r="P489" t="s">
        <v>3695</v>
      </c>
      <c r="Q489" t="s">
        <v>790</v>
      </c>
      <c r="T489" t="s">
        <v>319</v>
      </c>
      <c r="U489" t="s">
        <v>816</v>
      </c>
      <c r="W489">
        <v>13020</v>
      </c>
      <c r="X489">
        <v>68904</v>
      </c>
      <c r="Z489">
        <v>29</v>
      </c>
      <c r="AA489" s="31">
        <v>46126</v>
      </c>
      <c r="AB489" s="61">
        <v>0.66122685185185182</v>
      </c>
      <c r="AC489" t="s">
        <v>818</v>
      </c>
      <c r="AD489" s="31">
        <v>46155</v>
      </c>
      <c r="AE489" s="61">
        <v>0.70854166666666663</v>
      </c>
      <c r="AH489" t="s">
        <v>6537</v>
      </c>
      <c r="AI489" t="s">
        <v>5865</v>
      </c>
      <c r="AK489" t="s">
        <v>5679</v>
      </c>
      <c r="AL489" t="s">
        <v>6541</v>
      </c>
      <c r="AP489" t="s">
        <v>2605</v>
      </c>
      <c r="AQ489">
        <v>1</v>
      </c>
    </row>
    <row r="490" spans="1:43" hidden="1" x14ac:dyDescent="0.25">
      <c r="A490" t="s">
        <v>31</v>
      </c>
      <c r="B490">
        <v>1112</v>
      </c>
      <c r="C490">
        <v>108</v>
      </c>
      <c r="D490">
        <v>3541</v>
      </c>
      <c r="G490" t="s">
        <v>455</v>
      </c>
      <c r="I490" t="s">
        <v>3321</v>
      </c>
      <c r="J490" t="s">
        <v>3321</v>
      </c>
      <c r="M490" t="s">
        <v>3322</v>
      </c>
      <c r="T490" t="s">
        <v>319</v>
      </c>
      <c r="U490" t="s">
        <v>3417</v>
      </c>
      <c r="W490">
        <v>6000</v>
      </c>
      <c r="X490">
        <v>2000</v>
      </c>
      <c r="Z490">
        <v>14</v>
      </c>
      <c r="AA490" s="31">
        <v>46126</v>
      </c>
      <c r="AB490" s="61">
        <v>0.66817129629629635</v>
      </c>
      <c r="AC490" t="s">
        <v>795</v>
      </c>
      <c r="AD490" s="31">
        <v>46140</v>
      </c>
      <c r="AE490" s="61">
        <v>0.52344907407407404</v>
      </c>
      <c r="AF490" t="s">
        <v>867</v>
      </c>
      <c r="AH490" t="s">
        <v>4698</v>
      </c>
      <c r="AI490" t="s">
        <v>4698</v>
      </c>
      <c r="AK490" t="s">
        <v>4698</v>
      </c>
      <c r="AL490" t="s">
        <v>2119</v>
      </c>
      <c r="AP490" t="s">
        <v>2922</v>
      </c>
      <c r="AQ490">
        <v>1</v>
      </c>
    </row>
    <row r="491" spans="1:43" hidden="1" x14ac:dyDescent="0.25">
      <c r="A491" t="s">
        <v>31</v>
      </c>
      <c r="B491">
        <v>1115</v>
      </c>
      <c r="C491">
        <v>141</v>
      </c>
      <c r="D491">
        <v>3550</v>
      </c>
      <c r="E491" t="s">
        <v>6542</v>
      </c>
      <c r="G491" t="s">
        <v>434</v>
      </c>
      <c r="I491" t="s">
        <v>434</v>
      </c>
      <c r="J491" t="s">
        <v>434</v>
      </c>
      <c r="K491" t="s">
        <v>4127</v>
      </c>
      <c r="M491" t="s">
        <v>3396</v>
      </c>
      <c r="T491" t="s">
        <v>319</v>
      </c>
      <c r="U491" t="s">
        <v>3417</v>
      </c>
      <c r="W491">
        <v>420</v>
      </c>
      <c r="X491">
        <v>0</v>
      </c>
      <c r="Z491">
        <v>9</v>
      </c>
      <c r="AA491" s="31">
        <v>46127</v>
      </c>
      <c r="AB491" s="61">
        <v>0.50359953703703708</v>
      </c>
      <c r="AC491" t="s">
        <v>795</v>
      </c>
      <c r="AD491" s="31">
        <v>46136</v>
      </c>
      <c r="AE491" s="61">
        <v>0.44840277777777782</v>
      </c>
      <c r="AF491" t="s">
        <v>796</v>
      </c>
      <c r="AH491" t="s">
        <v>4703</v>
      </c>
      <c r="AK491" t="s">
        <v>6537</v>
      </c>
      <c r="AL491" t="s">
        <v>2119</v>
      </c>
      <c r="AP491" t="s">
        <v>318</v>
      </c>
      <c r="AQ491">
        <v>1</v>
      </c>
    </row>
    <row r="492" spans="1:43" hidden="1" x14ac:dyDescent="0.25">
      <c r="A492" t="s">
        <v>31</v>
      </c>
      <c r="B492">
        <v>1118</v>
      </c>
      <c r="C492">
        <v>134</v>
      </c>
      <c r="D492">
        <v>3551</v>
      </c>
      <c r="G492" t="s">
        <v>6543</v>
      </c>
      <c r="I492" t="s">
        <v>3377</v>
      </c>
      <c r="J492" t="s">
        <v>3377</v>
      </c>
      <c r="K492" t="s">
        <v>3830</v>
      </c>
      <c r="M492" t="s">
        <v>3379</v>
      </c>
      <c r="T492" t="s">
        <v>319</v>
      </c>
      <c r="U492" t="s">
        <v>3417</v>
      </c>
      <c r="W492">
        <v>3360</v>
      </c>
      <c r="X492">
        <v>0</v>
      </c>
      <c r="Z492">
        <v>27</v>
      </c>
      <c r="AA492" s="31">
        <v>46127</v>
      </c>
      <c r="AB492" s="61">
        <v>0.66628472222222224</v>
      </c>
      <c r="AC492" t="s">
        <v>795</v>
      </c>
      <c r="AD492" s="31">
        <v>46154</v>
      </c>
      <c r="AE492" s="61">
        <v>0.73130787037037037</v>
      </c>
      <c r="AF492" t="s">
        <v>934</v>
      </c>
      <c r="AH492" t="s">
        <v>4703</v>
      </c>
      <c r="AK492" t="s">
        <v>5848</v>
      </c>
      <c r="AL492" t="s">
        <v>2119</v>
      </c>
      <c r="AP492" t="s">
        <v>318</v>
      </c>
      <c r="AQ492">
        <v>1</v>
      </c>
    </row>
    <row r="493" spans="1:43" hidden="1" x14ac:dyDescent="0.25">
      <c r="A493" t="s">
        <v>31</v>
      </c>
      <c r="B493">
        <v>1119</v>
      </c>
      <c r="C493">
        <v>208</v>
      </c>
      <c r="D493">
        <v>3554</v>
      </c>
      <c r="G493" t="s">
        <v>6544</v>
      </c>
      <c r="H493">
        <v>42830750000130</v>
      </c>
      <c r="I493" t="s">
        <v>3903</v>
      </c>
      <c r="J493" t="s">
        <v>3903</v>
      </c>
      <c r="K493" t="s">
        <v>6545</v>
      </c>
      <c r="M493" t="s">
        <v>4594</v>
      </c>
      <c r="O493" t="s">
        <v>6494</v>
      </c>
      <c r="P493" t="s">
        <v>1094</v>
      </c>
      <c r="Q493" t="s">
        <v>790</v>
      </c>
      <c r="T493" t="s">
        <v>319</v>
      </c>
      <c r="U493" t="s">
        <v>3417</v>
      </c>
      <c r="W493">
        <v>13100</v>
      </c>
      <c r="X493">
        <v>1700</v>
      </c>
      <c r="Z493">
        <v>34</v>
      </c>
      <c r="AA493" s="31">
        <v>46128</v>
      </c>
      <c r="AB493" s="61">
        <v>0.67996527777777782</v>
      </c>
      <c r="AC493" t="s">
        <v>782</v>
      </c>
      <c r="AD493" s="31"/>
      <c r="AE493" s="61"/>
      <c r="AH493" t="s">
        <v>6075</v>
      </c>
      <c r="AI493" t="s">
        <v>6075</v>
      </c>
      <c r="AK493" t="s">
        <v>6546</v>
      </c>
      <c r="AL493" t="s">
        <v>2119</v>
      </c>
      <c r="AP493" t="s">
        <v>69</v>
      </c>
      <c r="AQ493">
        <v>1</v>
      </c>
    </row>
    <row r="494" spans="1:43" hidden="1" x14ac:dyDescent="0.25">
      <c r="A494" t="s">
        <v>31</v>
      </c>
      <c r="B494">
        <v>1124</v>
      </c>
      <c r="C494">
        <v>149</v>
      </c>
      <c r="D494">
        <v>3572</v>
      </c>
      <c r="G494" t="s">
        <v>6547</v>
      </c>
      <c r="H494">
        <v>12418196000118</v>
      </c>
      <c r="I494" t="s">
        <v>3645</v>
      </c>
      <c r="J494" t="s">
        <v>3645</v>
      </c>
      <c r="K494" t="s">
        <v>3647</v>
      </c>
      <c r="M494" t="s">
        <v>3648</v>
      </c>
      <c r="T494" t="s">
        <v>319</v>
      </c>
      <c r="U494" t="s">
        <v>3417</v>
      </c>
      <c r="W494">
        <v>0</v>
      </c>
      <c r="X494">
        <v>5394</v>
      </c>
      <c r="Z494">
        <v>4</v>
      </c>
      <c r="AA494" s="31">
        <v>46132</v>
      </c>
      <c r="AB494" s="61">
        <v>0.48947916666666669</v>
      </c>
      <c r="AC494" t="s">
        <v>795</v>
      </c>
      <c r="AD494" s="31">
        <v>46136</v>
      </c>
      <c r="AE494" s="61">
        <v>0.63063657407407403</v>
      </c>
      <c r="AF494" t="s">
        <v>934</v>
      </c>
      <c r="AH494" t="s">
        <v>6548</v>
      </c>
      <c r="AK494" t="s">
        <v>6548</v>
      </c>
      <c r="AL494" t="s">
        <v>2119</v>
      </c>
      <c r="AP494" t="s">
        <v>2605</v>
      </c>
      <c r="AQ494">
        <v>1</v>
      </c>
    </row>
    <row r="495" spans="1:43" hidden="1" x14ac:dyDescent="0.25">
      <c r="A495" t="s">
        <v>31</v>
      </c>
      <c r="B495">
        <v>1125</v>
      </c>
      <c r="C495">
        <v>122</v>
      </c>
      <c r="D495">
        <v>3573</v>
      </c>
      <c r="G495" t="s">
        <v>6549</v>
      </c>
      <c r="I495" t="s">
        <v>680</v>
      </c>
      <c r="J495" t="s">
        <v>680</v>
      </c>
      <c r="K495" t="s">
        <v>3867</v>
      </c>
      <c r="M495" t="s">
        <v>3351</v>
      </c>
      <c r="T495" t="s">
        <v>319</v>
      </c>
      <c r="U495" t="s">
        <v>3417</v>
      </c>
      <c r="Z495">
        <v>30</v>
      </c>
      <c r="AA495" s="31">
        <v>46132</v>
      </c>
      <c r="AB495" s="61">
        <v>0.51258101851851856</v>
      </c>
      <c r="AC495" t="s">
        <v>782</v>
      </c>
      <c r="AD495" s="31"/>
      <c r="AE495" s="61"/>
      <c r="AH495" t="s">
        <v>4703</v>
      </c>
      <c r="AK495" t="s">
        <v>6548</v>
      </c>
      <c r="AL495" t="s">
        <v>2119</v>
      </c>
      <c r="AP495" t="s">
        <v>53</v>
      </c>
      <c r="AQ495">
        <v>1</v>
      </c>
    </row>
    <row r="496" spans="1:43" hidden="1" x14ac:dyDescent="0.25">
      <c r="A496" t="s">
        <v>31</v>
      </c>
      <c r="B496">
        <v>1157</v>
      </c>
      <c r="D496">
        <v>3634</v>
      </c>
      <c r="G496" t="s">
        <v>914</v>
      </c>
      <c r="J496" t="s">
        <v>914</v>
      </c>
      <c r="K496" t="s">
        <v>2030</v>
      </c>
      <c r="T496" t="s">
        <v>319</v>
      </c>
      <c r="U496" t="s">
        <v>3417</v>
      </c>
      <c r="W496">
        <v>1600</v>
      </c>
      <c r="X496">
        <v>34428</v>
      </c>
      <c r="Z496">
        <v>0</v>
      </c>
      <c r="AA496" s="31">
        <v>46141</v>
      </c>
      <c r="AB496" s="61">
        <v>0.69233796296296302</v>
      </c>
      <c r="AC496" t="s">
        <v>795</v>
      </c>
      <c r="AD496" s="31">
        <v>46141</v>
      </c>
      <c r="AE496" s="61">
        <v>0.69530092592592596</v>
      </c>
      <c r="AF496" t="s">
        <v>867</v>
      </c>
      <c r="AH496" t="s">
        <v>6550</v>
      </c>
      <c r="AI496" t="s">
        <v>6550</v>
      </c>
      <c r="AK496" t="s">
        <v>6550</v>
      </c>
      <c r="AL496" t="s">
        <v>2119</v>
      </c>
      <c r="AQ496">
        <v>1</v>
      </c>
    </row>
    <row r="497" spans="1:43" hidden="1" x14ac:dyDescent="0.25">
      <c r="A497" t="s">
        <v>31</v>
      </c>
      <c r="B497">
        <v>1158</v>
      </c>
      <c r="C497">
        <v>208</v>
      </c>
      <c r="D497">
        <v>3635</v>
      </c>
      <c r="G497" t="s">
        <v>6551</v>
      </c>
      <c r="H497">
        <v>42830750000130</v>
      </c>
      <c r="I497" t="s">
        <v>3903</v>
      </c>
      <c r="J497" t="s">
        <v>3903</v>
      </c>
      <c r="K497" t="s">
        <v>6545</v>
      </c>
      <c r="M497" t="s">
        <v>4594</v>
      </c>
      <c r="O497" t="s">
        <v>6494</v>
      </c>
      <c r="P497" t="s">
        <v>1094</v>
      </c>
      <c r="Q497" t="s">
        <v>790</v>
      </c>
      <c r="T497" t="s">
        <v>319</v>
      </c>
      <c r="U497" t="s">
        <v>3417</v>
      </c>
      <c r="W497">
        <v>360</v>
      </c>
      <c r="X497">
        <v>32076</v>
      </c>
      <c r="Z497">
        <v>21</v>
      </c>
      <c r="AA497" s="31">
        <v>46141</v>
      </c>
      <c r="AB497" s="61">
        <v>0.69581018518518523</v>
      </c>
      <c r="AC497" t="s">
        <v>782</v>
      </c>
      <c r="AD497" s="31"/>
      <c r="AE497" s="61"/>
      <c r="AH497" t="s">
        <v>6550</v>
      </c>
      <c r="AI497" t="s">
        <v>6550</v>
      </c>
      <c r="AK497" t="s">
        <v>6550</v>
      </c>
      <c r="AL497" t="s">
        <v>2119</v>
      </c>
      <c r="AQ497">
        <v>1</v>
      </c>
    </row>
    <row r="498" spans="1:43" x14ac:dyDescent="0.25">
      <c r="A498" t="s">
        <v>31</v>
      </c>
      <c r="B498">
        <v>1182</v>
      </c>
      <c r="C498">
        <v>76</v>
      </c>
      <c r="D498">
        <v>3739</v>
      </c>
      <c r="G498" t="s">
        <v>225</v>
      </c>
      <c r="H498">
        <v>43372158000103</v>
      </c>
      <c r="I498" t="s">
        <v>225</v>
      </c>
      <c r="J498" t="s">
        <v>225</v>
      </c>
      <c r="K498" t="s">
        <v>3623</v>
      </c>
      <c r="M498" t="s">
        <v>3233</v>
      </c>
      <c r="P498" t="s">
        <v>3234</v>
      </c>
      <c r="Q498" t="s">
        <v>1699</v>
      </c>
      <c r="T498" t="s">
        <v>319</v>
      </c>
      <c r="U498" t="s">
        <v>3409</v>
      </c>
      <c r="W498">
        <v>3360</v>
      </c>
      <c r="X498">
        <v>7128</v>
      </c>
      <c r="Z498">
        <v>14</v>
      </c>
      <c r="AA498" s="31">
        <v>46148</v>
      </c>
      <c r="AB498" s="61">
        <v>0.63268518518518524</v>
      </c>
      <c r="AC498" t="s">
        <v>782</v>
      </c>
      <c r="AD498" s="31"/>
      <c r="AE498" s="61"/>
      <c r="AH498" t="s">
        <v>6181</v>
      </c>
      <c r="AI498" t="s">
        <v>6552</v>
      </c>
      <c r="AK498" t="s">
        <v>6552</v>
      </c>
      <c r="AL498" t="s">
        <v>2119</v>
      </c>
      <c r="AP498" t="s">
        <v>2605</v>
      </c>
      <c r="AQ498">
        <v>1</v>
      </c>
    </row>
    <row r="499" spans="1:43" x14ac:dyDescent="0.25">
      <c r="A499" t="s">
        <v>31</v>
      </c>
      <c r="B499">
        <v>1183</v>
      </c>
      <c r="C499">
        <v>174</v>
      </c>
      <c r="D499">
        <v>3740</v>
      </c>
      <c r="G499" t="s">
        <v>236</v>
      </c>
      <c r="H499">
        <v>45238441000164</v>
      </c>
      <c r="I499" t="s">
        <v>3507</v>
      </c>
      <c r="J499" t="s">
        <v>3507</v>
      </c>
      <c r="K499" t="s">
        <v>3509</v>
      </c>
      <c r="L499">
        <v>11973359869</v>
      </c>
      <c r="M499" t="s">
        <v>3510</v>
      </c>
      <c r="O499" t="s">
        <v>6448</v>
      </c>
      <c r="P499" t="s">
        <v>1094</v>
      </c>
      <c r="Q499" t="s">
        <v>790</v>
      </c>
      <c r="T499" t="s">
        <v>319</v>
      </c>
      <c r="U499" t="s">
        <v>3417</v>
      </c>
      <c r="W499">
        <v>1600</v>
      </c>
      <c r="X499">
        <v>229519</v>
      </c>
      <c r="Z499">
        <v>5</v>
      </c>
      <c r="AA499" s="31">
        <v>46148</v>
      </c>
      <c r="AB499" s="61">
        <v>0.64694444444444443</v>
      </c>
      <c r="AC499" t="s">
        <v>795</v>
      </c>
      <c r="AD499" s="31">
        <v>46153</v>
      </c>
      <c r="AE499" s="61">
        <v>0.4060300925925926</v>
      </c>
      <c r="AF499" t="s">
        <v>867</v>
      </c>
      <c r="AH499" t="s">
        <v>6181</v>
      </c>
      <c r="AI499" t="s">
        <v>6552</v>
      </c>
      <c r="AK499" t="s">
        <v>6552</v>
      </c>
      <c r="AL499" t="s">
        <v>2119</v>
      </c>
      <c r="AP499" t="s">
        <v>53</v>
      </c>
      <c r="AQ499">
        <v>1</v>
      </c>
    </row>
    <row r="500" spans="1:43" x14ac:dyDescent="0.25">
      <c r="A500" t="s">
        <v>31</v>
      </c>
      <c r="B500">
        <v>1207</v>
      </c>
      <c r="C500">
        <v>103</v>
      </c>
      <c r="D500">
        <v>3784</v>
      </c>
      <c r="G500" t="s">
        <v>239</v>
      </c>
      <c r="H500">
        <v>12549273000179</v>
      </c>
      <c r="I500" t="s">
        <v>3309</v>
      </c>
      <c r="J500" t="s">
        <v>3309</v>
      </c>
      <c r="M500" t="s">
        <v>3312</v>
      </c>
      <c r="O500" t="s">
        <v>6441</v>
      </c>
      <c r="P500" t="s">
        <v>1596</v>
      </c>
      <c r="Q500" t="s">
        <v>790</v>
      </c>
      <c r="T500" t="s">
        <v>319</v>
      </c>
      <c r="U500" t="s">
        <v>3417</v>
      </c>
      <c r="W500">
        <v>8100</v>
      </c>
      <c r="X500">
        <v>1080</v>
      </c>
      <c r="Z500">
        <v>9</v>
      </c>
      <c r="AA500" s="31">
        <v>46153</v>
      </c>
      <c r="AB500" s="61">
        <v>0.64332175925925927</v>
      </c>
      <c r="AC500" t="s">
        <v>782</v>
      </c>
      <c r="AD500" s="31"/>
      <c r="AE500" s="61"/>
      <c r="AH500" t="s">
        <v>6553</v>
      </c>
      <c r="AI500" t="s">
        <v>6539</v>
      </c>
      <c r="AK500" t="s">
        <v>6553</v>
      </c>
      <c r="AL500" t="s">
        <v>2119</v>
      </c>
      <c r="AP500" t="s">
        <v>52</v>
      </c>
      <c r="AQ500">
        <v>1</v>
      </c>
    </row>
    <row r="501" spans="1:43" x14ac:dyDescent="0.25">
      <c r="A501" t="s">
        <v>31</v>
      </c>
      <c r="B501">
        <v>1210</v>
      </c>
      <c r="D501">
        <v>3789</v>
      </c>
      <c r="G501" t="s">
        <v>241</v>
      </c>
      <c r="H501">
        <v>10303813000104</v>
      </c>
      <c r="J501" t="s">
        <v>6554</v>
      </c>
      <c r="K501" t="s">
        <v>6555</v>
      </c>
      <c r="M501" t="s">
        <v>4384</v>
      </c>
      <c r="T501" t="s">
        <v>319</v>
      </c>
      <c r="U501" t="s">
        <v>3417</v>
      </c>
      <c r="W501">
        <v>3360</v>
      </c>
      <c r="X501">
        <v>7128</v>
      </c>
      <c r="Z501">
        <v>8</v>
      </c>
      <c r="AA501" s="31">
        <v>46154</v>
      </c>
      <c r="AB501" s="61">
        <v>0.69754629629629628</v>
      </c>
      <c r="AC501" t="s">
        <v>782</v>
      </c>
      <c r="AD501" s="31"/>
      <c r="AE501" s="61"/>
      <c r="AH501" t="s">
        <v>6556</v>
      </c>
      <c r="AI501" t="s">
        <v>6556</v>
      </c>
      <c r="AJ501" t="s">
        <v>6229</v>
      </c>
      <c r="AK501" t="s">
        <v>6556</v>
      </c>
      <c r="AL501" t="s">
        <v>2119</v>
      </c>
      <c r="AQ501">
        <v>1</v>
      </c>
    </row>
    <row r="502" spans="1:43" x14ac:dyDescent="0.25">
      <c r="A502" t="s">
        <v>31</v>
      </c>
      <c r="B502">
        <v>1235</v>
      </c>
      <c r="C502">
        <v>194</v>
      </c>
      <c r="D502">
        <v>3920</v>
      </c>
      <c r="G502" t="s">
        <v>233</v>
      </c>
      <c r="H502">
        <v>44580314000186</v>
      </c>
      <c r="I502" t="s">
        <v>3682</v>
      </c>
      <c r="J502" t="s">
        <v>3682</v>
      </c>
      <c r="K502" t="s">
        <v>4591</v>
      </c>
      <c r="M502" t="s">
        <v>3685</v>
      </c>
      <c r="O502" t="s">
        <v>6469</v>
      </c>
      <c r="P502" t="s">
        <v>3687</v>
      </c>
      <c r="Q502" t="s">
        <v>790</v>
      </c>
      <c r="T502" t="s">
        <v>319</v>
      </c>
      <c r="U502" t="s">
        <v>816</v>
      </c>
      <c r="W502">
        <v>22890</v>
      </c>
      <c r="X502">
        <v>0</v>
      </c>
      <c r="Z502">
        <v>0</v>
      </c>
      <c r="AA502" s="31">
        <v>46157</v>
      </c>
      <c r="AB502" s="61">
        <v>0.52318287037037037</v>
      </c>
      <c r="AC502" t="s">
        <v>818</v>
      </c>
      <c r="AD502" s="31">
        <v>46157</v>
      </c>
      <c r="AE502" s="61">
        <v>0.70194444444444448</v>
      </c>
      <c r="AH502" t="s">
        <v>6557</v>
      </c>
      <c r="AI502" t="s">
        <v>6557</v>
      </c>
      <c r="AK502" t="s">
        <v>6557</v>
      </c>
      <c r="AL502" t="s">
        <v>2119</v>
      </c>
      <c r="AN502" t="s">
        <v>4741</v>
      </c>
      <c r="AQ502">
        <v>1</v>
      </c>
    </row>
    <row r="503" spans="1:43" x14ac:dyDescent="0.25">
      <c r="A503" t="s">
        <v>31</v>
      </c>
      <c r="B503">
        <v>1239</v>
      </c>
      <c r="C503">
        <v>135</v>
      </c>
      <c r="D503">
        <v>3930</v>
      </c>
      <c r="G503" t="s">
        <v>229</v>
      </c>
      <c r="I503" t="s">
        <v>229</v>
      </c>
      <c r="J503" t="s">
        <v>229</v>
      </c>
      <c r="K503" t="s">
        <v>6558</v>
      </c>
      <c r="M503" t="s">
        <v>3381</v>
      </c>
      <c r="T503" t="s">
        <v>319</v>
      </c>
      <c r="U503" t="s">
        <v>3417</v>
      </c>
      <c r="W503">
        <v>3360</v>
      </c>
      <c r="X503">
        <v>3564</v>
      </c>
      <c r="Z503">
        <v>2</v>
      </c>
      <c r="AA503" s="31">
        <v>46160</v>
      </c>
      <c r="AB503" s="61">
        <v>0.69972222222222225</v>
      </c>
      <c r="AC503" t="s">
        <v>782</v>
      </c>
      <c r="AD503" s="31"/>
      <c r="AE503" s="61"/>
      <c r="AH503" t="s">
        <v>6433</v>
      </c>
      <c r="AI503" t="s">
        <v>6433</v>
      </c>
      <c r="AK503" t="s">
        <v>6433</v>
      </c>
      <c r="AL503" t="s">
        <v>2119</v>
      </c>
      <c r="AQ503">
        <v>1</v>
      </c>
    </row>
  </sheetData>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Planilhas</vt:lpstr>
      </vt:variant>
      <vt:variant>
        <vt:i4>20</vt:i4>
      </vt:variant>
      <vt:variant>
        <vt:lpstr>Intervalos Nomeados</vt:lpstr>
      </vt:variant>
      <vt:variant>
        <vt:i4>4</vt:i4>
      </vt:variant>
    </vt:vector>
  </HeadingPairs>
  <TitlesOfParts>
    <vt:vector size="24" baseType="lpstr">
      <vt:lpstr>Pendentes</vt:lpstr>
      <vt:lpstr>2026</vt:lpstr>
      <vt:lpstr>Metas Quadro</vt:lpstr>
      <vt:lpstr>QtdeMetas</vt:lpstr>
      <vt:lpstr>KPI</vt:lpstr>
      <vt:lpstr>Forecast</vt:lpstr>
      <vt:lpstr>||</vt:lpstr>
      <vt:lpstr>KPI-Metas</vt:lpstr>
      <vt:lpstr>FU - Vendas2026-fev</vt:lpstr>
      <vt:lpstr>FU - Vendas2026-jan</vt:lpstr>
      <vt:lpstr>AnaliseT1</vt:lpstr>
      <vt:lpstr>Resumo de Vendas</vt:lpstr>
      <vt:lpstr>2025</vt:lpstr>
      <vt:lpstr>Comissao Pagas</vt:lpstr>
      <vt:lpstr>opportunity_12_01_2026_22_48_52</vt:lpstr>
      <vt:lpstr>after_sale_12_01_2026_23_39_32</vt:lpstr>
      <vt:lpstr>posvenda</vt:lpstr>
      <vt:lpstr>oportunidade</vt:lpstr>
      <vt:lpstr>325-oportunidade</vt:lpstr>
      <vt:lpstr>pos</vt:lpstr>
      <vt:lpstr>'FU - Vendas2026-fev'!Area_de_impressao</vt:lpstr>
      <vt:lpstr>'FU - Vendas2026-jan'!Area_de_impressao</vt:lpstr>
      <vt:lpstr>KPI!Area_de_impressao</vt:lpstr>
      <vt:lpstr>'KPI-Metas'!Area_de_impressao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Paulo Souza</dc:creator>
  <cp:lastModifiedBy>Paulo Souza</cp:lastModifiedBy>
  <cp:lastPrinted>2026-05-03T17:19:59Z</cp:lastPrinted>
  <dcterms:created xsi:type="dcterms:W3CDTF">2026-01-13T00:07:35Z</dcterms:created>
  <dcterms:modified xsi:type="dcterms:W3CDTF">2026-07-01T19:16:55Z</dcterms:modified>
</cp:coreProperties>
</file>